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texasedu-my.sharepoint.com/personal/amy_maynard-harrison_tea_texas_gov/Documents/Documents/Drupal/2024/April/"/>
    </mc:Choice>
  </mc:AlternateContent>
  <xr:revisionPtr revIDLastSave="0" documentId="8_{D36E1669-DF42-47CC-9A24-310BAA7732D4}" xr6:coauthVersionLast="47" xr6:coauthVersionMax="47" xr10:uidLastSave="{00000000-0000-0000-0000-000000000000}"/>
  <bookViews>
    <workbookView xWindow="28680" yWindow="-120" windowWidth="29040" windowHeight="15840" firstSheet="1" activeTab="1" xr2:uid="{00000000-000D-0000-FFFF-FFFF00000000}"/>
  </bookViews>
  <sheets>
    <sheet name="Validation" sheetId="88" state="hidden" r:id="rId1"/>
    <sheet name="Version 4 March 2024 " sheetId="101" r:id="rId2"/>
    <sheet name="Estimates" sheetId="16" r:id="rId3"/>
    <sheet name=" State Aid" sheetId="62" r:id="rId4"/>
    <sheet name="Prior Law" sheetId="26" r:id="rId5"/>
    <sheet name="ADA Projection " sheetId="51" r:id="rId6"/>
    <sheet name="Payment Calculator" sheetId="58" r:id="rId7"/>
    <sheet name="TEC 48.115 (a)(2) Campuses" sheetId="103" state="hidden" r:id="rId8"/>
    <sheet name="Eligible Campus" sheetId="102" state="hidden" r:id="rId9"/>
    <sheet name="Ineligible Campus" sheetId="104" state="hidden" r:id="rId10"/>
    <sheet name="INITIAL EST" sheetId="74" state="hidden" r:id="rId11"/>
    <sheet name="CASH FLOW" sheetId="86" state="hidden" r:id="rId12"/>
    <sheet name="INT EST PY" sheetId="99" state="hidden" r:id="rId13"/>
    <sheet name="INT EST PY21" sheetId="92" state="hidden" r:id="rId14"/>
    <sheet name="FTG" sheetId="76" state="hidden" r:id="rId15"/>
    <sheet name="FTG21" sheetId="93" state="hidden" r:id="rId16"/>
    <sheet name="DATA" sheetId="20" state="hidden" r:id="rId17"/>
    <sheet name="Code 45 with 43&amp;44" sheetId="91" state="hidden" r:id="rId18"/>
  </sheets>
  <definedNames>
    <definedName name="CASH_FLOW">'CASH FLOW'!$B:$KO</definedName>
    <definedName name="DPE">#REF!</definedName>
    <definedName name="FTG" localSheetId="15">'FTG21'!$A:$M</definedName>
    <definedName name="FTG">FTG!$A:$M</definedName>
    <definedName name="INITIAL_EST">'INITIAL EST'!$B:$KN</definedName>
    <definedName name="INITIAL_EST_PY" localSheetId="13">'INT EST PY21'!$1:$1048576</definedName>
    <definedName name="INITIAL_EST_PY">#REF!</definedName>
    <definedName name="INT_EST_PY">'INT EST PY'!$1:$1048576</definedName>
    <definedName name="INT_EST_PY21">'INT EST PY21'!$1:$1048576</definedName>
    <definedName name="INT_ESTIMATE_PY">'INT EST PY'!$1:$1048576</definedName>
    <definedName name="INTIAL_EST_PY">'INT EST PY'!$A:$KF</definedName>
    <definedName name="INTIAL_EST_PY21">'INT EST PY'!$1:$1048576</definedName>
    <definedName name="_xlnm.Print_Area" localSheetId="3">' State Aid'!$A$1:$F$151</definedName>
    <definedName name="_xlnm.Print_Area" localSheetId="5">'ADA Projection '!$A$2:$H$44</definedName>
    <definedName name="_xlnm.Print_Area" localSheetId="2">Estimates!$A$1:$E$77</definedName>
    <definedName name="_xlnm.Print_Area" localSheetId="6">'Payment Calculator'!$A$2:$E$37</definedName>
    <definedName name="_xlnm.Print_Area" localSheetId="4">'Prior Law'!$A$2:$D$103</definedName>
    <definedName name="_xlnm.Print_Area" localSheetId="0">Validation!$A$1:$H$147</definedName>
    <definedName name="_xlnm.Print_Titles" localSheetId="3">' State Aid'!$1:$3</definedName>
    <definedName name="_xlnm.Print_Titles" localSheetId="5">'ADA Projection '!$2:$2</definedName>
    <definedName name="_xlnm.Print_Titles" localSheetId="2">Estimates!$1:$2</definedName>
    <definedName name="_xlnm.Print_Titles" localSheetId="4">'Prior Law'!$2:$4</definedName>
    <definedName name="_xlnm.Print_Titles" localSheetId="0">Validation!$1:$3</definedName>
    <definedName name="_xlnm.Print_Titles" localSheetId="1">'Version 4 March 2024 '!$2:$2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28" i="88" l="1"/>
  <c r="I128" i="88"/>
  <c r="H129" i="88"/>
  <c r="I129" i="88"/>
  <c r="H66" i="88" l="1"/>
  <c r="E73" i="62"/>
  <c r="I117" i="88"/>
  <c r="H117" i="88"/>
  <c r="I122" i="88"/>
  <c r="E76" i="62"/>
  <c r="H71" i="88"/>
  <c r="E63" i="62"/>
  <c r="I118" i="88"/>
  <c r="E64" i="62"/>
  <c r="F120" i="62"/>
  <c r="E111" i="62"/>
  <c r="I142" i="88"/>
  <c r="H142" i="88"/>
  <c r="H138" i="88"/>
  <c r="I143" i="88"/>
  <c r="I147" i="88"/>
  <c r="I146" i="88"/>
  <c r="I145" i="88"/>
  <c r="E69" i="62"/>
  <c r="D149" i="62"/>
  <c r="F149" i="62"/>
  <c r="E128" i="62"/>
  <c r="E62" i="62"/>
  <c r="E58" i="62"/>
  <c r="E57" i="62"/>
  <c r="E56" i="62"/>
  <c r="E55" i="62"/>
  <c r="E54" i="62"/>
  <c r="E51" i="62"/>
  <c r="E49" i="62"/>
  <c r="E48" i="62"/>
  <c r="E43" i="62"/>
  <c r="E42" i="62"/>
  <c r="E41" i="62"/>
  <c r="E40" i="62"/>
  <c r="E37" i="62"/>
  <c r="E33" i="62"/>
  <c r="E32" i="62"/>
  <c r="E31" i="62"/>
  <c r="E27" i="62"/>
  <c r="E26" i="62"/>
  <c r="E25" i="62"/>
  <c r="E24" i="62"/>
  <c r="E23" i="62"/>
  <c r="E22" i="62"/>
  <c r="E21" i="62"/>
  <c r="E20" i="62"/>
  <c r="E19" i="62"/>
  <c r="E18" i="62"/>
  <c r="E14" i="62"/>
  <c r="E13" i="62"/>
  <c r="E12" i="62"/>
  <c r="E11" i="62"/>
  <c r="E10" i="62"/>
  <c r="E9" i="62"/>
  <c r="E8" i="62"/>
  <c r="E7" i="62"/>
  <c r="E6" i="62"/>
  <c r="E65" i="62"/>
  <c r="E61" i="62"/>
  <c r="I4" i="88"/>
  <c r="E131" i="62"/>
  <c r="E130" i="62"/>
  <c r="E126" i="62"/>
  <c r="E125" i="62"/>
  <c r="E124" i="62"/>
  <c r="E123" i="62"/>
  <c r="E116" i="62"/>
  <c r="E115" i="62"/>
  <c r="E114" i="62"/>
  <c r="E112" i="62"/>
  <c r="E89" i="62"/>
  <c r="E68" i="62"/>
  <c r="E75" i="62"/>
  <c r="E74" i="62"/>
  <c r="I130" i="88"/>
  <c r="I124" i="88"/>
  <c r="I120" i="88"/>
  <c r="H120" i="88"/>
  <c r="I119" i="88"/>
  <c r="H119" i="88"/>
  <c r="I116" i="88"/>
  <c r="I115" i="88"/>
  <c r="H115" i="88"/>
  <c r="I114" i="88"/>
  <c r="H114" i="88"/>
  <c r="I113" i="88"/>
  <c r="H113" i="88"/>
  <c r="I112" i="88"/>
  <c r="H112" i="88"/>
  <c r="I125" i="88"/>
  <c r="I109" i="88"/>
  <c r="H109" i="88"/>
  <c r="I106" i="88"/>
  <c r="H106" i="88"/>
  <c r="I108" i="88"/>
  <c r="H108" i="88"/>
  <c r="I107" i="88"/>
  <c r="H107" i="88"/>
  <c r="I105" i="88"/>
  <c r="I104" i="88"/>
  <c r="H104" i="88"/>
  <c r="I102" i="88"/>
  <c r="I100" i="88"/>
  <c r="I99" i="88"/>
  <c r="I98" i="88"/>
  <c r="I97" i="88"/>
  <c r="I95" i="88"/>
  <c r="I93" i="88"/>
  <c r="I92" i="88"/>
  <c r="I91" i="88"/>
  <c r="I89" i="88"/>
  <c r="I88" i="88"/>
  <c r="I81" i="88"/>
  <c r="I80" i="88"/>
  <c r="I79" i="88"/>
  <c r="I77" i="88"/>
  <c r="I76" i="88"/>
  <c r="H70" i="88"/>
  <c r="H69" i="88"/>
  <c r="H64" i="88"/>
  <c r="H63" i="88"/>
  <c r="I61" i="88"/>
  <c r="H60" i="88"/>
  <c r="H59" i="88"/>
  <c r="H58" i="88"/>
  <c r="H57" i="88"/>
  <c r="H56" i="88"/>
  <c r="I55" i="88"/>
  <c r="I54" i="88"/>
  <c r="H53" i="88"/>
  <c r="H52" i="88"/>
  <c r="H51" i="88"/>
  <c r="H50" i="88"/>
  <c r="H49" i="88"/>
  <c r="H47" i="88"/>
  <c r="H46" i="88"/>
  <c r="I45" i="88"/>
  <c r="H44" i="88"/>
  <c r="I42" i="88"/>
  <c r="H41" i="88"/>
  <c r="H40" i="88"/>
  <c r="H39" i="88"/>
  <c r="H37" i="88"/>
  <c r="I35" i="88"/>
  <c r="H34" i="88"/>
  <c r="H33" i="88"/>
  <c r="H32" i="88"/>
  <c r="I17" i="88"/>
  <c r="I16" i="88"/>
  <c r="H15" i="88"/>
  <c r="H14" i="88"/>
  <c r="H13" i="88"/>
  <c r="H12" i="88"/>
  <c r="H10" i="88"/>
  <c r="H9" i="88"/>
  <c r="H8" i="88"/>
  <c r="H7" i="88"/>
  <c r="H6" i="88"/>
  <c r="E4" i="62"/>
  <c r="H4" i="88"/>
  <c r="F118" i="62"/>
  <c r="E149" i="62" l="1"/>
  <c r="E113" i="62"/>
  <c r="F65" i="62" l="1"/>
  <c r="F64" i="62"/>
  <c r="F129" i="62" s="1"/>
  <c r="E101" i="62"/>
  <c r="E118" i="62"/>
  <c r="F50" i="62"/>
  <c r="C71" i="62"/>
  <c r="E66" i="88"/>
  <c r="F52" i="62"/>
  <c r="E56" i="16"/>
  <c r="E55" i="16"/>
  <c r="D49" i="62"/>
  <c r="F91" i="62"/>
  <c r="C49" i="62"/>
  <c r="C48" i="62"/>
  <c r="E104" i="88"/>
  <c r="C111" i="62"/>
  <c r="F115" i="88"/>
  <c r="F114" i="88"/>
  <c r="F113" i="88"/>
  <c r="F112" i="88"/>
  <c r="F108" i="88"/>
  <c r="F107" i="88"/>
  <c r="F106" i="88"/>
  <c r="I9" i="58"/>
  <c r="H9" i="58"/>
  <c r="I8" i="58"/>
  <c r="H8" i="58"/>
  <c r="I6" i="58"/>
  <c r="H6" i="58"/>
  <c r="C4" i="51"/>
  <c r="F93" i="88"/>
  <c r="G28" i="20"/>
  <c r="G30" i="20"/>
  <c r="G31" i="20"/>
  <c r="G32" i="20"/>
  <c r="G33" i="20"/>
  <c r="G81" i="20"/>
  <c r="G91" i="20"/>
  <c r="G120" i="20"/>
  <c r="G121" i="20"/>
  <c r="G122" i="20"/>
  <c r="G123" i="20"/>
  <c r="G127" i="20"/>
  <c r="G141" i="20"/>
  <c r="G145" i="20"/>
  <c r="G164" i="20"/>
  <c r="G181" i="20"/>
  <c r="G3" i="20"/>
  <c r="G4" i="20"/>
  <c r="G5" i="20"/>
  <c r="G6" i="20"/>
  <c r="G7" i="20"/>
  <c r="G8" i="20"/>
  <c r="G9" i="20"/>
  <c r="G10" i="20"/>
  <c r="G11" i="20"/>
  <c r="G12" i="20"/>
  <c r="G13" i="20"/>
  <c r="G14" i="20"/>
  <c r="G15" i="20"/>
  <c r="G16" i="20"/>
  <c r="G17" i="20"/>
  <c r="G19" i="20"/>
  <c r="G20" i="20"/>
  <c r="G21" i="20"/>
  <c r="G22" i="20"/>
  <c r="G23" i="20"/>
  <c r="G24" i="20"/>
  <c r="G25" i="20"/>
  <c r="G26" i="20"/>
  <c r="G27" i="20"/>
  <c r="G29"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2" i="20"/>
  <c r="G83" i="20"/>
  <c r="G84" i="20"/>
  <c r="G85" i="20"/>
  <c r="G86" i="20"/>
  <c r="G87" i="20"/>
  <c r="G88" i="20"/>
  <c r="G89" i="20"/>
  <c r="G90"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4" i="20"/>
  <c r="G125" i="20"/>
  <c r="G126" i="20"/>
  <c r="G128" i="20"/>
  <c r="G129" i="20"/>
  <c r="G130" i="20"/>
  <c r="G131" i="20"/>
  <c r="G132" i="20"/>
  <c r="G134" i="20"/>
  <c r="G135" i="20"/>
  <c r="G136" i="20"/>
  <c r="G137" i="20"/>
  <c r="G138" i="20"/>
  <c r="G139" i="20"/>
  <c r="G140" i="20"/>
  <c r="G142" i="20"/>
  <c r="G143" i="20"/>
  <c r="G144" i="20"/>
  <c r="G146" i="20"/>
  <c r="G147" i="20"/>
  <c r="G148" i="20"/>
  <c r="G149" i="20"/>
  <c r="G150" i="20"/>
  <c r="G151" i="20"/>
  <c r="G152" i="20"/>
  <c r="G153" i="20"/>
  <c r="G154" i="20"/>
  <c r="G155" i="20"/>
  <c r="G156" i="20"/>
  <c r="G157" i="20"/>
  <c r="G158" i="20"/>
  <c r="G159" i="20"/>
  <c r="G160" i="20"/>
  <c r="G161" i="20"/>
  <c r="G162" i="20"/>
  <c r="G163" i="20"/>
  <c r="G166" i="20"/>
  <c r="G167" i="20"/>
  <c r="G168" i="20"/>
  <c r="G169" i="20"/>
  <c r="G170" i="20"/>
  <c r="G171" i="20"/>
  <c r="G172" i="20"/>
  <c r="G173" i="20"/>
  <c r="G174" i="20"/>
  <c r="G175" i="20"/>
  <c r="G176" i="20"/>
  <c r="G177" i="20"/>
  <c r="G178" i="20"/>
  <c r="G179" i="20"/>
  <c r="G180" i="20"/>
  <c r="G182" i="20"/>
  <c r="G183" i="20"/>
  <c r="G184" i="20"/>
  <c r="G185" i="20"/>
  <c r="G186" i="20"/>
  <c r="G187" i="20"/>
  <c r="G188" i="20"/>
  <c r="G18" i="20"/>
  <c r="E62" i="16"/>
  <c r="C50" i="62" l="1"/>
  <c r="E52" i="62"/>
  <c r="E110" i="62" s="1"/>
  <c r="E35" i="62"/>
  <c r="E34" i="62"/>
  <c r="C96" i="62"/>
  <c r="H10" i="58"/>
  <c r="I10" i="58"/>
  <c r="C9" i="58" l="1"/>
  <c r="C8" i="58"/>
  <c r="B8" i="58"/>
  <c r="E50" i="62" l="1"/>
  <c r="F17" i="88"/>
  <c r="F138" i="88"/>
  <c r="F141" i="88" s="1"/>
  <c r="F4" i="88"/>
  <c r="F82" i="88"/>
  <c r="I82" i="88"/>
  <c r="G121" i="88"/>
  <c r="J121" i="88"/>
  <c r="I138" i="88" l="1"/>
  <c r="I141" i="88" s="1"/>
  <c r="J138" i="88" l="1"/>
  <c r="F72" i="62"/>
  <c r="F58" i="62"/>
  <c r="F57" i="62"/>
  <c r="F56" i="62"/>
  <c r="F55" i="62"/>
  <c r="F54" i="62"/>
  <c r="E138" i="88" l="1"/>
  <c r="G138" i="88" s="1"/>
  <c r="C138" i="62"/>
  <c r="E127" i="62" l="1"/>
  <c r="F127" i="62"/>
  <c r="F79" i="62"/>
  <c r="F78" i="62"/>
  <c r="E77" i="62"/>
  <c r="F77" i="62" s="1"/>
  <c r="F70" i="62"/>
  <c r="D48" i="62"/>
  <c r="D50" i="62" s="1"/>
  <c r="C112" i="62"/>
  <c r="C113" i="62" s="1"/>
  <c r="C51" i="62"/>
  <c r="E128" i="88"/>
  <c r="E103" i="88"/>
  <c r="E105" i="88" s="1"/>
  <c r="E47" i="88"/>
  <c r="E41" i="88"/>
  <c r="E40" i="88"/>
  <c r="E39" i="88"/>
  <c r="C42" i="62"/>
  <c r="C41" i="62"/>
  <c r="C40" i="62"/>
  <c r="F94" i="88"/>
  <c r="F147" i="88"/>
  <c r="F146" i="88"/>
  <c r="F145" i="88"/>
  <c r="F143" i="88"/>
  <c r="F130" i="88"/>
  <c r="F125" i="88"/>
  <c r="F124" i="88"/>
  <c r="F122" i="88"/>
  <c r="F118" i="88"/>
  <c r="F116" i="88"/>
  <c r="F109" i="88"/>
  <c r="F105" i="88"/>
  <c r="F104" i="88"/>
  <c r="F100" i="88"/>
  <c r="F99" i="88"/>
  <c r="F98" i="88"/>
  <c r="F97" i="88"/>
  <c r="F95" i="88"/>
  <c r="F92" i="88"/>
  <c r="F91" i="88"/>
  <c r="F89" i="88"/>
  <c r="F88" i="88"/>
  <c r="F81" i="88"/>
  <c r="F80" i="88"/>
  <c r="F79" i="88"/>
  <c r="F77" i="88"/>
  <c r="F76" i="88"/>
  <c r="F61" i="88"/>
  <c r="F55" i="88"/>
  <c r="F54" i="88"/>
  <c r="F45" i="88"/>
  <c r="F42" i="88"/>
  <c r="F35" i="88"/>
  <c r="F30" i="88"/>
  <c r="F83" i="88" s="1"/>
  <c r="F16" i="88"/>
  <c r="E76" i="16"/>
  <c r="E75" i="16"/>
  <c r="E74" i="16"/>
  <c r="E73" i="16"/>
  <c r="E71" i="16"/>
  <c r="E70" i="16"/>
  <c r="E68" i="16"/>
  <c r="E69" i="16"/>
  <c r="F126" i="88" l="1"/>
  <c r="F136" i="88" s="1"/>
  <c r="F85" i="88"/>
  <c r="F128" i="88"/>
  <c r="G128" i="88" s="1"/>
  <c r="E43" i="88"/>
  <c r="E97" i="88" s="1"/>
  <c r="G97" i="88" s="1"/>
  <c r="E42" i="88"/>
  <c r="E102" i="88"/>
  <c r="F53" i="16"/>
  <c r="F52" i="16"/>
  <c r="F51" i="16"/>
  <c r="C95" i="62"/>
  <c r="C97" i="62" s="1"/>
  <c r="F49" i="16"/>
  <c r="F48" i="16"/>
  <c r="F47" i="16"/>
  <c r="F45" i="16"/>
  <c r="F44" i="16"/>
  <c r="F43" i="16"/>
  <c r="G42" i="88" l="1"/>
  <c r="C44" i="62"/>
  <c r="C45" i="62"/>
  <c r="C105" i="62" s="1"/>
  <c r="G45" i="16"/>
  <c r="G49" i="16"/>
  <c r="G53" i="16"/>
  <c r="G105" i="88" l="1"/>
  <c r="D41" i="62"/>
  <c r="D42" i="62"/>
  <c r="D40" i="62"/>
  <c r="D45" i="62" l="1"/>
  <c r="J142" i="88"/>
  <c r="J120" i="88"/>
  <c r="J119" i="88"/>
  <c r="J117" i="88"/>
  <c r="E117" i="88"/>
  <c r="G117" i="88" s="1"/>
  <c r="J115" i="88"/>
  <c r="J114" i="88"/>
  <c r="J113" i="88"/>
  <c r="J112" i="88"/>
  <c r="J108" i="88"/>
  <c r="J107" i="88"/>
  <c r="J106" i="88"/>
  <c r="I94" i="88"/>
  <c r="E71" i="88"/>
  <c r="E70" i="88"/>
  <c r="E69" i="88"/>
  <c r="E64" i="88"/>
  <c r="E63" i="88"/>
  <c r="E60" i="88"/>
  <c r="E59" i="88"/>
  <c r="E58" i="88"/>
  <c r="E100" i="88" s="1"/>
  <c r="H93" i="88"/>
  <c r="E57" i="88"/>
  <c r="E93" i="88" s="1"/>
  <c r="E56" i="88"/>
  <c r="E92" i="88" s="1"/>
  <c r="E46" i="88"/>
  <c r="E89" i="88" s="1"/>
  <c r="H98" i="88"/>
  <c r="E44" i="88"/>
  <c r="E98" i="88" s="1"/>
  <c r="E37" i="88"/>
  <c r="E80" i="88" s="1"/>
  <c r="E34" i="88"/>
  <c r="E33" i="88"/>
  <c r="E32" i="88"/>
  <c r="I83" i="88"/>
  <c r="E28" i="88"/>
  <c r="E27" i="88"/>
  <c r="E26" i="88"/>
  <c r="E25" i="88"/>
  <c r="E24" i="88"/>
  <c r="E23" i="88"/>
  <c r="E22" i="88"/>
  <c r="E21" i="88"/>
  <c r="E20" i="88"/>
  <c r="E19" i="88"/>
  <c r="E15" i="88"/>
  <c r="E81" i="88" s="1"/>
  <c r="E14" i="88"/>
  <c r="E82" i="88" s="1"/>
  <c r="G82" i="88" s="1"/>
  <c r="E13" i="88"/>
  <c r="E12" i="88"/>
  <c r="E10" i="88"/>
  <c r="E9" i="88"/>
  <c r="E8" i="88"/>
  <c r="E7" i="88"/>
  <c r="E6" i="88"/>
  <c r="E4" i="88"/>
  <c r="A3" i="88"/>
  <c r="F84" i="88" l="1"/>
  <c r="H84" i="88"/>
  <c r="H103" i="88"/>
  <c r="H105" i="88" s="1"/>
  <c r="I103" i="88"/>
  <c r="I84" i="88"/>
  <c r="E17" i="88"/>
  <c r="E79" i="88" s="1"/>
  <c r="I85" i="88"/>
  <c r="J128" i="88"/>
  <c r="I126" i="88"/>
  <c r="I136" i="88" s="1"/>
  <c r="G92" i="88"/>
  <c r="G98" i="88"/>
  <c r="H132" i="88"/>
  <c r="G100" i="88"/>
  <c r="G93" i="88"/>
  <c r="G80" i="88"/>
  <c r="G81" i="88"/>
  <c r="G89" i="88"/>
  <c r="E120" i="88"/>
  <c r="E132" i="88"/>
  <c r="E16" i="62"/>
  <c r="F16" i="62"/>
  <c r="F45" i="62"/>
  <c r="F29" i="62"/>
  <c r="H17" i="88"/>
  <c r="H79" i="88" s="1"/>
  <c r="H83" i="88"/>
  <c r="J83" i="88" s="1"/>
  <c r="J98" i="88"/>
  <c r="H68" i="88"/>
  <c r="H92" i="88"/>
  <c r="J92" i="88" s="1"/>
  <c r="H100" i="88"/>
  <c r="J100" i="88" s="1"/>
  <c r="H82" i="88"/>
  <c r="J82" i="88" s="1"/>
  <c r="H89" i="88"/>
  <c r="J89" i="88" s="1"/>
  <c r="H80" i="88"/>
  <c r="J80" i="88" s="1"/>
  <c r="H81" i="88"/>
  <c r="J81" i="88" s="1"/>
  <c r="E118" i="88"/>
  <c r="E16" i="88"/>
  <c r="H16" i="88"/>
  <c r="J16" i="88" s="1"/>
  <c r="E146" i="88"/>
  <c r="H42" i="88"/>
  <c r="J42" i="88" s="1"/>
  <c r="H43" i="88"/>
  <c r="E30" i="88"/>
  <c r="E36" i="88"/>
  <c r="E95" i="88" s="1"/>
  <c r="H36" i="88"/>
  <c r="H95" i="88" s="1"/>
  <c r="J95" i="88" s="1"/>
  <c r="H54" i="88"/>
  <c r="J54" i="88" s="1"/>
  <c r="E35" i="88"/>
  <c r="E119" i="88"/>
  <c r="H35" i="88"/>
  <c r="J35" i="88" s="1"/>
  <c r="A2" i="88"/>
  <c r="E84" i="88"/>
  <c r="H55" i="88"/>
  <c r="E109" i="88"/>
  <c r="H116" i="88"/>
  <c r="J116" i="88" s="1"/>
  <c r="E29" i="88"/>
  <c r="H102" i="88"/>
  <c r="J109" i="88"/>
  <c r="H118" i="88"/>
  <c r="J118" i="88" s="1"/>
  <c r="H146" i="88"/>
  <c r="J146" i="88" s="1"/>
  <c r="H97" i="88" l="1"/>
  <c r="H99" i="88" s="1"/>
  <c r="J99" i="88" s="1"/>
  <c r="G84" i="88"/>
  <c r="G17" i="88"/>
  <c r="I132" i="88"/>
  <c r="E45" i="88"/>
  <c r="G45" i="88" s="1"/>
  <c r="G16" i="88"/>
  <c r="F120" i="88"/>
  <c r="G120" i="88" s="1"/>
  <c r="F132" i="88"/>
  <c r="G132" i="88" s="1"/>
  <c r="F119" i="88"/>
  <c r="G119" i="88" s="1"/>
  <c r="G35" i="88"/>
  <c r="J103" i="88"/>
  <c r="G109" i="88"/>
  <c r="G118" i="88"/>
  <c r="G146" i="88"/>
  <c r="G95" i="88"/>
  <c r="J84" i="88"/>
  <c r="E99" i="88"/>
  <c r="E83" i="88"/>
  <c r="G83" i="88" s="1"/>
  <c r="H45" i="88"/>
  <c r="J45" i="88" s="1"/>
  <c r="J93" i="88"/>
  <c r="J17" i="88"/>
  <c r="H91" i="88"/>
  <c r="J55" i="88"/>
  <c r="J105" i="88"/>
  <c r="J30" i="88"/>
  <c r="E77" i="88" l="1"/>
  <c r="G77" i="88" s="1"/>
  <c r="J132" i="88"/>
  <c r="G99" i="88"/>
  <c r="G79" i="88"/>
  <c r="E85" i="88"/>
  <c r="G85" i="88" s="1"/>
  <c r="J97" i="88"/>
  <c r="H77" i="88"/>
  <c r="J77" i="88" s="1"/>
  <c r="J91" i="88"/>
  <c r="H94" i="88"/>
  <c r="J94" i="88" s="1"/>
  <c r="H85" i="88"/>
  <c r="J85" i="88" s="1"/>
  <c r="J79" i="88"/>
  <c r="E113" i="88"/>
  <c r="G113" i="88" s="1"/>
  <c r="G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8" i="20"/>
  <c r="F129" i="20"/>
  <c r="F130" i="20"/>
  <c r="F131" i="20"/>
  <c r="F132" i="20"/>
  <c r="F134" i="20"/>
  <c r="F135" i="20"/>
  <c r="F136" i="20"/>
  <c r="F137" i="20"/>
  <c r="F138" i="20"/>
  <c r="F139" i="20"/>
  <c r="F140" i="20"/>
  <c r="F141" i="20"/>
  <c r="F142" i="20"/>
  <c r="F143" i="20"/>
  <c r="F144" i="20"/>
  <c r="F146" i="20"/>
  <c r="F147" i="20"/>
  <c r="F148" i="20"/>
  <c r="F149" i="20"/>
  <c r="F150" i="20"/>
  <c r="F151" i="20"/>
  <c r="F152" i="20"/>
  <c r="F153" i="20"/>
  <c r="F154" i="20"/>
  <c r="F155" i="20"/>
  <c r="F156" i="20"/>
  <c r="F157" i="20"/>
  <c r="F158" i="20"/>
  <c r="F159" i="20"/>
  <c r="F160" i="20"/>
  <c r="F161" i="20"/>
  <c r="F162" i="20"/>
  <c r="F163"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2" i="20"/>
  <c r="B2" i="16"/>
  <c r="E58" i="16"/>
  <c r="B21" i="51"/>
  <c r="J129" i="88" l="1"/>
  <c r="H130" i="88"/>
  <c r="E64" i="16"/>
  <c r="E49" i="88"/>
  <c r="C20" i="51"/>
  <c r="C19" i="51"/>
  <c r="D19" i="51" s="1"/>
  <c r="E19" i="51" s="1"/>
  <c r="F19" i="51" s="1"/>
  <c r="G19" i="51" s="1"/>
  <c r="C18" i="51"/>
  <c r="D18" i="51" s="1"/>
  <c r="C17" i="51"/>
  <c r="D17" i="51" s="1"/>
  <c r="E17" i="51" s="1"/>
  <c r="F17" i="51" s="1"/>
  <c r="G17" i="51" s="1"/>
  <c r="H17" i="51" s="1"/>
  <c r="C16" i="51"/>
  <c r="D16" i="51" s="1"/>
  <c r="E16" i="51" s="1"/>
  <c r="F16" i="51" s="1"/>
  <c r="G16" i="51" s="1"/>
  <c r="C15" i="51"/>
  <c r="D15" i="51" s="1"/>
  <c r="E15" i="51" s="1"/>
  <c r="F15" i="51" s="1"/>
  <c r="G15" i="51" s="1"/>
  <c r="C14" i="51"/>
  <c r="D14" i="51" s="1"/>
  <c r="E14" i="51" s="1"/>
  <c r="F14" i="51" s="1"/>
  <c r="G14" i="51" s="1"/>
  <c r="C13" i="51"/>
  <c r="D13" i="51" s="1"/>
  <c r="E13" i="51" s="1"/>
  <c r="F13" i="51" s="1"/>
  <c r="G13" i="51" s="1"/>
  <c r="C12" i="51"/>
  <c r="D12" i="51" s="1"/>
  <c r="E12" i="51" s="1"/>
  <c r="F12" i="51" s="1"/>
  <c r="C76" i="62"/>
  <c r="F76" i="62" s="1"/>
  <c r="C75" i="62"/>
  <c r="F75" i="62" s="1"/>
  <c r="C74" i="62"/>
  <c r="F74" i="62" s="1"/>
  <c r="C69" i="62"/>
  <c r="C68" i="62"/>
  <c r="F68" i="62" s="1"/>
  <c r="C65" i="62"/>
  <c r="C64" i="62"/>
  <c r="C63" i="62"/>
  <c r="C61" i="62"/>
  <c r="C43" i="62"/>
  <c r="C37" i="62"/>
  <c r="C33" i="62"/>
  <c r="C32" i="62"/>
  <c r="C31" i="62"/>
  <c r="C27" i="62"/>
  <c r="C26" i="62"/>
  <c r="C25" i="62"/>
  <c r="C24" i="62"/>
  <c r="C23" i="62"/>
  <c r="C22" i="62"/>
  <c r="C21" i="62"/>
  <c r="C20" i="62"/>
  <c r="C19" i="62"/>
  <c r="C18" i="62"/>
  <c r="D63" i="62"/>
  <c r="D43" i="62"/>
  <c r="E129" i="88" l="1"/>
  <c r="F129" i="88" s="1"/>
  <c r="G129" i="88" s="1"/>
  <c r="E45" i="62"/>
  <c r="E29" i="62"/>
  <c r="E129" i="62"/>
  <c r="C34" i="62"/>
  <c r="D20" i="51"/>
  <c r="E20" i="51" s="1"/>
  <c r="H14" i="51"/>
  <c r="H19" i="51"/>
  <c r="E18" i="51"/>
  <c r="F18" i="51" s="1"/>
  <c r="G18" i="51" s="1"/>
  <c r="H15" i="51"/>
  <c r="H13" i="51"/>
  <c r="H16" i="51"/>
  <c r="G12" i="51"/>
  <c r="H12" i="51" s="1"/>
  <c r="E130" i="88" l="1"/>
  <c r="G130" i="88" s="1"/>
  <c r="F20" i="51"/>
  <c r="H18" i="51"/>
  <c r="D5" i="51"/>
  <c r="H143" i="88" l="1"/>
  <c r="J143" i="88" s="1"/>
  <c r="J130" i="88"/>
  <c r="G20" i="51"/>
  <c r="D4" i="62"/>
  <c r="D101" i="62" s="1"/>
  <c r="D6" i="62"/>
  <c r="D7" i="62"/>
  <c r="D8" i="62"/>
  <c r="D9" i="62"/>
  <c r="D10" i="62"/>
  <c r="D11" i="62"/>
  <c r="D12" i="62"/>
  <c r="D13" i="62"/>
  <c r="D14" i="62"/>
  <c r="D18" i="62"/>
  <c r="D19" i="62"/>
  <c r="D20" i="62"/>
  <c r="D21" i="62"/>
  <c r="D22" i="62"/>
  <c r="D23" i="62"/>
  <c r="D24" i="62"/>
  <c r="D25" i="62"/>
  <c r="D26" i="62"/>
  <c r="D27" i="62"/>
  <c r="D31" i="62"/>
  <c r="D32" i="62"/>
  <c r="D33" i="62"/>
  <c r="D37" i="62"/>
  <c r="D56" i="26"/>
  <c r="D57" i="26"/>
  <c r="D58" i="26"/>
  <c r="C9" i="51"/>
  <c r="C21" i="51" s="1"/>
  <c r="D138" i="62" l="1"/>
  <c r="D112" i="62"/>
  <c r="D128" i="62"/>
  <c r="D124" i="62"/>
  <c r="D123" i="62"/>
  <c r="D16" i="62"/>
  <c r="D51" i="62"/>
  <c r="D52" i="62" s="1"/>
  <c r="H20" i="51"/>
  <c r="D9" i="51" l="1"/>
  <c r="B9" i="58"/>
  <c r="D21" i="51" l="1"/>
  <c r="E9" i="51"/>
  <c r="E21" i="51" s="1"/>
  <c r="B3" i="62" l="1"/>
  <c r="E119" i="62" s="1"/>
  <c r="E120" i="62" s="1"/>
  <c r="C141" i="62" l="1"/>
  <c r="E141" i="62" s="1"/>
  <c r="E108" i="88"/>
  <c r="G108" i="88" s="1"/>
  <c r="C116" i="62"/>
  <c r="C89" i="62"/>
  <c r="E66" i="16"/>
  <c r="D65" i="62"/>
  <c r="D64" i="62"/>
  <c r="D141" i="62" l="1"/>
  <c r="F141" i="62"/>
  <c r="E53" i="88"/>
  <c r="E106" i="88"/>
  <c r="G106" i="88" s="1"/>
  <c r="D34" i="62"/>
  <c r="B139" i="62"/>
  <c r="E139" i="62" s="1"/>
  <c r="F139" i="62" l="1"/>
  <c r="D44" i="26"/>
  <c r="A3" i="62"/>
  <c r="C128" i="62"/>
  <c r="D76" i="62"/>
  <c r="D75" i="62"/>
  <c r="D74" i="62"/>
  <c r="D68" i="62"/>
  <c r="C62" i="62"/>
  <c r="C101" i="62" s="1"/>
  <c r="C14" i="62"/>
  <c r="C13" i="62"/>
  <c r="C12" i="62"/>
  <c r="C11" i="62"/>
  <c r="C10" i="62"/>
  <c r="C9" i="62"/>
  <c r="C8" i="62"/>
  <c r="C7" i="62"/>
  <c r="C6" i="62"/>
  <c r="C4" i="62"/>
  <c r="C142" i="62" l="1"/>
  <c r="C52" i="62"/>
  <c r="C110" i="62" s="1"/>
  <c r="D62" i="62"/>
  <c r="C16" i="62"/>
  <c r="C84" i="62" s="1"/>
  <c r="C129" i="62"/>
  <c r="C124" i="62"/>
  <c r="E112" i="88"/>
  <c r="G112" i="88" s="1"/>
  <c r="E67" i="16"/>
  <c r="E63" i="16"/>
  <c r="E61" i="16"/>
  <c r="E60" i="16"/>
  <c r="E59" i="16"/>
  <c r="E51" i="88" l="1"/>
  <c r="E50" i="88"/>
  <c r="E52" i="88"/>
  <c r="E114" i="88"/>
  <c r="G114" i="88" s="1"/>
  <c r="E115" i="88"/>
  <c r="G115" i="88" s="1"/>
  <c r="E107" i="88"/>
  <c r="G107" i="88" s="1"/>
  <c r="C115" i="62"/>
  <c r="C123" i="62"/>
  <c r="C125" i="62"/>
  <c r="C126" i="62"/>
  <c r="D71" i="62"/>
  <c r="D96" i="62" l="1"/>
  <c r="D110" i="62"/>
  <c r="D113" i="62" s="1"/>
  <c r="D95" i="62"/>
  <c r="E60" i="62"/>
  <c r="E59" i="62"/>
  <c r="E54" i="88"/>
  <c r="E55" i="88"/>
  <c r="G55" i="88" s="1"/>
  <c r="E116" i="88"/>
  <c r="D84" i="62"/>
  <c r="C114" i="62"/>
  <c r="F71" i="62" l="1"/>
  <c r="F73" i="62" s="1"/>
  <c r="E95" i="62"/>
  <c r="E96" i="62"/>
  <c r="E84" i="62"/>
  <c r="G54" i="88"/>
  <c r="G116" i="88"/>
  <c r="E91" i="88"/>
  <c r="G91" i="88" s="1"/>
  <c r="F110" i="62" l="1"/>
  <c r="F113" i="62" s="1"/>
  <c r="F101" i="62"/>
  <c r="E97" i="62"/>
  <c r="F95" i="62"/>
  <c r="F96" i="62"/>
  <c r="E94" i="88"/>
  <c r="F84" i="62"/>
  <c r="F97" i="62" l="1"/>
  <c r="G94" i="88"/>
  <c r="C44" i="26"/>
  <c r="D69" i="62" l="1"/>
  <c r="F69" i="62" s="1"/>
  <c r="D70" i="62"/>
  <c r="D72" i="62"/>
  <c r="D105" i="62" s="1"/>
  <c r="D77" i="62"/>
  <c r="D139" i="62" s="1"/>
  <c r="D78" i="62"/>
  <c r="D79" i="62"/>
  <c r="C58" i="62"/>
  <c r="D58" i="62" s="1"/>
  <c r="C57" i="62"/>
  <c r="D57" i="62" s="1"/>
  <c r="C56" i="62"/>
  <c r="D56" i="62" s="1"/>
  <c r="C54" i="62"/>
  <c r="D118" i="62" l="1"/>
  <c r="D119" i="62"/>
  <c r="D129" i="62"/>
  <c r="D54" i="62"/>
  <c r="D116" i="62"/>
  <c r="D115" i="62"/>
  <c r="D97" i="62"/>
  <c r="C55" i="62"/>
  <c r="D55" i="62" s="1"/>
  <c r="D114" i="62"/>
  <c r="D131" i="62"/>
  <c r="D130" i="62"/>
  <c r="C59" i="62" l="1"/>
  <c r="D59" i="62"/>
  <c r="D44" i="62"/>
  <c r="A4" i="26" l="1"/>
  <c r="C49" i="26" l="1"/>
  <c r="C22" i="26"/>
  <c r="C18" i="26"/>
  <c r="C11" i="26"/>
  <c r="C38" i="26"/>
  <c r="C36" i="26"/>
  <c r="C35" i="26"/>
  <c r="C34" i="26"/>
  <c r="C31" i="26"/>
  <c r="C29" i="26"/>
  <c r="C26" i="26"/>
  <c r="C6" i="26"/>
  <c r="C53" i="26"/>
  <c r="C24" i="26"/>
  <c r="C7" i="26"/>
  <c r="C30" i="26"/>
  <c r="C28" i="26"/>
  <c r="C25" i="26"/>
  <c r="C51" i="26"/>
  <c r="C50" i="26"/>
  <c r="C23" i="26"/>
  <c r="C47" i="26"/>
  <c r="C46" i="26"/>
  <c r="C17" i="26"/>
  <c r="C43" i="26"/>
  <c r="C16" i="26"/>
  <c r="C42" i="26"/>
  <c r="C15" i="26"/>
  <c r="C41" i="26"/>
  <c r="C13" i="26"/>
  <c r="C40" i="26"/>
  <c r="C12" i="26"/>
  <c r="C39" i="26"/>
  <c r="C99" i="26"/>
  <c r="C5" i="26"/>
  <c r="C83" i="26"/>
  <c r="C10" i="26"/>
  <c r="C82" i="26"/>
  <c r="C9" i="26"/>
  <c r="C81" i="26"/>
  <c r="C79" i="26"/>
  <c r="C67" i="26"/>
  <c r="C55" i="26"/>
  <c r="C54" i="26"/>
  <c r="C52" i="26"/>
  <c r="D5" i="26"/>
  <c r="D102" i="26"/>
  <c r="D54" i="26"/>
  <c r="D43" i="26"/>
  <c r="D34" i="26"/>
  <c r="D23" i="26"/>
  <c r="D11" i="26"/>
  <c r="D22" i="26"/>
  <c r="D29" i="26"/>
  <c r="D7" i="26"/>
  <c r="D28" i="26"/>
  <c r="D46" i="26"/>
  <c r="D99" i="26"/>
  <c r="D53" i="26"/>
  <c r="D42" i="26"/>
  <c r="D31" i="26"/>
  <c r="D10" i="26"/>
  <c r="D6" i="26"/>
  <c r="D79" i="26"/>
  <c r="D26" i="26"/>
  <c r="D15" i="26"/>
  <c r="D24" i="26"/>
  <c r="D83" i="26"/>
  <c r="D52" i="26"/>
  <c r="D41" i="26"/>
  <c r="D30" i="26"/>
  <c r="D18" i="26"/>
  <c r="D9" i="26"/>
  <c r="D82" i="26"/>
  <c r="D51" i="26"/>
  <c r="D40" i="26"/>
  <c r="D17" i="26"/>
  <c r="D49" i="26"/>
  <c r="D35" i="26"/>
  <c r="D81" i="26"/>
  <c r="D50" i="26"/>
  <c r="D39" i="26"/>
  <c r="D16" i="26"/>
  <c r="D38" i="26"/>
  <c r="D67" i="26"/>
  <c r="D47" i="26"/>
  <c r="D36" i="26"/>
  <c r="D25" i="26"/>
  <c r="D13" i="26"/>
  <c r="D55" i="26"/>
  <c r="D12" i="26"/>
  <c r="C102" i="26"/>
  <c r="D45" i="26"/>
  <c r="C45" i="26"/>
  <c r="A3" i="26"/>
  <c r="D126" i="62"/>
  <c r="D125" i="62"/>
  <c r="D127" i="62" l="1"/>
  <c r="D100" i="26"/>
  <c r="D101" i="26" s="1"/>
  <c r="D103" i="26" s="1"/>
  <c r="D93" i="26"/>
  <c r="D85" i="26"/>
  <c r="D92" i="26"/>
  <c r="D84" i="26"/>
  <c r="D89" i="26"/>
  <c r="D88" i="26"/>
  <c r="C100" i="26"/>
  <c r="C101" i="26" s="1"/>
  <c r="D70" i="26"/>
  <c r="D73" i="26"/>
  <c r="D71" i="26"/>
  <c r="D96" i="26"/>
  <c r="D19" i="26"/>
  <c r="D37" i="26" s="1"/>
  <c r="D60" i="26" s="1"/>
  <c r="D20" i="26"/>
  <c r="D62" i="26" s="1"/>
  <c r="D75" i="26"/>
  <c r="D64" i="26"/>
  <c r="D78" i="26"/>
  <c r="D65" i="26"/>
  <c r="D63" i="26"/>
  <c r="D76" i="26"/>
  <c r="E77" i="16"/>
  <c r="D108" i="62"/>
  <c r="E142" i="62" l="1"/>
  <c r="D142" i="62"/>
  <c r="F142" i="62"/>
  <c r="C103" i="26"/>
  <c r="D90" i="26"/>
  <c r="D94" i="26"/>
  <c r="D72" i="26"/>
  <c r="D77" i="26"/>
  <c r="I134" i="88" l="1"/>
  <c r="F134" i="88"/>
  <c r="F135" i="88" s="1"/>
  <c r="F137" i="88" s="1"/>
  <c r="E134" i="88"/>
  <c r="H134" i="88"/>
  <c r="C108" i="62"/>
  <c r="D61" i="62"/>
  <c r="D100" i="62" s="1"/>
  <c r="I135" i="88" l="1"/>
  <c r="I137" i="88" s="1"/>
  <c r="H135" i="88"/>
  <c r="J134" i="88"/>
  <c r="E135" i="88"/>
  <c r="G135" i="88" s="1"/>
  <c r="G134" i="88"/>
  <c r="C100" i="62"/>
  <c r="D106" i="62"/>
  <c r="C92" i="26"/>
  <c r="E28" i="62"/>
  <c r="C6" i="58"/>
  <c r="B6" i="58"/>
  <c r="D4" i="51"/>
  <c r="C5" i="51"/>
  <c r="B6" i="51"/>
  <c r="B8" i="51" s="1"/>
  <c r="C7" i="51"/>
  <c r="D7" i="51" s="1"/>
  <c r="E7" i="51" s="1"/>
  <c r="F7" i="51" s="1"/>
  <c r="G7" i="51" s="1"/>
  <c r="C10" i="51"/>
  <c r="D10" i="51" s="1"/>
  <c r="C22" i="51"/>
  <c r="D22" i="51" s="1"/>
  <c r="C24" i="51"/>
  <c r="D24" i="51" s="1"/>
  <c r="E24" i="51" s="1"/>
  <c r="F24" i="51" s="1"/>
  <c r="G24" i="51" s="1"/>
  <c r="C44" i="51"/>
  <c r="D44" i="51" s="1"/>
  <c r="E44" i="51" s="1"/>
  <c r="F44" i="51" s="1"/>
  <c r="C33" i="51"/>
  <c r="D33" i="51" s="1"/>
  <c r="E33" i="51" s="1"/>
  <c r="C34" i="51"/>
  <c r="D34" i="51" s="1"/>
  <c r="E34" i="51" s="1"/>
  <c r="F34" i="51" s="1"/>
  <c r="G34" i="51" s="1"/>
  <c r="C35" i="51"/>
  <c r="D35" i="51" s="1"/>
  <c r="E35" i="51" s="1"/>
  <c r="F35" i="51" s="1"/>
  <c r="G35" i="51" s="1"/>
  <c r="C36" i="51"/>
  <c r="D36" i="51" s="1"/>
  <c r="E36" i="51" s="1"/>
  <c r="F36" i="51" s="1"/>
  <c r="G36" i="51" s="1"/>
  <c r="C37" i="51"/>
  <c r="D37" i="51" s="1"/>
  <c r="C38" i="51"/>
  <c r="C39" i="51"/>
  <c r="D39" i="51" s="1"/>
  <c r="E39" i="51" s="1"/>
  <c r="C40" i="51"/>
  <c r="D40" i="51" s="1"/>
  <c r="E40" i="51" s="1"/>
  <c r="F40" i="51" s="1"/>
  <c r="G40" i="51" s="1"/>
  <c r="C41" i="51"/>
  <c r="D41" i="51" s="1"/>
  <c r="C32" i="51"/>
  <c r="D32" i="51" s="1"/>
  <c r="C28" i="51"/>
  <c r="C29" i="51"/>
  <c r="D29" i="51" s="1"/>
  <c r="E29" i="51" s="1"/>
  <c r="F29" i="51" s="1"/>
  <c r="G29" i="51" s="1"/>
  <c r="C27" i="51"/>
  <c r="D27" i="51" s="1"/>
  <c r="C25" i="51"/>
  <c r="D25" i="51" s="1"/>
  <c r="C23" i="51"/>
  <c r="D23" i="51" s="1"/>
  <c r="E23" i="51" s="1"/>
  <c r="F23" i="51" s="1"/>
  <c r="G23" i="51" s="1"/>
  <c r="B42" i="51"/>
  <c r="B30" i="51"/>
  <c r="C11" i="51"/>
  <c r="D11" i="51" s="1"/>
  <c r="E11" i="51" s="1"/>
  <c r="F11" i="51" s="1"/>
  <c r="G11" i="51" s="1"/>
  <c r="J135" i="88" l="1"/>
  <c r="D33" i="26"/>
  <c r="D66" i="26" s="1"/>
  <c r="D68" i="26" s="1"/>
  <c r="D32" i="26"/>
  <c r="C131" i="62"/>
  <c r="C130" i="62"/>
  <c r="B10" i="58"/>
  <c r="C10" i="58"/>
  <c r="C139" i="62"/>
  <c r="C30" i="51"/>
  <c r="C6" i="51"/>
  <c r="C8" i="51" s="1"/>
  <c r="B43" i="51"/>
  <c r="C118" i="62"/>
  <c r="C70" i="26"/>
  <c r="C106" i="62"/>
  <c r="C71" i="26"/>
  <c r="C86" i="62"/>
  <c r="C64" i="26"/>
  <c r="C65" i="26"/>
  <c r="C85" i="62"/>
  <c r="C15" i="62" s="1"/>
  <c r="C46" i="62" s="1"/>
  <c r="C63" i="26"/>
  <c r="E25" i="51"/>
  <c r="F25" i="51" s="1"/>
  <c r="G25" i="51" s="1"/>
  <c r="E37" i="51"/>
  <c r="F37" i="51" s="1"/>
  <c r="G37" i="51" s="1"/>
  <c r="D6" i="51"/>
  <c r="D8" i="51" s="1"/>
  <c r="E32" i="51"/>
  <c r="E22" i="51"/>
  <c r="F22" i="51" s="1"/>
  <c r="G22" i="51" s="1"/>
  <c r="E5" i="51"/>
  <c r="F5" i="51" s="1"/>
  <c r="G5" i="51" s="1"/>
  <c r="G44" i="51"/>
  <c r="H44" i="51" s="1"/>
  <c r="E10" i="51"/>
  <c r="F10" i="51" s="1"/>
  <c r="G10" i="51" s="1"/>
  <c r="H36" i="51"/>
  <c r="E41" i="51"/>
  <c r="F41" i="51" s="1"/>
  <c r="G41" i="51" s="1"/>
  <c r="H40" i="51"/>
  <c r="F33" i="51"/>
  <c r="G33" i="51" s="1"/>
  <c r="H7" i="51"/>
  <c r="F39" i="51"/>
  <c r="G39" i="51" s="1"/>
  <c r="H23" i="51"/>
  <c r="H35" i="51"/>
  <c r="D28" i="51"/>
  <c r="E28" i="51" s="1"/>
  <c r="F28" i="51" s="1"/>
  <c r="G28" i="51" s="1"/>
  <c r="D38" i="51"/>
  <c r="E38" i="51" s="1"/>
  <c r="F38" i="51" s="1"/>
  <c r="G38" i="51" s="1"/>
  <c r="H29" i="51"/>
  <c r="E27" i="51"/>
  <c r="E4" i="51"/>
  <c r="H11" i="51"/>
  <c r="H24" i="51"/>
  <c r="C42" i="51"/>
  <c r="H34" i="51"/>
  <c r="C85" i="26"/>
  <c r="C149" i="62"/>
  <c r="C35" i="62"/>
  <c r="C103" i="62" s="1"/>
  <c r="C28" i="62"/>
  <c r="D28" i="62"/>
  <c r="D35" i="62" s="1"/>
  <c r="D86" i="62"/>
  <c r="C96" i="26"/>
  <c r="C75" i="26"/>
  <c r="C73" i="26"/>
  <c r="C32" i="26"/>
  <c r="C84" i="26"/>
  <c r="C78" i="26"/>
  <c r="C76" i="26"/>
  <c r="C33" i="26"/>
  <c r="C66" i="26" s="1"/>
  <c r="D86" i="26" l="1"/>
  <c r="D95" i="26" s="1"/>
  <c r="C82" i="62"/>
  <c r="C43" i="51"/>
  <c r="D89" i="62"/>
  <c r="D85" i="62" s="1"/>
  <c r="H39" i="51"/>
  <c r="E100" i="62"/>
  <c r="E86" i="62"/>
  <c r="E106" i="62"/>
  <c r="E15" i="62"/>
  <c r="F108" i="62"/>
  <c r="E108" i="62"/>
  <c r="E85" i="62"/>
  <c r="H37" i="51"/>
  <c r="H25" i="51"/>
  <c r="H10" i="51"/>
  <c r="C20" i="26"/>
  <c r="C62" i="26" s="1"/>
  <c r="C68" i="26" s="1"/>
  <c r="C19" i="26"/>
  <c r="H41" i="51"/>
  <c r="H33" i="51"/>
  <c r="D30" i="51"/>
  <c r="H22" i="51"/>
  <c r="E6" i="51"/>
  <c r="E8" i="51" s="1"/>
  <c r="F4" i="51"/>
  <c r="H38" i="51"/>
  <c r="D42" i="51"/>
  <c r="H28" i="51"/>
  <c r="E42" i="51"/>
  <c r="F32" i="51"/>
  <c r="E30" i="51"/>
  <c r="F27" i="51"/>
  <c r="F9" i="51"/>
  <c r="H5" i="51"/>
  <c r="D107" i="62"/>
  <c r="C72" i="26"/>
  <c r="C93" i="26"/>
  <c r="D103" i="62"/>
  <c r="C77" i="26"/>
  <c r="H86" i="88" l="1"/>
  <c r="I86" i="88"/>
  <c r="I87" i="88" s="1"/>
  <c r="D91" i="62"/>
  <c r="E91" i="62"/>
  <c r="F86" i="88"/>
  <c r="F87" i="88" s="1"/>
  <c r="E86" i="88"/>
  <c r="E87" i="88" s="1"/>
  <c r="C91" i="62"/>
  <c r="F28" i="62"/>
  <c r="F21" i="51"/>
  <c r="G9" i="51"/>
  <c r="G21" i="51" s="1"/>
  <c r="D15" i="62"/>
  <c r="F34" i="62"/>
  <c r="E103" i="62"/>
  <c r="F59" i="62"/>
  <c r="F35" i="62"/>
  <c r="F103" i="62" s="1"/>
  <c r="F15" i="62"/>
  <c r="C37" i="26"/>
  <c r="C60" i="26" s="1"/>
  <c r="C86" i="26" s="1"/>
  <c r="F100" i="62"/>
  <c r="F85" i="62"/>
  <c r="F106" i="62"/>
  <c r="F86" i="62"/>
  <c r="E99" i="62"/>
  <c r="E43" i="51"/>
  <c r="D43" i="51"/>
  <c r="F42" i="51"/>
  <c r="G32" i="51"/>
  <c r="G27" i="51"/>
  <c r="G30" i="51" s="1"/>
  <c r="F30" i="51"/>
  <c r="G4" i="51"/>
  <c r="G6" i="51" s="1"/>
  <c r="G8" i="51" s="1"/>
  <c r="F6" i="51"/>
  <c r="F8" i="51" s="1"/>
  <c r="C94" i="26"/>
  <c r="J86" i="88" l="1"/>
  <c r="G86" i="88"/>
  <c r="E76" i="88"/>
  <c r="G87" i="88"/>
  <c r="D46" i="62"/>
  <c r="D82" i="62" s="1"/>
  <c r="E88" i="88"/>
  <c r="H87" i="88"/>
  <c r="H76" i="88" s="1"/>
  <c r="H9" i="51"/>
  <c r="H21" i="51"/>
  <c r="F60" i="62"/>
  <c r="F99" i="62" s="1"/>
  <c r="C88" i="26"/>
  <c r="H8" i="51"/>
  <c r="F43" i="51"/>
  <c r="H4" i="51"/>
  <c r="H6" i="51"/>
  <c r="H30" i="51"/>
  <c r="G42" i="51"/>
  <c r="H42" i="51" s="1"/>
  <c r="H32" i="51"/>
  <c r="H27" i="51"/>
  <c r="G76" i="88" l="1"/>
  <c r="E122" i="88"/>
  <c r="J87" i="88"/>
  <c r="G88" i="88"/>
  <c r="H88" i="88"/>
  <c r="J88" i="88" s="1"/>
  <c r="J76" i="88"/>
  <c r="C89" i="26"/>
  <c r="G43" i="51"/>
  <c r="H43" i="51" s="1"/>
  <c r="G122" i="88" l="1"/>
  <c r="E61" i="88"/>
  <c r="H122" i="88"/>
  <c r="J122" i="88" s="1"/>
  <c r="C90" i="26"/>
  <c r="C95" i="26" s="1"/>
  <c r="G61" i="88" l="1"/>
  <c r="H61" i="88"/>
  <c r="J61" i="88" s="1"/>
  <c r="E124" i="88"/>
  <c r="E125" i="88"/>
  <c r="C98" i="26"/>
  <c r="C97" i="26"/>
  <c r="D98" i="26"/>
  <c r="G125" i="88" l="1"/>
  <c r="G124" i="88"/>
  <c r="E126" i="88"/>
  <c r="E136" i="88" s="1"/>
  <c r="H125" i="88"/>
  <c r="J125" i="88" s="1"/>
  <c r="H124" i="88"/>
  <c r="J124" i="88" s="1"/>
  <c r="C87" i="62"/>
  <c r="G126" i="88" l="1"/>
  <c r="H126" i="88"/>
  <c r="D97" i="26"/>
  <c r="H136" i="88" l="1"/>
  <c r="J126" i="88"/>
  <c r="E137" i="88"/>
  <c r="G137" i="88" s="1"/>
  <c r="G136" i="88"/>
  <c r="E87" i="62"/>
  <c r="H137" i="88" l="1"/>
  <c r="J136" i="88"/>
  <c r="E102" i="62"/>
  <c r="H141" i="88" l="1"/>
  <c r="J141" i="88" s="1"/>
  <c r="J137" i="88"/>
  <c r="H147" i="88"/>
  <c r="J147" i="88" s="1"/>
  <c r="H145" i="88" l="1"/>
  <c r="J145" i="88" s="1"/>
  <c r="E88" i="62" l="1"/>
  <c r="D87" i="62" l="1"/>
  <c r="D60" i="62"/>
  <c r="D99" i="62" s="1"/>
  <c r="D29" i="62" l="1"/>
  <c r="D88" i="62" s="1"/>
  <c r="C60" i="62"/>
  <c r="C99" i="62" s="1"/>
  <c r="C29" i="62"/>
  <c r="C88" i="62" s="1"/>
  <c r="E44" i="62"/>
  <c r="E46" i="62" s="1"/>
  <c r="E82" i="62" s="1"/>
  <c r="E105" i="62"/>
  <c r="F44" i="62"/>
  <c r="F105" i="62"/>
  <c r="F107" i="62" s="1"/>
  <c r="F46" i="62" l="1"/>
  <c r="F82" i="62" s="1"/>
  <c r="D90" i="62"/>
  <c r="D92" i="62" s="1"/>
  <c r="D81" i="62" s="1"/>
  <c r="E107" i="62"/>
  <c r="C90" i="62"/>
  <c r="C92" i="62" s="1"/>
  <c r="C81" i="62" l="1"/>
  <c r="D93" i="62"/>
  <c r="C93" i="62"/>
  <c r="C102" i="62"/>
  <c r="D102" i="62"/>
  <c r="D132" i="62" l="1"/>
  <c r="D66" i="62" s="1"/>
  <c r="C107" i="62"/>
  <c r="C127" i="62"/>
  <c r="F87" i="62"/>
  <c r="F88" i="62"/>
  <c r="F102" i="62"/>
  <c r="D134" i="62" l="1"/>
  <c r="C132" i="62"/>
  <c r="C66" i="62" s="1"/>
  <c r="F90" i="62"/>
  <c r="F92" i="62" s="1"/>
  <c r="D135" i="62" l="1"/>
  <c r="D136" i="62" s="1"/>
  <c r="C135" i="62"/>
  <c r="E90" i="62"/>
  <c r="F81" i="62"/>
  <c r="D143" i="62" l="1"/>
  <c r="D144" i="62" s="1"/>
  <c r="D146" i="62" s="1"/>
  <c r="D151" i="62" s="1"/>
  <c r="D148" i="62" s="1"/>
  <c r="C134" i="62"/>
  <c r="C136" i="62" s="1"/>
  <c r="F93" i="62"/>
  <c r="E92" i="62"/>
  <c r="E93" i="62" s="1"/>
  <c r="F132" i="62" l="1"/>
  <c r="F66" i="62" s="1"/>
  <c r="C143" i="62"/>
  <c r="C144" i="62" s="1"/>
  <c r="C146" i="62" s="1"/>
  <c r="C151" i="62" s="1"/>
  <c r="C148" i="62" s="1"/>
  <c r="E81" i="62"/>
  <c r="E132" i="62" s="1"/>
  <c r="E66" i="62" s="1"/>
  <c r="F135" i="62" l="1"/>
  <c r="F134" i="62" l="1"/>
  <c r="F136" i="62" s="1"/>
  <c r="F143" i="62" s="1"/>
  <c r="F144" i="62" s="1"/>
  <c r="F146" i="62" s="1"/>
  <c r="F151" i="62" s="1"/>
  <c r="F148" i="62" s="1"/>
  <c r="E134" i="62"/>
  <c r="E135" i="62"/>
  <c r="E136" i="62" l="1"/>
  <c r="E143" i="62" l="1"/>
  <c r="E144" i="62" s="1"/>
  <c r="E146" i="62" s="1"/>
  <c r="E141" i="88"/>
  <c r="E151" i="62" l="1"/>
  <c r="E148" i="62" s="1"/>
  <c r="E143" i="88"/>
  <c r="G141" i="88"/>
  <c r="G143" i="88" l="1"/>
  <c r="E147" i="88"/>
  <c r="G147" i="88" s="1"/>
  <c r="E145" i="88" l="1"/>
  <c r="G145" i="8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H67" authorId="0" shapeId="0" xr:uid="{C6EC64D6-6E17-4034-8757-14F1D8F4093A}">
      <text>
        <r>
          <rPr>
            <sz val="9"/>
            <color indexed="81"/>
            <rFont val="Arial"/>
            <family val="2"/>
          </rPr>
          <t xml:space="preserve">Calculate value and enter.  Dump value of Small and mide size allotment divided by Regular Program ADA.IF CHANGE MADE HERE; ALSO CHANGE on STATE AID tab
</t>
        </r>
      </text>
    </comment>
    <comment ref="H71" authorId="0" shapeId="0" xr:uid="{58DD39E7-38AC-49DF-8D00-740FB7A846D6}">
      <text>
        <r>
          <rPr>
            <b/>
            <sz val="9"/>
            <color indexed="81"/>
            <rFont val="Tahoma"/>
            <charset val="1"/>
          </rPr>
          <t xml:space="preserve">.039433
</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B5" authorId="0" shapeId="0" xr:uid="{BD77B001-A94D-4D15-ACD8-0925E32B6CB1}">
      <text>
        <r>
          <rPr>
            <sz val="10"/>
            <color indexed="81"/>
            <rFont val="Arial"/>
            <family val="2"/>
          </rPr>
          <t>In Total Enrollment, Pre-K students are entered as half-day (0.5).  For example, 10 Pre-K students enrolled, must be reported as 5 Pre-K students.</t>
        </r>
        <r>
          <rPr>
            <sz val="9"/>
            <color indexed="81"/>
            <rFont val="Tahoma"/>
            <family val="2"/>
          </rPr>
          <t xml:space="preserve">
</t>
        </r>
      </text>
    </comment>
    <comment ref="B6" authorId="0" shapeId="0" xr:uid="{FCBA442E-5216-42F1-B0DF-70F52ACBBFA8}">
      <text>
        <r>
          <rPr>
            <sz val="10"/>
            <color indexed="81"/>
            <rFont val="Arial"/>
            <family val="2"/>
          </rPr>
          <t xml:space="preserve">Students to receive services for dyslexia or related disorders. 
Legislative Payment Estimate (cash flow) based on auto-populated estimate shown. Charter school must submit revised estimate through Foundation School Program application system by August 1 to change estimate used for cash flow/payments. 
TSDS PEIMS Summer Submission (Sub 3) with DYSLEXIA-SERVICES-CODE of E1650 and a dyslexia services code of 01, 02, or 03 will be basis of actual earnings.
</t>
        </r>
        <r>
          <rPr>
            <sz val="9"/>
            <color indexed="81"/>
            <rFont val="Tahoma"/>
            <family val="2"/>
          </rPr>
          <t xml:space="preserve">
</t>
        </r>
      </text>
    </comment>
    <comment ref="B7" authorId="0" shapeId="0" xr:uid="{9454E76D-ABB7-449D-A923-D90F87338D75}">
      <text>
        <r>
          <rPr>
            <sz val="10"/>
            <color indexed="81"/>
            <rFont val="Arial"/>
            <family val="2"/>
          </rPr>
          <t xml:space="preserve">Students to receive services for dyslexia or related disorders. 
Legislative Payment Estimate (cash flow) based on auto-populated estimate shown. Charter school must submit revised estimate through Foundation School Program application system by August 1 to change estimate used for cash flow/payments. 
TSDS PEIMS Summer Submission (Sub 3) with DYSLEXIA-SERVICES-CODE of E1650 and a dyslexia services code of 01, 02, or 03 will be basis of actual earnings.
</t>
        </r>
        <r>
          <rPr>
            <sz val="9"/>
            <color indexed="81"/>
            <rFont val="Tahoma"/>
            <family val="2"/>
          </rPr>
          <t xml:space="preserve">
</t>
        </r>
      </text>
    </comment>
    <comment ref="B9" authorId="0" shapeId="0" xr:uid="{2455F7CF-B260-47DD-81E1-179978470B61}">
      <text>
        <r>
          <rPr>
            <sz val="10"/>
            <color indexed="81"/>
            <rFont val="Arial"/>
            <family val="2"/>
          </rPr>
          <t xml:space="preserve">Students of a registered Dropout Recovery School registered for evaluation by alternative education accountability provisions and meet the at-risk and grades 6–12 enrollment criteria. 
Legislative Payment Estimate (cash flow) based on auto-populated estimate shown. Charter school must submit revised estimate through Foundation School Program application system by August 1 to change estimate used for cash flow/payments. </t>
        </r>
      </text>
    </comment>
    <comment ref="B10" authorId="0" shapeId="0" xr:uid="{3576C0BC-98AC-4CC4-81D7-F87EA0C1C63E}">
      <text>
        <r>
          <rPr>
            <sz val="10"/>
            <color indexed="81"/>
            <rFont val="Arial"/>
            <family val="2"/>
          </rPr>
          <t>Students who reside in a residential placement facility.</t>
        </r>
        <r>
          <rPr>
            <sz val="9"/>
            <color indexed="81"/>
            <rFont val="Tahoma"/>
            <family val="2"/>
          </rPr>
          <t xml:space="preserve">
</t>
        </r>
      </text>
    </comment>
    <comment ref="B14" authorId="0" shapeId="0" xr:uid="{69B08D3B-AC61-4008-8674-37DE603ADD89}">
      <text>
        <r>
          <rPr>
            <sz val="10"/>
            <color indexed="81"/>
            <rFont val="Arial"/>
            <family val="2"/>
          </rPr>
          <t>Emergent bilingual students.  "Emergent bilingual student" means a student whose primary language is other than English and whose English language skills are such that the student has difficulty performing ordinary classwork in English.</t>
        </r>
        <r>
          <rPr>
            <sz val="9"/>
            <color indexed="81"/>
            <rFont val="Tahoma"/>
            <family val="2"/>
          </rPr>
          <t xml:space="preserve">
</t>
        </r>
      </text>
    </comment>
    <comment ref="B15" authorId="0" shapeId="0" xr:uid="{C6C7D1E9-A6F1-4FD8-A215-5BCFA698691A}">
      <text>
        <r>
          <rPr>
            <sz val="10"/>
            <color indexed="81"/>
            <rFont val="Arial"/>
            <family val="2"/>
          </rPr>
          <t>Emergent bilingual student is in a bilingual education program using a DUAL language immersion/one-way or two-way program model.</t>
        </r>
        <r>
          <rPr>
            <sz val="9"/>
            <color indexed="81"/>
            <rFont val="Tahoma"/>
            <family val="2"/>
          </rPr>
          <t xml:space="preserve">
</t>
        </r>
      </text>
    </comment>
    <comment ref="B16" authorId="0" shapeId="0" xr:uid="{A59EC190-B93F-46E3-A3C6-62D80BEF4956}">
      <text>
        <r>
          <rPr>
            <sz val="10"/>
            <color indexed="81"/>
            <rFont val="Arial"/>
            <family val="2"/>
          </rPr>
          <t>NON emergent bilingual student, in a bilingual education program using a DUAL language immersion/two-way program model.</t>
        </r>
        <r>
          <rPr>
            <sz val="9"/>
            <color indexed="81"/>
            <rFont val="Tahoma"/>
            <family val="2"/>
          </rPr>
          <t xml:space="preserve">
</t>
        </r>
      </text>
    </comment>
    <comment ref="E55" authorId="0" shapeId="0" xr:uid="{D3F010DA-9041-4741-A324-66921972C90D}">
      <text>
        <r>
          <rPr>
            <sz val="10"/>
            <color indexed="81"/>
            <rFont val="Arial"/>
            <family val="2"/>
          </rPr>
          <t>Legislative Payment Estimate (Cash flow) based on auto-populated prior year data of the number of students at a TEA-designated Pathways in Technology Early College High School (P-TECH) as indicated on the Texas Education Standards website.  Actual funding based on TSDS PEIMS submission 3, indicator E1612.</t>
        </r>
        <r>
          <rPr>
            <sz val="9"/>
            <color indexed="81"/>
            <rFont val="Tahoma"/>
            <family val="2"/>
          </rPr>
          <t xml:space="preserve">
</t>
        </r>
      </text>
    </comment>
    <comment ref="E56" authorId="0" shapeId="0" xr:uid="{1B2F8D06-E962-40BC-9981-0D3AA744C3B5}">
      <text>
        <r>
          <rPr>
            <sz val="10"/>
            <color indexed="81"/>
            <rFont val="Arial"/>
            <family val="2"/>
          </rPr>
          <t>Legislative Payment Estimate (Cash flow) based on auto-populated prior year data of the number of students at campus engaged in an active agreement with the New Tech Network as identified on the Texas Education Data Standards website. Actual funding to be based on TSDS PEIMS submission 3, indicator E1647.</t>
        </r>
        <r>
          <rPr>
            <sz val="9"/>
            <color indexed="81"/>
            <rFont val="Tahoma"/>
            <family val="2"/>
          </rPr>
          <t xml:space="preserve">
</t>
        </r>
      </text>
    </comment>
    <comment ref="E57" authorId="0" shapeId="0" xr:uid="{CC6B6DD5-B76C-4EA9-A647-94A3FBA2DF52}">
      <text>
        <r>
          <rPr>
            <sz val="10"/>
            <color indexed="81"/>
            <rFont val="Arial"/>
            <family val="2"/>
          </rPr>
          <t xml:space="preserve">Legislative Payment Estimate (Cash flow) based on auto-populated prior year Census Block Tier Counts until TSDS PEIMS Mid-Year Submission (Sub 2) of actual data is available. Actual census block tier counts will be published to the Summary of Finance in late February or early March. </t>
        </r>
        <r>
          <rPr>
            <sz val="9"/>
            <color indexed="81"/>
            <rFont val="Tahoma"/>
            <family val="2"/>
          </rPr>
          <t xml:space="preserve">
</t>
        </r>
      </text>
    </comment>
    <comment ref="E63" authorId="0" shapeId="0" xr:uid="{BD856AA9-C7BB-49AC-9676-236AB6AD8BAE}">
      <text>
        <r>
          <rPr>
            <sz val="10"/>
            <color indexed="81"/>
            <rFont val="Arial"/>
            <family val="2"/>
          </rPr>
          <t>Prior Year ADA estimate to calculate the amount of total Foundation School State Aid to be paid from the Available School Fund (ASF).
The payment rate per ADA (the distribution rate) is adopted each year by the State Board of Education. ASF payments are referred to as “per capita” payments. ASF is primarily made up of earnings from the Permanent School Fund (PSF), 25% of the state’s motor fuels tax, and transfers from the General Land Office (GLO).</t>
        </r>
      </text>
    </comment>
    <comment ref="E64" authorId="0" shapeId="0" xr:uid="{78E82C31-58C5-4972-9365-4F5B363089FC}">
      <text>
        <r>
          <rPr>
            <sz val="10"/>
            <color indexed="81"/>
            <rFont val="Arial"/>
            <family val="2"/>
          </rPr>
          <t>Eligibility based on Accountability rating released in August. Click on the Charter School Facility Funding One Pager hyperlink on Version worksheet for further information.</t>
        </r>
      </text>
    </comment>
    <comment ref="E65" authorId="0" shapeId="0" xr:uid="{C12AE6A2-1427-49ED-B558-7C2D030148A3}">
      <text>
        <r>
          <rPr>
            <sz val="10"/>
            <color indexed="81"/>
            <rFont val="Arial"/>
            <family val="2"/>
          </rPr>
          <t>Tier One Allotments and Reimbursement amounts are estimates until final data is available.  Legislative Payment Estimate (cash flow/payments) to be based on these amounts until final data reported and published to the Summary of Finance.</t>
        </r>
        <r>
          <rPr>
            <sz val="9"/>
            <color indexed="81"/>
            <rFont val="Tahoma"/>
            <family val="2"/>
          </rPr>
          <t xml:space="preserve">
</t>
        </r>
      </text>
    </comment>
    <comment ref="B69" authorId="0" shapeId="0" xr:uid="{34F9CB99-E125-47AA-AF6C-679CD6329C53}">
      <text>
        <r>
          <rPr>
            <sz val="10"/>
            <color indexed="81"/>
            <rFont val="Arial"/>
            <family val="2"/>
          </rPr>
          <t xml:space="preserve">Until approved Foundation School Program (FSP) application for NIFA is approved, estimate is $0.  NIFA estimated allotment published in the Summary of Finance in the Fall.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Black, Dina</author>
  </authors>
  <commentList>
    <comment ref="E54" authorId="0" shapeId="0" xr:uid="{31849D70-B057-44A8-970D-548532424C17}">
      <text>
        <r>
          <rPr>
            <sz val="9"/>
            <color indexed="81"/>
            <rFont val="Tahoma"/>
            <family val="2"/>
          </rPr>
          <t>FALL PEIMS snapshot count of economically disadvantaged students</t>
        </r>
      </text>
    </comment>
    <comment ref="E55" authorId="0" shapeId="0" xr:uid="{DFC4185A-1FC7-4010-941C-2FA496BD3827}">
      <text>
        <r>
          <rPr>
            <sz val="9"/>
            <color indexed="81"/>
            <rFont val="Tahoma"/>
            <family val="2"/>
          </rPr>
          <t xml:space="preserve">FALL PEIMS snapshot count of economically disadvantaged students
</t>
        </r>
      </text>
    </comment>
    <comment ref="E56" authorId="0" shapeId="0" xr:uid="{3FDF7757-CAB1-477C-B67F-BE82A0ABE70D}">
      <text>
        <r>
          <rPr>
            <sz val="9"/>
            <color indexed="81"/>
            <rFont val="Tahoma"/>
            <family val="2"/>
          </rPr>
          <t xml:space="preserve">FALL PEIMS snapshot count of economically disadvantaged students
</t>
        </r>
      </text>
    </comment>
    <comment ref="E57" authorId="0" shapeId="0" xr:uid="{B3033B94-3967-4550-AC64-776CEC0FD4E0}">
      <text>
        <r>
          <rPr>
            <sz val="9"/>
            <color indexed="81"/>
            <rFont val="Tahoma"/>
            <family val="2"/>
          </rPr>
          <t xml:space="preserve">FALL PEIMS snapshot count of economically disadvantaged students
</t>
        </r>
      </text>
    </comment>
    <comment ref="E58" authorId="0" shapeId="0" xr:uid="{830E88AC-81C2-49E7-9DFD-0DB72AF4F431}">
      <text>
        <r>
          <rPr>
            <sz val="9"/>
            <color indexed="81"/>
            <rFont val="Tahoma"/>
            <family val="2"/>
          </rPr>
          <t xml:space="preserve">FALL PEIMS snapshot count of economically disadvantaged students
</t>
        </r>
      </text>
    </comment>
  </commentList>
</comments>
</file>

<file path=xl/sharedStrings.xml><?xml version="1.0" encoding="utf-8"?>
<sst xmlns="http://schemas.openxmlformats.org/spreadsheetml/2006/main" count="7548" uniqueCount="1962">
  <si>
    <t>WESTLAKE ACADEMY CHARTER SCHOOL</t>
  </si>
  <si>
    <t>ORENDA CHARTER SCHOOL</t>
  </si>
  <si>
    <t>MEYERPARK ELEMENTARY</t>
  </si>
  <si>
    <t>TEXAS PREPARATORY SCHOOL</t>
  </si>
  <si>
    <t>EHRHART SCHOOL</t>
  </si>
  <si>
    <t>WACO CHARTER SCHOOL</t>
  </si>
  <si>
    <t>CROSSTIMBERS ACADEMY</t>
  </si>
  <si>
    <t>GEORGE I SANCHEZ CHARTER</t>
  </si>
  <si>
    <t>AMIGOS POR VIDA-FRIENDS FOR LIFE PUBLIC CHARTER SC</t>
  </si>
  <si>
    <t>HOUSTON HEIGHTS HIGH SCHOOL</t>
  </si>
  <si>
    <t>HOUSTON GATEWAY ACADEMY, INC.</t>
  </si>
  <si>
    <t>OTHER PROGRAMS</t>
  </si>
  <si>
    <t>CALVIN NELMS CHARTER SCHOOLS</t>
  </si>
  <si>
    <t>SOUTHWEST SCHOOL</t>
  </si>
  <si>
    <t>ACCELERATED INTERMEDIATE ACADEMY</t>
  </si>
  <si>
    <t>SCHOOL OF SCIENCE AND TECHNOLOGY</t>
  </si>
  <si>
    <t>HARMONY SCIENCE ACAD (SAN ANTONIO)</t>
  </si>
  <si>
    <t>PEGASUS SCHOOL OF LIBERAL ARTS AND SCIENCES</t>
  </si>
  <si>
    <t>LIFE SCHOOL</t>
  </si>
  <si>
    <t>NOVA ACADEMY (OAK CLIFF)</t>
  </si>
  <si>
    <t>ACADEMY OF DALLAS</t>
  </si>
  <si>
    <t>TRINITY BASIN PREPARATORY</t>
  </si>
  <si>
    <t>NOVA ACADEMY (SOUTHEAST)</t>
  </si>
  <si>
    <t>EVOLUTION ACADEMY</t>
  </si>
  <si>
    <t>ST ANTHONY SCHOOL</t>
  </si>
  <si>
    <t>EL PASO ACADEMY</t>
  </si>
  <si>
    <t>HARMONY SCIENCE ACAD (EL PASO)</t>
  </si>
  <si>
    <t>ODYSSEY ACADEMY, THE</t>
  </si>
  <si>
    <t>EAST TEXAS CHARTER SCHOOLS</t>
  </si>
  <si>
    <t>TWO DIMENSIONS PREPARATORY ACADEMY</t>
  </si>
  <si>
    <t>COMQUEST ACADEMY</t>
  </si>
  <si>
    <t>HARMONY SCIENCE ACADEMY</t>
  </si>
  <si>
    <t>BEATRICE MAYES INSTITUTE CHARTER SCHOOL</t>
  </si>
  <si>
    <t>DRAW ACADEMY</t>
  </si>
  <si>
    <t>KATHERINE ANNE PORTER SCHOOL</t>
  </si>
  <si>
    <t>RICHARD MILBURN ALTER HIGH SCHOOL (KILLEEN)</t>
  </si>
  <si>
    <t>POR VIDA ACADEMY</t>
  </si>
  <si>
    <t>BEXAR COUNTY ACADEMY</t>
  </si>
  <si>
    <t>SOUTHWEST PREPARATORY SCHOOL</t>
  </si>
  <si>
    <t>POSITIVE SOLUTIONS CHARTER SCHOOL</t>
  </si>
  <si>
    <t>BRAZOS SCHOOL FOR INQUIRY &amp; CREATIVITY</t>
  </si>
  <si>
    <t>TRINITY CHARTER SCHOOL</t>
  </si>
  <si>
    <t>UNIVERSAL ACADEMY</t>
  </si>
  <si>
    <t>JEAN MASSIEU ACADEMY</t>
  </si>
  <si>
    <t>A+ ACADEMY</t>
  </si>
  <si>
    <t>INSPIRED VISION ACADEMY</t>
  </si>
  <si>
    <t>GATEWAY CHARTER ACADEMY</t>
  </si>
  <si>
    <t>EDUCATION CENTER INTERNATIONAL ACADEMY</t>
  </si>
  <si>
    <t>GOLDEN RULE CHARTER SCHOOL</t>
  </si>
  <si>
    <t>WAXAHACHIE FAITH FAMILY ACADEMY</t>
  </si>
  <si>
    <t>SER-NINOS CHARTER SCHOOL</t>
  </si>
  <si>
    <t>ACADEMY OF ACCELERATED LEARNING, INC</t>
  </si>
  <si>
    <t>ALIEF MONTESSORI COMMUNITY SCHOOL</t>
  </si>
  <si>
    <t>PINEYWOODS COMMUNITY ACADEMY</t>
  </si>
  <si>
    <t>ST MARY'S ACADEMY CHARTER SCHOOL</t>
  </si>
  <si>
    <t>GEORGE GERVIN ACADEMY</t>
  </si>
  <si>
    <t>SCHOOL OF EXCELLENCE IN EDUCATION</t>
  </si>
  <si>
    <t>BROOKS ACADEMY OF SCIENCE AND ENGINEERING</t>
  </si>
  <si>
    <t>LA ACADEMIA DE ESTRELLAS</t>
  </si>
  <si>
    <t>HARMONY SCHOOL OF EXCELLENCE</t>
  </si>
  <si>
    <t>CDN</t>
  </si>
  <si>
    <t>LIGHTHOUSE CHARTER SCHOOL</t>
  </si>
  <si>
    <t>EAST FORT WORTH MONTESSORI ACADEMY</t>
  </si>
  <si>
    <t>LA FE PREPARATORY SCHOOL</t>
  </si>
  <si>
    <t>AMBASSADORS PREPARATORY ACADEMY</t>
  </si>
  <si>
    <t>YES</t>
  </si>
  <si>
    <t>NO</t>
  </si>
  <si>
    <t>AUSTIN DISCOVERY SCHOOL</t>
  </si>
  <si>
    <t>CORPUS CHRISTI MONTESSORI SCHOOL</t>
  </si>
  <si>
    <t>Regular Program ADA</t>
  </si>
  <si>
    <t>TEXAS SERENITY ACADEMY</t>
  </si>
  <si>
    <t>PANOLA CHARTER SCHOOL</t>
  </si>
  <si>
    <t>BIG SPRINGS CHARTER SCHOOL</t>
  </si>
  <si>
    <t>CUMBERLAND ACADEMY</t>
  </si>
  <si>
    <t>BRAZOS RIVER CHARTER SCHOOL</t>
  </si>
  <si>
    <t>TREETOPS SCHOOL INTERNATIONAL</t>
  </si>
  <si>
    <t>ARLINGTON CLASSICS ACADEMY</t>
  </si>
  <si>
    <t>FORT WORTH ACADEMY OF FINE ARTS</t>
  </si>
  <si>
    <t>NYOS CHARTER SCHOOL</t>
  </si>
  <si>
    <t>TEXAS EMPOWERMENT ACADEMY</t>
  </si>
  <si>
    <t>CEDARS INTERNATIONAL ACADEMY</t>
  </si>
  <si>
    <t>RANCH ACADEMY</t>
  </si>
  <si>
    <t>RAVEN SCHOOL</t>
  </si>
  <si>
    <t>WINFREE ACADEMY CHARTER SCHOOLS</t>
  </si>
  <si>
    <t>BURNHAM WOOD CHARTER SCHOOL DISTRICT</t>
  </si>
  <si>
    <t>UNIVERSITY OF TEXAS UNIVERSITY CHARTER SCHOOL</t>
  </si>
  <si>
    <t>HARMONY SCIENCE ACADEMY (AUSTIN)</t>
  </si>
  <si>
    <t>UNIVERSITY OF TEXAS ELEMENTARY CHARTER SCHOOL</t>
  </si>
  <si>
    <t>VANGUARD ACADEMY</t>
  </si>
  <si>
    <t>RISE ACADEMY</t>
  </si>
  <si>
    <t>MIDLAND ACADEMY CHARTER SCHOOL</t>
  </si>
  <si>
    <t>ARISTOI CLASSICAL ACADEMY</t>
  </si>
  <si>
    <t>CHAPARRAL STAR ACADEMY</t>
  </si>
  <si>
    <t>DR M L GARZA-GONZALEZ CHARTER SCHOOL</t>
  </si>
  <si>
    <t>HENRY FORD ACADEMY ALAMEDA SCHOOL FOR ART + DESIGN</t>
  </si>
  <si>
    <t>IDEA PUBLIC SCHOOLS</t>
  </si>
  <si>
    <t>MERIDIAN WORLD SCHOOL LLC</t>
  </si>
  <si>
    <t>PREMIER HIGH SCHOOLS</t>
  </si>
  <si>
    <t>PROMISE COMMUNITY SCHOOL</t>
  </si>
  <si>
    <t>SEASHORE CHARTER SCHOOLS</t>
  </si>
  <si>
    <t>TEXAS LEADERSHIP</t>
  </si>
  <si>
    <t>YES PREP PUBLIC SCHOOLS INC</t>
  </si>
  <si>
    <t>September</t>
  </si>
  <si>
    <t>October</t>
  </si>
  <si>
    <t>November</t>
  </si>
  <si>
    <t>December</t>
  </si>
  <si>
    <t>January</t>
  </si>
  <si>
    <t>February</t>
  </si>
  <si>
    <t>March</t>
  </si>
  <si>
    <t>April</t>
  </si>
  <si>
    <t>May</t>
  </si>
  <si>
    <t>June</t>
  </si>
  <si>
    <t>July</t>
  </si>
  <si>
    <t>August</t>
  </si>
  <si>
    <t>UME PREPARATORY ACADEMY</t>
  </si>
  <si>
    <t>LEGACY PREPARATORY</t>
  </si>
  <si>
    <t>EXCELLENCE IN LEADERSHIP ACADEMY</t>
  </si>
  <si>
    <t>UT TYLER INNOVATION ACADEMY</t>
  </si>
  <si>
    <t>AUSTIN ACHIEVE PUBLIC SCHOOLS</t>
  </si>
  <si>
    <t>SOF_RUN_ID</t>
  </si>
  <si>
    <t>DISTRICT_ID</t>
  </si>
  <si>
    <t>SCHOOLYEAR</t>
  </si>
  <si>
    <t>ABA</t>
  </si>
  <si>
    <t>ACTIVE_MILITARY_ADA</t>
  </si>
  <si>
    <t>ADA_ADJ_TOT_REFINED</t>
  </si>
  <si>
    <t>ADA_REG_PGM</t>
  </si>
  <si>
    <t>ADA_REG_PGM_ACTUAL</t>
  </si>
  <si>
    <t>ADA_TOT_REFINED</t>
  </si>
  <si>
    <t>ADDL_AID_FED_IMPACT</t>
  </si>
  <si>
    <t>ADJ_ALLOT</t>
  </si>
  <si>
    <t>APPLY_ASATR_TO_COO_FLAG</t>
  </si>
  <si>
    <t>ASATR_ADDL_AID</t>
  </si>
  <si>
    <t>ASATR_REDUC_EXCESS</t>
  </si>
  <si>
    <t>ASF_ADA</t>
  </si>
  <si>
    <t>ASF_ADJ_TO_DATE_AMT</t>
  </si>
  <si>
    <t>ASF_ALLOT</t>
  </si>
  <si>
    <t>ASF_RATE</t>
  </si>
  <si>
    <t>ASF_SFSF</t>
  </si>
  <si>
    <t>ASF_YTD_PAYMENTS</t>
  </si>
  <si>
    <t>BIL_ADA</t>
  </si>
  <si>
    <t>BIL_ALLOT</t>
  </si>
  <si>
    <t>BIL_BLOCK_GRANT</t>
  </si>
  <si>
    <t>BIL_SETASIDE_P2</t>
  </si>
  <si>
    <t>BUDGET_BALANCED_AMT</t>
  </si>
  <si>
    <t>CEI</t>
  </si>
  <si>
    <t>CEI_ADJ</t>
  </si>
  <si>
    <t>CH313_TAX_CREDIT</t>
  </si>
  <si>
    <t>CH41_FLAG</t>
  </si>
  <si>
    <t>CH41_PARTNER_GAIN</t>
  </si>
  <si>
    <t>CODT215</t>
  </si>
  <si>
    <t>CODT231</t>
  </si>
  <si>
    <t>CPTD_PROPERTY_VALUE</t>
  </si>
  <si>
    <t>CREDRECAP</t>
  </si>
  <si>
    <t>DISTRICT_BA</t>
  </si>
  <si>
    <t>DISTRICT_FSP_TYPE</t>
  </si>
  <si>
    <t>DISTRICT_NAME</t>
  </si>
  <si>
    <t>DRATE3</t>
  </si>
  <si>
    <t>EARLY_GRAD_ALLOT</t>
  </si>
  <si>
    <t>EDA_ELIG_DEBT_SVC_AMT</t>
  </si>
  <si>
    <t>EDA_LOCAL_SHARE</t>
  </si>
  <si>
    <t>EDA_STATE_SHARE</t>
  </si>
  <si>
    <t>FINCOST</t>
  </si>
  <si>
    <t>FINL3</t>
  </si>
  <si>
    <t>FLAG_300SQMI</t>
  </si>
  <si>
    <t>FLAG_30MI</t>
  </si>
  <si>
    <t>FSF_ADJ_TO_DATE_AMT</t>
  </si>
  <si>
    <t>FSF_ALLOT_ADJ</t>
  </si>
  <si>
    <t>FSF_ALLOT_TOT</t>
  </si>
  <si>
    <t>FSF_YTD_PAYMENTS</t>
  </si>
  <si>
    <t>FSP_TOT_RECEIPTS</t>
  </si>
  <si>
    <t>FT_STAFF_CNT</t>
  </si>
  <si>
    <t>GT_ALLOT</t>
  </si>
  <si>
    <t>GT_BLOCK_GRANT</t>
  </si>
  <si>
    <t>GT_ENROLL</t>
  </si>
  <si>
    <t>GT_SETASIDE_P2</t>
  </si>
  <si>
    <t>GYA_COST</t>
  </si>
  <si>
    <t>HHB1</t>
  </si>
  <si>
    <t>HIGH_SCHOOL_ADA</t>
  </si>
  <si>
    <t>HIGH_SCHOOL_ALLOT</t>
  </si>
  <si>
    <t>HIGHEST_GRADE</t>
  </si>
  <si>
    <t>IFA_BOND_LEASE_STATE</t>
  </si>
  <si>
    <t>IFA_BOND_LOCAL</t>
  </si>
  <si>
    <t>IFA_BOND_STATE</t>
  </si>
  <si>
    <t>IFA_BOND_STATE_LOCAL</t>
  </si>
  <si>
    <t>IFA_LEASE_PURCH_LOCAL</t>
  </si>
  <si>
    <t>IFA_LEASE_PURCH_STATE</t>
  </si>
  <si>
    <t>MDA</t>
  </si>
  <si>
    <t>MIDFLAG</t>
  </si>
  <si>
    <t>MIGRANT_DIST_FLAG</t>
  </si>
  <si>
    <t>MO_COLL_LV1</t>
  </si>
  <si>
    <t>MO_COLL_LV2</t>
  </si>
  <si>
    <t>MO_COLL_LV3</t>
  </si>
  <si>
    <t>MO_COLL_RATE_AVG</t>
  </si>
  <si>
    <t>MO_RATE_COMPR</t>
  </si>
  <si>
    <t>MO_RATE_LV2</t>
  </si>
  <si>
    <t>MULT</t>
  </si>
  <si>
    <t>NIFA_ADA</t>
  </si>
  <si>
    <t>NIFA_ALLOT</t>
  </si>
  <si>
    <t>OEYP_ALLOCATION</t>
  </si>
  <si>
    <t>OP3_RECAP_AMT_LV1</t>
  </si>
  <si>
    <t>OP3_RECAP_AMT_LV3</t>
  </si>
  <si>
    <t>OP4_RECAP_AMT_LV1</t>
  </si>
  <si>
    <t>OTHER_ADJUSTMENT</t>
  </si>
  <si>
    <t>OTHER_PROGRAMS_AMOUNT</t>
  </si>
  <si>
    <t>PAY_ADA</t>
  </si>
  <si>
    <t>PAYMENT_CLASS_CD</t>
  </si>
  <si>
    <t>PEG_ADA</t>
  </si>
  <si>
    <t>PEG_ALLOT</t>
  </si>
  <si>
    <t>PFTAX</t>
  </si>
  <si>
    <t>PRE_K_K_GRANT</t>
  </si>
  <si>
    <t>PROCESSING_FLAG</t>
  </si>
  <si>
    <t>PRS_FTE</t>
  </si>
  <si>
    <t>PT_STAFF_CNT</t>
  </si>
  <si>
    <t>PY1_ADA_TOT_REFINED</t>
  </si>
  <si>
    <t>PY1_DPV_LOCAL</t>
  </si>
  <si>
    <t>PY1_IS_COLL</t>
  </si>
  <si>
    <t>PY1_MO_COLL_LOCAL</t>
  </si>
  <si>
    <t>PY1_MO_RATE_ADOPT</t>
  </si>
  <si>
    <t>PY1_TAX_LEVY_TOT</t>
  </si>
  <si>
    <t>PY1_TAX_TIF_PAYMENT</t>
  </si>
  <si>
    <t>PY2_DPV_ADJ_15K</t>
  </si>
  <si>
    <t>RECAPTURE</t>
  </si>
  <si>
    <t>REG_PGM_ADJ_FACTOR</t>
  </si>
  <si>
    <t>REG_PGM_ALLOT</t>
  </si>
  <si>
    <t>RIDER71_AMT</t>
  </si>
  <si>
    <t>SALARY_ALLOT_CNT</t>
  </si>
  <si>
    <t>SCE_ALLOT</t>
  </si>
  <si>
    <t>SCE_BLOCK_GRANT</t>
  </si>
  <si>
    <t>SCE_ENROLL</t>
  </si>
  <si>
    <t>SCE_MILITARY_ALLOT</t>
  </si>
  <si>
    <t>SCE_PRS_ALLOT</t>
  </si>
  <si>
    <t>SCE_SETASIDE_P2</t>
  </si>
  <si>
    <t>SDA</t>
  </si>
  <si>
    <t>SEC_30_83_TOT_ALLOT</t>
  </si>
  <si>
    <t>SPECED_BLOCK_GRANT</t>
  </si>
  <si>
    <t>SPECED_ECI_SETASIDE_P2</t>
  </si>
  <si>
    <t>SPECED_EYS_ALLOT</t>
  </si>
  <si>
    <t>SPECED_EYS_HOMEBOUND_FTE</t>
  </si>
  <si>
    <t>SPECED_EYS_HOSPITAL_FTE</t>
  </si>
  <si>
    <t>SPECED_EYS_OFF_CAMP_FTE</t>
  </si>
  <si>
    <t>SPECED_EYS_RES_CT_FTE</t>
  </si>
  <si>
    <t>SPECED_EYS_RESOURCE_FTE</t>
  </si>
  <si>
    <t>SPECED_EYS_SELF_CONT_SV_FTE</t>
  </si>
  <si>
    <t>SPECED_EYS_SELF_CONTAIN_FTE</t>
  </si>
  <si>
    <t>SPECED_EYS_SPEECH_FTE</t>
  </si>
  <si>
    <t>SPECED_EYS_ST_SCHOOL_FTE</t>
  </si>
  <si>
    <t>SPECED_EYS_VAC_FTE</t>
  </si>
  <si>
    <t>SPECED_EYS_WEIGHTED_FTE</t>
  </si>
  <si>
    <t>SPECED_HOMEBOUND_FTE</t>
  </si>
  <si>
    <t>SPECED_HOSPITAL_FTE</t>
  </si>
  <si>
    <t>SPECED_MAINSTREAM_ADA</t>
  </si>
  <si>
    <t>SPECED_MAINSTREAM_ALLOT</t>
  </si>
  <si>
    <t>SPECED_NONPUB_ALLOT</t>
  </si>
  <si>
    <t>SPECED_NONPUB_FTE</t>
  </si>
  <si>
    <t>SPECED_OFF_CAMP_FTE</t>
  </si>
  <si>
    <t>SPECED_REG_ALLOT</t>
  </si>
  <si>
    <t>SPECED_RES_CT_ALLOT</t>
  </si>
  <si>
    <t>SPECED_RES_CT_FTE</t>
  </si>
  <si>
    <t>SPECED_RESOURCE_FTE</t>
  </si>
  <si>
    <t>SPECED_SELF_CONT_SV_FTE</t>
  </si>
  <si>
    <t>SPECED_SELF_CONTAIN_FTE</t>
  </si>
  <si>
    <t>SPECED_SPEECH_FTE</t>
  </si>
  <si>
    <t>SPECED_ST_SCHOOL_ALLOT</t>
  </si>
  <si>
    <t>SPECED_ST_SCHOOL_FTE</t>
  </si>
  <si>
    <t>SPECED_SUM_TOT_FTE</t>
  </si>
  <si>
    <t>SPECED_VAC_FTE</t>
  </si>
  <si>
    <t>SPECED_WEIGHTED_TOT_FTE</t>
  </si>
  <si>
    <t>STAFF_ALLOT</t>
  </si>
  <si>
    <t>SUPER_ASF</t>
  </si>
  <si>
    <t>SUPP_TIF_PAYMENT</t>
  </si>
  <si>
    <t>TECH_ADJ_ALLOT</t>
  </si>
  <si>
    <t>TECH_ALLOT</t>
  </si>
  <si>
    <t>TECH_SETASIDE_P2</t>
  </si>
  <si>
    <t>TIER_I_ALLOT_P2</t>
  </si>
  <si>
    <t>TIER_I_LOCAL_SHARE</t>
  </si>
  <si>
    <t>TIER_I_TOT_COST_P2</t>
  </si>
  <si>
    <t>TIER_II_ABA_ADJ</t>
  </si>
  <si>
    <t>TIER_II_AID_LV1</t>
  </si>
  <si>
    <t>TIER_II_AID_LV2</t>
  </si>
  <si>
    <t>TIER_II_AID_LV3</t>
  </si>
  <si>
    <t>TIER_II_DTR_LV2</t>
  </si>
  <si>
    <t>TIER_II_DTR_LV3</t>
  </si>
  <si>
    <t>TIER_II_LOCAL_REV_LV2</t>
  </si>
  <si>
    <t>TIER_II_LOCAL_REV_LV3</t>
  </si>
  <si>
    <t>TIER_II_WADA</t>
  </si>
  <si>
    <t>TOT_STATE_AID</t>
  </si>
  <si>
    <t>TOT_TAX_COLLECTION</t>
  </si>
  <si>
    <t>TRANS_PRIVATE_ALLOT</t>
  </si>
  <si>
    <t>TRANS_REG_ALLOT</t>
  </si>
  <si>
    <t>TRANS_SPECED_ALLOT</t>
  </si>
  <si>
    <t>TRANS_TOT_ALLOT</t>
  </si>
  <si>
    <t>TRANS_TOT_REGULAR_ALLOT</t>
  </si>
  <si>
    <t>TRANS_VOCED_ALLOT</t>
  </si>
  <si>
    <t>TRS_CVR_MBR_AMT</t>
  </si>
  <si>
    <t>TSBVI_ADA</t>
  </si>
  <si>
    <t>TSBVI_FOUNDATION_AMT</t>
  </si>
  <si>
    <t>TSD_ADA</t>
  </si>
  <si>
    <t>TSD_FOUNDATION_AMT</t>
  </si>
  <si>
    <t>TUITION_PAID</t>
  </si>
  <si>
    <t>VOCED_ADV_ALLOT</t>
  </si>
  <si>
    <t>VOCED_ADV_FTE</t>
  </si>
  <si>
    <t>VOCED_ALLOT</t>
  </si>
  <si>
    <t>VOCED_BLOCK_GRANT</t>
  </si>
  <si>
    <t>VOCED_FTE</t>
  </si>
  <si>
    <t>VOCED_SETASIDE_P2</t>
  </si>
  <si>
    <t>VSN_ADA</t>
  </si>
  <si>
    <t>VSN_ENROLL</t>
  </si>
  <si>
    <t>WADA_REDUCTION</t>
  </si>
  <si>
    <t>WINDHAM_APPROP</t>
  </si>
  <si>
    <t>Y05_MO_RATE_ADOPT</t>
  </si>
  <si>
    <t>Y10_HB1_REV_PER_WADA</t>
  </si>
  <si>
    <t>Y09_EDSAL_ALLOT</t>
  </si>
  <si>
    <t>Y10_NIFA_ALLOT</t>
  </si>
  <si>
    <t>Y10_TRANS_ALLOT</t>
  </si>
  <si>
    <t>N</t>
  </si>
  <si>
    <t>PRIORITY CHARTER SCHOOLS</t>
  </si>
  <si>
    <t>SCHOOL OF SCIENCE AND TECHNOLOGY DISCOVERY</t>
  </si>
  <si>
    <t>BASIS TEXAS</t>
  </si>
  <si>
    <t>GREAT HEARTS TEXAS</t>
  </si>
  <si>
    <t>ELEANOR KOLITZ HEBREW LANGUAGE ACADEMY</t>
  </si>
  <si>
    <t>ARROW ACADEMY</t>
  </si>
  <si>
    <t>IMAGINE INTERNATIONAL ACADEMY OF NORTH TEXAS</t>
  </si>
  <si>
    <t>TEXANS CAN ACADEMIES</t>
  </si>
  <si>
    <t>LUMIN EDUCATION</t>
  </si>
  <si>
    <t>ADVANTAGE ACADEMY</t>
  </si>
  <si>
    <t>NOVA ACADEMY</t>
  </si>
  <si>
    <t>ACADEMY FOR ACADEMIC EXCELLENCE</t>
  </si>
  <si>
    <t>EVOLUTION ACADEMY CHARTER SCHOOL</t>
  </si>
  <si>
    <t>RICHLAND COLLEGIATE HIGH SCHOOL</t>
  </si>
  <si>
    <t>CITYSCAPE SCHOOLS</t>
  </si>
  <si>
    <t>MANARA ACADEMY</t>
  </si>
  <si>
    <t>VILLAGE TECH SCHOOLS</t>
  </si>
  <si>
    <t>INTERNATIONAL LEADERSHIP OF TEXAS (ILT)</t>
  </si>
  <si>
    <t>NORTH TEXAS COLLEGIATE ACADEMY</t>
  </si>
  <si>
    <t>LEADERSHIP PREP SCHOOL</t>
  </si>
  <si>
    <t>COMPASS ACADEMY CHARTER SCHOOL</t>
  </si>
  <si>
    <t>UTPB STEM ACADEMY</t>
  </si>
  <si>
    <t>PASO DEL NORTE ACADEMY CHARTER DISTRICT</t>
  </si>
  <si>
    <t>VISTA DEL FUTURO CHARTER SCHOOL</t>
  </si>
  <si>
    <t>EL PASO LEADERSHIP ACADEMY</t>
  </si>
  <si>
    <t>ERATH EXCELS ACADEMY INC</t>
  </si>
  <si>
    <t>ODYSSEY ACADEMY INC</t>
  </si>
  <si>
    <t>ACADEMY OF ACCELERATED LEARNING INC</t>
  </si>
  <si>
    <t>EXCEL ACADEMY</t>
  </si>
  <si>
    <t>THE VARNETT PUBLIC SCHOOL</t>
  </si>
  <si>
    <t>AMIGOS POR VIDA-FRIENDS FOR LIFE PUB CHTR SCH</t>
  </si>
  <si>
    <t>HOUSTON GATEWAY ACADEMY INC</t>
  </si>
  <si>
    <t>STEP CHARTER SCHOOL</t>
  </si>
  <si>
    <t>THE RHODES SCHOOL</t>
  </si>
  <si>
    <t>HARMONY SCHOOL OF SCIENCE - HOUSTON</t>
  </si>
  <si>
    <t>THE LAWSON ACADEMY</t>
  </si>
  <si>
    <t>THE PRO-VISION ACADEMY</t>
  </si>
  <si>
    <t>HORIZON MONTESSORI PUBLIC SCHOOLS</t>
  </si>
  <si>
    <t>MIDVALLEY ACADEMY CHARTER DISTRICT</t>
  </si>
  <si>
    <t>TEKOA ACADEMY OF ACCELERATED STUDIES STEM SCHOOL</t>
  </si>
  <si>
    <t>BOB HOPE SCHOOL</t>
  </si>
  <si>
    <t>SOUTH PLAINS ACADEMY CHARTER DISTRICT</t>
  </si>
  <si>
    <t>RAPOPORT ACADEMY PUBLIC SCHOOL</t>
  </si>
  <si>
    <t>HARMONY SCIENCE ACAD (WACO)</t>
  </si>
  <si>
    <t>STEPHEN F AUSTIN STATE UNIVERSITY CHARTER SCHOOL</t>
  </si>
  <si>
    <t>TEXAS SCHOOL OF THE ARTS</t>
  </si>
  <si>
    <t>CHAPEL HILL ACADEMY</t>
  </si>
  <si>
    <t>NEWMAN INTERNATIONAL ACADEMY OF ARLINGTON</t>
  </si>
  <si>
    <t>TEXAS COLLEGE PREPARATORY ACADEMIES</t>
  </si>
  <si>
    <t>WAYSIDE SCHOOLS</t>
  </si>
  <si>
    <t>MONTESSORI FOR ALL</t>
  </si>
  <si>
    <t>THE EXCEL CENTER (FOR ADULTS)</t>
  </si>
  <si>
    <t>GATEWAY ACADEMY CHARTER DISTRICT</t>
  </si>
  <si>
    <t>BETA ACADEMY</t>
  </si>
  <si>
    <t>KI CHARTER ACADEMY</t>
  </si>
  <si>
    <t>HIGH POINT ACADEMY</t>
  </si>
  <si>
    <t>DR. M.L. GARZA-GONZALEZ CHARTER SCHOOL</t>
  </si>
  <si>
    <t>HARMONY SCIENCE ACAD (HOUSTON)</t>
  </si>
  <si>
    <t>HARMONY SCIENCE ACAD (AUSTIN)</t>
  </si>
  <si>
    <t>KIPP AUSTIN PUBLIC SCHOOLS</t>
  </si>
  <si>
    <t>MERIDIAN WORLD SCHOOL</t>
  </si>
  <si>
    <t>RHODES SCHOOL, THE</t>
  </si>
  <si>
    <t>ST MARYS ACADEMY CHARTER SCHOOL</t>
  </si>
  <si>
    <t>TEKOA ACADEMY OF ACCELERATED STUDIES S.T.E.M. SCH.</t>
  </si>
  <si>
    <t>VARNETT PUBLIC SCHOOL, THE</t>
  </si>
  <si>
    <t>YES PREP PUBLIC SCHOOLS, INC.</t>
  </si>
  <si>
    <t>UPLIFT EDUCATION</t>
  </si>
  <si>
    <t>A+ UNLIMITED POTENTIAL</t>
  </si>
  <si>
    <t>PIONEER TECHNOLOGY &amp; ARTS ACADEMY</t>
  </si>
  <si>
    <t>TRIVIUM ACADEMY</t>
  </si>
  <si>
    <t>SAM HOUSTON STATE UNIVERSITY CHARTER SCHOOL</t>
  </si>
  <si>
    <t>HERITAGE ACADEMY</t>
  </si>
  <si>
    <t>Attendance Data</t>
  </si>
  <si>
    <t>Days in Membership</t>
  </si>
  <si>
    <t>Total Days Absent</t>
  </si>
  <si>
    <t>Total Days Present</t>
  </si>
  <si>
    <t>Total Ineligible Days</t>
  </si>
  <si>
    <t>Total Eligible Days</t>
  </si>
  <si>
    <t>Total Refined ADA</t>
  </si>
  <si>
    <t>Special Ed. Mainstream Eligible Days (Code 40)</t>
  </si>
  <si>
    <t>Special Ed. Mainstream Refined ADA</t>
  </si>
  <si>
    <t>Pregnancy Related Services (PRS) Eligible Days</t>
  </si>
  <si>
    <t>Pregnancy Related Services FTE</t>
  </si>
  <si>
    <t>Total CATE FTE</t>
  </si>
  <si>
    <t>Special Education Data</t>
  </si>
  <si>
    <t>00 Speech Therapy FTE</t>
  </si>
  <si>
    <t>01 Homebound FTE</t>
  </si>
  <si>
    <t>02 Hospital FTE</t>
  </si>
  <si>
    <t>08 Vocational Class FTE</t>
  </si>
  <si>
    <t>30 State School FTE</t>
  </si>
  <si>
    <t>41-42 Resource Room FTE</t>
  </si>
  <si>
    <t>43-44 Mild/Mod/Severe FTE</t>
  </si>
  <si>
    <t>45 Full Time Early Childhood FTE</t>
  </si>
  <si>
    <t>81-89 Residential Care &amp; Treatment FTE</t>
  </si>
  <si>
    <t>91-98 Off Home Campus FTE</t>
  </si>
  <si>
    <t>Total Special Education FTE</t>
  </si>
  <si>
    <t>Attendance Percentage</t>
  </si>
  <si>
    <t>A. W. BROWN LEADERSHIP ACADEMY</t>
  </si>
  <si>
    <t>COMPASS ROSE ACADEMY</t>
  </si>
  <si>
    <t>GOODWATER MONTESSORI SCHOOL</t>
  </si>
  <si>
    <t>SOUTHWEST SCHOOLS</t>
  </si>
  <si>
    <t>TIER II</t>
  </si>
  <si>
    <t>CALC_FORM_CD</t>
  </si>
  <si>
    <t>NET_MO_LOCAL_REV</t>
  </si>
  <si>
    <t>FSF_ALLOT_BEFORE_42_2518</t>
  </si>
  <si>
    <t>NET_MO_REV_TOT</t>
  </si>
  <si>
    <t>PY2_DPV_ADJ</t>
  </si>
  <si>
    <t>PY1_MO_COLL_FRZ</t>
  </si>
  <si>
    <t>PY1_MO_COLL_TOT</t>
  </si>
  <si>
    <t>JUBILEE ACADEMIES</t>
  </si>
  <si>
    <t>A W BROWN LEADERSHIP ACADEMY</t>
  </si>
  <si>
    <t>DPV_ADJ_DECLINE</t>
  </si>
  <si>
    <t>STATE_AID_INCR_DECLINE</t>
  </si>
  <si>
    <t>RECAP_DECR_DECLINE</t>
  </si>
  <si>
    <t>DPV_DECLINE_AMT</t>
  </si>
  <si>
    <t>DPV_DECLINE_AMT_ADJ</t>
  </si>
  <si>
    <t>DPV_DECLINE_PCT_5K</t>
  </si>
  <si>
    <t>DPV_DECLINE_PCT_15K</t>
  </si>
  <si>
    <t>STATE_CHART_FACIL_UNADJ</t>
  </si>
  <si>
    <t>AVG_IS_RATE_CHART_CAP</t>
  </si>
  <si>
    <t>FACIL_ALLOT_CHART</t>
  </si>
  <si>
    <t>BRIDGEWAY PREPARATORY ACADEMY</t>
  </si>
  <si>
    <t>ETOILE ACADEMY CHARTER SCHOOL</t>
  </si>
  <si>
    <t>INSPIRE ACADEMIES</t>
  </si>
  <si>
    <t>LEGACY SCHOOL OF SPORT SCIENCES</t>
  </si>
  <si>
    <t>LONE STAR LANGUAGE ACADEMY</t>
  </si>
  <si>
    <t>MEADOWLAND CHARTER DISTRICT</t>
  </si>
  <si>
    <t>NEW FRONTIERS PUBLIC SCHOOLS, INC.</t>
  </si>
  <si>
    <t>PROMESA PUBLIC SCHOOLS</t>
  </si>
  <si>
    <t>RAUL YZAGUIRRE SCHOOLS FOR SUCCESS</t>
  </si>
  <si>
    <t>VALOR PUBLIC SCHOOLS</t>
  </si>
  <si>
    <t>YELLOWSTONE COLLEGE PREPARATORY</t>
  </si>
  <si>
    <t>REGULAR PROGRAM ADA</t>
  </si>
  <si>
    <t>TIER I ALLOTMENTS</t>
  </si>
  <si>
    <t>ASF</t>
  </si>
  <si>
    <t>FSF</t>
  </si>
  <si>
    <t>SPECIAL EDUCATION FTEs</t>
  </si>
  <si>
    <t>EXTENDED YEAR SERVICES (EYS) SPECIAL EDUCATION FTEs</t>
  </si>
  <si>
    <t>NEW FRONTIERS PUBLIC SCHOOLS INC</t>
  </si>
  <si>
    <t>BROOKS ACADEMIES OF TEXAS</t>
  </si>
  <si>
    <t>PROMESA ACADEMY CHARTER SCHOOL</t>
  </si>
  <si>
    <t>NOVA ACADEMY SOUTHEAST</t>
  </si>
  <si>
    <t>INTERNATIONAL LEADERSHIP OF TEXAS (ILTEXAS)</t>
  </si>
  <si>
    <t>BLOOM ACADEMY CHARTER SCHOOL</t>
  </si>
  <si>
    <t>REVE PREPARATORY CHARTER SCHOOL</t>
  </si>
  <si>
    <t>TRIUMPH PUBLIC HIGH SCHOOLS-RIO GRANDE VALLEY</t>
  </si>
  <si>
    <t>LAKE GRANBURY ACADEMY CHARTER SCHOOL</t>
  </si>
  <si>
    <t>UT TYLER UNIVERSITY ACADEMY</t>
  </si>
  <si>
    <t>KIPP TEXAS PUBLIC SCHOOLS</t>
  </si>
  <si>
    <t>TRIUMPH PUBLIC HIGH SCHOOLS-LAREDO</t>
  </si>
  <si>
    <t>TRIUMPH PUBLIC HIGH SCHOOLS-EL PASO</t>
  </si>
  <si>
    <t>TRIUMPH PUBLIC HIGH SCHOOLS-LUBBOCK</t>
  </si>
  <si>
    <t>TIER TWO</t>
  </si>
  <si>
    <t>TIER ONE SUBCHAPTER B AND C ALLOTMENTS:</t>
  </si>
  <si>
    <t>TIER ONE SUBCHAPTER D ALLOTMENTS:</t>
  </si>
  <si>
    <t>WEIGHTED SCE COUNT</t>
  </si>
  <si>
    <t>Charter Schools Facilities Funding (12.106(d))</t>
  </si>
  <si>
    <t>Transportation Allotment</t>
  </si>
  <si>
    <t>Regular Program Allotment</t>
  </si>
  <si>
    <t xml:space="preserve">Special Education Adjusted Allotment </t>
  </si>
  <si>
    <t xml:space="preserve">Compensatory Education Allotment </t>
  </si>
  <si>
    <t>Bilingual Education Allotment</t>
  </si>
  <si>
    <t>Tier II Level 1</t>
  </si>
  <si>
    <t>Tier II Level 2</t>
  </si>
  <si>
    <t xml:space="preserve">Career and Technology Allotment </t>
  </si>
  <si>
    <t xml:space="preserve">High School Allotment </t>
  </si>
  <si>
    <t xml:space="preserve">Charter Schools Facilities Funding </t>
  </si>
  <si>
    <t>School Safety Allotment</t>
  </si>
  <si>
    <t>New Instructional Facility Allotment</t>
  </si>
  <si>
    <t>Bloom Academy Charter School</t>
  </si>
  <si>
    <t xml:space="preserve">Rêve Preparatory Charter School </t>
  </si>
  <si>
    <t>SB1882_TOT_AID</t>
  </si>
  <si>
    <t>SMALL_MID_ALLOT</t>
  </si>
  <si>
    <t>DYSLEXIA_ALLOT</t>
  </si>
  <si>
    <t>EARLY_ED_ALLOT</t>
  </si>
  <si>
    <t>FAST_GROWTH_ALLOT</t>
  </si>
  <si>
    <t>SAFETY_ALLOT</t>
  </si>
  <si>
    <t>COLLEGE_PREP_REIMB</t>
  </si>
  <si>
    <t>CERT_EXAM_REIMB</t>
  </si>
  <si>
    <t>CCMR_OUTCOMES_ALLOT</t>
  </si>
  <si>
    <t>TCHR_INCENTIVE_ALLOT</t>
  </si>
  <si>
    <t>MENTOR_ALLOT</t>
  </si>
  <si>
    <t>DROPOUT_ALLOT</t>
  </si>
  <si>
    <t>TIER_I_MO_TAX_RATE</t>
  </si>
  <si>
    <t>MAX_COMPR_RATE</t>
  </si>
  <si>
    <t>TIER_I_STATE_SHARE</t>
  </si>
  <si>
    <t>TIER_II_ENT_LV3</t>
  </si>
  <si>
    <t>FORM_TRANS_GRANT</t>
  </si>
  <si>
    <t>EWTG</t>
  </si>
  <si>
    <t>INTEREST_REFUNDS_48271</t>
  </si>
  <si>
    <t>TIER_1_STU_CNT</t>
  </si>
  <si>
    <t>TIER_2_STU_CNT</t>
  </si>
  <si>
    <t>TIER_3_STU_CNT</t>
  </si>
  <si>
    <t>TIER_4_STU_CNT</t>
  </si>
  <si>
    <t>TIER_5_STU_CNT</t>
  </si>
  <si>
    <t>TOT_TIER_STU_CNT</t>
  </si>
  <si>
    <t>SCE_RES_FAC_NON_ENROLL</t>
  </si>
  <si>
    <t>BIL_LEP_DUAL_ADA</t>
  </si>
  <si>
    <t>BIL_NONLEP_DUAL_ADA</t>
  </si>
  <si>
    <t>DYSLEXIA_ENROLL</t>
  </si>
  <si>
    <t>EARLY_ED_ADA</t>
  </si>
  <si>
    <t>DROPOUT_ADA</t>
  </si>
  <si>
    <t>BIL_TOT_ADA</t>
  </si>
  <si>
    <t>RES_FAC_ADA</t>
  </si>
  <si>
    <t>CCMR_ECODIS_ENROLL</t>
  </si>
  <si>
    <t>CCMR_NONECODIS_ENROLL</t>
  </si>
  <si>
    <t>CCMR_SPED_ENROLL</t>
  </si>
  <si>
    <t>CCMR_OUTCOMES_ENROLL</t>
  </si>
  <si>
    <t>DROPOUT_RES_ADA</t>
  </si>
  <si>
    <t>BILINGUAL_ADA</t>
  </si>
  <si>
    <t>BILINGUAL_ALLOT</t>
  </si>
  <si>
    <t>RES_FAC_ALLOT</t>
  </si>
  <si>
    <t>CCMR_ECODIS_ALLOT</t>
  </si>
  <si>
    <t>CCMR_NONECODIS_ALLOT</t>
  </si>
  <si>
    <t>CCMR_SPED_ALLOT</t>
  </si>
  <si>
    <t>SM_MID_SPED</t>
  </si>
  <si>
    <t>BIL_LEP_DUAL_ALLOT</t>
  </si>
  <si>
    <t>BIL_NONLEP_DUAL_ALLOT</t>
  </si>
  <si>
    <t>DROPOUT_RES_ALLOT</t>
  </si>
  <si>
    <t>SCE_RES_FAC_NON_ALLOT</t>
  </si>
  <si>
    <t>BETTY M CONDRA SCHOOL FOR EDUCATION INNOVATION</t>
  </si>
  <si>
    <t xml:space="preserve">PROMESA ACADEMY CHARTER SCHOOL </t>
  </si>
  <si>
    <t>SAN ANTONIO PREPARATORY CHARTER SCHOOL</t>
  </si>
  <si>
    <t>THE GATHERING PLACE</t>
  </si>
  <si>
    <t>ELEVATE COLLEGIATE CHARTER SCHOOL</t>
  </si>
  <si>
    <t>HOUSTON CLASSICAL CHARTER SCHOOL</t>
  </si>
  <si>
    <t>PL_TOT_MOREV</t>
  </si>
  <si>
    <t>PL_REV_PADA</t>
  </si>
  <si>
    <t>PL_STATE_AVG_MOREV</t>
  </si>
  <si>
    <t>PL_REV103</t>
  </si>
  <si>
    <t>PL_STATE_AVG128</t>
  </si>
  <si>
    <t>PL_REV_PP</t>
  </si>
  <si>
    <t>PL_TOT_MOREV_HH</t>
  </si>
  <si>
    <t>PL_REV_PP_D1</t>
  </si>
  <si>
    <t>HH_TARGET_REV</t>
  </si>
  <si>
    <t>CL_MOREV</t>
  </si>
  <si>
    <t>Pregnancy Related FTEs</t>
  </si>
  <si>
    <t xml:space="preserve">Tier 5 Census Block </t>
  </si>
  <si>
    <t xml:space="preserve">Tier 1 Census Block </t>
  </si>
  <si>
    <t>Mainstream ADA</t>
  </si>
  <si>
    <t>Advanced Career &amp; Technology Education Students</t>
  </si>
  <si>
    <t>Bilingual ADA</t>
  </si>
  <si>
    <t>Homebound (Code 01)</t>
  </si>
  <si>
    <t>Hospital Class (Code 02)</t>
  </si>
  <si>
    <t>Speech Therapy (Code 00)</t>
  </si>
  <si>
    <t>VAC (Code 08)</t>
  </si>
  <si>
    <t>Residential Care &amp; Treatment (Code 81-89)</t>
  </si>
  <si>
    <t>EYS Homebound (Code 01)</t>
  </si>
  <si>
    <t>EYS Hospital Class (Code 02)</t>
  </si>
  <si>
    <t>EYS Speech Therapy (Code 00)</t>
  </si>
  <si>
    <t>EYS VAC (Code 08)</t>
  </si>
  <si>
    <t>EYS Residential Care &amp; Treatment (Code 81-89)</t>
  </si>
  <si>
    <t xml:space="preserve">FUNDING COMPONENTS </t>
  </si>
  <si>
    <t>Transportation Allotment Detail:</t>
  </si>
  <si>
    <t>Resource Room (Code 41 &amp; 42)</t>
  </si>
  <si>
    <t>Self-Contained Mild/Mod/Sev (Code 43 &amp; 44)</t>
  </si>
  <si>
    <t>Full-Time Early Childhood (Code 45)</t>
  </si>
  <si>
    <t>Off-Home Campus (Code 91-98)</t>
  </si>
  <si>
    <t>State Schools (Code 30)</t>
  </si>
  <si>
    <t>Refined Average Daily Attendance (ADA)</t>
  </si>
  <si>
    <t>SPECIAL EDUCATION FTE</t>
  </si>
  <si>
    <t>SPECIAL EDUCATION WEIGHTED FTE</t>
  </si>
  <si>
    <t xml:space="preserve"> EYS SPECIAL EDUCATION FTE</t>
  </si>
  <si>
    <t>EYS SPECIAL EDUCATION WEIGHTED FTE</t>
  </si>
  <si>
    <t>EYS Resource Room (Code 41 &amp; 42)</t>
  </si>
  <si>
    <t>EYS Self-Contained Mild/Mod/Sev (Code 43 &amp; 44)</t>
  </si>
  <si>
    <t>EYS Full-Time Early Childhood (Code 45)</t>
  </si>
  <si>
    <t>EYS Off-Home Campus (Code 91-98)</t>
  </si>
  <si>
    <t>EYS State Schools (Code 30)</t>
  </si>
  <si>
    <t>Bilingual/ESL (LEP only)</t>
  </si>
  <si>
    <t>Bilingual LEP Dual Language</t>
  </si>
  <si>
    <t>Bilingual Non LEP Dual Language</t>
  </si>
  <si>
    <t>Per Capita Rate</t>
  </si>
  <si>
    <t xml:space="preserve">District Basic Allotment (DBA) </t>
  </si>
  <si>
    <t xml:space="preserve">Small &amp; Mid-Size Charter Allotment </t>
  </si>
  <si>
    <t>District Tax Rate Level 1 (DTR1)</t>
  </si>
  <si>
    <t>District Tax Rate Level 2 (DTR2)</t>
  </si>
  <si>
    <t>Interest &amp; Sinking Rate</t>
  </si>
  <si>
    <t>EDA Guaranteed Yield (GY)</t>
  </si>
  <si>
    <t>Level 1 Entitlement</t>
  </si>
  <si>
    <t>Level 2 Entitlement</t>
  </si>
  <si>
    <t>Weight</t>
  </si>
  <si>
    <t xml:space="preserve">Prior Year Refined ADA </t>
  </si>
  <si>
    <t>Rate</t>
  </si>
  <si>
    <t>State Compensatory Education Enrollment (Highest Six-Month Average)</t>
  </si>
  <si>
    <t>FUNDING COMPONENTS</t>
  </si>
  <si>
    <t>District Basic Allotment (DBA)</t>
  </si>
  <si>
    <t>Adjusted Basic Allotment (ABA)</t>
  </si>
  <si>
    <t>Adjusted Allotment</t>
  </si>
  <si>
    <t xml:space="preserve">Gifted &amp; Talented Enrollment </t>
  </si>
  <si>
    <t>Small &amp; Mid-Sized District Allotment, 48.101</t>
  </si>
  <si>
    <t>Teacher Incentive Allotment, 48.112</t>
  </si>
  <si>
    <t>Mentor Program Allotment, 48.114</t>
  </si>
  <si>
    <t>School Safety Allotment, 42.168</t>
  </si>
  <si>
    <t xml:space="preserve">Dropout Recovery School &amp; Residential Placement Facility Allotment, 48.153             </t>
  </si>
  <si>
    <t>College Preparation Assessment Reimbursement, 48.155</t>
  </si>
  <si>
    <t>Certification Examination Reimbursement, 48.156</t>
  </si>
  <si>
    <t>Gifted &amp; Talented Adjusted Allotment</t>
  </si>
  <si>
    <t>Special Education Allotment Detail:</t>
  </si>
  <si>
    <t xml:space="preserve">  Special Education </t>
  </si>
  <si>
    <t xml:space="preserve">  Mainstream</t>
  </si>
  <si>
    <t xml:space="preserve">  Residential Care and Treatment</t>
  </si>
  <si>
    <t xml:space="preserve">  State Schools</t>
  </si>
  <si>
    <t xml:space="preserve">  Extended Year Special Education</t>
  </si>
  <si>
    <t>Career and Technology Allotment Detail:</t>
  </si>
  <si>
    <t xml:space="preserve">  Career &amp; Technology (CTE) Allotment</t>
  </si>
  <si>
    <t xml:space="preserve">  Advanced CTE Allotment</t>
  </si>
  <si>
    <t xml:space="preserve"> OTHER PROGRAMS total</t>
  </si>
  <si>
    <t>FOUNDATION SCHOOL PROGRAM STATE AID total</t>
  </si>
  <si>
    <t>TIER I total</t>
  </si>
  <si>
    <t>TIER II total</t>
  </si>
  <si>
    <t xml:space="preserve">Staff Salary Allotment </t>
  </si>
  <si>
    <t xml:space="preserve">  Regular Routes Transportation @ $1 per mile Plus Bus Passes</t>
  </si>
  <si>
    <t xml:space="preserve">  Special Education Transportation</t>
  </si>
  <si>
    <t xml:space="preserve">  Special Education (regular)</t>
  </si>
  <si>
    <t xml:space="preserve">  Prior Law Special Ed Total (from Prior Law State Aid tab)</t>
  </si>
  <si>
    <t xml:space="preserve">  State Compensatory Allotment</t>
  </si>
  <si>
    <t xml:space="preserve">  Pregnancy Related</t>
  </si>
  <si>
    <t>State Compensatory Education Allotment Detail:</t>
  </si>
  <si>
    <t>WEIGHTED AVERAGE DAILY ATTENDANCE (WADA)</t>
  </si>
  <si>
    <t xml:space="preserve">EYS SPECIAL EDUCATION FTE </t>
  </si>
  <si>
    <t xml:space="preserve">EYS SPECIAL EDUCATION WEIGHTED FTE </t>
  </si>
  <si>
    <t xml:space="preserve">     ADJUSTED GYA</t>
  </si>
  <si>
    <t xml:space="preserve"> SPECIAL EDUCATION FTE</t>
  </si>
  <si>
    <t>TEXAS LEADERSHIP PUBLIC SCHOOLS</t>
  </si>
  <si>
    <t>11-Regular Program Allotment, 48.051</t>
  </si>
  <si>
    <t>23-Special Education Adjusted Allotment, 48.102 (spend 55% of amount)</t>
  </si>
  <si>
    <t>37-Dyslexia or Related Disorder Allotment, 48.103</t>
  </si>
  <si>
    <t>24-Compensatory Education Allotment, 48.104 (spend 55% of amount)</t>
  </si>
  <si>
    <t>25-Bilingual Education Allotment, 48.105 (spend 55% of amount)</t>
  </si>
  <si>
    <t>22-Career and Technology Allotment, 48.106 (spend 55% of amount)</t>
  </si>
  <si>
    <t xml:space="preserve">36-Early Education Allotment, 48.108 </t>
  </si>
  <si>
    <t>38-CCMR Outcomes Bonus, 48.110</t>
  </si>
  <si>
    <t>99-Transportation Allotment, 48.151</t>
  </si>
  <si>
    <t>99-New Instructional Facility Allotment, 48.152</t>
  </si>
  <si>
    <t>Charter  School</t>
  </si>
  <si>
    <t>1</t>
  </si>
  <si>
    <t xml:space="preserve">Betty M Condra School </t>
  </si>
  <si>
    <t>Total Cost of Tier One (Line 40 of SOF)</t>
  </si>
  <si>
    <t>Total Tier Two (Line 44 of SOF)</t>
  </si>
  <si>
    <t>Total Other Programs (Line 45 of SOF)</t>
  </si>
  <si>
    <t>Total FSP/ASF State Aid (Line 53 of SOF)</t>
  </si>
  <si>
    <t xml:space="preserve">Career and Technology Education </t>
  </si>
  <si>
    <t>TIA_MAST_TCHR_CNT</t>
  </si>
  <si>
    <t>TIA_MAST_TCHR_ALLOT</t>
  </si>
  <si>
    <t>TIA_EXEMP_TCHR_CNT</t>
  </si>
  <si>
    <t>TIA_EXEMP_TCHR_ALLOT</t>
  </si>
  <si>
    <t>TIA_RECOG_TCHR_CNT</t>
  </si>
  <si>
    <t>TIA_RECOG_TCHR_ALLOT</t>
  </si>
  <si>
    <t>TIA_FEE_REIMB</t>
  </si>
  <si>
    <t>MNL_TIA_CHGNOTE_ID</t>
  </si>
  <si>
    <t>VOCED_ADV_PT_ADA</t>
  </si>
  <si>
    <t>VOCED_ADV_NT_ADA</t>
  </si>
  <si>
    <t>VOCED_ADV_PT_ALLOT</t>
  </si>
  <si>
    <t>VOCED_ADV_NT_ALLOT</t>
  </si>
  <si>
    <t xml:space="preserve"> BILINGUAL WEIGHTED ADA</t>
  </si>
  <si>
    <t>Available School Fund (ASF) ADA</t>
  </si>
  <si>
    <t>(Advanced Placement Tests Set-Aside)</t>
  </si>
  <si>
    <t xml:space="preserve">  Non-Economically Disadvantaged students without disability living in residential treatment facility and whose parents do not reside in district</t>
  </si>
  <si>
    <t>CY_TARGET_REV_PADA</t>
  </si>
  <si>
    <t>PY_TARGET_REV_PADA</t>
  </si>
  <si>
    <t>FSF_ALLOT_ADJ_2</t>
  </si>
  <si>
    <t>PL_TOT_MOREV_UNADJ</t>
  </si>
  <si>
    <t>EXPECTED_MO_RATE_ADOPT</t>
  </si>
  <si>
    <t>RATIO_EXPECTED_MORAT</t>
  </si>
  <si>
    <t>RECAPTUREHH</t>
  </si>
  <si>
    <t>PL_TOT_MOREV_HH_UNADJ</t>
  </si>
  <si>
    <t>PY_TARGET_REV_PADA_UNADJ</t>
  </si>
  <si>
    <t xml:space="preserve">Tier 2 Census Block </t>
  </si>
  <si>
    <t xml:space="preserve">Tier 3 Census Block </t>
  </si>
  <si>
    <t xml:space="preserve">Tier 4 Census Block </t>
  </si>
  <si>
    <t>Payment Month</t>
  </si>
  <si>
    <t xml:space="preserve">Percent of Unpaid Balance </t>
  </si>
  <si>
    <t>CHARTER DISTRICT</t>
  </si>
  <si>
    <t>WAXAHACHIE FAITH FAMILY ACADEMY </t>
  </si>
  <si>
    <t>Interest &amp; Sinking Fund rate</t>
  </si>
  <si>
    <t>Advanced Career &amp; Technology Education ADA</t>
  </si>
  <si>
    <t>PRIORLAW_RUNID</t>
  </si>
  <si>
    <t>PY_PL_MO_RATE_ADOPT</t>
  </si>
  <si>
    <t>PY_PL_ADA</t>
  </si>
  <si>
    <t xml:space="preserve">  (Less Early Child Intervention Set-Aside) </t>
  </si>
  <si>
    <t>HIGH SCHOOL ADA</t>
  </si>
  <si>
    <t>CAREER AND TECHNOLOGY FTEs (9th to 12 Grade)</t>
  </si>
  <si>
    <t>LEGACY TRADITIONAL SCHOOLS - TEXAS</t>
  </si>
  <si>
    <t>LIGHTHOUSE PUBLIC SCHOOLS</t>
  </si>
  <si>
    <t>COMPASS ROSE PUBLIC SCHOOLS</t>
  </si>
  <si>
    <t>SAN ANTONIO PREPARATORY SCHOOLS</t>
  </si>
  <si>
    <t>ROYAL PUBLIC SCHOOLS</t>
  </si>
  <si>
    <t>PRELUDE PREPARATORY CHARTER SCHOOL</t>
  </si>
  <si>
    <t>THE RHODES SCHOOL FOR PERFORMING ARTS</t>
  </si>
  <si>
    <t>State Compensatory Allotment Detail:</t>
  </si>
  <si>
    <t>Brillante Academy</t>
  </si>
  <si>
    <t>Prelude Prepartory Charter School</t>
  </si>
  <si>
    <t>Royal Public Schools</t>
  </si>
  <si>
    <t>Non Public Contracts</t>
  </si>
  <si>
    <t>2</t>
  </si>
  <si>
    <t>3</t>
  </si>
  <si>
    <t>4</t>
  </si>
  <si>
    <t xml:space="preserve">  Career &amp; Technology Education Transportation</t>
  </si>
  <si>
    <t xml:space="preserve">Charter Schools Facilities Funding Eligibility? (Yes or No) </t>
  </si>
  <si>
    <t>Formula Transition Grant TEC 48.277 (a)</t>
  </si>
  <si>
    <t>SPECIAL EDUCATION FTEs  (TEC 48.102)</t>
  </si>
  <si>
    <t>BILINGUAL ADA (TEC 48.105)</t>
  </si>
  <si>
    <t>Mainstream ADA (TEC 48.102)</t>
  </si>
  <si>
    <t>Dyslexia Enrollment (TEC 48.103)</t>
  </si>
  <si>
    <t>Gifted and Talented Enrollment (TEC 48.109)</t>
  </si>
  <si>
    <t>Pregnancy Related FTEs (TEC Sec. 48.104(a))</t>
  </si>
  <si>
    <t>Early Education ADA, K-3  (TEC 48.108)</t>
  </si>
  <si>
    <t>Dropout Recover ADA (TEC 48.153)</t>
  </si>
  <si>
    <t>Residential Facility ADA (TEC 48.153)</t>
  </si>
  <si>
    <t xml:space="preserve">  Tier 1 CTE: Not approved program of study </t>
  </si>
  <si>
    <t xml:space="preserve">  Tier 2 CTE: Levels 1 and 2 CTE courses in approved program of study</t>
  </si>
  <si>
    <t xml:space="preserve">  Tier 3 CTE: Levels 3 and 4 CTE courses in approved program of study</t>
  </si>
  <si>
    <t>VOCED_FTE_TIER_1</t>
  </si>
  <si>
    <t>VOCED_FTE_TIER_2</t>
  </si>
  <si>
    <t>VOCED_FTE_TIER_3</t>
  </si>
  <si>
    <t>VOCED_ALLOT_TIER_1</t>
  </si>
  <si>
    <t>VOCED_ALLOT_TIER_2</t>
  </si>
  <si>
    <t>VOCED_ALLOT_TIER_3</t>
  </si>
  <si>
    <t>GT_ALLOT_ADJ</t>
  </si>
  <si>
    <t>FTG_UNADJ</t>
  </si>
  <si>
    <t>GROWTH_OVER_250</t>
  </si>
  <si>
    <t>FAST_GROWTH_TIER</t>
  </si>
  <si>
    <t>FGA_ALLOT_UNADJ</t>
  </si>
  <si>
    <t>FGA_ALLOT_ADJ</t>
  </si>
  <si>
    <t>FGA_ALLOT_2020</t>
  </si>
  <si>
    <t>FGA_HH_ALLOT_UNADJ</t>
  </si>
  <si>
    <t>FGA_HH_ALLOT_ADJ</t>
  </si>
  <si>
    <t>old law CTE weight</t>
  </si>
  <si>
    <t>Tier 1 FTE (weight 1.1)</t>
  </si>
  <si>
    <t>Tier 2 FTE (weight 1.28)</t>
  </si>
  <si>
    <t>Tier 3 FTE (weight 1.47)</t>
  </si>
  <si>
    <t>Residential Placement Facilities Eligible Days</t>
  </si>
  <si>
    <t>Residential Placement Facilities Refined ADA</t>
  </si>
  <si>
    <t>Gifted and Talented Enrollment</t>
  </si>
  <si>
    <t xml:space="preserve">Gifted and Talented Max </t>
  </si>
  <si>
    <t xml:space="preserve">  Regular Transportation (Based on Linear Density + Bus Passes)</t>
  </si>
  <si>
    <t>Weighted Career &amp; Technology FTE</t>
  </si>
  <si>
    <t>Total Career &amp; Technology FTE</t>
  </si>
  <si>
    <t>FACILTY FUNDING ELIGIBILITY</t>
  </si>
  <si>
    <t xml:space="preserve">FACILITY FUNDING CODE </t>
  </si>
  <si>
    <t>BILINGUAL ADA</t>
  </si>
  <si>
    <t>TIER CENSUS BLOCK COUNT</t>
  </si>
  <si>
    <t>HARMONY PUBLIC SCHOOLS - WEST TEXAS</t>
  </si>
  <si>
    <t>HARMONY PUBLIC SCHOOLS - NORTH TEXAS</t>
  </si>
  <si>
    <t>HARMONY PUBLIC SCHOOLS - CENTRAL TEXAS</t>
  </si>
  <si>
    <t>VALERE PUBLIC SCHOOLS</t>
  </si>
  <si>
    <t>HARMONY PUBLIC SCHOOLS - SOUTH TEXAS</t>
  </si>
  <si>
    <t>HARMONY PUBLIC SCHOOLS - HOUSTON SOUTH</t>
  </si>
  <si>
    <t>HARMONY PUBLIC SCHOOLS - HOUSTON NORTH</t>
  </si>
  <si>
    <t>HARMONY PUBLIC SCHOOLS - HOUSTON WEST</t>
  </si>
  <si>
    <t>DBA adjusted for Career and Technology Allotment</t>
  </si>
  <si>
    <t>Gifted and Talented Allotment Detail:</t>
  </si>
  <si>
    <t>21-Gifted &amp; Talented Adjusted Allotment 48.109 (spend 100% of amount)</t>
  </si>
  <si>
    <t xml:space="preserve">  (Less Gifted and Talented performance standards and MATHCOUNTS Set-Aside)</t>
  </si>
  <si>
    <t xml:space="preserve">  Gifted and Talented Allotment </t>
  </si>
  <si>
    <t xml:space="preserve">  Private Routes Transportation</t>
  </si>
  <si>
    <t xml:space="preserve">  Unintended Consequence (E86 minus E85 only if E86 greater than E85)</t>
  </si>
  <si>
    <t xml:space="preserve">  Current Law Special Ed Total (E79 through E83)</t>
  </si>
  <si>
    <t>Dump Column #</t>
  </si>
  <si>
    <t>Dump Column Name</t>
  </si>
  <si>
    <t>GT_ALLOT_UNADJ</t>
  </si>
  <si>
    <t>SM_MID_VOCED</t>
  </si>
  <si>
    <t>MOQ_ALLOT</t>
  </si>
  <si>
    <t>PY1_MO_COLL_MINTR</t>
  </si>
  <si>
    <t>FSF_ALLOT_BEFORE_ASAHE</t>
  </si>
  <si>
    <t>TY21_MO_RATE_ADOPT</t>
  </si>
  <si>
    <t>Maintenance of Equity for Federal Money Related to 
Covid-19 Pandemic (TEC 48.281)</t>
  </si>
  <si>
    <t xml:space="preserve"> Tier 1 CTE FTE</t>
  </si>
  <si>
    <t xml:space="preserve">  Non-Special Education (PIC 37)</t>
  </si>
  <si>
    <t xml:space="preserve">  Special Education (PIC 43)</t>
  </si>
  <si>
    <t>Dyslexia or Related Disorder Allotment, 48.103 (spend 100% of amount)</t>
  </si>
  <si>
    <t xml:space="preserve">  Dyslexia Allotment - Non-Special Education (PIC 37)</t>
  </si>
  <si>
    <t xml:space="preserve">  Dyslexia Allotment - Special Education (PIC 43)</t>
  </si>
  <si>
    <t>Tier 2 CTE FTE</t>
  </si>
  <si>
    <t>Tier 3 CTE FTE</t>
  </si>
  <si>
    <t>2019-2020</t>
  </si>
  <si>
    <t>2020-2021</t>
  </si>
  <si>
    <t>M&amp;O Revenue TOT_STATE_AID (actual SOF)</t>
  </si>
  <si>
    <t xml:space="preserve">M&amp;O Revenue Per ADA </t>
  </si>
  <si>
    <t xml:space="preserve">M&amp;O Revenue </t>
  </si>
  <si>
    <t>M&amp;O Revenue Per ADA*1.03</t>
  </si>
  <si>
    <t>State Average M&amp;O Revenue Per ADA*1.28</t>
  </si>
  <si>
    <t>2019-2020 Formula Transition Target Revenue per ADA</t>
  </si>
  <si>
    <t>2020-2021 Formula Transition Target Revenue per ADA</t>
  </si>
  <si>
    <t>Max Revenue per ADA between 2019-2020 or 2020-2021</t>
  </si>
  <si>
    <t>2022-2023 Total M&amp;O Revenue</t>
  </si>
  <si>
    <t>Unadjusted Formula Transition Grant (FTG)</t>
  </si>
  <si>
    <t>Adjusted Formula Transition Grant (statewide limit of $400 million)</t>
  </si>
  <si>
    <t>Formula Transition Target Revenue * ADA  (Current 2022-2023 Refined ADA * Line 133)</t>
  </si>
  <si>
    <t>THRIVE CENTER FOR SUCCESS</t>
  </si>
  <si>
    <t>DORAL ACADEMY OF TEXAS</t>
  </si>
  <si>
    <t>ROCKETSHIP PUBLIC SCHOOLS</t>
  </si>
  <si>
    <t>ESSENCE PREPARATORY CHARTER SCHOOL</t>
  </si>
  <si>
    <t>No</t>
  </si>
  <si>
    <t>199/5812 -Foundation School Fund (Line 47 of SOF)</t>
  </si>
  <si>
    <t>199/5811 -Available School Fund (Line 48 of SOF)</t>
  </si>
  <si>
    <t>BAKERRIPLEY COMMUNITY SCHOOLS</t>
  </si>
  <si>
    <t>DYSLEXIA_ENROLL_SPED</t>
  </si>
  <si>
    <t>DYSLEXIA_ENROLL_NONSPED</t>
  </si>
  <si>
    <t>DYSLEXIA_ALLOT_SPED</t>
  </si>
  <si>
    <t>DYSLEXIA_ALLOT_NONSPED</t>
  </si>
  <si>
    <t>General Instructions</t>
  </si>
  <si>
    <t>Column F. Budget.</t>
  </si>
  <si>
    <t>For open enrollment charter schools, the funding component to calculate the CTE Allotment is the sum of the DBA and small and mid-sized district allotment for each full-time equivalent student in average daily attendance in career and technology education.</t>
  </si>
  <si>
    <t xml:space="preserve">Total Enrollment </t>
  </si>
  <si>
    <t>Charter School Facility Funding Eligibility</t>
  </si>
  <si>
    <t xml:space="preserve">Bilingual/ESL </t>
  </si>
  <si>
    <t>01</t>
  </si>
  <si>
    <t>08</t>
  </si>
  <si>
    <t>02</t>
  </si>
  <si>
    <t>03</t>
  </si>
  <si>
    <t xml:space="preserve">Homebound </t>
  </si>
  <si>
    <t xml:space="preserve">Hospital Class </t>
  </si>
  <si>
    <t xml:space="preserve">Speech Therapy </t>
  </si>
  <si>
    <t>81-89</t>
  </si>
  <si>
    <t>41 &amp; 42</t>
  </si>
  <si>
    <t>91-98</t>
  </si>
  <si>
    <t>43 &amp; 44</t>
  </si>
  <si>
    <t xml:space="preserve">Resource Room </t>
  </si>
  <si>
    <t xml:space="preserve">Self-Contained Mild/Mod/Sev </t>
  </si>
  <si>
    <t xml:space="preserve">Full-Time Early Childhood </t>
  </si>
  <si>
    <t xml:space="preserve">Off-Home Campus </t>
  </si>
  <si>
    <t xml:space="preserve">VAC </t>
  </si>
  <si>
    <t xml:space="preserve">State Schools </t>
  </si>
  <si>
    <t xml:space="preserve">Residential Care &amp; Treatment </t>
  </si>
  <si>
    <t xml:space="preserve">Mainstream </t>
  </si>
  <si>
    <t xml:space="preserve">EYS Homebound </t>
  </si>
  <si>
    <t xml:space="preserve">EYS Hospital Class </t>
  </si>
  <si>
    <t xml:space="preserve">EYS Speech Therapy </t>
  </si>
  <si>
    <t xml:space="preserve">EYS Resource Room </t>
  </si>
  <si>
    <t xml:space="preserve">EYS Self-Contained Mild/Mod/Sev </t>
  </si>
  <si>
    <t xml:space="preserve">EYS Full-Time Early Childhood </t>
  </si>
  <si>
    <t xml:space="preserve">EYS Off-Home Campus </t>
  </si>
  <si>
    <t xml:space="preserve">EYS VAC </t>
  </si>
  <si>
    <t xml:space="preserve">EYS State Schools </t>
  </si>
  <si>
    <t xml:space="preserve">EYS Residential Care &amp; Treatment </t>
  </si>
  <si>
    <t xml:space="preserve">EYS Mainstream </t>
  </si>
  <si>
    <t>Career and Technology Education (CTE)</t>
  </si>
  <si>
    <t>V1</t>
  </si>
  <si>
    <t>V2</t>
  </si>
  <si>
    <t>V3</t>
  </si>
  <si>
    <t xml:space="preserve">One contact hour </t>
  </si>
  <si>
    <t>Two contact hours</t>
  </si>
  <si>
    <t>Three contact hours</t>
  </si>
  <si>
    <t>Advanced Career and Technology Education</t>
  </si>
  <si>
    <t>Tier 2 Census Block</t>
  </si>
  <si>
    <t>Tier 3 Census Block</t>
  </si>
  <si>
    <t>0.2250</t>
  </si>
  <si>
    <t>0.2500</t>
  </si>
  <si>
    <t>0.2750</t>
  </si>
  <si>
    <t>Regular</t>
  </si>
  <si>
    <t xml:space="preserve">Private </t>
  </si>
  <si>
    <t xml:space="preserve">Special Education </t>
  </si>
  <si>
    <t>Career and Technology Education</t>
  </si>
  <si>
    <t xml:space="preserve">Available School Fund Average Daily Attendance </t>
  </si>
  <si>
    <t>CTE Code</t>
  </si>
  <si>
    <t>Enter Student Enrollment Estimates</t>
  </si>
  <si>
    <t>Budget</t>
  </si>
  <si>
    <t>EYS Hospital Class</t>
  </si>
  <si>
    <t>EYS Off-Home Campus</t>
  </si>
  <si>
    <t>Mainstream ADA, TEC 48.102</t>
  </si>
  <si>
    <t>BILINGUAL ADA, TEC 48.105</t>
  </si>
  <si>
    <t>Special Education FTEs, TEC 48.102</t>
  </si>
  <si>
    <t>Dyslexia Enrollment, TEC 48.103</t>
  </si>
  <si>
    <t>CAREER AND TECHNOLOGY EDUCATION (CTE) FTEs, TEC 48.106</t>
  </si>
  <si>
    <t>Tier 2 CTE FTE : Approved program - level one and two</t>
  </si>
  <si>
    <t>Tier 3 CTE FTE:  Approved program - level three and four</t>
  </si>
  <si>
    <t xml:space="preserve">Tier 1 CTE FTE:  Not approved program of study </t>
  </si>
  <si>
    <t xml:space="preserve"> EYS Special Education FTE</t>
  </si>
  <si>
    <t xml:space="preserve"> EYS Special Education Weighted FTE</t>
  </si>
  <si>
    <t>Regular Program ADA (Refined ADA - Spec Ed FTEs - CTE FTEs)</t>
  </si>
  <si>
    <t>Advanced CTE ADA</t>
  </si>
  <si>
    <t>Funding Components</t>
  </si>
  <si>
    <t>Pregnancy Related FTEs,  TEC 48.104(a)</t>
  </si>
  <si>
    <t>Early Education ADA, K-3, TEC 48.108</t>
  </si>
  <si>
    <t>Dropout Recover ADA, TEC 48.153</t>
  </si>
  <si>
    <t>Residential Facility ADA, TEC 48.153</t>
  </si>
  <si>
    <t>State Compensatory Education Census Block Counts, TEC 48.104 (b)</t>
  </si>
  <si>
    <t>Extended Year Services (EYS) Special Education FTEs</t>
  </si>
  <si>
    <t>Special Education FTE</t>
  </si>
  <si>
    <t>Special Education Weighted FTE</t>
  </si>
  <si>
    <t>Bilingual Weighted ADA</t>
  </si>
  <si>
    <t>Career and Technology FTE</t>
  </si>
  <si>
    <t>Career and Technology Weighted FTE</t>
  </si>
  <si>
    <t>Dyslexia Enrollment</t>
  </si>
  <si>
    <t>Gifted and Talented Enrollment, TEC 48.109</t>
  </si>
  <si>
    <t>Census Block Tier Count</t>
  </si>
  <si>
    <t>Census Block Weighted Tier</t>
  </si>
  <si>
    <t>Weighted ADA (WADA)</t>
  </si>
  <si>
    <t>Charter Schools Facilities Funding, TEC 12.106 (d-e)</t>
  </si>
  <si>
    <t xml:space="preserve">Dropout Recovery School &amp; Residential Placement Facility Allotment, TEC 48.153             </t>
  </si>
  <si>
    <t>EYS Special Education</t>
  </si>
  <si>
    <t>Special Education (regular)</t>
  </si>
  <si>
    <t>Mainstream</t>
  </si>
  <si>
    <t>Residential Care and Treatment</t>
  </si>
  <si>
    <t>State Schools</t>
  </si>
  <si>
    <t xml:space="preserve">(Less Early Child Intervention Set-Aside) </t>
  </si>
  <si>
    <t>Special Education Allotment Detail</t>
  </si>
  <si>
    <t>Dyslexia Allotment Detail</t>
  </si>
  <si>
    <t xml:space="preserve">  Non-Economically Disadvantaged </t>
  </si>
  <si>
    <t xml:space="preserve">  Regular </t>
  </si>
  <si>
    <t xml:space="preserve">  Private </t>
  </si>
  <si>
    <t>Transportation Allotment Detail</t>
  </si>
  <si>
    <t>Tier One Subchapter B and C Allotments</t>
  </si>
  <si>
    <t>Gifted and Talented Allotment Detail</t>
  </si>
  <si>
    <t>State Compensatory Allotment Detail</t>
  </si>
  <si>
    <t xml:space="preserve"> Current Law Special Ed </t>
  </si>
  <si>
    <t xml:space="preserve"> Unintended Consequence Amount if Prior Law Greater than Current Law</t>
  </si>
  <si>
    <t xml:space="preserve"> Tier Two</t>
  </si>
  <si>
    <t>Career and Technology Allotment Detail</t>
  </si>
  <si>
    <t>Tier Two (Line 44 of SOF)</t>
  </si>
  <si>
    <t>Other Programs (Line 45 of SOF)</t>
  </si>
  <si>
    <t>Formula Transition Grant (FTG) Detail, TEC 48.277 (a)</t>
  </si>
  <si>
    <t>Tier One Subchapter D Allotments</t>
  </si>
  <si>
    <t>HB 3 Total M&amp;O Revenue</t>
  </si>
  <si>
    <t>Unadjusted FTG</t>
  </si>
  <si>
    <t>Adjusted FTG to meet statewide spending limit of $400 million</t>
  </si>
  <si>
    <t>21-Gifted &amp; Talented Adjusted Allotment, TEC 48.109 (spend 100% of amount)</t>
  </si>
  <si>
    <t>Level One and Two</t>
  </si>
  <si>
    <t>Level Three and Four</t>
  </si>
  <si>
    <t>CTE</t>
  </si>
  <si>
    <t>Advanced CTE</t>
  </si>
  <si>
    <t>State Compensatory Education (SCE)</t>
  </si>
  <si>
    <t>Enrollment</t>
  </si>
  <si>
    <t>Bilingual Enrollment</t>
  </si>
  <si>
    <t>Spec Ed Enrollment</t>
  </si>
  <si>
    <t>EYS Spec Ed Enrollment</t>
  </si>
  <si>
    <t>SCE Census Block Count Estimate</t>
  </si>
  <si>
    <t>Allotment Estimate</t>
  </si>
  <si>
    <t>Enter Six Digit County District Number</t>
  </si>
  <si>
    <t>TEC</t>
  </si>
  <si>
    <t>48.102(j)</t>
  </si>
  <si>
    <t>48.106(a)</t>
  </si>
  <si>
    <t>College, Career, or Military Readiness Outcomes Bonus</t>
  </si>
  <si>
    <t>48.110</t>
  </si>
  <si>
    <t>Sped Ed Code</t>
  </si>
  <si>
    <t>0.10</t>
  </si>
  <si>
    <t>1.0</t>
  </si>
  <si>
    <t>2.41</t>
  </si>
  <si>
    <t>Transportation Detail</t>
  </si>
  <si>
    <t>Not an Approved Program</t>
  </si>
  <si>
    <t xml:space="preserve">CTE - Not an Approved Program of Study </t>
  </si>
  <si>
    <t>CTE - Approved Program of Study - Levels One and Two Courses</t>
  </si>
  <si>
    <t>CTE - Approved Program of Study - Levels Three and Four Courses</t>
  </si>
  <si>
    <t xml:space="preserve">State Aid worksheet. </t>
  </si>
  <si>
    <r>
      <t xml:space="preserve">Enter Percent Rate of Attendance </t>
    </r>
    <r>
      <rPr>
        <sz val="10"/>
        <rFont val="Arial"/>
        <family val="2"/>
      </rPr>
      <t xml:space="preserve"> </t>
    </r>
    <r>
      <rPr>
        <sz val="10"/>
        <rFont val="Arial"/>
        <family val="2"/>
      </rPr>
      <t xml:space="preserve">                                                                </t>
    </r>
  </si>
  <si>
    <t>199/5812 Foundation School Fund (Line 47 of SOF)</t>
  </si>
  <si>
    <t>199/5811 Available School Fund (Line 48 of SOF)</t>
  </si>
  <si>
    <t>Revised Estimate</t>
  </si>
  <si>
    <t>Estimates worksheet</t>
  </si>
  <si>
    <t>State Aid worksheet</t>
  </si>
  <si>
    <t>Prior Law worksheet</t>
  </si>
  <si>
    <t>ADA Projection worksheet</t>
  </si>
  <si>
    <t>Payment Calculator worksheet</t>
  </si>
  <si>
    <t>Prior Year 
Initialized Estimate</t>
  </si>
  <si>
    <t>Percent of Annual Allotment</t>
  </si>
  <si>
    <t>Percent Remaining</t>
  </si>
  <si>
    <t>Percent of Unpaid Balance</t>
  </si>
  <si>
    <t>FSF Remaining Balance</t>
  </si>
  <si>
    <t xml:space="preserve">Payment Month Amount </t>
  </si>
  <si>
    <t>Payment 
Month</t>
  </si>
  <si>
    <t>Enter Payment Month Number</t>
  </si>
  <si>
    <t>Payment Class 4
Payment Month Number</t>
  </si>
  <si>
    <t>Payment Class 5
Payment Month Number</t>
  </si>
  <si>
    <t>FTE</t>
  </si>
  <si>
    <t>===========&gt;</t>
  </si>
  <si>
    <t xml:space="preserve"> Available School Fund </t>
  </si>
  <si>
    <t xml:space="preserve">Foundation School Fund </t>
  </si>
  <si>
    <t>Wieight or Rate</t>
  </si>
  <si>
    <t xml:space="preserve">Charter Schools Facilities Funding Eligibility </t>
  </si>
  <si>
    <t xml:space="preserve">Staff Salary Allotment Eligibility </t>
  </si>
  <si>
    <t xml:space="preserve">  Full-Time Staff </t>
  </si>
  <si>
    <t xml:space="preserve">  Part-Time Staff </t>
  </si>
  <si>
    <t>Six Weeks</t>
  </si>
  <si>
    <t xml:space="preserve">ADA Projection </t>
  </si>
  <si>
    <t>Early Education, K-3 Eligible Days</t>
  </si>
  <si>
    <t>Early Education, K-3  Refined ADA</t>
  </si>
  <si>
    <t xml:space="preserve">Eligible Days Bilingual/ESL </t>
  </si>
  <si>
    <t xml:space="preserve">BIL/ESL Refined ADA </t>
  </si>
  <si>
    <r>
      <rPr>
        <b/>
        <sz val="10"/>
        <rFont val="Arial"/>
        <family val="2"/>
      </rPr>
      <t>Total Paid to Date Amount</t>
    </r>
    <r>
      <rPr>
        <sz val="10"/>
        <rFont val="Arial"/>
        <family val="2"/>
      </rPr>
      <t xml:space="preserve">
Enter as negative value.</t>
    </r>
  </si>
  <si>
    <t>Total Foundation School Fund (FSF)</t>
  </si>
  <si>
    <t>Adjustment Amount To Date</t>
  </si>
  <si>
    <t xml:space="preserve">• District Basic Allotment (DBA) adjusted for Career and Technology Education (CTE) Allotment.  </t>
  </si>
  <si>
    <t>Charter School Facility Funding One Pager</t>
  </si>
  <si>
    <t>• Workbook template includes six visible worksheets: Version, Estimates, State Aid, Prior Law, ADA Projection, and Payment Calculator. Information about each worksheet is provided in a corresponding section below.</t>
  </si>
  <si>
    <t>• Email CharterSchoolFinance@tea.texas.gov for questions.</t>
  </si>
  <si>
    <t>• Each worksheet is password protected. To unprotect, enter the password: unlock.</t>
  </si>
  <si>
    <t>FSP Estimate Data Report</t>
  </si>
  <si>
    <t>Column C. Prior Year Initialized Estimates.</t>
  </si>
  <si>
    <t>Column D. Revised Estimates.</t>
  </si>
  <si>
    <t>Column E. Legislative Payment Estimate/Cash Flow/ADA Projection.</t>
  </si>
  <si>
    <t>• Formulas driven by charter school's six digit county district number entered into the Estimates worksheet.</t>
  </si>
  <si>
    <t xml:space="preserve">Column E, Cell E1. </t>
  </si>
  <si>
    <t xml:space="preserve">Column E. </t>
  </si>
  <si>
    <t>• Data entry permitted in yellow cells. Other cells are protected and locked.</t>
  </si>
  <si>
    <t>An optional resource to enter Payment Ledger information to calculate the next month's Foundation School Fund payment.</t>
  </si>
  <si>
    <t>Students without a disability, living in a residential placement facility and whose parents do not reside in the district.</t>
  </si>
  <si>
    <t xml:space="preserve">Conversion to FTE </t>
  </si>
  <si>
    <t>P-TECH campus/school</t>
  </si>
  <si>
    <t>New Tech Network</t>
  </si>
  <si>
    <t>Enter Student Bilingual Estimates</t>
  </si>
  <si>
    <t>Enter Student Special Education (Spec Ed) Estimates</t>
  </si>
  <si>
    <t>Enter Student Extended Year Services (EYS) Special Education Estimates</t>
  </si>
  <si>
    <t>• Data entry permitted for Estimates, State Aid, ADA Projection, and Payment Calculator worksheets. No data entry for other worksheets.</t>
  </si>
  <si>
    <t>• Data entry permitted in yellow cells of applicable worksheets. Other cells are protected and locked.</t>
  </si>
  <si>
    <t>Tier One Allotments and Reimbursements</t>
  </si>
  <si>
    <t>12.106 (e)</t>
  </si>
  <si>
    <t>Teacher Incentive Allotment</t>
  </si>
  <si>
    <t>Mentor Program Allotment</t>
  </si>
  <si>
    <t>New Instructional Facilities Allotment</t>
  </si>
  <si>
    <t>College Preparation Assessment Reimbursement</t>
  </si>
  <si>
    <t>Certification Examination Reimbursement</t>
  </si>
  <si>
    <t>48.106 (a-1)</t>
  </si>
  <si>
    <t>Kindergarten through third grade, if student is: 
•  Educationally disadvantaged; or
•  an emergent bilingual student, and is in a bilingual education or special language program</t>
  </si>
  <si>
    <t>Dropout Recovery School</t>
  </si>
  <si>
    <t>Residential Placement Facility</t>
  </si>
  <si>
    <t>Pregnancy Related</t>
  </si>
  <si>
    <t>Gifted and Talented</t>
  </si>
  <si>
    <t>48.104 (a)</t>
  </si>
  <si>
    <t>Self-Contained Mild/Moderate/Severe</t>
  </si>
  <si>
    <t>Vocational Adjustment Class</t>
  </si>
  <si>
    <t>EYS Vocational Adjustment Class</t>
  </si>
  <si>
    <t>EYS Self-Contained Mild/Moderate/Severe</t>
  </si>
  <si>
    <t xml:space="preserve">MAXIMUM ENROLLMENT </t>
  </si>
  <si>
    <t>Prior Law Staff Salary</t>
  </si>
  <si>
    <t>Facility Funding Validation based on Eligibility</t>
  </si>
  <si>
    <t>Open Enrollment Charter School Name</t>
  </si>
  <si>
    <t>Variance Estimates</t>
  </si>
  <si>
    <t xml:space="preserve">FSP Maintenance &amp; Operations (M&amp;O) Revenue as existed on January 2019. </t>
  </si>
  <si>
    <t xml:space="preserve">Non-Economically Disadvantaged </t>
  </si>
  <si>
    <t>WADA</t>
  </si>
  <si>
    <t>SCE</t>
  </si>
  <si>
    <t>Validation between
 State Aid Worksheet Cals and Dump Data</t>
  </si>
  <si>
    <t>State Aid Worksheet Est Calc</t>
  </si>
  <si>
    <t>Dump
Data
Est</t>
  </si>
  <si>
    <t>EXAMPLE</t>
  </si>
  <si>
    <r>
      <rPr>
        <b/>
        <sz val="10"/>
        <rFont val="Arial"/>
        <family val="2"/>
      </rPr>
      <t>Total Paid to Date Amount</t>
    </r>
    <r>
      <rPr>
        <sz val="10"/>
        <rFont val="Arial"/>
        <family val="2"/>
      </rPr>
      <t xml:space="preserve">
</t>
    </r>
    <r>
      <rPr>
        <sz val="10"/>
        <color rgb="FFC00000"/>
        <rFont val="Arial"/>
        <family val="2"/>
      </rPr>
      <t>Enter as negative value.</t>
    </r>
  </si>
  <si>
    <t xml:space="preserve">• Enter percent rate of attendance and enrollment estimates. </t>
  </si>
  <si>
    <t>• Protected column; No data entry.  Provides impact to Foundation School Program State Aid calculation using revised estimates entered in the Estimates worksheet.</t>
  </si>
  <si>
    <t>• Enter data based on local projected annualized attendance data for school year. Best practice is to reconcile Column E with the latest published SOF prior to data entry in Column F.</t>
  </si>
  <si>
    <t>An optional worksheet to enter district-summary level attendance for each six-week period to calculate the annualized attendance average for the school year (ADA Projection).  For cash flow purposes, TEA publishes a monthly Summary of Finance update with the ADA Projection attendance average. In the Foundation School Program (FSP) application system, approved FSP Six-week reports are used to calculate the annualized average. For settle-up, the official system of record: TSDS PEIMS data, will determine actual earnings/funding.</t>
  </si>
  <si>
    <t>Charter School Name</t>
  </si>
  <si>
    <t>SOMERSET ACADEMIES OF TEXAS</t>
  </si>
  <si>
    <t>SOUTHWEST PUBLIC SCHOOLS</t>
  </si>
  <si>
    <t>MEYERPARK CHARTER</t>
  </si>
  <si>
    <t>ACADEMY OF VISUAL AND PERFORMING ARTS</t>
  </si>
  <si>
    <t>TAX_REFUNDS_261115C</t>
  </si>
  <si>
    <t xml:space="preserve">  Adjusted allotment to meet statewide spending limit of $100 million</t>
  </si>
  <si>
    <t>Other Programs (Charter Facility Funding, Formula Transtion Grant)</t>
  </si>
  <si>
    <t>Formula Transition Target Revenue * ADA</t>
  </si>
  <si>
    <t xml:space="preserve">    Formula Transition Grant (FTG)    </t>
  </si>
  <si>
    <t>BRILLANTE ACADEMY</t>
  </si>
  <si>
    <t>• Cells containing RED triangles in the upper right corner contain guidance on that particular line item.</t>
  </si>
  <si>
    <t>• Protected worksheet; No data entry.</t>
  </si>
  <si>
    <t>Dyslexia or Related Disorder: Non-Special Education (PIC 37)</t>
  </si>
  <si>
    <t>Dyslexia or Related Disorder: Special Education (PIC 43)</t>
  </si>
  <si>
    <t>2023-2024 Summary of Finance Calculations</t>
  </si>
  <si>
    <t>Funding Information</t>
  </si>
  <si>
    <t>Bilingual (EL) Dual Language</t>
  </si>
  <si>
    <t>Bilingual (EP) Dual Language</t>
  </si>
  <si>
    <t xml:space="preserve">Bilingual (EP) Dual Language </t>
  </si>
  <si>
    <t>Bilingual (EL) Dual Language Eligible Days</t>
  </si>
  <si>
    <t>Bilingual (EP) Dual Language Refined ADA</t>
  </si>
  <si>
    <t>Bilingual (EL) Dual Language Refined ADA</t>
  </si>
  <si>
    <t>Bilingual (EP) Dual Language Eligible Days</t>
  </si>
  <si>
    <t>2023-2024 School Year Payment Class</t>
  </si>
  <si>
    <t>Gifted and Talented Enrollment Max, TEC 48.109</t>
  </si>
  <si>
    <t>• Other Programs.</t>
  </si>
  <si>
    <t>• Protected column; No data entry. Auto-populates Prior Year Initialized Estimates on all versions of template.</t>
  </si>
  <si>
    <t xml:space="preserve">SOF Run ID 40976
dated 7/12/2023 </t>
  </si>
  <si>
    <t xml:space="preserve"> Prior Law Special Ed (from Prior Law worksheet: 2019-2020 column)</t>
  </si>
  <si>
    <t>Expired end of 2022-2023: Maintenance of Equity (MOQ) TEC 48.281</t>
  </si>
  <si>
    <t>Tier Two Level 1</t>
  </si>
  <si>
    <t>Tier Two Level 2</t>
  </si>
  <si>
    <t xml:space="preserve">Foundation School Program Maintenance &amp; Operations (M&amp;O) revenue as those chapters existed on January 2019 to calculate the Prior Law M&amp;O target revenue per ADA used in the Formula Transition Grant (FTG) calculations under TEC, Sec. 48.277. </t>
  </si>
  <si>
    <t>Legislative Payment
Estimate/Cash Flow</t>
  </si>
  <si>
    <t xml:space="preserve">• Legislative Payment Estimate/Cash Flow. Column E. </t>
  </si>
  <si>
    <t>FAITH FAMILY ACADEMY</t>
  </si>
  <si>
    <t>KI CHARTER</t>
  </si>
  <si>
    <t>• Description of updates to workbook found under Version header below.</t>
  </si>
  <si>
    <t>District
ID</t>
  </si>
  <si>
    <t>District Name</t>
  </si>
  <si>
    <t>Campus ID</t>
  </si>
  <si>
    <t>Campus Name</t>
  </si>
  <si>
    <t>Campus Type</t>
  </si>
  <si>
    <t>INSTRUCTIONAL CAMPUS</t>
  </si>
  <si>
    <t>SOUTHSIDE EL</t>
  </si>
  <si>
    <t>ALTERNATIVE INSTRUCTIONAL UNIT</t>
  </si>
  <si>
    <t>PINEYWOODS COMMUNITY ACADEMY H S</t>
  </si>
  <si>
    <t>DR TERRY ROBBINS MIDDLE</t>
  </si>
  <si>
    <t>SARAH STRINDEN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</si>
  <si>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</si>
  <si>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</si>
  <si>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</si>
  <si>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</si>
  <si>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</si>
  <si>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</si>
  <si>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</si>
  <si>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</si>
  <si>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RICHARD MILBURN ACADEMY MIDLAND</t>
  </si>
  <si>
    <t>GEORGETOWN CHARTER ACADEMY</t>
  </si>
  <si>
    <t>PRIORITY CHARTER SCHOOLS COPPERAS COVE</t>
  </si>
  <si>
    <t>CEDAR PARK CHARTER ACADEMY</t>
  </si>
  <si>
    <t>PRIORITY CHARTER SCHOOLS TEMPLE</t>
  </si>
  <si>
    <t>NEW HORIZONS</t>
  </si>
  <si>
    <t>GATEWAY TECH H S</t>
  </si>
  <si>
    <t>GATEWAY COLLEGE PREPARATORY SCHOOL</t>
  </si>
  <si>
    <t>NOLAN CREEK SCHOOL</t>
  </si>
  <si>
    <t>KINGSLAND SCHOOL</t>
  </si>
  <si>
    <t>POR VIDA ACADEMY CHARTER H S</t>
  </si>
  <si>
    <t>POR VIDA ACADEMY CORPUS CHRISTI</t>
  </si>
  <si>
    <t>RUTH JONES MCCLENDON MIDDLE</t>
  </si>
  <si>
    <t>FRANK L MADLA EARLY COLLEGE H S</t>
  </si>
  <si>
    <t>IMELDA DAVIS EARLY COLLEGE H S</t>
  </si>
  <si>
    <t>LEGACY TRADITIONAL- BASSE SECONDARY</t>
  </si>
  <si>
    <t>LEGACY TRADITIONAL SCHOOL - ALAMO RANCH</t>
  </si>
  <si>
    <t>LEGACY TRADITIONAL - BASSE PRI</t>
  </si>
  <si>
    <t>LEGACY TRADITIONAL SCHOOL - CIBOLO</t>
  </si>
  <si>
    <t>NORTHEAST EL CAMPUS</t>
  </si>
  <si>
    <t>SOUTHWEST PREPARATORY SOUTHEAST CAMPUS</t>
  </si>
  <si>
    <t>SOUTHWEST PREPARATORY SCHOOL-NORTHWEST</t>
  </si>
  <si>
    <t>NORTHEAST CAMPUS</t>
  </si>
  <si>
    <t>SOUTHWEST PREP NORTHWEST EL</t>
  </si>
  <si>
    <t>SEGUIN CAMPUS</t>
  </si>
  <si>
    <t>JHW INSPIRE ACADEMY - HAYS COUNTY</t>
  </si>
  <si>
    <t>JHW INSPIRE ACADEMY - ROCKDALE</t>
  </si>
  <si>
    <t>ANNE FRANK INSPIRE ACADEMY</t>
  </si>
  <si>
    <t>JHW INSPIRE ACADEMY - LEGACY RANCH</t>
  </si>
  <si>
    <t>JHW INSPIRE ACADEMY - BELL COUNTY</t>
  </si>
  <si>
    <t>JHW INSPIRE ACADEMIES- RISE RECOVERY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</si>
  <si>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</si>
  <si>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</si>
  <si>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</si>
  <si>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</si>
  <si>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</si>
  <si>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</si>
  <si>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</si>
  <si>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</si>
  <si>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</si>
  <si>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</si>
  <si>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</si>
  <si>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</si>
  <si>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</si>
  <si>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</si>
  <si>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</si>
  <si>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</si>
  <si>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JUBILEE SCHOOL OF INNOVATION AND ARTS</t>
  </si>
  <si>
    <t>JUBILEE SENDERO</t>
  </si>
  <si>
    <t>LIGHTHOUSE MIDDLE</t>
  </si>
  <si>
    <t>LIGHTHOUSE HIGH</t>
  </si>
  <si>
    <t>LIGHTHOUSE EL</t>
  </si>
  <si>
    <t>SST SA COLLEGE PREP H S</t>
  </si>
  <si>
    <t>SST ALAMO</t>
  </si>
  <si>
    <t>SST THE WOODLANDS</t>
  </si>
  <si>
    <t>SST EXCELLENCE</t>
  </si>
  <si>
    <t>SST SPRING</t>
  </si>
  <si>
    <t>SST CHAMPIONS</t>
  </si>
  <si>
    <t>SST SCHERTZ</t>
  </si>
  <si>
    <t>HARMONY SCHOOL OF INNOVATION - SAN ANTONIO</t>
  </si>
  <si>
    <t>HARMONY SCIENCE ACADEMY - LAREDO</t>
  </si>
  <si>
    <t>HARMONY SCHOOL OF INNOVATION - LAREDO</t>
  </si>
  <si>
    <t>HARMONY SCIENCE ACADEMY - BROWNSVILLE</t>
  </si>
  <si>
    <t>HARMONY SCHOOL OF EXCELLENCE - SAN ANTONIO</t>
  </si>
  <si>
    <t>HARMONY SCHOOL OF INNOVATION - BROWNSVILLE</t>
  </si>
  <si>
    <t>HARMONY SCHOOL OF EXCELLENCE - LAREDO</t>
  </si>
  <si>
    <t>HARMONY SCHOOL OF SCIENCE- SAN ANTONIO</t>
  </si>
  <si>
    <t>SOMERSET ACADEMY BROOKS</t>
  </si>
  <si>
    <t>SOMERSET ACADEMY COLLEGIATE</t>
  </si>
  <si>
    <t>SOMERSET ACADEMY LONE STAR</t>
  </si>
  <si>
    <t>SOMERSET ACADEMY OAKS</t>
  </si>
  <si>
    <t>SST DISCOVERY</t>
  </si>
  <si>
    <t>SST CORPUS CHRISTI</t>
  </si>
  <si>
    <t>SST ADVANCEMENT</t>
  </si>
  <si>
    <t>SST NORTHWEST</t>
  </si>
  <si>
    <t>SST SUGARLAND</t>
  </si>
  <si>
    <t>SST HILL COUNTRY</t>
  </si>
  <si>
    <t>SST ONLINE ACADEMY</t>
  </si>
  <si>
    <t>BASIS SAN ANTONIO- SHAVANO CAMPUS</t>
  </si>
  <si>
    <t>BASIS SAN ANTONIO- PRI NORTH CENTRAL CAMPUS</t>
  </si>
  <si>
    <t>BASIS SAN ANTONIO - NORTHEAST CAMPUS</t>
  </si>
  <si>
    <t>BASIS AUSTIN</t>
  </si>
  <si>
    <t>BASIS PFLUGERVILLE</t>
  </si>
  <si>
    <t>BASIS SAN ANTONIO - JACK LEWIS JR CAMPUS</t>
  </si>
  <si>
    <t>BASIS SAN ANTONIO PRI- MEDICAL CENTER CAMPUS</t>
  </si>
  <si>
    <t>BASIS AUSTIN PRI</t>
  </si>
  <si>
    <t>BASIS SAN ANTONIO PRI - NORTHEAST CAMPUS</t>
  </si>
  <si>
    <t>BASIS BENBROOK</t>
  </si>
  <si>
    <t>BASIS PFLUGERVILLE PRI</t>
  </si>
  <si>
    <t>BASIS SAN ANTONIO PRI - JACK LEWIS JR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</si>
  <si>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</si>
  <si>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</si>
  <si>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</si>
  <si>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</si>
  <si>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</si>
  <si>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</si>
  <si>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</si>
  <si>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</si>
  <si>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</si>
  <si>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GREAT HEARTS ARLINGTON</t>
  </si>
  <si>
    <t>GREAT HEARTS INVICTUS</t>
  </si>
  <si>
    <t>GREAT HEARTS PRAIRIE VIEW</t>
  </si>
  <si>
    <t>COMPASS ROSE LEGACY</t>
  </si>
  <si>
    <t>COMPASS ROSE INGENUITY</t>
  </si>
  <si>
    <t>COMPASS ROSE LEGACY EL</t>
  </si>
  <si>
    <t>COMPASS ROSE JOURNEY</t>
  </si>
  <si>
    <t>COMPASS ROSE DESTINY</t>
  </si>
  <si>
    <t>COMPASS ROSE HARVEST</t>
  </si>
  <si>
    <t>COMPASS ROSE DREAM</t>
  </si>
  <si>
    <t>SAN ANTONIO PREPARATORY</t>
  </si>
  <si>
    <t>ROYAL ACADEMY OF EXCELLENCE</t>
  </si>
  <si>
    <t>BRAZOS SCHOOL FOR INQUIRY AND CREATIVITY BRYAN/COL</t>
  </si>
  <si>
    <t>BRAZOS SCHOOL FOR INQUIRY AND CREATIVITY TIDWELL</t>
  </si>
  <si>
    <t>ARROW ACADEMY - SAVE OUR STREETS CENTER</t>
  </si>
  <si>
    <t>ARROW ACADEMY - LIBERATION ACADEMY</t>
  </si>
  <si>
    <t>ARROW ACADEMY - HARVEST PREPARATORY ACADEMY</t>
  </si>
  <si>
    <t>ARROW ACADEMY - CHAMPIONS ACADEMY</t>
  </si>
  <si>
    <t>LONE STAR INTERNATIONAL ACADEMY</t>
  </si>
  <si>
    <t>TRINITY CHARTER SCHOOLS - CANYON LAKE CAMPUS</t>
  </si>
  <si>
    <t>TRINITY CHARTER SCHOOLS - LOCKHART CAMPUS</t>
  </si>
  <si>
    <t>TRINITY CHARTER SCHOOLS - BIG SANDY CAMPUS</t>
  </si>
  <si>
    <t>TRINITY CHARTER SCHOOL - BRENHAM CAMPUS</t>
  </si>
  <si>
    <t>TRINITY CHARTER SCHOOLS - FORT WORTH CAMPUS</t>
  </si>
  <si>
    <t>TRINITY CHARTER SCHOOLS - CORPUS CHRISTI CAMPUS</t>
  </si>
  <si>
    <t>TRINITY CHARTER SCHOOLS-FORT WORTH CAMPUS-E SEMINA</t>
  </si>
  <si>
    <t>TRINITY CHARTER SCHOOLS - WILLIS CAMPUS</t>
  </si>
  <si>
    <t>TRINITY CHARTER SCHOOLS - ANGLETON CAMPUS</t>
  </si>
  <si>
    <t>PEGASUS CHARTER H S</t>
  </si>
  <si>
    <t>UPLIFT EDUCATION-NORTH HILLS PREP H S</t>
  </si>
  <si>
    <t>UPLIFT EDUCATION - UPLIFT GRAND PREPARATORY</t>
  </si>
  <si>
    <t>UPLIFT WILLIAMS PREPARATORY H S</t>
  </si>
  <si>
    <t>UPLIFT LUNA PREPARATORY H S</t>
  </si>
  <si>
    <t>UPLIFT HEIGHTS PREPARATORY H S</t>
  </si>
  <si>
    <t>UPLIFT HAMPTON PREPARATORY H S</t>
  </si>
  <si>
    <t>UPLIFT MIGHTY SCHOOL</t>
  </si>
  <si>
    <t>UPLIFT SUMMIT INTERNATIONAL H S</t>
  </si>
  <si>
    <t>UPLIFT ATLAS PREPARATORY - H S</t>
  </si>
  <si>
    <t>UPLIFT GRAND SECONDARY</t>
  </si>
  <si>
    <t>UPLIFT LUNA SECONDARY SCHOOL</t>
  </si>
  <si>
    <t>UPLIFT INFINITY H S</t>
  </si>
  <si>
    <t>UPLIFT MIGHTY H S</t>
  </si>
  <si>
    <t>UPLIFT WISDOM SECONDARY</t>
  </si>
  <si>
    <t>UPLIFT GRAND H S</t>
  </si>
  <si>
    <t>UPLIFT ASCEND</t>
  </si>
  <si>
    <t>UPLIFT ELEVATE PREPARATORY SCHOOL</t>
  </si>
  <si>
    <t>WISDOM H S</t>
  </si>
  <si>
    <t>UPLIFT EDUCATION-NORTH HILLS PREP MIDDLE</t>
  </si>
  <si>
    <t>UPLIFT EDUCATION - INFINITY PREPARATORY MIDDLE SCH</t>
  </si>
  <si>
    <t>UPLIFT HAMPTON PREPARATORY MIDDLE</t>
  </si>
  <si>
    <t>UPLIFT WILLIAMS PREPARATORY MIDDLE</t>
  </si>
  <si>
    <t>UPLIFT HEIGHTS PREPARATORY MIDDLE</t>
  </si>
  <si>
    <t>UPLIFT SUMMIT INTERNATIONAL MIDDLE</t>
  </si>
  <si>
    <t>UPLIFT ATLAS PREPARATORY - MIDDLE</t>
  </si>
  <si>
    <t>UPLIFT MIGHTY MIDDLE</t>
  </si>
  <si>
    <t>UPLIFT ELEVATE PREPARATORY MIDDLE</t>
  </si>
  <si>
    <t>UPLIFT ASCEND MIDDLE</t>
  </si>
  <si>
    <t>UPLIFT EDUCATIION-NORTH HILLS PREP PRI</t>
  </si>
  <si>
    <t>UPLIFT EDUCATION - INFINITY PREPARATORY PRI</t>
  </si>
  <si>
    <t>UPLIFT GRADUS PREPARATORY</t>
  </si>
  <si>
    <t>UPLIFT HEIGHTS PREPARATORY PRI</t>
  </si>
  <si>
    <t>UPLIFT PINNACLE PREPARATORY PRI</t>
  </si>
  <si>
    <t>UPLIFT TRIUMPH PREPARATORY SCHOOL</t>
  </si>
  <si>
    <t>UPLIFT LUNA PREPARATORY PRI</t>
  </si>
  <si>
    <t>UPLIFT MERIDIAN SCHOOL</t>
  </si>
  <si>
    <t>UPLIFT SUMMIT INTERNATIONAL PRI</t>
  </si>
  <si>
    <t>UPLIFT ATLAS PREPARATORY - PRI</t>
  </si>
  <si>
    <t>UPLIFT HAMPTON PREPARATORY PRI</t>
  </si>
  <si>
    <t>UPLIFT WILLIAMS PREPARATORY PRI</t>
  </si>
  <si>
    <t>UPLIFT WHITE ROCK HILLS PREP</t>
  </si>
  <si>
    <t>UPLIFT CRESCENDO PREPARATORY PRI</t>
  </si>
  <si>
    <t>WISDOM PRI</t>
  </si>
  <si>
    <t>TEXANS CAN ACADEMY - DALLAS NORTH</t>
  </si>
  <si>
    <t>TEXANS CAN ACADEMY - OAK CLIFF</t>
  </si>
  <si>
    <t>TEXANS CAN ACADEMY - CARROLLTON-FARMERS BRANCH</t>
  </si>
  <si>
    <t>TEXANS CAN ACADEMY - PLEASANT GROVE</t>
  </si>
  <si>
    <t>TEXANS CAN ACADEMY - GRANT EAST</t>
  </si>
  <si>
    <t>TEXANS CAN ACADEMY - AUSTIN</t>
  </si>
  <si>
    <t>TEXANS CAN ACADEMY - FORT WORTH WESTCREEK</t>
  </si>
  <si>
    <t>TEXANS CAN ACADEMY - FORT WORTH LANCASTER AVENUE</t>
  </si>
  <si>
    <t>TEXANS CAN ACADEMY - HOUSTON NORTH</t>
  </si>
  <si>
    <t>TEXANS CAN ACADEMY - HOUSTON HOBBY</t>
  </si>
  <si>
    <t>TEXANS CAN ACADEMY - SAN ANTONIO</t>
  </si>
  <si>
    <t>TEXANS CAN ACADEMY - HOUSTON SOUTHWEST</t>
  </si>
  <si>
    <t>TEXANS CAN ACADEMY - GARLAND</t>
  </si>
  <si>
    <t>LIFE SCHOOL OAK CLIFF</t>
  </si>
  <si>
    <t>LIFE H S WAXAHACHIE</t>
  </si>
  <si>
    <t>LIFE MIDDLE WAXAHACHIE</t>
  </si>
  <si>
    <t>LIFE SCHOOL RED OAK</t>
  </si>
  <si>
    <t>LIFE SCHOOL LANCASTER</t>
  </si>
  <si>
    <t>LIFE SCHOOL CEDAR HILL</t>
  </si>
  <si>
    <t>LIFE SCHOOL MOUNTAIN CREEK</t>
  </si>
  <si>
    <t>LIFE SCHOOL CARROLLTON</t>
  </si>
  <si>
    <t>UNIVERSAL ACADEMY - COPPELL</t>
  </si>
  <si>
    <t>TRINITY BASIN PREPARATORY INC</t>
  </si>
  <si>
    <t>DALLAS COUNTY JUVENILE JUSTICE</t>
  </si>
  <si>
    <t>DRC CAMPUS</t>
  </si>
  <si>
    <t>MEDLOCK YOUTH VILLAGE</t>
  </si>
  <si>
    <t>LETOT CAMPUS</t>
  </si>
  <si>
    <t>QUEST CAMPUS PRE-K THRU 8</t>
  </si>
  <si>
    <t>GENESIS CAMPUS PRE-K THRU 5</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</si>
  <si>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</si>
  <si>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</si>
  <si>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</si>
  <si>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</si>
  <si>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</si>
  <si>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</si>
  <si>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</si>
  <si>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</si>
  <si>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</si>
  <si>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</si>
  <si>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</si>
  <si>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</si>
  <si>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</si>
  <si>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</si>
  <si>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</si>
  <si>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EDUCATION CENTER INTERNATIONAL ACADEMY 3</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</si>
  <si>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</si>
  <si>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</si>
  <si>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</si>
  <si>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</si>
  <si>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</si>
  <si>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</si>
  <si>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</si>
  <si>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</si>
  <si>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</si>
  <si>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RICHLAND COLLEGIATE H S OF MATH SCIENCE ENGINEERIN</t>
  </si>
  <si>
    <t>EAST GRAND PREPARATORY ACADEMY</t>
  </si>
  <si>
    <t>BUCKNER PREPARATORY</t>
  </si>
  <si>
    <t>MANARA LEADERSHIP ACADEMY</t>
  </si>
  <si>
    <t>MANARA STEM ACADEMY - ARLINGTON</t>
  </si>
  <si>
    <t>UME PREPARATORY ACADEMY - DUNCANVILLE</t>
  </si>
  <si>
    <t>UME MANSFIELD EL</t>
  </si>
  <si>
    <t>UME DALLAS SECONDARY</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</si>
  <si>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</si>
  <si>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</si>
  <si>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</si>
  <si>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</si>
  <si>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</si>
  <si>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</si>
  <si>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</si>
  <si>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</si>
  <si>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</si>
  <si>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</si>
  <si>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</si>
  <si>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</si>
  <si>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</si>
  <si>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</si>
  <si>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</si>
  <si>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</si>
  <si>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</si>
  <si>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</si>
  <si>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</si>
  <si>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</si>
  <si>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</si>
  <si>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</si>
  <si>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WOODHAVEN EL</t>
  </si>
  <si>
    <t>ILTEXAS WOODHAVEN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</si>
  <si>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</si>
  <si>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</si>
  <si>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</si>
  <si>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</si>
  <si>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</si>
  <si>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</si>
  <si>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</si>
  <si>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</si>
  <si>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</si>
  <si>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</si>
  <si>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ILTEXAS AGGIELAND H S</t>
  </si>
  <si>
    <t>BG RAMIREZ MIDDLE</t>
  </si>
  <si>
    <t>BG RAMIREZ EL</t>
  </si>
  <si>
    <t>PIONEER TECHNOLOGY (PTAA) MESQUITE</t>
  </si>
  <si>
    <t>PIONEER TECHNOLOGY (PTAA) GREENVILLE</t>
  </si>
  <si>
    <t>PIONEER TECHNOLOGY (PTAA) FATE</t>
  </si>
  <si>
    <t>PIONEER TECHNOLOGY (PTAA) MESQUITE EL</t>
  </si>
  <si>
    <t>PIONEER TECHNOLOGY (PTAA) ROYSE CITY EL</t>
  </si>
  <si>
    <t>PIONEER TECHNOLOGY AND ARTS ACADEMY NORTH DALLAS</t>
  </si>
  <si>
    <t>NORTH TEXAS COLLEGIATE ACADEMY-SOUTH CAMPUS</t>
  </si>
  <si>
    <t>NORTH TEXAS COLLEGIATE ACADEMY-NORTH CAMPUS</t>
  </si>
  <si>
    <t>NORTH TEXAS COLLEGIATE ACADEMY-EAST CAMPUS</t>
  </si>
  <si>
    <t>LEADERSHIP PREP SCHOOL SECONDARY</t>
  </si>
  <si>
    <t>OAK CLIFF FAITH FAMILY ACADEMY</t>
  </si>
  <si>
    <t>FAITH FAMILY MASTER ACADEMY</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</si>
  <si>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</si>
  <si>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</si>
  <si>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</si>
  <si>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</si>
  <si>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</si>
  <si>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</si>
  <si>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</si>
  <si>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</si>
  <si>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</si>
  <si>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</si>
  <si>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</si>
  <si>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EL PASO LEADERSHIP ACADEMY - H S EAST</t>
  </si>
  <si>
    <t>EL PASO LEADERSHIP ACADEMY - MIDDLE EAST</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</si>
  <si>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</si>
  <si>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</si>
  <si>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</si>
  <si>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</si>
  <si>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</si>
  <si>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</si>
  <si>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</si>
  <si>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</si>
  <si>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</si>
  <si>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HIGH SCHOOL-AUSTIN SOUTH CAMPUS</t>
  </si>
  <si>
    <t>PREMIER H S OF WESLACO</t>
  </si>
  <si>
    <t>PREMIER H S OF MISSION</t>
  </si>
  <si>
    <t>PREMIER HIGH SCHOOL-SAN ANTONIO WINDCREST</t>
  </si>
  <si>
    <t>PREMIER H S OF TYLER</t>
  </si>
  <si>
    <t>PREMIER H S OF WACO</t>
  </si>
  <si>
    <t>PREMIER HIGH SCHOOL-AUSTIN WELLS BRANCH</t>
  </si>
  <si>
    <t>PREMIER HIGH SCHOOL-EL PASO MESA</t>
  </si>
  <si>
    <t>PREMIER H S OF SAN JUAN</t>
  </si>
  <si>
    <t>PREMIER H S OF ARLINGTON</t>
  </si>
  <si>
    <t>PREMIER H S OF HUNTSVILLE</t>
  </si>
  <si>
    <t>PREMIER H S OF NEW BRAUNFELS</t>
  </si>
  <si>
    <t>PREMIER H S OF GRANBURY</t>
  </si>
  <si>
    <t>PREMIER H S OF DAYTON</t>
  </si>
  <si>
    <t>PREMIER H S OF SOUTH IRVING</t>
  </si>
  <si>
    <t>PREMIER H S OF AMARILLO</t>
  </si>
  <si>
    <t>PREMIER HIGH SCHOOL-EL PASO EASTPOINTE</t>
  </si>
  <si>
    <t>PREMIER H S OF PFLUGERVILLE</t>
  </si>
  <si>
    <t>PREMIER HIGH SCHOOLS - EDINBURG CAREER &amp; TECHNICAL</t>
  </si>
  <si>
    <t>PREMIER H S-HOUSTON (CHAMPIONS)</t>
  </si>
  <si>
    <t>PREMIER H S OF TEXARKANA</t>
  </si>
  <si>
    <t>PREMIER HIGH SCHOOL-SAN ANTONIO INGRAM</t>
  </si>
  <si>
    <t>PREMIER H S - SAN ANGELO</t>
  </si>
  <si>
    <t>FOUNDATION SCHOOL OF AUTISM - SAN ANTONIO</t>
  </si>
  <si>
    <t>PREMIER H S HOUSTON GALLERY NORTH</t>
  </si>
  <si>
    <t>PREMIER H S ODESSA</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</si>
  <si>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</si>
  <si>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</si>
  <si>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</si>
  <si>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</si>
  <si>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</si>
  <si>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</si>
  <si>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</si>
  <si>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HOUSTON (SHARPSTOWN)</t>
  </si>
  <si>
    <t>PREMIER H S - FORT WORTH (SOUTHSIDE)</t>
  </si>
  <si>
    <t>PREMIER H S - FORT WORTH (JACKSBORO)</t>
  </si>
  <si>
    <t>PREMIER H S - DESOTO</t>
  </si>
  <si>
    <t>HUSTON ACADEMY</t>
  </si>
  <si>
    <t>COASTAL HORIZONS ACADEMY</t>
  </si>
  <si>
    <t>ODYSSEY ACADEMY - GALVESTON</t>
  </si>
  <si>
    <t>ODYSSEY ACADEMY - BAY AREA</t>
  </si>
  <si>
    <t>DAN CHADWICK CAMPUS</t>
  </si>
  <si>
    <t>SER-NINOS CHARTER HIGH</t>
  </si>
  <si>
    <t>SER-NINOS CHARTER MIDDLE</t>
  </si>
  <si>
    <t>SER-NINOS CHARTER EL</t>
  </si>
  <si>
    <t>SER-NINOS CHARTER EL II</t>
  </si>
  <si>
    <t>ARISTOI CLASSICAL UPPER SCHOOL</t>
  </si>
  <si>
    <t>ARISTOI CLASSICAL ACADEMY-CYPRESS</t>
  </si>
  <si>
    <t>GEORGE I SANCHEZ NORTH</t>
  </si>
  <si>
    <t>EARLY COLLEGE T-STEM ACADEMY</t>
  </si>
  <si>
    <t>EARLY COLLEGE STEM ACADEMY</t>
  </si>
  <si>
    <t>NORTH EAST STEM ACADEMY</t>
  </si>
  <si>
    <t>BRYSS ACADEMY</t>
  </si>
  <si>
    <t>PSTEM ACADEMY</t>
  </si>
  <si>
    <t>LEONEL CASTILLO EARLY CHILDHOOD STEM ACADEMY</t>
  </si>
  <si>
    <t>ACADEMY OF ACCELERATED LEARNING</t>
  </si>
  <si>
    <t>HARRIS COUNTY JUVENILE DETENTION CENTER</t>
  </si>
  <si>
    <t>HARRIS COUNTY YOUTH VILLAGE</t>
  </si>
  <si>
    <t>LEADERSHIP ACADEMY</t>
  </si>
  <si>
    <t>EXCEL ACADEMY EDUCATION TRANSITION CENTER</t>
  </si>
  <si>
    <t>VARNETT CHARTER SCHOOL</t>
  </si>
  <si>
    <t>THE VARNETT SCHOOL - NORTHEAST</t>
  </si>
  <si>
    <t>THE VARNETT SCHOOL - EAST</t>
  </si>
  <si>
    <t>AMIGOS POR VIDA-FRIENDS FOR LIFE CHARTER SCHOOL</t>
  </si>
  <si>
    <t>FRIENDS FOR LIFE MIDDLE</t>
  </si>
  <si>
    <t>HOUSTON HEIGHTS CHARTER SCHOOL</t>
  </si>
  <si>
    <t>HOUSTON GATEWAY ACADEMY - CORAL CAMPUS</t>
  </si>
  <si>
    <t>HOUSTON GATEWAY ACADEMY INC ELITE COLLEGE PREP</t>
  </si>
  <si>
    <t>HOUSTON GATEWAY ACADEMY</t>
  </si>
  <si>
    <t>CALVIN NELMS H S</t>
  </si>
  <si>
    <t>CALVIN NELMS MIDDLE</t>
  </si>
  <si>
    <t>EMPOWERMENT H S</t>
  </si>
  <si>
    <t>PHOENIX SCHOOL AT SOUTHWEST SCHOOLS</t>
  </si>
  <si>
    <t>DISCOVERY MIDDLE</t>
  </si>
  <si>
    <t>SOUTHWEST SCHOOLS BISSONNET EL CAMPUS</t>
  </si>
  <si>
    <t>SOUTHWEST SCHOOLS MANGUM EL CAMPUS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</si>
  <si>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</si>
  <si>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</si>
  <si>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</si>
  <si>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</si>
  <si>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</si>
  <si>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</si>
  <si>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</si>
  <si>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</si>
  <si>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</si>
  <si>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</si>
  <si>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</si>
  <si>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</si>
  <si>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</si>
  <si>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</si>
  <si>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</si>
  <si>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</si>
  <si>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</si>
  <si>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SOUTHEAST EL</t>
  </si>
  <si>
    <t>NORTH CENTRAL EL</t>
  </si>
  <si>
    <t>NORTH FOREST EL</t>
  </si>
  <si>
    <t>YES PREP EAST END EL</t>
  </si>
  <si>
    <t>YES PREP AIRLINE EL</t>
  </si>
  <si>
    <t>HARMONY SCIENCE ACADEMY-HOUSTON</t>
  </si>
  <si>
    <t>HARMONY SCHOOL OF INNOVATION - HOUSTON</t>
  </si>
  <si>
    <t>HARMONY SCHOOL OF INGENUITY-HOUSTON</t>
  </si>
  <si>
    <t>HARMONY SCHOOL OF FINE ARTS AND TECHNOLOGY-HOUSTON</t>
  </si>
  <si>
    <t>HARMONY SCHOOL OF EXPLORATION- HOUSTON</t>
  </si>
  <si>
    <t>ACCELERATED INT CHARTER SCHOOL</t>
  </si>
  <si>
    <t>ACCELERATED INTERDISCIPLINARY ACAD</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</si>
  <si>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</si>
  <si>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</si>
  <si>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</si>
  <si>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</si>
  <si>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</si>
  <si>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</si>
  <si>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</si>
  <si>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</si>
  <si>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</si>
  <si>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</si>
  <si>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</si>
  <si>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</si>
  <si>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</si>
  <si>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</si>
  <si>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</si>
  <si>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HARMONY SCHOOL OF EXCELLENCE - KATY</t>
  </si>
  <si>
    <t>STEP CHARTER EL</t>
  </si>
  <si>
    <t>STEP CHARTER II</t>
  </si>
  <si>
    <t>THE RHODES SCHOOL - NORTHSHORE CAMPUS</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</si>
  <si>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</si>
  <si>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</si>
  <si>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</si>
  <si>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</si>
  <si>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</si>
  <si>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</si>
  <si>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</si>
  <si>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</si>
  <si>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A+ UNLIMITED POTENTIAL - UNIVERSITY</t>
  </si>
  <si>
    <t>ELEVATE COLLEGIATE</t>
  </si>
  <si>
    <t>HOUSTON CLASSICAL</t>
  </si>
  <si>
    <t>TEXAS PREPARATORY SCHOOL - AUSTIN CAMPUS</t>
  </si>
  <si>
    <t>KI CHARTER ACADEMY LIBERTY HILL</t>
  </si>
  <si>
    <t>KI CHARTER - DESOTO</t>
  </si>
  <si>
    <t>KI CHARTER - FARMERSVILLE</t>
  </si>
  <si>
    <t>KI CHARTER - FORT WORTH</t>
  </si>
  <si>
    <t>KI CHARTER - DENTON</t>
  </si>
  <si>
    <t>HORIZON MONTESSORI - STEM ACADEMY</t>
  </si>
  <si>
    <t>HORIZON MONTESSORI II - STEM ACADEMY</t>
  </si>
  <si>
    <t>HORIZON MONTESSORI III - STEM ACADEMY</t>
  </si>
  <si>
    <t>HORIZON MONTESSORI PEARLAND - STEM ACADEMY</t>
  </si>
  <si>
    <t>TRIUMPH PUBLIC HIGH SCHOOLS-MERCEDES</t>
  </si>
  <si>
    <t>TRIUMPH PUBLIC HIGH SCHOOLS-MCALLEN</t>
  </si>
  <si>
    <t>TRIUMPH PUBLIC HIGH SCHOOLS-SAN BENITO</t>
  </si>
  <si>
    <t>TRIUMPH PUBLIC HIGH SCHOOLS-BROWNSVILLE</t>
  </si>
  <si>
    <t>IDEA COLLEGE PREP</t>
  </si>
  <si>
    <t>IDEA QUEST COLLEGE PREPARATORY</t>
  </si>
  <si>
    <t>IDEA FRONTIER COLLEGE PREPARATORY</t>
  </si>
  <si>
    <t>IDEA COLLEGE PREPARATORY MISSION</t>
  </si>
  <si>
    <t>IDEA COLLEGE PREPARATORY SAN BENITO</t>
  </si>
  <si>
    <t>IDEA COLLEGE PREPARATORY SAN JUAN</t>
  </si>
  <si>
    <t>IDEA COLLEGE PREPARATORY ALAMO</t>
  </si>
  <si>
    <t>IDEA COLLEGE PREPARATORY PHARR</t>
  </si>
  <si>
    <t>IDEA EDINBURG COLLEGE PREPARATORY</t>
  </si>
  <si>
    <t>IDEA COLLEGE PREP WESLACO</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</si>
  <si>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</si>
  <si>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</si>
  <si>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</si>
  <si>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</si>
  <si>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</si>
  <si>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</si>
  <si>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</si>
  <si>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</si>
  <si>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</si>
  <si>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</si>
  <si>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</si>
  <si>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</si>
  <si>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</si>
  <si>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</si>
  <si>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</si>
  <si>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</si>
  <si>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</si>
  <si>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</si>
  <si>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</si>
  <si>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</si>
  <si>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</si>
  <si>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</si>
  <si>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</si>
  <si>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</si>
  <si>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</si>
  <si>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</si>
  <si>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</si>
  <si>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</si>
  <si>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</si>
  <si>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</si>
  <si>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</si>
  <si>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</si>
  <si>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</si>
  <si>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</si>
  <si>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</si>
  <si>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</si>
  <si>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</si>
  <si>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</si>
  <si>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</si>
  <si>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</si>
  <si>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</si>
  <si>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</si>
  <si>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</si>
  <si>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ACADEMY</t>
  </si>
  <si>
    <t>IDEA QUEST ACADEMY</t>
  </si>
  <si>
    <t>IDEA FRONTIER ACADEMY</t>
  </si>
  <si>
    <t>IDEA ACADEMY MISSION</t>
  </si>
  <si>
    <t>IDEA ACADEMY SAN BENITO</t>
  </si>
  <si>
    <t>IDEA ACADEMY SAN JUAN</t>
  </si>
  <si>
    <t>IDEA ACADEMY ALAMO</t>
  </si>
  <si>
    <t>IDEA ACADEMY PHARR</t>
  </si>
  <si>
    <t>IDEA EDINBURG ACADEMY</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</si>
  <si>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</si>
  <si>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</si>
  <si>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</si>
  <si>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</si>
  <si>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</si>
  <si>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</si>
  <si>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</si>
  <si>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</si>
  <si>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</si>
  <si>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</si>
  <si>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</si>
  <si>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</si>
  <si>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</si>
  <si>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</si>
  <si>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</si>
  <si>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</si>
  <si>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</si>
  <si>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</si>
  <si>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</si>
  <si>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</si>
  <si>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</si>
  <si>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</si>
  <si>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</si>
  <si>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</si>
  <si>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</si>
  <si>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</si>
  <si>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</si>
  <si>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</si>
  <si>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</si>
  <si>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</si>
  <si>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</si>
  <si>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</si>
  <si>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</si>
  <si>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</si>
  <si>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</si>
  <si>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</si>
  <si>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</si>
  <si>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</si>
  <si>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</si>
  <si>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</si>
  <si>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</si>
  <si>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</si>
  <si>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</si>
  <si>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</si>
  <si>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</si>
  <si>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</si>
  <si>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LA JOYA COLLEGE PREPARATORY</t>
  </si>
  <si>
    <t>IDEA AMBROSE AND FREDA ROBINSON COLLEGE PREPARATOR</t>
  </si>
  <si>
    <t>IDEA MESQUITE HILLS COLLEGE PREPARATORY</t>
  </si>
  <si>
    <t>IDEA SOUTHEAST COLLEGE PREPARATORY</t>
  </si>
  <si>
    <t>IDEA LAKE HOUSTON COLLEGE PREPARATORY</t>
  </si>
  <si>
    <t>IDEA YUKON COLLEGE PREPARATORY</t>
  </si>
  <si>
    <t>IDEA ROUND ROCK TECH ACADEMY</t>
  </si>
  <si>
    <t>IDEA HORIZON VISTA ACADEMY</t>
  </si>
  <si>
    <t>IDEA EDGECLIFF ACADEMY</t>
  </si>
  <si>
    <t>IDEA LA JOYA ACADEMY</t>
  </si>
  <si>
    <t>IDEA AMBROSE AND FREDA ROBINSON ACADEMY</t>
  </si>
  <si>
    <t>IDEA MESQUITE HILLS ACADEMY</t>
  </si>
  <si>
    <t>IDEA SOUTHEAST ACADEMY</t>
  </si>
  <si>
    <t>IDEA LAKE HOUSTON ACADEMY</t>
  </si>
  <si>
    <t>IDEA YUKON ACADEMY</t>
  </si>
  <si>
    <t>VANGUARD REMBRANDT</t>
  </si>
  <si>
    <t>VANGUARD PICASSO</t>
  </si>
  <si>
    <t>VANGUARD MOZART</t>
  </si>
  <si>
    <t>VANGUARD BEETHOVEN</t>
  </si>
  <si>
    <t>VANGUARD VAN GOGH</t>
  </si>
  <si>
    <t>LAKE GRANBURY ACADEMY</t>
  </si>
  <si>
    <t>TEKOA ACADEMY OF ACCELERATED STUDIES</t>
  </si>
  <si>
    <t>TEKOA ACADEMY OF ACCELERATED STUDIES - ORANGE</t>
  </si>
  <si>
    <t>BOB HOPE H S</t>
  </si>
  <si>
    <t>BOB HOPE SCHOOL - EL CAMPUS</t>
  </si>
  <si>
    <t>BOB HOPE SCHOOL BEAUMONT</t>
  </si>
  <si>
    <t>OAKS ACADEMY</t>
  </si>
  <si>
    <t>STEPPING STONES ACADEMY</t>
  </si>
  <si>
    <t>HERITAGE MIDDLE</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</si>
  <si>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</si>
  <si>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</si>
  <si>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</si>
  <si>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</si>
  <si>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</si>
  <si>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</si>
  <si>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</si>
  <si>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</si>
  <si>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</si>
  <si>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</si>
  <si>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</si>
  <si>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</si>
  <si>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</si>
  <si>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</si>
  <si>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</si>
  <si>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</si>
  <si>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</si>
  <si>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</si>
  <si>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SEASHORE MIDDLE ACAD</t>
  </si>
  <si>
    <t>SEASHORE LEARNING CENTER</t>
  </si>
  <si>
    <t>PANOLA CS</t>
  </si>
  <si>
    <t>TEXAS EARLY COLLEGE H S</t>
  </si>
  <si>
    <t>PANOLA EARLY COLLEGE H S</t>
  </si>
  <si>
    <t>HILL COUNTRY YOUTH RANCH</t>
  </si>
  <si>
    <t>CUMBERLAND H S</t>
  </si>
  <si>
    <t>CUMBERLAND ACADEMY UPPER EL</t>
  </si>
  <si>
    <t>CUMBERLAND ACADEMY MIDDLE</t>
  </si>
  <si>
    <t>CUMBERLAND ACADEMY LOWER EL</t>
  </si>
  <si>
    <t>THE LEADERSHIP ACADEMY</t>
  </si>
  <si>
    <t>UT TYLER UNIVERSITY ACADEMY AT TYLER</t>
  </si>
  <si>
    <t>UT TYLER UNIVERSITY ACADEMY AT LONGVIEW</t>
  </si>
  <si>
    <t>UT TYLER UNIVERSITY ACADEMY AT PALESTINE</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</si>
  <si>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</si>
  <si>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</si>
  <si>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</si>
  <si>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</si>
  <si>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</si>
  <si>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</si>
  <si>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OF ARLINGTON GIBBINS</t>
  </si>
  <si>
    <t>NEWMAN INTERNATIONAL ACADEMY AT FORT WORTH</t>
  </si>
  <si>
    <t>NEWMAN INTERNATIONAL ACADEMY OF MANSFIELD</t>
  </si>
  <si>
    <t>NEWMAN INTERNATIONAL ACADEMY WATAUGA</t>
  </si>
  <si>
    <t>NEWMAN INTERNATIONAL ACADEMY MANSFIELD EAST</t>
  </si>
  <si>
    <t>ROCKETSHIP DENNIS DUNKINS EL</t>
  </si>
  <si>
    <t>IGNITE COMMUNITY SCHOOL - HUNTSVILLE</t>
  </si>
  <si>
    <t>AMARILLO COLLEGIATE ACADEMY</t>
  </si>
  <si>
    <t>COPPELL CLASSICAL ACADEMY</t>
  </si>
  <si>
    <t>FOUNDERS CLASSICAL ACADEMY CORINTH - UPPER SCHOOL</t>
  </si>
  <si>
    <t>FOUNDERS CLASSICAL ACADEMY- CARROLLTON</t>
  </si>
  <si>
    <t>QUEST COLLEGIATE ACADEMY - SHENANDOAH</t>
  </si>
  <si>
    <t>IGNITE COMMUNITY SCHOOL - GARLAND</t>
  </si>
  <si>
    <t>ISCHOOL LEWISVILLE (K-6 CAMPUS)</t>
  </si>
  <si>
    <t>QUEST COLLEGIATE ACADEMY - JASPER</t>
  </si>
  <si>
    <t>ISCHOOL LEWISVILLE (7-12 CAMPUS)</t>
  </si>
  <si>
    <t>IGNITE COMMUNITY SCHOOL - MOUNTAIN CREEK</t>
  </si>
  <si>
    <t>FOUNDERS CLASSICAL ACADEMY</t>
  </si>
  <si>
    <t>QUEST COLLEGIATE ACADEMY-MCALLEN</t>
  </si>
  <si>
    <t>QUEST COLLEGIATE ACADEMY - CROCKETT</t>
  </si>
  <si>
    <t>FOUNDERS CLASSICAL ACADEMY-TYLER</t>
  </si>
  <si>
    <t>FOUNDERS CLASSICAL ACADEMY-AUSTIN NORTH</t>
  </si>
  <si>
    <t>ISCHOOL HIGH AT UNIVERSITY PARK</t>
  </si>
  <si>
    <t>IGNITE COMMUNITY SCHOOL - BEAUMONT</t>
  </si>
  <si>
    <t>IGNITE COMMUNITY SCHOOL - PASADENA</t>
  </si>
  <si>
    <t>ISCHOOL HIGH AT THE WOODLANDS</t>
  </si>
  <si>
    <t>IGNITE COMMUNITY SCHOOL - HUMBLE</t>
  </si>
  <si>
    <t>FOUNDERS CLASSICAL ACADEMY OF LEANDER</t>
  </si>
  <si>
    <t>DENTON CLASSICAL ACADEMY</t>
  </si>
  <si>
    <t>FOUNDERS CLASSICAL ACADEMY OF MESQUITE</t>
  </si>
  <si>
    <t>IGNITE COMMUNITY SCHOOL - MAINLAND</t>
  </si>
  <si>
    <t>FOUNDERS CLASSICAL ACADEMY OF FLOWER MOUND</t>
  </si>
  <si>
    <t>FOUNDERS CLASSICAL ACADEMY CORINTH</t>
  </si>
  <si>
    <t>IGNITE COMMUNITY SCHOOL - FALLBROOK</t>
  </si>
  <si>
    <t>FOUNDERS CLASSICAL ACADEMY OF SCHERTZ</t>
  </si>
  <si>
    <t>CLASSICAL ACADEMY - PERMIAN BASIN</t>
  </si>
  <si>
    <t>FOUNDERS CLASSICAL ACADEMY - FRISCO</t>
  </si>
  <si>
    <t>WESTCHASE NEIGHBORHOOD SCHOOL</t>
  </si>
  <si>
    <t>EASTEX-JENSEN NEIGHBORHOOD SCHOOL</t>
  </si>
  <si>
    <t>EL PASO CLASSICAL ACADEMY</t>
  </si>
  <si>
    <t>FOUNDERS CLASSICAL ACADEMY - CONROE</t>
  </si>
  <si>
    <t>IGNITE COMMUNITY SCHOOL-FORT WORTH</t>
  </si>
  <si>
    <t>FOUNDERS CLASSICAL ACADEMY-BASTROP</t>
  </si>
  <si>
    <t>ISCHOOL HIGH - ATASCOCITA</t>
  </si>
  <si>
    <t>FOUNDERS CLASSICAL ACADEMY OF PROSPER</t>
  </si>
  <si>
    <t>QUEST COLLEGIATE ACADEMY-WHITEWRIGHT</t>
  </si>
  <si>
    <t>ISCHOOL-CREEKSIDE</t>
  </si>
  <si>
    <t>TEXAS LEADERSHIP OF SAN ANGELO</t>
  </si>
  <si>
    <t>TEXAS LEADERSHIP OF MIDLAND</t>
  </si>
  <si>
    <t>TRINITY LEADERSHIP</t>
  </si>
  <si>
    <t>TEXAS LEADERSHIP OF ABILENE</t>
  </si>
  <si>
    <t>WAYSIDE SCI-TECH MIDDLE AND H S</t>
  </si>
  <si>
    <t>WAYSIDE EDEN PARK ACADEMY</t>
  </si>
  <si>
    <t>WAYSIDE REAL LEARNING ACADEMY</t>
  </si>
  <si>
    <t>WAYSIDE ALTAMIRA ACADEMY</t>
  </si>
  <si>
    <t>NYOS LAMAR SECONDARY</t>
  </si>
  <si>
    <t>NYOS LAMAR EL</t>
  </si>
  <si>
    <t>TEXAS EMPOWERMENT ACADEMY EL</t>
  </si>
  <si>
    <t>SETTLEMENT HOME</t>
  </si>
  <si>
    <t>PATHFINDER CAMP</t>
  </si>
  <si>
    <t>PATHWAYS 3H CAMPUS</t>
  </si>
  <si>
    <t>TNC CAMPUS (TEXAS NEUROREHABILITATION CENTER)</t>
  </si>
  <si>
    <t>METHODIST CHILDREN'S HOME</t>
  </si>
  <si>
    <t>DEPELCHIN-RICHMOND</t>
  </si>
  <si>
    <t>LAUREL RIDGE</t>
  </si>
  <si>
    <t>OLYMPIA HILLS</t>
  </si>
  <si>
    <t>HELPING HAND</t>
  </si>
  <si>
    <t>UT - UNIVERSITY CHARTER SCHOOL AT HIGH POINT</t>
  </si>
  <si>
    <t>AUSTIN OAKS</t>
  </si>
  <si>
    <t>UNLIMITED VISIONS AFTERCARE</t>
  </si>
  <si>
    <t>GEORGETOWN BEHAVIORAL HEALTH INSTITUTE</t>
  </si>
  <si>
    <t>CEDAR CREST</t>
  </si>
  <si>
    <t>MUNDAY</t>
  </si>
  <si>
    <t>SJRC TEXAS</t>
  </si>
  <si>
    <t>SAFE HAVEN</t>
  </si>
  <si>
    <t>CLEARFORK ACADEMY</t>
  </si>
  <si>
    <t>CROSS CREEK</t>
  </si>
  <si>
    <t>CLEARFORK ACADEMY SOUTH</t>
  </si>
  <si>
    <t>BOYSVILLE</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</si>
  <si>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</si>
  <si>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</si>
  <si>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</si>
  <si>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</si>
  <si>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</si>
  <si>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</si>
  <si>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</si>
  <si>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</si>
  <si>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</si>
  <si>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</si>
  <si>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</si>
  <si>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</si>
  <si>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</si>
  <si>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</si>
  <si>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</si>
  <si>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</si>
  <si>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EAST END H S</t>
  </si>
  <si>
    <t>KIPP UNIVERSITY PREP H S</t>
  </si>
  <si>
    <t>KIPP SOMOS COLLEGIATE</t>
  </si>
  <si>
    <t>KIPP OAK CLIFF ACADEMY</t>
  </si>
  <si>
    <t>KIPP AUSTIN COLLEGE PREP</t>
  </si>
  <si>
    <t>KIPP AUSTIN ACADEMY OF ARTS &amp; LETTERS</t>
  </si>
  <si>
    <t>KIPP AUSTIN BEACON PREP</t>
  </si>
  <si>
    <t>KIPP AUSTIN VISTA MIDDLE SCHOOLS</t>
  </si>
  <si>
    <t>KIPP PASEO PREPARATORY SCHOOL</t>
  </si>
  <si>
    <t>KIPP ACADEMY MIDDLE</t>
  </si>
  <si>
    <t>KIPP 3D ACADEMY</t>
  </si>
  <si>
    <t>KIPP SHARPSTOWN COLLEGE PREP</t>
  </si>
  <si>
    <t>KIPP POLARIS ACADEMY FOR BOYS</t>
  </si>
  <si>
    <t>KIPP INTREPID PREPARATORY</t>
  </si>
  <si>
    <t>KIPP VOYAGE ACADEMY FOR GIRLS</t>
  </si>
  <si>
    <t>KIPP CONNECT PREPARATORY</t>
  </si>
  <si>
    <t>KIPP LIBERATION COLLEGE PREPARATORY</t>
  </si>
  <si>
    <t>KIPP SPIRIT COLLEGE PREP</t>
  </si>
  <si>
    <t>KIPP ACADEMY WEST</t>
  </si>
  <si>
    <t>KIPP PRIME COLLEGE PREPARATORY</t>
  </si>
  <si>
    <t>KIPP NEXUS MIDDLE</t>
  </si>
  <si>
    <t>KIPP JOURNEY COLLEGIATE SCHOOL</t>
  </si>
  <si>
    <t>KIPP MOSAIC ACADEMY SCHOOL</t>
  </si>
  <si>
    <t>KIPP TRUTH ACADEMY</t>
  </si>
  <si>
    <t>KIPP DESTINY MIDDLE</t>
  </si>
  <si>
    <t>KIPP PLEASANT GROVE LEADERSHIP ACADEMY</t>
  </si>
  <si>
    <t>KIPP ASPIRE ACADEMY</t>
  </si>
  <si>
    <t>KIPP CAMINO ACADEMY</t>
  </si>
  <si>
    <t>KIPP SOMOS PRI</t>
  </si>
  <si>
    <t>KIPP AUSTIN COMUNIDAD</t>
  </si>
  <si>
    <t>KIPP ALEGRIA PRI</t>
  </si>
  <si>
    <t>KIPP AUSTIN OBRAS</t>
  </si>
  <si>
    <t>KIPP PASEO PRI</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</si>
  <si>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</si>
  <si>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</si>
  <si>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</si>
  <si>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</si>
  <si>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</si>
  <si>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</si>
  <si>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</si>
  <si>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</si>
  <si>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</si>
  <si>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</si>
  <si>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</si>
  <si>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</si>
  <si>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MOSAIC PRI</t>
  </si>
  <si>
    <t>KIPP DESTINY EL</t>
  </si>
  <si>
    <t>KIPP TRUTH EL</t>
  </si>
  <si>
    <t>KIPP PLEASANT GROVE PRI</t>
  </si>
  <si>
    <t>KIPP UN MUNDO PRI</t>
  </si>
  <si>
    <t>KIPP ESPERANZA PRI</t>
  </si>
  <si>
    <t>AUSTIN DISCOVERY SCH</t>
  </si>
  <si>
    <t>THE EAST AUSTIN COLLEGE PREP AT SOUTHWEST KEY</t>
  </si>
  <si>
    <t>THE EAST AUSTIN COLLEGE PREP AT MLK</t>
  </si>
  <si>
    <t>PROMESA COLLEGE PREP BROWNSVILLE</t>
  </si>
  <si>
    <t>PROMESA COLLEGE PREP WEST CORPUS CHRISTI</t>
  </si>
  <si>
    <t>AUSTIN ACHIEVE MIDDLE</t>
  </si>
  <si>
    <t>AUSTIN ACHIEVE NORTHEAST EL</t>
  </si>
  <si>
    <t>AUSTIN ACHIEVE H S</t>
  </si>
  <si>
    <t>AUSTIN ACHIEVE PFLUGERVILLE</t>
  </si>
  <si>
    <t>MAGNOLIA MONTESSORI FOR ALL</t>
  </si>
  <si>
    <t>THE EXCEL CENTER FOR ADULTS - LOCKHART</t>
  </si>
  <si>
    <t>THE EXCEL CENTER FOR ADULTS - SOUTH AUSTIN</t>
  </si>
  <si>
    <t>BILLY MOORE</t>
  </si>
  <si>
    <t>DIBOLL</t>
  </si>
  <si>
    <t>VALOR SOUTH AUSTIN</t>
  </si>
  <si>
    <t>VALOR NORTH AUSTIN</t>
  </si>
  <si>
    <t>VALOR KYLE</t>
  </si>
  <si>
    <t>THOMAS BUZBEE VOCATIONAL SCHOOL</t>
  </si>
  <si>
    <t>TRIUMPH PUBLIC HIGH SCHOOLS-LAREDO NORTH</t>
  </si>
  <si>
    <t>TRIUMPH PUBLIC HIGH SCHOOLS-LAREDO SOUTH</t>
  </si>
  <si>
    <t>$15K per eligible campus</t>
  </si>
  <si>
    <t>Eligible Campus Count</t>
  </si>
  <si>
    <t>No ADA</t>
  </si>
  <si>
    <t>AIA LANCASTER EL</t>
  </si>
  <si>
    <t>RICHMOND MIDDLE</t>
  </si>
  <si>
    <t>PEARLAND MIDDLE</t>
  </si>
  <si>
    <t>FRANK L MADLA ACCELERATED COLLEGIATE ACADEMY</t>
  </si>
  <si>
    <t>THE REFUGE</t>
  </si>
  <si>
    <t>PEARLAND EL</t>
  </si>
  <si>
    <t>VSN</t>
  </si>
  <si>
    <t>TRINITY CHARTER SCHOOLS - TYLER CAMPUS</t>
  </si>
  <si>
    <t>HARMONY VIRTUAL ACADEMY</t>
  </si>
  <si>
    <t>FOUNDERS CLASSICAL ACADEMY-ONLINE</t>
  </si>
  <si>
    <t>ISCHOOL VIRTUAL ACADEMY OF TEXAS</t>
  </si>
  <si>
    <t>PREMIER H S ONLINE</t>
  </si>
  <si>
    <t>GREAT HEARTS ONLINE - TX</t>
  </si>
  <si>
    <t>Not Eligible Code
(1: No ADA; 2: JJAEP; 3: VSN)</t>
  </si>
  <si>
    <t>Not Eligible Reason</t>
  </si>
  <si>
    <t>School Safety Allotment Detail</t>
  </si>
  <si>
    <t xml:space="preserve">School Safety Allotment, 42.168 </t>
  </si>
  <si>
    <t xml:space="preserve"> 48.115 (a)(1): $10 per refined ADA</t>
  </si>
  <si>
    <t xml:space="preserve"> 48.115 (a)(2) - $15,000 per estimated eligible campus </t>
  </si>
  <si>
    <t xml:space="preserve">Estimates of Eligible (and ineligible) campuses </t>
  </si>
  <si>
    <t>• Reminders about specific funding calculations or appropriation information found under the  Funding Information section.</t>
  </si>
  <si>
    <t>2020 and 2021 M&amp; O Rev Per ADA carried into State Aid worksheet for FTG calculations</t>
  </si>
  <si>
    <t>SOF Run ID 42602
dated 3/08/2024</t>
  </si>
  <si>
    <t>Version 4, March 2024</t>
  </si>
  <si>
    <r>
      <t>• Auto-populated with</t>
    </r>
    <r>
      <rPr>
        <b/>
        <sz val="10"/>
        <rFont val="Arial"/>
        <family val="2"/>
      </rPr>
      <t xml:space="preserve"> </t>
    </r>
    <r>
      <rPr>
        <sz val="10"/>
        <rFont val="Arial"/>
        <family val="2"/>
      </rPr>
      <t>ADA Projection attendance from the Foundation School Program (FSP) system for current school year, if charter school has reported attendance data in the system; otherwise column is blank. Data entry permitted to reconcile with subsequent Summary of Finance publications.</t>
    </r>
  </si>
  <si>
    <t>•  Fiscal year 2024: Tier Two, Level 1 enrichment Guaranteed Yield - $126.21 (88-R).</t>
  </si>
  <si>
    <t>•  Statewide Small and Mid-size Allotment updated to $1,102 per Regular Program ADA (from $1,107).</t>
  </si>
  <si>
    <t>•  District Basic Allotment  (DBA) adjusted for Career and Technology Allotment updated to $7,262 (from $7,267).</t>
  </si>
  <si>
    <t xml:space="preserve">Attendance data and Funding Components reconcile with Summary of Finance (SOF) Run ID 42602, dated 3/08/2024.  </t>
  </si>
  <si>
    <t xml:space="preserve">  Funding Components section</t>
  </si>
  <si>
    <t>• School Safety Allotment (SSA) - TEC, §48.115</t>
  </si>
  <si>
    <t>• State Compensatory Education Allotment - TEC, §48.104</t>
  </si>
  <si>
    <t>• 19 Texas Administrative Code (TAC) §61.1008. School Safety Allotment effective February 20, 2024.</t>
  </si>
  <si>
    <t>• SSA is $10 per ADA plus $15,000 per eligible campus. Campus allotment is estimated, until 2023–2024 TSDS PEIMS data is finalized at near-final settle-up in September 2024.</t>
  </si>
  <si>
    <t>• New Instructional Facility Allotment (NIFA) - TEC, §48.158</t>
  </si>
  <si>
    <t xml:space="preserve">NIFA allotment is estimate based on approved Foundation School Program system applications. For all districts receiving the NIFA, a settle‑up amount is determined when final counts of ADA as reported through the PEIMS are available for each campus. </t>
  </si>
  <si>
    <t>• Charter Schools Facilities Funding - TEC, §12.106 (d)(e)</t>
  </si>
  <si>
    <t>• Formula Transition Grant (FTG) - TEC, §48.277. Expires September 1, 2024</t>
  </si>
  <si>
    <t>A school district or open-enrollment charter school is not entitled to FTG beginning with the 2024-2025 school year.</t>
  </si>
  <si>
    <t xml:space="preserve">Rule impacts Regular Program and Special Education allotment calculation when the Special Education allotment calculation under Prior Law is greater than Special Education allotment calculation under Current law. If Prior Law yields a greater Special Education allotment, the difference is added to Current law Special Education allotment and reduced from the Regular Program allotment by the same amount. </t>
  </si>
  <si>
    <t>An acceptable accountability rating is required to receive Charter Schools Facility Funding. The issuance of 2023 A–F ratings under the final 2023 rule is pending. For further information on 2023 A-F ratings, contact Division of Performance Reporting at performance.reporting@tea.texas.gov</t>
  </si>
  <si>
    <t>• 19 Texas Administrative Code (TAC) Rule 61.1004. Expires September 1, 2024.</t>
  </si>
  <si>
    <t xml:space="preserve">•  Enter six digit county district number (no dashes) to auto-populate attendance data to the State Aid worksheet. 
"Prior Year Initialized Estimate" column is auto-populated for all versions of the template. The "Legislative Payment Estimate/Cash Flow" column is auto-populated effective with Version 2 template. Until settle-up in September 2024, cash flow/payments from September 2023 to August 2024 is based on attendance updates submitted through the Foundation School Program (FSP) application system.  </t>
  </si>
  <si>
    <t xml:space="preserve">Variance </t>
  </si>
  <si>
    <t>State Aid Worksheet</t>
  </si>
  <si>
    <t>Dump Data</t>
  </si>
  <si>
    <t>• Update estimates in Column E.  Review change to Foundation School Program State Aid, of the State Aid worksheet, Column D: "Revised Estimate". Option to submit revised enrollment estimates by August 1, 2023 via the Foundation School Program (FSP) application for publication on September 2023 SOF.  For information on the annual option to submit revised estimates through the FSP Estimate Data Report, click hyperlink below or email CharterSchoolFinance@tea.texas.gov</t>
  </si>
  <si>
    <t>• Estimate data populated for Advanced CTE, State Compensatory Education, and Tier One Allotments/ Reimbursement are basis for cash flow until actual data is available.</t>
  </si>
  <si>
    <t>2023-2024 Charter School Estimate of State Aid Template
March 2024- Version 4</t>
  </si>
  <si>
    <t>The count of compensatory education students updated using fall PEIMS snapshot counts of economically disadvantaged students. Cash flow/ payments will be updated to reflect new final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</si>
</sst>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
    <numFmt numFmtId="165" formatCode="0.0000"/>
    <numFmt numFmtId="166" formatCode="_(&quot;$&quot;* #,##0_);_(&quot;$&quot;* \(#,##0\);_(&quot;$&quot;* &quot;-&quot;??_);_(@_)"/>
    <numFmt numFmtId="167" formatCode="000000"/>
    <numFmt numFmtId="168" formatCode="0.0"/>
    <numFmt numFmtId="169" formatCode="_(* #,##0_);_(* \(#,##0\);_(* &quot;-&quot;??_);_(@_)"/>
    <numFmt numFmtId="170" formatCode="_(&quot;$&quot;* #,##0.000_);_(&quot;$&quot;* \(#,##0.000\);_(&quot;$&quot;* &quot;-&quot;???_);_(@_)"/>
    <numFmt numFmtId="171" formatCode="_(&quot;$&quot;* #,##0.000000_);_(&quot;$&quot;* \(#,##0.000000\);_(&quot;$&quot;* &quot;-&quot;??????_);_(@_)"/>
    <numFmt numFmtId="172" formatCode="&quot;$&quot;#,##0"/>
    <numFmt numFmtId="173" formatCode="_(&quot;$&quot;* #,##0.0000_);_(&quot;$&quot;* \(#,##0.0000\);_(&quot;$&quot;* &quot;-&quot;????_);_(@_)"/>
    <numFmt numFmtId="174" formatCode="0.000%"/>
    <numFmt numFmtId="175" formatCode="0.00000"/>
    <numFmt numFmtId="176" formatCode="0.0000000"/>
    <numFmt numFmtId="177" formatCode="#,##0.000"/>
    <numFmt numFmtId="178" formatCode="0.000000"/>
    <numFmt numFmtId="179" formatCode="#,##0.000_);\(#,##0.000\)"/>
    <numFmt numFmtId="180"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u/>
      <sz val="10"/>
      <color theme="10"/>
      <name val="Arial"/>
      <family val="2"/>
    </font>
    <font>
      <u/>
      <sz val="10"/>
      <color theme="11"/>
      <name val="Arial"/>
      <family val="2"/>
    </font>
    <font>
      <sz val="9"/>
      <color indexed="81"/>
      <name val="Tahoma"/>
      <family val="2"/>
    </font>
    <font>
      <sz val="12"/>
      <name val="Calibri"/>
      <family val="2"/>
      <scheme val="minor"/>
    </font>
    <font>
      <b/>
      <sz val="12"/>
      <name val="Calibri"/>
      <family val="2"/>
      <scheme val="minor"/>
    </font>
    <font>
      <sz val="12"/>
      <color rgb="FFFF0000"/>
      <name val="Calibri"/>
      <family val="2"/>
      <scheme val="minor"/>
    </font>
    <font>
      <u/>
      <sz val="10"/>
      <color theme="10"/>
      <name val="Arial"/>
      <family val="2"/>
    </font>
    <font>
      <sz val="8"/>
      <name val="Arial"/>
      <family val="2"/>
    </font>
    <font>
      <sz val="10"/>
      <color theme="2" tint="-9.9978637043366805E-2"/>
      <name val="Arial"/>
      <family val="2"/>
    </font>
    <font>
      <b/>
      <sz val="10"/>
      <color theme="2" tint="-9.9978637043366805E-2"/>
      <name val="Arial"/>
      <family val="2"/>
    </font>
    <font>
      <b/>
      <sz val="11"/>
      <color theme="2" tint="-9.9978637043366805E-2"/>
      <name val="Calibri"/>
      <family val="2"/>
      <scheme val="minor"/>
    </font>
    <font>
      <i/>
      <sz val="12"/>
      <name val="Calibri"/>
      <family val="2"/>
      <scheme val="minor"/>
    </font>
    <font>
      <b/>
      <sz val="12"/>
      <color rgb="FFFF0000"/>
      <name val="Calibri"/>
      <family val="2"/>
      <scheme val="minor"/>
    </font>
    <font>
      <b/>
      <sz val="12"/>
      <color theme="3"/>
      <name val="Calibri"/>
      <family val="2"/>
      <scheme val="minor"/>
    </font>
    <font>
      <b/>
      <i/>
      <sz val="12"/>
      <name val="Calibri"/>
      <family val="2"/>
      <scheme val="minor"/>
    </font>
    <font>
      <b/>
      <sz val="10"/>
      <name val="Arial"/>
      <family val="2"/>
    </font>
    <font>
      <sz val="12"/>
      <color theme="0" tint="-0.14999847407452621"/>
      <name val="Calibri"/>
      <family val="2"/>
      <scheme val="minor"/>
    </font>
    <font>
      <sz val="10"/>
      <color rgb="FFC00000"/>
      <name val="Arial"/>
      <family val="2"/>
    </font>
    <font>
      <sz val="10"/>
      <color indexed="81"/>
      <name val="Arial"/>
      <family val="2"/>
    </font>
    <font>
      <sz val="10"/>
      <color theme="1"/>
      <name val="Arial"/>
      <family val="2"/>
    </font>
    <font>
      <sz val="9"/>
      <color indexed="81"/>
      <name val="Arial"/>
      <family val="2"/>
    </font>
    <font>
      <b/>
      <sz val="10"/>
      <color rgb="FFC00000"/>
      <name val="Arial"/>
      <family val="2"/>
    </font>
    <font>
      <b/>
      <sz val="10"/>
      <color theme="3"/>
      <name val="Arial"/>
      <family val="2"/>
    </font>
    <font>
      <sz val="10"/>
      <color theme="0"/>
      <name val="Arial"/>
      <family val="2"/>
    </font>
    <font>
      <b/>
      <sz val="11"/>
      <color theme="2" tint="-0.249977111117893"/>
      <name val="Calibri"/>
      <family val="2"/>
      <scheme val="minor"/>
    </font>
    <font>
      <sz val="10"/>
      <color theme="2" tint="-0.249977111117893"/>
      <name val="Arial"/>
      <family val="2"/>
    </font>
    <font>
      <i/>
      <sz val="10"/>
      <name val="Arial"/>
      <family val="2"/>
    </font>
    <font>
      <sz val="18"/>
      <name val="Arial"/>
      <family val="2"/>
    </font>
    <font>
      <sz val="18"/>
      <color rgb="FF000000"/>
      <name val="Arial"/>
      <family val="2"/>
    </font>
    <font>
      <sz val="9"/>
      <color indexed="81"/>
      <name val="Tahoma"/>
      <charset val="1"/>
    </font>
    <font>
      <b/>
      <sz val="9"/>
      <color indexed="81"/>
      <name val="Tahoma"/>
      <charset val="1"/>
    </font>
    <font>
      <u/>
      <sz val="10"/>
      <color rgb="FF0070C0"/>
      <name val="Arial"/>
      <family val="2"/>
    </font>
    <font>
      <sz val="10"/>
      <color rgb="FF0070C0"/>
      <name val="Arial"/>
      <family val="2"/>
    </font>
    <font>
      <b/>
      <sz val="10"/>
      <color theme="1"/>
      <name val="Arial"/>
      <family val="2"/>
    </font>
    <font>
      <b/>
      <sz val="10"/>
      <color rgb="FFFF0000"/>
      <name val="Arial"/>
      <family val="2"/>
    </font>
    <font>
      <sz val="10"/>
      <color rgb="FFFF0000"/>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DFFE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9" tint="0.79998168889431442"/>
        <bgColor indexed="64"/>
      </patternFill>
    </fill>
  </fills>
  <borders count="74">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bottom/>
      <diagonal/>
    </border>
    <border>
      <left/>
      <right style="thin">
        <color auto="1"/>
      </right>
      <top style="double">
        <color auto="1"/>
      </top>
      <bottom style="thin">
        <color auto="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double">
        <color auto="1"/>
      </bottom>
      <diagonal/>
    </border>
    <border>
      <left style="thin">
        <color auto="1"/>
      </left>
      <right/>
      <top/>
      <bottom/>
      <diagonal/>
    </border>
    <border>
      <left style="thin">
        <color auto="1"/>
      </left>
      <right/>
      <top style="double">
        <color auto="1"/>
      </top>
      <bottom style="double">
        <color auto="1"/>
      </bottom>
      <diagonal/>
    </border>
    <border>
      <left style="thin">
        <color auto="1"/>
      </left>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top style="thin">
        <color auto="1"/>
      </top>
      <bottom style="double">
        <color auto="1"/>
      </bottom>
      <diagonal/>
    </border>
    <border>
      <left style="thin">
        <color auto="1"/>
      </left>
      <right style="thin">
        <color auto="1"/>
      </right>
      <top style="double">
        <color auto="1"/>
      </top>
      <bottom style="double">
        <color auto="1"/>
      </bottom>
      <diagonal/>
    </border>
    <border>
      <left/>
      <right style="thin">
        <color auto="1"/>
      </right>
      <top/>
      <bottom style="double">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thin">
        <color auto="1"/>
      </right>
      <top style="thin">
        <color auto="1"/>
      </top>
      <bottom style="double">
        <color auto="1"/>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double">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auto="1"/>
      </right>
      <top/>
      <bottom style="thin">
        <color auto="1"/>
      </bottom>
      <diagonal/>
    </border>
    <border>
      <left/>
      <right/>
      <top style="thin">
        <color indexed="64"/>
      </top>
      <bottom style="double">
        <color auto="1"/>
      </bottom>
      <diagonal/>
    </border>
    <border>
      <left style="medium">
        <color auto="1"/>
      </left>
      <right/>
      <top style="thin">
        <color auto="1"/>
      </top>
      <bottom style="thin">
        <color auto="1"/>
      </bottom>
      <diagonal/>
    </border>
    <border>
      <left style="thin">
        <color indexed="64"/>
      </left>
      <right/>
      <top style="thin">
        <color indexed="64"/>
      </top>
      <bottom/>
      <diagonal/>
    </border>
    <border>
      <left/>
      <right style="medium">
        <color auto="1"/>
      </right>
      <top/>
      <bottom/>
      <diagonal/>
    </border>
    <border>
      <left style="thin">
        <color auto="1"/>
      </left>
      <right/>
      <top style="medium">
        <color auto="1"/>
      </top>
      <bottom style="thin">
        <color auto="1"/>
      </bottom>
      <diagonal/>
    </border>
    <border>
      <left style="thin">
        <color auto="1"/>
      </left>
      <right/>
      <top style="double">
        <color auto="1"/>
      </top>
      <bottom style="thin">
        <color auto="1"/>
      </bottom>
      <diagonal/>
    </border>
    <border>
      <left/>
      <right style="thin">
        <color indexed="64"/>
      </right>
      <top style="thin">
        <color indexed="64"/>
      </top>
      <bottom style="thin">
        <color theme="1"/>
      </bottom>
      <diagonal/>
    </border>
    <border>
      <left style="thin">
        <color auto="1"/>
      </left>
      <right style="thick">
        <color auto="1"/>
      </right>
      <top/>
      <bottom/>
      <diagonal/>
    </border>
    <border>
      <left style="thin">
        <color auto="1"/>
      </left>
      <right style="thick">
        <color auto="1"/>
      </right>
      <top/>
      <bottom style="thin">
        <color auto="1"/>
      </bottom>
      <diagonal/>
    </border>
    <border>
      <left style="thin">
        <color auto="1"/>
      </left>
      <right style="thick">
        <color auto="1"/>
      </right>
      <top style="thin">
        <color indexed="64"/>
      </top>
      <bottom style="thin">
        <color indexed="64"/>
      </bottom>
      <diagonal/>
    </border>
    <border>
      <left style="thin">
        <color auto="1"/>
      </left>
      <right style="thick">
        <color auto="1"/>
      </right>
      <top style="thin">
        <color indexed="64"/>
      </top>
      <bottom style="double">
        <color indexed="64"/>
      </bottom>
      <diagonal/>
    </border>
    <border>
      <left style="thin">
        <color auto="1"/>
      </left>
      <right style="thick">
        <color auto="1"/>
      </right>
      <top style="double">
        <color auto="1"/>
      </top>
      <bottom style="double">
        <color auto="1"/>
      </bottom>
      <diagonal/>
    </border>
    <border>
      <left style="thin">
        <color auto="1"/>
      </left>
      <right style="thick">
        <color auto="1"/>
      </right>
      <top/>
      <bottom style="double">
        <color auto="1"/>
      </bottom>
      <diagonal/>
    </border>
    <border>
      <left style="thin">
        <color auto="1"/>
      </left>
      <right style="thick">
        <color auto="1"/>
      </right>
      <top style="double">
        <color auto="1"/>
      </top>
      <bottom style="thin">
        <color auto="1"/>
      </bottom>
      <diagonal/>
    </border>
    <border>
      <left style="thin">
        <color auto="1"/>
      </left>
      <right style="thick">
        <color auto="1"/>
      </right>
      <top style="thin">
        <color indexed="64"/>
      </top>
      <bottom/>
      <diagonal/>
    </border>
    <border>
      <left style="thick">
        <color auto="1"/>
      </left>
      <right style="thin">
        <color auto="1"/>
      </right>
      <top/>
      <bottom/>
      <diagonal/>
    </border>
    <border>
      <left style="thick">
        <color auto="1"/>
      </left>
      <right style="thin">
        <color auto="1"/>
      </right>
      <top/>
      <bottom style="thin">
        <color auto="1"/>
      </bottom>
      <diagonal/>
    </border>
    <border>
      <left style="thick">
        <color auto="1"/>
      </left>
      <right style="thin">
        <color auto="1"/>
      </right>
      <top style="thin">
        <color auto="1"/>
      </top>
      <bottom style="double">
        <color auto="1"/>
      </bottom>
      <diagonal/>
    </border>
    <border>
      <left style="thick">
        <color auto="1"/>
      </left>
      <right style="thin">
        <color auto="1"/>
      </right>
      <top style="double">
        <color auto="1"/>
      </top>
      <bottom style="double">
        <color auto="1"/>
      </bottom>
      <diagonal/>
    </border>
    <border>
      <left style="thick">
        <color auto="1"/>
      </left>
      <right style="thin">
        <color auto="1"/>
      </right>
      <top/>
      <bottom style="double">
        <color auto="1"/>
      </bottom>
      <diagonal/>
    </border>
    <border>
      <left style="thick">
        <color auto="1"/>
      </left>
      <right style="thin">
        <color auto="1"/>
      </right>
      <top style="double">
        <color auto="1"/>
      </top>
      <bottom style="thin">
        <color auto="1"/>
      </bottom>
      <diagonal/>
    </border>
    <border>
      <left/>
      <right/>
      <top/>
      <bottom style="thin">
        <color indexed="64"/>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bottom style="thin">
        <color auto="1"/>
      </bottom>
      <diagonal/>
    </border>
    <border>
      <left style="medium">
        <color auto="1"/>
      </left>
      <right/>
      <top style="thin">
        <color indexed="64"/>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auto="1"/>
      </bottom>
      <diagonal/>
    </border>
    <border>
      <left style="mediumDashed">
        <color auto="1"/>
      </left>
      <right style="mediumDashed">
        <color auto="1"/>
      </right>
      <top style="mediumDashed">
        <color auto="1"/>
      </top>
      <bottom style="mediumDashed">
        <color auto="1"/>
      </bottom>
      <diagonal/>
    </border>
    <border>
      <left style="thick">
        <color theme="5" tint="-0.24994659260841701"/>
      </left>
      <right style="thin">
        <color indexed="64"/>
      </right>
      <top style="thick">
        <color theme="5" tint="-0.24994659260841701"/>
      </top>
      <bottom style="thin">
        <color indexed="64"/>
      </bottom>
      <diagonal/>
    </border>
    <border>
      <left style="thin">
        <color indexed="64"/>
      </left>
      <right style="thin">
        <color indexed="64"/>
      </right>
      <top style="thick">
        <color theme="5" tint="-0.24994659260841701"/>
      </top>
      <bottom style="thin">
        <color indexed="64"/>
      </bottom>
      <diagonal/>
    </border>
    <border>
      <left style="thin">
        <color indexed="64"/>
      </left>
      <right style="thick">
        <color theme="5" tint="-0.24994659260841701"/>
      </right>
      <top style="thick">
        <color theme="5" tint="-0.24994659260841701"/>
      </top>
      <bottom style="thin">
        <color indexed="64"/>
      </bottom>
      <diagonal/>
    </border>
    <border>
      <left style="thick">
        <color theme="5" tint="-0.24994659260841701"/>
      </left>
      <right style="thin">
        <color indexed="64"/>
      </right>
      <top style="thin">
        <color indexed="64"/>
      </top>
      <bottom style="thin">
        <color indexed="64"/>
      </bottom>
      <diagonal/>
    </border>
    <border>
      <left style="thin">
        <color indexed="64"/>
      </left>
      <right style="thick">
        <color theme="5" tint="-0.24994659260841701"/>
      </right>
      <top style="thin">
        <color indexed="64"/>
      </top>
      <bottom style="thin">
        <color indexed="64"/>
      </bottom>
      <diagonal/>
    </border>
    <border>
      <left style="thick">
        <color theme="5" tint="-0.24994659260841701"/>
      </left>
      <right style="thin">
        <color indexed="64"/>
      </right>
      <top style="thin">
        <color indexed="64"/>
      </top>
      <bottom style="thick">
        <color theme="5" tint="-0.24994659260841701"/>
      </bottom>
      <diagonal/>
    </border>
    <border>
      <left style="thin">
        <color indexed="64"/>
      </left>
      <right style="thin">
        <color indexed="64"/>
      </right>
      <top style="thin">
        <color indexed="64"/>
      </top>
      <bottom style="thick">
        <color theme="5" tint="-0.24994659260841701"/>
      </bottom>
      <diagonal/>
    </border>
    <border>
      <left style="thin">
        <color indexed="64"/>
      </left>
      <right style="thick">
        <color theme="5" tint="-0.24994659260841701"/>
      </right>
      <top style="thin">
        <color indexed="64"/>
      </top>
      <bottom style="thick">
        <color theme="5" tint="-0.24994659260841701"/>
      </bottom>
      <diagonal/>
    </border>
  </borders>
  <cellStyleXfs count="20">
    <xf numFmtId="0" fontId="0"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applyNumberFormat="0" applyFill="0" applyBorder="0" applyAlignment="0" applyProtection="0"/>
    <xf numFmtId="0" fontId="5" fillId="0" borderId="0"/>
  </cellStyleXfs>
  <cellXfs count="701">
    <xf numFmtId="0" fontId="0" fillId="0" borderId="0" xfId="0"/>
    <xf numFmtId="0" fontId="12" fillId="3" borderId="0" xfId="0" applyFont="1" applyFill="1"/>
    <xf numFmtId="0" fontId="11" fillId="3" borderId="0" xfId="0" applyFont="1" applyFill="1"/>
    <xf numFmtId="0" fontId="12" fillId="3" borderId="0" xfId="0" applyFont="1" applyFill="1" applyAlignment="1">
      <alignment horizontal="left"/>
    </xf>
    <xf numFmtId="0" fontId="13" fillId="3" borderId="0" xfId="0" applyFont="1" applyFill="1"/>
    <xf numFmtId="0" fontId="12" fillId="3" borderId="0" xfId="0" applyFont="1" applyFill="1" applyAlignment="1">
      <alignment vertical="center"/>
    </xf>
    <xf numFmtId="0" fontId="12" fillId="3" borderId="0" xfId="0" applyFont="1" applyFill="1" applyAlignment="1">
      <alignment horizontal="left" vertical="center"/>
    </xf>
    <xf numFmtId="0" fontId="11" fillId="3" borderId="0" xfId="0" applyFont="1" applyFill="1" applyAlignment="1">
      <alignment wrapText="1"/>
    </xf>
    <xf numFmtId="0" fontId="11" fillId="3" borderId="0" xfId="0" applyFont="1" applyFill="1" applyAlignment="1">
      <alignment horizontal="left" vertical="center"/>
    </xf>
    <xf numFmtId="0" fontId="16" fillId="3" borderId="0" xfId="0" applyFont="1" applyFill="1"/>
    <xf numFmtId="0" fontId="17" fillId="3" borderId="0" xfId="0" applyFont="1" applyFill="1"/>
    <xf numFmtId="0" fontId="16" fillId="3" borderId="30" xfId="0" applyFont="1" applyFill="1" applyBorder="1"/>
    <xf numFmtId="0" fontId="18" fillId="3" borderId="0" xfId="0" applyFont="1" applyFill="1"/>
    <xf numFmtId="0" fontId="19" fillId="3" borderId="0" xfId="0" applyFont="1" applyFill="1"/>
    <xf numFmtId="0" fontId="11" fillId="3" borderId="0" xfId="0" applyFont="1" applyFill="1" applyAlignment="1">
      <alignment horizontal="right"/>
    </xf>
    <xf numFmtId="0" fontId="0" fillId="3" borderId="0" xfId="0" applyFill="1"/>
    <xf numFmtId="0" fontId="21" fillId="3" borderId="0" xfId="0" applyFont="1" applyFill="1" applyAlignment="1">
      <alignment vertical="center"/>
    </xf>
    <xf numFmtId="0" fontId="22" fillId="3" borderId="0" xfId="0" applyFont="1" applyFill="1" applyAlignment="1">
      <alignment horizontal="left"/>
    </xf>
    <xf numFmtId="0" fontId="22" fillId="3" borderId="0" xfId="0" applyFont="1" applyFill="1" applyAlignment="1">
      <alignment vertical="center"/>
    </xf>
    <xf numFmtId="0" fontId="23" fillId="3" borderId="0" xfId="0" applyFont="1" applyFill="1"/>
    <xf numFmtId="0" fontId="24" fillId="3" borderId="0" xfId="0" applyFont="1" applyFill="1"/>
    <xf numFmtId="5" fontId="12" fillId="3" borderId="0" xfId="0" applyNumberFormat="1" applyFont="1" applyFill="1" applyAlignment="1">
      <alignment horizontal="left" vertical="center"/>
    </xf>
    <xf numFmtId="0" fontId="20" fillId="3" borderId="0" xfId="0" applyFont="1" applyFill="1" applyAlignment="1">
      <alignment vertical="center"/>
    </xf>
    <xf numFmtId="0" fontId="12" fillId="3" borderId="0" xfId="0" applyFont="1" applyFill="1" applyAlignment="1">
      <alignment horizontal="right"/>
    </xf>
    <xf numFmtId="0" fontId="5" fillId="3" borderId="0" xfId="0" applyFont="1" applyFill="1" applyAlignment="1">
      <alignment horizontal="center" vertical="center"/>
    </xf>
    <xf numFmtId="0" fontId="5" fillId="3" borderId="32" xfId="0" applyFont="1" applyFill="1" applyBorder="1" applyAlignment="1">
      <alignment vertical="center" wrapText="1"/>
    </xf>
    <xf numFmtId="0" fontId="5" fillId="3" borderId="23" xfId="0" applyFont="1" applyFill="1" applyBorder="1" applyAlignment="1">
      <alignment horizontal="center" wrapText="1"/>
    </xf>
    <xf numFmtId="0" fontId="5" fillId="3" borderId="26" xfId="0" applyFont="1" applyFill="1" applyBorder="1" applyAlignment="1">
      <alignment vertical="center" wrapText="1"/>
    </xf>
    <xf numFmtId="174" fontId="5" fillId="6" borderId="30" xfId="0" applyNumberFormat="1" applyFont="1" applyFill="1" applyBorder="1" applyAlignment="1" applyProtection="1">
      <alignment horizontal="center" vertical="center"/>
      <protection locked="0"/>
    </xf>
    <xf numFmtId="0" fontId="5" fillId="3" borderId="26" xfId="0" applyFont="1" applyFill="1" applyBorder="1" applyAlignment="1">
      <alignment horizontal="center" vertical="center"/>
    </xf>
    <xf numFmtId="49" fontId="5" fillId="3" borderId="30" xfId="0" applyNumberFormat="1" applyFont="1" applyFill="1" applyBorder="1" applyAlignment="1">
      <alignment horizontal="center" wrapText="1"/>
    </xf>
    <xf numFmtId="0" fontId="5" fillId="3" borderId="30" xfId="0" applyFont="1" applyFill="1" applyBorder="1" applyAlignment="1">
      <alignment horizontal="left" vertical="center" wrapText="1" indent="4"/>
    </xf>
    <xf numFmtId="3" fontId="5" fillId="6" borderId="30" xfId="0" applyNumberFormat="1" applyFont="1" applyFill="1" applyBorder="1" applyAlignment="1" applyProtection="1">
      <alignment horizontal="right" vertical="center"/>
      <protection locked="0"/>
    </xf>
    <xf numFmtId="0" fontId="5" fillId="3" borderId="30" xfId="0" applyFont="1" applyFill="1" applyBorder="1" applyAlignment="1">
      <alignment horizontal="left" wrapText="1" indent="4"/>
    </xf>
    <xf numFmtId="6" fontId="5" fillId="3" borderId="30" xfId="0" applyNumberFormat="1" applyFont="1" applyFill="1" applyBorder="1" applyAlignment="1">
      <alignment horizontal="center" vertical="center" wrapText="1"/>
    </xf>
    <xf numFmtId="0" fontId="5" fillId="3" borderId="30" xfId="0" applyFont="1" applyFill="1" applyBorder="1" applyAlignment="1">
      <alignment horizontal="left" vertical="center" indent="4"/>
    </xf>
    <xf numFmtId="0" fontId="5" fillId="3" borderId="30" xfId="0" applyFont="1" applyFill="1" applyBorder="1" applyAlignment="1">
      <alignment horizontal="center" wrapText="1"/>
    </xf>
    <xf numFmtId="168" fontId="5" fillId="3" borderId="30" xfId="0" applyNumberFormat="1" applyFont="1" applyFill="1" applyBorder="1" applyAlignment="1">
      <alignment horizontal="center" wrapText="1"/>
    </xf>
    <xf numFmtId="0" fontId="5" fillId="3" borderId="30" xfId="0" quotePrefix="1" applyFont="1" applyFill="1" applyBorder="1" applyAlignment="1">
      <alignment horizontal="center" vertical="center" wrapText="1"/>
    </xf>
    <xf numFmtId="0" fontId="5" fillId="3" borderId="0" xfId="0" applyFont="1" applyFill="1" applyAlignment="1">
      <alignment horizontal="center"/>
    </xf>
    <xf numFmtId="0" fontId="5" fillId="3" borderId="25"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30" xfId="0" applyFont="1" applyFill="1" applyBorder="1" applyAlignment="1">
      <alignment horizontal="center" vertical="center" wrapText="1"/>
    </xf>
    <xf numFmtId="49" fontId="5" fillId="3" borderId="30" xfId="0" applyNumberFormat="1" applyFont="1" applyFill="1" applyBorder="1" applyAlignment="1">
      <alignment horizontal="center" vertical="center"/>
    </xf>
    <xf numFmtId="0" fontId="5" fillId="3" borderId="23" xfId="0" applyFont="1" applyFill="1" applyBorder="1" applyAlignment="1">
      <alignment vertical="center" wrapText="1"/>
    </xf>
    <xf numFmtId="0" fontId="5" fillId="3" borderId="26" xfId="0" applyFont="1" applyFill="1" applyBorder="1" applyAlignment="1">
      <alignment horizontal="left" vertical="center" wrapText="1"/>
    </xf>
    <xf numFmtId="0" fontId="5" fillId="3" borderId="23" xfId="0" quotePrefix="1" applyFont="1" applyFill="1" applyBorder="1" applyAlignment="1">
      <alignment horizontal="center" vertical="center"/>
    </xf>
    <xf numFmtId="0" fontId="5" fillId="3" borderId="23" xfId="0" applyFont="1" applyFill="1" applyBorder="1"/>
    <xf numFmtId="0" fontId="5" fillId="3" borderId="26" xfId="0" applyFont="1" applyFill="1" applyBorder="1" applyAlignment="1">
      <alignment horizontal="left" vertical="center" wrapText="1" indent="3"/>
    </xf>
    <xf numFmtId="0" fontId="5" fillId="3" borderId="23" xfId="0" applyFont="1" applyFill="1" applyBorder="1" applyAlignment="1">
      <alignment horizontal="center" vertical="center"/>
    </xf>
    <xf numFmtId="0" fontId="5" fillId="3" borderId="23" xfId="0" applyFont="1" applyFill="1" applyBorder="1" applyAlignment="1">
      <alignment horizontal="center" vertical="center" wrapText="1"/>
    </xf>
    <xf numFmtId="0" fontId="5" fillId="3" borderId="32" xfId="0" applyFont="1" applyFill="1" applyBorder="1" applyAlignment="1">
      <alignment horizontal="left" vertical="center" wrapText="1" indent="2"/>
    </xf>
    <xf numFmtId="0" fontId="5" fillId="3" borderId="0" xfId="0" applyFont="1" applyFill="1"/>
    <xf numFmtId="0" fontId="5" fillId="3" borderId="0" xfId="0" applyFont="1" applyFill="1" applyAlignment="1">
      <alignment horizontal="right"/>
    </xf>
    <xf numFmtId="164" fontId="5" fillId="3" borderId="3" xfId="0" applyNumberFormat="1" applyFont="1" applyFill="1" applyBorder="1" applyAlignment="1">
      <alignment horizontal="right"/>
    </xf>
    <xf numFmtId="164" fontId="5" fillId="3" borderId="45" xfId="0" applyNumberFormat="1" applyFont="1" applyFill="1" applyBorder="1" applyAlignment="1">
      <alignment horizontal="right"/>
    </xf>
    <xf numFmtId="168" fontId="5" fillId="3" borderId="30" xfId="0" applyNumberFormat="1" applyFont="1" applyFill="1" applyBorder="1" applyAlignment="1">
      <alignment horizontal="center"/>
    </xf>
    <xf numFmtId="164" fontId="5" fillId="3" borderId="26" xfId="0" applyNumberFormat="1" applyFont="1" applyFill="1" applyBorder="1" applyAlignment="1">
      <alignment horizontal="right"/>
    </xf>
    <xf numFmtId="164" fontId="5" fillId="3" borderId="46" xfId="0" applyNumberFormat="1" applyFont="1" applyFill="1" applyBorder="1" applyAlignment="1">
      <alignment horizontal="right"/>
    </xf>
    <xf numFmtId="164" fontId="5" fillId="3" borderId="29" xfId="0" applyNumberFormat="1" applyFont="1" applyFill="1" applyBorder="1" applyAlignment="1">
      <alignment horizontal="right"/>
    </xf>
    <xf numFmtId="0" fontId="5" fillId="3" borderId="16" xfId="0" applyFont="1" applyFill="1" applyBorder="1" applyAlignment="1">
      <alignment wrapText="1"/>
    </xf>
    <xf numFmtId="164" fontId="5" fillId="6" borderId="29" xfId="0" applyNumberFormat="1" applyFont="1" applyFill="1" applyBorder="1" applyAlignment="1" applyProtection="1">
      <alignment horizontal="right"/>
      <protection locked="0"/>
    </xf>
    <xf numFmtId="164" fontId="5" fillId="6" borderId="26" xfId="0" applyNumberFormat="1" applyFont="1" applyFill="1" applyBorder="1" applyAlignment="1" applyProtection="1">
      <alignment horizontal="right"/>
      <protection locked="0"/>
    </xf>
    <xf numFmtId="0" fontId="5" fillId="3" borderId="16" xfId="0" applyFont="1" applyFill="1" applyBorder="1" applyAlignment="1">
      <alignment vertical="center" wrapText="1"/>
    </xf>
    <xf numFmtId="2" fontId="5" fillId="3" borderId="30" xfId="0" applyNumberFormat="1" applyFont="1" applyFill="1" applyBorder="1" applyAlignment="1">
      <alignment horizontal="center"/>
    </xf>
    <xf numFmtId="0" fontId="5" fillId="3" borderId="16" xfId="0" applyFont="1" applyFill="1" applyBorder="1" applyAlignment="1">
      <alignment horizontal="left" vertical="top" wrapText="1" indent="1"/>
    </xf>
    <xf numFmtId="2" fontId="5" fillId="3" borderId="1" xfId="0" applyNumberFormat="1" applyFont="1" applyFill="1" applyBorder="1" applyAlignment="1">
      <alignment horizontal="center"/>
    </xf>
    <xf numFmtId="0" fontId="5" fillId="3" borderId="32" xfId="0" applyFont="1" applyFill="1" applyBorder="1" applyAlignment="1">
      <alignment horizontal="left" vertical="center" wrapText="1" indent="1"/>
    </xf>
    <xf numFmtId="5" fontId="5" fillId="3" borderId="1" xfId="2" applyNumberFormat="1" applyFont="1" applyFill="1" applyBorder="1" applyAlignment="1" applyProtection="1">
      <alignment horizontal="center"/>
    </xf>
    <xf numFmtId="1" fontId="5" fillId="3" borderId="3" xfId="0" applyNumberFormat="1" applyFont="1" applyFill="1" applyBorder="1" applyAlignment="1">
      <alignment horizontal="right"/>
    </xf>
    <xf numFmtId="1" fontId="5" fillId="3" borderId="45" xfId="0" applyNumberFormat="1" applyFont="1" applyFill="1" applyBorder="1" applyAlignment="1">
      <alignment horizontal="right"/>
    </xf>
    <xf numFmtId="1" fontId="5" fillId="6" borderId="53" xfId="0" applyNumberFormat="1" applyFont="1" applyFill="1" applyBorder="1" applyAlignment="1" applyProtection="1">
      <alignment horizontal="right"/>
      <protection locked="0"/>
    </xf>
    <xf numFmtId="1" fontId="5" fillId="6" borderId="3" xfId="0" applyNumberFormat="1" applyFont="1" applyFill="1" applyBorder="1" applyAlignment="1" applyProtection="1">
      <alignment horizontal="right"/>
      <protection locked="0"/>
    </xf>
    <xf numFmtId="2" fontId="5" fillId="3" borderId="9" xfId="0" applyNumberFormat="1" applyFont="1" applyFill="1" applyBorder="1" applyAlignment="1">
      <alignment horizontal="center"/>
    </xf>
    <xf numFmtId="1" fontId="5" fillId="6" borderId="26" xfId="0" applyNumberFormat="1" applyFont="1" applyFill="1" applyBorder="1" applyAlignment="1" applyProtection="1">
      <alignment horizontal="right"/>
      <protection locked="0"/>
    </xf>
    <xf numFmtId="0" fontId="5" fillId="3" borderId="30" xfId="0" applyFont="1" applyFill="1" applyBorder="1" applyAlignment="1">
      <alignment horizontal="left" wrapText="1" indent="1"/>
    </xf>
    <xf numFmtId="165" fontId="5" fillId="3" borderId="26" xfId="0" applyNumberFormat="1" applyFont="1" applyFill="1" applyBorder="1" applyAlignment="1">
      <alignment horizontal="center"/>
    </xf>
    <xf numFmtId="1" fontId="5" fillId="3" borderId="46" xfId="0" applyNumberFormat="1" applyFont="1" applyFill="1" applyBorder="1" applyAlignment="1">
      <alignment horizontal="right"/>
    </xf>
    <xf numFmtId="0" fontId="5" fillId="3" borderId="9" xfId="0" applyFont="1" applyFill="1" applyBorder="1" applyAlignment="1">
      <alignment horizontal="center"/>
    </xf>
    <xf numFmtId="164" fontId="5" fillId="3" borderId="50" xfId="0" applyNumberFormat="1" applyFont="1" applyFill="1" applyBorder="1" applyAlignment="1">
      <alignment horizontal="right"/>
    </xf>
    <xf numFmtId="164" fontId="5" fillId="6" borderId="57" xfId="0" applyNumberFormat="1" applyFont="1" applyFill="1" applyBorder="1" applyAlignment="1" applyProtection="1">
      <alignment horizontal="right"/>
      <protection locked="0"/>
    </xf>
    <xf numFmtId="164" fontId="5" fillId="6" borderId="5" xfId="0" applyNumberFormat="1" applyFont="1" applyFill="1" applyBorder="1" applyAlignment="1" applyProtection="1">
      <alignment horizontal="right"/>
      <protection locked="0"/>
    </xf>
    <xf numFmtId="2" fontId="5" fillId="3" borderId="28" xfId="0" applyNumberFormat="1" applyFont="1" applyFill="1" applyBorder="1" applyAlignment="1">
      <alignment horizontal="center" wrapText="1"/>
    </xf>
    <xf numFmtId="1" fontId="5" fillId="3" borderId="25" xfId="0" applyNumberFormat="1" applyFont="1" applyFill="1" applyBorder="1" applyAlignment="1">
      <alignment horizontal="right" wrapText="1"/>
    </xf>
    <xf numFmtId="1" fontId="5" fillId="3" borderId="51" xfId="0" applyNumberFormat="1" applyFont="1" applyFill="1" applyBorder="1" applyAlignment="1">
      <alignment horizontal="right" wrapText="1"/>
    </xf>
    <xf numFmtId="1" fontId="5" fillId="6" borderId="31" xfId="0" applyNumberFormat="1" applyFont="1" applyFill="1" applyBorder="1" applyAlignment="1" applyProtection="1">
      <alignment horizontal="right" wrapText="1"/>
      <protection locked="0"/>
    </xf>
    <xf numFmtId="1" fontId="5" fillId="6" borderId="25" xfId="0" applyNumberFormat="1" applyFont="1" applyFill="1" applyBorder="1" applyAlignment="1" applyProtection="1">
      <alignment horizontal="right" wrapText="1"/>
      <protection locked="0"/>
    </xf>
    <xf numFmtId="164" fontId="5" fillId="6" borderId="31" xfId="0" applyNumberFormat="1" applyFont="1" applyFill="1" applyBorder="1" applyAlignment="1" applyProtection="1">
      <alignment horizontal="right" wrapText="1"/>
      <protection locked="0"/>
    </xf>
    <xf numFmtId="5" fontId="5" fillId="3" borderId="28" xfId="0" applyNumberFormat="1" applyFont="1" applyFill="1" applyBorder="1" applyAlignment="1">
      <alignment horizontal="center"/>
    </xf>
    <xf numFmtId="164" fontId="5" fillId="3" borderId="25" xfId="0" applyNumberFormat="1" applyFont="1" applyFill="1" applyBorder="1" applyAlignment="1">
      <alignment horizontal="right" wrapText="1"/>
    </xf>
    <xf numFmtId="164" fontId="5" fillId="3" borderId="51" xfId="0" applyNumberFormat="1" applyFont="1" applyFill="1" applyBorder="1" applyAlignment="1">
      <alignment horizontal="right" wrapText="1"/>
    </xf>
    <xf numFmtId="164" fontId="5" fillId="6" borderId="25" xfId="0" applyNumberFormat="1" applyFont="1" applyFill="1" applyBorder="1" applyAlignment="1" applyProtection="1">
      <alignment horizontal="right" wrapText="1"/>
      <protection locked="0"/>
    </xf>
    <xf numFmtId="164" fontId="5" fillId="3" borderId="25" xfId="0" applyNumberFormat="1" applyFont="1" applyFill="1" applyBorder="1" applyAlignment="1">
      <alignment horizontal="right"/>
    </xf>
    <xf numFmtId="164" fontId="5" fillId="3" borderId="51" xfId="0" applyNumberFormat="1" applyFont="1" applyFill="1" applyBorder="1" applyAlignment="1">
      <alignment horizontal="right"/>
    </xf>
    <xf numFmtId="164" fontId="5" fillId="6" borderId="25" xfId="0" applyNumberFormat="1" applyFont="1" applyFill="1" applyBorder="1" applyAlignment="1" applyProtection="1">
      <alignment horizontal="right"/>
      <protection locked="0"/>
    </xf>
    <xf numFmtId="0" fontId="5" fillId="3" borderId="26" xfId="0" applyFont="1" applyFill="1" applyBorder="1" applyAlignment="1">
      <alignment horizontal="center" wrapText="1"/>
    </xf>
    <xf numFmtId="170" fontId="5" fillId="3" borderId="26" xfId="2" applyNumberFormat="1" applyFont="1" applyFill="1" applyBorder="1" applyAlignment="1" applyProtection="1">
      <alignment horizontal="right"/>
      <protection locked="0"/>
    </xf>
    <xf numFmtId="170" fontId="5" fillId="3" borderId="46" xfId="2" applyNumberFormat="1" applyFont="1" applyFill="1" applyBorder="1" applyAlignment="1" applyProtection="1">
      <alignment horizontal="right"/>
      <protection locked="0"/>
    </xf>
    <xf numFmtId="170" fontId="5" fillId="6" borderId="29" xfId="2" applyNumberFormat="1" applyFont="1" applyFill="1" applyBorder="1" applyAlignment="1" applyProtection="1">
      <alignment horizontal="right"/>
      <protection locked="0"/>
    </xf>
    <xf numFmtId="170" fontId="5" fillId="6" borderId="26" xfId="2" applyNumberFormat="1" applyFont="1" applyFill="1" applyBorder="1" applyAlignment="1" applyProtection="1">
      <alignment horizontal="right"/>
      <protection locked="0"/>
    </xf>
    <xf numFmtId="179" fontId="5" fillId="3" borderId="26" xfId="2" applyNumberFormat="1" applyFont="1" applyFill="1" applyBorder="1" applyAlignment="1" applyProtection="1">
      <alignment horizontal="right"/>
      <protection locked="0"/>
    </xf>
    <xf numFmtId="179" fontId="5" fillId="3" borderId="46" xfId="2" applyNumberFormat="1" applyFont="1" applyFill="1" applyBorder="1" applyAlignment="1" applyProtection="1">
      <alignment horizontal="right"/>
      <protection locked="0"/>
    </xf>
    <xf numFmtId="179" fontId="5" fillId="6" borderId="29" xfId="2" applyNumberFormat="1" applyFont="1" applyFill="1" applyBorder="1" applyAlignment="1" applyProtection="1">
      <alignment horizontal="right"/>
      <protection locked="0"/>
    </xf>
    <xf numFmtId="179" fontId="5" fillId="6" borderId="26" xfId="2" applyNumberFormat="1" applyFont="1" applyFill="1" applyBorder="1" applyAlignment="1" applyProtection="1">
      <alignment horizontal="right"/>
      <protection locked="0"/>
    </xf>
    <xf numFmtId="44" fontId="5" fillId="3" borderId="25" xfId="2" applyFont="1" applyFill="1" applyBorder="1" applyAlignment="1" applyProtection="1">
      <alignment horizontal="right"/>
      <protection locked="0"/>
    </xf>
    <xf numFmtId="44" fontId="5" fillId="3" borderId="46" xfId="2" applyFont="1" applyFill="1" applyBorder="1" applyAlignment="1" applyProtection="1">
      <alignment horizontal="right"/>
      <protection locked="0"/>
    </xf>
    <xf numFmtId="44" fontId="5" fillId="3" borderId="29" xfId="2" applyFont="1" applyFill="1" applyBorder="1" applyAlignment="1" applyProtection="1">
      <alignment horizontal="right"/>
      <protection locked="0"/>
    </xf>
    <xf numFmtId="44" fontId="5" fillId="3" borderId="26" xfId="2" applyFont="1" applyFill="1" applyBorder="1" applyAlignment="1" applyProtection="1">
      <alignment horizontal="right"/>
      <protection locked="0"/>
    </xf>
    <xf numFmtId="42" fontId="5" fillId="3" borderId="26" xfId="2" applyNumberFormat="1" applyFont="1" applyFill="1" applyBorder="1" applyAlignment="1" applyProtection="1">
      <alignment horizontal="right"/>
      <protection locked="0"/>
    </xf>
    <xf numFmtId="42" fontId="5" fillId="3" borderId="46" xfId="2" applyNumberFormat="1" applyFont="1" applyFill="1" applyBorder="1" applyAlignment="1" applyProtection="1">
      <alignment horizontal="right"/>
      <protection locked="0"/>
    </xf>
    <xf numFmtId="42" fontId="5" fillId="6" borderId="29" xfId="2" applyNumberFormat="1" applyFont="1" applyFill="1" applyBorder="1" applyAlignment="1" applyProtection="1">
      <alignment horizontal="right"/>
      <protection locked="0"/>
    </xf>
    <xf numFmtId="42" fontId="5" fillId="6" borderId="26" xfId="2" applyNumberFormat="1" applyFont="1" applyFill="1" applyBorder="1" applyAlignment="1" applyProtection="1">
      <alignment horizontal="right"/>
      <protection locked="0"/>
    </xf>
    <xf numFmtId="42" fontId="5" fillId="3" borderId="29" xfId="2" applyNumberFormat="1" applyFont="1" applyFill="1" applyBorder="1" applyAlignment="1" applyProtection="1">
      <alignment horizontal="right"/>
      <protection locked="0"/>
    </xf>
    <xf numFmtId="173" fontId="5" fillId="3" borderId="26" xfId="2" applyNumberFormat="1" applyFont="1" applyFill="1" applyBorder="1" applyAlignment="1" applyProtection="1">
      <alignment horizontal="right"/>
      <protection locked="0"/>
    </xf>
    <xf numFmtId="173" fontId="5" fillId="3" borderId="46" xfId="2" applyNumberFormat="1" applyFont="1" applyFill="1" applyBorder="1" applyAlignment="1" applyProtection="1">
      <alignment horizontal="right"/>
      <protection locked="0"/>
    </xf>
    <xf numFmtId="173" fontId="5" fillId="6" borderId="29" xfId="2" applyNumberFormat="1" applyFont="1" applyFill="1" applyBorder="1" applyAlignment="1" applyProtection="1">
      <alignment horizontal="right"/>
      <protection locked="0"/>
    </xf>
    <xf numFmtId="173" fontId="5" fillId="6" borderId="26" xfId="2" applyNumberFormat="1" applyFont="1" applyFill="1" applyBorder="1" applyAlignment="1" applyProtection="1">
      <alignment horizontal="right"/>
      <protection locked="0"/>
    </xf>
    <xf numFmtId="44" fontId="5" fillId="3" borderId="51" xfId="2" applyFont="1" applyFill="1" applyBorder="1" applyAlignment="1" applyProtection="1">
      <alignment horizontal="right"/>
      <protection locked="0"/>
    </xf>
    <xf numFmtId="44" fontId="5" fillId="3" borderId="31" xfId="2" applyFont="1" applyFill="1" applyBorder="1" applyAlignment="1" applyProtection="1">
      <alignment horizontal="right"/>
      <protection locked="0"/>
    </xf>
    <xf numFmtId="0" fontId="5" fillId="3" borderId="8" xfId="0" applyFont="1" applyFill="1" applyBorder="1" applyAlignment="1">
      <alignment horizontal="left" vertical="center"/>
    </xf>
    <xf numFmtId="0" fontId="5" fillId="3" borderId="3" xfId="0" applyFont="1" applyFill="1" applyBorder="1" applyAlignment="1">
      <alignment horizontal="center"/>
    </xf>
    <xf numFmtId="42" fontId="5" fillId="3" borderId="3" xfId="0" applyNumberFormat="1" applyFont="1" applyFill="1" applyBorder="1" applyAlignment="1">
      <alignment horizontal="right"/>
    </xf>
    <xf numFmtId="42" fontId="5" fillId="3" borderId="45" xfId="0" applyNumberFormat="1" applyFont="1" applyFill="1" applyBorder="1" applyAlignment="1">
      <alignment horizontal="right"/>
    </xf>
    <xf numFmtId="42" fontId="5" fillId="3" borderId="53" xfId="0" applyNumberFormat="1" applyFont="1" applyFill="1" applyBorder="1" applyAlignment="1">
      <alignment horizontal="right"/>
    </xf>
    <xf numFmtId="0" fontId="5" fillId="3" borderId="32" xfId="0" applyFont="1" applyFill="1" applyBorder="1" applyAlignment="1">
      <alignment horizontal="left" indent="2"/>
    </xf>
    <xf numFmtId="0" fontId="5" fillId="3" borderId="26" xfId="0" applyFont="1" applyFill="1" applyBorder="1" applyAlignment="1">
      <alignment horizontal="center"/>
    </xf>
    <xf numFmtId="42" fontId="5" fillId="3" borderId="26" xfId="2" applyNumberFormat="1" applyFont="1" applyFill="1" applyBorder="1" applyAlignment="1" applyProtection="1">
      <alignment horizontal="right"/>
    </xf>
    <xf numFmtId="42" fontId="5" fillId="3" borderId="46" xfId="2" applyNumberFormat="1" applyFont="1" applyFill="1" applyBorder="1" applyAlignment="1" applyProtection="1">
      <alignment horizontal="right"/>
    </xf>
    <xf numFmtId="42" fontId="5" fillId="3" borderId="29" xfId="2" applyNumberFormat="1" applyFont="1" applyFill="1" applyBorder="1" applyAlignment="1" applyProtection="1">
      <alignment horizontal="right"/>
    </xf>
    <xf numFmtId="42" fontId="5" fillId="3" borderId="31" xfId="2" applyNumberFormat="1" applyFont="1" applyFill="1" applyBorder="1" applyAlignment="1" applyProtection="1">
      <alignment horizontal="right"/>
    </xf>
    <xf numFmtId="0" fontId="5" fillId="3" borderId="32" xfId="0" applyFont="1" applyFill="1" applyBorder="1" applyAlignment="1">
      <alignment horizontal="right"/>
    </xf>
    <xf numFmtId="0" fontId="5" fillId="3" borderId="32" xfId="0" applyFont="1" applyFill="1" applyBorder="1" applyAlignment="1">
      <alignment horizontal="right" wrapText="1"/>
    </xf>
    <xf numFmtId="42" fontId="5" fillId="3" borderId="25" xfId="2" applyNumberFormat="1" applyFont="1" applyFill="1" applyBorder="1" applyAlignment="1" applyProtection="1">
      <alignment horizontal="right"/>
    </xf>
    <xf numFmtId="0" fontId="5" fillId="3" borderId="32" xfId="0" applyFont="1" applyFill="1" applyBorder="1" applyAlignment="1">
      <alignment horizontal="left"/>
    </xf>
    <xf numFmtId="42" fontId="5" fillId="3" borderId="26" xfId="0" applyNumberFormat="1" applyFont="1" applyFill="1" applyBorder="1" applyAlignment="1">
      <alignment horizontal="right"/>
    </xf>
    <xf numFmtId="42" fontId="5" fillId="3" borderId="46" xfId="0" applyNumberFormat="1" applyFont="1" applyFill="1" applyBorder="1" applyAlignment="1">
      <alignment horizontal="right"/>
    </xf>
    <xf numFmtId="42" fontId="5" fillId="3" borderId="29" xfId="0" applyNumberFormat="1" applyFont="1" applyFill="1" applyBorder="1" applyAlignment="1">
      <alignment horizontal="right"/>
    </xf>
    <xf numFmtId="0" fontId="5" fillId="3" borderId="32" xfId="0" applyFont="1" applyFill="1" applyBorder="1" applyAlignment="1">
      <alignment horizontal="left" indent="1"/>
    </xf>
    <xf numFmtId="42" fontId="5" fillId="3" borderId="3" xfId="2" applyNumberFormat="1" applyFont="1" applyFill="1" applyBorder="1" applyAlignment="1" applyProtection="1">
      <alignment horizontal="right"/>
    </xf>
    <xf numFmtId="42" fontId="5" fillId="3" borderId="45" xfId="2" applyNumberFormat="1" applyFont="1" applyFill="1" applyBorder="1" applyAlignment="1" applyProtection="1">
      <alignment horizontal="right"/>
    </xf>
    <xf numFmtId="0" fontId="5" fillId="3" borderId="8" xfId="0" applyFont="1" applyFill="1" applyBorder="1" applyAlignment="1">
      <alignment horizontal="left"/>
    </xf>
    <xf numFmtId="42" fontId="5" fillId="3" borderId="53" xfId="2" applyNumberFormat="1" applyFont="1" applyFill="1" applyBorder="1" applyAlignment="1" applyProtection="1">
      <alignment horizontal="right"/>
    </xf>
    <xf numFmtId="0" fontId="5" fillId="3" borderId="32" xfId="0" applyFont="1" applyFill="1" applyBorder="1" applyAlignment="1">
      <alignment horizontal="left" wrapText="1" indent="1"/>
    </xf>
    <xf numFmtId="0" fontId="5" fillId="3" borderId="25" xfId="0" applyFont="1" applyFill="1" applyBorder="1" applyAlignment="1">
      <alignment horizontal="center"/>
    </xf>
    <xf numFmtId="42" fontId="5" fillId="3" borderId="43" xfId="0" applyNumberFormat="1" applyFont="1" applyFill="1" applyBorder="1" applyAlignment="1">
      <alignment horizontal="right"/>
    </xf>
    <xf numFmtId="0" fontId="5" fillId="3" borderId="11" xfId="0" applyFont="1" applyFill="1" applyBorder="1" applyAlignment="1">
      <alignment horizontal="left" wrapText="1"/>
    </xf>
    <xf numFmtId="0" fontId="5" fillId="3" borderId="4" xfId="0" applyFont="1" applyFill="1" applyBorder="1" applyAlignment="1">
      <alignment horizontal="center" wrapText="1"/>
    </xf>
    <xf numFmtId="42" fontId="5" fillId="3" borderId="5" xfId="0" applyNumberFormat="1" applyFont="1" applyFill="1" applyBorder="1" applyAlignment="1">
      <alignment horizontal="right"/>
    </xf>
    <xf numFmtId="42" fontId="5" fillId="3" borderId="50" xfId="0" applyNumberFormat="1" applyFont="1" applyFill="1" applyBorder="1" applyAlignment="1">
      <alignment horizontal="right"/>
    </xf>
    <xf numFmtId="42" fontId="5" fillId="3" borderId="25" xfId="2" applyNumberFormat="1" applyFont="1" applyFill="1" applyBorder="1" applyAlignment="1">
      <alignment horizontal="right"/>
    </xf>
    <xf numFmtId="42" fontId="5" fillId="3" borderId="51" xfId="2" applyNumberFormat="1" applyFont="1" applyFill="1" applyBorder="1" applyAlignment="1">
      <alignment horizontal="right"/>
    </xf>
    <xf numFmtId="42" fontId="5" fillId="3" borderId="46" xfId="2" applyNumberFormat="1" applyFont="1" applyFill="1" applyBorder="1" applyAlignment="1">
      <alignment horizontal="right"/>
    </xf>
    <xf numFmtId="42" fontId="5" fillId="3" borderId="26" xfId="2" applyNumberFormat="1" applyFont="1" applyFill="1" applyBorder="1" applyAlignment="1">
      <alignment horizontal="right"/>
    </xf>
    <xf numFmtId="42" fontId="5" fillId="3" borderId="3" xfId="2" applyNumberFormat="1" applyFont="1" applyFill="1" applyBorder="1" applyAlignment="1">
      <alignment horizontal="right"/>
    </xf>
    <xf numFmtId="0" fontId="5" fillId="3" borderId="4" xfId="0" applyFont="1" applyFill="1" applyBorder="1" applyAlignment="1">
      <alignment horizontal="center"/>
    </xf>
    <xf numFmtId="42" fontId="5" fillId="3" borderId="0" xfId="0" applyNumberFormat="1" applyFont="1" applyFill="1"/>
    <xf numFmtId="0" fontId="5" fillId="3" borderId="0" xfId="0" applyFont="1" applyFill="1" applyAlignment="1">
      <alignment horizontal="left"/>
    </xf>
    <xf numFmtId="6" fontId="5" fillId="0" borderId="0" xfId="0" applyNumberFormat="1" applyFont="1"/>
    <xf numFmtId="0" fontId="5" fillId="3" borderId="0" xfId="0" applyFont="1" applyFill="1" applyProtection="1">
      <protection locked="0"/>
    </xf>
    <xf numFmtId="0" fontId="5" fillId="3" borderId="4" xfId="0" applyFont="1" applyFill="1" applyBorder="1" applyAlignment="1" applyProtection="1">
      <alignment horizontal="center"/>
      <protection locked="0"/>
    </xf>
    <xf numFmtId="0" fontId="5" fillId="0" borderId="0" xfId="19" applyProtection="1">
      <protection hidden="1"/>
    </xf>
    <xf numFmtId="0" fontId="5" fillId="0" borderId="0" xfId="0" applyFont="1"/>
    <xf numFmtId="167" fontId="23" fillId="6" borderId="30" xfId="0" applyNumberFormat="1" applyFont="1" applyFill="1" applyBorder="1" applyAlignment="1" applyProtection="1">
      <alignment horizontal="center" vertical="center"/>
      <protection locked="0"/>
    </xf>
    <xf numFmtId="0" fontId="23" fillId="3" borderId="8" xfId="0" applyFont="1" applyFill="1" applyBorder="1" applyAlignment="1">
      <alignment vertical="center" wrapText="1"/>
    </xf>
    <xf numFmtId="168" fontId="23" fillId="3" borderId="3" xfId="0" applyNumberFormat="1" applyFont="1" applyFill="1" applyBorder="1" applyAlignment="1">
      <alignment horizontal="center"/>
    </xf>
    <xf numFmtId="164" fontId="23" fillId="3" borderId="3" xfId="0" applyNumberFormat="1" applyFont="1" applyFill="1" applyBorder="1" applyAlignment="1">
      <alignment horizontal="right"/>
    </xf>
    <xf numFmtId="164" fontId="23" fillId="3" borderId="45" xfId="0" applyNumberFormat="1" applyFont="1" applyFill="1" applyBorder="1" applyAlignment="1">
      <alignment horizontal="right"/>
    </xf>
    <xf numFmtId="164" fontId="23" fillId="6" borderId="53" xfId="0" applyNumberFormat="1" applyFont="1" applyFill="1" applyBorder="1" applyAlignment="1" applyProtection="1">
      <alignment horizontal="right"/>
      <protection locked="0"/>
    </xf>
    <xf numFmtId="164" fontId="23" fillId="6" borderId="3" xfId="0" applyNumberFormat="1" applyFont="1" applyFill="1" applyBorder="1" applyAlignment="1" applyProtection="1">
      <alignment horizontal="right"/>
      <protection locked="0"/>
    </xf>
    <xf numFmtId="0" fontId="23" fillId="3" borderId="32" xfId="0" applyFont="1" applyFill="1" applyBorder="1" applyAlignment="1">
      <alignment vertical="center" wrapText="1"/>
    </xf>
    <xf numFmtId="168" fontId="23" fillId="3" borderId="30" xfId="0" applyNumberFormat="1" applyFont="1" applyFill="1" applyBorder="1" applyAlignment="1">
      <alignment horizontal="center"/>
    </xf>
    <xf numFmtId="164" fontId="23" fillId="3" borderId="26" xfId="0" applyNumberFormat="1" applyFont="1" applyFill="1" applyBorder="1" applyAlignment="1">
      <alignment horizontal="right"/>
    </xf>
    <xf numFmtId="164" fontId="23" fillId="3" borderId="46" xfId="0" applyNumberFormat="1" applyFont="1" applyFill="1" applyBorder="1" applyAlignment="1">
      <alignment horizontal="right"/>
    </xf>
    <xf numFmtId="164" fontId="23" fillId="3" borderId="29" xfId="0" applyNumberFormat="1" applyFont="1" applyFill="1" applyBorder="1" applyAlignment="1">
      <alignment horizontal="right"/>
    </xf>
    <xf numFmtId="164" fontId="23" fillId="3" borderId="26" xfId="0" applyNumberFormat="1" applyFont="1" applyFill="1" applyBorder="1" applyAlignment="1">
      <alignment horizontal="center" wrapText="1"/>
    </xf>
    <xf numFmtId="42" fontId="25" fillId="3" borderId="26" xfId="2" applyNumberFormat="1" applyFont="1" applyFill="1" applyBorder="1" applyAlignment="1" applyProtection="1">
      <alignment horizontal="right"/>
    </xf>
    <xf numFmtId="42" fontId="25" fillId="3" borderId="46" xfId="2" applyNumberFormat="1" applyFont="1" applyFill="1" applyBorder="1" applyAlignment="1" applyProtection="1">
      <alignment horizontal="right"/>
    </xf>
    <xf numFmtId="42" fontId="25" fillId="6" borderId="29" xfId="2" applyNumberFormat="1" applyFont="1" applyFill="1" applyBorder="1" applyAlignment="1" applyProtection="1">
      <alignment horizontal="right"/>
      <protection locked="0"/>
    </xf>
    <xf numFmtId="42" fontId="25" fillId="6" borderId="26" xfId="2" applyNumberFormat="1" applyFont="1" applyFill="1" applyBorder="1" applyAlignment="1" applyProtection="1">
      <alignment horizontal="right"/>
      <protection locked="0"/>
    </xf>
    <xf numFmtId="0" fontId="23" fillId="3" borderId="17" xfId="0" applyFont="1" applyFill="1" applyBorder="1" applyAlignment="1">
      <alignment horizontal="left" indent="1"/>
    </xf>
    <xf numFmtId="0" fontId="23" fillId="3" borderId="27" xfId="0" applyFont="1" applyFill="1" applyBorder="1" applyAlignment="1">
      <alignment horizontal="center"/>
    </xf>
    <xf numFmtId="42" fontId="23" fillId="3" borderId="33" xfId="2" applyNumberFormat="1" applyFont="1" applyFill="1" applyBorder="1" applyAlignment="1" applyProtection="1">
      <alignment horizontal="right"/>
    </xf>
    <xf numFmtId="42" fontId="23" fillId="3" borderId="47" xfId="2" applyNumberFormat="1" applyFont="1" applyFill="1" applyBorder="1" applyAlignment="1" applyProtection="1">
      <alignment horizontal="right"/>
    </xf>
    <xf numFmtId="42" fontId="23" fillId="3" borderId="54" xfId="2" applyNumberFormat="1" applyFont="1" applyFill="1" applyBorder="1" applyAlignment="1" applyProtection="1">
      <alignment horizontal="right"/>
    </xf>
    <xf numFmtId="42" fontId="23" fillId="3" borderId="27" xfId="2" applyNumberFormat="1" applyFont="1" applyFill="1" applyBorder="1" applyAlignment="1" applyProtection="1">
      <alignment horizontal="right"/>
    </xf>
    <xf numFmtId="0" fontId="23" fillId="3" borderId="12" xfId="0" applyFont="1" applyFill="1" applyBorder="1" applyAlignment="1">
      <alignment horizontal="left" indent="1"/>
    </xf>
    <xf numFmtId="0" fontId="23" fillId="3" borderId="10" xfId="0" applyFont="1" applyFill="1" applyBorder="1" applyAlignment="1">
      <alignment horizontal="center"/>
    </xf>
    <xf numFmtId="42" fontId="23" fillId="3" borderId="18" xfId="2" applyNumberFormat="1" applyFont="1" applyFill="1" applyBorder="1" applyAlignment="1" applyProtection="1">
      <alignment horizontal="right"/>
    </xf>
    <xf numFmtId="42" fontId="23" fillId="3" borderId="48" xfId="2" applyNumberFormat="1" applyFont="1" applyFill="1" applyBorder="1" applyAlignment="1" applyProtection="1">
      <alignment horizontal="right"/>
    </xf>
    <xf numFmtId="42" fontId="23" fillId="3" borderId="55" xfId="2" applyNumberFormat="1" applyFont="1" applyFill="1" applyBorder="1" applyAlignment="1" applyProtection="1">
      <alignment horizontal="right"/>
    </xf>
    <xf numFmtId="42" fontId="23" fillId="3" borderId="10" xfId="2" applyNumberFormat="1" applyFont="1" applyFill="1" applyBorder="1" applyAlignment="1" applyProtection="1">
      <alignment horizontal="right"/>
    </xf>
    <xf numFmtId="0" fontId="23" fillId="3" borderId="8" xfId="0" applyFont="1" applyFill="1" applyBorder="1" applyAlignment="1">
      <alignment horizontal="left" indent="1"/>
    </xf>
    <xf numFmtId="0" fontId="23" fillId="3" borderId="3" xfId="0" applyFont="1" applyFill="1" applyBorder="1" applyAlignment="1">
      <alignment horizontal="center"/>
    </xf>
    <xf numFmtId="42" fontId="23" fillId="3" borderId="3" xfId="2" applyNumberFormat="1" applyFont="1" applyFill="1" applyBorder="1" applyAlignment="1" applyProtection="1">
      <alignment horizontal="right"/>
    </xf>
    <xf numFmtId="42" fontId="23" fillId="3" borderId="45" xfId="2" applyNumberFormat="1" applyFont="1" applyFill="1" applyBorder="1" applyAlignment="1" applyProtection="1">
      <alignment horizontal="right"/>
    </xf>
    <xf numFmtId="42" fontId="23" fillId="3" borderId="53" xfId="2" applyNumberFormat="1" applyFont="1" applyFill="1" applyBorder="1" applyAlignment="1" applyProtection="1">
      <alignment horizontal="right"/>
    </xf>
    <xf numFmtId="0" fontId="23" fillId="3" borderId="17" xfId="0" applyFont="1" applyFill="1" applyBorder="1" applyAlignment="1">
      <alignment horizontal="left" wrapText="1" indent="1"/>
    </xf>
    <xf numFmtId="42" fontId="23" fillId="3" borderId="10" xfId="0" applyNumberFormat="1" applyFont="1" applyFill="1" applyBorder="1" applyAlignment="1">
      <alignment horizontal="right"/>
    </xf>
    <xf numFmtId="42" fontId="23" fillId="6" borderId="10" xfId="2" applyNumberFormat="1" applyFont="1" applyFill="1" applyBorder="1" applyAlignment="1" applyProtection="1">
      <alignment horizontal="right"/>
      <protection locked="0"/>
    </xf>
    <xf numFmtId="42" fontId="23" fillId="3" borderId="10" xfId="2" applyNumberFormat="1" applyFont="1" applyFill="1" applyBorder="1" applyAlignment="1" applyProtection="1">
      <alignment horizontal="right"/>
      <protection locked="0"/>
    </xf>
    <xf numFmtId="0" fontId="23" fillId="3" borderId="12" xfId="0" applyFont="1" applyFill="1" applyBorder="1" applyAlignment="1">
      <alignment horizontal="right"/>
    </xf>
    <xf numFmtId="0" fontId="23" fillId="3" borderId="17" xfId="0" applyFont="1" applyFill="1" applyBorder="1" applyAlignment="1">
      <alignment horizontal="right"/>
    </xf>
    <xf numFmtId="0" fontId="23" fillId="3" borderId="27" xfId="0" applyFont="1" applyFill="1" applyBorder="1" applyAlignment="1">
      <alignment horizontal="center" wrapText="1"/>
    </xf>
    <xf numFmtId="0" fontId="23" fillId="3" borderId="12" xfId="0" applyFont="1" applyFill="1" applyBorder="1" applyAlignment="1">
      <alignment horizontal="left" indent="2"/>
    </xf>
    <xf numFmtId="42" fontId="23" fillId="3" borderId="3" xfId="2" applyNumberFormat="1" applyFont="1" applyFill="1" applyBorder="1" applyAlignment="1">
      <alignment horizontal="right"/>
    </xf>
    <xf numFmtId="42" fontId="23" fillId="3" borderId="45" xfId="2" applyNumberFormat="1" applyFont="1" applyFill="1" applyBorder="1" applyAlignment="1">
      <alignment horizontal="right"/>
    </xf>
    <xf numFmtId="42" fontId="23" fillId="3" borderId="19" xfId="2" applyNumberFormat="1" applyFont="1" applyFill="1" applyBorder="1" applyAlignment="1">
      <alignment horizontal="right"/>
    </xf>
    <xf numFmtId="42" fontId="23" fillId="3" borderId="49" xfId="2" applyNumberFormat="1" applyFont="1" applyFill="1" applyBorder="1" applyAlignment="1">
      <alignment horizontal="right"/>
    </xf>
    <xf numFmtId="0" fontId="23" fillId="3" borderId="13" xfId="0" applyFont="1" applyFill="1" applyBorder="1" applyAlignment="1">
      <alignment horizontal="right"/>
    </xf>
    <xf numFmtId="42" fontId="23" fillId="3" borderId="19" xfId="2" applyNumberFormat="1" applyFont="1" applyFill="1" applyBorder="1" applyAlignment="1" applyProtection="1">
      <alignment horizontal="right"/>
    </xf>
    <xf numFmtId="0" fontId="23" fillId="3" borderId="8" xfId="0" applyFont="1" applyFill="1" applyBorder="1" applyAlignment="1">
      <alignment horizontal="right"/>
    </xf>
    <xf numFmtId="42" fontId="23" fillId="3" borderId="26" xfId="2" applyNumberFormat="1" applyFont="1" applyFill="1" applyBorder="1" applyAlignment="1" applyProtection="1">
      <alignment horizontal="right"/>
    </xf>
    <xf numFmtId="42" fontId="23" fillId="3" borderId="46" xfId="2" applyNumberFormat="1" applyFont="1" applyFill="1" applyBorder="1" applyAlignment="1" applyProtection="1">
      <alignment horizontal="right"/>
    </xf>
    <xf numFmtId="0" fontId="23" fillId="3" borderId="32" xfId="0" applyFont="1" applyFill="1" applyBorder="1" applyAlignment="1">
      <alignment horizontal="right"/>
    </xf>
    <xf numFmtId="0" fontId="23" fillId="3" borderId="26" xfId="0" applyFont="1" applyFill="1" applyBorder="1" applyAlignment="1">
      <alignment horizontal="center"/>
    </xf>
    <xf numFmtId="0" fontId="23" fillId="3" borderId="32" xfId="0" applyFont="1" applyFill="1" applyBorder="1" applyAlignment="1">
      <alignment horizontal="left" indent="1"/>
    </xf>
    <xf numFmtId="42" fontId="23" fillId="3" borderId="44" xfId="2" applyNumberFormat="1" applyFont="1" applyFill="1" applyBorder="1" applyAlignment="1" applyProtection="1">
      <alignment horizontal="right"/>
    </xf>
    <xf numFmtId="42" fontId="23" fillId="6" borderId="3" xfId="2" applyNumberFormat="1" applyFont="1" applyFill="1" applyBorder="1" applyAlignment="1" applyProtection="1">
      <alignment horizontal="right"/>
      <protection locked="0"/>
    </xf>
    <xf numFmtId="42" fontId="23" fillId="6" borderId="26" xfId="2" applyNumberFormat="1" applyFont="1" applyFill="1" applyBorder="1" applyAlignment="1" applyProtection="1">
      <alignment horizontal="right"/>
      <protection locked="0"/>
    </xf>
    <xf numFmtId="42" fontId="23" fillId="3" borderId="25" xfId="2" applyNumberFormat="1" applyFont="1" applyFill="1" applyBorder="1" applyAlignment="1" applyProtection="1">
      <alignment horizontal="right"/>
    </xf>
    <xf numFmtId="42" fontId="23" fillId="3" borderId="52" xfId="2" applyNumberFormat="1" applyFont="1" applyFill="1" applyBorder="1" applyAlignment="1" applyProtection="1">
      <alignment horizontal="right"/>
    </xf>
    <xf numFmtId="0" fontId="23" fillId="8" borderId="12" xfId="0" applyFont="1" applyFill="1" applyBorder="1" applyAlignment="1">
      <alignment horizontal="center" vertical="center"/>
    </xf>
    <xf numFmtId="0" fontId="23" fillId="8" borderId="27" xfId="0" applyFont="1" applyFill="1" applyBorder="1" applyAlignment="1">
      <alignment horizontal="center"/>
    </xf>
    <xf numFmtId="164" fontId="23" fillId="8" borderId="48" xfId="1" applyNumberFormat="1" applyFont="1" applyFill="1" applyBorder="1" applyAlignment="1" applyProtection="1">
      <alignment horizontal="right"/>
    </xf>
    <xf numFmtId="164" fontId="23" fillId="8" borderId="10" xfId="1" applyNumberFormat="1" applyFont="1" applyFill="1" applyBorder="1" applyAlignment="1" applyProtection="1">
      <alignment horizontal="right"/>
    </xf>
    <xf numFmtId="0" fontId="23" fillId="8" borderId="17" xfId="0" applyFont="1" applyFill="1" applyBorder="1" applyAlignment="1">
      <alignment horizontal="right"/>
    </xf>
    <xf numFmtId="164" fontId="23" fillId="8" borderId="27" xfId="1" applyNumberFormat="1" applyFont="1" applyFill="1" applyBorder="1" applyAlignment="1" applyProtection="1">
      <alignment horizontal="right"/>
    </xf>
    <xf numFmtId="164" fontId="23" fillId="8" borderId="47" xfId="1" applyNumberFormat="1" applyFont="1" applyFill="1" applyBorder="1" applyAlignment="1" applyProtection="1">
      <alignment horizontal="right"/>
    </xf>
    <xf numFmtId="164" fontId="23" fillId="8" borderId="54" xfId="1" applyNumberFormat="1" applyFont="1" applyFill="1" applyBorder="1" applyAlignment="1" applyProtection="1">
      <alignment horizontal="right"/>
    </xf>
    <xf numFmtId="0" fontId="23" fillId="8" borderId="12" xfId="0" applyFont="1" applyFill="1" applyBorder="1" applyAlignment="1">
      <alignment horizontal="right"/>
    </xf>
    <xf numFmtId="164" fontId="23" fillId="8" borderId="55" xfId="1" applyNumberFormat="1" applyFont="1" applyFill="1" applyBorder="1" applyAlignment="1" applyProtection="1">
      <alignment horizontal="right"/>
    </xf>
    <xf numFmtId="0" fontId="23" fillId="9" borderId="39" xfId="0" applyFont="1" applyFill="1" applyBorder="1" applyAlignment="1">
      <alignment wrapText="1"/>
    </xf>
    <xf numFmtId="164" fontId="23" fillId="9" borderId="4" xfId="0" applyNumberFormat="1" applyFont="1" applyFill="1" applyBorder="1" applyAlignment="1">
      <alignment horizontal="center" wrapText="1"/>
    </xf>
    <xf numFmtId="164" fontId="23" fillId="9" borderId="26" xfId="0" applyNumberFormat="1" applyFont="1" applyFill="1" applyBorder="1" applyAlignment="1">
      <alignment horizontal="right"/>
    </xf>
    <xf numFmtId="164" fontId="23" fillId="9" borderId="46" xfId="0" applyNumberFormat="1" applyFont="1" applyFill="1" applyBorder="1" applyAlignment="1">
      <alignment horizontal="right"/>
    </xf>
    <xf numFmtId="164" fontId="23" fillId="9" borderId="29" xfId="0" applyNumberFormat="1" applyFont="1" applyFill="1" applyBorder="1" applyAlignment="1">
      <alignment horizontal="right"/>
    </xf>
    <xf numFmtId="164" fontId="23" fillId="9" borderId="11" xfId="0" applyNumberFormat="1" applyFont="1" applyFill="1" applyBorder="1" applyAlignment="1">
      <alignment horizontal="left" wrapText="1"/>
    </xf>
    <xf numFmtId="0" fontId="23" fillId="9" borderId="32" xfId="0" applyFont="1" applyFill="1" applyBorder="1" applyAlignment="1">
      <alignment horizontal="left"/>
    </xf>
    <xf numFmtId="0" fontId="23" fillId="9" borderId="26" xfId="0" applyFont="1" applyFill="1" applyBorder="1" applyAlignment="1">
      <alignment horizontal="center"/>
    </xf>
    <xf numFmtId="0" fontId="23" fillId="3" borderId="11" xfId="0" applyFont="1" applyFill="1" applyBorder="1" applyAlignment="1">
      <alignment horizontal="right"/>
    </xf>
    <xf numFmtId="0" fontId="23" fillId="3" borderId="4" xfId="0" applyFont="1" applyFill="1" applyBorder="1" applyAlignment="1">
      <alignment horizontal="center"/>
    </xf>
    <xf numFmtId="42" fontId="23" fillId="3" borderId="4" xfId="2" applyNumberFormat="1" applyFont="1" applyFill="1" applyBorder="1" applyAlignment="1" applyProtection="1">
      <alignment horizontal="right"/>
    </xf>
    <xf numFmtId="0" fontId="23" fillId="3" borderId="32" xfId="0" applyFont="1" applyFill="1" applyBorder="1" applyAlignment="1">
      <alignment horizontal="left" wrapText="1" indent="2"/>
    </xf>
    <xf numFmtId="0" fontId="23" fillId="8" borderId="19" xfId="0" applyFont="1" applyFill="1" applyBorder="1" applyAlignment="1">
      <alignment horizontal="center"/>
    </xf>
    <xf numFmtId="164" fontId="23" fillId="8" borderId="19" xfId="0" applyNumberFormat="1" applyFont="1" applyFill="1" applyBorder="1" applyAlignment="1">
      <alignment horizontal="right"/>
    </xf>
    <xf numFmtId="164" fontId="23" fillId="8" borderId="49" xfId="0" applyNumberFormat="1" applyFont="1" applyFill="1" applyBorder="1" applyAlignment="1">
      <alignment horizontal="right"/>
    </xf>
    <xf numFmtId="164" fontId="23" fillId="8" borderId="55" xfId="0" applyNumberFormat="1" applyFont="1" applyFill="1" applyBorder="1" applyAlignment="1">
      <alignment horizontal="right"/>
    </xf>
    <xf numFmtId="164" fontId="23" fillId="8" borderId="10" xfId="0" applyNumberFormat="1" applyFont="1" applyFill="1" applyBorder="1" applyAlignment="1">
      <alignment horizontal="right"/>
    </xf>
    <xf numFmtId="0" fontId="23" fillId="8" borderId="17" xfId="0" applyFont="1" applyFill="1" applyBorder="1" applyAlignment="1">
      <alignment horizontal="right" wrapText="1"/>
    </xf>
    <xf numFmtId="2" fontId="23" fillId="8" borderId="27" xfId="0" applyNumberFormat="1" applyFont="1" applyFill="1" applyBorder="1" applyAlignment="1">
      <alignment horizontal="center"/>
    </xf>
    <xf numFmtId="164" fontId="23" fillId="8" borderId="27" xfId="0" applyNumberFormat="1" applyFont="1" applyFill="1" applyBorder="1" applyAlignment="1">
      <alignment horizontal="right"/>
    </xf>
    <xf numFmtId="164" fontId="23" fillId="8" borderId="47" xfId="0" applyNumberFormat="1" applyFont="1" applyFill="1" applyBorder="1" applyAlignment="1">
      <alignment horizontal="right"/>
    </xf>
    <xf numFmtId="164" fontId="23" fillId="8" borderId="54" xfId="0" applyNumberFormat="1" applyFont="1" applyFill="1" applyBorder="1" applyAlignment="1">
      <alignment horizontal="right"/>
    </xf>
    <xf numFmtId="0" fontId="23" fillId="8" borderId="12" xfId="0" applyFont="1" applyFill="1" applyBorder="1" applyAlignment="1">
      <alignment horizontal="right" wrapText="1"/>
    </xf>
    <xf numFmtId="164" fontId="23" fillId="8" borderId="10" xfId="0" applyNumberFormat="1" applyFont="1" applyFill="1" applyBorder="1" applyAlignment="1">
      <alignment horizontal="center"/>
    </xf>
    <xf numFmtId="0" fontId="23" fillId="8" borderId="13" xfId="0" applyFont="1" applyFill="1" applyBorder="1" applyAlignment="1">
      <alignment horizontal="right"/>
    </xf>
    <xf numFmtId="164" fontId="23" fillId="8" borderId="19" xfId="1" applyNumberFormat="1" applyFont="1" applyFill="1" applyBorder="1" applyAlignment="1" applyProtection="1">
      <alignment horizontal="right"/>
    </xf>
    <xf numFmtId="164" fontId="23" fillId="8" borderId="49" xfId="1" applyNumberFormat="1" applyFont="1" applyFill="1" applyBorder="1" applyAlignment="1" applyProtection="1">
      <alignment horizontal="right"/>
    </xf>
    <xf numFmtId="164" fontId="23" fillId="8" borderId="56" xfId="1" applyNumberFormat="1" applyFont="1" applyFill="1" applyBorder="1" applyAlignment="1" applyProtection="1">
      <alignment horizontal="right"/>
    </xf>
    <xf numFmtId="1" fontId="23" fillId="8" borderId="27" xfId="0" applyNumberFormat="1" applyFont="1" applyFill="1" applyBorder="1" applyAlignment="1">
      <alignment horizontal="right"/>
    </xf>
    <xf numFmtId="1" fontId="23" fillId="8" borderId="54" xfId="0" applyNumberFormat="1" applyFont="1" applyFill="1" applyBorder="1" applyAlignment="1">
      <alignment horizontal="right"/>
    </xf>
    <xf numFmtId="2" fontId="23" fillId="8" borderId="37" xfId="0" applyNumberFormat="1" applyFont="1" applyFill="1" applyBorder="1" applyAlignment="1">
      <alignment horizontal="center"/>
    </xf>
    <xf numFmtId="5" fontId="5" fillId="3" borderId="1" xfId="2" applyNumberFormat="1" applyFont="1" applyFill="1" applyBorder="1" applyAlignment="1" applyProtection="1">
      <alignment horizontal="left"/>
    </xf>
    <xf numFmtId="164" fontId="5" fillId="3" borderId="30" xfId="0" applyNumberFormat="1" applyFont="1" applyFill="1" applyBorder="1" applyAlignment="1">
      <alignment vertical="center"/>
    </xf>
    <xf numFmtId="5" fontId="5" fillId="3" borderId="14" xfId="2" applyNumberFormat="1" applyFont="1" applyFill="1" applyBorder="1" applyAlignment="1" applyProtection="1">
      <alignment horizontal="center"/>
    </xf>
    <xf numFmtId="0" fontId="5" fillId="3" borderId="14" xfId="0" applyFont="1" applyFill="1" applyBorder="1" applyAlignment="1">
      <alignment horizontal="left"/>
    </xf>
    <xf numFmtId="0" fontId="5" fillId="3" borderId="14" xfId="0" applyFont="1" applyFill="1" applyBorder="1"/>
    <xf numFmtId="164" fontId="5" fillId="3" borderId="30" xfId="0" applyNumberFormat="1" applyFont="1" applyFill="1" applyBorder="1"/>
    <xf numFmtId="168" fontId="5" fillId="3" borderId="14" xfId="0" applyNumberFormat="1" applyFont="1" applyFill="1" applyBorder="1" applyAlignment="1">
      <alignment horizontal="left"/>
    </xf>
    <xf numFmtId="168" fontId="5" fillId="3" borderId="14" xfId="0" applyNumberFormat="1" applyFont="1" applyFill="1" applyBorder="1" applyAlignment="1">
      <alignment horizontal="center"/>
    </xf>
    <xf numFmtId="166" fontId="5" fillId="3" borderId="30" xfId="2" applyNumberFormat="1" applyFont="1" applyFill="1" applyBorder="1" applyAlignment="1" applyProtection="1">
      <alignment horizontal="left"/>
    </xf>
    <xf numFmtId="0" fontId="5" fillId="3" borderId="14" xfId="0" applyFont="1" applyFill="1" applyBorder="1" applyAlignment="1">
      <alignment vertical="center" wrapText="1"/>
    </xf>
    <xf numFmtId="0" fontId="5" fillId="3" borderId="15" xfId="0" applyFont="1" applyFill="1" applyBorder="1" applyAlignment="1">
      <alignment horizontal="right"/>
    </xf>
    <xf numFmtId="164" fontId="5" fillId="3" borderId="33" xfId="1" applyNumberFormat="1" applyFont="1" applyFill="1" applyBorder="1" applyProtection="1"/>
    <xf numFmtId="0" fontId="5" fillId="3" borderId="18" xfId="0" applyFont="1" applyFill="1" applyBorder="1" applyAlignment="1">
      <alignment horizontal="right"/>
    </xf>
    <xf numFmtId="168" fontId="5" fillId="3" borderId="9" xfId="0" applyNumberFormat="1" applyFont="1" applyFill="1" applyBorder="1" applyAlignment="1">
      <alignment horizontal="center"/>
    </xf>
    <xf numFmtId="166" fontId="5" fillId="3" borderId="30" xfId="2" applyNumberFormat="1" applyFont="1" applyFill="1" applyBorder="1" applyProtection="1"/>
    <xf numFmtId="0" fontId="5" fillId="3" borderId="14" xfId="0" applyFont="1" applyFill="1" applyBorder="1" applyAlignment="1">
      <alignment wrapText="1"/>
    </xf>
    <xf numFmtId="0" fontId="5" fillId="4" borderId="0" xfId="0" applyFont="1" applyFill="1"/>
    <xf numFmtId="0" fontId="5" fillId="3" borderId="33" xfId="0" applyFont="1" applyFill="1" applyBorder="1" applyAlignment="1">
      <alignment horizontal="right"/>
    </xf>
    <xf numFmtId="0" fontId="5" fillId="4" borderId="0" xfId="0" applyFont="1" applyFill="1" applyAlignment="1">
      <alignment vertical="center"/>
    </xf>
    <xf numFmtId="0" fontId="5" fillId="3" borderId="14" xfId="0" applyFont="1" applyFill="1" applyBorder="1" applyAlignment="1">
      <alignment horizontal="center"/>
    </xf>
    <xf numFmtId="2" fontId="5" fillId="3" borderId="14" xfId="0" applyNumberFormat="1" applyFont="1" applyFill="1" applyBorder="1" applyAlignment="1">
      <alignment horizontal="center"/>
    </xf>
    <xf numFmtId="175" fontId="5" fillId="3" borderId="33" xfId="0" applyNumberFormat="1" applyFont="1" applyFill="1" applyBorder="1"/>
    <xf numFmtId="0" fontId="5" fillId="3" borderId="18" xfId="0" applyFont="1" applyFill="1" applyBorder="1" applyAlignment="1">
      <alignment horizontal="right" wrapText="1"/>
    </xf>
    <xf numFmtId="164" fontId="5" fillId="3" borderId="33" xfId="0" applyNumberFormat="1" applyFont="1" applyFill="1" applyBorder="1" applyAlignment="1">
      <alignment wrapText="1"/>
    </xf>
    <xf numFmtId="0" fontId="5" fillId="3" borderId="0" xfId="0" applyFont="1" applyFill="1" applyAlignment="1">
      <alignment wrapText="1"/>
    </xf>
    <xf numFmtId="164" fontId="5" fillId="3" borderId="30" xfId="0" applyNumberFormat="1" applyFont="1" applyFill="1" applyBorder="1" applyAlignment="1">
      <alignment horizontal="center" vertical="center"/>
    </xf>
    <xf numFmtId="170" fontId="5" fillId="3" borderId="30" xfId="0" applyNumberFormat="1" applyFont="1" applyFill="1" applyBorder="1"/>
    <xf numFmtId="42" fontId="5" fillId="3" borderId="30" xfId="0" applyNumberFormat="1" applyFont="1" applyFill="1" applyBorder="1"/>
    <xf numFmtId="42" fontId="5" fillId="3" borderId="28" xfId="0" applyNumberFormat="1" applyFont="1" applyFill="1" applyBorder="1"/>
    <xf numFmtId="173" fontId="5" fillId="3" borderId="30" xfId="0" applyNumberFormat="1" applyFont="1" applyFill="1" applyBorder="1"/>
    <xf numFmtId="171" fontId="5" fillId="3" borderId="30" xfId="0" applyNumberFormat="1" applyFont="1" applyFill="1" applyBorder="1"/>
    <xf numFmtId="44" fontId="5" fillId="3" borderId="30" xfId="2" applyFont="1" applyFill="1" applyBorder="1" applyProtection="1"/>
    <xf numFmtId="44" fontId="5" fillId="3" borderId="28" xfId="2" applyFont="1" applyFill="1" applyBorder="1" applyProtection="1"/>
    <xf numFmtId="0" fontId="5" fillId="3" borderId="30" xfId="0" applyFont="1" applyFill="1" applyBorder="1" applyAlignment="1">
      <alignment horizontal="left" vertical="center"/>
    </xf>
    <xf numFmtId="166" fontId="5" fillId="3" borderId="21" xfId="2" applyNumberFormat="1" applyFont="1" applyFill="1" applyBorder="1" applyAlignment="1" applyProtection="1">
      <alignment horizontal="right"/>
    </xf>
    <xf numFmtId="166" fontId="5" fillId="3" borderId="1" xfId="2" applyNumberFormat="1" applyFont="1" applyFill="1" applyBorder="1" applyAlignment="1" applyProtection="1"/>
    <xf numFmtId="0" fontId="5" fillId="3" borderId="30" xfId="0" applyFont="1" applyFill="1" applyBorder="1"/>
    <xf numFmtId="166" fontId="5" fillId="3" borderId="33" xfId="2" applyNumberFormat="1" applyFont="1" applyFill="1" applyBorder="1" applyProtection="1"/>
    <xf numFmtId="166" fontId="5" fillId="3" borderId="33" xfId="2" applyNumberFormat="1" applyFont="1" applyFill="1" applyBorder="1" applyAlignment="1" applyProtection="1"/>
    <xf numFmtId="166" fontId="5" fillId="3" borderId="9" xfId="2" applyNumberFormat="1" applyFont="1" applyFill="1" applyBorder="1" applyProtection="1"/>
    <xf numFmtId="166" fontId="5" fillId="3" borderId="0" xfId="0" applyNumberFormat="1" applyFont="1" applyFill="1"/>
    <xf numFmtId="166" fontId="5" fillId="3" borderId="2" xfId="2" applyNumberFormat="1" applyFont="1" applyFill="1" applyBorder="1" applyAlignment="1" applyProtection="1">
      <alignment horizontal="left" vertical="center"/>
    </xf>
    <xf numFmtId="0" fontId="5" fillId="3" borderId="0" xfId="0" applyFont="1" applyFill="1" applyAlignment="1">
      <alignment horizontal="center" vertical="center" wrapText="1"/>
    </xf>
    <xf numFmtId="0" fontId="5" fillId="3" borderId="24" xfId="0" applyFont="1" applyFill="1" applyBorder="1" applyAlignment="1" applyProtection="1">
      <alignment horizontal="left" vertical="center" wrapText="1"/>
      <protection locked="0"/>
    </xf>
    <xf numFmtId="168" fontId="5" fillId="3" borderId="24" xfId="0" applyNumberFormat="1" applyFont="1" applyFill="1" applyBorder="1" applyAlignment="1">
      <alignment horizontal="right" vertical="center" wrapText="1"/>
    </xf>
    <xf numFmtId="168" fontId="5" fillId="3" borderId="0" xfId="0" applyNumberFormat="1" applyFont="1" applyFill="1" applyAlignment="1">
      <alignment horizontal="right" vertical="center" wrapText="1"/>
    </xf>
    <xf numFmtId="164" fontId="5" fillId="3" borderId="24" xfId="0" applyNumberFormat="1" applyFont="1" applyFill="1" applyBorder="1" applyAlignment="1">
      <alignment horizontal="right" vertical="center" wrapText="1"/>
    </xf>
    <xf numFmtId="164" fontId="5" fillId="3" borderId="0" xfId="0" applyNumberFormat="1" applyFont="1" applyFill="1" applyAlignment="1">
      <alignment horizontal="right" vertical="center" wrapText="1"/>
    </xf>
    <xf numFmtId="0" fontId="5" fillId="3" borderId="22" xfId="0" applyFont="1" applyFill="1" applyBorder="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left" wrapText="1"/>
    </xf>
    <xf numFmtId="10" fontId="5" fillId="3" borderId="0" xfId="4" applyNumberFormat="1" applyFont="1" applyFill="1" applyBorder="1" applyAlignment="1" applyProtection="1">
      <alignment horizontal="left" vertical="center"/>
    </xf>
    <xf numFmtId="166" fontId="5" fillId="3" borderId="0" xfId="2" applyNumberFormat="1" applyFont="1" applyFill="1" applyBorder="1" applyAlignment="1" applyProtection="1">
      <alignment horizontal="right" vertical="center"/>
    </xf>
    <xf numFmtId="0" fontId="23" fillId="10" borderId="22" xfId="0" applyFont="1" applyFill="1" applyBorder="1" applyAlignment="1">
      <alignment horizontal="center" vertical="center" wrapText="1"/>
    </xf>
    <xf numFmtId="0" fontId="23" fillId="11" borderId="22" xfId="0" applyFont="1" applyFill="1" applyBorder="1" applyAlignment="1">
      <alignment horizontal="center" vertical="center" wrapText="1"/>
    </xf>
    <xf numFmtId="166" fontId="23" fillId="3" borderId="22" xfId="2" applyNumberFormat="1" applyFont="1" applyFill="1" applyBorder="1" applyAlignment="1" applyProtection="1">
      <alignment horizontal="right" vertical="center"/>
    </xf>
    <xf numFmtId="0" fontId="23" fillId="3" borderId="0" xfId="0" applyFont="1" applyFill="1" applyAlignment="1">
      <alignment wrapText="1"/>
    </xf>
    <xf numFmtId="1" fontId="23" fillId="6" borderId="22" xfId="2" applyNumberFormat="1" applyFont="1" applyFill="1" applyBorder="1" applyAlignment="1" applyProtection="1">
      <alignment horizontal="center"/>
      <protection locked="0"/>
    </xf>
    <xf numFmtId="0" fontId="5" fillId="3" borderId="0" xfId="0" applyFont="1" applyFill="1" applyAlignment="1">
      <alignment horizontal="left" vertical="center" wrapText="1"/>
    </xf>
    <xf numFmtId="0" fontId="5" fillId="3" borderId="0" xfId="0" applyFont="1" applyFill="1" applyAlignment="1">
      <alignment vertical="center"/>
    </xf>
    <xf numFmtId="164" fontId="5" fillId="3" borderId="30" xfId="0" applyNumberFormat="1" applyFont="1" applyFill="1" applyBorder="1" applyAlignment="1">
      <alignment horizontal="center" vertical="center" wrapText="1"/>
    </xf>
    <xf numFmtId="0" fontId="5" fillId="3" borderId="40" xfId="0" applyFont="1" applyFill="1" applyBorder="1"/>
    <xf numFmtId="0" fontId="5" fillId="3" borderId="36" xfId="0" applyFont="1" applyFill="1" applyBorder="1"/>
    <xf numFmtId="0" fontId="5" fillId="3" borderId="0" xfId="18" applyFont="1" applyFill="1" applyBorder="1" applyAlignment="1" applyProtection="1">
      <alignment horizontal="left" vertical="center"/>
    </xf>
    <xf numFmtId="0" fontId="5" fillId="3" borderId="0" xfId="18" applyFont="1" applyFill="1" applyAlignment="1"/>
    <xf numFmtId="164" fontId="5" fillId="3" borderId="34" xfId="0" applyNumberFormat="1" applyFont="1" applyFill="1" applyBorder="1" applyAlignment="1">
      <alignment horizontal="center" vertical="center" wrapText="1"/>
    </xf>
    <xf numFmtId="164" fontId="5" fillId="3" borderId="35" xfId="0" applyNumberFormat="1" applyFont="1" applyFill="1" applyBorder="1" applyAlignment="1">
      <alignment horizontal="center" vertical="center" wrapText="1"/>
    </xf>
    <xf numFmtId="0" fontId="5" fillId="3" borderId="0" xfId="18" applyFont="1" applyFill="1" applyBorder="1" applyAlignment="1"/>
    <xf numFmtId="0" fontId="23" fillId="3" borderId="23" xfId="0" applyFont="1" applyFill="1" applyBorder="1" applyAlignment="1">
      <alignment horizontal="center" vertical="center"/>
    </xf>
    <xf numFmtId="164" fontId="5" fillId="3" borderId="28" xfId="0" applyNumberFormat="1" applyFont="1" applyFill="1" applyBorder="1"/>
    <xf numFmtId="0" fontId="5" fillId="3" borderId="41" xfId="0" applyFont="1" applyFill="1" applyBorder="1" applyAlignment="1">
      <alignment horizontal="left" vertical="center"/>
    </xf>
    <xf numFmtId="0" fontId="5" fillId="3" borderId="32" xfId="0" applyFont="1" applyFill="1" applyBorder="1" applyAlignment="1">
      <alignment horizontal="left" vertical="top"/>
    </xf>
    <xf numFmtId="0" fontId="5" fillId="3" borderId="39" xfId="0" applyFont="1" applyFill="1" applyBorder="1" applyAlignment="1">
      <alignment horizontal="left" vertical="top"/>
    </xf>
    <xf numFmtId="0" fontId="5" fillId="3" borderId="5" xfId="0" applyFont="1" applyFill="1" applyBorder="1" applyAlignment="1">
      <alignment vertical="center"/>
    </xf>
    <xf numFmtId="0" fontId="5" fillId="3" borderId="26" xfId="0" applyFont="1" applyFill="1" applyBorder="1" applyAlignment="1">
      <alignment horizontal="left"/>
    </xf>
    <xf numFmtId="0" fontId="5" fillId="3" borderId="25" xfId="0" applyFont="1" applyFill="1" applyBorder="1" applyAlignment="1">
      <alignment horizontal="left"/>
    </xf>
    <xf numFmtId="0" fontId="5" fillId="3" borderId="26" xfId="0" applyFont="1" applyFill="1" applyBorder="1" applyAlignment="1">
      <alignment horizontal="left" vertical="top"/>
    </xf>
    <xf numFmtId="0" fontId="5" fillId="3" borderId="25" xfId="0" applyFont="1" applyFill="1" applyBorder="1" applyAlignment="1">
      <alignment horizontal="left" vertical="top"/>
    </xf>
    <xf numFmtId="0" fontId="5" fillId="3" borderId="26" xfId="0" applyFont="1" applyFill="1" applyBorder="1"/>
    <xf numFmtId="0" fontId="5" fillId="3" borderId="27" xfId="0" applyFont="1" applyFill="1" applyBorder="1" applyAlignment="1">
      <alignment horizontal="right"/>
    </xf>
    <xf numFmtId="0" fontId="5" fillId="3" borderId="17" xfId="0" applyFont="1" applyFill="1" applyBorder="1" applyAlignment="1">
      <alignment horizontal="right"/>
    </xf>
    <xf numFmtId="0" fontId="5" fillId="3" borderId="32" xfId="0" applyFont="1" applyFill="1" applyBorder="1" applyAlignment="1">
      <alignment horizontal="left" vertical="center"/>
    </xf>
    <xf numFmtId="0" fontId="5" fillId="3" borderId="13" xfId="0" applyFont="1" applyFill="1" applyBorder="1" applyAlignment="1">
      <alignment horizontal="right"/>
    </xf>
    <xf numFmtId="0" fontId="5" fillId="3" borderId="27" xfId="0" applyFont="1" applyFill="1" applyBorder="1"/>
    <xf numFmtId="0" fontId="5" fillId="3" borderId="3" xfId="0" applyFont="1" applyFill="1" applyBorder="1"/>
    <xf numFmtId="0" fontId="5" fillId="3" borderId="26" xfId="0" applyFont="1" applyFill="1" applyBorder="1" applyAlignment="1">
      <alignment vertical="center"/>
    </xf>
    <xf numFmtId="0" fontId="5" fillId="3" borderId="19" xfId="0" applyFont="1" applyFill="1" applyBorder="1" applyAlignment="1">
      <alignment horizontal="right"/>
    </xf>
    <xf numFmtId="0" fontId="5" fillId="3" borderId="5" xfId="0" applyFont="1" applyFill="1" applyBorder="1" applyAlignment="1">
      <alignment horizontal="center" vertical="center"/>
    </xf>
    <xf numFmtId="0" fontId="5" fillId="3" borderId="4" xfId="0" applyFont="1" applyFill="1" applyBorder="1" applyAlignment="1">
      <alignment horizontal="right"/>
    </xf>
    <xf numFmtId="0" fontId="5" fillId="3" borderId="42" xfId="0" applyFont="1" applyFill="1" applyBorder="1" applyAlignment="1">
      <alignment horizontal="left"/>
    </xf>
    <xf numFmtId="0" fontId="5" fillId="3" borderId="5" xfId="0" applyFont="1" applyFill="1" applyBorder="1"/>
    <xf numFmtId="0" fontId="5" fillId="3" borderId="42" xfId="0" applyFont="1" applyFill="1" applyBorder="1" applyAlignment="1">
      <alignment horizontal="right" vertical="center" wrapText="1"/>
    </xf>
    <xf numFmtId="164" fontId="5" fillId="3" borderId="1" xfId="0" applyNumberFormat="1" applyFont="1" applyFill="1" applyBorder="1" applyAlignment="1">
      <alignment vertical="center"/>
    </xf>
    <xf numFmtId="0" fontId="5" fillId="3" borderId="11" xfId="0" applyFont="1" applyFill="1" applyBorder="1" applyAlignment="1">
      <alignment horizontal="right" vertical="center" wrapText="1"/>
    </xf>
    <xf numFmtId="166" fontId="5" fillId="3" borderId="28" xfId="2" applyNumberFormat="1" applyFont="1" applyFill="1" applyBorder="1" applyProtection="1"/>
    <xf numFmtId="0" fontId="5" fillId="3" borderId="59" xfId="0" applyFont="1" applyFill="1" applyBorder="1" applyAlignment="1">
      <alignment horizontal="right"/>
    </xf>
    <xf numFmtId="0" fontId="5" fillId="3" borderId="60" xfId="0" applyFont="1" applyFill="1" applyBorder="1" applyAlignment="1">
      <alignment horizontal="right"/>
    </xf>
    <xf numFmtId="166" fontId="5" fillId="3" borderId="20" xfId="2" applyNumberFormat="1" applyFont="1" applyFill="1" applyBorder="1" applyAlignment="1" applyProtection="1">
      <alignment horizontal="left" vertical="center"/>
    </xf>
    <xf numFmtId="0" fontId="5" fillId="3" borderId="61" xfId="0" applyFont="1" applyFill="1" applyBorder="1" applyAlignment="1">
      <alignment horizontal="right"/>
    </xf>
    <xf numFmtId="0" fontId="5" fillId="3" borderId="38" xfId="0" applyFont="1" applyFill="1" applyBorder="1" applyAlignment="1">
      <alignment horizontal="right" vertical="center"/>
    </xf>
    <xf numFmtId="0" fontId="23" fillId="2" borderId="24" xfId="0" applyFont="1" applyFill="1" applyBorder="1" applyAlignment="1">
      <alignment horizontal="right" vertical="center" wrapText="1"/>
    </xf>
    <xf numFmtId="0" fontId="23" fillId="2" borderId="24"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applyAlignment="1">
      <alignment horizontal="left" vertical="top" wrapText="1"/>
    </xf>
    <xf numFmtId="0" fontId="23" fillId="3" borderId="0" xfId="0" applyFont="1" applyFill="1" applyAlignment="1">
      <alignment horizontal="center"/>
    </xf>
    <xf numFmtId="0" fontId="23" fillId="3" borderId="24" xfId="0" applyFont="1" applyFill="1" applyBorder="1" applyAlignment="1" applyProtection="1">
      <alignment horizontal="left" vertical="center" wrapText="1"/>
      <protection locked="0"/>
    </xf>
    <xf numFmtId="164" fontId="23" fillId="3" borderId="24" xfId="0" applyNumberFormat="1" applyFont="1" applyFill="1" applyBorder="1" applyAlignment="1">
      <alignment horizontal="right" vertical="center" wrapText="1"/>
    </xf>
    <xf numFmtId="168" fontId="23" fillId="3" borderId="0" xfId="0" applyNumberFormat="1" applyFont="1" applyFill="1" applyAlignment="1">
      <alignment horizontal="right" vertical="center" wrapText="1"/>
    </xf>
    <xf numFmtId="0" fontId="23" fillId="3" borderId="24" xfId="0" applyFont="1" applyFill="1" applyBorder="1" applyAlignment="1">
      <alignment horizontal="left" vertical="center" wrapText="1"/>
    </xf>
    <xf numFmtId="1" fontId="23" fillId="3" borderId="24" xfId="0" applyNumberFormat="1" applyFont="1" applyFill="1" applyBorder="1" applyAlignment="1">
      <alignment horizontal="right" vertical="center" wrapText="1"/>
    </xf>
    <xf numFmtId="164" fontId="23" fillId="3" borderId="0" xfId="0" applyNumberFormat="1" applyFont="1" applyFill="1" applyAlignment="1">
      <alignment horizontal="right" vertical="center" wrapText="1"/>
    </xf>
    <xf numFmtId="0" fontId="23" fillId="3" borderId="24" xfId="0" applyFont="1" applyFill="1" applyBorder="1" applyAlignment="1">
      <alignment horizontal="left" vertical="top" wrapText="1"/>
    </xf>
    <xf numFmtId="168" fontId="5" fillId="6" borderId="24" xfId="0" applyNumberFormat="1" applyFont="1" applyFill="1" applyBorder="1" applyAlignment="1" applyProtection="1">
      <alignment horizontal="right" vertical="center" wrapText="1"/>
      <protection locked="0"/>
    </xf>
    <xf numFmtId="168" fontId="23" fillId="6" borderId="24" xfId="0" applyNumberFormat="1" applyFont="1" applyFill="1" applyBorder="1" applyAlignment="1" applyProtection="1">
      <alignment horizontal="right" vertical="center" wrapText="1"/>
      <protection locked="0"/>
    </xf>
    <xf numFmtId="164" fontId="23" fillId="6" borderId="24" xfId="0" applyNumberFormat="1" applyFont="1" applyFill="1" applyBorder="1" applyAlignment="1" applyProtection="1">
      <alignment horizontal="right" vertical="center" wrapText="1"/>
      <protection locked="0"/>
    </xf>
    <xf numFmtId="1" fontId="5" fillId="6" borderId="24" xfId="0" applyNumberFormat="1" applyFont="1" applyFill="1" applyBorder="1" applyAlignment="1" applyProtection="1">
      <alignment horizontal="right" vertical="center" wrapText="1"/>
      <protection locked="0"/>
    </xf>
    <xf numFmtId="164" fontId="5" fillId="6" borderId="24" xfId="0" applyNumberFormat="1" applyFont="1" applyFill="1" applyBorder="1" applyAlignment="1" applyProtection="1">
      <alignment horizontal="right" vertical="center" wrapText="1"/>
      <protection locked="0"/>
    </xf>
    <xf numFmtId="0" fontId="23" fillId="7" borderId="24" xfId="0" applyFont="1" applyFill="1" applyBorder="1" applyAlignment="1">
      <alignment horizontal="left" vertical="center" wrapText="1"/>
    </xf>
    <xf numFmtId="0" fontId="23" fillId="7" borderId="24" xfId="0" applyFont="1" applyFill="1" applyBorder="1" applyAlignment="1">
      <alignment horizontal="right" vertical="center" wrapText="1"/>
    </xf>
    <xf numFmtId="0" fontId="23" fillId="3" borderId="0" xfId="0" applyFont="1" applyFill="1" applyAlignment="1">
      <alignment horizontal="right" vertical="center" wrapText="1"/>
    </xf>
    <xf numFmtId="0" fontId="23" fillId="3" borderId="0" xfId="0" applyFont="1" applyFill="1" applyAlignment="1" applyProtection="1">
      <alignment horizontal="center" vertical="center" wrapText="1"/>
      <protection locked="0"/>
    </xf>
    <xf numFmtId="0" fontId="23" fillId="3" borderId="4" xfId="0" applyFont="1" applyFill="1" applyBorder="1" applyAlignment="1" applyProtection="1">
      <alignment horizontal="center" vertical="center" wrapText="1"/>
      <protection locked="0"/>
    </xf>
    <xf numFmtId="0" fontId="23" fillId="3" borderId="0" xfId="0" applyFont="1" applyFill="1" applyProtection="1">
      <protection locked="0"/>
    </xf>
    <xf numFmtId="0" fontId="5" fillId="3" borderId="58" xfId="0" applyFont="1" applyFill="1" applyBorder="1"/>
    <xf numFmtId="0" fontId="5" fillId="3" borderId="58" xfId="0" applyFont="1" applyFill="1" applyBorder="1" applyAlignment="1">
      <alignment wrapText="1"/>
    </xf>
    <xf numFmtId="0" fontId="5" fillId="3" borderId="22" xfId="0" applyFont="1" applyFill="1" applyBorder="1" applyAlignment="1">
      <alignment horizontal="left" wrapText="1"/>
    </xf>
    <xf numFmtId="0" fontId="23" fillId="3" borderId="22" xfId="0" applyFont="1" applyFill="1" applyBorder="1" applyAlignment="1">
      <alignment horizontal="left" wrapText="1"/>
    </xf>
    <xf numFmtId="1" fontId="5" fillId="3" borderId="22" xfId="2" applyNumberFormat="1" applyFont="1" applyFill="1" applyBorder="1" applyAlignment="1" applyProtection="1">
      <alignment horizontal="center"/>
    </xf>
    <xf numFmtId="10" fontId="5" fillId="3" borderId="22" xfId="4" applyNumberFormat="1" applyFont="1" applyFill="1" applyBorder="1" applyAlignment="1" applyProtection="1">
      <alignment horizontal="left"/>
    </xf>
    <xf numFmtId="10" fontId="5" fillId="3" borderId="22" xfId="4" applyNumberFormat="1" applyFont="1" applyFill="1" applyBorder="1" applyAlignment="1" applyProtection="1">
      <alignment horizontal="center"/>
    </xf>
    <xf numFmtId="42" fontId="23" fillId="6" borderId="22" xfId="2" applyNumberFormat="1" applyFont="1" applyFill="1" applyBorder="1" applyAlignment="1" applyProtection="1">
      <alignment horizontal="left"/>
      <protection locked="0"/>
    </xf>
    <xf numFmtId="166" fontId="5" fillId="3" borderId="22" xfId="2" applyNumberFormat="1" applyFont="1" applyFill="1" applyBorder="1" applyAlignment="1" applyProtection="1">
      <alignment horizontal="left"/>
    </xf>
    <xf numFmtId="166" fontId="23" fillId="3" borderId="22" xfId="2" applyNumberFormat="1" applyFont="1" applyFill="1" applyBorder="1" applyAlignment="1" applyProtection="1">
      <alignment horizontal="left"/>
    </xf>
    <xf numFmtId="0" fontId="23" fillId="3" borderId="0" xfId="0" applyFont="1" applyFill="1" applyAlignment="1">
      <alignment horizontal="left"/>
    </xf>
    <xf numFmtId="0" fontId="23" fillId="3" borderId="0" xfId="0" applyFont="1" applyFill="1" applyAlignment="1">
      <alignment horizontal="left" wrapText="1"/>
    </xf>
    <xf numFmtId="0" fontId="5" fillId="0" borderId="0" xfId="19"/>
    <xf numFmtId="0" fontId="23" fillId="5" borderId="0" xfId="18" applyFont="1" applyFill="1" applyBorder="1" applyAlignment="1" applyProtection="1">
      <alignment horizontal="left" vertical="top"/>
      <protection hidden="1"/>
    </xf>
    <xf numFmtId="0" fontId="5" fillId="0" borderId="0" xfId="19" applyAlignment="1" applyProtection="1">
      <alignment horizontal="left" wrapText="1"/>
      <protection hidden="1"/>
    </xf>
    <xf numFmtId="0" fontId="5" fillId="0" borderId="0" xfId="19" applyAlignment="1" applyProtection="1">
      <alignment horizontal="left" vertical="top" wrapText="1"/>
      <protection hidden="1"/>
    </xf>
    <xf numFmtId="0" fontId="5" fillId="0" borderId="0" xfId="19" applyAlignment="1" applyProtection="1">
      <alignment vertical="top"/>
      <protection hidden="1"/>
    </xf>
    <xf numFmtId="0" fontId="5" fillId="0" borderId="0" xfId="19" applyAlignment="1" applyProtection="1">
      <alignment horizontal="left" vertical="top" wrapText="1" indent="1"/>
      <protection hidden="1"/>
    </xf>
    <xf numFmtId="0" fontId="5" fillId="0" borderId="0" xfId="19" applyAlignment="1" applyProtection="1">
      <alignment horizontal="left" vertical="center" wrapText="1" indent="1"/>
      <protection hidden="1"/>
    </xf>
    <xf numFmtId="0" fontId="5" fillId="0" borderId="0" xfId="19" applyAlignment="1" applyProtection="1">
      <alignment horizontal="left" wrapText="1" indent="1"/>
      <protection hidden="1"/>
    </xf>
    <xf numFmtId="1" fontId="5" fillId="3" borderId="26" xfId="0" applyNumberFormat="1" applyFont="1" applyFill="1" applyBorder="1" applyAlignment="1">
      <alignment horizontal="right"/>
    </xf>
    <xf numFmtId="0" fontId="23" fillId="0" borderId="0" xfId="19" applyFont="1" applyAlignment="1" applyProtection="1">
      <alignment horizontal="left" vertical="top" wrapText="1"/>
      <protection hidden="1"/>
    </xf>
    <xf numFmtId="0" fontId="23" fillId="0" borderId="0" xfId="19" applyFont="1" applyAlignment="1" applyProtection="1">
      <alignment horizontal="left" vertical="top"/>
      <protection hidden="1"/>
    </xf>
    <xf numFmtId="180" fontId="5" fillId="6" borderId="30" xfId="0" applyNumberFormat="1" applyFont="1" applyFill="1" applyBorder="1" applyAlignment="1" applyProtection="1">
      <alignment horizontal="right" vertical="center"/>
      <protection locked="0"/>
    </xf>
    <xf numFmtId="0" fontId="5" fillId="0" borderId="0" xfId="19" applyAlignment="1" applyProtection="1">
      <alignment horizontal="left" vertical="center" wrapText="1"/>
      <protection hidden="1"/>
    </xf>
    <xf numFmtId="0" fontId="23" fillId="0" borderId="0" xfId="19" applyFont="1" applyAlignment="1" applyProtection="1">
      <alignment vertical="top"/>
      <protection hidden="1"/>
    </xf>
    <xf numFmtId="0" fontId="5" fillId="6" borderId="0" xfId="19" applyFill="1" applyAlignment="1" applyProtection="1">
      <alignment horizontal="left" wrapText="1"/>
      <protection hidden="1"/>
    </xf>
    <xf numFmtId="0" fontId="5" fillId="3" borderId="30" xfId="0" applyFont="1" applyFill="1" applyBorder="1" applyAlignment="1">
      <alignment horizontal="right" vertical="center" wrapText="1"/>
    </xf>
    <xf numFmtId="3" fontId="5" fillId="3" borderId="30" xfId="0" applyNumberFormat="1" applyFont="1" applyFill="1" applyBorder="1" applyAlignment="1">
      <alignment horizontal="right" vertical="center"/>
    </xf>
    <xf numFmtId="42" fontId="5" fillId="3" borderId="30" xfId="0" applyNumberFormat="1" applyFont="1" applyFill="1" applyBorder="1" applyAlignment="1">
      <alignment horizontal="right"/>
    </xf>
    <xf numFmtId="172" fontId="5" fillId="3" borderId="30" xfId="0" applyNumberFormat="1" applyFont="1" applyFill="1" applyBorder="1" applyAlignment="1">
      <alignment horizontal="center"/>
    </xf>
    <xf numFmtId="167" fontId="23" fillId="8" borderId="27" xfId="0" applyNumberFormat="1" applyFont="1" applyFill="1" applyBorder="1" applyAlignment="1">
      <alignment horizontal="center" vertical="center"/>
    </xf>
    <xf numFmtId="0" fontId="23" fillId="2" borderId="39" xfId="0" applyFont="1" applyFill="1" applyBorder="1" applyAlignment="1" applyProtection="1">
      <alignment horizontal="center" vertical="center" wrapText="1"/>
      <protection locked="0"/>
    </xf>
    <xf numFmtId="0" fontId="23" fillId="2" borderId="25" xfId="0" applyFont="1" applyFill="1" applyBorder="1" applyProtection="1">
      <protection locked="0"/>
    </xf>
    <xf numFmtId="0" fontId="23" fillId="2" borderId="11" xfId="0" applyFont="1" applyFill="1" applyBorder="1" applyAlignment="1">
      <alignment horizontal="center" vertical="center"/>
    </xf>
    <xf numFmtId="0" fontId="23" fillId="2" borderId="4" xfId="0" applyFont="1" applyFill="1" applyBorder="1" applyProtection="1">
      <protection locked="0"/>
    </xf>
    <xf numFmtId="0" fontId="23" fillId="2" borderId="2" xfId="0" applyFont="1" applyFill="1" applyBorder="1" applyAlignment="1" applyProtection="1">
      <alignment horizontal="center" vertical="center" wrapText="1"/>
      <protection locked="0"/>
    </xf>
    <xf numFmtId="167" fontId="23" fillId="2" borderId="8" xfId="0" applyNumberFormat="1" applyFont="1" applyFill="1" applyBorder="1" applyAlignment="1">
      <alignment horizontal="center" vertical="center"/>
    </xf>
    <xf numFmtId="167" fontId="23" fillId="2" borderId="3" xfId="0" applyNumberFormat="1" applyFont="1" applyFill="1" applyBorder="1" applyAlignment="1">
      <alignment horizontal="center" vertical="center"/>
    </xf>
    <xf numFmtId="0" fontId="23" fillId="2" borderId="1" xfId="0" applyFont="1" applyFill="1" applyBorder="1" applyAlignment="1">
      <alignment horizontal="center" vertical="center"/>
    </xf>
    <xf numFmtId="1" fontId="23" fillId="6" borderId="30" xfId="2" applyNumberFormat="1" applyFont="1" applyFill="1" applyBorder="1" applyAlignment="1" applyProtection="1">
      <alignment horizontal="center"/>
      <protection locked="0"/>
    </xf>
    <xf numFmtId="1" fontId="5" fillId="3" borderId="30" xfId="2" applyNumberFormat="1" applyFont="1" applyFill="1" applyBorder="1" applyAlignment="1" applyProtection="1">
      <alignment horizontal="center"/>
    </xf>
    <xf numFmtId="10" fontId="5" fillId="3" borderId="30" xfId="4" applyNumberFormat="1" applyFont="1" applyFill="1" applyBorder="1" applyAlignment="1" applyProtection="1">
      <alignment horizontal="center"/>
    </xf>
    <xf numFmtId="42" fontId="29" fillId="6" borderId="30" xfId="2" applyNumberFormat="1" applyFont="1" applyFill="1" applyBorder="1" applyAlignment="1" applyProtection="1">
      <alignment horizontal="left"/>
      <protection locked="0"/>
    </xf>
    <xf numFmtId="42" fontId="29" fillId="6" borderId="22" xfId="2" applyNumberFormat="1" applyFont="1" applyFill="1" applyBorder="1" applyAlignment="1" applyProtection="1">
      <alignment horizontal="left"/>
      <protection locked="0"/>
    </xf>
    <xf numFmtId="42" fontId="30" fillId="6" borderId="30" xfId="2" applyNumberFormat="1" applyFont="1" applyFill="1" applyBorder="1" applyAlignment="1" applyProtection="1">
      <alignment horizontal="left"/>
      <protection locked="0"/>
    </xf>
    <xf numFmtId="42" fontId="27" fillId="6" borderId="30" xfId="2" applyNumberFormat="1" applyFont="1" applyFill="1" applyBorder="1" applyAlignment="1" applyProtection="1">
      <alignment horizontal="left"/>
      <protection locked="0"/>
    </xf>
    <xf numFmtId="42" fontId="30" fillId="6" borderId="22" xfId="2" applyNumberFormat="1" applyFont="1" applyFill="1" applyBorder="1" applyAlignment="1" applyProtection="1">
      <alignment horizontal="left"/>
      <protection locked="0"/>
    </xf>
    <xf numFmtId="166" fontId="23" fillId="3" borderId="66" xfId="2" applyNumberFormat="1" applyFont="1" applyFill="1" applyBorder="1" applyAlignment="1" applyProtection="1">
      <alignment horizontal="center" vertical="center"/>
    </xf>
    <xf numFmtId="0" fontId="23" fillId="10" borderId="67" xfId="0" applyFont="1" applyFill="1" applyBorder="1" applyAlignment="1">
      <alignment horizontal="center" vertical="center" wrapText="1"/>
    </xf>
    <xf numFmtId="0" fontId="23" fillId="11" borderId="68" xfId="0" applyFont="1" applyFill="1" applyBorder="1" applyAlignment="1">
      <alignment horizontal="center" vertical="center" wrapText="1"/>
    </xf>
    <xf numFmtId="0" fontId="23" fillId="3" borderId="69" xfId="0" applyFont="1" applyFill="1" applyBorder="1" applyAlignment="1">
      <alignment horizontal="left" wrapText="1"/>
    </xf>
    <xf numFmtId="42" fontId="23" fillId="6" borderId="70" xfId="2" applyNumberFormat="1" applyFont="1" applyFill="1" applyBorder="1" applyAlignment="1" applyProtection="1">
      <alignment horizontal="left"/>
      <protection locked="0"/>
    </xf>
    <xf numFmtId="0" fontId="5" fillId="3" borderId="69" xfId="0" applyFont="1" applyFill="1" applyBorder="1" applyAlignment="1">
      <alignment horizontal="left" wrapText="1"/>
    </xf>
    <xf numFmtId="166" fontId="5" fillId="3" borderId="70" xfId="2" applyNumberFormat="1" applyFont="1" applyFill="1" applyBorder="1" applyAlignment="1" applyProtection="1">
      <alignment horizontal="left"/>
    </xf>
    <xf numFmtId="1" fontId="23" fillId="6" borderId="70" xfId="2" applyNumberFormat="1" applyFont="1" applyFill="1" applyBorder="1" applyAlignment="1" applyProtection="1">
      <alignment horizontal="center"/>
      <protection locked="0"/>
    </xf>
    <xf numFmtId="1" fontId="5" fillId="3" borderId="70" xfId="2" applyNumberFormat="1" applyFont="1" applyFill="1" applyBorder="1" applyAlignment="1" applyProtection="1">
      <alignment horizontal="center"/>
    </xf>
    <xf numFmtId="10" fontId="5" fillId="3" borderId="69" xfId="4" applyNumberFormat="1" applyFont="1" applyFill="1" applyBorder="1" applyAlignment="1" applyProtection="1">
      <alignment horizontal="left"/>
    </xf>
    <xf numFmtId="10" fontId="5" fillId="3" borderId="70" xfId="4" applyNumberFormat="1" applyFont="1" applyFill="1" applyBorder="1" applyAlignment="1" applyProtection="1">
      <alignment horizontal="center"/>
    </xf>
    <xf numFmtId="10" fontId="5" fillId="3" borderId="71" xfId="4" applyNumberFormat="1" applyFont="1" applyFill="1" applyBorder="1" applyAlignment="1" applyProtection="1">
      <alignment horizontal="left"/>
    </xf>
    <xf numFmtId="166" fontId="23" fillId="3" borderId="72" xfId="2" applyNumberFormat="1" applyFont="1" applyFill="1" applyBorder="1" applyAlignment="1" applyProtection="1">
      <alignment horizontal="left"/>
    </xf>
    <xf numFmtId="166" fontId="23" fillId="3" borderId="73" xfId="2" applyNumberFormat="1" applyFont="1" applyFill="1" applyBorder="1" applyAlignment="1" applyProtection="1">
      <alignment horizontal="left"/>
    </xf>
    <xf numFmtId="0" fontId="23" fillId="0" borderId="0" xfId="19" applyFont="1" applyAlignment="1" applyProtection="1">
      <alignment horizontal="left" vertical="center"/>
      <protection hidden="1"/>
    </xf>
    <xf numFmtId="42" fontId="23" fillId="3" borderId="10" xfId="0" applyNumberFormat="1" applyFont="1" applyFill="1" applyBorder="1" applyAlignment="1">
      <alignment horizontal="center"/>
    </xf>
    <xf numFmtId="164" fontId="23" fillId="8" borderId="10" xfId="1" applyNumberFormat="1" applyFont="1" applyFill="1" applyBorder="1" applyAlignment="1" applyProtection="1">
      <alignment horizontal="right" wrapText="1"/>
    </xf>
    <xf numFmtId="0" fontId="5" fillId="3" borderId="43" xfId="0" applyFont="1" applyFill="1" applyBorder="1" applyAlignment="1">
      <alignment horizontal="center"/>
    </xf>
    <xf numFmtId="5" fontId="11" fillId="3" borderId="0" xfId="0" applyNumberFormat="1" applyFont="1" applyFill="1"/>
    <xf numFmtId="0" fontId="5" fillId="3" borderId="17" xfId="0" applyFont="1" applyFill="1" applyBorder="1" applyAlignment="1">
      <alignment horizontal="left" wrapText="1" indent="2"/>
    </xf>
    <xf numFmtId="0" fontId="5" fillId="3" borderId="19" xfId="0" applyFont="1" applyFill="1" applyBorder="1" applyAlignment="1">
      <alignment horizontal="center"/>
    </xf>
    <xf numFmtId="0" fontId="31" fillId="3" borderId="0" xfId="0" applyFont="1" applyFill="1" applyAlignment="1">
      <alignment horizontal="left"/>
    </xf>
    <xf numFmtId="0" fontId="5" fillId="13" borderId="30" xfId="0" applyFont="1" applyFill="1" applyBorder="1" applyAlignment="1">
      <alignment vertical="center" wrapText="1"/>
    </xf>
    <xf numFmtId="0" fontId="5" fillId="13" borderId="30"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30" xfId="0" applyFont="1" applyFill="1" applyBorder="1" applyAlignment="1">
      <alignment horizontal="left" vertical="center" wrapText="1"/>
    </xf>
    <xf numFmtId="0" fontId="23" fillId="13" borderId="30" xfId="0" applyFont="1" applyFill="1" applyBorder="1" applyAlignment="1">
      <alignment horizontal="center" vertical="center" wrapText="1"/>
    </xf>
    <xf numFmtId="0" fontId="23" fillId="13" borderId="23" xfId="0" applyFont="1" applyFill="1" applyBorder="1" applyAlignment="1">
      <alignment vertical="center" wrapText="1"/>
    </xf>
    <xf numFmtId="0" fontId="23" fillId="13" borderId="26" xfId="0" applyFont="1" applyFill="1" applyBorder="1" applyAlignment="1">
      <alignment horizontal="left" vertical="center" wrapText="1"/>
    </xf>
    <xf numFmtId="0" fontId="5" fillId="13" borderId="32" xfId="0" applyFont="1" applyFill="1" applyBorder="1" applyAlignment="1">
      <alignment horizontal="center" vertical="center" wrapText="1"/>
    </xf>
    <xf numFmtId="0" fontId="5" fillId="13" borderId="26" xfId="0" applyFont="1" applyFill="1" applyBorder="1" applyAlignment="1">
      <alignment horizontal="left" vertical="center" wrapText="1"/>
    </xf>
    <xf numFmtId="0" fontId="5" fillId="13" borderId="23" xfId="0" applyFont="1" applyFill="1" applyBorder="1" applyAlignment="1">
      <alignment vertical="center" wrapText="1"/>
    </xf>
    <xf numFmtId="0" fontId="23" fillId="13" borderId="0" xfId="19" applyFont="1" applyFill="1" applyAlignment="1" applyProtection="1">
      <alignment horizontal="center" vertical="top" wrapText="1"/>
      <protection hidden="1"/>
    </xf>
    <xf numFmtId="0" fontId="23" fillId="13" borderId="17" xfId="0" applyFont="1" applyFill="1" applyBorder="1" applyAlignment="1">
      <alignment horizontal="center" vertical="center"/>
    </xf>
    <xf numFmtId="0" fontId="23" fillId="13" borderId="27" xfId="0" applyFont="1" applyFill="1" applyBorder="1" applyAlignment="1">
      <alignment horizontal="center" vertical="center"/>
    </xf>
    <xf numFmtId="164" fontId="23" fillId="13" borderId="27" xfId="1" applyNumberFormat="1" applyFont="1" applyFill="1" applyBorder="1" applyAlignment="1" applyProtection="1">
      <alignment horizontal="center" vertical="center" wrapText="1"/>
    </xf>
    <xf numFmtId="164" fontId="23" fillId="13" borderId="47" xfId="1" applyNumberFormat="1" applyFont="1" applyFill="1" applyBorder="1" applyAlignment="1" applyProtection="1">
      <alignment horizontal="center" vertical="center"/>
    </xf>
    <xf numFmtId="164" fontId="23" fillId="13" borderId="27" xfId="1" applyNumberFormat="1" applyFont="1" applyFill="1" applyBorder="1" applyAlignment="1" applyProtection="1">
      <alignment horizontal="center" vertical="center"/>
    </xf>
    <xf numFmtId="1" fontId="5" fillId="3" borderId="29" xfId="0" applyNumberFormat="1" applyFont="1" applyFill="1" applyBorder="1" applyAlignment="1">
      <alignment horizontal="right"/>
    </xf>
    <xf numFmtId="0" fontId="23" fillId="0" borderId="0" xfId="19" applyFont="1" applyAlignment="1" applyProtection="1">
      <alignment horizontal="left" vertical="top" wrapText="1" indent="2"/>
      <protection hidden="1"/>
    </xf>
    <xf numFmtId="0" fontId="5" fillId="0" borderId="0" xfId="19" applyAlignment="1" applyProtection="1">
      <alignment horizontal="left" vertical="top" wrapText="1" indent="3"/>
      <protection hidden="1"/>
    </xf>
    <xf numFmtId="0" fontId="8" fillId="0" borderId="0" xfId="18" applyFont="1" applyBorder="1" applyAlignment="1" applyProtection="1">
      <alignment horizontal="left" vertical="top" wrapText="1" indent="3"/>
      <protection hidden="1"/>
    </xf>
    <xf numFmtId="0" fontId="32" fillId="0" borderId="0" xfId="0" applyFont="1"/>
    <xf numFmtId="0" fontId="33" fillId="3" borderId="0" xfId="0" applyFont="1" applyFill="1"/>
    <xf numFmtId="42" fontId="5" fillId="3" borderId="25" xfId="0" applyNumberFormat="1" applyFont="1" applyFill="1" applyBorder="1" applyAlignment="1">
      <alignment horizontal="right"/>
    </xf>
    <xf numFmtId="42" fontId="5" fillId="3" borderId="45" xfId="2" applyNumberFormat="1" applyFont="1" applyFill="1" applyBorder="1" applyAlignment="1">
      <alignment horizontal="right"/>
    </xf>
    <xf numFmtId="0" fontId="23" fillId="3" borderId="17" xfId="0" applyFont="1" applyFill="1" applyBorder="1" applyAlignment="1">
      <alignment horizontal="left" wrapText="1" indent="2"/>
    </xf>
    <xf numFmtId="42" fontId="23" fillId="3" borderId="33" xfId="0" applyNumberFormat="1" applyFont="1" applyFill="1" applyBorder="1" applyAlignment="1">
      <alignment horizontal="right"/>
    </xf>
    <xf numFmtId="42" fontId="23" fillId="3" borderId="47" xfId="0" applyNumberFormat="1" applyFont="1" applyFill="1" applyBorder="1" applyAlignment="1">
      <alignment horizontal="right"/>
    </xf>
    <xf numFmtId="164" fontId="12" fillId="3" borderId="0" xfId="0" applyNumberFormat="1" applyFont="1" applyFill="1"/>
    <xf numFmtId="0" fontId="12" fillId="3" borderId="0" xfId="0" applyFont="1" applyFill="1" applyProtection="1">
      <protection locked="0"/>
    </xf>
    <xf numFmtId="42" fontId="23" fillId="3" borderId="29" xfId="2" applyNumberFormat="1" applyFont="1" applyFill="1" applyBorder="1" applyAlignment="1" applyProtection="1">
      <alignment horizontal="right"/>
    </xf>
    <xf numFmtId="0" fontId="33" fillId="3" borderId="6" xfId="5" applyFont="1" applyFill="1" applyBorder="1" applyAlignment="1">
      <alignment wrapText="1"/>
    </xf>
    <xf numFmtId="0" fontId="33" fillId="3" borderId="7" xfId="5" applyFont="1" applyFill="1" applyBorder="1" applyAlignment="1">
      <alignment wrapText="1"/>
    </xf>
    <xf numFmtId="169" fontId="33" fillId="3" borderId="7" xfId="1" applyNumberFormat="1" applyFont="1" applyFill="1" applyBorder="1" applyAlignment="1">
      <alignment horizontal="center" vertical="center" wrapText="1"/>
    </xf>
    <xf numFmtId="0" fontId="33" fillId="3" borderId="7" xfId="5" applyFont="1" applyFill="1" applyBorder="1" applyAlignment="1">
      <alignment horizontal="center" wrapText="1"/>
    </xf>
    <xf numFmtId="0" fontId="33" fillId="3" borderId="0" xfId="5" applyFont="1" applyFill="1" applyAlignment="1">
      <alignment wrapText="1"/>
    </xf>
    <xf numFmtId="0" fontId="33" fillId="3" borderId="6" xfId="0" applyFont="1" applyFill="1" applyBorder="1"/>
    <xf numFmtId="0" fontId="33" fillId="3" borderId="7" xfId="0" applyFont="1" applyFill="1" applyBorder="1"/>
    <xf numFmtId="169" fontId="33" fillId="3" borderId="0" xfId="1" applyNumberFormat="1" applyFont="1" applyFill="1" applyAlignment="1">
      <alignment horizontal="center" vertical="center"/>
    </xf>
    <xf numFmtId="42" fontId="23" fillId="3" borderId="31" xfId="2" applyNumberFormat="1" applyFont="1" applyFill="1" applyBorder="1" applyAlignment="1" applyProtection="1">
      <alignment horizontal="right"/>
    </xf>
    <xf numFmtId="164" fontId="23" fillId="9" borderId="57" xfId="0" applyNumberFormat="1" applyFont="1" applyFill="1" applyBorder="1" applyAlignment="1">
      <alignment horizontal="right"/>
    </xf>
    <xf numFmtId="42" fontId="23" fillId="6" borderId="25" xfId="2" applyNumberFormat="1" applyFont="1" applyFill="1" applyBorder="1" applyAlignment="1" applyProtection="1">
      <alignment horizontal="right"/>
      <protection locked="0"/>
    </xf>
    <xf numFmtId="42" fontId="23" fillId="3" borderId="56" xfId="2" applyNumberFormat="1" applyFont="1" applyFill="1" applyBorder="1" applyAlignment="1" applyProtection="1">
      <alignment horizontal="right"/>
    </xf>
    <xf numFmtId="164" fontId="23" fillId="9" borderId="9" xfId="0" applyNumberFormat="1" applyFont="1" applyFill="1" applyBorder="1" applyAlignment="1">
      <alignment horizontal="right"/>
    </xf>
    <xf numFmtId="42" fontId="23" fillId="6" borderId="33" xfId="2" applyNumberFormat="1" applyFont="1" applyFill="1" applyBorder="1" applyAlignment="1" applyProtection="1">
      <alignment horizontal="right"/>
      <protection locked="0"/>
    </xf>
    <xf numFmtId="42" fontId="23" fillId="3" borderId="21" xfId="2" applyNumberFormat="1" applyFont="1" applyFill="1" applyBorder="1" applyAlignment="1" applyProtection="1">
      <alignment horizontal="right"/>
    </xf>
    <xf numFmtId="0" fontId="5" fillId="4" borderId="32" xfId="0" applyFont="1" applyFill="1" applyBorder="1" applyAlignment="1">
      <alignment horizontal="left"/>
    </xf>
    <xf numFmtId="0" fontId="5" fillId="4" borderId="26" xfId="0" applyFont="1" applyFill="1" applyBorder="1" applyAlignment="1">
      <alignment horizontal="left"/>
    </xf>
    <xf numFmtId="166" fontId="5" fillId="4" borderId="30" xfId="2" applyNumberFormat="1" applyFont="1" applyFill="1" applyBorder="1" applyProtection="1"/>
    <xf numFmtId="166" fontId="5" fillId="4" borderId="64" xfId="2" applyNumberFormat="1" applyFont="1" applyFill="1" applyBorder="1" applyProtection="1"/>
    <xf numFmtId="0" fontId="23" fillId="3" borderId="23" xfId="0" applyFont="1" applyFill="1" applyBorder="1" applyAlignment="1">
      <alignment vertical="center" wrapText="1"/>
    </xf>
    <xf numFmtId="0" fontId="23" fillId="13" borderId="32" xfId="0" applyFont="1" applyFill="1" applyBorder="1" applyAlignment="1">
      <alignment vertical="center" wrapText="1"/>
    </xf>
    <xf numFmtId="0" fontId="5" fillId="3" borderId="30" xfId="0" applyFont="1" applyFill="1" applyBorder="1" applyAlignment="1">
      <alignment vertical="center" wrapText="1"/>
    </xf>
    <xf numFmtId="0" fontId="5" fillId="3" borderId="30" xfId="0" applyFont="1" applyFill="1" applyBorder="1" applyAlignment="1">
      <alignment wrapText="1"/>
    </xf>
    <xf numFmtId="0" fontId="5" fillId="3" borderId="30" xfId="0" applyFont="1" applyFill="1" applyBorder="1" applyAlignment="1">
      <alignment vertical="center"/>
    </xf>
    <xf numFmtId="0" fontId="5" fillId="13" borderId="32" xfId="0" applyFont="1" applyFill="1" applyBorder="1" applyAlignment="1">
      <alignment vertical="center" wrapText="1"/>
    </xf>
    <xf numFmtId="172" fontId="5" fillId="3" borderId="32" xfId="0" applyNumberFormat="1" applyFont="1" applyFill="1" applyBorder="1"/>
    <xf numFmtId="0" fontId="0" fillId="0" borderId="0" xfId="0" applyAlignment="1">
      <alignment horizontal="center"/>
    </xf>
    <xf numFmtId="0" fontId="0" fillId="0" borderId="0" xfId="0" applyAlignment="1">
      <alignment horizontal="right"/>
    </xf>
    <xf numFmtId="0" fontId="0" fillId="0" borderId="0" xfId="0" applyAlignment="1">
      <alignment horizontal="center" wrapText="1"/>
    </xf>
    <xf numFmtId="42" fontId="23" fillId="3" borderId="30" xfId="2" applyNumberFormat="1" applyFont="1" applyFill="1" applyBorder="1" applyAlignment="1" applyProtection="1">
      <alignment horizontal="right"/>
    </xf>
    <xf numFmtId="0" fontId="12" fillId="3" borderId="32" xfId="0" applyFont="1" applyFill="1" applyBorder="1" applyAlignment="1">
      <alignment vertical="center"/>
    </xf>
    <xf numFmtId="0" fontId="12" fillId="3" borderId="26" xfId="0" applyFont="1" applyFill="1" applyBorder="1" applyAlignment="1">
      <alignment vertical="center"/>
    </xf>
    <xf numFmtId="0" fontId="14" fillId="0" borderId="0" xfId="18" applyAlignment="1" applyProtection="1">
      <alignment horizontal="left" vertical="top" wrapText="1" indent="1"/>
      <protection hidden="1"/>
    </xf>
    <xf numFmtId="0" fontId="14" fillId="0" borderId="0" xfId="18"/>
    <xf numFmtId="0" fontId="8" fillId="3" borderId="32" xfId="18" applyFont="1" applyFill="1" applyBorder="1" applyAlignment="1">
      <alignment horizontal="left" indent="2"/>
    </xf>
    <xf numFmtId="0" fontId="5" fillId="3" borderId="0" xfId="0" applyFont="1" applyFill="1" applyAlignment="1" applyProtection="1">
      <alignment vertical="center" wrapText="1"/>
      <protection hidden="1"/>
    </xf>
    <xf numFmtId="14" fontId="5" fillId="3" borderId="0" xfId="0" applyNumberFormat="1" applyFont="1" applyFill="1" applyAlignment="1">
      <alignment vertical="center" wrapText="1"/>
    </xf>
    <xf numFmtId="0" fontId="23" fillId="3" borderId="0" xfId="0" applyFont="1" applyFill="1" applyAlignment="1" applyProtection="1">
      <alignment vertical="center" wrapText="1"/>
      <protection hidden="1"/>
    </xf>
    <xf numFmtId="0" fontId="23" fillId="2" borderId="0" xfId="0" applyFont="1" applyFill="1" applyAlignment="1" applyProtection="1">
      <alignment horizontal="right" vertical="center" wrapText="1"/>
      <protection hidden="1"/>
    </xf>
    <xf numFmtId="0" fontId="23" fillId="3" borderId="0" xfId="0" applyFont="1" applyFill="1" applyAlignment="1" applyProtection="1">
      <alignment horizontal="center" vertical="center" wrapText="1"/>
      <protection hidden="1"/>
    </xf>
    <xf numFmtId="0" fontId="5" fillId="3" borderId="0" xfId="0" applyFont="1" applyFill="1" applyAlignment="1" applyProtection="1">
      <alignment vertical="center"/>
      <protection locked="0"/>
    </xf>
    <xf numFmtId="14" fontId="5" fillId="3" borderId="0" xfId="0" applyNumberFormat="1" applyFont="1" applyFill="1" applyAlignment="1">
      <alignment horizontal="center" wrapText="1"/>
    </xf>
    <xf numFmtId="0" fontId="5" fillId="3" borderId="0" xfId="0" applyFont="1" applyFill="1" applyAlignment="1" applyProtection="1">
      <alignment horizontal="center"/>
      <protection locked="0"/>
    </xf>
    <xf numFmtId="0" fontId="5" fillId="3" borderId="0" xfId="0" applyFont="1" applyFill="1" applyAlignment="1" applyProtection="1">
      <alignment horizontal="left"/>
      <protection locked="0"/>
    </xf>
    <xf numFmtId="0" fontId="5" fillId="3" borderId="0" xfId="0" applyFont="1" applyFill="1" applyAlignment="1" applyProtection="1">
      <alignment horizontal="right" wrapText="1"/>
      <protection hidden="1"/>
    </xf>
    <xf numFmtId="0" fontId="23" fillId="2" borderId="0" xfId="0" applyFont="1" applyFill="1" applyAlignment="1" applyProtection="1">
      <alignment horizontal="right" wrapText="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5" fillId="3" borderId="0" xfId="0" applyFont="1" applyFill="1" applyAlignment="1" applyProtection="1">
      <alignment horizontal="right"/>
      <protection hidden="1"/>
    </xf>
    <xf numFmtId="0" fontId="23" fillId="2" borderId="0" xfId="0" applyFont="1" applyFill="1" applyAlignment="1" applyProtection="1">
      <alignment horizontal="right"/>
      <protection hidden="1"/>
    </xf>
    <xf numFmtId="168" fontId="5" fillId="3" borderId="0" xfId="0" applyNumberFormat="1" applyFont="1" applyFill="1" applyAlignment="1">
      <alignment horizontal="center"/>
    </xf>
    <xf numFmtId="0" fontId="5" fillId="6" borderId="0" xfId="0" applyFont="1" applyFill="1" applyAlignment="1">
      <alignment horizontal="center"/>
    </xf>
    <xf numFmtId="0" fontId="5" fillId="6" borderId="0" xfId="0" applyFont="1" applyFill="1" applyAlignment="1" applyProtection="1">
      <alignment horizontal="left"/>
      <protection hidden="1"/>
    </xf>
    <xf numFmtId="164" fontId="5" fillId="3" borderId="0" xfId="0" applyNumberFormat="1" applyFont="1" applyFill="1" applyAlignment="1">
      <alignment horizontal="right"/>
    </xf>
    <xf numFmtId="164" fontId="5" fillId="12" borderId="0" xfId="0" applyNumberFormat="1" applyFont="1" applyFill="1" applyAlignment="1">
      <alignment horizontal="left"/>
    </xf>
    <xf numFmtId="168" fontId="5" fillId="12" borderId="0" xfId="0" applyNumberFormat="1" applyFont="1" applyFill="1" applyAlignment="1">
      <alignment horizontal="center"/>
    </xf>
    <xf numFmtId="164" fontId="5" fillId="12" borderId="0" xfId="0" applyNumberFormat="1" applyFont="1" applyFill="1" applyAlignment="1">
      <alignment horizontal="right"/>
    </xf>
    <xf numFmtId="164" fontId="23" fillId="12" borderId="0" xfId="0" applyNumberFormat="1" applyFont="1" applyFill="1" applyAlignment="1">
      <alignment horizontal="right"/>
    </xf>
    <xf numFmtId="0" fontId="5" fillId="3" borderId="0" xfId="0" applyFont="1" applyFill="1" applyAlignment="1" applyProtection="1">
      <alignment horizontal="right"/>
      <protection locked="0"/>
    </xf>
    <xf numFmtId="0" fontId="23" fillId="2" borderId="0" xfId="0" applyFont="1" applyFill="1" applyAlignment="1" applyProtection="1">
      <alignment horizontal="right"/>
      <protection locked="0"/>
    </xf>
    <xf numFmtId="164" fontId="5" fillId="3" borderId="0" xfId="1" applyNumberFormat="1" applyFont="1" applyFill="1" applyBorder="1" applyAlignment="1" applyProtection="1">
      <alignment horizontal="right"/>
    </xf>
    <xf numFmtId="164" fontId="23" fillId="2" borderId="0" xfId="0" applyNumberFormat="1" applyFont="1" applyFill="1" applyAlignment="1" applyProtection="1">
      <alignment horizontal="right"/>
      <protection hidden="1"/>
    </xf>
    <xf numFmtId="164" fontId="5" fillId="12" borderId="0" xfId="0" applyNumberFormat="1" applyFont="1" applyFill="1" applyAlignment="1">
      <alignment horizontal="center"/>
    </xf>
    <xf numFmtId="164" fontId="5" fillId="3" borderId="0" xfId="0" applyNumberFormat="1" applyFont="1" applyFill="1" applyAlignment="1" applyProtection="1">
      <alignment horizontal="right"/>
      <protection hidden="1"/>
    </xf>
    <xf numFmtId="2" fontId="5" fillId="3" borderId="0" xfId="0" applyNumberFormat="1" applyFont="1" applyFill="1" applyAlignment="1">
      <alignment horizontal="center"/>
    </xf>
    <xf numFmtId="0" fontId="5" fillId="6" borderId="0" xfId="0" applyFont="1" applyFill="1" applyAlignment="1" applyProtection="1">
      <alignment horizontal="center"/>
      <protection hidden="1"/>
    </xf>
    <xf numFmtId="164" fontId="5" fillId="12" borderId="0" xfId="0" applyNumberFormat="1" applyFont="1" applyFill="1" applyAlignment="1">
      <alignment horizontal="left" wrapText="1"/>
    </xf>
    <xf numFmtId="164" fontId="5" fillId="12" borderId="0" xfId="0" applyNumberFormat="1" applyFont="1" applyFill="1" applyAlignment="1">
      <alignment horizontal="right" wrapText="1"/>
    </xf>
    <xf numFmtId="164" fontId="23" fillId="12" borderId="0" xfId="0" applyNumberFormat="1" applyFont="1" applyFill="1" applyAlignment="1">
      <alignment horizontal="right" wrapText="1"/>
    </xf>
    <xf numFmtId="164" fontId="5" fillId="3" borderId="0" xfId="0" applyNumberFormat="1" applyFont="1" applyFill="1" applyAlignment="1">
      <alignment horizontal="center"/>
    </xf>
    <xf numFmtId="5" fontId="5" fillId="3" borderId="0" xfId="2" applyNumberFormat="1" applyFont="1" applyFill="1" applyBorder="1" applyAlignment="1" applyProtection="1">
      <alignment horizontal="center"/>
    </xf>
    <xf numFmtId="164" fontId="5" fillId="3" borderId="0" xfId="0" applyNumberFormat="1" applyFont="1" applyFill="1" applyAlignment="1">
      <alignment horizontal="left" wrapText="1"/>
    </xf>
    <xf numFmtId="164" fontId="5" fillId="12" borderId="0" xfId="0" applyNumberFormat="1" applyFont="1" applyFill="1" applyAlignment="1">
      <alignment horizontal="center" wrapText="1"/>
    </xf>
    <xf numFmtId="165" fontId="5" fillId="3" borderId="0" xfId="0" applyNumberFormat="1" applyFont="1" applyFill="1" applyAlignment="1">
      <alignment horizontal="center"/>
    </xf>
    <xf numFmtId="1" fontId="5" fillId="3" borderId="0" xfId="0" applyNumberFormat="1" applyFont="1" applyFill="1" applyAlignment="1">
      <alignment horizontal="right"/>
    </xf>
    <xf numFmtId="2" fontId="5" fillId="3" borderId="0" xfId="0" applyNumberFormat="1" applyFont="1" applyFill="1" applyAlignment="1">
      <alignment horizontal="center" wrapText="1"/>
    </xf>
    <xf numFmtId="164" fontId="5" fillId="3" borderId="0" xfId="0" applyNumberFormat="1" applyFont="1" applyFill="1" applyAlignment="1">
      <alignment horizontal="right" wrapText="1"/>
    </xf>
    <xf numFmtId="0" fontId="5" fillId="3" borderId="0" xfId="0" applyFont="1" applyFill="1" applyAlignment="1" applyProtection="1">
      <alignment wrapText="1"/>
      <protection locked="0"/>
    </xf>
    <xf numFmtId="5" fontId="5" fillId="3" borderId="0" xfId="0" applyNumberFormat="1" applyFont="1" applyFill="1" applyAlignment="1">
      <alignment horizontal="center"/>
    </xf>
    <xf numFmtId="0" fontId="5" fillId="3" borderId="0" xfId="0" applyFont="1" applyFill="1" applyAlignment="1">
      <alignment horizontal="center" wrapText="1"/>
    </xf>
    <xf numFmtId="170" fontId="5" fillId="3" borderId="0" xfId="2" applyNumberFormat="1" applyFont="1" applyFill="1" applyBorder="1" applyAlignment="1" applyProtection="1">
      <alignment horizontal="right"/>
      <protection locked="0"/>
    </xf>
    <xf numFmtId="164" fontId="5" fillId="3" borderId="0" xfId="2" applyNumberFormat="1" applyFont="1" applyFill="1" applyBorder="1" applyAlignment="1" applyProtection="1">
      <alignment horizontal="right"/>
      <protection locked="0"/>
    </xf>
    <xf numFmtId="42" fontId="5" fillId="3" borderId="65" xfId="2" applyNumberFormat="1" applyFont="1" applyFill="1" applyBorder="1" applyAlignment="1" applyProtection="1">
      <alignment horizontal="right"/>
      <protection locked="0"/>
    </xf>
    <xf numFmtId="178" fontId="5" fillId="3" borderId="0" xfId="0" applyNumberFormat="1" applyFont="1" applyFill="1" applyProtection="1">
      <protection locked="0"/>
    </xf>
    <xf numFmtId="42" fontId="5" fillId="3" borderId="0" xfId="2" applyNumberFormat="1" applyFont="1" applyFill="1" applyBorder="1" applyAlignment="1" applyProtection="1">
      <alignment horizontal="right"/>
      <protection locked="0"/>
    </xf>
    <xf numFmtId="173" fontId="5" fillId="3" borderId="0" xfId="2" applyNumberFormat="1" applyFont="1" applyFill="1" applyBorder="1" applyAlignment="1" applyProtection="1">
      <alignment horizontal="right"/>
      <protection locked="0"/>
    </xf>
    <xf numFmtId="44" fontId="5" fillId="3" borderId="0" xfId="2" applyFont="1" applyFill="1" applyBorder="1" applyAlignment="1" applyProtection="1">
      <alignment horizontal="right"/>
      <protection locked="0"/>
    </xf>
    <xf numFmtId="44" fontId="5" fillId="3" borderId="65" xfId="2" applyFont="1" applyFill="1" applyBorder="1" applyAlignment="1" applyProtection="1">
      <alignment horizontal="right"/>
      <protection locked="0"/>
    </xf>
    <xf numFmtId="0" fontId="5" fillId="12" borderId="0" xfId="0" applyFont="1" applyFill="1" applyAlignment="1">
      <alignment horizontal="center"/>
    </xf>
    <xf numFmtId="5" fontId="5" fillId="3" borderId="0" xfId="2" applyNumberFormat="1" applyFont="1" applyFill="1" applyBorder="1" applyAlignment="1" applyProtection="1">
      <alignment horizontal="right"/>
    </xf>
    <xf numFmtId="172" fontId="5" fillId="3" borderId="0" xfId="0" applyNumberFormat="1" applyFont="1" applyFill="1" applyAlignment="1" applyProtection="1">
      <alignment horizontal="right"/>
      <protection hidden="1"/>
    </xf>
    <xf numFmtId="172" fontId="23" fillId="2" borderId="0" xfId="0" applyNumberFormat="1" applyFont="1" applyFill="1" applyAlignment="1" applyProtection="1">
      <alignment horizontal="right"/>
      <protection hidden="1"/>
    </xf>
    <xf numFmtId="0" fontId="5" fillId="12" borderId="0" xfId="0" applyFont="1" applyFill="1" applyAlignment="1">
      <alignment horizontal="left"/>
    </xf>
    <xf numFmtId="0" fontId="34" fillId="12" borderId="0" xfId="0" applyFont="1" applyFill="1" applyAlignment="1">
      <alignment horizontal="center"/>
    </xf>
    <xf numFmtId="0" fontId="5" fillId="12" borderId="0" xfId="0" applyFont="1" applyFill="1" applyAlignment="1">
      <alignment horizontal="right"/>
    </xf>
    <xf numFmtId="0" fontId="23" fillId="12" borderId="0" xfId="0" applyFont="1" applyFill="1" applyAlignment="1">
      <alignment horizontal="right"/>
    </xf>
    <xf numFmtId="0" fontId="34" fillId="3" borderId="0" xfId="0" applyFont="1" applyFill="1" applyAlignment="1" applyProtection="1">
      <alignment vertical="center"/>
      <protection locked="0"/>
    </xf>
    <xf numFmtId="0" fontId="34" fillId="3" borderId="0" xfId="0" applyFont="1" applyFill="1" applyAlignment="1">
      <alignment vertical="center"/>
    </xf>
    <xf numFmtId="0" fontId="34" fillId="3" borderId="0" xfId="0" applyFont="1" applyFill="1" applyAlignment="1">
      <alignment horizontal="center"/>
    </xf>
    <xf numFmtId="0" fontId="34" fillId="3" borderId="0" xfId="0" applyFont="1" applyFill="1" applyProtection="1">
      <protection locked="0"/>
    </xf>
    <xf numFmtId="0" fontId="34" fillId="3" borderId="0" xfId="0" applyFont="1" applyFill="1"/>
    <xf numFmtId="0" fontId="34" fillId="3" borderId="0" xfId="0" applyFont="1" applyFill="1" applyAlignment="1">
      <alignment horizontal="left"/>
    </xf>
    <xf numFmtId="0" fontId="5" fillId="3" borderId="0" xfId="0" applyFont="1" applyFill="1" applyAlignment="1" applyProtection="1">
      <alignment horizontal="left" vertical="center"/>
      <protection locked="0"/>
    </xf>
    <xf numFmtId="0" fontId="34" fillId="3" borderId="0" xfId="0" applyFont="1" applyFill="1" applyAlignment="1" applyProtection="1">
      <alignment horizontal="left"/>
      <protection locked="0"/>
    </xf>
    <xf numFmtId="0" fontId="5" fillId="6" borderId="0" xfId="0" applyFont="1" applyFill="1" applyAlignment="1">
      <alignment horizontal="left"/>
    </xf>
    <xf numFmtId="1" fontId="5" fillId="3" borderId="0" xfId="2" applyNumberFormat="1" applyFont="1" applyFill="1" applyBorder="1" applyAlignment="1" applyProtection="1">
      <alignment horizontal="right"/>
    </xf>
    <xf numFmtId="1" fontId="5" fillId="3" borderId="0" xfId="0" applyNumberFormat="1" applyFont="1" applyFill="1" applyAlignment="1" applyProtection="1">
      <alignment horizontal="right"/>
      <protection hidden="1"/>
    </xf>
    <xf numFmtId="1" fontId="23" fillId="2" borderId="0" xfId="0" applyNumberFormat="1" applyFont="1" applyFill="1" applyAlignment="1" applyProtection="1">
      <alignment horizontal="right"/>
      <protection hidden="1"/>
    </xf>
    <xf numFmtId="5" fontId="5" fillId="3" borderId="0" xfId="0" applyNumberFormat="1" applyFont="1" applyFill="1" applyAlignment="1">
      <alignment horizontal="right"/>
    </xf>
    <xf numFmtId="5" fontId="5" fillId="3" borderId="0" xfId="0" applyNumberFormat="1" applyFont="1" applyFill="1" applyAlignment="1">
      <alignment horizontal="left"/>
    </xf>
    <xf numFmtId="172" fontId="5" fillId="3" borderId="0" xfId="2" applyNumberFormat="1" applyFont="1" applyFill="1" applyBorder="1" applyAlignment="1" applyProtection="1">
      <alignment horizontal="right"/>
    </xf>
    <xf numFmtId="49" fontId="5" fillId="12" borderId="0" xfId="0" applyNumberFormat="1" applyFont="1" applyFill="1" applyAlignment="1">
      <alignment horizontal="right"/>
    </xf>
    <xf numFmtId="172" fontId="23" fillId="12" borderId="0" xfId="0" applyNumberFormat="1" applyFont="1" applyFill="1" applyAlignment="1" applyProtection="1">
      <alignment horizontal="right"/>
      <protection hidden="1"/>
    </xf>
    <xf numFmtId="0" fontId="5" fillId="12" borderId="0" xfId="0" applyFont="1" applyFill="1" applyAlignment="1">
      <alignment horizontal="right" wrapText="1"/>
    </xf>
    <xf numFmtId="0" fontId="5" fillId="3" borderId="0" xfId="0" applyFont="1" applyFill="1" applyAlignment="1">
      <alignment horizontal="right" wrapText="1"/>
    </xf>
    <xf numFmtId="0" fontId="23" fillId="2" borderId="0" xfId="0" applyFont="1" applyFill="1" applyAlignment="1">
      <alignment horizontal="right" wrapText="1"/>
    </xf>
    <xf numFmtId="164" fontId="5" fillId="3" borderId="0" xfId="0" applyNumberFormat="1" applyFont="1" applyFill="1" applyAlignment="1">
      <alignment horizontal="left"/>
    </xf>
    <xf numFmtId="5" fontId="5" fillId="3" borderId="0" xfId="2" applyNumberFormat="1" applyFont="1" applyFill="1" applyBorder="1" applyAlignment="1">
      <alignment horizontal="right"/>
    </xf>
    <xf numFmtId="0" fontId="5" fillId="14" borderId="0" xfId="0" applyFont="1" applyFill="1" applyAlignment="1">
      <alignment horizontal="left" wrapText="1"/>
    </xf>
    <xf numFmtId="0" fontId="5" fillId="14" borderId="0" xfId="0" applyFont="1" applyFill="1" applyAlignment="1">
      <alignment horizontal="center"/>
    </xf>
    <xf numFmtId="164" fontId="5" fillId="14" borderId="0" xfId="0" applyNumberFormat="1" applyFont="1" applyFill="1" applyAlignment="1">
      <alignment horizontal="center"/>
    </xf>
    <xf numFmtId="164" fontId="5" fillId="14" borderId="0" xfId="0" applyNumberFormat="1" applyFont="1" applyFill="1" applyAlignment="1">
      <alignment horizontal="left"/>
    </xf>
    <xf numFmtId="5" fontId="5" fillId="14" borderId="0" xfId="2" applyNumberFormat="1" applyFont="1" applyFill="1" applyBorder="1" applyAlignment="1">
      <alignment horizontal="right"/>
    </xf>
    <xf numFmtId="172" fontId="5" fillId="14" borderId="0" xfId="0" applyNumberFormat="1" applyFont="1" applyFill="1" applyAlignment="1" applyProtection="1">
      <alignment horizontal="right"/>
      <protection hidden="1"/>
    </xf>
    <xf numFmtId="172" fontId="23" fillId="14" borderId="0" xfId="0" applyNumberFormat="1" applyFont="1" applyFill="1" applyAlignment="1" applyProtection="1">
      <alignment horizontal="right"/>
      <protection hidden="1"/>
    </xf>
    <xf numFmtId="176" fontId="5" fillId="0" borderId="0" xfId="0" applyNumberFormat="1" applyFont="1"/>
    <xf numFmtId="3" fontId="5" fillId="3" borderId="0" xfId="0" applyNumberFormat="1" applyFont="1" applyFill="1"/>
    <xf numFmtId="164" fontId="23" fillId="2" borderId="0" xfId="0" applyNumberFormat="1" applyFont="1" applyFill="1" applyAlignment="1">
      <alignment horizontal="right"/>
    </xf>
    <xf numFmtId="172" fontId="5" fillId="3" borderId="0" xfId="2" applyNumberFormat="1" applyFont="1" applyFill="1" applyBorder="1" applyAlignment="1">
      <alignment horizontal="right"/>
    </xf>
    <xf numFmtId="3" fontId="5" fillId="12" borderId="0" xfId="0" applyNumberFormat="1" applyFont="1" applyFill="1" applyAlignment="1">
      <alignment horizontal="center"/>
    </xf>
    <xf numFmtId="3" fontId="5" fillId="12" borderId="0" xfId="0" applyNumberFormat="1" applyFont="1" applyFill="1" applyAlignment="1">
      <alignment horizontal="left"/>
    </xf>
    <xf numFmtId="3" fontId="5" fillId="12" borderId="0" xfId="0" applyNumberFormat="1" applyFont="1" applyFill="1" applyAlignment="1">
      <alignment horizontal="right"/>
    </xf>
    <xf numFmtId="5" fontId="5" fillId="3" borderId="0" xfId="0" applyNumberFormat="1" applyFont="1" applyFill="1" applyProtection="1">
      <protection locked="0"/>
    </xf>
    <xf numFmtId="42" fontId="5" fillId="3" borderId="0" xfId="0" applyNumberFormat="1" applyFont="1" applyFill="1" applyAlignment="1">
      <alignment horizontal="right"/>
    </xf>
    <xf numFmtId="0" fontId="23" fillId="3" borderId="0" xfId="0" applyFont="1" applyFill="1" applyAlignment="1" applyProtection="1">
      <alignment horizontal="right"/>
      <protection hidden="1"/>
    </xf>
    <xf numFmtId="6" fontId="5" fillId="3" borderId="0" xfId="0" applyNumberFormat="1" applyFont="1" applyFill="1" applyAlignment="1">
      <alignment horizontal="right"/>
    </xf>
    <xf numFmtId="42" fontId="5" fillId="6" borderId="3" xfId="2" applyNumberFormat="1" applyFont="1" applyFill="1" applyBorder="1" applyAlignment="1" applyProtection="1">
      <alignment horizontal="right"/>
      <protection locked="0"/>
    </xf>
    <xf numFmtId="0" fontId="35" fillId="3" borderId="0" xfId="0" applyFont="1" applyFill="1" applyProtection="1">
      <protection locked="0"/>
    </xf>
    <xf numFmtId="6" fontId="36" fillId="0" borderId="0" xfId="0" applyNumberFormat="1" applyFont="1"/>
    <xf numFmtId="0" fontId="36" fillId="0" borderId="0" xfId="0" applyFont="1"/>
    <xf numFmtId="0" fontId="25" fillId="0" borderId="0" xfId="19" applyFont="1" applyAlignment="1" applyProtection="1">
      <alignment horizontal="left" vertical="top" wrapText="1" indent="1"/>
      <protection hidden="1"/>
    </xf>
    <xf numFmtId="0" fontId="25" fillId="0" borderId="0" xfId="0" applyFont="1"/>
    <xf numFmtId="0" fontId="16" fillId="0" borderId="0" xfId="0" applyFont="1"/>
    <xf numFmtId="0" fontId="18" fillId="0" borderId="0" xfId="0" applyFont="1"/>
    <xf numFmtId="0" fontId="39" fillId="0" borderId="0" xfId="18" applyFont="1" applyAlignment="1" applyProtection="1">
      <alignment horizontal="left" vertical="top" wrapText="1" indent="1"/>
      <protection hidden="1"/>
    </xf>
    <xf numFmtId="0" fontId="39" fillId="0" borderId="0" xfId="18" applyFont="1"/>
    <xf numFmtId="0" fontId="39" fillId="0" borderId="0" xfId="18" applyFont="1" applyBorder="1" applyAlignment="1" applyProtection="1">
      <alignment horizontal="left" vertical="top" wrapText="1" indent="3"/>
      <protection hidden="1"/>
    </xf>
    <xf numFmtId="0" fontId="40" fillId="0" borderId="0" xfId="0" applyFont="1"/>
    <xf numFmtId="0" fontId="39" fillId="0" borderId="0" xfId="18" applyFont="1" applyBorder="1" applyAlignment="1" applyProtection="1">
      <alignment horizontal="left" vertical="top" wrapText="1" indent="1"/>
      <protection hidden="1"/>
    </xf>
    <xf numFmtId="0" fontId="5" fillId="4" borderId="62" xfId="0" applyFont="1" applyFill="1" applyBorder="1" applyAlignment="1">
      <alignment horizontal="right" vertical="center"/>
    </xf>
    <xf numFmtId="0" fontId="5" fillId="4" borderId="63" xfId="0" applyFont="1" applyFill="1" applyBorder="1" applyAlignment="1">
      <alignment vertical="center"/>
    </xf>
    <xf numFmtId="0" fontId="23" fillId="15" borderId="0" xfId="0" applyFont="1" applyFill="1" applyAlignment="1" applyProtection="1">
      <alignment horizontal="right" vertical="center" wrapText="1"/>
      <protection hidden="1"/>
    </xf>
    <xf numFmtId="0" fontId="5" fillId="15" borderId="0" xfId="0" applyFont="1" applyFill="1" applyAlignment="1" applyProtection="1">
      <alignment horizontal="right" wrapText="1"/>
      <protection hidden="1"/>
    </xf>
    <xf numFmtId="164" fontId="5" fillId="15" borderId="0" xfId="0" applyNumberFormat="1" applyFont="1" applyFill="1" applyAlignment="1" applyProtection="1">
      <alignment horizontal="right"/>
      <protection locked="0"/>
    </xf>
    <xf numFmtId="164" fontId="5" fillId="15" borderId="0" xfId="0" applyNumberFormat="1" applyFont="1" applyFill="1" applyAlignment="1">
      <alignment horizontal="right"/>
    </xf>
    <xf numFmtId="164" fontId="5" fillId="15" borderId="0" xfId="1" applyNumberFormat="1" applyFont="1" applyFill="1" applyBorder="1" applyAlignment="1" applyProtection="1">
      <alignment horizontal="right"/>
    </xf>
    <xf numFmtId="1" fontId="5" fillId="15" borderId="0" xfId="0" applyNumberFormat="1" applyFont="1" applyFill="1" applyAlignment="1" applyProtection="1">
      <alignment horizontal="right"/>
      <protection locked="0"/>
    </xf>
    <xf numFmtId="1" fontId="5" fillId="15" borderId="0" xfId="0" applyNumberFormat="1" applyFont="1" applyFill="1" applyAlignment="1">
      <alignment horizontal="right"/>
    </xf>
    <xf numFmtId="164" fontId="5" fillId="15" borderId="0" xfId="0" applyNumberFormat="1" applyFont="1" applyFill="1" applyAlignment="1" applyProtection="1">
      <alignment horizontal="right" wrapText="1"/>
      <protection locked="0"/>
    </xf>
    <xf numFmtId="170" fontId="5" fillId="15" borderId="0" xfId="2" applyNumberFormat="1" applyFont="1" applyFill="1" applyBorder="1" applyAlignment="1" applyProtection="1">
      <alignment horizontal="right"/>
      <protection locked="0"/>
    </xf>
    <xf numFmtId="164" fontId="5" fillId="15" borderId="0" xfId="2" applyNumberFormat="1" applyFont="1" applyFill="1" applyBorder="1" applyAlignment="1" applyProtection="1">
      <alignment horizontal="right"/>
      <protection locked="0"/>
    </xf>
    <xf numFmtId="42" fontId="5" fillId="15" borderId="65" xfId="2" applyNumberFormat="1" applyFont="1" applyFill="1" applyBorder="1" applyAlignment="1" applyProtection="1">
      <alignment horizontal="right"/>
      <protection locked="0"/>
    </xf>
    <xf numFmtId="42" fontId="5" fillId="15" borderId="0" xfId="2" applyNumberFormat="1" applyFont="1" applyFill="1" applyBorder="1" applyAlignment="1" applyProtection="1">
      <alignment horizontal="right"/>
      <protection locked="0"/>
    </xf>
    <xf numFmtId="173" fontId="5" fillId="15" borderId="0" xfId="2" applyNumberFormat="1" applyFont="1" applyFill="1" applyBorder="1" applyAlignment="1" applyProtection="1">
      <alignment horizontal="right"/>
      <protection locked="0"/>
    </xf>
    <xf numFmtId="44" fontId="5" fillId="15" borderId="65" xfId="2" applyFont="1" applyFill="1" applyBorder="1" applyAlignment="1" applyProtection="1">
      <alignment horizontal="right"/>
      <protection locked="0"/>
    </xf>
    <xf numFmtId="5" fontId="5" fillId="15" borderId="0" xfId="2" applyNumberFormat="1" applyFont="1" applyFill="1" applyBorder="1" applyAlignment="1" applyProtection="1">
      <alignment horizontal="right"/>
    </xf>
    <xf numFmtId="5" fontId="5" fillId="15" borderId="0" xfId="2" applyNumberFormat="1" applyFont="1" applyFill="1" applyBorder="1" applyAlignment="1" applyProtection="1">
      <alignment horizontal="right"/>
      <protection locked="0"/>
    </xf>
    <xf numFmtId="1" fontId="5" fillId="15" borderId="0" xfId="2" applyNumberFormat="1" applyFont="1" applyFill="1" applyBorder="1" applyAlignment="1" applyProtection="1">
      <alignment horizontal="right"/>
      <protection locked="0"/>
    </xf>
    <xf numFmtId="1" fontId="5" fillId="15" borderId="0" xfId="2" applyNumberFormat="1" applyFont="1" applyFill="1" applyBorder="1" applyAlignment="1" applyProtection="1">
      <alignment horizontal="right"/>
    </xf>
    <xf numFmtId="5" fontId="5" fillId="15" borderId="0" xfId="0" applyNumberFormat="1" applyFont="1" applyFill="1" applyAlignment="1">
      <alignment horizontal="right"/>
    </xf>
    <xf numFmtId="0" fontId="5" fillId="15" borderId="0" xfId="0" applyFont="1" applyFill="1" applyAlignment="1">
      <alignment horizontal="right" wrapText="1"/>
    </xf>
    <xf numFmtId="5" fontId="5" fillId="15" borderId="0" xfId="2" applyNumberFormat="1" applyFont="1" applyFill="1" applyBorder="1" applyAlignment="1">
      <alignment horizontal="right"/>
    </xf>
    <xf numFmtId="172" fontId="5" fillId="15" borderId="0" xfId="2" applyNumberFormat="1" applyFont="1" applyFill="1" applyBorder="1" applyAlignment="1">
      <alignment horizontal="right"/>
    </xf>
    <xf numFmtId="0" fontId="5" fillId="4" borderId="0" xfId="19" applyFill="1" applyAlignment="1" applyProtection="1">
      <alignment horizontal="left" vertical="top" wrapText="1" indent="1"/>
      <protection hidden="1"/>
    </xf>
    <xf numFmtId="0" fontId="5" fillId="4" borderId="0" xfId="19" applyFill="1" applyAlignment="1" applyProtection="1">
      <alignment horizontal="left" wrapText="1" indent="1"/>
      <protection hidden="1"/>
    </xf>
    <xf numFmtId="1" fontId="5" fillId="4" borderId="53" xfId="0" applyNumberFormat="1" applyFont="1" applyFill="1" applyBorder="1" applyAlignment="1">
      <alignment horizontal="right"/>
    </xf>
    <xf numFmtId="164" fontId="27" fillId="12" borderId="0" xfId="0" applyNumberFormat="1" applyFont="1" applyFill="1" applyAlignment="1">
      <alignment horizontal="right"/>
    </xf>
    <xf numFmtId="0" fontId="27" fillId="12" borderId="0" xfId="0" applyFont="1" applyFill="1" applyAlignment="1">
      <alignment horizontal="right" wrapText="1"/>
    </xf>
    <xf numFmtId="0" fontId="41" fillId="8" borderId="0" xfId="0" applyFont="1" applyFill="1" applyAlignment="1" applyProtection="1">
      <alignment horizontal="right" vertical="center" wrapText="1"/>
      <protection hidden="1"/>
    </xf>
    <xf numFmtId="0" fontId="27" fillId="8" borderId="0" xfId="0" applyFont="1" applyFill="1" applyAlignment="1" applyProtection="1">
      <alignment horizontal="right" wrapText="1"/>
      <protection hidden="1"/>
    </xf>
    <xf numFmtId="164" fontId="27" fillId="8" borderId="0" xfId="0" applyNumberFormat="1" applyFont="1" applyFill="1" applyAlignment="1" applyProtection="1">
      <alignment horizontal="right"/>
      <protection locked="0"/>
    </xf>
    <xf numFmtId="164" fontId="27" fillId="8" borderId="0" xfId="0" applyNumberFormat="1" applyFont="1" applyFill="1" applyAlignment="1">
      <alignment horizontal="right"/>
    </xf>
    <xf numFmtId="0" fontId="27" fillId="8" borderId="0" xfId="0" applyFont="1" applyFill="1" applyAlignment="1" applyProtection="1">
      <alignment horizontal="right"/>
      <protection locked="0"/>
    </xf>
    <xf numFmtId="0" fontId="27" fillId="8" borderId="0" xfId="0" applyFont="1" applyFill="1" applyAlignment="1" applyProtection="1">
      <alignment horizontal="right"/>
      <protection hidden="1"/>
    </xf>
    <xf numFmtId="164" fontId="27" fillId="8" borderId="0" xfId="1" applyNumberFormat="1" applyFont="1" applyFill="1" applyBorder="1" applyAlignment="1" applyProtection="1">
      <alignment horizontal="right"/>
    </xf>
    <xf numFmtId="164" fontId="27" fillId="8" borderId="0" xfId="0" applyNumberFormat="1" applyFont="1" applyFill="1" applyAlignment="1" applyProtection="1">
      <alignment horizontal="right"/>
      <protection hidden="1"/>
    </xf>
    <xf numFmtId="172" fontId="27" fillId="8" borderId="0" xfId="0" applyNumberFormat="1" applyFont="1" applyFill="1" applyAlignment="1" applyProtection="1">
      <alignment horizontal="right"/>
      <protection hidden="1"/>
    </xf>
    <xf numFmtId="5" fontId="27" fillId="8" borderId="0" xfId="2" applyNumberFormat="1" applyFont="1" applyFill="1" applyBorder="1" applyAlignment="1" applyProtection="1">
      <alignment horizontal="right"/>
    </xf>
    <xf numFmtId="1" fontId="27" fillId="8" borderId="0" xfId="2" applyNumberFormat="1" applyFont="1" applyFill="1" applyBorder="1" applyAlignment="1" applyProtection="1">
      <alignment horizontal="right"/>
      <protection locked="0"/>
    </xf>
    <xf numFmtId="1" fontId="27" fillId="8" borderId="0" xfId="2" applyNumberFormat="1" applyFont="1" applyFill="1" applyBorder="1" applyAlignment="1" applyProtection="1">
      <alignment horizontal="right"/>
    </xf>
    <xf numFmtId="172" fontId="27" fillId="8" borderId="0" xfId="0" applyNumberFormat="1" applyFont="1" applyFill="1" applyAlignment="1" applyProtection="1">
      <alignment horizontal="right"/>
      <protection locked="0"/>
    </xf>
    <xf numFmtId="0" fontId="27" fillId="8" borderId="0" xfId="0" applyFont="1" applyFill="1" applyAlignment="1">
      <alignment horizontal="right" wrapText="1"/>
    </xf>
    <xf numFmtId="5" fontId="27" fillId="8" borderId="0" xfId="2" applyNumberFormat="1" applyFont="1" applyFill="1" applyBorder="1" applyAlignment="1">
      <alignment horizontal="right"/>
    </xf>
    <xf numFmtId="172" fontId="27" fillId="8" borderId="0" xfId="2" applyNumberFormat="1" applyFont="1" applyFill="1" applyBorder="1" applyAlignment="1">
      <alignment horizontal="right"/>
    </xf>
    <xf numFmtId="172" fontId="42" fillId="5" borderId="0" xfId="0" applyNumberFormat="1" applyFont="1" applyFill="1" applyAlignment="1" applyProtection="1">
      <alignment horizontal="center" vertical="center" wrapText="1"/>
      <protection hidden="1"/>
    </xf>
    <xf numFmtId="172" fontId="42" fillId="5" borderId="0" xfId="0" applyNumberFormat="1" applyFont="1" applyFill="1" applyAlignment="1" applyProtection="1">
      <alignment horizontal="center" wrapText="1"/>
      <protection hidden="1"/>
    </xf>
    <xf numFmtId="172" fontId="42" fillId="5" borderId="0" xfId="0" applyNumberFormat="1" applyFont="1" applyFill="1" applyAlignment="1" applyProtection="1">
      <alignment horizontal="center"/>
      <protection locked="0"/>
    </xf>
    <xf numFmtId="164" fontId="42" fillId="12" borderId="0" xfId="0" applyNumberFormat="1" applyFont="1" applyFill="1" applyAlignment="1">
      <alignment horizontal="center"/>
    </xf>
    <xf numFmtId="172" fontId="42" fillId="5" borderId="0" xfId="0" applyNumberFormat="1" applyFont="1" applyFill="1" applyAlignment="1" applyProtection="1">
      <alignment horizontal="center"/>
      <protection hidden="1"/>
    </xf>
    <xf numFmtId="177" fontId="42" fillId="5" borderId="0" xfId="1" applyNumberFormat="1" applyFont="1" applyFill="1" applyBorder="1" applyAlignment="1" applyProtection="1">
      <alignment horizontal="center"/>
    </xf>
    <xf numFmtId="164" fontId="42" fillId="12" borderId="0" xfId="0" applyNumberFormat="1" applyFont="1" applyFill="1" applyAlignment="1">
      <alignment horizontal="center" wrapText="1"/>
    </xf>
    <xf numFmtId="0" fontId="42" fillId="12" borderId="0" xfId="0" applyFont="1" applyFill="1" applyAlignment="1">
      <alignment horizontal="center"/>
    </xf>
    <xf numFmtId="0" fontId="42" fillId="12" borderId="0" xfId="0" applyFont="1" applyFill="1" applyAlignment="1">
      <alignment horizontal="center" wrapText="1"/>
    </xf>
    <xf numFmtId="0" fontId="42" fillId="5" borderId="0" xfId="0" applyFont="1" applyFill="1" applyAlignment="1">
      <alignment horizontal="center" wrapText="1"/>
    </xf>
    <xf numFmtId="172" fontId="42" fillId="14" borderId="0" xfId="0" applyNumberFormat="1" applyFont="1" applyFill="1" applyAlignment="1" applyProtection="1">
      <alignment horizontal="center"/>
      <protection hidden="1"/>
    </xf>
    <xf numFmtId="164" fontId="42" fillId="5" borderId="0" xfId="0" applyNumberFormat="1" applyFont="1" applyFill="1" applyAlignment="1">
      <alignment horizontal="center"/>
    </xf>
    <xf numFmtId="3" fontId="42" fillId="12" borderId="0" xfId="0" applyNumberFormat="1" applyFont="1" applyFill="1" applyAlignment="1">
      <alignment horizontal="center"/>
    </xf>
    <xf numFmtId="172" fontId="42" fillId="3" borderId="0" xfId="0" applyNumberFormat="1" applyFont="1" applyFill="1" applyAlignment="1" applyProtection="1">
      <alignment horizontal="center"/>
      <protection locked="0"/>
    </xf>
    <xf numFmtId="172" fontId="42" fillId="3" borderId="0" xfId="0" applyNumberFormat="1" applyFont="1" applyFill="1" applyAlignment="1" applyProtection="1">
      <alignment horizontal="center"/>
      <protection hidden="1"/>
    </xf>
    <xf numFmtId="5" fontId="5" fillId="12" borderId="0" xfId="2" applyNumberFormat="1" applyFont="1" applyFill="1" applyBorder="1" applyAlignment="1" applyProtection="1">
      <alignment horizontal="right"/>
      <protection locked="0"/>
    </xf>
    <xf numFmtId="172" fontId="27" fillId="12" borderId="0" xfId="0" applyNumberFormat="1" applyFont="1" applyFill="1" applyAlignment="1" applyProtection="1">
      <alignment horizontal="right"/>
      <protection hidden="1"/>
    </xf>
    <xf numFmtId="0" fontId="43" fillId="5" borderId="0" xfId="0" applyFont="1" applyFill="1" applyAlignment="1">
      <alignment horizontal="center" vertical="center"/>
    </xf>
    <xf numFmtId="0" fontId="23" fillId="3" borderId="23" xfId="0" quotePrefix="1" applyFont="1" applyFill="1" applyBorder="1" applyAlignment="1">
      <alignment horizontal="center" vertical="center"/>
    </xf>
    <xf numFmtId="0" fontId="23" fillId="0" borderId="26" xfId="0" applyFont="1" applyBorder="1" applyAlignment="1">
      <alignment horizontal="center" vertical="center"/>
    </xf>
    <xf numFmtId="0" fontId="5" fillId="13" borderId="8" xfId="0" applyFont="1" applyFill="1" applyBorder="1" applyAlignment="1">
      <alignment horizontal="center" vertical="center" wrapText="1"/>
    </xf>
    <xf numFmtId="0" fontId="0" fillId="13" borderId="36" xfId="0" applyFill="1" applyBorder="1" applyAlignment="1">
      <alignment horizontal="center" vertical="center" wrapText="1"/>
    </xf>
  </cellXfs>
  <cellStyles count="20">
    <cellStyle name="Comma" xfId="1" builtinId="3"/>
    <cellStyle name="Comma 2" xfId="7" xr:uid="{00000000-0005-0000-0000-000001000000}"/>
    <cellStyle name="Comma 2 2" xfId="12" xr:uid="{00000000-0005-0000-0000-000002000000}"/>
    <cellStyle name="Comma 3" xfId="10" xr:uid="{00000000-0005-0000-0000-000003000000}"/>
    <cellStyle name="Comma 3 2" xfId="15" xr:uid="{00000000-0005-0000-0000-000004000000}"/>
    <cellStyle name="Currency" xfId="2" builtinId="4"/>
    <cellStyle name="Followed Hyperlink" xfId="17" builtinId="9" hidden="1"/>
    <cellStyle name="Hyperlink" xfId="16" builtinId="8" hidden="1"/>
    <cellStyle name="Hyperlink" xfId="18" builtinId="8"/>
    <cellStyle name="Normal" xfId="0" builtinId="0"/>
    <cellStyle name="Normal 10" xfId="19" xr:uid="{97963EC7-C875-4A83-970A-BDFEB3843A1A}"/>
    <cellStyle name="Normal 2" xfId="3" xr:uid="{00000000-0005-0000-0000-000009000000}"/>
    <cellStyle name="Normal 3" xfId="6" xr:uid="{00000000-0005-0000-0000-00000A000000}"/>
    <cellStyle name="Normal 3 2" xfId="11" xr:uid="{00000000-0005-0000-0000-00000B000000}"/>
    <cellStyle name="Normal 4" xfId="8" xr:uid="{00000000-0005-0000-0000-00000C000000}"/>
    <cellStyle name="Normal 4 2" xfId="13" xr:uid="{00000000-0005-0000-0000-00000D000000}"/>
    <cellStyle name="Normal 5" xfId="9" xr:uid="{00000000-0005-0000-0000-00000E000000}"/>
    <cellStyle name="Normal 5 2" xfId="14" xr:uid="{00000000-0005-0000-0000-00000F000000}"/>
    <cellStyle name="Normal_Sheet1" xfId="5" xr:uid="{00000000-0005-0000-0000-00001000000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FFE1"/>
      <color rgb="FFCCFF66"/>
      <color rgb="FFD4E2F4"/>
      <color rgb="FFCC9900"/>
      <color rgb="FFFFFFCC"/>
      <color rgb="FFFFFF99"/>
      <color rgb="FFFFFFFF"/>
      <color rgb="FFF8F8F8"/>
      <color rgb="FFFF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1035070</xdr:colOff>
      <xdr:row>9</xdr:row>
      <xdr:rowOff>257198</xdr:rowOff>
    </xdr:from>
    <xdr:to>
      <xdr:col>10</xdr:col>
      <xdr:colOff>809953</xdr:colOff>
      <xdr:row>11</xdr:row>
      <xdr:rowOff>286952</xdr:rowOff>
    </xdr:to>
    <xdr:pic>
      <xdr:nvPicPr>
        <xdr:cNvPr id="5" name="Picture 4">
          <a:extLst>
            <a:ext uri="{FF2B5EF4-FFF2-40B4-BE49-F238E27FC236}">
              <a16:creationId xmlns:a16="http://schemas.microsoft.com/office/drawing/2014/main" id="{9222068C-44DB-C33B-400B-A4673C0E9D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3379470" y="2314598"/>
          <a:ext cx="1457633" cy="474254"/>
        </a:xfrm>
        <a:prstGeom prst="rect">
          <a:avLst/>
        </a:prstGeom>
      </xdr:spPr>
    </xdr:pic>
    <xdr:clientData/>
  </xdr:twoCellAnchor>
  <xdr:twoCellAnchor editAs="oneCell">
    <xdr:from>
      <xdr:col>5</xdr:col>
      <xdr:colOff>390526</xdr:colOff>
      <xdr:row>16</xdr:row>
      <xdr:rowOff>25400</xdr:rowOff>
    </xdr:from>
    <xdr:to>
      <xdr:col>20</xdr:col>
      <xdr:colOff>57631</xdr:colOff>
      <xdr:row>18</xdr:row>
      <xdr:rowOff>119758</xdr:rowOff>
    </xdr:to>
    <xdr:pic>
      <xdr:nvPicPr>
        <xdr:cNvPr id="8" name="Picture 7">
          <a:extLst>
            <a:ext uri="{FF2B5EF4-FFF2-40B4-BE49-F238E27FC236}">
              <a16:creationId xmlns:a16="http://schemas.microsoft.com/office/drawing/2014/main" id="{1563BAB2-4B0D-1B0C-971F-D065346E46FD}"/>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a:srcRect t="92447"/>
        <a:stretch/>
      </xdr:blipFill>
      <xdr:spPr>
        <a:xfrm>
          <a:off x="7096126" y="3352800"/>
          <a:ext cx="13948255" cy="348358"/>
        </a:xfrm>
        <a:prstGeom prst="rect">
          <a:avLst/>
        </a:prstGeom>
      </xdr:spPr>
    </xdr:pic>
    <xdr:clientData/>
  </xdr:twoCellAnchor>
  <xdr:twoCellAnchor editAs="oneCell">
    <xdr:from>
      <xdr:col>5</xdr:col>
      <xdr:colOff>400051</xdr:colOff>
      <xdr:row>12</xdr:row>
      <xdr:rowOff>43180</xdr:rowOff>
    </xdr:from>
    <xdr:to>
      <xdr:col>20</xdr:col>
      <xdr:colOff>67156</xdr:colOff>
      <xdr:row>16</xdr:row>
      <xdr:rowOff>15240</xdr:rowOff>
    </xdr:to>
    <xdr:pic>
      <xdr:nvPicPr>
        <xdr:cNvPr id="9" name="Picture 8">
          <a:extLst>
            <a:ext uri="{FF2B5EF4-FFF2-40B4-BE49-F238E27FC236}">
              <a16:creationId xmlns:a16="http://schemas.microsoft.com/office/drawing/2014/main" id="{BCF31615-2BCB-4722-8E3E-B1754272D3CE}"/>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a:srcRect t="3239" b="86398"/>
        <a:stretch/>
      </xdr:blipFill>
      <xdr:spPr>
        <a:xfrm>
          <a:off x="7105651" y="2862580"/>
          <a:ext cx="13948255" cy="480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95250</xdr:rowOff>
    </xdr:from>
    <xdr:to>
      <xdr:col>15</xdr:col>
      <xdr:colOff>541714</xdr:colOff>
      <xdr:row>24</xdr:row>
      <xdr:rowOff>56657</xdr:rowOff>
    </xdr:to>
    <xdr:pic>
      <xdr:nvPicPr>
        <xdr:cNvPr id="2" name="Picture 1">
          <a:extLst>
            <a:ext uri="{FF2B5EF4-FFF2-40B4-BE49-F238E27FC236}">
              <a16:creationId xmlns:a16="http://schemas.microsoft.com/office/drawing/2014/main" id="{A653DECA-E1D1-42D6-A1FE-2BDC01BAED18}"/>
            </a:ext>
          </a:extLst>
        </xdr:cNvPr>
        <xdr:cNvPicPr>
          <a:picLocks noChangeAspect="1"/>
        </xdr:cNvPicPr>
      </xdr:nvPicPr>
      <xdr:blipFill rotWithShape="1">
        <a:blip xmlns:r="http://schemas.openxmlformats.org/officeDocument/2006/relationships" r:embed="rId1"/>
        <a:srcRect t="31228"/>
        <a:stretch/>
      </xdr:blipFill>
      <xdr:spPr>
        <a:xfrm>
          <a:off x="0" y="1188720"/>
          <a:ext cx="9971464" cy="2616977"/>
        </a:xfrm>
        <a:prstGeom prst="rect">
          <a:avLst/>
        </a:prstGeom>
      </xdr:spPr>
    </xdr:pic>
    <xdr:clientData/>
  </xdr:twoCellAnchor>
  <xdr:twoCellAnchor editAs="oneCell">
    <xdr:from>
      <xdr:col>0</xdr:col>
      <xdr:colOff>266700</xdr:colOff>
      <xdr:row>26</xdr:row>
      <xdr:rowOff>28575</xdr:rowOff>
    </xdr:from>
    <xdr:to>
      <xdr:col>14</xdr:col>
      <xdr:colOff>589443</xdr:colOff>
      <xdr:row>33</xdr:row>
      <xdr:rowOff>9386</xdr:rowOff>
    </xdr:to>
    <xdr:pic>
      <xdr:nvPicPr>
        <xdr:cNvPr id="3" name="Picture 2">
          <a:extLst>
            <a:ext uri="{FF2B5EF4-FFF2-40B4-BE49-F238E27FC236}">
              <a16:creationId xmlns:a16="http://schemas.microsoft.com/office/drawing/2014/main" id="{A0895A68-1742-4FAC-B351-AEB32CD3715C}"/>
            </a:ext>
          </a:extLst>
        </xdr:cNvPr>
        <xdr:cNvPicPr>
          <a:picLocks noChangeAspect="1"/>
        </xdr:cNvPicPr>
      </xdr:nvPicPr>
      <xdr:blipFill>
        <a:blip xmlns:r="http://schemas.openxmlformats.org/officeDocument/2006/relationships" r:embed="rId2"/>
        <a:stretch>
          <a:fillRect/>
        </a:stretch>
      </xdr:blipFill>
      <xdr:spPr>
        <a:xfrm>
          <a:off x="266700" y="4238625"/>
          <a:ext cx="8857143" cy="11142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ea.texas.gov/reports-and-data/estimates-of-hb-3-school-safety-allotments-under-48-115a2-for-2023-2024-sy.xlsx"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tea.texas.gov/reports-and-data/estimates-of-hb-3-school-safety-allotments-under-48-115a2-for-2023-2024-sy.xlsx"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0EDBA-E8AF-4008-83EA-03541CFA612F}">
  <sheetPr>
    <tabColor theme="9" tint="0.79998168889431442"/>
    <pageSetUpPr fitToPage="1"/>
  </sheetPr>
  <dimension ref="A1:Q165"/>
  <sheetViews>
    <sheetView zoomScaleNormal="100" zoomScaleSheetLayoutView="40" zoomScalePageLayoutView="85" workbookViewId="0">
      <pane ySplit="3" topLeftCell="A4" activePane="bottomLeft" state="frozen"/>
      <selection activeCell="C1" sqref="C1"/>
      <selection pane="bottomLeft" activeCell="L44" sqref="L44"/>
    </sheetView>
  </sheetViews>
  <sheetFormatPr defaultColWidth="16.08984375" defaultRowHeight="13" x14ac:dyDescent="0.3"/>
  <cols>
    <col min="1" max="1" width="64.26953125" style="156" customWidth="1"/>
    <col min="2" max="3" width="0" style="39" hidden="1" customWidth="1"/>
    <col min="4" max="4" width="0" style="532" hidden="1" customWidth="1"/>
    <col min="5" max="5" width="0" style="53" hidden="1" customWidth="1"/>
    <col min="6" max="6" width="0" style="533" hidden="1" customWidth="1"/>
    <col min="7" max="7" width="0" style="619" hidden="1" customWidth="1"/>
    <col min="8" max="8" width="18.453125" style="53" bestFit="1" customWidth="1"/>
    <col min="9" max="9" width="12.36328125" style="533" bestFit="1" customWidth="1"/>
    <col min="10" max="10" width="8.26953125" style="693" bestFit="1" customWidth="1"/>
    <col min="11" max="11" width="20.1796875" style="158" bestFit="1" customWidth="1"/>
    <col min="12" max="12" width="16.08984375" style="158"/>
    <col min="13" max="16384" width="16.08984375" style="52"/>
  </cols>
  <sheetData>
    <row r="1" spans="1:12" s="321" customFormat="1" ht="39" x14ac:dyDescent="0.25">
      <c r="A1" s="524" t="s">
        <v>1048</v>
      </c>
      <c r="B1" s="521"/>
      <c r="C1" s="520" t="s">
        <v>774</v>
      </c>
      <c r="D1" s="520" t="s">
        <v>775</v>
      </c>
      <c r="E1" s="522" t="s">
        <v>1049</v>
      </c>
      <c r="F1" s="522" t="s">
        <v>1050</v>
      </c>
      <c r="G1" s="523" t="s">
        <v>1043</v>
      </c>
      <c r="H1" s="636" t="s">
        <v>1956</v>
      </c>
      <c r="I1" s="663" t="s">
        <v>1957</v>
      </c>
      <c r="J1" s="679" t="s">
        <v>1955</v>
      </c>
      <c r="K1" s="525"/>
      <c r="L1" s="525"/>
    </row>
    <row r="2" spans="1:12" x14ac:dyDescent="0.3">
      <c r="A2" s="524" t="str">
        <f>VLOOKUP(A3,DATA!1:1048576,2,FALSE)</f>
        <v>CHARTER DISTRICT</v>
      </c>
      <c r="B2" s="526"/>
      <c r="C2" s="527"/>
      <c r="D2" s="528"/>
      <c r="E2" s="529"/>
      <c r="F2" s="529"/>
      <c r="G2" s="530"/>
      <c r="H2" s="637"/>
      <c r="I2" s="664"/>
      <c r="J2" s="680"/>
    </row>
    <row r="3" spans="1:12" x14ac:dyDescent="0.3">
      <c r="A3" s="524">
        <f>Estimates!E1</f>
        <v>0</v>
      </c>
      <c r="B3" s="526"/>
      <c r="C3" s="531"/>
      <c r="E3" s="529"/>
      <c r="G3" s="534"/>
      <c r="H3" s="637"/>
      <c r="I3" s="664"/>
      <c r="J3" s="680"/>
    </row>
    <row r="4" spans="1:12" x14ac:dyDescent="0.3">
      <c r="A4" s="312" t="s">
        <v>574</v>
      </c>
      <c r="B4" s="535" t="s">
        <v>596</v>
      </c>
      <c r="C4" s="536">
        <v>6</v>
      </c>
      <c r="D4" s="537" t="s">
        <v>124</v>
      </c>
      <c r="E4" s="538">
        <f>VLOOKUP(Estimates!E1,INITIAL_EST,6,FALSE)</f>
        <v>0</v>
      </c>
      <c r="F4" s="538">
        <f>VLOOKUP(Estimates!E1,INITIAL_EST,6,FALSE)</f>
        <v>0</v>
      </c>
      <c r="G4" s="534"/>
      <c r="H4" s="638">
        <f>VLOOKUP(Estimates!E1,CASH_FLOW,7,FALSE)</f>
        <v>0</v>
      </c>
      <c r="I4" s="665">
        <f>VLOOKUP(Estimates!E1,CASH_FLOW,7,FALSE)</f>
        <v>0</v>
      </c>
      <c r="J4" s="681"/>
    </row>
    <row r="5" spans="1:12" ht="22.5" hidden="1" x14ac:dyDescent="0.45">
      <c r="A5" s="539" t="s">
        <v>716</v>
      </c>
      <c r="B5" s="540" t="s">
        <v>596</v>
      </c>
      <c r="C5" s="539"/>
      <c r="D5" s="539"/>
      <c r="E5" s="541"/>
      <c r="F5" s="541"/>
      <c r="G5" s="542"/>
      <c r="H5" s="639"/>
      <c r="I5" s="666"/>
      <c r="J5" s="682"/>
      <c r="K5" s="622"/>
    </row>
    <row r="6" spans="1:12" ht="22.5" hidden="1" x14ac:dyDescent="0.45">
      <c r="A6" s="312" t="s">
        <v>557</v>
      </c>
      <c r="B6" s="535">
        <v>5</v>
      </c>
      <c r="C6" s="536">
        <v>130</v>
      </c>
      <c r="D6" s="537" t="s">
        <v>248</v>
      </c>
      <c r="E6" s="538">
        <f>VLOOKUP(Estimates!E1,INITIAL_EST,130,FALSE)</f>
        <v>0</v>
      </c>
      <c r="F6" s="543"/>
      <c r="G6" s="544"/>
      <c r="H6" s="638">
        <f>VLOOKUP(Estimates!E1,CASH_FLOW,131,FALSE)</f>
        <v>0</v>
      </c>
      <c r="I6" s="667"/>
      <c r="J6" s="681"/>
      <c r="K6" s="623"/>
    </row>
    <row r="7" spans="1:12" ht="22.5" hidden="1" x14ac:dyDescent="0.45">
      <c r="A7" s="312" t="s">
        <v>558</v>
      </c>
      <c r="B7" s="535">
        <v>3</v>
      </c>
      <c r="C7" s="536">
        <v>131</v>
      </c>
      <c r="D7" s="537" t="s">
        <v>249</v>
      </c>
      <c r="E7" s="538">
        <f>VLOOKUP(Estimates!E1,INITIAL_EST,131,FALSE)</f>
        <v>0</v>
      </c>
      <c r="F7" s="543"/>
      <c r="G7" s="544"/>
      <c r="H7" s="638">
        <f>VLOOKUP(Estimates!E1,CASH_FLOW,132,FALSE)</f>
        <v>0</v>
      </c>
      <c r="I7" s="667"/>
      <c r="J7" s="681"/>
      <c r="K7" s="624"/>
    </row>
    <row r="8" spans="1:12" ht="22.5" hidden="1" x14ac:dyDescent="0.45">
      <c r="A8" s="312" t="s">
        <v>559</v>
      </c>
      <c r="B8" s="535">
        <v>5</v>
      </c>
      <c r="C8" s="536">
        <v>143</v>
      </c>
      <c r="D8" s="537" t="s">
        <v>261</v>
      </c>
      <c r="E8" s="538">
        <f>VLOOKUP(Estimates!E1,INITIAL_EST,143,FALSE)</f>
        <v>0</v>
      </c>
      <c r="F8" s="543"/>
      <c r="G8" s="544"/>
      <c r="H8" s="638">
        <f>VLOOKUP(Estimates!E1,CASH_FLOW,144,FALSE)</f>
        <v>0</v>
      </c>
      <c r="I8" s="667"/>
      <c r="J8" s="681"/>
      <c r="K8" s="622"/>
    </row>
    <row r="9" spans="1:12" hidden="1" x14ac:dyDescent="0.3">
      <c r="A9" s="312" t="s">
        <v>569</v>
      </c>
      <c r="B9" s="535">
        <v>3</v>
      </c>
      <c r="C9" s="536">
        <v>140</v>
      </c>
      <c r="D9" s="537" t="s">
        <v>258</v>
      </c>
      <c r="E9" s="538">
        <f>VLOOKUP(Estimates!E1,INITIAL_EST,140,FALSE)</f>
        <v>0</v>
      </c>
      <c r="F9" s="543"/>
      <c r="G9" s="544"/>
      <c r="H9" s="638">
        <f>VLOOKUP(Estimates!E1,CASH_FLOW,141,FALSE)</f>
        <v>0</v>
      </c>
      <c r="I9" s="667"/>
      <c r="J9" s="681"/>
    </row>
    <row r="10" spans="1:12" hidden="1" x14ac:dyDescent="0.3">
      <c r="A10" s="312" t="s">
        <v>570</v>
      </c>
      <c r="B10" s="535">
        <v>3</v>
      </c>
      <c r="C10" s="536">
        <v>142</v>
      </c>
      <c r="D10" s="537" t="s">
        <v>259</v>
      </c>
      <c r="E10" s="538">
        <f>VLOOKUP(Estimates!E1,INITIAL_EST,142,FALSE)</f>
        <v>0</v>
      </c>
      <c r="F10" s="543"/>
      <c r="G10" s="544"/>
      <c r="H10" s="638">
        <f>VLOOKUP(Estimates!E1,CASH_FLOW,143,FALSE)</f>
        <v>0</v>
      </c>
      <c r="I10" s="667"/>
      <c r="J10" s="681"/>
    </row>
    <row r="11" spans="1:12" hidden="1" x14ac:dyDescent="0.3">
      <c r="A11" s="312" t="s">
        <v>571</v>
      </c>
      <c r="B11" s="535">
        <v>3</v>
      </c>
      <c r="C11" s="536"/>
      <c r="D11" s="537"/>
      <c r="E11" s="538">
        <v>0</v>
      </c>
      <c r="F11" s="543"/>
      <c r="G11" s="544"/>
      <c r="H11" s="638">
        <v>0</v>
      </c>
      <c r="I11" s="667"/>
      <c r="J11" s="681"/>
    </row>
    <row r="12" spans="1:12" hidden="1" x14ac:dyDescent="0.3">
      <c r="A12" s="312" t="s">
        <v>572</v>
      </c>
      <c r="B12" s="535">
        <v>2.7</v>
      </c>
      <c r="C12" s="536">
        <v>136</v>
      </c>
      <c r="D12" s="537" t="s">
        <v>254</v>
      </c>
      <c r="E12" s="538">
        <f>VLOOKUP(Estimates!E1,INITIAL_EST,136,FALSE)</f>
        <v>0</v>
      </c>
      <c r="F12" s="543"/>
      <c r="G12" s="544"/>
      <c r="H12" s="638">
        <f>VLOOKUP(Estimates!E1,CASH_FLOW,137,FALSE)</f>
        <v>0</v>
      </c>
      <c r="I12" s="667"/>
      <c r="J12" s="681"/>
    </row>
    <row r="13" spans="1:12" hidden="1" x14ac:dyDescent="0.3">
      <c r="A13" s="312" t="s">
        <v>560</v>
      </c>
      <c r="B13" s="535">
        <v>2.2999999999999998</v>
      </c>
      <c r="C13" s="536">
        <v>147</v>
      </c>
      <c r="D13" s="537" t="s">
        <v>265</v>
      </c>
      <c r="E13" s="538">
        <f>VLOOKUP(Estimates!E1,INITIAL_EST,147,FALSE)</f>
        <v>0</v>
      </c>
      <c r="F13" s="543"/>
      <c r="G13" s="544"/>
      <c r="H13" s="638">
        <f>VLOOKUP(Estimates!E1,CASH_FLOW,148,FALSE)</f>
        <v>0</v>
      </c>
      <c r="I13" s="667"/>
      <c r="J13" s="681"/>
    </row>
    <row r="14" spans="1:12" hidden="1" x14ac:dyDescent="0.3">
      <c r="A14" s="312" t="s">
        <v>573</v>
      </c>
      <c r="B14" s="535">
        <v>2.8</v>
      </c>
      <c r="C14" s="536">
        <v>145</v>
      </c>
      <c r="D14" s="537" t="s">
        <v>263</v>
      </c>
      <c r="E14" s="538">
        <f>VLOOKUP(Estimates!E1,INITIAL_EST,145,FALSE)</f>
        <v>0</v>
      </c>
      <c r="F14" s="543"/>
      <c r="G14" s="544"/>
      <c r="H14" s="638">
        <f>VLOOKUP(Estimates!E1,CASH_FLOW,146,FALSE)</f>
        <v>0</v>
      </c>
      <c r="I14" s="667"/>
      <c r="J14" s="681"/>
    </row>
    <row r="15" spans="1:12" hidden="1" x14ac:dyDescent="0.3">
      <c r="A15" s="312" t="s">
        <v>561</v>
      </c>
      <c r="B15" s="535">
        <v>4</v>
      </c>
      <c r="C15" s="536">
        <v>139</v>
      </c>
      <c r="D15" s="537" t="s">
        <v>257</v>
      </c>
      <c r="E15" s="538">
        <f>VLOOKUP(Estimates!E1,INITIAL_EST,139,FALSE)</f>
        <v>0</v>
      </c>
      <c r="G15" s="534"/>
      <c r="H15" s="638">
        <f>VLOOKUP(Estimates!E1,CASH_FLOW,140,FALSE)</f>
        <v>0</v>
      </c>
      <c r="I15" s="668"/>
      <c r="J15" s="683"/>
    </row>
    <row r="16" spans="1:12" x14ac:dyDescent="0.3">
      <c r="A16" s="156" t="s">
        <v>575</v>
      </c>
      <c r="C16" s="536">
        <v>146</v>
      </c>
      <c r="D16" s="537" t="s">
        <v>264</v>
      </c>
      <c r="E16" s="545">
        <f>SUM(E6:E15)</f>
        <v>0</v>
      </c>
      <c r="F16" s="533">
        <f>VLOOKUP(Estimates!E1,INITIAL_EST,146,FALSE)</f>
        <v>0</v>
      </c>
      <c r="G16" s="546">
        <f>E16-F16</f>
        <v>0</v>
      </c>
      <c r="H16" s="640">
        <f>SUM(H6:H15)</f>
        <v>0</v>
      </c>
      <c r="I16" s="669">
        <f>VLOOKUP(Estimates!$E$1,CASH_FLOW,147,FALSE)</f>
        <v>0</v>
      </c>
      <c r="J16" s="684">
        <f>H16-I16</f>
        <v>0</v>
      </c>
    </row>
    <row r="17" spans="1:10" x14ac:dyDescent="0.3">
      <c r="A17" s="156" t="s">
        <v>576</v>
      </c>
      <c r="C17" s="536">
        <v>148</v>
      </c>
      <c r="D17" s="537" t="s">
        <v>266</v>
      </c>
      <c r="E17" s="545">
        <f>(E6*$B$19)+(E7*$B$20)+(E8*$B$21)+(E9*$B$22)+(E10*$B$23)+(E11*$B$24)+(E12*$B$25)+(E13*$B$26)</f>
        <v>0</v>
      </c>
      <c r="F17" s="533">
        <f>VLOOKUP(Estimates!E1,INITIAL_EST,148,FALSE)</f>
        <v>0</v>
      </c>
      <c r="G17" s="546">
        <f>E17-F17</f>
        <v>0</v>
      </c>
      <c r="H17" s="640">
        <f>(H6*$B$19)+(H7*$B$20)+(H8*$B$21)+(H9*$B$22)+(H10*$B$23)+(H11*$B$24)+(H12*$B$25)+(H13*$B$26)</f>
        <v>0</v>
      </c>
      <c r="I17" s="669">
        <f>VLOOKUP(Estimates!$E$1,CASH_FLOW,149,FALSE)</f>
        <v>0</v>
      </c>
      <c r="J17" s="684">
        <f>H17-I17</f>
        <v>0</v>
      </c>
    </row>
    <row r="18" spans="1:10" x14ac:dyDescent="0.3">
      <c r="A18" s="539" t="s">
        <v>452</v>
      </c>
      <c r="B18" s="547"/>
      <c r="C18" s="539"/>
      <c r="D18" s="539"/>
      <c r="E18" s="541"/>
      <c r="F18" s="541"/>
      <c r="G18" s="542"/>
      <c r="H18" s="685"/>
      <c r="I18" s="685"/>
      <c r="J18" s="682"/>
    </row>
    <row r="19" spans="1:10" hidden="1" x14ac:dyDescent="0.3">
      <c r="A19" s="312" t="s">
        <v>562</v>
      </c>
      <c r="B19" s="535">
        <v>5</v>
      </c>
      <c r="C19" s="536">
        <v>119</v>
      </c>
      <c r="D19" s="537" t="s">
        <v>237</v>
      </c>
      <c r="E19" s="538">
        <f>VLOOKUP(Estimates!$E$1,INITIAL_EST,119,FALSE)</f>
        <v>0</v>
      </c>
      <c r="G19" s="534"/>
      <c r="H19" s="685"/>
      <c r="I19" s="685"/>
      <c r="J19" s="683"/>
    </row>
    <row r="20" spans="1:10" hidden="1" x14ac:dyDescent="0.3">
      <c r="A20" s="312" t="s">
        <v>563</v>
      </c>
      <c r="B20" s="535">
        <v>3</v>
      </c>
      <c r="C20" s="536">
        <v>120</v>
      </c>
      <c r="D20" s="537" t="s">
        <v>238</v>
      </c>
      <c r="E20" s="538">
        <f>VLOOKUP(Estimates!$E$1,INITIAL_EST,120,FALSE)</f>
        <v>0</v>
      </c>
      <c r="G20" s="534"/>
      <c r="H20" s="685"/>
      <c r="I20" s="685"/>
      <c r="J20" s="683"/>
    </row>
    <row r="21" spans="1:10" hidden="1" x14ac:dyDescent="0.3">
      <c r="A21" s="312" t="s">
        <v>564</v>
      </c>
      <c r="B21" s="535">
        <v>5</v>
      </c>
      <c r="C21" s="536">
        <v>126</v>
      </c>
      <c r="D21" s="537" t="s">
        <v>244</v>
      </c>
      <c r="E21" s="538">
        <f>VLOOKUP(Estimates!$E$1,INITIAL_EST,126,FALSE)</f>
        <v>0</v>
      </c>
      <c r="G21" s="534"/>
      <c r="H21" s="685"/>
      <c r="I21" s="685"/>
      <c r="J21" s="683"/>
    </row>
    <row r="22" spans="1:10" hidden="1" x14ac:dyDescent="0.3">
      <c r="A22" s="312" t="s">
        <v>579</v>
      </c>
      <c r="B22" s="535">
        <v>3</v>
      </c>
      <c r="C22" s="536">
        <v>123</v>
      </c>
      <c r="D22" s="537" t="s">
        <v>241</v>
      </c>
      <c r="E22" s="538">
        <f>VLOOKUP(Estimates!$E$1,INITIAL_EST,123,FALSE)</f>
        <v>0</v>
      </c>
      <c r="G22" s="534"/>
      <c r="H22" s="685"/>
      <c r="I22" s="685"/>
      <c r="J22" s="683"/>
    </row>
    <row r="23" spans="1:10" hidden="1" x14ac:dyDescent="0.3">
      <c r="A23" s="312" t="s">
        <v>580</v>
      </c>
      <c r="B23" s="535">
        <v>3</v>
      </c>
      <c r="C23" s="536">
        <v>125</v>
      </c>
      <c r="D23" s="537" t="s">
        <v>243</v>
      </c>
      <c r="E23" s="538">
        <f>VLOOKUP(Estimates!$E$1,INITIAL_EST,124,FALSE)</f>
        <v>0</v>
      </c>
      <c r="G23" s="534"/>
      <c r="H23" s="685"/>
      <c r="I23" s="685"/>
      <c r="J23" s="683"/>
    </row>
    <row r="24" spans="1:10" hidden="1" x14ac:dyDescent="0.3">
      <c r="A24" s="312" t="s">
        <v>581</v>
      </c>
      <c r="B24" s="535">
        <v>3</v>
      </c>
      <c r="C24" s="536"/>
      <c r="D24" s="537"/>
      <c r="E24" s="538">
        <f>VLOOKUP(Estimates!$E$1,INITIAL_EST,125,FALSE)</f>
        <v>0</v>
      </c>
      <c r="G24" s="534"/>
      <c r="H24" s="685"/>
      <c r="I24" s="685"/>
      <c r="J24" s="683"/>
    </row>
    <row r="25" spans="1:10" hidden="1" x14ac:dyDescent="0.3">
      <c r="A25" s="312" t="s">
        <v>582</v>
      </c>
      <c r="B25" s="535">
        <v>2.7</v>
      </c>
      <c r="C25" s="536">
        <v>121</v>
      </c>
      <c r="D25" s="537" t="s">
        <v>239</v>
      </c>
      <c r="E25" s="538">
        <f>VLOOKUP(Estimates!$E$1,INITIAL_EST,121,FALSE)</f>
        <v>0</v>
      </c>
      <c r="G25" s="534"/>
      <c r="H25" s="685"/>
      <c r="I25" s="685"/>
      <c r="J25" s="683"/>
    </row>
    <row r="26" spans="1:10" hidden="1" x14ac:dyDescent="0.3">
      <c r="A26" s="312" t="s">
        <v>565</v>
      </c>
      <c r="B26" s="535">
        <v>2.2999999999999998</v>
      </c>
      <c r="C26" s="536">
        <v>128</v>
      </c>
      <c r="D26" s="537" t="s">
        <v>246</v>
      </c>
      <c r="E26" s="538">
        <f>VLOOKUP(Estimates!$E$1,INITIAL_EST,128,FALSE)</f>
        <v>0</v>
      </c>
      <c r="G26" s="534"/>
      <c r="H26" s="685"/>
      <c r="I26" s="685"/>
      <c r="J26" s="683"/>
    </row>
    <row r="27" spans="1:10" hidden="1" x14ac:dyDescent="0.3">
      <c r="A27" s="312" t="s">
        <v>583</v>
      </c>
      <c r="B27" s="535">
        <v>2.8</v>
      </c>
      <c r="C27" s="536">
        <v>127</v>
      </c>
      <c r="D27" s="537" t="s">
        <v>245</v>
      </c>
      <c r="E27" s="538">
        <f>VLOOKUP(Estimates!$E$1,INITIAL_EST,127,FALSE)</f>
        <v>0</v>
      </c>
      <c r="G27" s="534"/>
      <c r="H27" s="685"/>
      <c r="I27" s="685"/>
      <c r="J27" s="683"/>
    </row>
    <row r="28" spans="1:10" hidden="1" x14ac:dyDescent="0.3">
      <c r="A28" s="312" t="s">
        <v>566</v>
      </c>
      <c r="B28" s="535">
        <v>4</v>
      </c>
      <c r="C28" s="536">
        <v>122</v>
      </c>
      <c r="D28" s="537" t="s">
        <v>240</v>
      </c>
      <c r="E28" s="538">
        <f>VLOOKUP(Estimates!$E$1,INITIAL_EST,122,FALSE)</f>
        <v>0</v>
      </c>
      <c r="G28" s="534"/>
      <c r="H28" s="685"/>
      <c r="I28" s="685"/>
      <c r="J28" s="681"/>
    </row>
    <row r="29" spans="1:10" hidden="1" x14ac:dyDescent="0.3">
      <c r="A29" s="156" t="s">
        <v>577</v>
      </c>
      <c r="D29" s="39"/>
      <c r="E29" s="545">
        <f>SUM(E19:E28)</f>
        <v>0</v>
      </c>
      <c r="G29" s="534"/>
      <c r="H29" s="685"/>
      <c r="I29" s="685"/>
      <c r="J29" s="681"/>
    </row>
    <row r="30" spans="1:10" hidden="1" x14ac:dyDescent="0.3">
      <c r="A30" s="156" t="s">
        <v>578</v>
      </c>
      <c r="C30" s="39">
        <v>129</v>
      </c>
      <c r="D30" s="532" t="s">
        <v>247</v>
      </c>
      <c r="E30" s="545">
        <f>(E19*$B$19)+(E20*$B$20)+(E21*$B$21)+(E22*$B$22)+(E23*$B$23)+(E24*$B$24)+(E25*$B$25)+(E26*$B$26)+(E27*$B$27)+(E28*$B$28)</f>
        <v>0</v>
      </c>
      <c r="F30" s="548">
        <f>VLOOKUP(Estimates!E1,INITIAL_EST,129,FALSE)</f>
        <v>0</v>
      </c>
      <c r="G30" s="546"/>
      <c r="H30" s="685"/>
      <c r="I30" s="685"/>
      <c r="J30" s="681">
        <f>I30-H30</f>
        <v>0</v>
      </c>
    </row>
    <row r="31" spans="1:10" x14ac:dyDescent="0.3">
      <c r="A31" s="539" t="s">
        <v>717</v>
      </c>
      <c r="B31" s="540" t="s">
        <v>596</v>
      </c>
      <c r="C31" s="539"/>
      <c r="D31" s="539"/>
      <c r="E31" s="541"/>
      <c r="F31" s="541"/>
      <c r="G31" s="542"/>
      <c r="H31" s="685"/>
      <c r="I31" s="685"/>
      <c r="J31" s="682"/>
    </row>
    <row r="32" spans="1:10" hidden="1" x14ac:dyDescent="0.3">
      <c r="A32" s="312" t="s">
        <v>584</v>
      </c>
      <c r="B32" s="549">
        <v>0.1</v>
      </c>
      <c r="C32" s="536">
        <v>21</v>
      </c>
      <c r="D32" s="537" t="s">
        <v>139</v>
      </c>
      <c r="E32" s="538">
        <f>VLOOKUP(Estimates!$E$1,INITIAL_EST,21,FALSE)</f>
        <v>0</v>
      </c>
      <c r="G32" s="534"/>
      <c r="H32" s="638">
        <f>VLOOKUP(Estimates!$E$1,CASH_FLOW,22,FALSE)</f>
        <v>0</v>
      </c>
      <c r="I32" s="668"/>
      <c r="J32" s="681"/>
    </row>
    <row r="33" spans="1:12" hidden="1" x14ac:dyDescent="0.3">
      <c r="A33" s="312" t="s">
        <v>585</v>
      </c>
      <c r="B33" s="549">
        <v>0.15</v>
      </c>
      <c r="C33" s="536">
        <v>238</v>
      </c>
      <c r="D33" s="537" t="s">
        <v>512</v>
      </c>
      <c r="E33" s="538">
        <f>VLOOKUP(Estimates!$E$1,INITIAL_EST,238,FALSE)</f>
        <v>0</v>
      </c>
      <c r="G33" s="534"/>
      <c r="H33" s="638">
        <f>VLOOKUP(Estimates!$E$1,CASH_FLOW,239,FALSE)</f>
        <v>0</v>
      </c>
      <c r="I33" s="668"/>
      <c r="J33" s="681"/>
    </row>
    <row r="34" spans="1:12" hidden="1" x14ac:dyDescent="0.3">
      <c r="A34" s="312" t="s">
        <v>586</v>
      </c>
      <c r="B34" s="549">
        <v>0.05</v>
      </c>
      <c r="C34" s="536">
        <v>239</v>
      </c>
      <c r="D34" s="537" t="s">
        <v>513</v>
      </c>
      <c r="E34" s="538">
        <f>VLOOKUP(Estimates!$E$1,INITIAL_EST,239,FALSE)</f>
        <v>0</v>
      </c>
      <c r="G34" s="534"/>
      <c r="H34" s="638">
        <f>VLOOKUP(Estimates!$E$1,CASH_FLOW,240,FALSE)</f>
        <v>0</v>
      </c>
      <c r="I34" s="668"/>
      <c r="J34" s="681"/>
    </row>
    <row r="35" spans="1:12" x14ac:dyDescent="0.3">
      <c r="A35" s="156" t="s">
        <v>756</v>
      </c>
      <c r="C35" s="39">
        <v>243</v>
      </c>
      <c r="D35" s="532" t="s">
        <v>517</v>
      </c>
      <c r="E35" s="545">
        <f>SUM(E32:E34)</f>
        <v>0</v>
      </c>
      <c r="F35" s="548">
        <f>VLOOKUP(Estimates!E1,INITIAL_EST,243,FALSE)</f>
        <v>0</v>
      </c>
      <c r="G35" s="546">
        <f>E35-F35</f>
        <v>0</v>
      </c>
      <c r="H35" s="640">
        <f>SUM(H32:H34)</f>
        <v>0</v>
      </c>
      <c r="I35" s="669">
        <f>VLOOKUP(Estimates!$E$1,CASH_FLOW,244,FALSE)</f>
        <v>0</v>
      </c>
      <c r="J35" s="684">
        <f>I35-H35</f>
        <v>0</v>
      </c>
    </row>
    <row r="36" spans="1:12" x14ac:dyDescent="0.3">
      <c r="A36" s="156" t="s">
        <v>670</v>
      </c>
      <c r="C36" s="550"/>
      <c r="D36" s="537"/>
      <c r="E36" s="538">
        <f>(E32*$B$32)+(E33*$B$33)+(E34*$B$34)</f>
        <v>0</v>
      </c>
      <c r="G36" s="534"/>
      <c r="H36" s="639">
        <f>(H32*$B$32)+(H33*$B$33)+(H34*$B$34)</f>
        <v>0</v>
      </c>
      <c r="I36" s="668"/>
      <c r="J36" s="681"/>
    </row>
    <row r="37" spans="1:12" x14ac:dyDescent="0.3">
      <c r="A37" s="312" t="s">
        <v>718</v>
      </c>
      <c r="B37" s="549">
        <v>1.1499999999999999</v>
      </c>
      <c r="C37" s="536">
        <v>132</v>
      </c>
      <c r="D37" s="537" t="s">
        <v>250</v>
      </c>
      <c r="E37" s="538">
        <f>VLOOKUP(Estimates!$E$1,INITIAL_EST,132,FALSE)</f>
        <v>0</v>
      </c>
      <c r="G37" s="534"/>
      <c r="H37" s="638">
        <f>VLOOKUP(Estimates!$E$1,CASH_FLOW,133,FALSE)</f>
        <v>0</v>
      </c>
      <c r="I37" s="668"/>
      <c r="J37" s="681"/>
    </row>
    <row r="38" spans="1:12" x14ac:dyDescent="0.3">
      <c r="A38" s="551" t="s">
        <v>936</v>
      </c>
      <c r="B38" s="540" t="s">
        <v>596</v>
      </c>
      <c r="C38" s="551"/>
      <c r="D38" s="551"/>
      <c r="E38" s="552"/>
      <c r="F38" s="552"/>
      <c r="G38" s="553"/>
      <c r="H38" s="685"/>
      <c r="I38" s="685"/>
      <c r="J38" s="685"/>
    </row>
    <row r="39" spans="1:12" x14ac:dyDescent="0.3">
      <c r="A39" s="312" t="s">
        <v>725</v>
      </c>
      <c r="B39" s="549">
        <v>1.1000000000000001</v>
      </c>
      <c r="C39" s="536">
        <v>274</v>
      </c>
      <c r="D39" s="537" t="s">
        <v>728</v>
      </c>
      <c r="E39" s="538">
        <f>VLOOKUP(Estimates!$E$1,INITIAL_EST,274,FALSE)</f>
        <v>0</v>
      </c>
      <c r="G39" s="534"/>
      <c r="H39" s="638">
        <f>VLOOKUP(Estimates!$E$1,CASH_FLOW,275,FALSE)</f>
        <v>0</v>
      </c>
      <c r="I39" s="668"/>
      <c r="J39" s="681"/>
    </row>
    <row r="40" spans="1:12" x14ac:dyDescent="0.3">
      <c r="A40" s="312" t="s">
        <v>726</v>
      </c>
      <c r="B40" s="549">
        <v>1.28</v>
      </c>
      <c r="C40" s="536">
        <v>275</v>
      </c>
      <c r="D40" s="537" t="s">
        <v>729</v>
      </c>
      <c r="E40" s="538">
        <f>VLOOKUP(Estimates!$E$1,INITIAL_EST,275,FALSE)</f>
        <v>0</v>
      </c>
      <c r="G40" s="534"/>
      <c r="H40" s="638">
        <f>VLOOKUP(Estimates!$E$1,CASH_FLOW,276,FALSE)</f>
        <v>0</v>
      </c>
      <c r="I40" s="668"/>
      <c r="J40" s="681"/>
    </row>
    <row r="41" spans="1:12" x14ac:dyDescent="0.3">
      <c r="A41" s="312" t="s">
        <v>727</v>
      </c>
      <c r="B41" s="549">
        <v>1.47</v>
      </c>
      <c r="C41" s="536">
        <v>276</v>
      </c>
      <c r="D41" s="537" t="s">
        <v>730</v>
      </c>
      <c r="E41" s="538">
        <f>VLOOKUP(Estimates!$E$1,INITIAL_EST,276,FALSE)</f>
        <v>0</v>
      </c>
      <c r="G41" s="534"/>
      <c r="H41" s="638">
        <f>VLOOKUP(Estimates!$E$1,CASH_FLOW,277,FALSE)</f>
        <v>0</v>
      </c>
      <c r="I41" s="668"/>
      <c r="J41" s="681"/>
    </row>
    <row r="42" spans="1:12" x14ac:dyDescent="0.3">
      <c r="A42" s="312" t="s">
        <v>753</v>
      </c>
      <c r="B42" s="549"/>
      <c r="C42" s="39">
        <v>185</v>
      </c>
      <c r="D42" s="532" t="s">
        <v>303</v>
      </c>
      <c r="E42" s="538">
        <f>SUM(E39:E41)</f>
        <v>0</v>
      </c>
      <c r="F42" s="548">
        <f>VLOOKUP(Estimates!E1,INITIAL_EST,185,FALSE)</f>
        <v>0</v>
      </c>
      <c r="G42" s="546">
        <f>E42-F42</f>
        <v>0</v>
      </c>
      <c r="H42" s="639">
        <f>SUM(H39:H41)</f>
        <v>0</v>
      </c>
      <c r="I42" s="666">
        <f>VLOOKUP(Estimates!$E$1,CASH_FLOW,186,FALSE)</f>
        <v>0</v>
      </c>
      <c r="J42" s="684">
        <f>I42-H42</f>
        <v>0</v>
      </c>
    </row>
    <row r="43" spans="1:12" x14ac:dyDescent="0.3">
      <c r="A43" s="312" t="s">
        <v>752</v>
      </c>
      <c r="B43" s="554"/>
      <c r="C43" s="527"/>
      <c r="D43" s="528"/>
      <c r="E43" s="538">
        <f>($B$39*E39)+($B$40*E40)+($B$41*E41)</f>
        <v>0</v>
      </c>
      <c r="G43" s="534"/>
      <c r="H43" s="640">
        <f>(H39*B39)+(H40*B40)+(H41*B41)</f>
        <v>0</v>
      </c>
      <c r="I43" s="667"/>
      <c r="J43" s="681"/>
    </row>
    <row r="44" spans="1:12" x14ac:dyDescent="0.3">
      <c r="A44" s="312" t="s">
        <v>691</v>
      </c>
      <c r="B44" s="555">
        <v>50</v>
      </c>
      <c r="C44" s="536">
        <v>182</v>
      </c>
      <c r="D44" s="537" t="s">
        <v>300</v>
      </c>
      <c r="E44" s="538">
        <f>VLOOKUP(Estimates!$E$1,INITIAL_EST,182,FALSE)</f>
        <v>0</v>
      </c>
      <c r="G44" s="534"/>
      <c r="H44" s="638">
        <f>VLOOKUP(Estimates!$E$1,CASH_FLOW,183,FALSE)</f>
        <v>0</v>
      </c>
      <c r="I44" s="668"/>
      <c r="J44" s="681"/>
    </row>
    <row r="45" spans="1:12" s="321" customFormat="1" x14ac:dyDescent="0.3">
      <c r="A45" s="156" t="s">
        <v>447</v>
      </c>
      <c r="B45" s="39"/>
      <c r="C45" s="39">
        <v>7</v>
      </c>
      <c r="D45" s="532" t="s">
        <v>125</v>
      </c>
      <c r="E45" s="545">
        <f>E4-E16-E42</f>
        <v>0</v>
      </c>
      <c r="F45" s="548">
        <f>VLOOKUP(Estimates!E1,INITIAL_EST,7,FALSE)</f>
        <v>0</v>
      </c>
      <c r="G45" s="546">
        <f>E45-F45</f>
        <v>0</v>
      </c>
      <c r="H45" s="640">
        <f>H4-H16-H42</f>
        <v>0</v>
      </c>
      <c r="I45" s="666">
        <f>VLOOKUP(Estimates!$E$1,CASH_FLOW,8,FALSE)</f>
        <v>0</v>
      </c>
      <c r="J45" s="684">
        <f>I45-H45</f>
        <v>0</v>
      </c>
      <c r="K45" s="525"/>
      <c r="L45" s="525"/>
    </row>
    <row r="46" spans="1:12" x14ac:dyDescent="0.3">
      <c r="A46" s="312" t="s">
        <v>719</v>
      </c>
      <c r="B46" s="549">
        <v>0.1</v>
      </c>
      <c r="C46" s="536">
        <v>240</v>
      </c>
      <c r="D46" s="537" t="s">
        <v>514</v>
      </c>
      <c r="E46" s="538">
        <f>VLOOKUP(Estimates!$E$1,INITIAL_EST,240,FALSE)</f>
        <v>0</v>
      </c>
      <c r="G46" s="534"/>
      <c r="H46" s="641">
        <f>VLOOKUP(Estimates!$E$1,CASH_FLOW,241,FALSE)</f>
        <v>0</v>
      </c>
      <c r="I46" s="668"/>
      <c r="J46" s="681"/>
    </row>
    <row r="47" spans="1:12" x14ac:dyDescent="0.3">
      <c r="A47" s="556" t="s">
        <v>720</v>
      </c>
      <c r="B47" s="549">
        <v>7.0000000000000007E-2</v>
      </c>
      <c r="C47" s="536">
        <v>55</v>
      </c>
      <c r="D47" s="537" t="s">
        <v>173</v>
      </c>
      <c r="E47" s="538">
        <f>VLOOKUP(Estimates!$E$1,INITIAL_EST,55,FALSE)</f>
        <v>0</v>
      </c>
      <c r="G47" s="534"/>
      <c r="H47" s="641">
        <f>VLOOKUP(Estimates!$E$1,CASH_FLOW,56,FALSE)</f>
        <v>0</v>
      </c>
      <c r="I47" s="668"/>
      <c r="J47" s="681"/>
    </row>
    <row r="48" spans="1:12" x14ac:dyDescent="0.3">
      <c r="A48" s="551" t="s">
        <v>1047</v>
      </c>
      <c r="B48" s="557"/>
      <c r="C48" s="551"/>
      <c r="D48" s="551"/>
      <c r="E48" s="552"/>
      <c r="F48" s="552"/>
      <c r="G48" s="553"/>
      <c r="H48" s="685"/>
      <c r="I48" s="685"/>
      <c r="J48" s="685"/>
    </row>
    <row r="49" spans="1:12" x14ac:dyDescent="0.3">
      <c r="A49" s="312" t="s">
        <v>553</v>
      </c>
      <c r="B49" s="558">
        <v>0.22500000000000001</v>
      </c>
      <c r="C49" s="536">
        <v>231</v>
      </c>
      <c r="D49" s="537" t="s">
        <v>505</v>
      </c>
      <c r="E49" s="559">
        <f>Estimates!E58</f>
        <v>0</v>
      </c>
      <c r="G49" s="534"/>
      <c r="H49" s="642">
        <f>VLOOKUP(Estimates!$E$1,CASH_FLOW,232,FALSE)</f>
        <v>0</v>
      </c>
      <c r="I49" s="668"/>
      <c r="J49" s="681"/>
    </row>
    <row r="50" spans="1:12" x14ac:dyDescent="0.3">
      <c r="A50" s="312" t="s">
        <v>683</v>
      </c>
      <c r="B50" s="558">
        <v>0.23749999999999999</v>
      </c>
      <c r="C50" s="536">
        <v>232</v>
      </c>
      <c r="D50" s="537" t="s">
        <v>506</v>
      </c>
      <c r="E50" s="559">
        <f>Estimates!E59</f>
        <v>0</v>
      </c>
      <c r="G50" s="534"/>
      <c r="H50" s="642">
        <f>VLOOKUP(Estimates!$E$1,CASH_FLOW,233,FALSE)</f>
        <v>0</v>
      </c>
      <c r="I50" s="668"/>
      <c r="J50" s="681"/>
    </row>
    <row r="51" spans="1:12" x14ac:dyDescent="0.3">
      <c r="A51" s="312" t="s">
        <v>684</v>
      </c>
      <c r="B51" s="558">
        <v>0.25</v>
      </c>
      <c r="C51" s="536">
        <v>233</v>
      </c>
      <c r="D51" s="537" t="s">
        <v>507</v>
      </c>
      <c r="E51" s="559">
        <f>Estimates!E60</f>
        <v>0</v>
      </c>
      <c r="G51" s="534"/>
      <c r="H51" s="642">
        <f>VLOOKUP(Estimates!$E$1,CASH_FLOW,234,FALSE)</f>
        <v>0</v>
      </c>
      <c r="I51" s="668"/>
      <c r="J51" s="681"/>
    </row>
    <row r="52" spans="1:12" x14ac:dyDescent="0.3">
      <c r="A52" s="312" t="s">
        <v>685</v>
      </c>
      <c r="B52" s="558">
        <v>0.26250000000000001</v>
      </c>
      <c r="C52" s="536">
        <v>234</v>
      </c>
      <c r="D52" s="537" t="s">
        <v>508</v>
      </c>
      <c r="E52" s="559">
        <f>Estimates!E61</f>
        <v>0</v>
      </c>
      <c r="G52" s="534"/>
      <c r="H52" s="642">
        <f>VLOOKUP(Estimates!$E$1,CASH_FLOW,235,FALSE)</f>
        <v>0</v>
      </c>
      <c r="I52" s="668"/>
      <c r="J52" s="681"/>
    </row>
    <row r="53" spans="1:12" x14ac:dyDescent="0.3">
      <c r="A53" s="312" t="s">
        <v>552</v>
      </c>
      <c r="B53" s="558">
        <v>0.27500000000000002</v>
      </c>
      <c r="C53" s="536">
        <v>235</v>
      </c>
      <c r="D53" s="537" t="s">
        <v>509</v>
      </c>
      <c r="E53" s="559">
        <f>Estimates!E62</f>
        <v>0</v>
      </c>
      <c r="G53" s="534"/>
      <c r="H53" s="642">
        <f>VLOOKUP(Estimates!$E$1,CASH_FLOW,236,FALSE)</f>
        <v>0</v>
      </c>
      <c r="I53" s="668"/>
      <c r="J53" s="681"/>
    </row>
    <row r="54" spans="1:12" x14ac:dyDescent="0.3">
      <c r="A54" s="156" t="s">
        <v>757</v>
      </c>
      <c r="C54" s="39">
        <v>236</v>
      </c>
      <c r="D54" s="532" t="s">
        <v>510</v>
      </c>
      <c r="E54" s="545">
        <f>SUM(E49:E53)</f>
        <v>0</v>
      </c>
      <c r="F54" s="548">
        <f>VLOOKUP(Estimates!E1,INITIAL_EST,236,FALSE)</f>
        <v>0</v>
      </c>
      <c r="G54" s="546">
        <f>E54-F54</f>
        <v>0</v>
      </c>
      <c r="H54" s="640">
        <f>SUM(H49:H53)</f>
        <v>0</v>
      </c>
      <c r="I54" s="669">
        <f>VLOOKUP(Estimates!$E$1,CASH_FLOW,237,FALSE)</f>
        <v>0</v>
      </c>
      <c r="J54" s="684">
        <f>H54-I54</f>
        <v>0</v>
      </c>
    </row>
    <row r="55" spans="1:12" x14ac:dyDescent="0.3">
      <c r="A55" s="156" t="s">
        <v>470</v>
      </c>
      <c r="C55" s="39">
        <v>110</v>
      </c>
      <c r="D55" s="532" t="s">
        <v>228</v>
      </c>
      <c r="E55" s="545">
        <f>$B$49*E49+$B$50*$E$50+$B$51*E51+$B$52*E52+$B$53*E53</f>
        <v>0</v>
      </c>
      <c r="F55" s="548">
        <f>VLOOKUP(Estimates!E1,INITIAL_EST,110,FALSE)</f>
        <v>0</v>
      </c>
      <c r="G55" s="546">
        <f>E55-F55</f>
        <v>0</v>
      </c>
      <c r="H55" s="640">
        <f>IF(H4=0,0,$B$49*H49+$B$50*H50+$B$51*H51+$B$52*H52+$B$53*H53)</f>
        <v>0</v>
      </c>
      <c r="I55" s="669">
        <f>VLOOKUP(Estimates!$E$1,CASH_FLOW,111,FALSE)</f>
        <v>0</v>
      </c>
      <c r="J55" s="684">
        <f>H55-I55</f>
        <v>0</v>
      </c>
    </row>
    <row r="56" spans="1:12" x14ac:dyDescent="0.3">
      <c r="A56" s="312" t="s">
        <v>721</v>
      </c>
      <c r="B56" s="39">
        <v>2.41</v>
      </c>
      <c r="C56" s="536">
        <v>93</v>
      </c>
      <c r="D56" s="537" t="s">
        <v>211</v>
      </c>
      <c r="E56" s="538">
        <f>VLOOKUP(Estimates!$E$1,INITIAL_EST,93,FALSE)</f>
        <v>0</v>
      </c>
      <c r="G56" s="534"/>
      <c r="H56" s="638">
        <f>VLOOKUP(Estimates!$E$1,CASH_FLOW,94,FALSE)</f>
        <v>0</v>
      </c>
      <c r="I56" s="668"/>
      <c r="J56" s="681"/>
    </row>
    <row r="57" spans="1:12" s="286" customFormat="1" x14ac:dyDescent="0.3">
      <c r="A57" s="312" t="s">
        <v>1045</v>
      </c>
      <c r="B57" s="560">
        <v>0.2</v>
      </c>
      <c r="C57" s="536">
        <v>237</v>
      </c>
      <c r="D57" s="537" t="s">
        <v>511</v>
      </c>
      <c r="E57" s="561">
        <f>VLOOKUP(Estimates!E1,INITIAL_EST,237,FALSE)</f>
        <v>0</v>
      </c>
      <c r="F57" s="533"/>
      <c r="G57" s="534"/>
      <c r="H57" s="643">
        <f>VLOOKUP(Estimates!E1,CASH_FLOW,238,FALSE)</f>
        <v>0</v>
      </c>
      <c r="I57" s="668"/>
      <c r="J57" s="681"/>
      <c r="K57" s="562"/>
      <c r="L57" s="562"/>
    </row>
    <row r="58" spans="1:12" x14ac:dyDescent="0.3">
      <c r="A58" s="156" t="s">
        <v>722</v>
      </c>
      <c r="B58" s="549">
        <v>0.1</v>
      </c>
      <c r="C58" s="536">
        <v>241</v>
      </c>
      <c r="D58" s="537" t="s">
        <v>515</v>
      </c>
      <c r="E58" s="538">
        <f>VLOOKUP(Estimates!$E$1,INITIAL_EST,241,FALSE)</f>
        <v>0</v>
      </c>
      <c r="G58" s="534"/>
      <c r="H58" s="638">
        <f>VLOOKUP(Estimates!$E$1,CASH_FLOW,242,FALSE)</f>
        <v>0</v>
      </c>
      <c r="I58" s="668"/>
      <c r="J58" s="681"/>
    </row>
    <row r="59" spans="1:12" s="286" customFormat="1" x14ac:dyDescent="0.3">
      <c r="A59" s="156" t="s">
        <v>723</v>
      </c>
      <c r="B59" s="563">
        <v>275</v>
      </c>
      <c r="C59" s="536">
        <v>242</v>
      </c>
      <c r="D59" s="537" t="s">
        <v>516</v>
      </c>
      <c r="E59" s="561">
        <f>VLOOKUP(Estimates!$E$1,INITIAL_EST,242,FALSE)</f>
        <v>0</v>
      </c>
      <c r="F59" s="533"/>
      <c r="G59" s="534"/>
      <c r="H59" s="643">
        <f>VLOOKUP(Estimates!$E$1,CASH_FLOW,243,FALSE)</f>
        <v>0</v>
      </c>
      <c r="I59" s="668"/>
      <c r="J59" s="681"/>
      <c r="K59" s="562"/>
      <c r="L59" s="562"/>
    </row>
    <row r="60" spans="1:12" x14ac:dyDescent="0.3">
      <c r="A60" s="312" t="s">
        <v>724</v>
      </c>
      <c r="B60" s="563">
        <v>275</v>
      </c>
      <c r="C60" s="536">
        <v>244</v>
      </c>
      <c r="D60" s="537" t="s">
        <v>518</v>
      </c>
      <c r="E60" s="538">
        <f>VLOOKUP(Estimates!$E$1,INITIAL_EST,244,FALSE)</f>
        <v>0</v>
      </c>
      <c r="G60" s="534"/>
      <c r="H60" s="638">
        <f>VLOOKUP(Estimates!$E$1,CASH_FLOW,245,FALSE)</f>
        <v>0</v>
      </c>
      <c r="I60" s="668"/>
      <c r="J60" s="681"/>
    </row>
    <row r="61" spans="1:12" x14ac:dyDescent="0.3">
      <c r="A61" s="312" t="s">
        <v>1046</v>
      </c>
      <c r="C61" s="39">
        <v>166</v>
      </c>
      <c r="D61" s="532" t="s">
        <v>284</v>
      </c>
      <c r="E61" s="538">
        <f>ROUND((E122-E116-E117-E118-E119-E120-E84-E103)/E66,3)</f>
        <v>0</v>
      </c>
      <c r="F61" s="548">
        <f>VLOOKUP(Estimates!E1,INITIAL_EST,166,FALSE)</f>
        <v>0</v>
      </c>
      <c r="G61" s="546">
        <f>E61-F61</f>
        <v>0</v>
      </c>
      <c r="H61" s="639" t="e">
        <f>ROUND((H122-H116-H117-H118-H119-H120-H84-H103)/H66,3)</f>
        <v>#DIV/0!</v>
      </c>
      <c r="I61" s="670">
        <f>VLOOKUP(Estimates!$E$1,CASH_FLOW,167,FALSE)</f>
        <v>0</v>
      </c>
      <c r="J61" s="684" t="e">
        <f>H61-I61</f>
        <v>#DIV/0!</v>
      </c>
    </row>
    <row r="62" spans="1:12" s="156" customFormat="1" x14ac:dyDescent="0.3">
      <c r="A62" s="551" t="s">
        <v>567</v>
      </c>
      <c r="B62" s="557"/>
      <c r="C62" s="551"/>
      <c r="D62" s="551"/>
      <c r="E62" s="552"/>
      <c r="F62" s="552"/>
      <c r="G62" s="553"/>
      <c r="H62" s="685"/>
      <c r="I62" s="685"/>
      <c r="J62" s="685"/>
      <c r="K62" s="528"/>
      <c r="L62" s="528"/>
    </row>
    <row r="63" spans="1:12" x14ac:dyDescent="0.3">
      <c r="A63" s="312" t="s">
        <v>587</v>
      </c>
      <c r="B63" s="564"/>
      <c r="C63" s="536">
        <v>18</v>
      </c>
      <c r="D63" s="537" t="s">
        <v>136</v>
      </c>
      <c r="E63" s="565">
        <f>VLOOKUP(Estimates!$E$1,INITIAL_EST,18,FALSE)</f>
        <v>414.88400000000001</v>
      </c>
      <c r="G63" s="534"/>
      <c r="H63" s="644">
        <f>VLOOKUP(Estimates!$E$1,CASH_FLOW,19,FALSE)</f>
        <v>0</v>
      </c>
      <c r="I63" s="668"/>
      <c r="J63" s="681"/>
    </row>
    <row r="64" spans="1:12" ht="13.5" thickBot="1" x14ac:dyDescent="0.35">
      <c r="A64" s="312" t="s">
        <v>671</v>
      </c>
      <c r="B64" s="564"/>
      <c r="C64" s="536">
        <v>15</v>
      </c>
      <c r="D64" s="537" t="s">
        <v>133</v>
      </c>
      <c r="E64" s="566">
        <f>VLOOKUP(Estimates!$E$1,INITIAL_EST,15,FALSE)</f>
        <v>0</v>
      </c>
      <c r="G64" s="534"/>
      <c r="H64" s="645">
        <f>VLOOKUP(Estimates!$E$1,CASH_FLOW,16,FALSE)</f>
        <v>0</v>
      </c>
      <c r="I64" s="668"/>
      <c r="J64" s="681"/>
    </row>
    <row r="65" spans="1:17" ht="13.5" thickBot="1" x14ac:dyDescent="0.35">
      <c r="A65" s="312" t="s">
        <v>482</v>
      </c>
      <c r="B65" s="564"/>
      <c r="E65" s="567">
        <v>10</v>
      </c>
      <c r="G65" s="534"/>
      <c r="H65" s="646">
        <v>10</v>
      </c>
      <c r="I65" s="668"/>
      <c r="J65" s="681"/>
    </row>
    <row r="66" spans="1:17" ht="13.5" thickBot="1" x14ac:dyDescent="0.35">
      <c r="A66" s="312" t="s">
        <v>588</v>
      </c>
      <c r="B66" s="564"/>
      <c r="E66" s="567">
        <f>6159.86016999999</f>
        <v>6159.8601699999999</v>
      </c>
      <c r="G66" s="534"/>
      <c r="H66" s="646">
        <f>VLOOKUP(Estimates!$E$1,CASH_FLOW,5,FALSE)</f>
        <v>0</v>
      </c>
      <c r="I66" s="668"/>
      <c r="J66" s="681"/>
      <c r="K66" s="568"/>
    </row>
    <row r="67" spans="1:17" ht="13.5" thickBot="1" x14ac:dyDescent="0.35">
      <c r="A67" s="312" t="s">
        <v>589</v>
      </c>
      <c r="B67" s="564"/>
      <c r="E67" s="567">
        <v>1101.9999660000001</v>
      </c>
      <c r="G67" s="534"/>
      <c r="H67" s="646">
        <v>1102</v>
      </c>
      <c r="I67" s="668"/>
      <c r="J67" s="681"/>
    </row>
    <row r="68" spans="1:17" x14ac:dyDescent="0.3">
      <c r="A68" s="312" t="s">
        <v>766</v>
      </c>
      <c r="B68" s="564"/>
      <c r="E68" s="569">
        <v>7262</v>
      </c>
      <c r="G68" s="534"/>
      <c r="H68" s="647">
        <f>ROUND(H66+H67,0)</f>
        <v>1102</v>
      </c>
      <c r="I68" s="668"/>
      <c r="J68" s="681"/>
    </row>
    <row r="69" spans="1:17" x14ac:dyDescent="0.3">
      <c r="A69" s="312" t="s">
        <v>590</v>
      </c>
      <c r="B69" s="564"/>
      <c r="C69" s="536">
        <v>162</v>
      </c>
      <c r="D69" s="537" t="s">
        <v>280</v>
      </c>
      <c r="E69" s="570">
        <f>VLOOKUP(Estimates!$E$1,INITIAL_EST,162,FALSE)</f>
        <v>6.3017999999999991E-2</v>
      </c>
      <c r="G69" s="534"/>
      <c r="H69" s="648">
        <f>VLOOKUP(Estimates!$E$1,CASH_FLOW,163,FALSE)</f>
        <v>0</v>
      </c>
      <c r="I69" s="668"/>
      <c r="J69" s="681"/>
    </row>
    <row r="70" spans="1:17" x14ac:dyDescent="0.3">
      <c r="A70" s="312" t="s">
        <v>591</v>
      </c>
      <c r="B70" s="564"/>
      <c r="C70" s="536">
        <v>163</v>
      </c>
      <c r="D70" s="537" t="s">
        <v>281</v>
      </c>
      <c r="E70" s="570">
        <f>VLOOKUP(Estimates!$E$1,INITIAL_EST,163,FALSE)</f>
        <v>2.6953999999999999E-2</v>
      </c>
      <c r="G70" s="534"/>
      <c r="H70" s="648">
        <f>VLOOKUP(Estimates!$E$1,CASH_FLOW,164,FALSE)</f>
        <v>0</v>
      </c>
      <c r="I70" s="668"/>
      <c r="J70" s="681"/>
    </row>
    <row r="71" spans="1:17" x14ac:dyDescent="0.3">
      <c r="A71" s="312" t="s">
        <v>690</v>
      </c>
      <c r="B71" s="564"/>
      <c r="C71" s="536">
        <v>210</v>
      </c>
      <c r="D71" s="537" t="s">
        <v>434</v>
      </c>
      <c r="E71" s="570">
        <f>VLOOKUP(Estimates!$E$1,INITIAL_EST,210,FALSE)</f>
        <v>4.2206E-2</v>
      </c>
      <c r="G71" s="534"/>
      <c r="H71" s="648">
        <f>VLOOKUP(Estimates!$E$1,CASH_FLOW,211,FALSE)</f>
        <v>0</v>
      </c>
      <c r="I71" s="668"/>
      <c r="J71" s="681"/>
    </row>
    <row r="72" spans="1:17" ht="13.5" thickBot="1" x14ac:dyDescent="0.35">
      <c r="A72" s="312" t="s">
        <v>593</v>
      </c>
      <c r="B72" s="564"/>
      <c r="E72" s="571">
        <v>40</v>
      </c>
      <c r="G72" s="534"/>
      <c r="H72" s="648">
        <v>40</v>
      </c>
      <c r="I72" s="668"/>
      <c r="J72" s="681"/>
    </row>
    <row r="73" spans="1:17" ht="13.5" thickBot="1" x14ac:dyDescent="0.35">
      <c r="A73" s="312" t="s">
        <v>594</v>
      </c>
      <c r="B73" s="564"/>
      <c r="E73" s="572">
        <v>126.21</v>
      </c>
      <c r="G73" s="534"/>
      <c r="H73" s="649">
        <v>126.21</v>
      </c>
      <c r="I73" s="668"/>
      <c r="J73" s="681"/>
    </row>
    <row r="74" spans="1:17" x14ac:dyDescent="0.3">
      <c r="A74" s="312" t="s">
        <v>595</v>
      </c>
      <c r="B74" s="564"/>
      <c r="E74" s="571">
        <v>49.28</v>
      </c>
      <c r="G74" s="534"/>
      <c r="H74" s="648">
        <v>49.28</v>
      </c>
      <c r="I74" s="668"/>
      <c r="J74" s="681"/>
    </row>
    <row r="75" spans="1:17" x14ac:dyDescent="0.3">
      <c r="A75" s="539" t="s">
        <v>468</v>
      </c>
      <c r="B75" s="573"/>
      <c r="C75" s="539"/>
      <c r="D75" s="539"/>
      <c r="E75" s="541"/>
      <c r="F75" s="541"/>
      <c r="G75" s="542"/>
      <c r="H75" s="685"/>
      <c r="I75" s="685"/>
      <c r="J75" s="682"/>
    </row>
    <row r="76" spans="1:17" s="321" customFormat="1" x14ac:dyDescent="0.3">
      <c r="A76" s="156" t="s">
        <v>640</v>
      </c>
      <c r="B76" s="39"/>
      <c r="C76" s="39">
        <v>105</v>
      </c>
      <c r="D76" s="532" t="s">
        <v>223</v>
      </c>
      <c r="E76" s="574">
        <f>IF(E85&gt;E86,E45*E66,(E45*E66)-MIN(E87,E45*E66))</f>
        <v>0</v>
      </c>
      <c r="F76" s="575">
        <f>VLOOKUP(Estimates!E1,INITIAL_EST,105,FALSE)</f>
        <v>0</v>
      </c>
      <c r="G76" s="576">
        <f>E76-F76</f>
        <v>0</v>
      </c>
      <c r="H76" s="650">
        <f>IF(H85&gt;H86,H45*H66,(H45*H66)-MIN(H87,H45*H66))</f>
        <v>0</v>
      </c>
      <c r="I76" s="671">
        <f>VLOOKUP(Estimates!$E$1,CASH_FLOW,106,FALSE)</f>
        <v>0</v>
      </c>
      <c r="J76" s="681">
        <f>H76-I76</f>
        <v>0</v>
      </c>
      <c r="K76" s="525"/>
      <c r="L76" s="525"/>
    </row>
    <row r="77" spans="1:17" s="321" customFormat="1" x14ac:dyDescent="0.3">
      <c r="A77" s="156" t="s">
        <v>605</v>
      </c>
      <c r="B77" s="39"/>
      <c r="C77" s="39">
        <v>213</v>
      </c>
      <c r="D77" s="532" t="s">
        <v>487</v>
      </c>
      <c r="E77" s="574">
        <f>E67*E45</f>
        <v>0</v>
      </c>
      <c r="F77" s="575">
        <f>VLOOKUP(Estimates!E1,INITIAL_EST,213,FALSE)</f>
        <v>0</v>
      </c>
      <c r="G77" s="576">
        <f>E77-F77</f>
        <v>0</v>
      </c>
      <c r="H77" s="650">
        <f>H67*H45</f>
        <v>0</v>
      </c>
      <c r="I77" s="671">
        <f>VLOOKUP(Estimates!$E$1,CASH_FLOW,214,FALSE)</f>
        <v>0</v>
      </c>
      <c r="J77" s="681">
        <f>H77-I77</f>
        <v>0</v>
      </c>
      <c r="K77" s="525"/>
      <c r="L77" s="525"/>
    </row>
    <row r="78" spans="1:17" s="582" customFormat="1" x14ac:dyDescent="0.3">
      <c r="A78" s="577" t="s">
        <v>613</v>
      </c>
      <c r="B78" s="578"/>
      <c r="C78" s="577"/>
      <c r="D78" s="577"/>
      <c r="E78" s="579"/>
      <c r="F78" s="579"/>
      <c r="G78" s="580"/>
      <c r="H78" s="685"/>
      <c r="I78" s="685"/>
      <c r="J78" s="686"/>
      <c r="K78" s="581"/>
      <c r="L78" s="525"/>
      <c r="M78" s="321"/>
      <c r="N78" s="321"/>
      <c r="O78" s="321"/>
      <c r="P78" s="321"/>
      <c r="Q78" s="321"/>
    </row>
    <row r="79" spans="1:17" s="585" customFormat="1" x14ac:dyDescent="0.3">
      <c r="A79" s="156" t="s">
        <v>629</v>
      </c>
      <c r="B79" s="583"/>
      <c r="C79" s="39">
        <v>137</v>
      </c>
      <c r="D79" s="532" t="s">
        <v>255</v>
      </c>
      <c r="E79" s="574">
        <f>(E17*E66)</f>
        <v>0</v>
      </c>
      <c r="F79" s="574">
        <f>VLOOKUP(Estimates!E1,INITIAL_EST,137,FALSE)</f>
        <v>0</v>
      </c>
      <c r="G79" s="576">
        <f t="shared" ref="G79:G141" si="0">E79-F79</f>
        <v>0</v>
      </c>
      <c r="H79" s="650">
        <f>H17*H66</f>
        <v>0</v>
      </c>
      <c r="I79" s="672">
        <f>VLOOKUP(Estimates!$E$1,CASH_FLOW,138,FALSE)</f>
        <v>0</v>
      </c>
      <c r="J79" s="681">
        <f>H79-I79</f>
        <v>0</v>
      </c>
      <c r="K79" s="584"/>
      <c r="L79" s="158"/>
      <c r="M79" s="52"/>
      <c r="N79" s="52"/>
      <c r="O79" s="52"/>
      <c r="P79" s="52"/>
      <c r="Q79" s="52"/>
    </row>
    <row r="80" spans="1:17" s="585" customFormat="1" x14ac:dyDescent="0.3">
      <c r="A80" s="156" t="s">
        <v>615</v>
      </c>
      <c r="B80" s="583"/>
      <c r="C80" s="39">
        <v>133</v>
      </c>
      <c r="D80" s="532" t="s">
        <v>251</v>
      </c>
      <c r="E80" s="574">
        <f>E37*$B$37*E66</f>
        <v>0</v>
      </c>
      <c r="F80" s="574">
        <f>VLOOKUP(Estimates!E1,INITIAL_EST,133,FALSE)</f>
        <v>0</v>
      </c>
      <c r="G80" s="576">
        <f t="shared" si="0"/>
        <v>0</v>
      </c>
      <c r="H80" s="650">
        <f>H37*$B$37*H66</f>
        <v>0</v>
      </c>
      <c r="I80" s="672">
        <f>VLOOKUP(Estimates!$E$1,CASH_FLOW,134,FALSE)</f>
        <v>0</v>
      </c>
      <c r="J80" s="681">
        <f>H80-I80</f>
        <v>0</v>
      </c>
      <c r="K80" s="584"/>
      <c r="L80" s="158"/>
      <c r="M80" s="52"/>
      <c r="N80" s="52"/>
      <c r="O80" s="52"/>
      <c r="P80" s="52"/>
      <c r="Q80" s="52"/>
    </row>
    <row r="81" spans="1:17" s="585" customFormat="1" x14ac:dyDescent="0.3">
      <c r="A81" s="156" t="s">
        <v>616</v>
      </c>
      <c r="B81" s="583"/>
      <c r="C81" s="39">
        <v>138</v>
      </c>
      <c r="D81" s="532" t="s">
        <v>256</v>
      </c>
      <c r="E81" s="574">
        <f>E15*$B$15*E66</f>
        <v>0</v>
      </c>
      <c r="F81" s="574">
        <f>VLOOKUP(Estimates!E1,INITIAL_EST,138,FALSE)</f>
        <v>0</v>
      </c>
      <c r="G81" s="576">
        <f t="shared" si="0"/>
        <v>0</v>
      </c>
      <c r="H81" s="650">
        <f>H15*$B$15*H66</f>
        <v>0</v>
      </c>
      <c r="I81" s="672">
        <f>VLOOKUP(Estimates!$E$1,CASH_FLOW,139,FALSE)</f>
        <v>0</v>
      </c>
      <c r="J81" s="681">
        <f>H81-I81</f>
        <v>0</v>
      </c>
      <c r="K81" s="584"/>
      <c r="L81" s="158"/>
      <c r="M81" s="52"/>
      <c r="N81" s="52"/>
      <c r="O81" s="52"/>
      <c r="P81" s="52"/>
      <c r="Q81" s="52"/>
    </row>
    <row r="82" spans="1:17" s="585" customFormat="1" x14ac:dyDescent="0.3">
      <c r="A82" s="156" t="s">
        <v>617</v>
      </c>
      <c r="B82" s="583"/>
      <c r="C82" s="39"/>
      <c r="D82" s="532"/>
      <c r="E82" s="574">
        <f>E14*$B$14*E66</f>
        <v>0</v>
      </c>
      <c r="F82" s="574">
        <f>F14*$B$14*F66</f>
        <v>0</v>
      </c>
      <c r="G82" s="576">
        <f t="shared" si="0"/>
        <v>0</v>
      </c>
      <c r="H82" s="650">
        <f>H14*$B$14*H66</f>
        <v>0</v>
      </c>
      <c r="I82" s="672">
        <f>I14*$B$14*I66</f>
        <v>0</v>
      </c>
      <c r="J82" s="681">
        <f t="shared" ref="J82:J89" si="1">H82-I82</f>
        <v>0</v>
      </c>
      <c r="K82" s="584"/>
      <c r="L82" s="158"/>
      <c r="M82" s="52"/>
      <c r="N82" s="52"/>
      <c r="O82" s="52"/>
      <c r="P82" s="52"/>
      <c r="Q82" s="52"/>
    </row>
    <row r="83" spans="1:17" s="585" customFormat="1" x14ac:dyDescent="0.3">
      <c r="A83" s="156" t="s">
        <v>618</v>
      </c>
      <c r="B83" s="583"/>
      <c r="C83" s="39"/>
      <c r="D83" s="586"/>
      <c r="E83" s="574">
        <f>E30*E66*0.75</f>
        <v>0</v>
      </c>
      <c r="F83" s="574">
        <f>F30*F66*0.75</f>
        <v>0</v>
      </c>
      <c r="G83" s="576">
        <f t="shared" si="0"/>
        <v>0</v>
      </c>
      <c r="H83" s="650">
        <f>H30*H66*0.75</f>
        <v>0</v>
      </c>
      <c r="I83" s="672">
        <f>I30*I66*0.75</f>
        <v>0</v>
      </c>
      <c r="J83" s="681">
        <f t="shared" si="1"/>
        <v>0</v>
      </c>
      <c r="K83" s="584"/>
      <c r="L83" s="158"/>
      <c r="M83" s="52"/>
      <c r="N83" s="52"/>
      <c r="O83" s="52"/>
      <c r="P83" s="52"/>
      <c r="Q83" s="52"/>
    </row>
    <row r="84" spans="1:17" x14ac:dyDescent="0.3">
      <c r="A84" s="156" t="s">
        <v>695</v>
      </c>
      <c r="C84" s="536">
        <v>117</v>
      </c>
      <c r="D84" s="537" t="s">
        <v>235</v>
      </c>
      <c r="E84" s="574">
        <f>-VLOOKUP($A$3,INITIAL_EST,117,FALSE)</f>
        <v>0</v>
      </c>
      <c r="F84" s="574">
        <f>-VLOOKUP($A$3,INITIAL_EST,117,FALSE)</f>
        <v>0</v>
      </c>
      <c r="G84" s="576">
        <f t="shared" si="0"/>
        <v>0</v>
      </c>
      <c r="H84" s="651">
        <f>-VLOOKUP(A3,CASH_FLOW,118,FALSE)</f>
        <v>0</v>
      </c>
      <c r="I84" s="672">
        <f>-VLOOKUP(A3,CASH_FLOW,118,FALSE)</f>
        <v>0</v>
      </c>
      <c r="J84" s="681">
        <f t="shared" si="1"/>
        <v>0</v>
      </c>
    </row>
    <row r="85" spans="1:17" x14ac:dyDescent="0.3">
      <c r="A85" s="156" t="s">
        <v>773</v>
      </c>
      <c r="E85" s="574">
        <f>SUM(E79:E83)</f>
        <v>0</v>
      </c>
      <c r="F85" s="574">
        <f>SUM(F79:F83)</f>
        <v>0</v>
      </c>
      <c r="G85" s="576">
        <f t="shared" si="0"/>
        <v>0</v>
      </c>
      <c r="H85" s="650">
        <f>SUM(H79:H83)</f>
        <v>0</v>
      </c>
      <c r="I85" s="672">
        <f>SUM(I79:I83)</f>
        <v>0</v>
      </c>
      <c r="J85" s="681">
        <f t="shared" si="1"/>
        <v>0</v>
      </c>
    </row>
    <row r="86" spans="1:17" x14ac:dyDescent="0.3">
      <c r="A86" s="156" t="s">
        <v>630</v>
      </c>
      <c r="E86" s="574">
        <f>'Prior Law'!C68</f>
        <v>0</v>
      </c>
      <c r="F86" s="574">
        <f>'Prior Law'!C68</f>
        <v>0</v>
      </c>
      <c r="G86" s="576">
        <f t="shared" si="0"/>
        <v>0</v>
      </c>
      <c r="H86" s="650">
        <f>'Prior Law'!C68</f>
        <v>0</v>
      </c>
      <c r="I86" s="672">
        <f>'Prior Law'!C68</f>
        <v>0</v>
      </c>
      <c r="J86" s="681">
        <f t="shared" si="1"/>
        <v>0</v>
      </c>
    </row>
    <row r="87" spans="1:17" x14ac:dyDescent="0.3">
      <c r="A87" s="156" t="s">
        <v>772</v>
      </c>
      <c r="E87" s="574">
        <f>IF(E86-E85&lt;0,0,E86-E85)</f>
        <v>0</v>
      </c>
      <c r="F87" s="574">
        <f>IF(F86-F85&lt;0,0,F86-F85)</f>
        <v>0</v>
      </c>
      <c r="G87" s="576">
        <f t="shared" si="0"/>
        <v>0</v>
      </c>
      <c r="H87" s="650">
        <f>IF(H86-H85&lt;0,0,H86-H85)</f>
        <v>0</v>
      </c>
      <c r="I87" s="672">
        <f>IF(I86-I85&lt;0,0,I86-I85)</f>
        <v>0</v>
      </c>
      <c r="J87" s="681">
        <f t="shared" si="1"/>
        <v>0</v>
      </c>
    </row>
    <row r="88" spans="1:17" s="311" customFormat="1" x14ac:dyDescent="0.3">
      <c r="A88" s="156" t="s">
        <v>641</v>
      </c>
      <c r="B88" s="39"/>
      <c r="C88" s="39">
        <v>116</v>
      </c>
      <c r="D88" s="156" t="s">
        <v>234</v>
      </c>
      <c r="E88" s="574">
        <f>IF(E85&gt;E86,E84+E85,E84+E85+E87)</f>
        <v>0</v>
      </c>
      <c r="F88" s="575">
        <f>VLOOKUP(Estimates!E1,INITIAL_EST,116,FALSE)</f>
        <v>0</v>
      </c>
      <c r="G88" s="576">
        <f t="shared" si="0"/>
        <v>0</v>
      </c>
      <c r="H88" s="650">
        <f>IF(H85&gt;H86,H84+H85,H84+H85+H87)</f>
        <v>0</v>
      </c>
      <c r="I88" s="671">
        <f>VLOOKUP(Estimates!$E$1,CASH_FLOW,117,FALSE)</f>
        <v>0</v>
      </c>
      <c r="J88" s="681">
        <f t="shared" si="1"/>
        <v>0</v>
      </c>
      <c r="K88" s="587"/>
      <c r="L88" s="587"/>
    </row>
    <row r="89" spans="1:17" s="311" customFormat="1" x14ac:dyDescent="0.3">
      <c r="A89" s="156" t="s">
        <v>642</v>
      </c>
      <c r="B89" s="39"/>
      <c r="C89" s="39">
        <v>214</v>
      </c>
      <c r="D89" s="156" t="s">
        <v>488</v>
      </c>
      <c r="E89" s="574">
        <f>E66*$B$46*E46</f>
        <v>0</v>
      </c>
      <c r="F89" s="575">
        <f>VLOOKUP(Estimates!E1,INITIAL_EST,214,FALSE)</f>
        <v>0</v>
      </c>
      <c r="G89" s="576">
        <f t="shared" si="0"/>
        <v>0</v>
      </c>
      <c r="H89" s="650">
        <f>H66*$B$46*H46</f>
        <v>0</v>
      </c>
      <c r="I89" s="671">
        <f>VLOOKUP(Estimates!$E$1,CASH_FLOW,215,FALSE)</f>
        <v>0</v>
      </c>
      <c r="J89" s="681">
        <f t="shared" si="1"/>
        <v>0</v>
      </c>
      <c r="K89" s="587"/>
      <c r="L89" s="587"/>
    </row>
    <row r="90" spans="1:17" s="586" customFormat="1" x14ac:dyDescent="0.3">
      <c r="A90" s="577" t="s">
        <v>705</v>
      </c>
      <c r="B90" s="578"/>
      <c r="C90" s="577"/>
      <c r="D90" s="577"/>
      <c r="E90" s="579"/>
      <c r="F90" s="579"/>
      <c r="G90" s="580"/>
      <c r="H90" s="685"/>
      <c r="I90" s="685"/>
      <c r="J90" s="686"/>
      <c r="K90" s="588"/>
      <c r="L90" s="528"/>
      <c r="M90" s="156"/>
      <c r="N90" s="156"/>
      <c r="O90" s="156"/>
      <c r="P90" s="156"/>
      <c r="Q90" s="156"/>
    </row>
    <row r="91" spans="1:17" s="585" customFormat="1" x14ac:dyDescent="0.3">
      <c r="A91" s="156" t="s">
        <v>631</v>
      </c>
      <c r="B91" s="583"/>
      <c r="C91" s="39">
        <v>108</v>
      </c>
      <c r="D91" s="156" t="s">
        <v>226</v>
      </c>
      <c r="E91" s="574">
        <f>E55*E66</f>
        <v>0</v>
      </c>
      <c r="F91" s="575">
        <f>VLOOKUP(Estimates!E1,INITIAL_EST,108,FALSE)</f>
        <v>0</v>
      </c>
      <c r="G91" s="576">
        <f t="shared" si="0"/>
        <v>0</v>
      </c>
      <c r="H91" s="650">
        <f>H55*H66</f>
        <v>0</v>
      </c>
      <c r="I91" s="671">
        <f>VLOOKUP(Estimates!$E$1,CASH_FLOW,109,FALSE)</f>
        <v>0</v>
      </c>
      <c r="J91" s="681">
        <f>H91-I91</f>
        <v>0</v>
      </c>
      <c r="K91" s="584"/>
      <c r="L91" s="158"/>
      <c r="M91" s="52"/>
      <c r="N91" s="52"/>
      <c r="O91" s="52"/>
      <c r="P91" s="52"/>
      <c r="Q91" s="52"/>
    </row>
    <row r="92" spans="1:17" s="585" customFormat="1" x14ac:dyDescent="0.3">
      <c r="A92" s="156" t="s">
        <v>632</v>
      </c>
      <c r="B92" s="583"/>
      <c r="C92" s="39">
        <v>112</v>
      </c>
      <c r="D92" s="156" t="s">
        <v>230</v>
      </c>
      <c r="E92" s="574">
        <f>E56*$B$56*E66</f>
        <v>0</v>
      </c>
      <c r="F92" s="575">
        <f>VLOOKUP(Estimates!E1,INITIAL_EST,112,FALSE)</f>
        <v>0</v>
      </c>
      <c r="G92" s="576">
        <f t="shared" si="0"/>
        <v>0</v>
      </c>
      <c r="H92" s="650">
        <f>H56*$B$56*H66</f>
        <v>0</v>
      </c>
      <c r="I92" s="671">
        <f>VLOOKUP(Estimates!$E$1,CASH_FLOW,113,FALSE)</f>
        <v>0</v>
      </c>
      <c r="J92" s="681">
        <f>H92-I92</f>
        <v>0</v>
      </c>
      <c r="K92" s="584"/>
      <c r="L92" s="158"/>
      <c r="M92" s="52"/>
      <c r="N92" s="52"/>
      <c r="O92" s="52"/>
      <c r="P92" s="52"/>
      <c r="Q92" s="52"/>
    </row>
    <row r="93" spans="1:17" s="585" customFormat="1" ht="25.5" x14ac:dyDescent="0.3">
      <c r="A93" s="312" t="s">
        <v>673</v>
      </c>
      <c r="B93" s="583"/>
      <c r="C93" s="39">
        <v>237</v>
      </c>
      <c r="D93" s="156" t="s">
        <v>511</v>
      </c>
      <c r="E93" s="574">
        <f>E57*B57*E66</f>
        <v>0</v>
      </c>
      <c r="F93" s="575">
        <f>VLOOKUP(Estimates!E1,INITIAL_EST,260,FALSE)</f>
        <v>0</v>
      </c>
      <c r="G93" s="576">
        <f t="shared" si="0"/>
        <v>0</v>
      </c>
      <c r="H93" s="650">
        <f>H57*B57*H66</f>
        <v>0</v>
      </c>
      <c r="I93" s="671">
        <f>VLOOKUP(Estimates!$E$1,CASH_FLOW,261,FALSE)</f>
        <v>0</v>
      </c>
      <c r="J93" s="681">
        <f>H93-I93</f>
        <v>0</v>
      </c>
      <c r="K93" s="584"/>
      <c r="L93" s="158"/>
      <c r="M93" s="52"/>
      <c r="N93" s="52"/>
      <c r="O93" s="52"/>
      <c r="P93" s="52"/>
      <c r="Q93" s="52"/>
    </row>
    <row r="94" spans="1:17" s="321" customFormat="1" x14ac:dyDescent="0.3">
      <c r="A94" s="156" t="s">
        <v>643</v>
      </c>
      <c r="B94" s="39"/>
      <c r="C94" s="39">
        <v>109</v>
      </c>
      <c r="D94" s="156" t="s">
        <v>227</v>
      </c>
      <c r="E94" s="574">
        <f>SUM(E91:E93)</f>
        <v>0</v>
      </c>
      <c r="F94" s="575">
        <f>VLOOKUP(Estimates!E1,INITIAL_EST,109,FALSE)</f>
        <v>0</v>
      </c>
      <c r="G94" s="576">
        <f t="shared" si="0"/>
        <v>0</v>
      </c>
      <c r="H94" s="650">
        <f>SUM(H91:H93)</f>
        <v>0</v>
      </c>
      <c r="I94" s="671">
        <f>VLOOKUP(Estimates!$E$1,CASH_FLOW,109,FALSE)</f>
        <v>0</v>
      </c>
      <c r="J94" s="681">
        <f>H94-I94</f>
        <v>0</v>
      </c>
      <c r="K94" s="525"/>
      <c r="L94" s="525"/>
    </row>
    <row r="95" spans="1:17" s="321" customFormat="1" x14ac:dyDescent="0.3">
      <c r="A95" s="156" t="s">
        <v>644</v>
      </c>
      <c r="B95" s="39"/>
      <c r="C95" s="39">
        <v>23</v>
      </c>
      <c r="D95" s="156" t="s">
        <v>141</v>
      </c>
      <c r="E95" s="574">
        <f>E36*E66</f>
        <v>0</v>
      </c>
      <c r="F95" s="575">
        <f>VLOOKUP(Estimates!E1,INITIAL_EST,23,FALSE)</f>
        <v>0</v>
      </c>
      <c r="G95" s="576">
        <f t="shared" si="0"/>
        <v>0</v>
      </c>
      <c r="H95" s="650">
        <f>H36*H66</f>
        <v>0</v>
      </c>
      <c r="I95" s="671">
        <f>VLOOKUP(Estimates!$E$1,CASH_FLOW,24,FALSE)</f>
        <v>0</v>
      </c>
      <c r="J95" s="681">
        <f>H95-I95</f>
        <v>0</v>
      </c>
      <c r="K95" s="525"/>
      <c r="L95" s="525"/>
    </row>
    <row r="96" spans="1:17" s="585" customFormat="1" x14ac:dyDescent="0.3">
      <c r="A96" s="577" t="s">
        <v>619</v>
      </c>
      <c r="B96" s="578"/>
      <c r="C96" s="577"/>
      <c r="D96" s="577"/>
      <c r="E96" s="579"/>
      <c r="F96" s="579"/>
      <c r="G96" s="580"/>
      <c r="H96" s="685"/>
      <c r="I96" s="685"/>
      <c r="J96" s="686"/>
      <c r="K96" s="584"/>
      <c r="L96" s="158"/>
      <c r="M96" s="52"/>
      <c r="N96" s="52"/>
      <c r="O96" s="52"/>
      <c r="P96" s="52"/>
      <c r="Q96" s="52"/>
    </row>
    <row r="97" spans="1:17" s="585" customFormat="1" x14ac:dyDescent="0.3">
      <c r="A97" s="156" t="s">
        <v>620</v>
      </c>
      <c r="B97" s="583"/>
      <c r="C97" s="39">
        <v>183</v>
      </c>
      <c r="D97" s="156" t="s">
        <v>301</v>
      </c>
      <c r="E97" s="574">
        <f>E43*E68</f>
        <v>0</v>
      </c>
      <c r="F97" s="575">
        <f>VLOOKUP(Estimates!E1,INITIAL_EST,183,FALSE)</f>
        <v>0</v>
      </c>
      <c r="G97" s="576">
        <f t="shared" si="0"/>
        <v>0</v>
      </c>
      <c r="H97" s="650">
        <f>H43*H68</f>
        <v>0</v>
      </c>
      <c r="I97" s="671">
        <f>VLOOKUP(Estimates!$E$1,CASH_FLOW,184,FALSE)</f>
        <v>0</v>
      </c>
      <c r="J97" s="681">
        <f>H97-I97</f>
        <v>0</v>
      </c>
      <c r="K97" s="584"/>
      <c r="L97" s="158"/>
      <c r="M97" s="52"/>
      <c r="N97" s="52"/>
      <c r="O97" s="52"/>
      <c r="P97" s="52"/>
      <c r="Q97" s="52"/>
    </row>
    <row r="98" spans="1:17" s="585" customFormat="1" x14ac:dyDescent="0.3">
      <c r="A98" s="156" t="s">
        <v>621</v>
      </c>
      <c r="B98" s="583"/>
      <c r="C98" s="39">
        <v>181</v>
      </c>
      <c r="D98" s="156" t="s">
        <v>299</v>
      </c>
      <c r="E98" s="574">
        <f>E44*$B$44</f>
        <v>0</v>
      </c>
      <c r="F98" s="575">
        <f>VLOOKUP(Estimates!E1,INITIAL_EST,181,FALSE)</f>
        <v>0</v>
      </c>
      <c r="G98" s="576">
        <f t="shared" si="0"/>
        <v>0</v>
      </c>
      <c r="H98" s="650">
        <f>H44*$B$44</f>
        <v>0</v>
      </c>
      <c r="I98" s="671">
        <f>VLOOKUP(Estimates!$E$1,CASH_FLOW,182,FALSE)</f>
        <v>0</v>
      </c>
      <c r="J98" s="681">
        <f>H98-I98</f>
        <v>0</v>
      </c>
      <c r="K98" s="584"/>
      <c r="L98" s="158"/>
      <c r="M98" s="52"/>
      <c r="N98" s="52"/>
      <c r="O98" s="52"/>
      <c r="P98" s="52"/>
      <c r="Q98" s="52"/>
    </row>
    <row r="99" spans="1:17" s="321" customFormat="1" x14ac:dyDescent="0.3">
      <c r="A99" s="156" t="s">
        <v>645</v>
      </c>
      <c r="B99" s="39"/>
      <c r="C99" s="39">
        <v>184</v>
      </c>
      <c r="D99" s="156" t="s">
        <v>302</v>
      </c>
      <c r="E99" s="574">
        <f>SUM(E97:E98)</f>
        <v>0</v>
      </c>
      <c r="F99" s="575">
        <f>VLOOKUP(Estimates!E1,INITIAL_EST,184,FALSE)</f>
        <v>0</v>
      </c>
      <c r="G99" s="576">
        <f t="shared" si="0"/>
        <v>0</v>
      </c>
      <c r="H99" s="650">
        <f>SUM(H97:H98)</f>
        <v>0</v>
      </c>
      <c r="I99" s="671">
        <f>VLOOKUP(Estimates!$E$1,CASH_FLOW,185,FALSE)</f>
        <v>0</v>
      </c>
      <c r="J99" s="681">
        <f>H99-I99</f>
        <v>0</v>
      </c>
      <c r="K99" s="525"/>
      <c r="L99" s="525"/>
    </row>
    <row r="100" spans="1:17" s="321" customFormat="1" x14ac:dyDescent="0.3">
      <c r="A100" s="156" t="s">
        <v>646</v>
      </c>
      <c r="B100" s="39"/>
      <c r="C100" s="39">
        <v>215</v>
      </c>
      <c r="D100" s="156" t="s">
        <v>489</v>
      </c>
      <c r="E100" s="574">
        <f>$B$58*E58*E66</f>
        <v>0</v>
      </c>
      <c r="F100" s="575">
        <f>VLOOKUP(Estimates!E1,INITIAL_EST,215,FALSE)</f>
        <v>0</v>
      </c>
      <c r="G100" s="576">
        <f t="shared" si="0"/>
        <v>0</v>
      </c>
      <c r="H100" s="650">
        <f>$B$58*H58*H66</f>
        <v>0</v>
      </c>
      <c r="I100" s="671">
        <f>VLOOKUP(Estimates!$E$1,CASH_FLOW,216,FALSE)</f>
        <v>0</v>
      </c>
      <c r="J100" s="681">
        <f>H100-I100</f>
        <v>0</v>
      </c>
      <c r="K100" s="525"/>
      <c r="L100" s="525"/>
    </row>
    <row r="101" spans="1:17" s="585" customFormat="1" x14ac:dyDescent="0.3">
      <c r="A101" s="577" t="s">
        <v>767</v>
      </c>
      <c r="B101" s="578"/>
      <c r="C101" s="577"/>
      <c r="D101" s="577"/>
      <c r="E101" s="579"/>
      <c r="F101" s="579"/>
      <c r="G101" s="580"/>
      <c r="H101" s="685"/>
      <c r="I101" s="685"/>
      <c r="J101" s="686"/>
      <c r="K101" s="584"/>
      <c r="L101" s="158"/>
      <c r="M101" s="52"/>
      <c r="N101" s="52"/>
      <c r="O101" s="52"/>
      <c r="P101" s="52"/>
      <c r="Q101" s="52"/>
    </row>
    <row r="102" spans="1:17" s="311" customFormat="1" x14ac:dyDescent="0.3">
      <c r="A102" s="156" t="s">
        <v>770</v>
      </c>
      <c r="B102" s="39"/>
      <c r="C102" s="39">
        <v>53</v>
      </c>
      <c r="D102" s="156" t="s">
        <v>171</v>
      </c>
      <c r="E102" s="574">
        <f>E47*B47*E66</f>
        <v>0</v>
      </c>
      <c r="G102" s="576"/>
      <c r="H102" s="650">
        <f>H66*$B$47*H47</f>
        <v>0</v>
      </c>
      <c r="I102" s="671">
        <f>VLOOKUP(Estimates!$E$1,CASH_FLOW,54,FALSE)</f>
        <v>0</v>
      </c>
      <c r="J102" s="696"/>
      <c r="K102" s="587"/>
      <c r="L102" s="587"/>
    </row>
    <row r="103" spans="1:17" s="311" customFormat="1" x14ac:dyDescent="0.3">
      <c r="A103" s="156" t="s">
        <v>769</v>
      </c>
      <c r="B103" s="39"/>
      <c r="C103" s="536">
        <v>56</v>
      </c>
      <c r="D103" s="589" t="s">
        <v>174</v>
      </c>
      <c r="E103" s="590">
        <f>-VLOOKUP(Estimates!$E$1,INITIAL_EST,56,FALSE)</f>
        <v>0</v>
      </c>
      <c r="F103" s="591"/>
      <c r="G103" s="592"/>
      <c r="H103" s="652">
        <f>-VLOOKUP(A3,CASH_FLOW,57,FALSE)</f>
        <v>0</v>
      </c>
      <c r="I103" s="673">
        <f>-VLOOKUP(A3,CASH_FLOW,57,FALSE)</f>
        <v>0</v>
      </c>
      <c r="J103" s="681">
        <f>H103-I103</f>
        <v>0</v>
      </c>
      <c r="K103" s="587"/>
      <c r="L103" s="587"/>
    </row>
    <row r="104" spans="1:17" s="311" customFormat="1" x14ac:dyDescent="0.3">
      <c r="A104" s="156" t="s">
        <v>1063</v>
      </c>
      <c r="B104" s="39"/>
      <c r="C104" s="536">
        <v>54</v>
      </c>
      <c r="D104" s="589"/>
      <c r="E104" s="590">
        <f>VLOOKUP(Estimates!$E$1,INITIAL_EST,53,FALSE)</f>
        <v>0</v>
      </c>
      <c r="F104" s="575">
        <f>VLOOKUP(Estimates!E1,INITIAL_EST,53,FALSE)</f>
        <v>0</v>
      </c>
      <c r="G104" s="592"/>
      <c r="H104" s="653">
        <f>VLOOKUP(Estimates!$E$1,CASH_FLOW,54,FALSE)</f>
        <v>0</v>
      </c>
      <c r="I104" s="674">
        <f>VLOOKUP(Estimates!$E$1,CASH_FLOW,54,FALSE)</f>
        <v>0</v>
      </c>
      <c r="J104" s="681"/>
      <c r="K104" s="587"/>
      <c r="L104" s="587"/>
    </row>
    <row r="105" spans="1:17" s="311" customFormat="1" x14ac:dyDescent="0.3">
      <c r="A105" s="312" t="s">
        <v>768</v>
      </c>
      <c r="B105" s="39"/>
      <c r="C105" s="39">
        <v>54</v>
      </c>
      <c r="D105" s="156" t="s">
        <v>172</v>
      </c>
      <c r="E105" s="574">
        <f>SUM(E103:E104)</f>
        <v>0</v>
      </c>
      <c r="F105" s="575">
        <f>VLOOKUP(Estimates!E1,INITIAL_EST,54,FALSE)</f>
        <v>0</v>
      </c>
      <c r="G105" s="576">
        <f t="shared" si="0"/>
        <v>0</v>
      </c>
      <c r="H105" s="650">
        <f>SUM(H103:H104)</f>
        <v>0</v>
      </c>
      <c r="I105" s="674">
        <f>VLOOKUP(Estimates!$E$1,CASH_FLOW,55,FALSE)</f>
        <v>0</v>
      </c>
      <c r="J105" s="681">
        <f>H105-I105</f>
        <v>0</v>
      </c>
      <c r="K105" s="587"/>
      <c r="L105" s="587"/>
    </row>
    <row r="106" spans="1:17" s="321" customFormat="1" x14ac:dyDescent="0.3">
      <c r="A106" s="156" t="s">
        <v>647</v>
      </c>
      <c r="B106" s="39"/>
      <c r="C106" s="536">
        <v>220</v>
      </c>
      <c r="D106" s="589" t="s">
        <v>494</v>
      </c>
      <c r="E106" s="574">
        <f>Estimates!E66</f>
        <v>0</v>
      </c>
      <c r="F106" s="543">
        <f>VLOOKUP(Estimates!E1,INITIAL_EST,220,FALSE)</f>
        <v>0</v>
      </c>
      <c r="G106" s="576">
        <f t="shared" si="0"/>
        <v>0</v>
      </c>
      <c r="H106" s="651">
        <f>VLOOKUP(Estimates!$E$1,CASH_FLOW,221,FALSE)</f>
        <v>0</v>
      </c>
      <c r="I106" s="675">
        <f>VLOOKUP(Estimates!$E$1,CASH_FLOW,221,FALSE)</f>
        <v>0</v>
      </c>
      <c r="J106" s="681">
        <f t="shared" ref="J106:J108" si="2">H106-I106</f>
        <v>0</v>
      </c>
      <c r="K106" s="525"/>
      <c r="L106" s="525"/>
    </row>
    <row r="107" spans="1:17" s="321" customFormat="1" x14ac:dyDescent="0.3">
      <c r="A107" s="156" t="s">
        <v>606</v>
      </c>
      <c r="B107" s="39"/>
      <c r="C107" s="536">
        <v>221</v>
      </c>
      <c r="D107" s="589" t="s">
        <v>495</v>
      </c>
      <c r="E107" s="574">
        <f>Estimates!E67</f>
        <v>0</v>
      </c>
      <c r="F107" s="543">
        <f>VLOOKUP(Estimates!E1,INITIAL_EST,221,FALSE)</f>
        <v>0</v>
      </c>
      <c r="G107" s="576">
        <f t="shared" si="0"/>
        <v>0</v>
      </c>
      <c r="H107" s="651">
        <f>VLOOKUP(Estimates!$E$1,CASH_FLOW,222,FALSE)</f>
        <v>0</v>
      </c>
      <c r="I107" s="667">
        <f>VLOOKUP(Estimates!$E$1,CASH_FLOW,222,FALSE)</f>
        <v>0</v>
      </c>
      <c r="J107" s="681">
        <f t="shared" si="2"/>
        <v>0</v>
      </c>
      <c r="K107" s="525"/>
      <c r="L107" s="525"/>
    </row>
    <row r="108" spans="1:17" s="321" customFormat="1" x14ac:dyDescent="0.3">
      <c r="A108" s="156" t="s">
        <v>607</v>
      </c>
      <c r="B108" s="39"/>
      <c r="C108" s="536">
        <v>222</v>
      </c>
      <c r="D108" s="589" t="s">
        <v>496</v>
      </c>
      <c r="E108" s="574">
        <f>Estimates!E68</f>
        <v>0</v>
      </c>
      <c r="F108" s="543">
        <f>VLOOKUP(Estimates!E1,INITIAL_EST,222,FALSE)</f>
        <v>0</v>
      </c>
      <c r="G108" s="576">
        <f t="shared" si="0"/>
        <v>0</v>
      </c>
      <c r="H108" s="651">
        <f>VLOOKUP(Estimates!$E$1,CASH_FLOW,223,FALSE)</f>
        <v>0</v>
      </c>
      <c r="I108" s="667">
        <f>VLOOKUP(Estimates!$E$1,CASH_FLOW,223,FALSE)</f>
        <v>0</v>
      </c>
      <c r="J108" s="681">
        <f t="shared" si="2"/>
        <v>0</v>
      </c>
      <c r="K108" s="525"/>
      <c r="L108" s="525"/>
    </row>
    <row r="109" spans="1:17" s="321" customFormat="1" x14ac:dyDescent="0.3">
      <c r="A109" s="156" t="s">
        <v>608</v>
      </c>
      <c r="B109" s="39"/>
      <c r="C109" s="39">
        <v>217</v>
      </c>
      <c r="D109" s="156" t="s">
        <v>491</v>
      </c>
      <c r="E109" s="574">
        <f>E65*E4</f>
        <v>0</v>
      </c>
      <c r="F109" s="575">
        <f>VLOOKUP(Estimates!E1,INITIAL_EST,217,FALSE)</f>
        <v>0</v>
      </c>
      <c r="G109" s="576">
        <f t="shared" si="0"/>
        <v>0</v>
      </c>
      <c r="H109" s="650">
        <f>VLOOKUP(Estimates!$E$1,CASH_FLOW,218,FALSE)</f>
        <v>0</v>
      </c>
      <c r="I109" s="671">
        <f>VLOOKUP(Estimates!$E$1,CASH_FLOW,218,FALSE)</f>
        <v>0</v>
      </c>
      <c r="J109" s="681">
        <f>H109-I109</f>
        <v>0</v>
      </c>
      <c r="K109" s="525"/>
      <c r="L109" s="525"/>
    </row>
    <row r="110" spans="1:17" x14ac:dyDescent="0.3">
      <c r="A110" s="539" t="s">
        <v>469</v>
      </c>
      <c r="B110" s="573"/>
      <c r="C110" s="577"/>
      <c r="D110" s="577"/>
      <c r="E110" s="579"/>
      <c r="F110" s="579"/>
      <c r="G110" s="580"/>
      <c r="H110" s="685"/>
      <c r="I110" s="685"/>
      <c r="J110" s="682"/>
    </row>
    <row r="111" spans="1:17" s="585" customFormat="1" x14ac:dyDescent="0.3">
      <c r="A111" s="577" t="s">
        <v>568</v>
      </c>
      <c r="B111" s="578"/>
      <c r="C111" s="577"/>
      <c r="D111" s="577"/>
      <c r="E111" s="579"/>
      <c r="F111" s="579"/>
      <c r="G111" s="580"/>
      <c r="H111" s="685"/>
      <c r="I111" s="685"/>
      <c r="J111" s="686"/>
      <c r="K111" s="584"/>
      <c r="L111" s="158"/>
      <c r="M111" s="52"/>
      <c r="N111" s="52"/>
      <c r="O111" s="52"/>
      <c r="P111" s="52"/>
      <c r="Q111" s="52"/>
    </row>
    <row r="112" spans="1:17" s="585" customFormat="1" x14ac:dyDescent="0.3">
      <c r="A112" s="156" t="s">
        <v>627</v>
      </c>
      <c r="B112" s="583"/>
      <c r="C112" s="536">
        <v>170</v>
      </c>
      <c r="D112" s="589" t="s">
        <v>288</v>
      </c>
      <c r="E112" s="593">
        <f>IF($E$4=0,0,Estimates!E73)</f>
        <v>0</v>
      </c>
      <c r="F112" s="543">
        <f>VLOOKUP(Estimates!E1,INITIAL_EST,170,FALSE)</f>
        <v>0</v>
      </c>
      <c r="G112" s="576">
        <f t="shared" si="0"/>
        <v>0</v>
      </c>
      <c r="H112" s="651">
        <f>VLOOKUP(Estimates!$E$1,CASH_FLOW,171,FALSE)</f>
        <v>0</v>
      </c>
      <c r="I112" s="675">
        <f>VLOOKUP(Estimates!$E$1,CASH_FLOW,171,FALSE)</f>
        <v>0</v>
      </c>
      <c r="J112" s="681">
        <f t="shared" ref="J112:J122" si="3">H112-I112</f>
        <v>0</v>
      </c>
      <c r="K112" s="584"/>
      <c r="L112" s="158"/>
      <c r="M112" s="52"/>
      <c r="N112" s="52"/>
      <c r="O112" s="52"/>
      <c r="P112" s="52"/>
      <c r="Q112" s="52"/>
    </row>
    <row r="113" spans="1:17" s="585" customFormat="1" x14ac:dyDescent="0.3">
      <c r="A113" s="156" t="s">
        <v>771</v>
      </c>
      <c r="B113" s="583"/>
      <c r="C113" s="536">
        <v>169</v>
      </c>
      <c r="D113" s="589" t="s">
        <v>287</v>
      </c>
      <c r="E113" s="593">
        <f>IF($E$4=0,0,Estimates!E74)</f>
        <v>0</v>
      </c>
      <c r="F113" s="543">
        <f>VLOOKUP(Estimates!E1,INITIAL_EST,169,FALSE)</f>
        <v>0</v>
      </c>
      <c r="G113" s="576">
        <f t="shared" si="0"/>
        <v>0</v>
      </c>
      <c r="H113" s="651">
        <f>VLOOKUP(Estimates!$E$1,CASH_FLOW,170,FALSE)</f>
        <v>0</v>
      </c>
      <c r="I113" s="675">
        <f>VLOOKUP(Estimates!$E$1,CASH_FLOW,170,FALSE)</f>
        <v>0</v>
      </c>
      <c r="J113" s="681">
        <f t="shared" si="3"/>
        <v>0</v>
      </c>
      <c r="K113" s="584"/>
      <c r="L113" s="158"/>
      <c r="M113" s="52"/>
      <c r="N113" s="52"/>
      <c r="O113" s="52"/>
      <c r="P113" s="52"/>
      <c r="Q113" s="52"/>
    </row>
    <row r="114" spans="1:17" s="585" customFormat="1" x14ac:dyDescent="0.3">
      <c r="A114" s="156" t="s">
        <v>628</v>
      </c>
      <c r="B114" s="583"/>
      <c r="C114" s="536">
        <v>171</v>
      </c>
      <c r="D114" s="589" t="s">
        <v>289</v>
      </c>
      <c r="E114" s="593">
        <f>IF($E$4=0,0,Estimates!E75)</f>
        <v>0</v>
      </c>
      <c r="F114" s="543">
        <f>VLOOKUP(Estimates!E1,INITIAL_EST,171,FALSE)</f>
        <v>0</v>
      </c>
      <c r="G114" s="576">
        <f t="shared" si="0"/>
        <v>0</v>
      </c>
      <c r="H114" s="651">
        <f>VLOOKUP(Estimates!$E$1,CASH_FLOW,172,FALSE)</f>
        <v>0</v>
      </c>
      <c r="I114" s="675">
        <f>VLOOKUP(Estimates!$E$1,CASH_FLOW,172,FALSE)</f>
        <v>0</v>
      </c>
      <c r="J114" s="681">
        <f t="shared" si="3"/>
        <v>0</v>
      </c>
      <c r="K114" s="584"/>
      <c r="L114" s="158"/>
      <c r="M114" s="52"/>
      <c r="N114" s="52"/>
      <c r="O114" s="52"/>
      <c r="P114" s="52"/>
      <c r="Q114" s="52"/>
    </row>
    <row r="115" spans="1:17" s="585" customFormat="1" x14ac:dyDescent="0.3">
      <c r="A115" s="156" t="s">
        <v>713</v>
      </c>
      <c r="B115" s="583"/>
      <c r="C115" s="536">
        <v>174</v>
      </c>
      <c r="D115" s="589" t="s">
        <v>292</v>
      </c>
      <c r="E115" s="593">
        <f>IF($E$4=0,0,Estimates!E76)</f>
        <v>0</v>
      </c>
      <c r="F115" s="543">
        <f>VLOOKUP(Estimates!E1,INITIAL_EST,174,FALSE)</f>
        <v>0</v>
      </c>
      <c r="G115" s="576">
        <f t="shared" si="0"/>
        <v>0</v>
      </c>
      <c r="H115" s="651">
        <f>VLOOKUP(Estimates!$E$1,CASH_FLOW,175,FALSE)</f>
        <v>0</v>
      </c>
      <c r="I115" s="675">
        <f>VLOOKUP(Estimates!$E$1,CASH_FLOW,175,FALSE)</f>
        <v>0</v>
      </c>
      <c r="J115" s="681">
        <f t="shared" si="3"/>
        <v>0</v>
      </c>
      <c r="K115" s="584"/>
      <c r="L115" s="158"/>
      <c r="M115" s="52"/>
      <c r="N115" s="52"/>
      <c r="O115" s="52"/>
      <c r="P115" s="52"/>
      <c r="Q115" s="52"/>
    </row>
    <row r="116" spans="1:17" s="321" customFormat="1" x14ac:dyDescent="0.3">
      <c r="A116" s="156" t="s">
        <v>648</v>
      </c>
      <c r="B116" s="39"/>
      <c r="C116" s="39">
        <v>172</v>
      </c>
      <c r="D116" s="156" t="s">
        <v>290</v>
      </c>
      <c r="E116" s="574">
        <f>SUM(E112:E115)</f>
        <v>0</v>
      </c>
      <c r="F116" s="575">
        <f>VLOOKUP(Estimates!E1,INITIAL_EST,172,FALSE)</f>
        <v>0</v>
      </c>
      <c r="G116" s="576">
        <f t="shared" si="0"/>
        <v>0</v>
      </c>
      <c r="H116" s="650">
        <f>SUM(H112:H115)</f>
        <v>0</v>
      </c>
      <c r="I116" s="671">
        <f>VLOOKUP(Estimates!$E$1,CASH_FLOW,173,FALSE)</f>
        <v>0</v>
      </c>
      <c r="J116" s="681">
        <f t="shared" si="3"/>
        <v>0</v>
      </c>
      <c r="K116" s="525"/>
      <c r="L116" s="525"/>
    </row>
    <row r="117" spans="1:17" s="321" customFormat="1" x14ac:dyDescent="0.3">
      <c r="A117" s="156" t="s">
        <v>649</v>
      </c>
      <c r="B117" s="39"/>
      <c r="C117" s="536">
        <v>79</v>
      </c>
      <c r="D117" s="589"/>
      <c r="E117" s="593">
        <f>VLOOKUP(Estimates!E1,INITIAL_EST,79,FALSE)</f>
        <v>0</v>
      </c>
      <c r="F117" s="575"/>
      <c r="G117" s="576">
        <f t="shared" si="0"/>
        <v>0</v>
      </c>
      <c r="H117" s="651">
        <f>VLOOKUP(Estimates!$E$1,CASH_FLOW,80,FALSE)</f>
        <v>0</v>
      </c>
      <c r="I117" s="671">
        <f>VLOOKUP(Estimates!$E$1,CASH_FLOW,80,FALSE)</f>
        <v>0</v>
      </c>
      <c r="J117" s="681">
        <f t="shared" si="3"/>
        <v>0</v>
      </c>
      <c r="K117" s="525"/>
      <c r="L117" s="525"/>
    </row>
    <row r="118" spans="1:17" s="321" customFormat="1" x14ac:dyDescent="0.3">
      <c r="A118" s="156" t="s">
        <v>609</v>
      </c>
      <c r="B118" s="39"/>
      <c r="C118" s="39">
        <v>259</v>
      </c>
      <c r="D118" s="156"/>
      <c r="E118" s="574">
        <f>($B$60*E60)+($B$60*E59)</f>
        <v>0</v>
      </c>
      <c r="F118" s="575">
        <f>VLOOKUP(Estimates!E1,INITIAL_EST,259,FALSE)</f>
        <v>0</v>
      </c>
      <c r="G118" s="576">
        <f t="shared" si="0"/>
        <v>0</v>
      </c>
      <c r="H118" s="651">
        <f>IF($H$4=0,0,($B$60*(H60+H59)))</f>
        <v>0</v>
      </c>
      <c r="I118" s="671">
        <f>VLOOKUP(Estimates!$E$1,CASH_FLOW,260,FALSE)</f>
        <v>0</v>
      </c>
      <c r="J118" s="681">
        <f t="shared" si="3"/>
        <v>0</v>
      </c>
      <c r="K118" s="525"/>
      <c r="L118" s="525"/>
    </row>
    <row r="119" spans="1:17" s="321" customFormat="1" x14ac:dyDescent="0.3">
      <c r="A119" s="156" t="s">
        <v>610</v>
      </c>
      <c r="B119" s="39"/>
      <c r="C119" s="536">
        <v>218</v>
      </c>
      <c r="D119" s="589"/>
      <c r="E119" s="574">
        <f>VLOOKUP(A3,INITIAL_EST,218,FALSE)</f>
        <v>0</v>
      </c>
      <c r="F119" s="575">
        <f>E119</f>
        <v>0</v>
      </c>
      <c r="G119" s="576">
        <f t="shared" si="0"/>
        <v>0</v>
      </c>
      <c r="H119" s="651">
        <f>VLOOKUP(Estimates!$E$1,CASH_FLOW,219,FALSE)</f>
        <v>0</v>
      </c>
      <c r="I119" s="671">
        <f>VLOOKUP(Estimates!$E$1,CASH_FLOW,219,FALSE)</f>
        <v>0</v>
      </c>
      <c r="J119" s="681">
        <f t="shared" si="3"/>
        <v>0</v>
      </c>
      <c r="K119" s="525"/>
      <c r="L119" s="525"/>
    </row>
    <row r="120" spans="1:17" s="321" customFormat="1" x14ac:dyDescent="0.3">
      <c r="A120" s="156" t="s">
        <v>611</v>
      </c>
      <c r="B120" s="39"/>
      <c r="C120" s="536">
        <v>219</v>
      </c>
      <c r="D120" s="589"/>
      <c r="E120" s="574">
        <f>VLOOKUP(A3,INITIAL_EST,219,FALSE)</f>
        <v>0</v>
      </c>
      <c r="F120" s="575">
        <f>E120</f>
        <v>0</v>
      </c>
      <c r="G120" s="576">
        <f t="shared" si="0"/>
        <v>0</v>
      </c>
      <c r="H120" s="651">
        <f>VLOOKUP(Estimates!$E$1,CASH_FLOW,220,FALSE)</f>
        <v>0</v>
      </c>
      <c r="I120" s="671">
        <f>VLOOKUP(Estimates!$E$1,CASH_FLOW,220,FALSE)</f>
        <v>0</v>
      </c>
      <c r="J120" s="681">
        <f t="shared" si="3"/>
        <v>0</v>
      </c>
      <c r="K120" s="525"/>
      <c r="L120" s="525"/>
    </row>
    <row r="121" spans="1:17" s="585" customFormat="1" x14ac:dyDescent="0.3">
      <c r="A121" s="594" t="s">
        <v>672</v>
      </c>
      <c r="B121" s="563"/>
      <c r="C121" s="554"/>
      <c r="D121" s="528"/>
      <c r="E121" s="574"/>
      <c r="F121" s="538"/>
      <c r="G121" s="576">
        <f t="shared" si="0"/>
        <v>0</v>
      </c>
      <c r="H121" s="654"/>
      <c r="I121" s="666"/>
      <c r="J121" s="681">
        <f t="shared" si="3"/>
        <v>0</v>
      </c>
      <c r="K121" s="584"/>
      <c r="L121" s="158"/>
      <c r="M121" s="52"/>
      <c r="N121" s="52"/>
      <c r="O121" s="52"/>
      <c r="P121" s="52"/>
      <c r="Q121" s="52"/>
    </row>
    <row r="122" spans="1:17" x14ac:dyDescent="0.3">
      <c r="A122" s="156" t="s">
        <v>653</v>
      </c>
      <c r="C122" s="536">
        <v>157</v>
      </c>
      <c r="D122" s="589" t="s">
        <v>275</v>
      </c>
      <c r="E122" s="574">
        <f>SUM(E76+E77+E88+E89+E94+E95+E99+E100+E105+E106+E107+E108+E109+E116+E117+E118+E119+E120+E121)</f>
        <v>0</v>
      </c>
      <c r="F122" s="575">
        <f>VLOOKUP(Estimates!E1,INITIAL_EST,157,FALSE)</f>
        <v>0</v>
      </c>
      <c r="G122" s="576">
        <f t="shared" si="0"/>
        <v>0</v>
      </c>
      <c r="H122" s="650">
        <f>SUM(H76+H77+H88+H89+H105+H94+H95+H99+H100+H106+H107+H108+H109+H116+H117+H118+H119+H120+H121)</f>
        <v>0</v>
      </c>
      <c r="I122" s="671">
        <f>VLOOKUP(Estimates!$E$1,CASH_FLOW,158,FALSE)</f>
        <v>0</v>
      </c>
      <c r="J122" s="681">
        <f t="shared" si="3"/>
        <v>0</v>
      </c>
    </row>
    <row r="123" spans="1:17" x14ac:dyDescent="0.3">
      <c r="A123" s="539" t="s">
        <v>467</v>
      </c>
      <c r="B123" s="573"/>
      <c r="C123" s="577"/>
      <c r="D123" s="577"/>
      <c r="E123" s="579"/>
      <c r="F123" s="579"/>
      <c r="G123" s="580"/>
      <c r="H123" s="685"/>
      <c r="I123" s="685"/>
      <c r="J123" s="682"/>
    </row>
    <row r="124" spans="1:17" s="53" customFormat="1" x14ac:dyDescent="0.3">
      <c r="A124" s="156" t="s">
        <v>477</v>
      </c>
      <c r="B124" s="39"/>
      <c r="C124" s="536">
        <v>160</v>
      </c>
      <c r="D124" s="589" t="s">
        <v>278</v>
      </c>
      <c r="E124" s="595">
        <f>ROUND((E73*E61*E69*100),1)</f>
        <v>0</v>
      </c>
      <c r="F124" s="575">
        <f>VLOOKUP(Estimates!E1,INITIAL_EST,160,FALSE)</f>
        <v>0</v>
      </c>
      <c r="G124" s="576">
        <f t="shared" si="0"/>
        <v>0</v>
      </c>
      <c r="H124" s="650" t="e">
        <f>ROUND((H73*H61*H69*100),1)</f>
        <v>#DIV/0!</v>
      </c>
      <c r="I124" s="671">
        <f>VLOOKUP(Estimates!$E$1,CASH_FLOW,161,FALSE)</f>
        <v>0</v>
      </c>
      <c r="J124" s="681" t="e">
        <f>H124-I124</f>
        <v>#DIV/0!</v>
      </c>
      <c r="K124" s="543"/>
      <c r="L124" s="543"/>
    </row>
    <row r="125" spans="1:17" s="53" customFormat="1" x14ac:dyDescent="0.3">
      <c r="A125" s="156" t="s">
        <v>478</v>
      </c>
      <c r="B125" s="39"/>
      <c r="C125" s="536">
        <v>161</v>
      </c>
      <c r="D125" s="589" t="s">
        <v>279</v>
      </c>
      <c r="E125" s="595">
        <f>ROUND((E74*E61*E70*100),1)</f>
        <v>0</v>
      </c>
      <c r="F125" s="575">
        <f>VLOOKUP(Estimates!E1,INITIAL_EST,161,FALSE)</f>
        <v>0</v>
      </c>
      <c r="G125" s="576">
        <f t="shared" si="0"/>
        <v>0</v>
      </c>
      <c r="H125" s="650" t="e">
        <f>ROUND((H74*H61*H70*100),1)</f>
        <v>#DIV/0!</v>
      </c>
      <c r="I125" s="671">
        <f>VLOOKUP(Estimates!$E$1,CASH_FLOW,162,FALSE)</f>
        <v>0</v>
      </c>
      <c r="J125" s="681" t="e">
        <f>H125-I125</f>
        <v>#DIV/0!</v>
      </c>
      <c r="K125" s="543"/>
      <c r="L125" s="543"/>
    </row>
    <row r="126" spans="1:17" x14ac:dyDescent="0.3">
      <c r="A126" s="156" t="s">
        <v>654</v>
      </c>
      <c r="D126" s="156"/>
      <c r="E126" s="574">
        <f>SUM(E124:E125)</f>
        <v>0</v>
      </c>
      <c r="F126" s="574">
        <f>SUM(F124:F125)</f>
        <v>0</v>
      </c>
      <c r="G126" s="576">
        <f t="shared" si="0"/>
        <v>0</v>
      </c>
      <c r="H126" s="650" t="e">
        <f>SUM(H124:H125)</f>
        <v>#DIV/0!</v>
      </c>
      <c r="I126" s="672">
        <f>SUM(I124:I125)</f>
        <v>0</v>
      </c>
      <c r="J126" s="681" t="e">
        <f>H126-I126</f>
        <v>#DIV/0!</v>
      </c>
    </row>
    <row r="127" spans="1:17" x14ac:dyDescent="0.3">
      <c r="A127" s="539" t="s">
        <v>11</v>
      </c>
      <c r="B127" s="573"/>
      <c r="C127" s="539"/>
      <c r="D127" s="539"/>
      <c r="E127" s="541"/>
      <c r="F127" s="541"/>
      <c r="G127" s="542"/>
      <c r="H127" s="541"/>
      <c r="I127" s="661"/>
      <c r="J127" s="682"/>
    </row>
    <row r="128" spans="1:17" ht="25.5" hidden="1" x14ac:dyDescent="0.3">
      <c r="A128" s="312" t="s">
        <v>782</v>
      </c>
      <c r="B128" s="564"/>
      <c r="C128" s="536">
        <v>291</v>
      </c>
      <c r="D128" s="589" t="s">
        <v>778</v>
      </c>
      <c r="E128" s="593">
        <f>VLOOKUP(Estimates!$E$1,INITIAL_EST,291,FALSE)</f>
        <v>0</v>
      </c>
      <c r="F128" s="575">
        <f>E128</f>
        <v>0</v>
      </c>
      <c r="G128" s="576">
        <f t="shared" si="0"/>
        <v>0</v>
      </c>
      <c r="H128" s="694">
        <f>VLOOKUP(Estimates!$E$1,CASH_FLOW,292,FALSE)</f>
        <v>0</v>
      </c>
      <c r="I128" s="695">
        <f>VLOOKUP(Estimates!$E$1,CASH_FLOW,292,FALSE)</f>
        <v>0</v>
      </c>
      <c r="J128" s="681">
        <f>H128-I128</f>
        <v>0</v>
      </c>
    </row>
    <row r="129" spans="1:17" s="585" customFormat="1" x14ac:dyDescent="0.3">
      <c r="A129" s="577" t="s">
        <v>714</v>
      </c>
      <c r="B129" s="578"/>
      <c r="C129" s="547"/>
      <c r="D129" s="539"/>
      <c r="E129" s="596" t="str">
        <f>Estimates!E64</f>
        <v>No</v>
      </c>
      <c r="F129" s="541" t="str">
        <f>E129</f>
        <v>No</v>
      </c>
      <c r="G129" s="597" t="str">
        <f>F129</f>
        <v>No</v>
      </c>
      <c r="H129" s="598" t="str">
        <f>VLOOKUP(Estimates!E1,DATA!A:F,6,FALSE)</f>
        <v>No</v>
      </c>
      <c r="I129" s="662" t="str">
        <f>VLOOKUP(Estimates!E1,DATA!A:F,6,FALSE)</f>
        <v>No</v>
      </c>
      <c r="J129" s="687" t="str">
        <f>VLOOKUP(Estimates!E1,DATA!A:F,6,FALSE)</f>
        <v>No</v>
      </c>
      <c r="K129" s="584"/>
      <c r="L129" s="158"/>
      <c r="M129" s="52"/>
      <c r="N129" s="52"/>
      <c r="O129" s="52"/>
      <c r="P129" s="52"/>
      <c r="Q129" s="52"/>
    </row>
    <row r="130" spans="1:17" x14ac:dyDescent="0.3">
      <c r="A130" s="156" t="s">
        <v>471</v>
      </c>
      <c r="C130" s="536">
        <v>211</v>
      </c>
      <c r="D130" s="589" t="s">
        <v>435</v>
      </c>
      <c r="E130" s="574">
        <f>IF(E129="YES", IFERROR(ROUND((E4*E71*E72*100),1),0), 0)</f>
        <v>0</v>
      </c>
      <c r="F130" s="575">
        <f>VLOOKUP(Estimates!E1,INITIAL_EST,211,FALSE)</f>
        <v>0</v>
      </c>
      <c r="G130" s="576">
        <f t="shared" si="0"/>
        <v>0</v>
      </c>
      <c r="H130" s="650">
        <f>IF(H129="YES",(H4*H71*H72*100), 0)</f>
        <v>0</v>
      </c>
      <c r="I130" s="671">
        <f>VLOOKUP(Estimates!$E$1,CASH_FLOW,212,FALSE)</f>
        <v>0</v>
      </c>
      <c r="J130" s="681">
        <f>H130-I130</f>
        <v>0</v>
      </c>
    </row>
    <row r="131" spans="1:17" x14ac:dyDescent="0.3">
      <c r="A131" s="312" t="s">
        <v>715</v>
      </c>
      <c r="B131" s="564"/>
      <c r="C131" s="312"/>
      <c r="D131" s="312"/>
      <c r="E131" s="599"/>
      <c r="F131" s="599"/>
      <c r="G131" s="600"/>
      <c r="H131" s="655"/>
      <c r="I131" s="676"/>
      <c r="J131" s="688"/>
    </row>
    <row r="132" spans="1:17" x14ac:dyDescent="0.3">
      <c r="A132" s="312" t="s">
        <v>798</v>
      </c>
      <c r="C132" s="554"/>
      <c r="D132" s="601"/>
      <c r="E132" s="602">
        <f>VLOOKUP(A3,'FTG21'!1:1048576,22,FALSE)</f>
        <v>0</v>
      </c>
      <c r="F132" s="575">
        <f>E132</f>
        <v>0</v>
      </c>
      <c r="G132" s="576">
        <f t="shared" si="0"/>
        <v>0</v>
      </c>
      <c r="H132" s="650">
        <f>VLOOKUP(A3,'FTG21'!1:1048576,22,FALSE)</f>
        <v>0</v>
      </c>
      <c r="I132" s="672">
        <f>H132</f>
        <v>0</v>
      </c>
      <c r="J132" s="681">
        <f t="shared" ref="J132:J138" si="4">H132-I132</f>
        <v>0</v>
      </c>
    </row>
    <row r="133" spans="1:17" x14ac:dyDescent="0.3">
      <c r="A133" s="603" t="s">
        <v>799</v>
      </c>
      <c r="B133" s="604"/>
      <c r="C133" s="605"/>
      <c r="D133" s="606"/>
      <c r="E133" s="607"/>
      <c r="F133" s="608"/>
      <c r="G133" s="609"/>
      <c r="H133" s="689"/>
      <c r="I133" s="689"/>
      <c r="J133" s="689"/>
      <c r="L133" s="52"/>
    </row>
    <row r="134" spans="1:17" s="585" customFormat="1" x14ac:dyDescent="0.3">
      <c r="A134" s="312" t="s">
        <v>800</v>
      </c>
      <c r="B134" s="39"/>
      <c r="C134" s="554"/>
      <c r="D134" s="601"/>
      <c r="E134" s="602">
        <f>MAX(E132,E133)</f>
        <v>0</v>
      </c>
      <c r="F134" s="602">
        <f>MAX(F132,F133)</f>
        <v>0</v>
      </c>
      <c r="G134" s="576">
        <f t="shared" si="0"/>
        <v>0</v>
      </c>
      <c r="H134" s="656">
        <f>MAX(H132,H133)</f>
        <v>0</v>
      </c>
      <c r="I134" s="677">
        <f>MAX(I132,I133)</f>
        <v>0</v>
      </c>
      <c r="J134" s="681">
        <f t="shared" si="4"/>
        <v>0</v>
      </c>
      <c r="K134" s="584"/>
      <c r="L134" s="610"/>
      <c r="M134" s="52"/>
      <c r="N134" s="52"/>
      <c r="O134" s="52"/>
      <c r="P134" s="52"/>
      <c r="Q134" s="52"/>
    </row>
    <row r="135" spans="1:17" s="585" customFormat="1" ht="25.5" x14ac:dyDescent="0.3">
      <c r="A135" s="312" t="s">
        <v>804</v>
      </c>
      <c r="B135" s="39"/>
      <c r="C135" s="554"/>
      <c r="D135" s="601"/>
      <c r="E135" s="602">
        <f>E4*E134</f>
        <v>0</v>
      </c>
      <c r="F135" s="602">
        <f>F4*F134</f>
        <v>0</v>
      </c>
      <c r="G135" s="576">
        <f t="shared" si="0"/>
        <v>0</v>
      </c>
      <c r="H135" s="656">
        <f>H4*H134</f>
        <v>0</v>
      </c>
      <c r="I135" s="677">
        <f>I4*I134</f>
        <v>0</v>
      </c>
      <c r="J135" s="681">
        <f t="shared" si="4"/>
        <v>0</v>
      </c>
      <c r="K135" s="584"/>
      <c r="L135" s="52"/>
      <c r="M135" s="52"/>
      <c r="N135" s="52"/>
      <c r="O135" s="52"/>
      <c r="P135" s="52"/>
      <c r="Q135" s="52"/>
    </row>
    <row r="136" spans="1:17" s="585" customFormat="1" x14ac:dyDescent="0.3">
      <c r="A136" s="312" t="s">
        <v>801</v>
      </c>
      <c r="B136" s="39"/>
      <c r="C136" s="554"/>
      <c r="D136" s="601"/>
      <c r="E136" s="602">
        <f>+E122+E126+E130</f>
        <v>0</v>
      </c>
      <c r="F136" s="602">
        <f>+F122+F126+F130</f>
        <v>0</v>
      </c>
      <c r="G136" s="576">
        <f t="shared" si="0"/>
        <v>0</v>
      </c>
      <c r="H136" s="656" t="e">
        <f>+H122+H126+H130</f>
        <v>#DIV/0!</v>
      </c>
      <c r="I136" s="677">
        <f>+I122+I126+I130</f>
        <v>0</v>
      </c>
      <c r="J136" s="681" t="e">
        <f t="shared" si="4"/>
        <v>#DIV/0!</v>
      </c>
      <c r="K136" s="584"/>
      <c r="L136" s="52"/>
      <c r="M136" s="52"/>
      <c r="N136" s="52"/>
      <c r="O136" s="52"/>
      <c r="P136" s="52"/>
      <c r="Q136" s="52"/>
    </row>
    <row r="137" spans="1:17" x14ac:dyDescent="0.3">
      <c r="A137" s="312" t="s">
        <v>802</v>
      </c>
      <c r="C137" s="554"/>
      <c r="D137" s="601"/>
      <c r="E137" s="602">
        <f>IF(E135&gt;E136,E135-E136,0)</f>
        <v>0</v>
      </c>
      <c r="F137" s="602">
        <f>IF(F135&gt;F136,F135-F136,0)</f>
        <v>0</v>
      </c>
      <c r="G137" s="576">
        <f t="shared" si="0"/>
        <v>0</v>
      </c>
      <c r="H137" s="656" t="e">
        <f>IF(H135&gt;H136,H135-H136,0)</f>
        <v>#DIV/0!</v>
      </c>
      <c r="I137" s="677">
        <f>IF(I135&gt;I136,I135-I136,0)</f>
        <v>0</v>
      </c>
      <c r="J137" s="681" t="e">
        <f t="shared" si="4"/>
        <v>#DIV/0!</v>
      </c>
      <c r="O137" s="611"/>
    </row>
    <row r="138" spans="1:17" s="585" customFormat="1" x14ac:dyDescent="0.3">
      <c r="A138" s="312" t="s">
        <v>803</v>
      </c>
      <c r="B138" s="39"/>
      <c r="C138" s="554"/>
      <c r="D138" s="601"/>
      <c r="E138" s="602">
        <f>VLOOKUP(Estimates!$E$1,INITIAL_EST,228,FALSE)</f>
        <v>0</v>
      </c>
      <c r="F138" s="602">
        <f>VLOOKUP(Estimates!$E$1,INITIAL_EST,228,FALSE)</f>
        <v>0</v>
      </c>
      <c r="G138" s="576">
        <f t="shared" si="0"/>
        <v>0</v>
      </c>
      <c r="H138" s="656">
        <f>VLOOKUP(Estimates!E1,CASH_FLOW,229,FALSE)</f>
        <v>0</v>
      </c>
      <c r="I138" s="677">
        <f>H138</f>
        <v>0</v>
      </c>
      <c r="J138" s="681">
        <f t="shared" si="4"/>
        <v>0</v>
      </c>
      <c r="K138" s="584"/>
      <c r="L138" s="158"/>
      <c r="M138" s="52"/>
      <c r="N138" s="52"/>
      <c r="O138" s="52"/>
      <c r="P138" s="52"/>
      <c r="Q138" s="52"/>
    </row>
    <row r="139" spans="1:17" s="585" customFormat="1" x14ac:dyDescent="0.3">
      <c r="A139" s="312"/>
      <c r="B139" s="583"/>
      <c r="C139" s="554"/>
      <c r="D139" s="601"/>
      <c r="E139" s="602"/>
      <c r="F139" s="538"/>
      <c r="G139" s="612"/>
      <c r="H139" s="656"/>
      <c r="I139" s="666"/>
      <c r="J139" s="690"/>
      <c r="K139" s="584"/>
      <c r="L139" s="158"/>
      <c r="M139" s="52"/>
      <c r="N139" s="52"/>
      <c r="O139" s="52"/>
      <c r="P139" s="52"/>
      <c r="Q139" s="52"/>
    </row>
    <row r="140" spans="1:17" s="585" customFormat="1" x14ac:dyDescent="0.3">
      <c r="A140" s="312"/>
      <c r="B140" s="39"/>
      <c r="C140" s="39"/>
      <c r="D140" s="601"/>
      <c r="E140" s="602"/>
      <c r="F140" s="538"/>
      <c r="G140" s="612"/>
      <c r="H140" s="656"/>
      <c r="I140" s="666"/>
      <c r="J140" s="690"/>
      <c r="K140" s="584"/>
      <c r="L140" s="158"/>
      <c r="M140" s="52"/>
      <c r="N140" s="52"/>
      <c r="O140" s="52"/>
      <c r="P140" s="52"/>
      <c r="Q140" s="52"/>
    </row>
    <row r="141" spans="1:17" x14ac:dyDescent="0.3">
      <c r="A141" s="312" t="s">
        <v>1066</v>
      </c>
      <c r="D141" s="601"/>
      <c r="E141" s="613">
        <f>IF(E138&gt;E140,E138-E140,0)</f>
        <v>0</v>
      </c>
      <c r="F141" s="613">
        <f>IF(F138&gt;F140,F138-F140,0)</f>
        <v>0</v>
      </c>
      <c r="G141" s="576">
        <f t="shared" si="0"/>
        <v>0</v>
      </c>
      <c r="H141" s="657">
        <f>IF(H138&gt;H140,H138-H140,0)</f>
        <v>0</v>
      </c>
      <c r="I141" s="678">
        <f>IF(I138&gt;I140,I138-I140,0)</f>
        <v>0</v>
      </c>
      <c r="J141" s="681">
        <f>H141-I141</f>
        <v>0</v>
      </c>
    </row>
    <row r="142" spans="1:17" x14ac:dyDescent="0.3">
      <c r="A142" s="312"/>
      <c r="D142" s="601"/>
      <c r="E142" s="538"/>
      <c r="F142" s="538"/>
      <c r="G142" s="576"/>
      <c r="H142" s="656">
        <f>VLOOKUP(Estimates!$E$1,CASH_FLOW,229,FALSE)</f>
        <v>0</v>
      </c>
      <c r="I142" s="677">
        <f>VLOOKUP(Estimates!$E$1,CASH_FLOW,229,FALSE)</f>
        <v>0</v>
      </c>
      <c r="J142" s="681">
        <f>H142-I142</f>
        <v>0</v>
      </c>
    </row>
    <row r="143" spans="1:17" s="53" customFormat="1" x14ac:dyDescent="0.3">
      <c r="A143" s="156" t="s">
        <v>655</v>
      </c>
      <c r="B143" s="39"/>
      <c r="C143" s="536">
        <v>85</v>
      </c>
      <c r="D143" s="589" t="s">
        <v>203</v>
      </c>
      <c r="E143" s="574">
        <f>E128+E130+E141</f>
        <v>0</v>
      </c>
      <c r="F143" s="575">
        <f>VLOOKUP(Estimates!E1,INITIAL_EST,85,FALSE)</f>
        <v>0</v>
      </c>
      <c r="G143" s="576">
        <f t="shared" ref="G143:G147" si="5">E143-F143</f>
        <v>0</v>
      </c>
      <c r="H143" s="650">
        <f>H128+H130+H142</f>
        <v>0</v>
      </c>
      <c r="I143" s="671">
        <f>VLOOKUP(Estimates!$E$1,CASH_FLOW,86,FALSE)</f>
        <v>0</v>
      </c>
      <c r="J143" s="681">
        <f>H143-I143</f>
        <v>0</v>
      </c>
      <c r="K143" s="543"/>
      <c r="L143" s="543"/>
    </row>
    <row r="144" spans="1:17" s="53" customFormat="1" x14ac:dyDescent="0.3">
      <c r="A144" s="539"/>
      <c r="B144" s="547"/>
      <c r="C144" s="614"/>
      <c r="D144" s="615"/>
      <c r="E144" s="541"/>
      <c r="F144" s="616"/>
      <c r="G144" s="597"/>
      <c r="H144" s="691"/>
      <c r="I144" s="691"/>
      <c r="J144" s="691"/>
      <c r="K144" s="543"/>
      <c r="L144" s="543"/>
    </row>
    <row r="145" spans="1:12" x14ac:dyDescent="0.3">
      <c r="A145" s="156" t="s">
        <v>810</v>
      </c>
      <c r="C145" s="536">
        <v>48</v>
      </c>
      <c r="D145" s="589" t="s">
        <v>166</v>
      </c>
      <c r="E145" s="574">
        <f>E147-E146</f>
        <v>0</v>
      </c>
      <c r="F145" s="575">
        <f>VLOOKUP(Estimates!E1,INITIAL_EST,48,FALSE)</f>
        <v>0</v>
      </c>
      <c r="G145" s="576">
        <f t="shared" si="5"/>
        <v>0</v>
      </c>
      <c r="H145" s="650" t="e">
        <f>H147-H146</f>
        <v>#DIV/0!</v>
      </c>
      <c r="I145" s="671">
        <f>VLOOKUP(Estimates!$E$1,CASH_FLOW,49,FALSE)</f>
        <v>0</v>
      </c>
      <c r="J145" s="681" t="e">
        <f>H145-I145</f>
        <v>#DIV/0!</v>
      </c>
      <c r="K145" s="617"/>
    </row>
    <row r="146" spans="1:12" x14ac:dyDescent="0.3">
      <c r="A146" s="156" t="s">
        <v>811</v>
      </c>
      <c r="C146" s="536">
        <v>17</v>
      </c>
      <c r="D146" s="537" t="s">
        <v>135</v>
      </c>
      <c r="E146" s="574">
        <f>IF(E4=0,0,E64*E63)</f>
        <v>0</v>
      </c>
      <c r="F146" s="575">
        <f>VLOOKUP(Estimates!E1,INITIAL_EST,17,FALSE)</f>
        <v>0</v>
      </c>
      <c r="G146" s="576">
        <f t="shared" si="5"/>
        <v>0</v>
      </c>
      <c r="H146" s="650">
        <f>IF($H$4=0,0,H64*H63)</f>
        <v>0</v>
      </c>
      <c r="I146" s="671">
        <f>VLOOKUP(Estimates!$E$1,CASH_FLOW,18,FALSE)</f>
        <v>0</v>
      </c>
      <c r="J146" s="681">
        <f>H146-I146</f>
        <v>0</v>
      </c>
    </row>
    <row r="147" spans="1:12" s="53" customFormat="1" x14ac:dyDescent="0.3">
      <c r="A147" s="156" t="s">
        <v>656</v>
      </c>
      <c r="B147" s="39"/>
      <c r="C147" s="536">
        <v>167</v>
      </c>
      <c r="D147" s="589" t="s">
        <v>285</v>
      </c>
      <c r="E147" s="574">
        <f>E122+E126+E143</f>
        <v>0</v>
      </c>
      <c r="F147" s="575">
        <f>VLOOKUP(Estimates!E1,INITIAL_EST,167,FALSE)</f>
        <v>0</v>
      </c>
      <c r="G147" s="576">
        <f t="shared" si="5"/>
        <v>0</v>
      </c>
      <c r="H147" s="650" t="e">
        <f>H122+H126+H143</f>
        <v>#DIV/0!</v>
      </c>
      <c r="I147" s="671">
        <f>VLOOKUP(Estimates!$E$1,CASH_FLOW,168,FALSE)</f>
        <v>0</v>
      </c>
      <c r="J147" s="681" t="e">
        <f>H147-I147</f>
        <v>#DIV/0!</v>
      </c>
      <c r="K147" s="543"/>
      <c r="L147" s="543"/>
    </row>
    <row r="148" spans="1:12" x14ac:dyDescent="0.3">
      <c r="E148" s="618"/>
      <c r="J148" s="692"/>
    </row>
    <row r="149" spans="1:12" x14ac:dyDescent="0.3">
      <c r="E149" s="618"/>
      <c r="J149" s="692"/>
    </row>
    <row r="150" spans="1:12" x14ac:dyDescent="0.3">
      <c r="J150" s="692"/>
    </row>
    <row r="151" spans="1:12" x14ac:dyDescent="0.3">
      <c r="J151" s="692"/>
    </row>
    <row r="152" spans="1:12" x14ac:dyDescent="0.3">
      <c r="E152" s="620"/>
      <c r="J152" s="692"/>
    </row>
    <row r="153" spans="1:12" x14ac:dyDescent="0.3">
      <c r="J153" s="692"/>
    </row>
    <row r="154" spans="1:12" x14ac:dyDescent="0.3">
      <c r="J154" s="692"/>
    </row>
    <row r="155" spans="1:12" x14ac:dyDescent="0.3">
      <c r="J155" s="692"/>
    </row>
    <row r="156" spans="1:12" x14ac:dyDescent="0.3">
      <c r="J156" s="692"/>
    </row>
    <row r="157" spans="1:12" x14ac:dyDescent="0.3">
      <c r="J157" s="692"/>
    </row>
    <row r="158" spans="1:12" x14ac:dyDescent="0.3">
      <c r="J158" s="692"/>
    </row>
    <row r="159" spans="1:12" x14ac:dyDescent="0.3">
      <c r="J159" s="692"/>
    </row>
    <row r="160" spans="1:12" x14ac:dyDescent="0.3">
      <c r="J160" s="692"/>
    </row>
    <row r="161" spans="1:10" x14ac:dyDescent="0.3">
      <c r="J161" s="692"/>
    </row>
    <row r="162" spans="1:10" x14ac:dyDescent="0.3">
      <c r="J162" s="692"/>
    </row>
    <row r="163" spans="1:10" x14ac:dyDescent="0.3">
      <c r="J163" s="692"/>
    </row>
    <row r="164" spans="1:10" x14ac:dyDescent="0.3">
      <c r="A164" s="528"/>
      <c r="B164" s="527"/>
      <c r="J164" s="692"/>
    </row>
    <row r="165" spans="1:10" x14ac:dyDescent="0.3">
      <c r="B165" s="527"/>
    </row>
  </sheetData>
  <sheetProtection algorithmName="SHA-512" hashValue="+LByi7+jcoEHEP3VpuT98PFLxpYjjvMvMI+5vtG97GO/pa7fR9YV4dM2l+9tBsFLM4cCuGo60DwPyPcJp4rx2g==" saltValue="YRfhcg0eAqjhx2XLKPqozw==" spinCount="100000" sheet="1" objects="1" scenarios="1"/>
  <printOptions headings="1"/>
  <pageMargins left="0.45" right="0.45" top="0.75" bottom="0.75" header="0.3" footer="0.3"/>
  <pageSetup fitToHeight="0" orientation="landscape" horizontalDpi="360" verticalDpi="360" r:id="rId1"/>
  <headerFooter>
    <oddHeader>&amp;C&amp;"Arial Nova,Bold"&amp;16House Bill 1525 Current Law SOF</oddHeader>
    <oddFooter>&amp;L&amp;"Arial Nova,Regular"&amp;14&amp;D
&amp;T&amp;C&amp;14 2021-2022 Version 3 
February 2022&amp;R&amp;"Arial Nova,Regular"&amp;14&amp;P of &amp;N</oddFooter>
  </headerFooter>
  <rowBreaks count="4" manualBreakCount="4">
    <brk id="30" max="5" man="1"/>
    <brk id="61" max="5" man="1"/>
    <brk id="95" max="5" man="1"/>
    <brk id="126" max="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266C-9056-4218-8F52-B3122EFA43F3}">
  <dimension ref="A1:G14"/>
  <sheetViews>
    <sheetView workbookViewId="0">
      <selection sqref="A1:XFD1048576"/>
    </sheetView>
  </sheetViews>
  <sheetFormatPr defaultRowHeight="12.5" x14ac:dyDescent="0.25"/>
  <cols>
    <col min="2" max="2" width="50.26953125" bestFit="1" customWidth="1"/>
    <col min="3" max="3" width="9.6328125" bestFit="1" customWidth="1"/>
    <col min="4" max="4" width="50.90625" bestFit="1" customWidth="1"/>
    <col min="5" max="5" width="33.08984375" bestFit="1" customWidth="1"/>
    <col min="6" max="6" width="25.90625" style="511" bestFit="1" customWidth="1"/>
    <col min="7" max="7" width="18.08984375" style="511" bestFit="1" customWidth="1"/>
  </cols>
  <sheetData>
    <row r="1" spans="1:7" ht="37.5" x14ac:dyDescent="0.25">
      <c r="A1" t="s">
        <v>1096</v>
      </c>
      <c r="B1" t="s">
        <v>1097</v>
      </c>
      <c r="C1" t="s">
        <v>1098</v>
      </c>
      <c r="D1" t="s">
        <v>1099</v>
      </c>
      <c r="E1" t="s">
        <v>1100</v>
      </c>
      <c r="F1" s="513" t="s">
        <v>1925</v>
      </c>
      <c r="G1" s="511" t="s">
        <v>1926</v>
      </c>
    </row>
    <row r="2" spans="1:7" x14ac:dyDescent="0.25">
      <c r="A2">
        <v>15805</v>
      </c>
      <c r="B2" t="s">
        <v>453</v>
      </c>
      <c r="C2">
        <v>15805041</v>
      </c>
      <c r="D2" t="s">
        <v>1915</v>
      </c>
      <c r="E2" t="s">
        <v>1103</v>
      </c>
      <c r="F2" s="511">
        <v>1</v>
      </c>
      <c r="G2" s="511" t="s">
        <v>1911</v>
      </c>
    </row>
    <row r="3" spans="1:7" x14ac:dyDescent="0.25">
      <c r="A3">
        <v>15835</v>
      </c>
      <c r="B3" t="s">
        <v>318</v>
      </c>
      <c r="C3">
        <v>15835011</v>
      </c>
      <c r="D3" t="s">
        <v>1924</v>
      </c>
      <c r="E3" t="s">
        <v>1101</v>
      </c>
      <c r="F3" s="511">
        <v>3</v>
      </c>
      <c r="G3" s="511" t="s">
        <v>1918</v>
      </c>
    </row>
    <row r="4" spans="1:7" x14ac:dyDescent="0.25">
      <c r="A4">
        <v>46802</v>
      </c>
      <c r="B4" t="s">
        <v>41</v>
      </c>
      <c r="C4">
        <v>46802011</v>
      </c>
      <c r="D4" t="s">
        <v>1919</v>
      </c>
      <c r="E4" t="s">
        <v>1103</v>
      </c>
      <c r="F4" s="511">
        <v>3</v>
      </c>
      <c r="G4" s="511" t="s">
        <v>1918</v>
      </c>
    </row>
    <row r="5" spans="1:7" x14ac:dyDescent="0.25">
      <c r="A5">
        <v>57848</v>
      </c>
      <c r="B5" t="s">
        <v>457</v>
      </c>
      <c r="C5">
        <v>57848038</v>
      </c>
      <c r="D5" t="s">
        <v>1704</v>
      </c>
      <c r="E5" t="s">
        <v>1101</v>
      </c>
      <c r="F5" s="511">
        <v>1</v>
      </c>
      <c r="G5" s="511" t="s">
        <v>1911</v>
      </c>
    </row>
    <row r="6" spans="1:7" x14ac:dyDescent="0.25">
      <c r="A6">
        <v>57848</v>
      </c>
      <c r="B6" t="s">
        <v>457</v>
      </c>
      <c r="C6">
        <v>57848036</v>
      </c>
      <c r="D6" t="s">
        <v>1913</v>
      </c>
      <c r="E6" t="s">
        <v>1101</v>
      </c>
      <c r="F6" s="511">
        <v>1</v>
      </c>
      <c r="G6" s="511" t="s">
        <v>1911</v>
      </c>
    </row>
    <row r="7" spans="1:7" x14ac:dyDescent="0.25">
      <c r="A7">
        <v>57848</v>
      </c>
      <c r="B7" t="s">
        <v>457</v>
      </c>
      <c r="C7">
        <v>57848040</v>
      </c>
      <c r="D7" t="s">
        <v>1914</v>
      </c>
      <c r="E7" t="s">
        <v>1101</v>
      </c>
      <c r="F7" s="511">
        <v>1</v>
      </c>
      <c r="G7" s="511" t="s">
        <v>1911</v>
      </c>
    </row>
    <row r="8" spans="1:7" x14ac:dyDescent="0.25">
      <c r="A8">
        <v>57848</v>
      </c>
      <c r="B8" t="s">
        <v>457</v>
      </c>
      <c r="C8">
        <v>57848039</v>
      </c>
      <c r="D8" t="s">
        <v>1917</v>
      </c>
      <c r="E8" t="s">
        <v>1101</v>
      </c>
      <c r="F8" s="511">
        <v>1</v>
      </c>
      <c r="G8" s="511" t="s">
        <v>1911</v>
      </c>
    </row>
    <row r="9" spans="1:7" x14ac:dyDescent="0.25">
      <c r="A9">
        <v>72801</v>
      </c>
      <c r="B9" t="s">
        <v>97</v>
      </c>
      <c r="C9">
        <v>72801145</v>
      </c>
      <c r="D9" t="s">
        <v>1923</v>
      </c>
      <c r="E9" t="s">
        <v>1103</v>
      </c>
      <c r="F9" s="511">
        <v>3</v>
      </c>
      <c r="G9" s="511" t="s">
        <v>1918</v>
      </c>
    </row>
    <row r="10" spans="1:7" x14ac:dyDescent="0.25">
      <c r="A10">
        <v>101846</v>
      </c>
      <c r="B10" t="s">
        <v>763</v>
      </c>
      <c r="C10">
        <v>101846008</v>
      </c>
      <c r="D10" t="s">
        <v>1920</v>
      </c>
      <c r="E10" t="s">
        <v>1101</v>
      </c>
      <c r="F10" s="511">
        <v>3</v>
      </c>
      <c r="G10" s="511" t="s">
        <v>1918</v>
      </c>
    </row>
    <row r="11" spans="1:7" x14ac:dyDescent="0.25">
      <c r="A11">
        <v>101849</v>
      </c>
      <c r="B11" t="s">
        <v>14</v>
      </c>
      <c r="C11">
        <v>101849105</v>
      </c>
      <c r="D11" t="s">
        <v>1912</v>
      </c>
      <c r="E11" t="s">
        <v>1101</v>
      </c>
      <c r="F11" s="511">
        <v>1</v>
      </c>
      <c r="G11" s="511" t="s">
        <v>1911</v>
      </c>
    </row>
    <row r="12" spans="1:7" x14ac:dyDescent="0.25">
      <c r="A12">
        <v>221801</v>
      </c>
      <c r="B12" t="s">
        <v>363</v>
      </c>
      <c r="C12">
        <v>221801079</v>
      </c>
      <c r="D12" t="s">
        <v>1921</v>
      </c>
      <c r="E12" t="s">
        <v>1101</v>
      </c>
      <c r="F12" s="511">
        <v>3</v>
      </c>
      <c r="G12" s="511" t="s">
        <v>1918</v>
      </c>
    </row>
    <row r="13" spans="1:7" x14ac:dyDescent="0.25">
      <c r="A13">
        <v>221801</v>
      </c>
      <c r="B13" t="s">
        <v>363</v>
      </c>
      <c r="C13">
        <v>221801022</v>
      </c>
      <c r="D13" t="s">
        <v>1922</v>
      </c>
      <c r="E13" t="s">
        <v>1101</v>
      </c>
      <c r="F13" s="511">
        <v>3</v>
      </c>
      <c r="G13" s="511" t="s">
        <v>1918</v>
      </c>
    </row>
    <row r="14" spans="1:7" x14ac:dyDescent="0.25">
      <c r="A14">
        <v>227806</v>
      </c>
      <c r="B14" t="s">
        <v>85</v>
      </c>
      <c r="C14">
        <v>227806051</v>
      </c>
      <c r="D14" t="s">
        <v>1916</v>
      </c>
      <c r="E14" t="s">
        <v>1103</v>
      </c>
      <c r="F14" s="511">
        <v>1</v>
      </c>
      <c r="G14" s="511" t="s">
        <v>1911</v>
      </c>
    </row>
  </sheetData>
  <sheetProtection algorithmName="SHA-512" hashValue="infVV4HHQf8ZNUeXx7z2GuYHGjGCm3CfnQf04SqDFESELiBRfzRZWx46F8SeRUFgHQdFbTyOWd4A325vFiyCTg==" saltValue="Xgrw+DFwFVNghxF8LV2XPQ==" spinCount="100000" sheet="1" objects="1" scenarios="1"/>
  <sortState xmlns:xlrd2="http://schemas.microsoft.com/office/spreadsheetml/2017/richdata2" ref="A2:J378">
    <sortCondition ref="A2:A3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FF5D-B5E0-4A9F-9FE4-46608F4553DA}">
  <sheetPr codeName="Sheet8">
    <tabColor rgb="FFFF0000"/>
  </sheetPr>
  <dimension ref="A1:KN190"/>
  <sheetViews>
    <sheetView zoomScaleNormal="100" workbookViewId="0">
      <selection sqref="A1:XFD1048576"/>
    </sheetView>
  </sheetViews>
  <sheetFormatPr defaultColWidth="9.1796875" defaultRowHeight="12.5" x14ac:dyDescent="0.25"/>
  <cols>
    <col min="1" max="1" width="12.453125" style="476" bestFit="1" customWidth="1"/>
    <col min="2" max="2" width="11.7265625" style="476" bestFit="1" customWidth="1"/>
    <col min="3" max="3" width="16" style="476" customWidth="1"/>
    <col min="4" max="4" width="14" style="476" customWidth="1"/>
    <col min="5" max="5" width="5" style="476" customWidth="1"/>
    <col min="6" max="6" width="22.1796875" style="476" customWidth="1"/>
    <col min="7" max="7" width="23.1796875" style="476" customWidth="1"/>
    <col min="8" max="8" width="15.26953125" style="476" customWidth="1"/>
    <col min="9" max="9" width="23.7265625" style="476" customWidth="1"/>
    <col min="10" max="10" width="18.54296875" style="476" customWidth="1"/>
    <col min="11" max="11" width="22.81640625" style="476" customWidth="1"/>
    <col min="12" max="12" width="11.1796875" style="476" customWidth="1"/>
    <col min="13" max="13" width="29.26953125" style="476" customWidth="1"/>
    <col min="14" max="14" width="17.26953125" style="476" customWidth="1"/>
    <col min="15" max="15" width="23.453125" style="476" customWidth="1"/>
    <col min="16" max="16" width="10" style="476" customWidth="1"/>
    <col min="17" max="17" width="23.7265625" style="476" customWidth="1"/>
    <col min="18" max="18" width="11.453125" style="476" customWidth="1"/>
    <col min="19" max="20" width="10.54296875" style="476" customWidth="1"/>
    <col min="21" max="21" width="20.81640625" style="476" customWidth="1"/>
    <col min="22" max="22" width="9" style="476" customWidth="1"/>
    <col min="23" max="23" width="10.453125" style="476" customWidth="1"/>
    <col min="24" max="24" width="18.54296875" style="476" customWidth="1"/>
    <col min="25" max="25" width="17.453125" style="476" customWidth="1"/>
    <col min="26" max="26" width="24.81640625" style="476" customWidth="1"/>
    <col min="27" max="27" width="4" style="476" customWidth="1"/>
    <col min="28" max="28" width="8.453125" style="476" customWidth="1"/>
    <col min="29" max="29" width="18.7265625" style="476" customWidth="1"/>
    <col min="30" max="30" width="11.453125" style="476" customWidth="1"/>
    <col min="31" max="31" width="21" style="476" customWidth="1"/>
    <col min="32" max="33" width="9" style="476" customWidth="1"/>
    <col min="34" max="34" width="24.54296875" style="476" customWidth="1"/>
    <col min="35" max="36" width="12.54296875" style="476" customWidth="1"/>
    <col min="37" max="37" width="19.81640625" style="476" customWidth="1"/>
    <col min="38" max="38" width="60.453125" style="476" customWidth="1"/>
    <col min="39" max="39" width="8.1796875" style="476" customWidth="1"/>
    <col min="40" max="40" width="20.453125" style="476" customWidth="1"/>
    <col min="41" max="41" width="26.1796875" style="476" customWidth="1"/>
    <col min="42" max="42" width="19.54296875" style="476" customWidth="1"/>
    <col min="43" max="43" width="19.453125" style="476" customWidth="1"/>
    <col min="44" max="44" width="8.81640625" style="476" customWidth="1"/>
    <col min="45" max="45" width="5.81640625" style="476" customWidth="1"/>
    <col min="46" max="46" width="14.7265625" style="476" customWidth="1"/>
    <col min="47" max="47" width="10.81640625" style="476" customWidth="1"/>
    <col min="48" max="48" width="23.54296875" style="476" customWidth="1"/>
    <col min="49" max="50" width="15.81640625" style="476" customWidth="1"/>
    <col min="51" max="51" width="20.7265625" style="476" customWidth="1"/>
    <col min="52" max="52" width="19.54296875" style="476" customWidth="1"/>
    <col min="53" max="53" width="14.7265625" style="476" customWidth="1"/>
    <col min="54" max="54" width="10.1796875" style="476" customWidth="1"/>
    <col min="55" max="55" width="18.26953125" style="476" customWidth="1"/>
    <col min="56" max="56" width="11.7265625" style="476" customWidth="1"/>
    <col min="57" max="57" width="17" style="476" customWidth="1"/>
    <col min="58" max="58" width="11" style="476" customWidth="1"/>
    <col min="59" max="59" width="5.81640625" style="476" customWidth="1"/>
    <col min="60" max="60" width="19.26953125" style="476" customWidth="1"/>
    <col min="61" max="61" width="21.1796875" style="476" customWidth="1"/>
    <col min="62" max="62" width="16.7265625" style="476" customWidth="1"/>
    <col min="63" max="63" width="24.54296875" style="476" customWidth="1"/>
    <col min="64" max="64" width="17.453125" style="476" customWidth="1"/>
    <col min="65" max="65" width="17.26953125" style="476" customWidth="1"/>
    <col min="66" max="66" width="24.453125" style="476" customWidth="1"/>
    <col min="67" max="67" width="26" style="476" customWidth="1"/>
    <col min="68" max="68" width="25.81640625" style="476" customWidth="1"/>
    <col min="69" max="69" width="5.1796875" style="476" customWidth="1"/>
    <col min="70" max="70" width="9.1796875" style="476" customWidth="1"/>
    <col min="71" max="71" width="20.453125" style="476" customWidth="1"/>
    <col min="72" max="74" width="14.1796875" style="476" customWidth="1"/>
    <col min="75" max="75" width="20.81640625" style="476" customWidth="1"/>
    <col min="76" max="76" width="18" style="476" customWidth="1"/>
    <col min="77" max="77" width="14.26953125" style="476" customWidth="1"/>
    <col min="78" max="78" width="5.81640625" style="476" customWidth="1"/>
    <col min="79" max="79" width="10" style="476" customWidth="1"/>
    <col min="80" max="80" width="11.81640625" style="476" customWidth="1"/>
    <col min="81" max="81" width="19" style="476" customWidth="1"/>
    <col min="82" max="84" width="21.7265625" style="476" customWidth="1"/>
    <col min="85" max="85" width="20.7265625" style="476" customWidth="1"/>
    <col min="86" max="86" width="28.54296875" style="476" customWidth="1"/>
    <col min="87" max="87" width="9.7265625" style="476" customWidth="1"/>
    <col min="88" max="88" width="21" style="476" customWidth="1"/>
    <col min="89" max="89" width="9.81640625" style="476" customWidth="1"/>
    <col min="90" max="90" width="11.7265625" style="476" customWidth="1"/>
    <col min="91" max="91" width="6.7265625" style="476" customWidth="1"/>
    <col min="92" max="92" width="16.81640625" style="476" customWidth="1"/>
    <col min="93" max="93" width="19.453125" style="476" customWidth="1"/>
    <col min="94" max="94" width="9.26953125" style="476" customWidth="1"/>
    <col min="95" max="95" width="14.81640625" style="476" customWidth="1"/>
    <col min="96" max="96" width="23.26953125" style="476" customWidth="1"/>
    <col min="97" max="97" width="16.54296875" style="476" customWidth="1"/>
    <col min="98" max="98" width="13.1796875" style="476" customWidth="1"/>
    <col min="99" max="99" width="21.7265625" style="476" customWidth="1"/>
    <col min="100" max="100" width="22.1796875" style="476" customWidth="1"/>
    <col min="101" max="101" width="19.453125" style="476" customWidth="1"/>
    <col min="102" max="102" width="22.81640625" style="476" customWidth="1"/>
    <col min="103" max="103" width="18.453125" style="476" customWidth="1"/>
    <col min="104" max="104" width="12.26953125" style="476" customWidth="1"/>
    <col min="105" max="105" width="23.54296875" style="476" customWidth="1"/>
    <col min="106" max="106" width="17.26953125" style="476" customWidth="1"/>
    <col min="107" max="107" width="13.54296875" style="476" customWidth="1"/>
    <col min="108" max="108" width="20" style="476" customWidth="1"/>
    <col min="109" max="109" width="11.54296875" style="476" customWidth="1"/>
    <col min="110" max="110" width="19.7265625" style="476" customWidth="1"/>
    <col min="111" max="111" width="13.26953125" style="476" customWidth="1"/>
    <col min="112" max="112" width="21.1796875" style="476" customWidth="1"/>
    <col min="113" max="113" width="16.54296875" style="476" customWidth="1"/>
    <col min="114" max="114" width="18.54296875" style="476" customWidth="1"/>
    <col min="115" max="115" width="5" style="476" customWidth="1"/>
    <col min="116" max="116" width="22.453125" style="476" customWidth="1"/>
    <col min="117" max="117" width="23.7265625" style="476" customWidth="1"/>
    <col min="118" max="118" width="26.7265625" style="476" customWidth="1"/>
    <col min="119" max="119" width="20.54296875" style="476" customWidth="1"/>
    <col min="120" max="120" width="31.81640625" style="476" customWidth="1"/>
    <col min="121" max="121" width="28.54296875" style="476" customWidth="1"/>
    <col min="122" max="122" width="29.81640625" style="476" customWidth="1"/>
    <col min="123" max="123" width="26.7265625" style="476" customWidth="1"/>
    <col min="124" max="124" width="30.1796875" style="476" customWidth="1"/>
    <col min="125" max="125" width="34.1796875" style="476" customWidth="1"/>
    <col min="126" max="126" width="33.453125" style="476" customWidth="1"/>
    <col min="127" max="127" width="27.26953125" style="476" customWidth="1"/>
    <col min="128" max="128" width="30.7265625" style="476" customWidth="1"/>
    <col min="129" max="129" width="23.26953125" style="476" customWidth="1"/>
    <col min="130" max="130" width="29.453125" style="476" customWidth="1"/>
    <col min="131" max="131" width="26.81640625" style="476" customWidth="1"/>
    <col min="132" max="132" width="23.54296875" style="476" customWidth="1"/>
    <col min="133" max="133" width="27.453125" style="476" customWidth="1"/>
    <col min="134" max="134" width="29.26953125" style="476" customWidth="1"/>
    <col min="135" max="135" width="24.7265625" style="476" customWidth="1"/>
    <col min="136" max="136" width="22.453125" style="476" customWidth="1"/>
    <col min="137" max="137" width="24.7265625" style="476" customWidth="1"/>
    <col min="138" max="138" width="20.7265625" style="476" customWidth="1"/>
    <col min="139" max="139" width="24" style="476" customWidth="1"/>
    <col min="140" max="140" width="21.7265625" style="476" customWidth="1"/>
    <col min="141" max="141" width="25" style="476" customWidth="1"/>
    <col min="142" max="142" width="29" style="476" customWidth="1"/>
    <col min="143" max="143" width="28.453125" style="476" customWidth="1"/>
    <col min="144" max="144" width="22.26953125" style="476" customWidth="1"/>
    <col min="145" max="145" width="28" style="476" customWidth="1"/>
    <col min="146" max="146" width="25.7265625" style="476" customWidth="1"/>
    <col min="147" max="147" width="23.1796875" style="476" customWidth="1"/>
    <col min="148" max="148" width="18.26953125" style="476" customWidth="1"/>
    <col min="149" max="149" width="29" style="476" customWidth="1"/>
    <col min="150" max="150" width="13.7265625" style="476" customWidth="1"/>
    <col min="151" max="151" width="12.1796875" style="476" customWidth="1"/>
    <col min="152" max="152" width="20" style="476" customWidth="1"/>
    <col min="153" max="153" width="17.26953125" style="476" customWidth="1"/>
    <col min="154" max="154" width="12.54296875" style="476" customWidth="1"/>
    <col min="155" max="155" width="19.54296875" style="476" customWidth="1"/>
    <col min="156" max="156" width="16.54296875" style="476" customWidth="1"/>
    <col min="157" max="157" width="21.1796875" style="476" customWidth="1"/>
    <col min="158" max="158" width="20.453125" style="476" customWidth="1"/>
    <col min="159" max="159" width="16.26953125" style="476" customWidth="1"/>
    <col min="160" max="162" width="15.26953125" style="476" customWidth="1"/>
    <col min="163" max="164" width="15.81640625" style="476" customWidth="1"/>
    <col min="165" max="166" width="23.453125" style="476" customWidth="1"/>
    <col min="167" max="167" width="13.7265625" style="476" customWidth="1"/>
    <col min="168" max="168" width="15.453125" style="476" customWidth="1"/>
    <col min="169" max="169" width="21.54296875" style="476" customWidth="1"/>
    <col min="170" max="170" width="23.1796875" style="476" customWidth="1"/>
    <col min="171" max="171" width="19.1796875" style="476" customWidth="1"/>
    <col min="172" max="172" width="23" style="476" customWidth="1"/>
    <col min="173" max="173" width="18.54296875" style="476" customWidth="1"/>
    <col min="174" max="174" width="28.7265625" style="476" customWidth="1"/>
    <col min="175" max="175" width="21.81640625" style="476" customWidth="1"/>
    <col min="176" max="176" width="19.7265625" style="476" customWidth="1"/>
    <col min="177" max="177" width="11.1796875" style="476" customWidth="1"/>
    <col min="178" max="178" width="24.453125" style="476" customWidth="1"/>
    <col min="179" max="179" width="9.453125" style="476" customWidth="1"/>
    <col min="180" max="180" width="22.7265625" style="476" customWidth="1"/>
    <col min="181" max="181" width="13.26953125" style="476" customWidth="1"/>
    <col min="182" max="182" width="19.453125" style="476" customWidth="1"/>
    <col min="183" max="183" width="17" style="476" customWidth="1"/>
    <col min="184" max="184" width="14.453125" style="476" customWidth="1"/>
    <col min="185" max="185" width="22.54296875" style="476" customWidth="1"/>
    <col min="186" max="186" width="12" style="476" customWidth="1"/>
    <col min="187" max="187" width="21.453125" style="476" customWidth="1"/>
    <col min="188" max="188" width="9.7265625" style="476" customWidth="1"/>
    <col min="189" max="189" width="13.26953125" style="476" customWidth="1"/>
    <col min="190" max="190" width="18.54296875" style="476" customWidth="1"/>
    <col min="191" max="191" width="19.1796875" style="476" customWidth="1"/>
    <col min="192" max="192" width="21.81640625" style="476" customWidth="1"/>
    <col min="193" max="193" width="25.81640625" style="476" customWidth="1"/>
    <col min="194" max="194" width="18.453125" style="476" customWidth="1"/>
    <col min="195" max="195" width="16.26953125" style="476" customWidth="1"/>
    <col min="196" max="196" width="18.453125" style="476" customWidth="1"/>
    <col min="197" max="197" width="20.7265625" style="476" customWidth="1"/>
    <col min="198" max="198" width="28.54296875" style="476" customWidth="1"/>
    <col min="199" max="199" width="18.1796875" style="476" customWidth="1"/>
    <col min="200" max="200" width="14" style="476" customWidth="1"/>
    <col min="201" max="202" width="19" style="476" customWidth="1"/>
    <col min="203" max="203" width="18.453125" style="476" customWidth="1"/>
    <col min="204" max="204" width="25.54296875" style="476" customWidth="1"/>
    <col min="205" max="205" width="22.81640625" style="476" customWidth="1"/>
    <col min="206" max="206" width="18.81640625" style="476" customWidth="1"/>
    <col min="207" max="207" width="23.453125" style="476" customWidth="1"/>
    <col min="208" max="208" width="22" style="476" customWidth="1"/>
    <col min="209" max="209" width="23" style="476" customWidth="1"/>
    <col min="210" max="210" width="27.7265625" style="476" customWidth="1"/>
    <col min="211" max="211" width="26.1796875" style="476" customWidth="1"/>
    <col min="212" max="212" width="20.26953125" style="476" customWidth="1"/>
    <col min="213" max="213" width="16.1796875" style="476" customWidth="1"/>
    <col min="214" max="214" width="18.453125" style="476" customWidth="1"/>
    <col min="215" max="215" width="16.7265625" style="476" customWidth="1"/>
    <col min="216" max="216" width="17.7265625" style="476" customWidth="1"/>
    <col min="217" max="217" width="22.1796875" style="476" customWidth="1"/>
    <col min="218" max="218" width="15.1796875" style="476" customWidth="1"/>
    <col min="219" max="219" width="23.1796875" style="476" customWidth="1"/>
    <col min="220" max="220" width="19.1796875" style="476" customWidth="1"/>
    <col min="221" max="221" width="25.1796875" style="476" customWidth="1"/>
    <col min="222" max="222" width="23.54296875" style="476" customWidth="1"/>
    <col min="223" max="223" width="15.7265625" style="476" customWidth="1"/>
    <col min="224" max="224" width="16.81640625" style="476" customWidth="1"/>
    <col min="225" max="225" width="20.81640625" style="476" customWidth="1"/>
    <col min="226" max="226" width="18.81640625" style="476" customWidth="1"/>
    <col min="227" max="227" width="21" style="476" customWidth="1"/>
    <col min="228" max="228" width="15.81640625" style="476" customWidth="1"/>
    <col min="229" max="229" width="21.1796875" style="476" customWidth="1"/>
    <col min="230" max="230" width="6.54296875" style="476" customWidth="1"/>
    <col min="231" max="231" width="26.26953125" style="476" customWidth="1"/>
    <col min="232" max="236" width="16.26953125" style="476" customWidth="1"/>
    <col min="237" max="237" width="18.81640625" style="476" customWidth="1"/>
    <col min="238" max="238" width="28.26953125" style="476" customWidth="1"/>
    <col min="239" max="239" width="19.26953125" style="476" customWidth="1"/>
    <col min="240" max="240" width="23.453125" style="476" customWidth="1"/>
    <col min="241" max="241" width="18.453125" style="476" customWidth="1"/>
    <col min="242" max="242" width="15.7265625" style="476" customWidth="1"/>
    <col min="243" max="243" width="15" style="476" customWidth="1"/>
    <col min="244" max="244" width="13.1796875" style="476" customWidth="1"/>
    <col min="245" max="245" width="14.54296875" style="476" customWidth="1"/>
    <col min="246" max="246" width="23.1796875" style="476" customWidth="1"/>
    <col min="247" max="247" width="27.26953125" style="476" customWidth="1"/>
    <col min="248" max="248" width="21.1796875" style="476" customWidth="1"/>
    <col min="249" max="249" width="26.81640625" style="476" customWidth="1"/>
    <col min="250" max="250" width="20" style="476" customWidth="1"/>
    <col min="251" max="251" width="15.453125" style="476" customWidth="1"/>
    <col min="252" max="252" width="17.453125" style="476" customWidth="1"/>
    <col min="253" max="253" width="16.453125" style="476" customWidth="1"/>
    <col min="254" max="254" width="21.54296875" style="476" customWidth="1"/>
    <col min="255" max="255" width="25.7265625" style="476" customWidth="1"/>
    <col min="256" max="256" width="19.54296875" style="476" customWidth="1"/>
    <col min="257" max="257" width="14.453125" style="476" customWidth="1"/>
    <col min="258" max="258" width="21.1796875" style="476" customWidth="1"/>
    <col min="259" max="259" width="25.26953125" style="476" customWidth="1"/>
    <col min="260" max="260" width="22" style="476" customWidth="1"/>
    <col min="261" max="261" width="26.7265625" style="476" customWidth="1"/>
    <col min="262" max="262" width="20.54296875" style="476" customWidth="1"/>
    <col min="263" max="263" width="22.81640625" style="476" customWidth="1"/>
    <col min="264" max="264" width="22" style="476" customWidth="1"/>
    <col min="265" max="265" width="24.1796875" style="476" customWidth="1"/>
    <col min="266" max="266" width="22.26953125" style="476" customWidth="1"/>
    <col min="267" max="267" width="24.453125" style="476" customWidth="1"/>
    <col min="268" max="268" width="15.453125" style="476" customWidth="1"/>
    <col min="269" max="269" width="21.7265625" style="476" customWidth="1"/>
    <col min="270" max="271" width="20.81640625" style="476" customWidth="1"/>
    <col min="272" max="273" width="22.81640625" style="476" customWidth="1"/>
    <col min="274" max="274" width="17.7265625" style="476" customWidth="1"/>
    <col min="275" max="277" width="19.26953125" style="476" customWidth="1"/>
    <col min="278" max="280" width="21.7265625" style="476" customWidth="1"/>
    <col min="281" max="281" width="14.7265625" style="476" customWidth="1"/>
    <col min="282" max="282" width="11.54296875" style="476" bestFit="1" customWidth="1"/>
    <col min="283" max="283" width="19.81640625" style="476" bestFit="1" customWidth="1"/>
    <col min="284" max="284" width="20.26953125" style="476" bestFit="1" customWidth="1"/>
    <col min="285" max="285" width="18.81640625" style="476" bestFit="1" customWidth="1"/>
    <col min="286" max="286" width="16.1796875" style="476" bestFit="1" customWidth="1"/>
    <col min="287" max="287" width="16.7265625" style="476" bestFit="1" customWidth="1"/>
    <col min="288" max="288" width="22.54296875" style="476" bestFit="1" customWidth="1"/>
    <col min="289" max="289" width="19.81640625" style="476" bestFit="1" customWidth="1"/>
    <col min="290" max="290" width="17.453125" style="476" bestFit="1" customWidth="1"/>
    <col min="291" max="291" width="15.81640625" style="476" bestFit="1" customWidth="1"/>
    <col min="292" max="292" width="12.1796875" style="476" bestFit="1" customWidth="1"/>
    <col min="293" max="293" width="21.1796875" style="476" bestFit="1" customWidth="1"/>
    <col min="294" max="294" width="28" style="476" bestFit="1" customWidth="1"/>
    <col min="295" max="295" width="22.81640625" style="476" bestFit="1" customWidth="1"/>
    <col min="296" max="296" width="22.1796875" style="476" bestFit="1" customWidth="1"/>
    <col min="297" max="297" width="26.453125" style="476" bestFit="1" customWidth="1"/>
    <col min="298" max="298" width="20.81640625" style="476" bestFit="1" customWidth="1"/>
    <col min="299" max="299" width="25.1796875" style="476" bestFit="1" customWidth="1"/>
    <col min="300" max="300" width="21.6328125" style="476" bestFit="1" customWidth="1"/>
    <col min="301" max="16384" width="9.1796875" style="476"/>
  </cols>
  <sheetData>
    <row r="1" spans="1:300" s="475" customFormat="1" ht="14.5" x14ac:dyDescent="0.35">
      <c r="A1" s="475" t="s">
        <v>119</v>
      </c>
      <c r="B1" s="475" t="s">
        <v>120</v>
      </c>
      <c r="C1" s="475" t="s">
        <v>417</v>
      </c>
      <c r="D1" s="475" t="s">
        <v>121</v>
      </c>
      <c r="E1" s="475" t="s">
        <v>122</v>
      </c>
      <c r="F1" s="475" t="s">
        <v>123</v>
      </c>
      <c r="G1" s="475" t="s">
        <v>124</v>
      </c>
      <c r="H1" s="475" t="s">
        <v>125</v>
      </c>
      <c r="I1" s="475" t="s">
        <v>126</v>
      </c>
      <c r="J1" s="475" t="s">
        <v>127</v>
      </c>
      <c r="K1" s="475" t="s">
        <v>128</v>
      </c>
      <c r="L1" s="475" t="s">
        <v>129</v>
      </c>
      <c r="M1" s="475" t="s">
        <v>130</v>
      </c>
      <c r="N1" s="475" t="s">
        <v>131</v>
      </c>
      <c r="O1" s="475" t="s">
        <v>132</v>
      </c>
      <c r="P1" s="475" t="s">
        <v>133</v>
      </c>
      <c r="Q1" s="475" t="s">
        <v>134</v>
      </c>
      <c r="R1" s="475" t="s">
        <v>135</v>
      </c>
      <c r="S1" s="475" t="s">
        <v>136</v>
      </c>
      <c r="T1" s="475" t="s">
        <v>137</v>
      </c>
      <c r="U1" s="475" t="s">
        <v>138</v>
      </c>
      <c r="V1" s="475" t="s">
        <v>139</v>
      </c>
      <c r="W1" s="475" t="s">
        <v>140</v>
      </c>
      <c r="X1" s="475" t="s">
        <v>141</v>
      </c>
      <c r="Y1" s="475" t="s">
        <v>142</v>
      </c>
      <c r="Z1" s="475" t="s">
        <v>143</v>
      </c>
      <c r="AA1" s="475" t="s">
        <v>144</v>
      </c>
      <c r="AB1" s="475" t="s">
        <v>145</v>
      </c>
      <c r="AC1" s="475" t="s">
        <v>146</v>
      </c>
      <c r="AD1" s="475" t="s">
        <v>147</v>
      </c>
      <c r="AE1" s="475" t="s">
        <v>148</v>
      </c>
      <c r="AF1" s="475" t="s">
        <v>149</v>
      </c>
      <c r="AG1" s="475" t="s">
        <v>150</v>
      </c>
      <c r="AH1" s="475" t="s">
        <v>151</v>
      </c>
      <c r="AI1" s="475" t="s">
        <v>152</v>
      </c>
      <c r="AJ1" s="475" t="s">
        <v>153</v>
      </c>
      <c r="AK1" s="475" t="s">
        <v>154</v>
      </c>
      <c r="AL1" s="475" t="s">
        <v>155</v>
      </c>
      <c r="AM1" s="475" t="s">
        <v>156</v>
      </c>
      <c r="AN1" s="475" t="s">
        <v>157</v>
      </c>
      <c r="AO1" s="475" t="s">
        <v>158</v>
      </c>
      <c r="AP1" s="475" t="s">
        <v>159</v>
      </c>
      <c r="AQ1" s="475" t="s">
        <v>160</v>
      </c>
      <c r="AR1" s="475" t="s">
        <v>161</v>
      </c>
      <c r="AS1" s="475" t="s">
        <v>162</v>
      </c>
      <c r="AT1" s="475" t="s">
        <v>163</v>
      </c>
      <c r="AU1" s="475" t="s">
        <v>164</v>
      </c>
      <c r="AV1" s="475" t="s">
        <v>165</v>
      </c>
      <c r="AW1" s="475" t="s">
        <v>166</v>
      </c>
      <c r="AX1" s="475" t="s">
        <v>167</v>
      </c>
      <c r="AY1" s="475" t="s">
        <v>168</v>
      </c>
      <c r="AZ1" s="475" t="s">
        <v>169</v>
      </c>
      <c r="BA1" s="475" t="s">
        <v>170</v>
      </c>
      <c r="BB1" s="475" t="s">
        <v>171</v>
      </c>
      <c r="BC1" s="475" t="s">
        <v>172</v>
      </c>
      <c r="BD1" s="475" t="s">
        <v>173</v>
      </c>
      <c r="BE1" s="475" t="s">
        <v>174</v>
      </c>
      <c r="BF1" s="475" t="s">
        <v>175</v>
      </c>
      <c r="BG1" s="475" t="s">
        <v>176</v>
      </c>
      <c r="BH1" s="475" t="s">
        <v>177</v>
      </c>
      <c r="BI1" s="475" t="s">
        <v>178</v>
      </c>
      <c r="BJ1" s="475" t="s">
        <v>179</v>
      </c>
      <c r="BK1" s="475" t="s">
        <v>180</v>
      </c>
      <c r="BL1" s="475" t="s">
        <v>181</v>
      </c>
      <c r="BM1" s="475" t="s">
        <v>182</v>
      </c>
      <c r="BN1" s="475" t="s">
        <v>183</v>
      </c>
      <c r="BO1" s="475" t="s">
        <v>184</v>
      </c>
      <c r="BP1" s="475" t="s">
        <v>185</v>
      </c>
      <c r="BQ1" s="475" t="s">
        <v>186</v>
      </c>
      <c r="BR1" s="475" t="s">
        <v>187</v>
      </c>
      <c r="BS1" s="475" t="s">
        <v>188</v>
      </c>
      <c r="BT1" s="475" t="s">
        <v>189</v>
      </c>
      <c r="BU1" s="475" t="s">
        <v>190</v>
      </c>
      <c r="BV1" s="475" t="s">
        <v>191</v>
      </c>
      <c r="BW1" s="475" t="s">
        <v>192</v>
      </c>
      <c r="BX1" s="475" t="s">
        <v>193</v>
      </c>
      <c r="BY1" s="475" t="s">
        <v>194</v>
      </c>
      <c r="BZ1" s="475" t="s">
        <v>195</v>
      </c>
      <c r="CA1" s="475" t="s">
        <v>196</v>
      </c>
      <c r="CB1" s="475" t="s">
        <v>197</v>
      </c>
      <c r="CC1" s="475" t="s">
        <v>198</v>
      </c>
      <c r="CD1" s="475" t="s">
        <v>199</v>
      </c>
      <c r="CE1" s="475" t="s">
        <v>200</v>
      </c>
      <c r="CF1" s="475" t="s">
        <v>201</v>
      </c>
      <c r="CG1" s="475" t="s">
        <v>202</v>
      </c>
      <c r="CH1" s="475" t="s">
        <v>203</v>
      </c>
      <c r="CI1" s="475" t="s">
        <v>204</v>
      </c>
      <c r="CJ1" s="475" t="s">
        <v>205</v>
      </c>
      <c r="CK1" s="475" t="s">
        <v>206</v>
      </c>
      <c r="CL1" s="475" t="s">
        <v>207</v>
      </c>
      <c r="CM1" s="475" t="s">
        <v>208</v>
      </c>
      <c r="CN1" s="475" t="s">
        <v>209</v>
      </c>
      <c r="CO1" s="475" t="s">
        <v>210</v>
      </c>
      <c r="CP1" s="475" t="s">
        <v>211</v>
      </c>
      <c r="CQ1" s="475" t="s">
        <v>212</v>
      </c>
      <c r="CR1" s="475" t="s">
        <v>213</v>
      </c>
      <c r="CS1" s="475" t="s">
        <v>214</v>
      </c>
      <c r="CT1" s="475" t="s">
        <v>215</v>
      </c>
      <c r="CU1" s="475" t="s">
        <v>216</v>
      </c>
      <c r="CV1" s="475" t="s">
        <v>217</v>
      </c>
      <c r="CW1" s="475" t="s">
        <v>218</v>
      </c>
      <c r="CX1" s="475" t="s">
        <v>219</v>
      </c>
      <c r="CY1" s="475" t="s">
        <v>220</v>
      </c>
      <c r="CZ1" s="475" t="s">
        <v>221</v>
      </c>
      <c r="DA1" s="475" t="s">
        <v>222</v>
      </c>
      <c r="DB1" s="475" t="s">
        <v>223</v>
      </c>
      <c r="DC1" s="475" t="s">
        <v>224</v>
      </c>
      <c r="DD1" s="475" t="s">
        <v>225</v>
      </c>
      <c r="DE1" s="475" t="s">
        <v>226</v>
      </c>
      <c r="DF1" s="475" t="s">
        <v>227</v>
      </c>
      <c r="DG1" s="475" t="s">
        <v>228</v>
      </c>
      <c r="DH1" s="475" t="s">
        <v>229</v>
      </c>
      <c r="DI1" s="475" t="s">
        <v>230</v>
      </c>
      <c r="DJ1" s="475" t="s">
        <v>231</v>
      </c>
      <c r="DK1" s="475" t="s">
        <v>232</v>
      </c>
      <c r="DL1" s="475" t="s">
        <v>233</v>
      </c>
      <c r="DM1" s="475" t="s">
        <v>234</v>
      </c>
      <c r="DN1" s="475" t="s">
        <v>235</v>
      </c>
      <c r="DO1" s="475" t="s">
        <v>236</v>
      </c>
      <c r="DP1" s="475" t="s">
        <v>237</v>
      </c>
      <c r="DQ1" s="475" t="s">
        <v>238</v>
      </c>
      <c r="DR1" s="475" t="s">
        <v>239</v>
      </c>
      <c r="DS1" s="475" t="s">
        <v>240</v>
      </c>
      <c r="DT1" s="475" t="s">
        <v>241</v>
      </c>
      <c r="DU1" s="475" t="s">
        <v>242</v>
      </c>
      <c r="DV1" s="475" t="s">
        <v>243</v>
      </c>
      <c r="DW1" s="475" t="s">
        <v>244</v>
      </c>
      <c r="DX1" s="475" t="s">
        <v>245</v>
      </c>
      <c r="DY1" s="475" t="s">
        <v>246</v>
      </c>
      <c r="DZ1" s="475" t="s">
        <v>247</v>
      </c>
      <c r="EA1" s="475" t="s">
        <v>248</v>
      </c>
      <c r="EB1" s="475" t="s">
        <v>249</v>
      </c>
      <c r="EC1" s="475" t="s">
        <v>250</v>
      </c>
      <c r="ED1" s="475" t="s">
        <v>251</v>
      </c>
      <c r="EE1" s="475" t="s">
        <v>252</v>
      </c>
      <c r="EF1" s="475" t="s">
        <v>253</v>
      </c>
      <c r="EG1" s="475" t="s">
        <v>254</v>
      </c>
      <c r="EH1" s="475" t="s">
        <v>255</v>
      </c>
      <c r="EI1" s="475" t="s">
        <v>256</v>
      </c>
      <c r="EJ1" s="475" t="s">
        <v>257</v>
      </c>
      <c r="EK1" s="475" t="s">
        <v>258</v>
      </c>
      <c r="EL1" s="475" t="s">
        <v>259</v>
      </c>
      <c r="EM1" s="475" t="s">
        <v>260</v>
      </c>
      <c r="EN1" s="475" t="s">
        <v>261</v>
      </c>
      <c r="EO1" s="475" t="s">
        <v>262</v>
      </c>
      <c r="EP1" s="475" t="s">
        <v>263</v>
      </c>
      <c r="EQ1" s="475" t="s">
        <v>264</v>
      </c>
      <c r="ER1" s="475" t="s">
        <v>265</v>
      </c>
      <c r="ES1" s="475" t="s">
        <v>266</v>
      </c>
      <c r="ET1" s="475" t="s">
        <v>267</v>
      </c>
      <c r="EU1" s="475" t="s">
        <v>268</v>
      </c>
      <c r="EV1" s="475" t="s">
        <v>269</v>
      </c>
      <c r="EW1" s="475" t="s">
        <v>270</v>
      </c>
      <c r="EX1" s="475" t="s">
        <v>271</v>
      </c>
      <c r="EY1" s="475" t="s">
        <v>272</v>
      </c>
      <c r="EZ1" s="475" t="s">
        <v>273</v>
      </c>
      <c r="FA1" s="475" t="s">
        <v>274</v>
      </c>
      <c r="FB1" s="475" t="s">
        <v>275</v>
      </c>
      <c r="FC1" s="475" t="s">
        <v>276</v>
      </c>
      <c r="FD1" s="475" t="s">
        <v>277</v>
      </c>
      <c r="FE1" s="475" t="s">
        <v>278</v>
      </c>
      <c r="FF1" s="475" t="s">
        <v>279</v>
      </c>
      <c r="FG1" s="475" t="s">
        <v>280</v>
      </c>
      <c r="FH1" s="475" t="s">
        <v>281</v>
      </c>
      <c r="FI1" s="475" t="s">
        <v>282</v>
      </c>
      <c r="FJ1" s="475" t="s">
        <v>283</v>
      </c>
      <c r="FK1" s="475" t="s">
        <v>284</v>
      </c>
      <c r="FL1" s="475" t="s">
        <v>285</v>
      </c>
      <c r="FM1" s="475" t="s">
        <v>286</v>
      </c>
      <c r="FN1" s="475" t="s">
        <v>287</v>
      </c>
      <c r="FO1" s="475" t="s">
        <v>288</v>
      </c>
      <c r="FP1" s="475" t="s">
        <v>289</v>
      </c>
      <c r="FQ1" s="475" t="s">
        <v>290</v>
      </c>
      <c r="FR1" s="475" t="s">
        <v>291</v>
      </c>
      <c r="FS1" s="475" t="s">
        <v>292</v>
      </c>
      <c r="FT1" s="475" t="s">
        <v>293</v>
      </c>
      <c r="FU1" s="475" t="s">
        <v>294</v>
      </c>
      <c r="FV1" s="475" t="s">
        <v>295</v>
      </c>
      <c r="FW1" s="475" t="s">
        <v>296</v>
      </c>
      <c r="FX1" s="475" t="s">
        <v>297</v>
      </c>
      <c r="FY1" s="475" t="s">
        <v>298</v>
      </c>
      <c r="FZ1" s="475" t="s">
        <v>299</v>
      </c>
      <c r="GA1" s="475" t="s">
        <v>300</v>
      </c>
      <c r="GB1" s="475" t="s">
        <v>301</v>
      </c>
      <c r="GC1" s="475" t="s">
        <v>302</v>
      </c>
      <c r="GD1" s="475" t="s">
        <v>303</v>
      </c>
      <c r="GE1" s="475" t="s">
        <v>304</v>
      </c>
      <c r="GF1" s="475" t="s">
        <v>305</v>
      </c>
      <c r="GG1" s="475" t="s">
        <v>306</v>
      </c>
      <c r="GH1" s="475" t="s">
        <v>307</v>
      </c>
      <c r="GI1" s="475" t="s">
        <v>308</v>
      </c>
      <c r="GJ1" s="475" t="s">
        <v>309</v>
      </c>
      <c r="GK1" s="475" t="s">
        <v>310</v>
      </c>
      <c r="GL1" s="475" t="s">
        <v>311</v>
      </c>
      <c r="GM1" s="475" t="s">
        <v>312</v>
      </c>
      <c r="GN1" s="475" t="s">
        <v>313</v>
      </c>
      <c r="GO1" s="475" t="s">
        <v>418</v>
      </c>
      <c r="GP1" s="475" t="s">
        <v>419</v>
      </c>
      <c r="GQ1" s="475" t="s">
        <v>420</v>
      </c>
      <c r="GR1" s="475" t="s">
        <v>421</v>
      </c>
      <c r="GS1" s="475" t="s">
        <v>422</v>
      </c>
      <c r="GT1" s="475" t="s">
        <v>423</v>
      </c>
      <c r="GU1" s="475" t="s">
        <v>426</v>
      </c>
      <c r="GV1" s="475" t="s">
        <v>427</v>
      </c>
      <c r="GW1" s="475" t="s">
        <v>428</v>
      </c>
      <c r="GX1" s="475" t="s">
        <v>429</v>
      </c>
      <c r="GY1" s="475" t="s">
        <v>430</v>
      </c>
      <c r="GZ1" s="475" t="s">
        <v>431</v>
      </c>
      <c r="HA1" s="475" t="s">
        <v>432</v>
      </c>
      <c r="HB1" s="475" t="s">
        <v>433</v>
      </c>
      <c r="HC1" s="475" t="s">
        <v>434</v>
      </c>
      <c r="HD1" s="475" t="s">
        <v>435</v>
      </c>
      <c r="HE1" s="475" t="s">
        <v>486</v>
      </c>
      <c r="HF1" s="475" t="s">
        <v>487</v>
      </c>
      <c r="HG1" s="475" t="s">
        <v>488</v>
      </c>
      <c r="HH1" s="475" t="s">
        <v>489</v>
      </c>
      <c r="HI1" s="475" t="s">
        <v>490</v>
      </c>
      <c r="HJ1" s="475" t="s">
        <v>491</v>
      </c>
      <c r="HK1" s="475" t="s">
        <v>492</v>
      </c>
      <c r="HL1" s="475" t="s">
        <v>493</v>
      </c>
      <c r="HM1" s="475" t="s">
        <v>494</v>
      </c>
      <c r="HN1" s="475" t="s">
        <v>495</v>
      </c>
      <c r="HO1" s="475" t="s">
        <v>496</v>
      </c>
      <c r="HP1" s="475" t="s">
        <v>497</v>
      </c>
      <c r="HQ1" s="475" t="s">
        <v>498</v>
      </c>
      <c r="HR1" s="475" t="s">
        <v>499</v>
      </c>
      <c r="HS1" s="475" t="s">
        <v>500</v>
      </c>
      <c r="HT1" s="475" t="s">
        <v>501</v>
      </c>
      <c r="HU1" s="475" t="s">
        <v>502</v>
      </c>
      <c r="HV1" s="475" t="s">
        <v>503</v>
      </c>
      <c r="HW1" s="475" t="s">
        <v>504</v>
      </c>
      <c r="HX1" s="475" t="s">
        <v>505</v>
      </c>
      <c r="HY1" s="475" t="s">
        <v>506</v>
      </c>
      <c r="HZ1" s="475" t="s">
        <v>507</v>
      </c>
      <c r="IA1" s="475" t="s">
        <v>508</v>
      </c>
      <c r="IB1" s="475" t="s">
        <v>509</v>
      </c>
      <c r="IC1" s="475" t="s">
        <v>510</v>
      </c>
      <c r="ID1" s="475" t="s">
        <v>511</v>
      </c>
      <c r="IE1" s="475" t="s">
        <v>512</v>
      </c>
      <c r="IF1" s="475" t="s">
        <v>513</v>
      </c>
      <c r="IG1" s="475" t="s">
        <v>514</v>
      </c>
      <c r="IH1" s="475" t="s">
        <v>515</v>
      </c>
      <c r="II1" s="475" t="s">
        <v>516</v>
      </c>
      <c r="IJ1" s="475" t="s">
        <v>517</v>
      </c>
      <c r="IK1" s="475" t="s">
        <v>518</v>
      </c>
      <c r="IL1" s="475" t="s">
        <v>519</v>
      </c>
      <c r="IM1" s="475" t="s">
        <v>520</v>
      </c>
      <c r="IN1" s="475" t="s">
        <v>521</v>
      </c>
      <c r="IO1" s="475" t="s">
        <v>522</v>
      </c>
      <c r="IP1" s="475" t="s">
        <v>523</v>
      </c>
      <c r="IQ1" s="475" t="s">
        <v>524</v>
      </c>
      <c r="IR1" s="475" t="s">
        <v>525</v>
      </c>
      <c r="IS1" s="475" t="s">
        <v>526</v>
      </c>
      <c r="IT1" s="475" t="s">
        <v>527</v>
      </c>
      <c r="IU1" s="475" t="s">
        <v>528</v>
      </c>
      <c r="IV1" s="475" t="s">
        <v>529</v>
      </c>
      <c r="IW1" s="475" t="s">
        <v>530</v>
      </c>
      <c r="IX1" s="475" t="s">
        <v>531</v>
      </c>
      <c r="IY1" s="475" t="s">
        <v>532</v>
      </c>
      <c r="IZ1" s="475" t="s">
        <v>533</v>
      </c>
      <c r="JA1" s="475" t="s">
        <v>534</v>
      </c>
      <c r="JB1" s="475" t="s">
        <v>658</v>
      </c>
      <c r="JC1" s="475" t="s">
        <v>659</v>
      </c>
      <c r="JD1" s="475" t="s">
        <v>660</v>
      </c>
      <c r="JE1" s="475" t="s">
        <v>661</v>
      </c>
      <c r="JF1" s="475" t="s">
        <v>662</v>
      </c>
      <c r="JG1" s="475" t="s">
        <v>663</v>
      </c>
      <c r="JH1" s="475" t="s">
        <v>664</v>
      </c>
      <c r="JI1" s="475" t="s">
        <v>665</v>
      </c>
      <c r="JJ1" s="475" t="s">
        <v>666</v>
      </c>
      <c r="JK1" s="475" t="s">
        <v>667</v>
      </c>
      <c r="JL1" s="475" t="s">
        <v>668</v>
      </c>
      <c r="JM1" s="475" t="s">
        <v>669</v>
      </c>
      <c r="JN1" s="475" t="s">
        <v>692</v>
      </c>
      <c r="JO1" s="475" t="s">
        <v>728</v>
      </c>
      <c r="JP1" s="475" t="s">
        <v>729</v>
      </c>
      <c r="JQ1" s="475" t="s">
        <v>730</v>
      </c>
      <c r="JR1" s="475" t="s">
        <v>731</v>
      </c>
      <c r="JS1" s="475" t="s">
        <v>732</v>
      </c>
      <c r="JT1" s="475" t="s">
        <v>733</v>
      </c>
      <c r="JU1" s="475" t="s">
        <v>734</v>
      </c>
      <c r="JV1" s="475" t="s">
        <v>735</v>
      </c>
      <c r="JW1" s="475" t="s">
        <v>736</v>
      </c>
      <c r="JX1" s="475" t="s">
        <v>737</v>
      </c>
      <c r="JY1" s="475" t="s">
        <v>738</v>
      </c>
      <c r="JZ1" s="475" t="s">
        <v>739</v>
      </c>
      <c r="KA1" s="475" t="s">
        <v>740</v>
      </c>
      <c r="KB1" s="475" t="s">
        <v>741</v>
      </c>
      <c r="KC1" s="475" t="s">
        <v>742</v>
      </c>
      <c r="KD1" s="475" t="s">
        <v>776</v>
      </c>
      <c r="KE1" s="475" t="s">
        <v>777</v>
      </c>
      <c r="KF1" s="475" t="s">
        <v>778</v>
      </c>
      <c r="KG1" s="475" t="s">
        <v>779</v>
      </c>
      <c r="KH1" s="475" t="s">
        <v>780</v>
      </c>
      <c r="KI1" s="475" t="s">
        <v>781</v>
      </c>
      <c r="KJ1" s="475" t="s">
        <v>813</v>
      </c>
      <c r="KK1" s="475" t="s">
        <v>814</v>
      </c>
      <c r="KL1" s="475" t="s">
        <v>815</v>
      </c>
      <c r="KM1" s="475" t="s">
        <v>816</v>
      </c>
      <c r="KN1" s="475" t="s">
        <v>1062</v>
      </c>
    </row>
    <row r="2" spans="1:300" ht="14.5" x14ac:dyDescent="0.35">
      <c r="A2" s="475"/>
      <c r="B2" s="475">
        <v>1</v>
      </c>
      <c r="C2" s="475">
        <v>2</v>
      </c>
      <c r="D2" s="475">
        <v>3</v>
      </c>
      <c r="E2" s="475">
        <v>4</v>
      </c>
      <c r="F2" s="475">
        <v>5</v>
      </c>
      <c r="G2" s="475">
        <v>6</v>
      </c>
      <c r="H2" s="475">
        <v>7</v>
      </c>
      <c r="I2" s="475">
        <v>8</v>
      </c>
      <c r="J2" s="475">
        <v>9</v>
      </c>
      <c r="K2" s="475">
        <v>10</v>
      </c>
      <c r="L2" s="475">
        <v>11</v>
      </c>
      <c r="M2" s="475">
        <v>12</v>
      </c>
      <c r="N2" s="475">
        <v>13</v>
      </c>
      <c r="O2" s="475">
        <v>14</v>
      </c>
      <c r="P2" s="475">
        <v>15</v>
      </c>
      <c r="Q2" s="475">
        <v>16</v>
      </c>
      <c r="R2" s="475">
        <v>17</v>
      </c>
      <c r="S2" s="475">
        <v>18</v>
      </c>
      <c r="T2" s="475">
        <v>19</v>
      </c>
      <c r="U2" s="475">
        <v>20</v>
      </c>
      <c r="V2" s="475">
        <v>21</v>
      </c>
      <c r="W2" s="475">
        <v>22</v>
      </c>
      <c r="X2" s="475">
        <v>23</v>
      </c>
      <c r="Y2" s="475">
        <v>24</v>
      </c>
      <c r="Z2" s="475">
        <v>25</v>
      </c>
      <c r="AA2" s="475">
        <v>26</v>
      </c>
      <c r="AB2" s="475">
        <v>27</v>
      </c>
      <c r="AC2" s="475">
        <v>28</v>
      </c>
      <c r="AD2" s="475">
        <v>29</v>
      </c>
      <c r="AE2" s="475">
        <v>30</v>
      </c>
      <c r="AF2" s="475">
        <v>31</v>
      </c>
      <c r="AG2" s="475">
        <v>32</v>
      </c>
      <c r="AH2" s="475">
        <v>33</v>
      </c>
      <c r="AI2" s="475">
        <v>34</v>
      </c>
      <c r="AJ2" s="475">
        <v>35</v>
      </c>
      <c r="AK2" s="475">
        <v>36</v>
      </c>
      <c r="AL2" s="475">
        <v>37</v>
      </c>
      <c r="AM2" s="475">
        <v>38</v>
      </c>
      <c r="AN2" s="475">
        <v>39</v>
      </c>
      <c r="AO2" s="475">
        <v>40</v>
      </c>
      <c r="AP2" s="475">
        <v>41</v>
      </c>
      <c r="AQ2" s="475">
        <v>42</v>
      </c>
      <c r="AR2" s="475">
        <v>43</v>
      </c>
      <c r="AS2" s="475">
        <v>44</v>
      </c>
      <c r="AT2" s="475">
        <v>45</v>
      </c>
      <c r="AU2" s="475">
        <v>46</v>
      </c>
      <c r="AV2" s="475">
        <v>47</v>
      </c>
      <c r="AW2" s="475">
        <v>48</v>
      </c>
      <c r="AX2" s="475">
        <v>49</v>
      </c>
      <c r="AY2" s="475">
        <v>50</v>
      </c>
      <c r="AZ2" s="475">
        <v>51</v>
      </c>
      <c r="BA2" s="475">
        <v>52</v>
      </c>
      <c r="BB2" s="475">
        <v>53</v>
      </c>
      <c r="BC2" s="475">
        <v>54</v>
      </c>
      <c r="BD2" s="475">
        <v>55</v>
      </c>
      <c r="BE2" s="475">
        <v>56</v>
      </c>
      <c r="BF2" s="475">
        <v>57</v>
      </c>
      <c r="BG2" s="475">
        <v>58</v>
      </c>
      <c r="BH2" s="475">
        <v>59</v>
      </c>
      <c r="BI2" s="475">
        <v>60</v>
      </c>
      <c r="BJ2" s="475">
        <v>61</v>
      </c>
      <c r="BK2" s="475">
        <v>62</v>
      </c>
      <c r="BL2" s="475">
        <v>63</v>
      </c>
      <c r="BM2" s="475">
        <v>64</v>
      </c>
      <c r="BN2" s="475">
        <v>65</v>
      </c>
      <c r="BO2" s="475">
        <v>66</v>
      </c>
      <c r="BP2" s="475">
        <v>67</v>
      </c>
      <c r="BQ2" s="475">
        <v>68</v>
      </c>
      <c r="BR2" s="475">
        <v>69</v>
      </c>
      <c r="BS2" s="475">
        <v>70</v>
      </c>
      <c r="BT2" s="475">
        <v>71</v>
      </c>
      <c r="BU2" s="475">
        <v>72</v>
      </c>
      <c r="BV2" s="475">
        <v>73</v>
      </c>
      <c r="BW2" s="475">
        <v>74</v>
      </c>
      <c r="BX2" s="475">
        <v>75</v>
      </c>
      <c r="BY2" s="475">
        <v>76</v>
      </c>
      <c r="BZ2" s="475">
        <v>77</v>
      </c>
      <c r="CA2" s="475">
        <v>78</v>
      </c>
      <c r="CB2" s="475">
        <v>79</v>
      </c>
      <c r="CC2" s="475">
        <v>80</v>
      </c>
      <c r="CD2" s="475">
        <v>81</v>
      </c>
      <c r="CE2" s="475">
        <v>82</v>
      </c>
      <c r="CF2" s="475">
        <v>83</v>
      </c>
      <c r="CG2" s="475">
        <v>84</v>
      </c>
      <c r="CH2" s="475">
        <v>85</v>
      </c>
      <c r="CI2" s="475">
        <v>86</v>
      </c>
      <c r="CJ2" s="475">
        <v>87</v>
      </c>
      <c r="CK2" s="475">
        <v>88</v>
      </c>
      <c r="CL2" s="475">
        <v>89</v>
      </c>
      <c r="CM2" s="475">
        <v>90</v>
      </c>
      <c r="CN2" s="475">
        <v>91</v>
      </c>
      <c r="CO2" s="475">
        <v>92</v>
      </c>
      <c r="CP2" s="475">
        <v>93</v>
      </c>
      <c r="CQ2" s="475">
        <v>94</v>
      </c>
      <c r="CR2" s="475">
        <v>95</v>
      </c>
      <c r="CS2" s="475">
        <v>96</v>
      </c>
      <c r="CT2" s="475">
        <v>97</v>
      </c>
      <c r="CU2" s="475">
        <v>98</v>
      </c>
      <c r="CV2" s="475">
        <v>99</v>
      </c>
      <c r="CW2" s="475">
        <v>100</v>
      </c>
      <c r="CX2" s="475">
        <v>101</v>
      </c>
      <c r="CY2" s="475">
        <v>102</v>
      </c>
      <c r="CZ2" s="475">
        <v>103</v>
      </c>
      <c r="DA2" s="475">
        <v>104</v>
      </c>
      <c r="DB2" s="475">
        <v>105</v>
      </c>
      <c r="DC2" s="475">
        <v>106</v>
      </c>
      <c r="DD2" s="475">
        <v>107</v>
      </c>
      <c r="DE2" s="475">
        <v>108</v>
      </c>
      <c r="DF2" s="475">
        <v>109</v>
      </c>
      <c r="DG2" s="475">
        <v>110</v>
      </c>
      <c r="DH2" s="475">
        <v>111</v>
      </c>
      <c r="DI2" s="475">
        <v>112</v>
      </c>
      <c r="DJ2" s="475">
        <v>113</v>
      </c>
      <c r="DK2" s="475">
        <v>114</v>
      </c>
      <c r="DL2" s="475">
        <v>115</v>
      </c>
      <c r="DM2" s="475">
        <v>116</v>
      </c>
      <c r="DN2" s="475">
        <v>117</v>
      </c>
      <c r="DO2" s="475">
        <v>118</v>
      </c>
      <c r="DP2" s="475">
        <v>119</v>
      </c>
      <c r="DQ2" s="475">
        <v>120</v>
      </c>
      <c r="DR2" s="475">
        <v>121</v>
      </c>
      <c r="DS2" s="475">
        <v>122</v>
      </c>
      <c r="DT2" s="475">
        <v>123</v>
      </c>
      <c r="DU2" s="475">
        <v>124</v>
      </c>
      <c r="DV2" s="475">
        <v>125</v>
      </c>
      <c r="DW2" s="475">
        <v>126</v>
      </c>
      <c r="DX2" s="475">
        <v>127</v>
      </c>
      <c r="DY2" s="475">
        <v>128</v>
      </c>
      <c r="DZ2" s="475">
        <v>129</v>
      </c>
      <c r="EA2" s="475">
        <v>130</v>
      </c>
      <c r="EB2" s="475">
        <v>131</v>
      </c>
      <c r="EC2" s="475">
        <v>132</v>
      </c>
      <c r="ED2" s="475">
        <v>133</v>
      </c>
      <c r="EE2" s="475">
        <v>134</v>
      </c>
      <c r="EF2" s="475">
        <v>135</v>
      </c>
      <c r="EG2" s="475">
        <v>136</v>
      </c>
      <c r="EH2" s="475">
        <v>137</v>
      </c>
      <c r="EI2" s="475">
        <v>138</v>
      </c>
      <c r="EJ2" s="475">
        <v>139</v>
      </c>
      <c r="EK2" s="475">
        <v>140</v>
      </c>
      <c r="EL2" s="475">
        <v>141</v>
      </c>
      <c r="EM2" s="475">
        <v>142</v>
      </c>
      <c r="EN2" s="475">
        <v>143</v>
      </c>
      <c r="EO2" s="475">
        <v>144</v>
      </c>
      <c r="EP2" s="475">
        <v>145</v>
      </c>
      <c r="EQ2" s="475">
        <v>146</v>
      </c>
      <c r="ER2" s="475">
        <v>147</v>
      </c>
      <c r="ES2" s="475">
        <v>148</v>
      </c>
      <c r="ET2" s="475">
        <v>149</v>
      </c>
      <c r="EU2" s="475">
        <v>150</v>
      </c>
      <c r="EV2" s="475">
        <v>151</v>
      </c>
      <c r="EW2" s="475">
        <v>152</v>
      </c>
      <c r="EX2" s="475">
        <v>153</v>
      </c>
      <c r="EY2" s="475">
        <v>154</v>
      </c>
      <c r="EZ2" s="475">
        <v>155</v>
      </c>
      <c r="FA2" s="475">
        <v>156</v>
      </c>
      <c r="FB2" s="475">
        <v>157</v>
      </c>
      <c r="FC2" s="475">
        <v>158</v>
      </c>
      <c r="FD2" s="475">
        <v>159</v>
      </c>
      <c r="FE2" s="475">
        <v>160</v>
      </c>
      <c r="FF2" s="475">
        <v>161</v>
      </c>
      <c r="FG2" s="475">
        <v>162</v>
      </c>
      <c r="FH2" s="475">
        <v>163</v>
      </c>
      <c r="FI2" s="475">
        <v>164</v>
      </c>
      <c r="FJ2" s="475">
        <v>165</v>
      </c>
      <c r="FK2" s="475">
        <v>166</v>
      </c>
      <c r="FL2" s="475">
        <v>167</v>
      </c>
      <c r="FM2" s="475">
        <v>168</v>
      </c>
      <c r="FN2" s="475">
        <v>169</v>
      </c>
      <c r="FO2" s="475">
        <v>170</v>
      </c>
      <c r="FP2" s="475">
        <v>171</v>
      </c>
      <c r="FQ2" s="475">
        <v>172</v>
      </c>
      <c r="FR2" s="475">
        <v>173</v>
      </c>
      <c r="FS2" s="475">
        <v>174</v>
      </c>
      <c r="FT2" s="475">
        <v>175</v>
      </c>
      <c r="FU2" s="475">
        <v>176</v>
      </c>
      <c r="FV2" s="475">
        <v>177</v>
      </c>
      <c r="FW2" s="475">
        <v>178</v>
      </c>
      <c r="FX2" s="475">
        <v>179</v>
      </c>
      <c r="FY2" s="475">
        <v>180</v>
      </c>
      <c r="FZ2" s="475">
        <v>181</v>
      </c>
      <c r="GA2" s="475">
        <v>182</v>
      </c>
      <c r="GB2" s="475">
        <v>183</v>
      </c>
      <c r="GC2" s="475">
        <v>184</v>
      </c>
      <c r="GD2" s="475">
        <v>185</v>
      </c>
      <c r="GE2" s="475">
        <v>186</v>
      </c>
      <c r="GF2" s="475">
        <v>187</v>
      </c>
      <c r="GG2" s="475">
        <v>188</v>
      </c>
      <c r="GH2" s="475">
        <v>189</v>
      </c>
      <c r="GI2" s="475">
        <v>190</v>
      </c>
      <c r="GJ2" s="475">
        <v>191</v>
      </c>
      <c r="GK2" s="475">
        <v>192</v>
      </c>
      <c r="GL2" s="475">
        <v>193</v>
      </c>
      <c r="GM2" s="475">
        <v>194</v>
      </c>
      <c r="GN2" s="475">
        <v>195</v>
      </c>
      <c r="GO2" s="475">
        <v>196</v>
      </c>
      <c r="GP2" s="475">
        <v>197</v>
      </c>
      <c r="GQ2" s="475">
        <v>198</v>
      </c>
      <c r="GR2" s="475">
        <v>199</v>
      </c>
      <c r="GS2" s="475">
        <v>200</v>
      </c>
      <c r="GT2" s="475">
        <v>201</v>
      </c>
      <c r="GU2" s="475">
        <v>202</v>
      </c>
      <c r="GV2" s="475">
        <v>203</v>
      </c>
      <c r="GW2" s="475">
        <v>204</v>
      </c>
      <c r="GX2" s="475">
        <v>205</v>
      </c>
      <c r="GY2" s="475">
        <v>206</v>
      </c>
      <c r="GZ2" s="475">
        <v>207</v>
      </c>
      <c r="HA2" s="475">
        <v>208</v>
      </c>
      <c r="HB2" s="475">
        <v>209</v>
      </c>
      <c r="HC2" s="475">
        <v>210</v>
      </c>
      <c r="HD2" s="475">
        <v>211</v>
      </c>
      <c r="HE2" s="475">
        <v>212</v>
      </c>
      <c r="HF2" s="475">
        <v>213</v>
      </c>
      <c r="HG2" s="475">
        <v>214</v>
      </c>
      <c r="HH2" s="475">
        <v>215</v>
      </c>
      <c r="HI2" s="475">
        <v>216</v>
      </c>
      <c r="HJ2" s="475">
        <v>217</v>
      </c>
      <c r="HK2" s="475">
        <v>218</v>
      </c>
      <c r="HL2" s="475">
        <v>219</v>
      </c>
      <c r="HM2" s="475">
        <v>220</v>
      </c>
      <c r="HN2" s="475">
        <v>221</v>
      </c>
      <c r="HO2" s="475">
        <v>222</v>
      </c>
      <c r="HP2" s="475">
        <v>223</v>
      </c>
      <c r="HQ2" s="475">
        <v>224</v>
      </c>
      <c r="HR2" s="475">
        <v>225</v>
      </c>
      <c r="HS2" s="475">
        <v>226</v>
      </c>
      <c r="HT2" s="475">
        <v>227</v>
      </c>
      <c r="HU2" s="475">
        <v>228</v>
      </c>
      <c r="HV2" s="475">
        <v>229</v>
      </c>
      <c r="HW2" s="475">
        <v>230</v>
      </c>
      <c r="HX2" s="475">
        <v>231</v>
      </c>
      <c r="HY2" s="475">
        <v>232</v>
      </c>
      <c r="HZ2" s="475">
        <v>233</v>
      </c>
      <c r="IA2" s="475">
        <v>234</v>
      </c>
      <c r="IB2" s="475">
        <v>235</v>
      </c>
      <c r="IC2" s="475">
        <v>236</v>
      </c>
      <c r="ID2" s="475">
        <v>237</v>
      </c>
      <c r="IE2" s="475">
        <v>238</v>
      </c>
      <c r="IF2" s="475">
        <v>239</v>
      </c>
      <c r="IG2" s="475">
        <v>240</v>
      </c>
      <c r="IH2" s="475">
        <v>241</v>
      </c>
      <c r="II2" s="475">
        <v>242</v>
      </c>
      <c r="IJ2" s="475">
        <v>243</v>
      </c>
      <c r="IK2" s="475">
        <v>244</v>
      </c>
      <c r="IL2" s="475">
        <v>245</v>
      </c>
      <c r="IM2" s="475">
        <v>246</v>
      </c>
      <c r="IN2" s="475">
        <v>247</v>
      </c>
      <c r="IO2" s="475">
        <v>248</v>
      </c>
      <c r="IP2" s="475">
        <v>249</v>
      </c>
      <c r="IQ2" s="475">
        <v>250</v>
      </c>
      <c r="IR2" s="475">
        <v>251</v>
      </c>
      <c r="IS2" s="475">
        <v>252</v>
      </c>
      <c r="IT2" s="475">
        <v>253</v>
      </c>
      <c r="IU2" s="475">
        <v>254</v>
      </c>
      <c r="IV2" s="475">
        <v>255</v>
      </c>
      <c r="IW2" s="475">
        <v>256</v>
      </c>
      <c r="IX2" s="475">
        <v>257</v>
      </c>
      <c r="IY2" s="475">
        <v>258</v>
      </c>
      <c r="IZ2" s="475">
        <v>259</v>
      </c>
      <c r="JA2" s="475">
        <v>260</v>
      </c>
      <c r="JB2" s="475">
        <v>261</v>
      </c>
      <c r="JC2" s="475">
        <v>262</v>
      </c>
      <c r="JD2" s="475">
        <v>263</v>
      </c>
      <c r="JE2" s="475">
        <v>264</v>
      </c>
      <c r="JF2" s="475">
        <v>265</v>
      </c>
      <c r="JG2" s="475">
        <v>266</v>
      </c>
      <c r="JH2" s="475">
        <v>267</v>
      </c>
      <c r="JI2" s="475">
        <v>268</v>
      </c>
      <c r="JJ2" s="475">
        <v>269</v>
      </c>
      <c r="JK2" s="475">
        <v>270</v>
      </c>
      <c r="JL2" s="475">
        <v>271</v>
      </c>
      <c r="JM2" s="475">
        <v>272</v>
      </c>
      <c r="JN2" s="475">
        <v>273</v>
      </c>
      <c r="JO2" s="475">
        <v>274</v>
      </c>
      <c r="JP2" s="475">
        <v>275</v>
      </c>
      <c r="JQ2" s="475">
        <v>276</v>
      </c>
      <c r="JR2" s="475">
        <v>277</v>
      </c>
      <c r="JS2" s="475">
        <v>278</v>
      </c>
      <c r="JT2" s="475">
        <v>279</v>
      </c>
      <c r="JU2" s="475">
        <v>280</v>
      </c>
      <c r="JV2" s="475">
        <v>281</v>
      </c>
      <c r="JW2" s="475">
        <v>282</v>
      </c>
      <c r="JX2" s="475">
        <v>283</v>
      </c>
      <c r="JY2" s="475">
        <v>284</v>
      </c>
      <c r="JZ2" s="475">
        <v>285</v>
      </c>
      <c r="KA2" s="475">
        <v>286</v>
      </c>
      <c r="KB2" s="475">
        <v>287</v>
      </c>
      <c r="KC2" s="475">
        <v>288</v>
      </c>
      <c r="KD2" s="475">
        <v>289</v>
      </c>
      <c r="KE2" s="475">
        <v>290</v>
      </c>
      <c r="KF2" s="475">
        <v>291</v>
      </c>
      <c r="KG2" s="475">
        <v>292</v>
      </c>
      <c r="KH2" s="475">
        <v>293</v>
      </c>
      <c r="KI2" s="475">
        <v>294</v>
      </c>
      <c r="KJ2" s="475">
        <v>295</v>
      </c>
      <c r="KK2" s="475">
        <v>296</v>
      </c>
      <c r="KL2" s="475">
        <v>297</v>
      </c>
      <c r="KM2" s="475">
        <v>298</v>
      </c>
      <c r="KN2" s="475">
        <v>299</v>
      </c>
    </row>
    <row r="3" spans="1:300" s="475" customFormat="1" ht="14.5" x14ac:dyDescent="0.35">
      <c r="A3" s="476"/>
      <c r="B3" s="476">
        <v>0</v>
      </c>
      <c r="C3" s="476">
        <v>0</v>
      </c>
      <c r="D3" s="476">
        <v>0</v>
      </c>
      <c r="E3" s="476">
        <v>6160</v>
      </c>
      <c r="F3" s="476">
        <v>0</v>
      </c>
      <c r="G3" s="476">
        <v>0</v>
      </c>
      <c r="H3" s="476">
        <v>0</v>
      </c>
      <c r="I3" s="476">
        <v>0</v>
      </c>
      <c r="J3" s="476">
        <v>0</v>
      </c>
      <c r="K3" s="476">
        <v>0</v>
      </c>
      <c r="L3" s="476">
        <v>0</v>
      </c>
      <c r="M3" s="476">
        <v>0</v>
      </c>
      <c r="N3" s="476">
        <v>0</v>
      </c>
      <c r="O3" s="476">
        <v>0</v>
      </c>
      <c r="P3" s="476">
        <v>0</v>
      </c>
      <c r="Q3" s="476">
        <v>0</v>
      </c>
      <c r="R3" s="476">
        <v>0</v>
      </c>
      <c r="S3" s="476">
        <v>414.88400000000001</v>
      </c>
      <c r="T3" s="476">
        <v>0</v>
      </c>
      <c r="U3" s="476">
        <v>0</v>
      </c>
      <c r="V3" s="476">
        <v>0</v>
      </c>
      <c r="W3" s="476">
        <v>0</v>
      </c>
      <c r="X3" s="476">
        <v>0</v>
      </c>
      <c r="Y3" s="476">
        <v>0</v>
      </c>
      <c r="Z3" s="476">
        <v>0</v>
      </c>
      <c r="AA3" s="476">
        <v>0</v>
      </c>
      <c r="AB3" s="476">
        <v>0</v>
      </c>
      <c r="AC3" s="476">
        <v>0</v>
      </c>
      <c r="AD3" s="476">
        <v>0</v>
      </c>
      <c r="AE3" s="476">
        <v>0</v>
      </c>
      <c r="AF3" s="476">
        <v>0</v>
      </c>
      <c r="AG3" s="476">
        <v>0</v>
      </c>
      <c r="AH3" s="476">
        <v>0</v>
      </c>
      <c r="AI3" s="476">
        <v>0</v>
      </c>
      <c r="AJ3" s="476">
        <v>6160</v>
      </c>
      <c r="AK3" s="476">
        <v>0</v>
      </c>
      <c r="AL3" s="476" t="s">
        <v>1057</v>
      </c>
      <c r="AM3" s="476">
        <v>0</v>
      </c>
      <c r="AN3" s="476">
        <v>0</v>
      </c>
      <c r="AO3" s="476">
        <v>0</v>
      </c>
      <c r="AP3" s="476">
        <v>0</v>
      </c>
      <c r="AQ3" s="476">
        <v>0</v>
      </c>
      <c r="AR3" s="476">
        <v>0</v>
      </c>
      <c r="AS3" s="476">
        <v>0</v>
      </c>
      <c r="AT3" s="476">
        <v>0</v>
      </c>
      <c r="AU3" s="476">
        <v>0</v>
      </c>
      <c r="AV3" s="476">
        <v>0</v>
      </c>
      <c r="AW3" s="476">
        <v>0</v>
      </c>
      <c r="AX3" s="476">
        <v>0</v>
      </c>
      <c r="AY3" s="476">
        <v>0</v>
      </c>
      <c r="AZ3" s="476">
        <v>0</v>
      </c>
      <c r="BA3" s="476">
        <v>0</v>
      </c>
      <c r="BB3" s="476">
        <v>0</v>
      </c>
      <c r="BC3" s="476">
        <v>0</v>
      </c>
      <c r="BD3" s="476">
        <v>0</v>
      </c>
      <c r="BE3" s="476">
        <v>0</v>
      </c>
      <c r="BF3" s="476">
        <v>0</v>
      </c>
      <c r="BG3" s="476">
        <v>0</v>
      </c>
      <c r="BH3" s="476">
        <v>0</v>
      </c>
      <c r="BI3" s="476">
        <v>0</v>
      </c>
      <c r="BJ3" s="476">
        <v>0</v>
      </c>
      <c r="BK3" s="476">
        <v>0</v>
      </c>
      <c r="BL3" s="476">
        <v>0</v>
      </c>
      <c r="BM3" s="476">
        <v>0</v>
      </c>
      <c r="BN3" s="476">
        <v>0</v>
      </c>
      <c r="BO3" s="476">
        <v>0</v>
      </c>
      <c r="BP3" s="476">
        <v>0</v>
      </c>
      <c r="BQ3" s="476">
        <v>0</v>
      </c>
      <c r="BR3" s="476">
        <v>0</v>
      </c>
      <c r="BS3" s="476">
        <v>0</v>
      </c>
      <c r="BT3" s="476">
        <v>0</v>
      </c>
      <c r="BU3" s="476">
        <v>0</v>
      </c>
      <c r="BV3" s="476">
        <v>0</v>
      </c>
      <c r="BW3" s="476">
        <v>0</v>
      </c>
      <c r="BX3" s="476">
        <v>0</v>
      </c>
      <c r="BY3" s="476">
        <v>0</v>
      </c>
      <c r="BZ3" s="476">
        <v>0</v>
      </c>
      <c r="CA3" s="476">
        <v>0</v>
      </c>
      <c r="CB3" s="476">
        <v>0</v>
      </c>
      <c r="CC3" s="476">
        <v>0</v>
      </c>
      <c r="CD3" s="476">
        <v>0</v>
      </c>
      <c r="CE3" s="476">
        <v>0</v>
      </c>
      <c r="CF3" s="476">
        <v>0</v>
      </c>
      <c r="CG3" s="476">
        <v>0</v>
      </c>
      <c r="CH3" s="476">
        <v>0</v>
      </c>
      <c r="CI3" s="476">
        <v>0</v>
      </c>
      <c r="CJ3" s="476">
        <v>0</v>
      </c>
      <c r="CK3" s="476">
        <v>0</v>
      </c>
      <c r="CL3" s="476">
        <v>0</v>
      </c>
      <c r="CM3" s="476">
        <v>0</v>
      </c>
      <c r="CN3" s="476">
        <v>0</v>
      </c>
      <c r="CO3" s="476">
        <v>0</v>
      </c>
      <c r="CP3" s="476">
        <v>0</v>
      </c>
      <c r="CQ3" s="476">
        <v>0</v>
      </c>
      <c r="CR3" s="476">
        <v>0</v>
      </c>
      <c r="CS3" s="476">
        <v>0</v>
      </c>
      <c r="CT3" s="476">
        <v>0</v>
      </c>
      <c r="CU3" s="476">
        <v>0</v>
      </c>
      <c r="CV3" s="476">
        <v>0</v>
      </c>
      <c r="CW3" s="476">
        <v>0</v>
      </c>
      <c r="CX3" s="476">
        <v>0</v>
      </c>
      <c r="CY3" s="476">
        <v>0</v>
      </c>
      <c r="CZ3" s="476">
        <v>0</v>
      </c>
      <c r="DA3" s="476">
        <v>0</v>
      </c>
      <c r="DB3" s="476">
        <v>0</v>
      </c>
      <c r="DC3" s="476">
        <v>0</v>
      </c>
      <c r="DD3" s="476">
        <v>0</v>
      </c>
      <c r="DE3" s="476">
        <v>0</v>
      </c>
      <c r="DF3" s="476">
        <v>0</v>
      </c>
      <c r="DG3" s="476">
        <v>0</v>
      </c>
      <c r="DH3" s="476">
        <v>0</v>
      </c>
      <c r="DI3" s="476">
        <v>0</v>
      </c>
      <c r="DJ3" s="476">
        <v>0</v>
      </c>
      <c r="DK3" s="476">
        <v>0</v>
      </c>
      <c r="DL3" s="476">
        <v>0</v>
      </c>
      <c r="DM3" s="476">
        <v>0</v>
      </c>
      <c r="DN3" s="476">
        <v>0</v>
      </c>
      <c r="DO3" s="476">
        <v>0</v>
      </c>
      <c r="DP3" s="476">
        <v>0</v>
      </c>
      <c r="DQ3" s="476">
        <v>0</v>
      </c>
      <c r="DR3" s="476">
        <v>0</v>
      </c>
      <c r="DS3" s="476">
        <v>0</v>
      </c>
      <c r="DT3" s="476">
        <v>0</v>
      </c>
      <c r="DU3" s="476">
        <v>0</v>
      </c>
      <c r="DV3" s="476">
        <v>0</v>
      </c>
      <c r="DW3" s="476">
        <v>0</v>
      </c>
      <c r="DX3" s="476">
        <v>0</v>
      </c>
      <c r="DY3" s="476">
        <v>0</v>
      </c>
      <c r="DZ3" s="476">
        <v>0</v>
      </c>
      <c r="EA3" s="476">
        <v>0</v>
      </c>
      <c r="EB3" s="476">
        <v>0</v>
      </c>
      <c r="EC3" s="476">
        <v>0</v>
      </c>
      <c r="ED3" s="476">
        <v>0</v>
      </c>
      <c r="EE3" s="476">
        <v>0</v>
      </c>
      <c r="EF3" s="476">
        <v>0</v>
      </c>
      <c r="EG3" s="476">
        <v>0</v>
      </c>
      <c r="EH3" s="476">
        <v>0</v>
      </c>
      <c r="EI3" s="476">
        <v>0</v>
      </c>
      <c r="EJ3" s="476">
        <v>0</v>
      </c>
      <c r="EK3" s="476">
        <v>0</v>
      </c>
      <c r="EL3" s="476">
        <v>0</v>
      </c>
      <c r="EM3" s="476">
        <v>0</v>
      </c>
      <c r="EN3" s="476">
        <v>0</v>
      </c>
      <c r="EO3" s="476">
        <v>0</v>
      </c>
      <c r="EP3" s="476">
        <v>0</v>
      </c>
      <c r="EQ3" s="476">
        <v>0</v>
      </c>
      <c r="ER3" s="476">
        <v>0</v>
      </c>
      <c r="ES3" s="476">
        <v>0</v>
      </c>
      <c r="ET3" s="476">
        <v>0</v>
      </c>
      <c r="EU3" s="476">
        <v>0</v>
      </c>
      <c r="EV3" s="476">
        <v>0</v>
      </c>
      <c r="EW3" s="476">
        <v>0</v>
      </c>
      <c r="EX3" s="476">
        <v>0</v>
      </c>
      <c r="EY3" s="476">
        <v>0</v>
      </c>
      <c r="EZ3" s="476">
        <v>0</v>
      </c>
      <c r="FA3" s="476">
        <v>0</v>
      </c>
      <c r="FB3" s="476">
        <v>0</v>
      </c>
      <c r="FC3" s="476">
        <v>0</v>
      </c>
      <c r="FD3" s="476">
        <v>0</v>
      </c>
      <c r="FE3" s="476">
        <v>0</v>
      </c>
      <c r="FF3" s="476">
        <v>0</v>
      </c>
      <c r="FG3" s="476">
        <v>6.3017999999999991E-2</v>
      </c>
      <c r="FH3" s="476">
        <v>2.6953999999999999E-2</v>
      </c>
      <c r="FI3" s="476">
        <v>0</v>
      </c>
      <c r="FJ3" s="476">
        <v>0</v>
      </c>
      <c r="FK3" s="476">
        <v>0</v>
      </c>
      <c r="FL3" s="476">
        <v>0</v>
      </c>
      <c r="FM3" s="476">
        <v>0</v>
      </c>
      <c r="FN3" s="476">
        <v>0</v>
      </c>
      <c r="FO3" s="476">
        <v>0</v>
      </c>
      <c r="FP3" s="476">
        <v>0</v>
      </c>
      <c r="FQ3" s="476">
        <v>0</v>
      </c>
      <c r="FR3" s="476">
        <v>0</v>
      </c>
      <c r="FS3" s="476">
        <v>0</v>
      </c>
      <c r="FT3" s="476">
        <v>0</v>
      </c>
      <c r="FU3" s="476">
        <v>0</v>
      </c>
      <c r="FV3" s="476">
        <v>0</v>
      </c>
      <c r="FW3" s="476">
        <v>0</v>
      </c>
      <c r="FX3" s="476">
        <v>0</v>
      </c>
      <c r="FY3" s="476">
        <v>0</v>
      </c>
      <c r="FZ3" s="476">
        <v>0</v>
      </c>
      <c r="GA3" s="476">
        <v>0</v>
      </c>
      <c r="GB3" s="476">
        <v>0</v>
      </c>
      <c r="GC3" s="476">
        <v>0</v>
      </c>
      <c r="GD3" s="476">
        <v>0</v>
      </c>
      <c r="GE3" s="476">
        <v>0</v>
      </c>
      <c r="GF3" s="476">
        <v>0</v>
      </c>
      <c r="GG3" s="476">
        <v>0</v>
      </c>
      <c r="GH3" s="476">
        <v>0</v>
      </c>
      <c r="GI3" s="476">
        <v>0</v>
      </c>
      <c r="GJ3" s="476">
        <v>0</v>
      </c>
      <c r="GK3" s="476">
        <v>0</v>
      </c>
      <c r="GL3" s="476">
        <v>0</v>
      </c>
      <c r="GM3" s="476">
        <v>0</v>
      </c>
      <c r="GN3" s="476">
        <v>0</v>
      </c>
      <c r="GO3" s="476">
        <v>0</v>
      </c>
      <c r="GP3" s="476">
        <v>0</v>
      </c>
      <c r="GQ3" s="476">
        <v>0</v>
      </c>
      <c r="GR3" s="476">
        <v>0</v>
      </c>
      <c r="GS3" s="476">
        <v>0</v>
      </c>
      <c r="GT3" s="476">
        <v>0</v>
      </c>
      <c r="GU3" s="476">
        <v>0</v>
      </c>
      <c r="GV3" s="476">
        <v>0</v>
      </c>
      <c r="GW3" s="476">
        <v>0</v>
      </c>
      <c r="GX3" s="476">
        <v>0</v>
      </c>
      <c r="GY3" s="476">
        <v>0</v>
      </c>
      <c r="GZ3" s="476">
        <v>0</v>
      </c>
      <c r="HA3" s="476">
        <v>0</v>
      </c>
      <c r="HB3" s="476">
        <v>0</v>
      </c>
      <c r="HC3" s="476">
        <v>4.2206E-2</v>
      </c>
      <c r="HD3" s="476">
        <v>0</v>
      </c>
      <c r="HE3" s="476">
        <v>0</v>
      </c>
      <c r="HF3" s="476">
        <v>0</v>
      </c>
      <c r="HG3" s="476">
        <v>0</v>
      </c>
      <c r="HH3" s="476">
        <v>0</v>
      </c>
      <c r="HI3" s="476">
        <v>0</v>
      </c>
      <c r="HJ3" s="476">
        <v>0</v>
      </c>
      <c r="HK3" s="476">
        <v>0</v>
      </c>
      <c r="HL3" s="476">
        <v>0</v>
      </c>
      <c r="HM3" s="476">
        <v>0</v>
      </c>
      <c r="HN3" s="476">
        <v>0</v>
      </c>
      <c r="HO3" s="476">
        <v>0</v>
      </c>
      <c r="HP3" s="476">
        <v>0</v>
      </c>
      <c r="HQ3" s="476">
        <v>0</v>
      </c>
      <c r="HR3" s="476">
        <v>0</v>
      </c>
      <c r="HS3" s="476">
        <v>0</v>
      </c>
      <c r="HT3" s="476">
        <v>0</v>
      </c>
      <c r="HU3" s="476">
        <v>0</v>
      </c>
      <c r="HV3" s="476">
        <v>0</v>
      </c>
      <c r="HW3" s="476">
        <v>0</v>
      </c>
      <c r="HX3" s="476">
        <v>0</v>
      </c>
      <c r="HY3" s="476">
        <v>0</v>
      </c>
      <c r="HZ3" s="476">
        <v>0</v>
      </c>
      <c r="IA3" s="476">
        <v>0</v>
      </c>
      <c r="IB3" s="476">
        <v>0</v>
      </c>
      <c r="IC3" s="476">
        <v>0</v>
      </c>
      <c r="ID3" s="476">
        <v>0</v>
      </c>
      <c r="IE3" s="476">
        <v>0</v>
      </c>
      <c r="IF3" s="476">
        <v>0</v>
      </c>
      <c r="IG3" s="476">
        <v>0</v>
      </c>
      <c r="IH3" s="476">
        <v>0</v>
      </c>
      <c r="II3" s="476">
        <v>0</v>
      </c>
      <c r="IJ3" s="476">
        <v>0</v>
      </c>
      <c r="IK3" s="476">
        <v>0</v>
      </c>
      <c r="IL3" s="476">
        <v>0</v>
      </c>
      <c r="IM3" s="476">
        <v>0</v>
      </c>
      <c r="IN3" s="476">
        <v>0</v>
      </c>
      <c r="IO3" s="476">
        <v>0</v>
      </c>
      <c r="IP3" s="476">
        <v>0</v>
      </c>
      <c r="IQ3" s="476">
        <v>0</v>
      </c>
      <c r="IR3" s="476">
        <v>0</v>
      </c>
      <c r="IS3" s="476">
        <v>0</v>
      </c>
      <c r="IT3" s="476">
        <v>0</v>
      </c>
      <c r="IU3" s="476">
        <v>0</v>
      </c>
      <c r="IV3" s="476">
        <v>0</v>
      </c>
      <c r="IW3" s="476">
        <v>0</v>
      </c>
      <c r="IX3" s="476">
        <v>0</v>
      </c>
      <c r="IY3" s="476">
        <v>0</v>
      </c>
      <c r="IZ3" s="476">
        <v>0</v>
      </c>
      <c r="JA3" s="476">
        <v>0</v>
      </c>
      <c r="JB3" s="476">
        <v>0</v>
      </c>
      <c r="JC3" s="476">
        <v>0</v>
      </c>
      <c r="JD3" s="476">
        <v>0</v>
      </c>
      <c r="JE3" s="476">
        <v>0</v>
      </c>
      <c r="JF3" s="476">
        <v>0</v>
      </c>
      <c r="JG3" s="476">
        <v>0</v>
      </c>
      <c r="JH3" s="476">
        <v>0</v>
      </c>
      <c r="JI3" s="476">
        <v>0</v>
      </c>
      <c r="JJ3" s="476">
        <v>0</v>
      </c>
      <c r="JK3" s="476">
        <v>0</v>
      </c>
      <c r="JL3" s="476">
        <v>0</v>
      </c>
      <c r="JM3" s="476">
        <v>0</v>
      </c>
      <c r="JN3" s="476">
        <v>0</v>
      </c>
      <c r="JO3" s="476">
        <v>0</v>
      </c>
      <c r="JP3" s="476">
        <v>0</v>
      </c>
      <c r="JQ3" s="476">
        <v>0</v>
      </c>
      <c r="JR3" s="476">
        <v>0</v>
      </c>
      <c r="JS3" s="476">
        <v>0</v>
      </c>
      <c r="JT3" s="476">
        <v>0</v>
      </c>
      <c r="JU3" s="476">
        <v>0</v>
      </c>
      <c r="JV3" s="476">
        <v>0</v>
      </c>
      <c r="JW3" s="476">
        <v>0</v>
      </c>
      <c r="JX3" s="476">
        <v>0</v>
      </c>
      <c r="JY3" s="476">
        <v>0</v>
      </c>
      <c r="JZ3" s="476">
        <v>0</v>
      </c>
      <c r="KA3" s="476">
        <v>0</v>
      </c>
      <c r="KB3" s="476">
        <v>0</v>
      </c>
      <c r="KC3" s="476">
        <v>0</v>
      </c>
      <c r="KD3" s="476">
        <v>0</v>
      </c>
      <c r="KE3" s="476">
        <v>0</v>
      </c>
      <c r="KF3" s="476">
        <v>0</v>
      </c>
      <c r="KG3" s="476">
        <v>0</v>
      </c>
      <c r="KH3" s="476">
        <v>0</v>
      </c>
      <c r="KI3" s="476">
        <v>0</v>
      </c>
      <c r="KJ3" s="476">
        <v>0</v>
      </c>
      <c r="KK3" s="476">
        <v>0</v>
      </c>
      <c r="KL3" s="476">
        <v>0</v>
      </c>
      <c r="KM3" s="476">
        <v>0</v>
      </c>
      <c r="KN3" s="476">
        <v>0</v>
      </c>
    </row>
    <row r="4" spans="1:300" ht="10.9" customHeight="1" x14ac:dyDescent="0.25">
      <c r="A4" s="476">
        <v>40976</v>
      </c>
      <c r="B4" s="476">
        <v>3801</v>
      </c>
      <c r="C4" s="476">
        <v>9</v>
      </c>
      <c r="D4" s="476">
        <v>2024</v>
      </c>
      <c r="E4" s="476">
        <v>6160</v>
      </c>
      <c r="F4" s="476">
        <v>0</v>
      </c>
      <c r="G4" s="476">
        <v>861.25800000000004</v>
      </c>
      <c r="H4" s="476">
        <v>814.73800000000006</v>
      </c>
      <c r="I4" s="476">
        <v>814.73800000000006</v>
      </c>
      <c r="J4" s="476">
        <v>861.25800000000004</v>
      </c>
      <c r="K4" s="476">
        <v>0</v>
      </c>
      <c r="L4" s="476">
        <v>6160</v>
      </c>
      <c r="M4" s="476">
        <v>0</v>
      </c>
      <c r="N4" s="476">
        <v>0</v>
      </c>
      <c r="O4" s="476">
        <v>0</v>
      </c>
      <c r="P4" s="476">
        <v>862.63</v>
      </c>
      <c r="Q4" s="476">
        <v>0</v>
      </c>
      <c r="R4" s="476">
        <v>357891</v>
      </c>
      <c r="S4" s="476">
        <v>414.88400000000001</v>
      </c>
      <c r="T4" s="476">
        <v>0</v>
      </c>
      <c r="U4" s="476">
        <v>0</v>
      </c>
      <c r="V4" s="476">
        <v>54.697000000000003</v>
      </c>
      <c r="W4" s="476">
        <v>33693</v>
      </c>
      <c r="X4" s="476">
        <v>33693</v>
      </c>
      <c r="Y4" s="476">
        <v>0</v>
      </c>
      <c r="Z4" s="476">
        <v>0</v>
      </c>
      <c r="AA4" s="476">
        <v>0</v>
      </c>
      <c r="AB4" s="476">
        <v>0</v>
      </c>
      <c r="AC4" s="476">
        <v>0</v>
      </c>
      <c r="AD4" s="476" t="s">
        <v>314</v>
      </c>
      <c r="AE4" s="476">
        <v>0</v>
      </c>
      <c r="AF4" s="476">
        <v>0</v>
      </c>
      <c r="AG4" s="476">
        <v>0</v>
      </c>
      <c r="AH4" s="476">
        <v>0</v>
      </c>
      <c r="AI4" s="476">
        <v>0</v>
      </c>
      <c r="AJ4" s="476">
        <v>6160</v>
      </c>
      <c r="AK4" s="476" t="s">
        <v>651</v>
      </c>
      <c r="AL4" s="476" t="s">
        <v>53</v>
      </c>
      <c r="AM4" s="476">
        <v>0</v>
      </c>
      <c r="AN4" s="476">
        <v>0</v>
      </c>
      <c r="AO4" s="476">
        <v>0</v>
      </c>
      <c r="AP4" s="476">
        <v>0</v>
      </c>
      <c r="AQ4" s="476">
        <v>0</v>
      </c>
      <c r="AR4" s="476">
        <v>0</v>
      </c>
      <c r="AS4" s="476">
        <v>0</v>
      </c>
      <c r="AT4" s="476">
        <v>0</v>
      </c>
      <c r="AU4" s="476">
        <v>0</v>
      </c>
      <c r="AV4" s="476">
        <v>0</v>
      </c>
      <c r="AW4" s="476">
        <v>9172472</v>
      </c>
      <c r="AX4" s="476">
        <v>9029980</v>
      </c>
      <c r="AY4" s="476">
        <v>0</v>
      </c>
      <c r="AZ4" s="476">
        <v>357891</v>
      </c>
      <c r="BA4" s="476">
        <v>47.083000000000006</v>
      </c>
      <c r="BB4" s="476">
        <v>18328</v>
      </c>
      <c r="BC4" s="476">
        <v>18212</v>
      </c>
      <c r="BD4" s="476">
        <v>43</v>
      </c>
      <c r="BE4" s="476">
        <v>117</v>
      </c>
      <c r="BF4" s="476">
        <v>8133406</v>
      </c>
      <c r="BG4" s="476">
        <v>0</v>
      </c>
      <c r="BH4" s="476">
        <v>0</v>
      </c>
      <c r="BI4" s="476">
        <v>0</v>
      </c>
      <c r="BJ4" s="476">
        <v>12</v>
      </c>
      <c r="BK4" s="476">
        <v>0</v>
      </c>
      <c r="BL4" s="476">
        <v>0</v>
      </c>
      <c r="BM4" s="476">
        <v>0</v>
      </c>
      <c r="BN4" s="476">
        <v>0</v>
      </c>
      <c r="BO4" s="476">
        <v>0</v>
      </c>
      <c r="BP4" s="476">
        <v>0</v>
      </c>
      <c r="BQ4" s="476">
        <v>645</v>
      </c>
      <c r="BR4" s="476">
        <v>0</v>
      </c>
      <c r="BS4" s="476">
        <v>0</v>
      </c>
      <c r="BT4" s="476">
        <v>0</v>
      </c>
      <c r="BU4" s="476">
        <v>0</v>
      </c>
      <c r="BV4" s="476">
        <v>0</v>
      </c>
      <c r="BW4" s="476">
        <v>0</v>
      </c>
      <c r="BX4" s="476">
        <v>0</v>
      </c>
      <c r="BY4" s="476">
        <v>0</v>
      </c>
      <c r="BZ4" s="476">
        <v>0</v>
      </c>
      <c r="CA4" s="476">
        <v>0</v>
      </c>
      <c r="CB4" s="476">
        <v>0</v>
      </c>
      <c r="CC4" s="476">
        <v>0</v>
      </c>
      <c r="CD4" s="476">
        <v>0</v>
      </c>
      <c r="CE4" s="476">
        <v>0</v>
      </c>
      <c r="CF4" s="476">
        <v>0</v>
      </c>
      <c r="CG4" s="476">
        <v>0</v>
      </c>
      <c r="CH4" s="476">
        <v>145402</v>
      </c>
      <c r="CI4" s="476">
        <v>0</v>
      </c>
      <c r="CJ4" s="476">
        <v>4</v>
      </c>
      <c r="CK4" s="476">
        <v>0</v>
      </c>
      <c r="CL4" s="476">
        <v>0</v>
      </c>
      <c r="CM4" s="476">
        <v>0</v>
      </c>
      <c r="CN4" s="476">
        <v>0</v>
      </c>
      <c r="CO4" s="476">
        <v>1</v>
      </c>
      <c r="CP4" s="476">
        <v>0</v>
      </c>
      <c r="CQ4" s="476">
        <v>8.3000000000000004E-2</v>
      </c>
      <c r="CR4" s="476">
        <v>861.25800000000004</v>
      </c>
      <c r="CS4" s="476">
        <v>0</v>
      </c>
      <c r="CT4" s="476">
        <v>0</v>
      </c>
      <c r="CU4" s="476">
        <v>0</v>
      </c>
      <c r="CV4" s="476">
        <v>0</v>
      </c>
      <c r="CW4" s="476">
        <v>0</v>
      </c>
      <c r="CX4" s="476">
        <v>0</v>
      </c>
      <c r="CY4" s="476">
        <v>0</v>
      </c>
      <c r="CZ4" s="476">
        <v>0</v>
      </c>
      <c r="DA4" s="476">
        <v>0</v>
      </c>
      <c r="DB4" s="476">
        <v>5018672</v>
      </c>
      <c r="DC4" s="476">
        <v>0</v>
      </c>
      <c r="DD4" s="476">
        <v>0</v>
      </c>
      <c r="DE4" s="476">
        <v>947155</v>
      </c>
      <c r="DF4" s="476">
        <v>947155</v>
      </c>
      <c r="DG4" s="476">
        <v>153.76300000000001</v>
      </c>
      <c r="DH4" s="476">
        <v>0</v>
      </c>
      <c r="DI4" s="476">
        <v>0</v>
      </c>
      <c r="DJ4" s="476">
        <v>0</v>
      </c>
      <c r="DK4" s="476">
        <v>1935</v>
      </c>
      <c r="DL4" s="476">
        <v>0</v>
      </c>
      <c r="DM4" s="476">
        <v>812458</v>
      </c>
      <c r="DN4" s="476">
        <v>2793</v>
      </c>
      <c r="DO4" s="476">
        <v>0</v>
      </c>
      <c r="DP4" s="476">
        <v>0</v>
      </c>
      <c r="DQ4" s="476">
        <v>0</v>
      </c>
      <c r="DR4" s="476">
        <v>0</v>
      </c>
      <c r="DS4" s="476">
        <v>0</v>
      </c>
      <c r="DT4" s="476">
        <v>0</v>
      </c>
      <c r="DU4" s="476">
        <v>0</v>
      </c>
      <c r="DV4" s="476">
        <v>0</v>
      </c>
      <c r="DW4" s="476">
        <v>0</v>
      </c>
      <c r="DX4" s="476">
        <v>0</v>
      </c>
      <c r="DY4" s="476">
        <v>0</v>
      </c>
      <c r="DZ4" s="476">
        <v>0</v>
      </c>
      <c r="EA4" s="476">
        <v>0</v>
      </c>
      <c r="EB4" s="476">
        <v>0</v>
      </c>
      <c r="EC4" s="476">
        <v>44.497</v>
      </c>
      <c r="ED4" s="476">
        <v>315210</v>
      </c>
      <c r="EE4" s="476">
        <v>0</v>
      </c>
      <c r="EF4" s="476">
        <v>0</v>
      </c>
      <c r="EG4" s="476">
        <v>0</v>
      </c>
      <c r="EH4" s="476">
        <v>500041</v>
      </c>
      <c r="EI4" s="476">
        <v>0</v>
      </c>
      <c r="EJ4" s="476">
        <v>0</v>
      </c>
      <c r="EK4" s="476">
        <v>24.577999999999999</v>
      </c>
      <c r="EL4" s="476">
        <v>0</v>
      </c>
      <c r="EM4" s="476">
        <v>0</v>
      </c>
      <c r="EN4" s="476">
        <v>1.2550000000000001</v>
      </c>
      <c r="EO4" s="476">
        <v>0</v>
      </c>
      <c r="EP4" s="476">
        <v>0</v>
      </c>
      <c r="EQ4" s="476">
        <v>26.341000000000001</v>
      </c>
      <c r="ER4" s="476">
        <v>0.50800000000000001</v>
      </c>
      <c r="ES4" s="476">
        <v>81.177000000000007</v>
      </c>
      <c r="ET4" s="476">
        <v>0</v>
      </c>
      <c r="EU4" s="476">
        <v>0</v>
      </c>
      <c r="EV4" s="476">
        <v>0</v>
      </c>
      <c r="EW4" s="476">
        <v>0</v>
      </c>
      <c r="EX4" s="476">
        <v>0</v>
      </c>
      <c r="EY4" s="476">
        <v>0</v>
      </c>
      <c r="EZ4" s="476">
        <v>7804423</v>
      </c>
      <c r="FA4" s="476">
        <v>0</v>
      </c>
      <c r="FB4" s="476">
        <v>8159404</v>
      </c>
      <c r="FC4" s="476">
        <v>0</v>
      </c>
      <c r="FD4" s="476">
        <v>0</v>
      </c>
      <c r="FE4" s="476">
        <v>1050171</v>
      </c>
      <c r="FF4" s="476">
        <v>175386</v>
      </c>
      <c r="FG4" s="476">
        <v>6.3017999999999991E-2</v>
      </c>
      <c r="FH4" s="476">
        <v>2.6953999999999999E-2</v>
      </c>
      <c r="FI4" s="476">
        <v>0</v>
      </c>
      <c r="FJ4" s="476">
        <v>0</v>
      </c>
      <c r="FK4" s="476">
        <v>1320.3880000000001</v>
      </c>
      <c r="FL4" s="476">
        <v>9530363</v>
      </c>
      <c r="FM4" s="476">
        <v>0</v>
      </c>
      <c r="FN4" s="476">
        <v>0</v>
      </c>
      <c r="FO4" s="476">
        <v>7038</v>
      </c>
      <c r="FP4" s="476">
        <v>0</v>
      </c>
      <c r="FQ4" s="476">
        <v>25212</v>
      </c>
      <c r="FR4" s="476">
        <v>7038</v>
      </c>
      <c r="FS4" s="476">
        <v>18174</v>
      </c>
      <c r="FT4" s="476">
        <v>0</v>
      </c>
      <c r="FU4" s="476">
        <v>0</v>
      </c>
      <c r="FV4" s="476">
        <v>0</v>
      </c>
      <c r="FW4" s="476">
        <v>0</v>
      </c>
      <c r="FX4" s="476">
        <v>0</v>
      </c>
      <c r="FY4" s="476">
        <v>0</v>
      </c>
      <c r="FZ4" s="476">
        <v>0</v>
      </c>
      <c r="GA4" s="476">
        <v>0</v>
      </c>
      <c r="GB4" s="476">
        <v>192020</v>
      </c>
      <c r="GC4" s="476">
        <v>192020</v>
      </c>
      <c r="GD4" s="476">
        <v>20.179000000000002</v>
      </c>
      <c r="GE4" s="476">
        <v>0</v>
      </c>
      <c r="GF4" s="476">
        <v>0</v>
      </c>
      <c r="GG4" s="476">
        <v>0</v>
      </c>
      <c r="GH4" s="476">
        <v>0</v>
      </c>
      <c r="GI4" s="476">
        <v>0</v>
      </c>
      <c r="GJ4" s="476">
        <v>0</v>
      </c>
      <c r="GK4" s="476">
        <v>0</v>
      </c>
      <c r="GL4" s="476">
        <v>0</v>
      </c>
      <c r="GM4" s="476">
        <v>0</v>
      </c>
      <c r="GN4" s="476">
        <v>0</v>
      </c>
      <c r="GO4" s="476">
        <v>0</v>
      </c>
      <c r="GP4" s="476">
        <v>0</v>
      </c>
      <c r="GQ4" s="476">
        <v>9027070</v>
      </c>
      <c r="GR4" s="476">
        <v>0</v>
      </c>
      <c r="GS4" s="476">
        <v>0</v>
      </c>
      <c r="GT4" s="476">
        <v>0</v>
      </c>
      <c r="GU4" s="476">
        <v>0</v>
      </c>
      <c r="GV4" s="476">
        <v>0</v>
      </c>
      <c r="GW4" s="476">
        <v>0</v>
      </c>
      <c r="GX4" s="476">
        <v>0</v>
      </c>
      <c r="GY4" s="476">
        <v>0</v>
      </c>
      <c r="GZ4" s="476">
        <v>0</v>
      </c>
      <c r="HA4" s="476">
        <v>0</v>
      </c>
      <c r="HB4" s="476">
        <v>323396213</v>
      </c>
      <c r="HC4" s="476">
        <v>4.2206E-2</v>
      </c>
      <c r="HD4" s="476">
        <v>145402</v>
      </c>
      <c r="HE4" s="476">
        <v>0</v>
      </c>
      <c r="HF4" s="476">
        <v>897841</v>
      </c>
      <c r="HG4" s="476">
        <v>30799</v>
      </c>
      <c r="HH4" s="476">
        <v>131034</v>
      </c>
      <c r="HI4" s="476">
        <v>0</v>
      </c>
      <c r="HJ4" s="476">
        <v>8613</v>
      </c>
      <c r="HK4" s="476">
        <v>2988</v>
      </c>
      <c r="HL4" s="476">
        <v>708</v>
      </c>
      <c r="HM4" s="476">
        <v>40000</v>
      </c>
      <c r="HN4" s="476">
        <v>0</v>
      </c>
      <c r="HO4" s="476">
        <v>0</v>
      </c>
      <c r="HP4" s="476">
        <v>0</v>
      </c>
      <c r="HQ4" s="476">
        <v>0</v>
      </c>
      <c r="HR4" s="476">
        <v>0</v>
      </c>
      <c r="HS4" s="476">
        <v>7801513</v>
      </c>
      <c r="HT4" s="476">
        <v>175386</v>
      </c>
      <c r="HU4" s="476">
        <v>0</v>
      </c>
      <c r="HV4" s="476">
        <v>0</v>
      </c>
      <c r="HW4" s="476">
        <v>0</v>
      </c>
      <c r="HX4" s="476">
        <v>83</v>
      </c>
      <c r="HY4" s="476">
        <v>123</v>
      </c>
      <c r="HZ4" s="476">
        <v>107</v>
      </c>
      <c r="IA4" s="476">
        <v>204</v>
      </c>
      <c r="IB4" s="476">
        <v>93</v>
      </c>
      <c r="IC4" s="476">
        <v>610</v>
      </c>
      <c r="ID4" s="476">
        <v>0</v>
      </c>
      <c r="IE4" s="476">
        <v>0</v>
      </c>
      <c r="IF4" s="476">
        <v>0</v>
      </c>
      <c r="IG4" s="476">
        <v>50</v>
      </c>
      <c r="IH4" s="476">
        <v>212.72200000000001</v>
      </c>
      <c r="II4" s="476">
        <v>0</v>
      </c>
      <c r="IJ4" s="476">
        <v>54.697000000000003</v>
      </c>
      <c r="IK4" s="476">
        <v>0</v>
      </c>
      <c r="IL4" s="476">
        <v>5</v>
      </c>
      <c r="IM4" s="476">
        <v>5</v>
      </c>
      <c r="IN4" s="476">
        <v>0</v>
      </c>
      <c r="IO4" s="476">
        <v>10</v>
      </c>
      <c r="IP4" s="476">
        <v>0</v>
      </c>
      <c r="IQ4" s="476">
        <v>54.697000000000003</v>
      </c>
      <c r="IR4" s="476">
        <v>33693</v>
      </c>
      <c r="IS4" s="476">
        <v>0</v>
      </c>
      <c r="IT4" s="476">
        <v>25000</v>
      </c>
      <c r="IU4" s="476">
        <v>15000</v>
      </c>
      <c r="IV4" s="476">
        <v>0</v>
      </c>
      <c r="IW4" s="476">
        <v>6160</v>
      </c>
      <c r="IX4" s="476">
        <v>0</v>
      </c>
      <c r="IY4" s="476">
        <v>0</v>
      </c>
      <c r="IZ4" s="476">
        <v>0</v>
      </c>
      <c r="JA4" s="476">
        <v>0</v>
      </c>
      <c r="JB4" s="476">
        <v>0</v>
      </c>
      <c r="JC4" s="476">
        <v>0</v>
      </c>
      <c r="JD4" s="476">
        <v>0</v>
      </c>
      <c r="JE4" s="476">
        <v>0</v>
      </c>
      <c r="JF4" s="476">
        <v>0</v>
      </c>
      <c r="JG4" s="476">
        <v>0</v>
      </c>
      <c r="JH4" s="476">
        <v>0</v>
      </c>
      <c r="JI4" s="476">
        <v>0</v>
      </c>
      <c r="JJ4" s="476">
        <v>0</v>
      </c>
      <c r="JK4" s="476">
        <v>0</v>
      </c>
      <c r="JL4" s="476">
        <v>0</v>
      </c>
      <c r="JM4" s="476">
        <v>0</v>
      </c>
      <c r="JN4" s="476">
        <v>32469</v>
      </c>
      <c r="JO4" s="476">
        <v>0</v>
      </c>
      <c r="JP4" s="476">
        <v>16.955000000000002</v>
      </c>
      <c r="JQ4" s="476">
        <v>3.2240000000000002</v>
      </c>
      <c r="JR4" s="476">
        <v>0</v>
      </c>
      <c r="JS4" s="476">
        <v>157603</v>
      </c>
      <c r="JT4" s="476">
        <v>34417</v>
      </c>
      <c r="JU4" s="476">
        <v>18541</v>
      </c>
      <c r="JV4" s="476">
        <v>0</v>
      </c>
      <c r="JW4" s="476">
        <v>0</v>
      </c>
      <c r="JX4" s="476">
        <v>0</v>
      </c>
      <c r="JY4" s="476">
        <v>0</v>
      </c>
      <c r="JZ4" s="476">
        <v>0</v>
      </c>
      <c r="KA4" s="476">
        <v>0</v>
      </c>
      <c r="KB4" s="476">
        <v>0</v>
      </c>
      <c r="KC4" s="476">
        <v>0</v>
      </c>
      <c r="KD4" s="476">
        <v>18541</v>
      </c>
      <c r="KE4" s="476">
        <v>7262</v>
      </c>
      <c r="KF4" s="476">
        <v>0</v>
      </c>
      <c r="KG4" s="476">
        <v>0</v>
      </c>
      <c r="KH4" s="476">
        <v>9027070</v>
      </c>
      <c r="KI4" s="476">
        <v>0</v>
      </c>
      <c r="KJ4" s="476">
        <v>10</v>
      </c>
      <c r="KK4" s="476">
        <v>40</v>
      </c>
      <c r="KL4" s="476">
        <v>6160</v>
      </c>
      <c r="KM4" s="476">
        <v>24639</v>
      </c>
      <c r="KN4" s="476">
        <v>0</v>
      </c>
    </row>
    <row r="5" spans="1:300" x14ac:dyDescent="0.25">
      <c r="A5" s="476">
        <v>40976</v>
      </c>
      <c r="B5" s="476">
        <v>13801</v>
      </c>
      <c r="C5" s="476">
        <v>9</v>
      </c>
      <c r="D5" s="476">
        <v>2024</v>
      </c>
      <c r="E5" s="476">
        <v>6160</v>
      </c>
      <c r="F5" s="476">
        <v>0</v>
      </c>
      <c r="G5" s="476">
        <v>358.61200000000002</v>
      </c>
      <c r="H5" s="476">
        <v>344.38800000000003</v>
      </c>
      <c r="I5" s="476">
        <v>344.38800000000003</v>
      </c>
      <c r="J5" s="476">
        <v>358.61200000000002</v>
      </c>
      <c r="K5" s="476">
        <v>0</v>
      </c>
      <c r="L5" s="476">
        <v>6160</v>
      </c>
      <c r="M5" s="476">
        <v>0</v>
      </c>
      <c r="N5" s="476">
        <v>0</v>
      </c>
      <c r="O5" s="476">
        <v>0</v>
      </c>
      <c r="P5" s="476">
        <v>358.15300000000002</v>
      </c>
      <c r="Q5" s="476">
        <v>0</v>
      </c>
      <c r="R5" s="476">
        <v>148592</v>
      </c>
      <c r="S5" s="476">
        <v>414.88400000000001</v>
      </c>
      <c r="T5" s="476">
        <v>0</v>
      </c>
      <c r="U5" s="476">
        <v>0</v>
      </c>
      <c r="V5" s="476">
        <v>8.6449999999999996</v>
      </c>
      <c r="W5" s="476">
        <v>5752</v>
      </c>
      <c r="X5" s="476">
        <v>5752</v>
      </c>
      <c r="Y5" s="476">
        <v>0</v>
      </c>
      <c r="Z5" s="476">
        <v>0</v>
      </c>
      <c r="AA5" s="476">
        <v>0</v>
      </c>
      <c r="AB5" s="476">
        <v>0</v>
      </c>
      <c r="AC5" s="476">
        <v>0</v>
      </c>
      <c r="AD5" s="476" t="s">
        <v>314</v>
      </c>
      <c r="AE5" s="476">
        <v>0</v>
      </c>
      <c r="AF5" s="476">
        <v>0</v>
      </c>
      <c r="AG5" s="476">
        <v>0</v>
      </c>
      <c r="AH5" s="476">
        <v>0</v>
      </c>
      <c r="AI5" s="476">
        <v>0</v>
      </c>
      <c r="AJ5" s="476">
        <v>6160</v>
      </c>
      <c r="AK5" s="476" t="s">
        <v>651</v>
      </c>
      <c r="AL5" s="476" t="s">
        <v>54</v>
      </c>
      <c r="AM5" s="476">
        <v>0</v>
      </c>
      <c r="AN5" s="476">
        <v>0</v>
      </c>
      <c r="AO5" s="476">
        <v>0</v>
      </c>
      <c r="AP5" s="476">
        <v>0</v>
      </c>
      <c r="AQ5" s="476">
        <v>0</v>
      </c>
      <c r="AR5" s="476">
        <v>0</v>
      </c>
      <c r="AS5" s="476">
        <v>0</v>
      </c>
      <c r="AT5" s="476">
        <v>0</v>
      </c>
      <c r="AU5" s="476">
        <v>0</v>
      </c>
      <c r="AV5" s="476">
        <v>0</v>
      </c>
      <c r="AW5" s="476">
        <v>3883024</v>
      </c>
      <c r="AX5" s="476">
        <v>3823560</v>
      </c>
      <c r="AY5" s="476">
        <v>0</v>
      </c>
      <c r="AZ5" s="476">
        <v>148592</v>
      </c>
      <c r="BA5" s="476">
        <v>39.167000000000002</v>
      </c>
      <c r="BB5" s="476">
        <v>7642</v>
      </c>
      <c r="BC5" s="476">
        <v>7594</v>
      </c>
      <c r="BD5" s="476">
        <v>17.931000000000001</v>
      </c>
      <c r="BE5" s="476">
        <v>49</v>
      </c>
      <c r="BF5" s="476">
        <v>3451998</v>
      </c>
      <c r="BG5" s="476">
        <v>0</v>
      </c>
      <c r="BH5" s="476">
        <v>0</v>
      </c>
      <c r="BI5" s="476">
        <v>0</v>
      </c>
      <c r="BJ5" s="476">
        <v>12</v>
      </c>
      <c r="BK5" s="476">
        <v>0</v>
      </c>
      <c r="BL5" s="476">
        <v>0</v>
      </c>
      <c r="BM5" s="476">
        <v>0</v>
      </c>
      <c r="BN5" s="476">
        <v>0</v>
      </c>
      <c r="BO5" s="476">
        <v>0</v>
      </c>
      <c r="BP5" s="476">
        <v>0</v>
      </c>
      <c r="BQ5" s="476">
        <v>717</v>
      </c>
      <c r="BR5" s="476">
        <v>0</v>
      </c>
      <c r="BS5" s="476">
        <v>0</v>
      </c>
      <c r="BT5" s="476">
        <v>0</v>
      </c>
      <c r="BU5" s="476">
        <v>0</v>
      </c>
      <c r="BV5" s="476">
        <v>0</v>
      </c>
      <c r="BW5" s="476">
        <v>0</v>
      </c>
      <c r="BX5" s="476">
        <v>0</v>
      </c>
      <c r="BY5" s="476">
        <v>0</v>
      </c>
      <c r="BZ5" s="476">
        <v>0</v>
      </c>
      <c r="CA5" s="476">
        <v>0</v>
      </c>
      <c r="CB5" s="476">
        <v>0</v>
      </c>
      <c r="CC5" s="476">
        <v>0</v>
      </c>
      <c r="CD5" s="476">
        <v>0</v>
      </c>
      <c r="CE5" s="476">
        <v>0</v>
      </c>
      <c r="CF5" s="476">
        <v>0</v>
      </c>
      <c r="CG5" s="476">
        <v>0</v>
      </c>
      <c r="CH5" s="476">
        <v>60543</v>
      </c>
      <c r="CI5" s="476">
        <v>0</v>
      </c>
      <c r="CJ5" s="476">
        <v>4</v>
      </c>
      <c r="CK5" s="476">
        <v>0</v>
      </c>
      <c r="CL5" s="476">
        <v>0</v>
      </c>
      <c r="CM5" s="476">
        <v>0</v>
      </c>
      <c r="CN5" s="476">
        <v>0</v>
      </c>
      <c r="CO5" s="476">
        <v>1</v>
      </c>
      <c r="CP5" s="476">
        <v>0</v>
      </c>
      <c r="CQ5" s="476">
        <v>2</v>
      </c>
      <c r="CR5" s="476">
        <v>358.61200000000002</v>
      </c>
      <c r="CS5" s="476">
        <v>0</v>
      </c>
      <c r="CT5" s="476">
        <v>0</v>
      </c>
      <c r="CU5" s="476">
        <v>0</v>
      </c>
      <c r="CV5" s="476">
        <v>0</v>
      </c>
      <c r="CW5" s="476">
        <v>0</v>
      </c>
      <c r="CX5" s="476">
        <v>0</v>
      </c>
      <c r="CY5" s="476">
        <v>0</v>
      </c>
      <c r="CZ5" s="476">
        <v>0</v>
      </c>
      <c r="DA5" s="476">
        <v>0</v>
      </c>
      <c r="DB5" s="476">
        <v>2121382</v>
      </c>
      <c r="DC5" s="476">
        <v>0</v>
      </c>
      <c r="DD5" s="476">
        <v>0</v>
      </c>
      <c r="DE5" s="476">
        <v>505571</v>
      </c>
      <c r="DF5" s="476">
        <v>505571</v>
      </c>
      <c r="DG5" s="476">
        <v>82.075000000000003</v>
      </c>
      <c r="DH5" s="476">
        <v>0</v>
      </c>
      <c r="DI5" s="476">
        <v>0</v>
      </c>
      <c r="DJ5" s="476">
        <v>0</v>
      </c>
      <c r="DK5" s="476">
        <v>3094</v>
      </c>
      <c r="DL5" s="476">
        <v>0</v>
      </c>
      <c r="DM5" s="476">
        <v>299691</v>
      </c>
      <c r="DN5" s="476">
        <v>1030</v>
      </c>
      <c r="DO5" s="476">
        <v>0</v>
      </c>
      <c r="DP5" s="476">
        <v>0</v>
      </c>
      <c r="DQ5" s="476">
        <v>0</v>
      </c>
      <c r="DR5" s="476">
        <v>0</v>
      </c>
      <c r="DS5" s="476">
        <v>0</v>
      </c>
      <c r="DT5" s="476">
        <v>0</v>
      </c>
      <c r="DU5" s="476">
        <v>0</v>
      </c>
      <c r="DV5" s="476">
        <v>0</v>
      </c>
      <c r="DW5" s="476">
        <v>0</v>
      </c>
      <c r="DX5" s="476">
        <v>0</v>
      </c>
      <c r="DY5" s="476">
        <v>0</v>
      </c>
      <c r="DZ5" s="476">
        <v>0</v>
      </c>
      <c r="EA5" s="476">
        <v>0</v>
      </c>
      <c r="EB5" s="476">
        <v>0</v>
      </c>
      <c r="EC5" s="476">
        <v>2.4430000000000001</v>
      </c>
      <c r="ED5" s="476">
        <v>17306</v>
      </c>
      <c r="EE5" s="476">
        <v>0</v>
      </c>
      <c r="EF5" s="476">
        <v>0</v>
      </c>
      <c r="EG5" s="476">
        <v>0</v>
      </c>
      <c r="EH5" s="476">
        <v>283415</v>
      </c>
      <c r="EI5" s="476">
        <v>0</v>
      </c>
      <c r="EJ5" s="476">
        <v>0</v>
      </c>
      <c r="EK5" s="476">
        <v>11.644</v>
      </c>
      <c r="EL5" s="476">
        <v>0</v>
      </c>
      <c r="EM5" s="476">
        <v>0.91100000000000003</v>
      </c>
      <c r="EN5" s="476">
        <v>1.669</v>
      </c>
      <c r="EO5" s="476">
        <v>0</v>
      </c>
      <c r="EP5" s="476">
        <v>0</v>
      </c>
      <c r="EQ5" s="476">
        <v>14.224</v>
      </c>
      <c r="ER5" s="476">
        <v>0</v>
      </c>
      <c r="ES5" s="476">
        <v>46.01</v>
      </c>
      <c r="ET5" s="476">
        <v>0</v>
      </c>
      <c r="EU5" s="476">
        <v>0</v>
      </c>
      <c r="EV5" s="476">
        <v>0</v>
      </c>
      <c r="EW5" s="476">
        <v>0</v>
      </c>
      <c r="EX5" s="476">
        <v>0</v>
      </c>
      <c r="EY5" s="476">
        <v>0</v>
      </c>
      <c r="EZ5" s="476">
        <v>3303406</v>
      </c>
      <c r="FA5" s="476">
        <v>0</v>
      </c>
      <c r="FB5" s="476">
        <v>3450919</v>
      </c>
      <c r="FC5" s="476">
        <v>0</v>
      </c>
      <c r="FD5" s="476">
        <v>0</v>
      </c>
      <c r="FE5" s="476">
        <v>445716</v>
      </c>
      <c r="FF5" s="476">
        <v>74438</v>
      </c>
      <c r="FG5" s="476">
        <v>6.3017999999999991E-2</v>
      </c>
      <c r="FH5" s="476">
        <v>2.6953999999999999E-2</v>
      </c>
      <c r="FI5" s="476">
        <v>0</v>
      </c>
      <c r="FJ5" s="476">
        <v>0</v>
      </c>
      <c r="FK5" s="476">
        <v>560.40200000000004</v>
      </c>
      <c r="FL5" s="476">
        <v>4031616</v>
      </c>
      <c r="FM5" s="476">
        <v>0</v>
      </c>
      <c r="FN5" s="476">
        <v>0</v>
      </c>
      <c r="FO5" s="476">
        <v>0</v>
      </c>
      <c r="FP5" s="476">
        <v>0</v>
      </c>
      <c r="FQ5" s="476">
        <v>0</v>
      </c>
      <c r="FR5" s="476">
        <v>0</v>
      </c>
      <c r="FS5" s="476">
        <v>0</v>
      </c>
      <c r="FT5" s="476">
        <v>0</v>
      </c>
      <c r="FU5" s="476">
        <v>0</v>
      </c>
      <c r="FV5" s="476">
        <v>0</v>
      </c>
      <c r="FW5" s="476">
        <v>0</v>
      </c>
      <c r="FX5" s="476">
        <v>0</v>
      </c>
      <c r="FY5" s="476">
        <v>0</v>
      </c>
      <c r="FZ5" s="476">
        <v>0</v>
      </c>
      <c r="GA5" s="476">
        <v>0</v>
      </c>
      <c r="GB5" s="476">
        <v>0</v>
      </c>
      <c r="GC5" s="476">
        <v>0</v>
      </c>
      <c r="GD5" s="476">
        <v>0</v>
      </c>
      <c r="GE5" s="476">
        <v>0</v>
      </c>
      <c r="GF5" s="476">
        <v>0</v>
      </c>
      <c r="GG5" s="476">
        <v>0</v>
      </c>
      <c r="GH5" s="476">
        <v>0</v>
      </c>
      <c r="GI5" s="476">
        <v>0</v>
      </c>
      <c r="GJ5" s="476">
        <v>0</v>
      </c>
      <c r="GK5" s="476">
        <v>0</v>
      </c>
      <c r="GL5" s="476">
        <v>0</v>
      </c>
      <c r="GM5" s="476">
        <v>0</v>
      </c>
      <c r="GN5" s="476">
        <v>0</v>
      </c>
      <c r="GO5" s="476">
        <v>0</v>
      </c>
      <c r="GP5" s="476">
        <v>0</v>
      </c>
      <c r="GQ5" s="476">
        <v>3822481</v>
      </c>
      <c r="GR5" s="476">
        <v>0</v>
      </c>
      <c r="GS5" s="476">
        <v>0</v>
      </c>
      <c r="GT5" s="476">
        <v>0</v>
      </c>
      <c r="GU5" s="476">
        <v>0</v>
      </c>
      <c r="GV5" s="476">
        <v>0</v>
      </c>
      <c r="GW5" s="476">
        <v>0</v>
      </c>
      <c r="GX5" s="476">
        <v>0</v>
      </c>
      <c r="GY5" s="476">
        <v>0</v>
      </c>
      <c r="GZ5" s="476">
        <v>0</v>
      </c>
      <c r="HA5" s="476">
        <v>0</v>
      </c>
      <c r="HB5" s="476">
        <v>323396213</v>
      </c>
      <c r="HC5" s="476">
        <v>4.2206E-2</v>
      </c>
      <c r="HD5" s="476">
        <v>60543</v>
      </c>
      <c r="HE5" s="476">
        <v>0</v>
      </c>
      <c r="HF5" s="476">
        <v>379516</v>
      </c>
      <c r="HG5" s="476">
        <v>8008</v>
      </c>
      <c r="HH5" s="476">
        <v>119820</v>
      </c>
      <c r="HI5" s="476">
        <v>0</v>
      </c>
      <c r="HJ5" s="476">
        <v>3586</v>
      </c>
      <c r="HK5" s="476">
        <v>0</v>
      </c>
      <c r="HL5" s="476">
        <v>0</v>
      </c>
      <c r="HM5" s="476">
        <v>0</v>
      </c>
      <c r="HN5" s="476">
        <v>0</v>
      </c>
      <c r="HO5" s="476">
        <v>0</v>
      </c>
      <c r="HP5" s="476">
        <v>0</v>
      </c>
      <c r="HQ5" s="476">
        <v>0</v>
      </c>
      <c r="HR5" s="476">
        <v>0</v>
      </c>
      <c r="HS5" s="476">
        <v>3302327</v>
      </c>
      <c r="HT5" s="476">
        <v>74438</v>
      </c>
      <c r="HU5" s="476">
        <v>0</v>
      </c>
      <c r="HV5" s="476">
        <v>0</v>
      </c>
      <c r="HW5" s="476">
        <v>0</v>
      </c>
      <c r="HX5" s="476">
        <v>37</v>
      </c>
      <c r="HY5" s="476">
        <v>39</v>
      </c>
      <c r="HZ5" s="476">
        <v>83</v>
      </c>
      <c r="IA5" s="476">
        <v>131</v>
      </c>
      <c r="IB5" s="476">
        <v>34</v>
      </c>
      <c r="IC5" s="476">
        <v>324</v>
      </c>
      <c r="ID5" s="476">
        <v>0</v>
      </c>
      <c r="IE5" s="476">
        <v>0</v>
      </c>
      <c r="IF5" s="476">
        <v>1.385</v>
      </c>
      <c r="IG5" s="476">
        <v>13</v>
      </c>
      <c r="IH5" s="476">
        <v>194.517</v>
      </c>
      <c r="II5" s="476">
        <v>0</v>
      </c>
      <c r="IJ5" s="476">
        <v>10.029999999999999</v>
      </c>
      <c r="IK5" s="476">
        <v>0</v>
      </c>
      <c r="IL5" s="476">
        <v>0</v>
      </c>
      <c r="IM5" s="476">
        <v>0</v>
      </c>
      <c r="IN5" s="476">
        <v>0</v>
      </c>
      <c r="IO5" s="476">
        <v>0</v>
      </c>
      <c r="IP5" s="476">
        <v>0</v>
      </c>
      <c r="IQ5" s="476">
        <v>8.6449999999999996</v>
      </c>
      <c r="IR5" s="476">
        <v>5325</v>
      </c>
      <c r="IS5" s="476">
        <v>0</v>
      </c>
      <c r="IT5" s="476">
        <v>0</v>
      </c>
      <c r="IU5" s="476">
        <v>0</v>
      </c>
      <c r="IV5" s="476">
        <v>0</v>
      </c>
      <c r="IW5" s="476">
        <v>6160</v>
      </c>
      <c r="IX5" s="476">
        <v>0</v>
      </c>
      <c r="IY5" s="476">
        <v>427</v>
      </c>
      <c r="IZ5" s="476">
        <v>0</v>
      </c>
      <c r="JA5" s="476">
        <v>0</v>
      </c>
      <c r="JB5" s="476">
        <v>0</v>
      </c>
      <c r="JC5" s="476">
        <v>0</v>
      </c>
      <c r="JD5" s="476">
        <v>0</v>
      </c>
      <c r="JE5" s="476">
        <v>0</v>
      </c>
      <c r="JF5" s="476">
        <v>0</v>
      </c>
      <c r="JG5" s="476">
        <v>0</v>
      </c>
      <c r="JH5" s="476">
        <v>0</v>
      </c>
      <c r="JI5" s="476">
        <v>0</v>
      </c>
      <c r="JJ5" s="476">
        <v>0</v>
      </c>
      <c r="JK5" s="476">
        <v>0</v>
      </c>
      <c r="JL5" s="476">
        <v>0</v>
      </c>
      <c r="JM5" s="476">
        <v>0</v>
      </c>
      <c r="JN5" s="476">
        <v>32469</v>
      </c>
      <c r="JO5" s="476">
        <v>0</v>
      </c>
      <c r="JP5" s="476">
        <v>0</v>
      </c>
      <c r="JQ5" s="476">
        <v>0</v>
      </c>
      <c r="JR5" s="476">
        <v>0</v>
      </c>
      <c r="JS5" s="476">
        <v>0</v>
      </c>
      <c r="JT5" s="476">
        <v>0</v>
      </c>
      <c r="JU5" s="476">
        <v>7731</v>
      </c>
      <c r="JV5" s="476">
        <v>0</v>
      </c>
      <c r="JW5" s="476">
        <v>0</v>
      </c>
      <c r="JX5" s="476">
        <v>0</v>
      </c>
      <c r="JY5" s="476">
        <v>0</v>
      </c>
      <c r="JZ5" s="476">
        <v>0</v>
      </c>
      <c r="KA5" s="476">
        <v>0</v>
      </c>
      <c r="KB5" s="476">
        <v>0</v>
      </c>
      <c r="KC5" s="476">
        <v>0</v>
      </c>
      <c r="KD5" s="476">
        <v>7761</v>
      </c>
      <c r="KE5" s="476">
        <v>7262</v>
      </c>
      <c r="KF5" s="476">
        <v>0</v>
      </c>
      <c r="KG5" s="476">
        <v>0</v>
      </c>
      <c r="KH5" s="476">
        <v>3822481</v>
      </c>
      <c r="KI5" s="476">
        <v>0</v>
      </c>
      <c r="KJ5" s="476">
        <v>7</v>
      </c>
      <c r="KK5" s="476">
        <v>6</v>
      </c>
      <c r="KL5" s="476">
        <v>4312</v>
      </c>
      <c r="KM5" s="476">
        <v>3696</v>
      </c>
      <c r="KN5" s="476">
        <v>0</v>
      </c>
    </row>
    <row r="6" spans="1:300" x14ac:dyDescent="0.25">
      <c r="A6" s="476">
        <v>40976</v>
      </c>
      <c r="B6" s="476">
        <v>14801</v>
      </c>
      <c r="C6" s="476">
        <v>9</v>
      </c>
      <c r="D6" s="476">
        <v>2024</v>
      </c>
      <c r="E6" s="476">
        <v>6160</v>
      </c>
      <c r="F6" s="476">
        <v>0</v>
      </c>
      <c r="G6" s="476">
        <v>1208.7170000000001</v>
      </c>
      <c r="H6" s="476">
        <v>1127.3220000000001</v>
      </c>
      <c r="I6" s="476">
        <v>1127.3220000000001</v>
      </c>
      <c r="J6" s="476">
        <v>1208.7170000000001</v>
      </c>
      <c r="K6" s="476">
        <v>0</v>
      </c>
      <c r="L6" s="476">
        <v>6160</v>
      </c>
      <c r="M6" s="476">
        <v>0</v>
      </c>
      <c r="N6" s="476">
        <v>0</v>
      </c>
      <c r="O6" s="476">
        <v>0</v>
      </c>
      <c r="P6" s="476">
        <v>1220.1280000000002</v>
      </c>
      <c r="Q6" s="476">
        <v>0</v>
      </c>
      <c r="R6" s="476">
        <v>506212</v>
      </c>
      <c r="S6" s="476">
        <v>414.88400000000001</v>
      </c>
      <c r="T6" s="476">
        <v>0</v>
      </c>
      <c r="U6" s="476">
        <v>0</v>
      </c>
      <c r="V6" s="476">
        <v>106.583</v>
      </c>
      <c r="W6" s="476">
        <v>65654</v>
      </c>
      <c r="X6" s="476">
        <v>65654</v>
      </c>
      <c r="Y6" s="476">
        <v>0</v>
      </c>
      <c r="Z6" s="476">
        <v>0</v>
      </c>
      <c r="AA6" s="476">
        <v>0</v>
      </c>
      <c r="AB6" s="476">
        <v>0</v>
      </c>
      <c r="AC6" s="476">
        <v>0</v>
      </c>
      <c r="AD6" s="476" t="s">
        <v>314</v>
      </c>
      <c r="AE6" s="476">
        <v>0</v>
      </c>
      <c r="AF6" s="476">
        <v>0</v>
      </c>
      <c r="AG6" s="476">
        <v>0</v>
      </c>
      <c r="AH6" s="476">
        <v>0</v>
      </c>
      <c r="AI6" s="476">
        <v>0</v>
      </c>
      <c r="AJ6" s="476">
        <v>6160</v>
      </c>
      <c r="AK6" s="476" t="s">
        <v>651</v>
      </c>
      <c r="AL6" s="476" t="s">
        <v>35</v>
      </c>
      <c r="AM6" s="476">
        <v>0</v>
      </c>
      <c r="AN6" s="476">
        <v>0</v>
      </c>
      <c r="AO6" s="476">
        <v>0</v>
      </c>
      <c r="AP6" s="476">
        <v>0</v>
      </c>
      <c r="AQ6" s="476">
        <v>0</v>
      </c>
      <c r="AR6" s="476">
        <v>0</v>
      </c>
      <c r="AS6" s="476">
        <v>0</v>
      </c>
      <c r="AT6" s="476">
        <v>0</v>
      </c>
      <c r="AU6" s="476">
        <v>0</v>
      </c>
      <c r="AV6" s="476">
        <v>0</v>
      </c>
      <c r="AW6" s="476">
        <v>13702256</v>
      </c>
      <c r="AX6" s="476">
        <v>13315005</v>
      </c>
      <c r="AY6" s="476">
        <v>0</v>
      </c>
      <c r="AZ6" s="476">
        <v>506212</v>
      </c>
      <c r="BA6" s="476">
        <v>0</v>
      </c>
      <c r="BB6" s="476">
        <v>0</v>
      </c>
      <c r="BC6" s="476">
        <v>0</v>
      </c>
      <c r="BD6" s="476">
        <v>0</v>
      </c>
      <c r="BE6" s="476">
        <v>0</v>
      </c>
      <c r="BF6" s="476">
        <v>11697456</v>
      </c>
      <c r="BG6" s="476">
        <v>0</v>
      </c>
      <c r="BH6" s="476">
        <v>0</v>
      </c>
      <c r="BI6" s="476">
        <v>0</v>
      </c>
      <c r="BJ6" s="476">
        <v>12</v>
      </c>
      <c r="BK6" s="476">
        <v>0</v>
      </c>
      <c r="BL6" s="476">
        <v>0</v>
      </c>
      <c r="BM6" s="476">
        <v>0</v>
      </c>
      <c r="BN6" s="476">
        <v>0</v>
      </c>
      <c r="BO6" s="476">
        <v>0</v>
      </c>
      <c r="BP6" s="476">
        <v>0</v>
      </c>
      <c r="BQ6" s="476">
        <v>596</v>
      </c>
      <c r="BR6" s="476">
        <v>0</v>
      </c>
      <c r="BS6" s="476">
        <v>0</v>
      </c>
      <c r="BT6" s="476">
        <v>0</v>
      </c>
      <c r="BU6" s="476">
        <v>0</v>
      </c>
      <c r="BV6" s="476">
        <v>0</v>
      </c>
      <c r="BW6" s="476">
        <v>0</v>
      </c>
      <c r="BX6" s="476">
        <v>0</v>
      </c>
      <c r="BY6" s="476">
        <v>0</v>
      </c>
      <c r="BZ6" s="476">
        <v>0</v>
      </c>
      <c r="CA6" s="476">
        <v>0</v>
      </c>
      <c r="CB6" s="476">
        <v>0</v>
      </c>
      <c r="CC6" s="476">
        <v>0</v>
      </c>
      <c r="CD6" s="476">
        <v>0</v>
      </c>
      <c r="CE6" s="476">
        <v>0</v>
      </c>
      <c r="CF6" s="476">
        <v>0</v>
      </c>
      <c r="CG6" s="476">
        <v>0</v>
      </c>
      <c r="CH6" s="476">
        <v>390599</v>
      </c>
      <c r="CI6" s="476">
        <v>0</v>
      </c>
      <c r="CJ6" s="476">
        <v>4</v>
      </c>
      <c r="CK6" s="476">
        <v>0</v>
      </c>
      <c r="CL6" s="476">
        <v>0</v>
      </c>
      <c r="CM6" s="476">
        <v>0</v>
      </c>
      <c r="CN6" s="476">
        <v>0</v>
      </c>
      <c r="CO6" s="476">
        <v>1</v>
      </c>
      <c r="CP6" s="476">
        <v>2.2010000000000001</v>
      </c>
      <c r="CQ6" s="476">
        <v>0</v>
      </c>
      <c r="CR6" s="476">
        <v>1208.7170000000001</v>
      </c>
      <c r="CS6" s="476">
        <v>0</v>
      </c>
      <c r="CT6" s="476">
        <v>0</v>
      </c>
      <c r="CU6" s="476">
        <v>0</v>
      </c>
      <c r="CV6" s="476">
        <v>0</v>
      </c>
      <c r="CW6" s="476">
        <v>0</v>
      </c>
      <c r="CX6" s="476">
        <v>0</v>
      </c>
      <c r="CY6" s="476">
        <v>0</v>
      </c>
      <c r="CZ6" s="476">
        <v>0</v>
      </c>
      <c r="DA6" s="476">
        <v>0</v>
      </c>
      <c r="DB6" s="476">
        <v>6483887</v>
      </c>
      <c r="DC6" s="476">
        <v>0</v>
      </c>
      <c r="DD6" s="476">
        <v>0</v>
      </c>
      <c r="DE6" s="476">
        <v>1736003</v>
      </c>
      <c r="DF6" s="476">
        <v>1768677</v>
      </c>
      <c r="DG6" s="476">
        <v>281.82499999999999</v>
      </c>
      <c r="DH6" s="476">
        <v>0</v>
      </c>
      <c r="DI6" s="476">
        <v>32674</v>
      </c>
      <c r="DJ6" s="476">
        <v>0</v>
      </c>
      <c r="DK6" s="476">
        <v>1165</v>
      </c>
      <c r="DL6" s="476">
        <v>0</v>
      </c>
      <c r="DM6" s="476">
        <v>1433728</v>
      </c>
      <c r="DN6" s="476">
        <v>3347</v>
      </c>
      <c r="DO6" s="476">
        <v>0</v>
      </c>
      <c r="DP6" s="476">
        <v>0</v>
      </c>
      <c r="DQ6" s="476">
        <v>0</v>
      </c>
      <c r="DR6" s="476">
        <v>0</v>
      </c>
      <c r="DS6" s="476">
        <v>0</v>
      </c>
      <c r="DT6" s="476">
        <v>0</v>
      </c>
      <c r="DU6" s="476">
        <v>0</v>
      </c>
      <c r="DV6" s="476">
        <v>0</v>
      </c>
      <c r="DW6" s="476">
        <v>0</v>
      </c>
      <c r="DX6" s="476">
        <v>0</v>
      </c>
      <c r="DY6" s="476">
        <v>0</v>
      </c>
      <c r="DZ6" s="476">
        <v>0</v>
      </c>
      <c r="EA6" s="476">
        <v>0</v>
      </c>
      <c r="EB6" s="476">
        <v>0</v>
      </c>
      <c r="EC6" s="476">
        <v>101.977</v>
      </c>
      <c r="ED6" s="476">
        <v>722389</v>
      </c>
      <c r="EE6" s="476">
        <v>0</v>
      </c>
      <c r="EF6" s="476">
        <v>0</v>
      </c>
      <c r="EG6" s="476">
        <v>0</v>
      </c>
      <c r="EH6" s="476">
        <v>254427</v>
      </c>
      <c r="EI6" s="476">
        <v>0</v>
      </c>
      <c r="EJ6" s="476">
        <v>0</v>
      </c>
      <c r="EK6" s="476">
        <v>12.780000000000001</v>
      </c>
      <c r="EL6" s="476">
        <v>0</v>
      </c>
      <c r="EM6" s="476">
        <v>0.50800000000000001</v>
      </c>
      <c r="EN6" s="476">
        <v>0.28800000000000003</v>
      </c>
      <c r="EO6" s="476">
        <v>0</v>
      </c>
      <c r="EP6" s="476">
        <v>0</v>
      </c>
      <c r="EQ6" s="476">
        <v>13.576000000000001</v>
      </c>
      <c r="ER6" s="476">
        <v>0</v>
      </c>
      <c r="ES6" s="476">
        <v>41.304000000000002</v>
      </c>
      <c r="ET6" s="476">
        <v>0</v>
      </c>
      <c r="EU6" s="476">
        <v>0</v>
      </c>
      <c r="EV6" s="476">
        <v>0</v>
      </c>
      <c r="EW6" s="476">
        <v>0</v>
      </c>
      <c r="EX6" s="476">
        <v>0</v>
      </c>
      <c r="EY6" s="476">
        <v>0</v>
      </c>
      <c r="EZ6" s="476">
        <v>11552410</v>
      </c>
      <c r="FA6" s="476">
        <v>0</v>
      </c>
      <c r="FB6" s="476">
        <v>12055275</v>
      </c>
      <c r="FC6" s="476">
        <v>0</v>
      </c>
      <c r="FD6" s="476">
        <v>0</v>
      </c>
      <c r="FE6" s="476">
        <v>1510355</v>
      </c>
      <c r="FF6" s="476">
        <v>252240</v>
      </c>
      <c r="FG6" s="476">
        <v>6.3017999999999991E-2</v>
      </c>
      <c r="FH6" s="476">
        <v>2.6953999999999999E-2</v>
      </c>
      <c r="FI6" s="476">
        <v>0</v>
      </c>
      <c r="FJ6" s="476">
        <v>0</v>
      </c>
      <c r="FK6" s="476">
        <v>1898.981</v>
      </c>
      <c r="FL6" s="476">
        <v>14208468</v>
      </c>
      <c r="FM6" s="476">
        <v>0</v>
      </c>
      <c r="FN6" s="476">
        <v>0</v>
      </c>
      <c r="FO6" s="476">
        <v>0</v>
      </c>
      <c r="FP6" s="476">
        <v>0</v>
      </c>
      <c r="FQ6" s="476">
        <v>0</v>
      </c>
      <c r="FR6" s="476">
        <v>0</v>
      </c>
      <c r="FS6" s="476">
        <v>0</v>
      </c>
      <c r="FT6" s="476">
        <v>0</v>
      </c>
      <c r="FU6" s="476">
        <v>0</v>
      </c>
      <c r="FV6" s="476">
        <v>0</v>
      </c>
      <c r="FW6" s="476">
        <v>0</v>
      </c>
      <c r="FX6" s="476">
        <v>0</v>
      </c>
      <c r="FY6" s="476">
        <v>0</v>
      </c>
      <c r="FZ6" s="476">
        <v>0</v>
      </c>
      <c r="GA6" s="476">
        <v>0</v>
      </c>
      <c r="GB6" s="476">
        <v>649576</v>
      </c>
      <c r="GC6" s="476">
        <v>649576</v>
      </c>
      <c r="GD6" s="476">
        <v>67.819000000000003</v>
      </c>
      <c r="GE6" s="476">
        <v>0</v>
      </c>
      <c r="GF6" s="476">
        <v>0</v>
      </c>
      <c r="GG6" s="476">
        <v>0</v>
      </c>
      <c r="GH6" s="476">
        <v>0</v>
      </c>
      <c r="GI6" s="476">
        <v>0</v>
      </c>
      <c r="GJ6" s="476">
        <v>0</v>
      </c>
      <c r="GK6" s="476">
        <v>0</v>
      </c>
      <c r="GL6" s="476">
        <v>0</v>
      </c>
      <c r="GM6" s="476">
        <v>0</v>
      </c>
      <c r="GN6" s="476">
        <v>0</v>
      </c>
      <c r="GO6" s="476">
        <v>0</v>
      </c>
      <c r="GP6" s="476">
        <v>0</v>
      </c>
      <c r="GQ6" s="476">
        <v>13311658</v>
      </c>
      <c r="GR6" s="476">
        <v>0</v>
      </c>
      <c r="GS6" s="476">
        <v>0</v>
      </c>
      <c r="GT6" s="476">
        <v>0</v>
      </c>
      <c r="GU6" s="476">
        <v>0</v>
      </c>
      <c r="GV6" s="476">
        <v>0</v>
      </c>
      <c r="GW6" s="476">
        <v>0</v>
      </c>
      <c r="GX6" s="476">
        <v>0</v>
      </c>
      <c r="GY6" s="476">
        <v>0</v>
      </c>
      <c r="GZ6" s="476">
        <v>0</v>
      </c>
      <c r="HA6" s="476">
        <v>0</v>
      </c>
      <c r="HB6" s="476">
        <v>323396213</v>
      </c>
      <c r="HC6" s="476">
        <v>4.2206E-2</v>
      </c>
      <c r="HD6" s="476">
        <v>204062</v>
      </c>
      <c r="HE6" s="476">
        <v>0</v>
      </c>
      <c r="HF6" s="476">
        <v>1242309</v>
      </c>
      <c r="HG6" s="476">
        <v>38191</v>
      </c>
      <c r="HH6" s="476">
        <v>0</v>
      </c>
      <c r="HI6" s="476">
        <v>0</v>
      </c>
      <c r="HJ6" s="476">
        <v>12087</v>
      </c>
      <c r="HK6" s="476">
        <v>21534</v>
      </c>
      <c r="HL6" s="476">
        <v>7514</v>
      </c>
      <c r="HM6" s="476">
        <v>0</v>
      </c>
      <c r="HN6" s="476">
        <v>0</v>
      </c>
      <c r="HO6" s="476">
        <v>0</v>
      </c>
      <c r="HP6" s="476">
        <v>332118</v>
      </c>
      <c r="HQ6" s="476">
        <v>0</v>
      </c>
      <c r="HR6" s="476">
        <v>0</v>
      </c>
      <c r="HS6" s="476">
        <v>11549063</v>
      </c>
      <c r="HT6" s="476">
        <v>252240</v>
      </c>
      <c r="HU6" s="476">
        <v>186537</v>
      </c>
      <c r="HV6" s="476">
        <v>0</v>
      </c>
      <c r="HW6" s="476">
        <v>0</v>
      </c>
      <c r="HX6" s="476">
        <v>117</v>
      </c>
      <c r="HY6" s="476">
        <v>201</v>
      </c>
      <c r="HZ6" s="476">
        <v>233</v>
      </c>
      <c r="IA6" s="476">
        <v>271</v>
      </c>
      <c r="IB6" s="476">
        <v>285</v>
      </c>
      <c r="IC6" s="476">
        <v>1107</v>
      </c>
      <c r="ID6" s="476">
        <v>0</v>
      </c>
      <c r="IE6" s="476">
        <v>0</v>
      </c>
      <c r="IF6" s="476">
        <v>0</v>
      </c>
      <c r="IG6" s="476">
        <v>62</v>
      </c>
      <c r="IH6" s="476">
        <v>0</v>
      </c>
      <c r="II6" s="476">
        <v>1207.7</v>
      </c>
      <c r="IJ6" s="476">
        <v>106.583</v>
      </c>
      <c r="IK6" s="476">
        <v>0</v>
      </c>
      <c r="IL6" s="476">
        <v>0</v>
      </c>
      <c r="IM6" s="476">
        <v>0</v>
      </c>
      <c r="IN6" s="476">
        <v>0</v>
      </c>
      <c r="IO6" s="476">
        <v>0</v>
      </c>
      <c r="IP6" s="476">
        <v>1207.7</v>
      </c>
      <c r="IQ6" s="476">
        <v>106.583</v>
      </c>
      <c r="IR6" s="476">
        <v>65654</v>
      </c>
      <c r="IS6" s="476">
        <v>0</v>
      </c>
      <c r="IT6" s="476">
        <v>0</v>
      </c>
      <c r="IU6" s="476">
        <v>0</v>
      </c>
      <c r="IV6" s="476">
        <v>0</v>
      </c>
      <c r="IW6" s="476">
        <v>6160</v>
      </c>
      <c r="IX6" s="476">
        <v>0</v>
      </c>
      <c r="IY6" s="476">
        <v>0</v>
      </c>
      <c r="IZ6" s="476">
        <v>332118</v>
      </c>
      <c r="JA6" s="476">
        <v>0</v>
      </c>
      <c r="JB6" s="476">
        <v>0</v>
      </c>
      <c r="JC6" s="476">
        <v>0</v>
      </c>
      <c r="JD6" s="476">
        <v>0</v>
      </c>
      <c r="JE6" s="476">
        <v>0</v>
      </c>
      <c r="JF6" s="476">
        <v>0</v>
      </c>
      <c r="JG6" s="476">
        <v>0</v>
      </c>
      <c r="JH6" s="476">
        <v>0</v>
      </c>
      <c r="JI6" s="476">
        <v>0</v>
      </c>
      <c r="JJ6" s="476">
        <v>0</v>
      </c>
      <c r="JK6" s="476">
        <v>0</v>
      </c>
      <c r="JL6" s="476">
        <v>0</v>
      </c>
      <c r="JM6" s="476">
        <v>0</v>
      </c>
      <c r="JN6" s="476">
        <v>32469</v>
      </c>
      <c r="JO6" s="476">
        <v>0</v>
      </c>
      <c r="JP6" s="476">
        <v>53.922000000000004</v>
      </c>
      <c r="JQ6" s="476">
        <v>13.897</v>
      </c>
      <c r="JR6" s="476">
        <v>0</v>
      </c>
      <c r="JS6" s="476">
        <v>501224</v>
      </c>
      <c r="JT6" s="476">
        <v>148352</v>
      </c>
      <c r="JU6" s="476">
        <v>0</v>
      </c>
      <c r="JV6" s="476">
        <v>186537</v>
      </c>
      <c r="JW6" s="476">
        <v>0</v>
      </c>
      <c r="JX6" s="476">
        <v>0</v>
      </c>
      <c r="JY6" s="476">
        <v>0</v>
      </c>
      <c r="JZ6" s="476">
        <v>0</v>
      </c>
      <c r="KA6" s="476">
        <v>0</v>
      </c>
      <c r="KB6" s="476">
        <v>0</v>
      </c>
      <c r="KC6" s="476">
        <v>0</v>
      </c>
      <c r="KD6" s="476">
        <v>0</v>
      </c>
      <c r="KE6" s="476">
        <v>7262</v>
      </c>
      <c r="KF6" s="476">
        <v>0</v>
      </c>
      <c r="KG6" s="476">
        <v>0</v>
      </c>
      <c r="KH6" s="476">
        <v>13311658</v>
      </c>
      <c r="KI6" s="476">
        <v>0</v>
      </c>
      <c r="KJ6" s="476">
        <v>18</v>
      </c>
      <c r="KK6" s="476">
        <v>44</v>
      </c>
      <c r="KL6" s="476">
        <v>11088</v>
      </c>
      <c r="KM6" s="476">
        <v>27103</v>
      </c>
      <c r="KN6" s="476">
        <v>0</v>
      </c>
    </row>
    <row r="7" spans="1:300" x14ac:dyDescent="0.25">
      <c r="A7" s="476">
        <v>40976</v>
      </c>
      <c r="B7" s="476">
        <v>14803</v>
      </c>
      <c r="C7" s="476">
        <v>9</v>
      </c>
      <c r="D7" s="476">
        <v>2024</v>
      </c>
      <c r="E7" s="476">
        <v>6160</v>
      </c>
      <c r="F7" s="476">
        <v>0</v>
      </c>
      <c r="G7" s="476">
        <v>623.28</v>
      </c>
      <c r="H7" s="476">
        <v>551.74700000000007</v>
      </c>
      <c r="I7" s="476">
        <v>551.74700000000007</v>
      </c>
      <c r="J7" s="476">
        <v>623.28</v>
      </c>
      <c r="K7" s="476">
        <v>0</v>
      </c>
      <c r="L7" s="476">
        <v>6160</v>
      </c>
      <c r="M7" s="476">
        <v>0</v>
      </c>
      <c r="N7" s="476">
        <v>0</v>
      </c>
      <c r="O7" s="476">
        <v>0</v>
      </c>
      <c r="P7" s="476">
        <v>625.66500000000008</v>
      </c>
      <c r="Q7" s="476">
        <v>0</v>
      </c>
      <c r="R7" s="476">
        <v>259578</v>
      </c>
      <c r="S7" s="476">
        <v>414.88400000000001</v>
      </c>
      <c r="T7" s="476">
        <v>0</v>
      </c>
      <c r="U7" s="476">
        <v>0</v>
      </c>
      <c r="V7" s="476">
        <v>37.230000000000004</v>
      </c>
      <c r="W7" s="476">
        <v>22933</v>
      </c>
      <c r="X7" s="476">
        <v>22933</v>
      </c>
      <c r="Y7" s="476">
        <v>0</v>
      </c>
      <c r="Z7" s="476">
        <v>0</v>
      </c>
      <c r="AA7" s="476">
        <v>0</v>
      </c>
      <c r="AB7" s="476">
        <v>0</v>
      </c>
      <c r="AC7" s="476">
        <v>0</v>
      </c>
      <c r="AD7" s="476" t="s">
        <v>314</v>
      </c>
      <c r="AE7" s="476">
        <v>0</v>
      </c>
      <c r="AF7" s="476">
        <v>0</v>
      </c>
      <c r="AG7" s="476">
        <v>0</v>
      </c>
      <c r="AH7" s="476">
        <v>0</v>
      </c>
      <c r="AI7" s="476">
        <v>0</v>
      </c>
      <c r="AJ7" s="476">
        <v>6160</v>
      </c>
      <c r="AK7" s="476" t="s">
        <v>651</v>
      </c>
      <c r="AL7" s="476" t="s">
        <v>315</v>
      </c>
      <c r="AM7" s="476">
        <v>0</v>
      </c>
      <c r="AN7" s="476">
        <v>0</v>
      </c>
      <c r="AO7" s="476">
        <v>0</v>
      </c>
      <c r="AP7" s="476">
        <v>0</v>
      </c>
      <c r="AQ7" s="476">
        <v>0</v>
      </c>
      <c r="AR7" s="476">
        <v>0</v>
      </c>
      <c r="AS7" s="476">
        <v>0</v>
      </c>
      <c r="AT7" s="476">
        <v>0</v>
      </c>
      <c r="AU7" s="476">
        <v>0</v>
      </c>
      <c r="AV7" s="476">
        <v>0</v>
      </c>
      <c r="AW7" s="476">
        <v>6811460</v>
      </c>
      <c r="AX7" s="476">
        <v>6708989</v>
      </c>
      <c r="AY7" s="476">
        <v>0</v>
      </c>
      <c r="AZ7" s="476">
        <v>259578</v>
      </c>
      <c r="BA7" s="476">
        <v>34.5</v>
      </c>
      <c r="BB7" s="476">
        <v>13214</v>
      </c>
      <c r="BC7" s="476">
        <v>13129</v>
      </c>
      <c r="BD7" s="476">
        <v>31</v>
      </c>
      <c r="BE7" s="476">
        <v>84</v>
      </c>
      <c r="BF7" s="476">
        <v>5983805</v>
      </c>
      <c r="BG7" s="476">
        <v>0</v>
      </c>
      <c r="BH7" s="476">
        <v>0</v>
      </c>
      <c r="BI7" s="476">
        <v>0</v>
      </c>
      <c r="BJ7" s="476">
        <v>12</v>
      </c>
      <c r="BK7" s="476">
        <v>0</v>
      </c>
      <c r="BL7" s="476">
        <v>0</v>
      </c>
      <c r="BM7" s="476">
        <v>0</v>
      </c>
      <c r="BN7" s="476">
        <v>0</v>
      </c>
      <c r="BO7" s="476">
        <v>0</v>
      </c>
      <c r="BP7" s="476">
        <v>0</v>
      </c>
      <c r="BQ7" s="476">
        <v>685</v>
      </c>
      <c r="BR7" s="476">
        <v>0</v>
      </c>
      <c r="BS7" s="476">
        <v>0</v>
      </c>
      <c r="BT7" s="476">
        <v>0</v>
      </c>
      <c r="BU7" s="476">
        <v>0</v>
      </c>
      <c r="BV7" s="476">
        <v>0</v>
      </c>
      <c r="BW7" s="476">
        <v>0</v>
      </c>
      <c r="BX7" s="476">
        <v>0</v>
      </c>
      <c r="BY7" s="476">
        <v>0</v>
      </c>
      <c r="BZ7" s="476">
        <v>0</v>
      </c>
      <c r="CA7" s="476">
        <v>0</v>
      </c>
      <c r="CB7" s="476">
        <v>0</v>
      </c>
      <c r="CC7" s="476">
        <v>0</v>
      </c>
      <c r="CD7" s="476">
        <v>0</v>
      </c>
      <c r="CE7" s="476">
        <v>0</v>
      </c>
      <c r="CF7" s="476">
        <v>0</v>
      </c>
      <c r="CG7" s="476">
        <v>0</v>
      </c>
      <c r="CH7" s="476">
        <v>105225</v>
      </c>
      <c r="CI7" s="476">
        <v>0</v>
      </c>
      <c r="CJ7" s="476">
        <v>4</v>
      </c>
      <c r="CK7" s="476">
        <v>0</v>
      </c>
      <c r="CL7" s="476">
        <v>0</v>
      </c>
      <c r="CM7" s="476">
        <v>0</v>
      </c>
      <c r="CN7" s="476">
        <v>0</v>
      </c>
      <c r="CO7" s="476">
        <v>1</v>
      </c>
      <c r="CP7" s="476">
        <v>0</v>
      </c>
      <c r="CQ7" s="476">
        <v>1</v>
      </c>
      <c r="CR7" s="476">
        <v>623.28</v>
      </c>
      <c r="CS7" s="476">
        <v>0</v>
      </c>
      <c r="CT7" s="476">
        <v>0</v>
      </c>
      <c r="CU7" s="476">
        <v>0</v>
      </c>
      <c r="CV7" s="476">
        <v>0</v>
      </c>
      <c r="CW7" s="476">
        <v>0</v>
      </c>
      <c r="CX7" s="476">
        <v>0</v>
      </c>
      <c r="CY7" s="476">
        <v>0</v>
      </c>
      <c r="CZ7" s="476">
        <v>0</v>
      </c>
      <c r="DA7" s="476">
        <v>0</v>
      </c>
      <c r="DB7" s="476">
        <v>3398684</v>
      </c>
      <c r="DC7" s="476">
        <v>0</v>
      </c>
      <c r="DD7" s="476">
        <v>0</v>
      </c>
      <c r="DE7" s="476">
        <v>727017</v>
      </c>
      <c r="DF7" s="476">
        <v>727017</v>
      </c>
      <c r="DG7" s="476">
        <v>118.02500000000001</v>
      </c>
      <c r="DH7" s="476">
        <v>0</v>
      </c>
      <c r="DI7" s="476">
        <v>0</v>
      </c>
      <c r="DJ7" s="476">
        <v>0</v>
      </c>
      <c r="DK7" s="476">
        <v>2583</v>
      </c>
      <c r="DL7" s="476">
        <v>0</v>
      </c>
      <c r="DM7" s="476">
        <v>776432</v>
      </c>
      <c r="DN7" s="476">
        <v>2669</v>
      </c>
      <c r="DO7" s="476">
        <v>0</v>
      </c>
      <c r="DP7" s="476">
        <v>0</v>
      </c>
      <c r="DQ7" s="476">
        <v>0</v>
      </c>
      <c r="DR7" s="476">
        <v>0</v>
      </c>
      <c r="DS7" s="476">
        <v>0</v>
      </c>
      <c r="DT7" s="476">
        <v>0</v>
      </c>
      <c r="DU7" s="476">
        <v>0</v>
      </c>
      <c r="DV7" s="476">
        <v>0</v>
      </c>
      <c r="DW7" s="476">
        <v>0</v>
      </c>
      <c r="DX7" s="476">
        <v>0</v>
      </c>
      <c r="DY7" s="476">
        <v>0</v>
      </c>
      <c r="DZ7" s="476">
        <v>0</v>
      </c>
      <c r="EA7" s="476">
        <v>0</v>
      </c>
      <c r="EB7" s="476">
        <v>0</v>
      </c>
      <c r="EC7" s="476">
        <v>1.0150000000000001</v>
      </c>
      <c r="ED7" s="476">
        <v>7190</v>
      </c>
      <c r="EE7" s="476">
        <v>0</v>
      </c>
      <c r="EF7" s="476">
        <v>0</v>
      </c>
      <c r="EG7" s="476">
        <v>0</v>
      </c>
      <c r="EH7" s="476">
        <v>771911</v>
      </c>
      <c r="EI7" s="476">
        <v>0</v>
      </c>
      <c r="EJ7" s="476">
        <v>0</v>
      </c>
      <c r="EK7" s="476">
        <v>39.151000000000003</v>
      </c>
      <c r="EL7" s="476">
        <v>0</v>
      </c>
      <c r="EM7" s="476">
        <v>0</v>
      </c>
      <c r="EN7" s="476">
        <v>1.5720000000000001</v>
      </c>
      <c r="EO7" s="476">
        <v>0</v>
      </c>
      <c r="EP7" s="476">
        <v>0</v>
      </c>
      <c r="EQ7" s="476">
        <v>40.722999999999999</v>
      </c>
      <c r="ER7" s="476">
        <v>0</v>
      </c>
      <c r="ES7" s="476">
        <v>125.313</v>
      </c>
      <c r="ET7" s="476">
        <v>0</v>
      </c>
      <c r="EU7" s="476">
        <v>0</v>
      </c>
      <c r="EV7" s="476">
        <v>0</v>
      </c>
      <c r="EW7" s="476">
        <v>0</v>
      </c>
      <c r="EX7" s="476">
        <v>0</v>
      </c>
      <c r="EY7" s="476">
        <v>0</v>
      </c>
      <c r="EZ7" s="476">
        <v>5807338</v>
      </c>
      <c r="FA7" s="476">
        <v>0</v>
      </c>
      <c r="FB7" s="476">
        <v>6064162</v>
      </c>
      <c r="FC7" s="476">
        <v>0</v>
      </c>
      <c r="FD7" s="476">
        <v>0</v>
      </c>
      <c r="FE7" s="476">
        <v>772618</v>
      </c>
      <c r="FF7" s="476">
        <v>129033</v>
      </c>
      <c r="FG7" s="476">
        <v>6.3017999999999991E-2</v>
      </c>
      <c r="FH7" s="476">
        <v>2.6953999999999999E-2</v>
      </c>
      <c r="FI7" s="476">
        <v>0</v>
      </c>
      <c r="FJ7" s="476">
        <v>0</v>
      </c>
      <c r="FK7" s="476">
        <v>971.4190000000001</v>
      </c>
      <c r="FL7" s="476">
        <v>7071038</v>
      </c>
      <c r="FM7" s="476">
        <v>0</v>
      </c>
      <c r="FN7" s="476">
        <v>0</v>
      </c>
      <c r="FO7" s="476">
        <v>80141</v>
      </c>
      <c r="FP7" s="476">
        <v>0</v>
      </c>
      <c r="FQ7" s="476">
        <v>80141</v>
      </c>
      <c r="FR7" s="476">
        <v>80141</v>
      </c>
      <c r="FS7" s="476">
        <v>0</v>
      </c>
      <c r="FT7" s="476">
        <v>0</v>
      </c>
      <c r="FU7" s="476">
        <v>0</v>
      </c>
      <c r="FV7" s="476">
        <v>0</v>
      </c>
      <c r="FW7" s="476">
        <v>0</v>
      </c>
      <c r="FX7" s="476">
        <v>0</v>
      </c>
      <c r="FY7" s="476">
        <v>0</v>
      </c>
      <c r="FZ7" s="476">
        <v>0</v>
      </c>
      <c r="GA7" s="476">
        <v>0</v>
      </c>
      <c r="GB7" s="476">
        <v>301199</v>
      </c>
      <c r="GC7" s="476">
        <v>301199</v>
      </c>
      <c r="GD7" s="476">
        <v>30.810000000000002</v>
      </c>
      <c r="GE7" s="476">
        <v>0</v>
      </c>
      <c r="GF7" s="476">
        <v>0</v>
      </c>
      <c r="GG7" s="476">
        <v>0</v>
      </c>
      <c r="GH7" s="476">
        <v>0</v>
      </c>
      <c r="GI7" s="476">
        <v>0</v>
      </c>
      <c r="GJ7" s="476">
        <v>0</v>
      </c>
      <c r="GK7" s="476">
        <v>0</v>
      </c>
      <c r="GL7" s="476">
        <v>0</v>
      </c>
      <c r="GM7" s="476">
        <v>0</v>
      </c>
      <c r="GN7" s="476">
        <v>0</v>
      </c>
      <c r="GO7" s="476">
        <v>0</v>
      </c>
      <c r="GP7" s="476">
        <v>0</v>
      </c>
      <c r="GQ7" s="476">
        <v>6706235</v>
      </c>
      <c r="GR7" s="476">
        <v>0</v>
      </c>
      <c r="GS7" s="476">
        <v>0</v>
      </c>
      <c r="GT7" s="476">
        <v>0</v>
      </c>
      <c r="GU7" s="476">
        <v>0</v>
      </c>
      <c r="GV7" s="476">
        <v>0</v>
      </c>
      <c r="GW7" s="476">
        <v>0</v>
      </c>
      <c r="GX7" s="476">
        <v>0</v>
      </c>
      <c r="GY7" s="476">
        <v>0</v>
      </c>
      <c r="GZ7" s="476">
        <v>0</v>
      </c>
      <c r="HA7" s="476">
        <v>0</v>
      </c>
      <c r="HB7" s="476">
        <v>323396213</v>
      </c>
      <c r="HC7" s="476">
        <v>4.2206E-2</v>
      </c>
      <c r="HD7" s="476">
        <v>105225</v>
      </c>
      <c r="HE7" s="476">
        <v>0</v>
      </c>
      <c r="HF7" s="476">
        <v>608025</v>
      </c>
      <c r="HG7" s="476">
        <v>14784</v>
      </c>
      <c r="HH7" s="476">
        <v>107615</v>
      </c>
      <c r="HI7" s="476">
        <v>0</v>
      </c>
      <c r="HJ7" s="476">
        <v>6233</v>
      </c>
      <c r="HK7" s="476">
        <v>2044</v>
      </c>
      <c r="HL7" s="476">
        <v>926</v>
      </c>
      <c r="HM7" s="476">
        <v>5000</v>
      </c>
      <c r="HN7" s="476">
        <v>0</v>
      </c>
      <c r="HO7" s="476">
        <v>0</v>
      </c>
      <c r="HP7" s="476">
        <v>0</v>
      </c>
      <c r="HQ7" s="476">
        <v>0</v>
      </c>
      <c r="HR7" s="476">
        <v>0</v>
      </c>
      <c r="HS7" s="476">
        <v>5804584</v>
      </c>
      <c r="HT7" s="476">
        <v>129033</v>
      </c>
      <c r="HU7" s="476">
        <v>0</v>
      </c>
      <c r="HV7" s="476">
        <v>0</v>
      </c>
      <c r="HW7" s="476">
        <v>0</v>
      </c>
      <c r="HX7" s="476">
        <v>108</v>
      </c>
      <c r="HY7" s="476">
        <v>115</v>
      </c>
      <c r="HZ7" s="476">
        <v>79</v>
      </c>
      <c r="IA7" s="476">
        <v>95</v>
      </c>
      <c r="IB7" s="476">
        <v>79</v>
      </c>
      <c r="IC7" s="476">
        <v>476</v>
      </c>
      <c r="ID7" s="476">
        <v>0</v>
      </c>
      <c r="IE7" s="476">
        <v>0</v>
      </c>
      <c r="IF7" s="476">
        <v>0</v>
      </c>
      <c r="IG7" s="476">
        <v>24</v>
      </c>
      <c r="IH7" s="476">
        <v>174.703</v>
      </c>
      <c r="II7" s="476">
        <v>0</v>
      </c>
      <c r="IJ7" s="476">
        <v>37.230000000000004</v>
      </c>
      <c r="IK7" s="476">
        <v>0</v>
      </c>
      <c r="IL7" s="476">
        <v>1</v>
      </c>
      <c r="IM7" s="476">
        <v>0</v>
      </c>
      <c r="IN7" s="476">
        <v>0</v>
      </c>
      <c r="IO7" s="476">
        <v>1</v>
      </c>
      <c r="IP7" s="476">
        <v>0</v>
      </c>
      <c r="IQ7" s="476">
        <v>37.230000000000004</v>
      </c>
      <c r="IR7" s="476">
        <v>22933</v>
      </c>
      <c r="IS7" s="476">
        <v>0</v>
      </c>
      <c r="IT7" s="476">
        <v>5000</v>
      </c>
      <c r="IU7" s="476">
        <v>0</v>
      </c>
      <c r="IV7" s="476">
        <v>0</v>
      </c>
      <c r="IW7" s="476">
        <v>6160</v>
      </c>
      <c r="IX7" s="476">
        <v>0</v>
      </c>
      <c r="IY7" s="476">
        <v>0</v>
      </c>
      <c r="IZ7" s="476">
        <v>0</v>
      </c>
      <c r="JA7" s="476">
        <v>0</v>
      </c>
      <c r="JB7" s="476">
        <v>0</v>
      </c>
      <c r="JC7" s="476">
        <v>0</v>
      </c>
      <c r="JD7" s="476">
        <v>0</v>
      </c>
      <c r="JE7" s="476">
        <v>0</v>
      </c>
      <c r="JF7" s="476">
        <v>0</v>
      </c>
      <c r="JG7" s="476">
        <v>0</v>
      </c>
      <c r="JH7" s="476">
        <v>0</v>
      </c>
      <c r="JI7" s="476">
        <v>0</v>
      </c>
      <c r="JJ7" s="476">
        <v>0</v>
      </c>
      <c r="JK7" s="476">
        <v>0</v>
      </c>
      <c r="JL7" s="476">
        <v>0</v>
      </c>
      <c r="JM7" s="476">
        <v>0</v>
      </c>
      <c r="JN7" s="476">
        <v>32469</v>
      </c>
      <c r="JO7" s="476">
        <v>0</v>
      </c>
      <c r="JP7" s="476">
        <v>20.077000000000002</v>
      </c>
      <c r="JQ7" s="476">
        <v>10.733000000000001</v>
      </c>
      <c r="JR7" s="476">
        <v>0</v>
      </c>
      <c r="JS7" s="476">
        <v>186623</v>
      </c>
      <c r="JT7" s="476">
        <v>114576</v>
      </c>
      <c r="JU7" s="476">
        <v>13367</v>
      </c>
      <c r="JV7" s="476">
        <v>0</v>
      </c>
      <c r="JW7" s="476">
        <v>0</v>
      </c>
      <c r="JX7" s="476">
        <v>0</v>
      </c>
      <c r="JY7" s="476">
        <v>0</v>
      </c>
      <c r="JZ7" s="476">
        <v>0</v>
      </c>
      <c r="KA7" s="476">
        <v>0</v>
      </c>
      <c r="KB7" s="476">
        <v>0</v>
      </c>
      <c r="KC7" s="476">
        <v>0</v>
      </c>
      <c r="KD7" s="476">
        <v>13367</v>
      </c>
      <c r="KE7" s="476">
        <v>7262</v>
      </c>
      <c r="KF7" s="476">
        <v>0</v>
      </c>
      <c r="KG7" s="476">
        <v>0</v>
      </c>
      <c r="KH7" s="476">
        <v>6706235</v>
      </c>
      <c r="KI7" s="476">
        <v>0</v>
      </c>
      <c r="KJ7" s="476">
        <v>15</v>
      </c>
      <c r="KK7" s="476">
        <v>9</v>
      </c>
      <c r="KL7" s="476">
        <v>9240</v>
      </c>
      <c r="KM7" s="476">
        <v>5544</v>
      </c>
      <c r="KN7" s="476">
        <v>0</v>
      </c>
    </row>
    <row r="8" spans="1:300" x14ac:dyDescent="0.25">
      <c r="A8" s="476">
        <v>40976</v>
      </c>
      <c r="B8" s="476">
        <v>14804</v>
      </c>
      <c r="C8" s="476">
        <v>9</v>
      </c>
      <c r="D8" s="476">
        <v>2024</v>
      </c>
      <c r="E8" s="476">
        <v>6160</v>
      </c>
      <c r="F8" s="476">
        <v>0</v>
      </c>
      <c r="G8" s="476">
        <v>1793.55</v>
      </c>
      <c r="H8" s="476">
        <v>1635.307</v>
      </c>
      <c r="I8" s="476">
        <v>1635.307</v>
      </c>
      <c r="J8" s="476">
        <v>1793.55</v>
      </c>
      <c r="K8" s="476">
        <v>0</v>
      </c>
      <c r="L8" s="476">
        <v>6160</v>
      </c>
      <c r="M8" s="476">
        <v>0</v>
      </c>
      <c r="N8" s="476">
        <v>0</v>
      </c>
      <c r="O8" s="476">
        <v>0</v>
      </c>
      <c r="P8" s="476">
        <v>1796.2170000000001</v>
      </c>
      <c r="Q8" s="476">
        <v>0</v>
      </c>
      <c r="R8" s="476">
        <v>745222</v>
      </c>
      <c r="S8" s="476">
        <v>414.88400000000001</v>
      </c>
      <c r="T8" s="476">
        <v>0</v>
      </c>
      <c r="U8" s="476">
        <v>0</v>
      </c>
      <c r="V8" s="476">
        <v>54.017000000000003</v>
      </c>
      <c r="W8" s="476">
        <v>33274</v>
      </c>
      <c r="X8" s="476">
        <v>33274</v>
      </c>
      <c r="Y8" s="476">
        <v>0</v>
      </c>
      <c r="Z8" s="476">
        <v>0</v>
      </c>
      <c r="AA8" s="476">
        <v>0</v>
      </c>
      <c r="AB8" s="476">
        <v>0</v>
      </c>
      <c r="AC8" s="476">
        <v>0</v>
      </c>
      <c r="AD8" s="476" t="s">
        <v>314</v>
      </c>
      <c r="AE8" s="476">
        <v>0</v>
      </c>
      <c r="AF8" s="476">
        <v>0</v>
      </c>
      <c r="AG8" s="476">
        <v>0</v>
      </c>
      <c r="AH8" s="476">
        <v>0</v>
      </c>
      <c r="AI8" s="476">
        <v>0</v>
      </c>
      <c r="AJ8" s="476">
        <v>6160</v>
      </c>
      <c r="AK8" s="476" t="s">
        <v>651</v>
      </c>
      <c r="AL8" s="476" t="s">
        <v>1</v>
      </c>
      <c r="AM8" s="476">
        <v>0</v>
      </c>
      <c r="AN8" s="476">
        <v>0</v>
      </c>
      <c r="AO8" s="476">
        <v>0</v>
      </c>
      <c r="AP8" s="476">
        <v>0</v>
      </c>
      <c r="AQ8" s="476">
        <v>0</v>
      </c>
      <c r="AR8" s="476">
        <v>0</v>
      </c>
      <c r="AS8" s="476">
        <v>0</v>
      </c>
      <c r="AT8" s="476">
        <v>0</v>
      </c>
      <c r="AU8" s="476">
        <v>0</v>
      </c>
      <c r="AV8" s="476">
        <v>0</v>
      </c>
      <c r="AW8" s="476">
        <v>17419509</v>
      </c>
      <c r="AX8" s="476">
        <v>17124631</v>
      </c>
      <c r="AY8" s="476">
        <v>0</v>
      </c>
      <c r="AZ8" s="476">
        <v>745222</v>
      </c>
      <c r="BA8" s="476">
        <v>36.332999999999998</v>
      </c>
      <c r="BB8" s="476">
        <v>0</v>
      </c>
      <c r="BC8" s="476">
        <v>0</v>
      </c>
      <c r="BD8" s="476">
        <v>0</v>
      </c>
      <c r="BE8" s="476">
        <v>0</v>
      </c>
      <c r="BF8" s="476">
        <v>15511599</v>
      </c>
      <c r="BG8" s="476">
        <v>0</v>
      </c>
      <c r="BH8" s="476">
        <v>0</v>
      </c>
      <c r="BI8" s="476">
        <v>0</v>
      </c>
      <c r="BJ8" s="476">
        <v>12</v>
      </c>
      <c r="BK8" s="476">
        <v>0</v>
      </c>
      <c r="BL8" s="476">
        <v>0</v>
      </c>
      <c r="BM8" s="476">
        <v>0</v>
      </c>
      <c r="BN8" s="476">
        <v>0</v>
      </c>
      <c r="BO8" s="476">
        <v>0</v>
      </c>
      <c r="BP8" s="476">
        <v>0</v>
      </c>
      <c r="BQ8" s="476">
        <v>518</v>
      </c>
      <c r="BR8" s="476">
        <v>0</v>
      </c>
      <c r="BS8" s="476">
        <v>0</v>
      </c>
      <c r="BT8" s="476">
        <v>0</v>
      </c>
      <c r="BU8" s="476">
        <v>0</v>
      </c>
      <c r="BV8" s="476">
        <v>0</v>
      </c>
      <c r="BW8" s="476">
        <v>0</v>
      </c>
      <c r="BX8" s="476">
        <v>0</v>
      </c>
      <c r="BY8" s="476">
        <v>0</v>
      </c>
      <c r="BZ8" s="476">
        <v>0</v>
      </c>
      <c r="CA8" s="476">
        <v>0</v>
      </c>
      <c r="CB8" s="476">
        <v>0</v>
      </c>
      <c r="CC8" s="476">
        <v>0</v>
      </c>
      <c r="CD8" s="476">
        <v>0</v>
      </c>
      <c r="CE8" s="476">
        <v>0</v>
      </c>
      <c r="CF8" s="476">
        <v>0</v>
      </c>
      <c r="CG8" s="476">
        <v>0</v>
      </c>
      <c r="CH8" s="476">
        <v>302796</v>
      </c>
      <c r="CI8" s="476">
        <v>0</v>
      </c>
      <c r="CJ8" s="476">
        <v>4</v>
      </c>
      <c r="CK8" s="476">
        <v>0</v>
      </c>
      <c r="CL8" s="476">
        <v>0</v>
      </c>
      <c r="CM8" s="476">
        <v>0</v>
      </c>
      <c r="CN8" s="476">
        <v>0</v>
      </c>
      <c r="CO8" s="476">
        <v>1</v>
      </c>
      <c r="CP8" s="476">
        <v>0</v>
      </c>
      <c r="CQ8" s="476">
        <v>10.083</v>
      </c>
      <c r="CR8" s="476">
        <v>1793.55</v>
      </c>
      <c r="CS8" s="476">
        <v>0</v>
      </c>
      <c r="CT8" s="476">
        <v>0</v>
      </c>
      <c r="CU8" s="476">
        <v>0</v>
      </c>
      <c r="CV8" s="476">
        <v>0</v>
      </c>
      <c r="CW8" s="476">
        <v>0</v>
      </c>
      <c r="CX8" s="476">
        <v>0</v>
      </c>
      <c r="CY8" s="476">
        <v>0</v>
      </c>
      <c r="CZ8" s="476">
        <v>0</v>
      </c>
      <c r="DA8" s="476">
        <v>0</v>
      </c>
      <c r="DB8" s="476">
        <v>10073262</v>
      </c>
      <c r="DC8" s="476">
        <v>0</v>
      </c>
      <c r="DD8" s="476">
        <v>0</v>
      </c>
      <c r="DE8" s="476">
        <v>380602</v>
      </c>
      <c r="DF8" s="476">
        <v>380602</v>
      </c>
      <c r="DG8" s="476">
        <v>61.788000000000004</v>
      </c>
      <c r="DH8" s="476">
        <v>0</v>
      </c>
      <c r="DI8" s="476">
        <v>0</v>
      </c>
      <c r="DJ8" s="476">
        <v>0</v>
      </c>
      <c r="DK8" s="476">
        <v>0</v>
      </c>
      <c r="DL8" s="476">
        <v>0</v>
      </c>
      <c r="DM8" s="476">
        <v>2302884</v>
      </c>
      <c r="DN8" s="476">
        <v>7917</v>
      </c>
      <c r="DO8" s="476">
        <v>0</v>
      </c>
      <c r="DP8" s="476">
        <v>0</v>
      </c>
      <c r="DQ8" s="476">
        <v>0</v>
      </c>
      <c r="DR8" s="476">
        <v>0</v>
      </c>
      <c r="DS8" s="476">
        <v>0</v>
      </c>
      <c r="DT8" s="476">
        <v>0</v>
      </c>
      <c r="DU8" s="476">
        <v>0</v>
      </c>
      <c r="DV8" s="476">
        <v>0</v>
      </c>
      <c r="DW8" s="476">
        <v>0</v>
      </c>
      <c r="DX8" s="476">
        <v>0</v>
      </c>
      <c r="DY8" s="476">
        <v>0</v>
      </c>
      <c r="DZ8" s="476">
        <v>0</v>
      </c>
      <c r="EA8" s="476">
        <v>0</v>
      </c>
      <c r="EB8" s="476">
        <v>0</v>
      </c>
      <c r="EC8" s="476">
        <v>63.75</v>
      </c>
      <c r="ED8" s="476">
        <v>451595</v>
      </c>
      <c r="EE8" s="476">
        <v>0</v>
      </c>
      <c r="EF8" s="476">
        <v>0</v>
      </c>
      <c r="EG8" s="476">
        <v>0</v>
      </c>
      <c r="EH8" s="476">
        <v>1117583</v>
      </c>
      <c r="EI8" s="476">
        <v>741623</v>
      </c>
      <c r="EJ8" s="476">
        <v>30.099</v>
      </c>
      <c r="EK8" s="476">
        <v>53.173999999999999</v>
      </c>
      <c r="EL8" s="476">
        <v>0</v>
      </c>
      <c r="EM8" s="476">
        <v>1.4710000000000001</v>
      </c>
      <c r="EN8" s="476">
        <v>3.4990000000000001</v>
      </c>
      <c r="EO8" s="476">
        <v>0</v>
      </c>
      <c r="EP8" s="476">
        <v>0</v>
      </c>
      <c r="EQ8" s="476">
        <v>88.243000000000009</v>
      </c>
      <c r="ER8" s="476">
        <v>0</v>
      </c>
      <c r="ES8" s="476">
        <v>181.43</v>
      </c>
      <c r="ET8" s="476">
        <v>0</v>
      </c>
      <c r="EU8" s="476">
        <v>0</v>
      </c>
      <c r="EV8" s="476">
        <v>0</v>
      </c>
      <c r="EW8" s="476">
        <v>0</v>
      </c>
      <c r="EX8" s="476">
        <v>0</v>
      </c>
      <c r="EY8" s="476">
        <v>0</v>
      </c>
      <c r="EZ8" s="476">
        <v>14787314</v>
      </c>
      <c r="FA8" s="476">
        <v>0</v>
      </c>
      <c r="FB8" s="476">
        <v>15524618</v>
      </c>
      <c r="FC8" s="476">
        <v>0</v>
      </c>
      <c r="FD8" s="476">
        <v>0</v>
      </c>
      <c r="FE8" s="476">
        <v>2002830</v>
      </c>
      <c r="FF8" s="476">
        <v>334487</v>
      </c>
      <c r="FG8" s="476">
        <v>6.3017999999999991E-2</v>
      </c>
      <c r="FH8" s="476">
        <v>2.6953999999999999E-2</v>
      </c>
      <c r="FI8" s="476">
        <v>0</v>
      </c>
      <c r="FJ8" s="476">
        <v>0</v>
      </c>
      <c r="FK8" s="476">
        <v>2518.174</v>
      </c>
      <c r="FL8" s="476">
        <v>18164731</v>
      </c>
      <c r="FM8" s="476">
        <v>0</v>
      </c>
      <c r="FN8" s="476">
        <v>0</v>
      </c>
      <c r="FO8" s="476">
        <v>0</v>
      </c>
      <c r="FP8" s="476">
        <v>0</v>
      </c>
      <c r="FQ8" s="476">
        <v>0</v>
      </c>
      <c r="FR8" s="476">
        <v>0</v>
      </c>
      <c r="FS8" s="476">
        <v>0</v>
      </c>
      <c r="FT8" s="476">
        <v>0</v>
      </c>
      <c r="FU8" s="476">
        <v>0</v>
      </c>
      <c r="FV8" s="476">
        <v>0</v>
      </c>
      <c r="FW8" s="476">
        <v>0</v>
      </c>
      <c r="FX8" s="476">
        <v>0</v>
      </c>
      <c r="FY8" s="476">
        <v>0</v>
      </c>
      <c r="FZ8" s="476">
        <v>0</v>
      </c>
      <c r="GA8" s="476">
        <v>0</v>
      </c>
      <c r="GB8" s="476">
        <v>662453</v>
      </c>
      <c r="GC8" s="476">
        <v>662453</v>
      </c>
      <c r="GD8" s="476">
        <v>70</v>
      </c>
      <c r="GE8" s="476">
        <v>0</v>
      </c>
      <c r="GF8" s="476">
        <v>0</v>
      </c>
      <c r="GG8" s="476">
        <v>0</v>
      </c>
      <c r="GH8" s="476">
        <v>0</v>
      </c>
      <c r="GI8" s="476">
        <v>0</v>
      </c>
      <c r="GJ8" s="476">
        <v>0</v>
      </c>
      <c r="GK8" s="476">
        <v>0</v>
      </c>
      <c r="GL8" s="476">
        <v>0</v>
      </c>
      <c r="GM8" s="476">
        <v>0</v>
      </c>
      <c r="GN8" s="476">
        <v>0</v>
      </c>
      <c r="GO8" s="476">
        <v>0</v>
      </c>
      <c r="GP8" s="476">
        <v>0</v>
      </c>
      <c r="GQ8" s="476">
        <v>17116713</v>
      </c>
      <c r="GR8" s="476">
        <v>0</v>
      </c>
      <c r="GS8" s="476">
        <v>0</v>
      </c>
      <c r="GT8" s="476">
        <v>0</v>
      </c>
      <c r="GU8" s="476">
        <v>0</v>
      </c>
      <c r="GV8" s="476">
        <v>0</v>
      </c>
      <c r="GW8" s="476">
        <v>0</v>
      </c>
      <c r="GX8" s="476">
        <v>0</v>
      </c>
      <c r="GY8" s="476">
        <v>0</v>
      </c>
      <c r="GZ8" s="476">
        <v>0</v>
      </c>
      <c r="HA8" s="476">
        <v>0</v>
      </c>
      <c r="HB8" s="476">
        <v>323396213</v>
      </c>
      <c r="HC8" s="476">
        <v>4.2206E-2</v>
      </c>
      <c r="HD8" s="476">
        <v>302796</v>
      </c>
      <c r="HE8" s="476">
        <v>0</v>
      </c>
      <c r="HF8" s="476">
        <v>1802108</v>
      </c>
      <c r="HG8" s="476">
        <v>105334</v>
      </c>
      <c r="HH8" s="476">
        <v>50829</v>
      </c>
      <c r="HI8" s="476">
        <v>0</v>
      </c>
      <c r="HJ8" s="476">
        <v>17936</v>
      </c>
      <c r="HK8" s="476">
        <v>6531</v>
      </c>
      <c r="HL8" s="476">
        <v>926</v>
      </c>
      <c r="HM8" s="476">
        <v>75000</v>
      </c>
      <c r="HN8" s="476">
        <v>0</v>
      </c>
      <c r="HO8" s="476">
        <v>0</v>
      </c>
      <c r="HP8" s="476">
        <v>0</v>
      </c>
      <c r="HQ8" s="476">
        <v>0</v>
      </c>
      <c r="HR8" s="476">
        <v>0</v>
      </c>
      <c r="HS8" s="476">
        <v>14779396</v>
      </c>
      <c r="HT8" s="476">
        <v>334487</v>
      </c>
      <c r="HU8" s="476">
        <v>0</v>
      </c>
      <c r="HV8" s="476">
        <v>0</v>
      </c>
      <c r="HW8" s="476">
        <v>0</v>
      </c>
      <c r="HX8" s="476">
        <v>80</v>
      </c>
      <c r="HY8" s="476">
        <v>69</v>
      </c>
      <c r="HZ8" s="476">
        <v>28</v>
      </c>
      <c r="IA8" s="476">
        <v>18</v>
      </c>
      <c r="IB8" s="476">
        <v>57</v>
      </c>
      <c r="IC8" s="476">
        <v>252</v>
      </c>
      <c r="ID8" s="476">
        <v>0</v>
      </c>
      <c r="IE8" s="476">
        <v>0</v>
      </c>
      <c r="IF8" s="476">
        <v>0</v>
      </c>
      <c r="IG8" s="476">
        <v>171</v>
      </c>
      <c r="IH8" s="476">
        <v>82.51700000000001</v>
      </c>
      <c r="II8" s="476">
        <v>0</v>
      </c>
      <c r="IJ8" s="476">
        <v>54.017000000000003</v>
      </c>
      <c r="IK8" s="476">
        <v>49.017000000000003</v>
      </c>
      <c r="IL8" s="476">
        <v>0</v>
      </c>
      <c r="IM8" s="476">
        <v>25</v>
      </c>
      <c r="IN8" s="476">
        <v>0</v>
      </c>
      <c r="IO8" s="476">
        <v>25</v>
      </c>
      <c r="IP8" s="476">
        <v>49.017000000000003</v>
      </c>
      <c r="IQ8" s="476">
        <v>54.017000000000003</v>
      </c>
      <c r="IR8" s="476">
        <v>33274</v>
      </c>
      <c r="IS8" s="476">
        <v>13480</v>
      </c>
      <c r="IT8" s="476">
        <v>0</v>
      </c>
      <c r="IU8" s="476">
        <v>75000</v>
      </c>
      <c r="IV8" s="476">
        <v>0</v>
      </c>
      <c r="IW8" s="476">
        <v>6160</v>
      </c>
      <c r="IX8" s="476">
        <v>0</v>
      </c>
      <c r="IY8" s="476">
        <v>0</v>
      </c>
      <c r="IZ8" s="476">
        <v>13480</v>
      </c>
      <c r="JA8" s="476">
        <v>0</v>
      </c>
      <c r="JB8" s="476">
        <v>0</v>
      </c>
      <c r="JC8" s="476">
        <v>0</v>
      </c>
      <c r="JD8" s="476">
        <v>0</v>
      </c>
      <c r="JE8" s="476">
        <v>0</v>
      </c>
      <c r="JF8" s="476">
        <v>0</v>
      </c>
      <c r="JG8" s="476">
        <v>0</v>
      </c>
      <c r="JH8" s="476">
        <v>0</v>
      </c>
      <c r="JI8" s="476">
        <v>0</v>
      </c>
      <c r="JJ8" s="476">
        <v>0</v>
      </c>
      <c r="JK8" s="476">
        <v>0</v>
      </c>
      <c r="JL8" s="476">
        <v>0</v>
      </c>
      <c r="JM8" s="476">
        <v>0</v>
      </c>
      <c r="JN8" s="476">
        <v>32469</v>
      </c>
      <c r="JO8" s="476">
        <v>6.7000000000000004E-2</v>
      </c>
      <c r="JP8" s="476">
        <v>61.333000000000006</v>
      </c>
      <c r="JQ8" s="476">
        <v>8.6</v>
      </c>
      <c r="JR8" s="476">
        <v>535</v>
      </c>
      <c r="JS8" s="476">
        <v>570112</v>
      </c>
      <c r="JT8" s="476">
        <v>91806</v>
      </c>
      <c r="JU8" s="476">
        <v>0</v>
      </c>
      <c r="JV8" s="476">
        <v>0</v>
      </c>
      <c r="JW8" s="476">
        <v>0</v>
      </c>
      <c r="JX8" s="476">
        <v>0</v>
      </c>
      <c r="JY8" s="476">
        <v>0</v>
      </c>
      <c r="JZ8" s="476">
        <v>0</v>
      </c>
      <c r="KA8" s="476">
        <v>0</v>
      </c>
      <c r="KB8" s="476">
        <v>0</v>
      </c>
      <c r="KC8" s="476">
        <v>0</v>
      </c>
      <c r="KD8" s="476">
        <v>0</v>
      </c>
      <c r="KE8" s="476">
        <v>7262</v>
      </c>
      <c r="KF8" s="476">
        <v>0</v>
      </c>
      <c r="KG8" s="476">
        <v>0</v>
      </c>
      <c r="KH8" s="476">
        <v>17116713</v>
      </c>
      <c r="KI8" s="476">
        <v>0</v>
      </c>
      <c r="KJ8" s="476">
        <v>114</v>
      </c>
      <c r="KK8" s="476">
        <v>57</v>
      </c>
      <c r="KL8" s="476">
        <v>70222</v>
      </c>
      <c r="KM8" s="476">
        <v>35111</v>
      </c>
      <c r="KN8" s="476">
        <v>0</v>
      </c>
    </row>
    <row r="9" spans="1:300" x14ac:dyDescent="0.25">
      <c r="A9" s="476">
        <v>40976</v>
      </c>
      <c r="B9" s="476">
        <v>15801</v>
      </c>
      <c r="C9" s="476">
        <v>9</v>
      </c>
      <c r="D9" s="476">
        <v>2024</v>
      </c>
      <c r="E9" s="476">
        <v>6160</v>
      </c>
      <c r="F9" s="476">
        <v>0</v>
      </c>
      <c r="G9" s="476">
        <v>127.8</v>
      </c>
      <c r="H9" s="476">
        <v>100.50700000000001</v>
      </c>
      <c r="I9" s="476">
        <v>100.50700000000001</v>
      </c>
      <c r="J9" s="476">
        <v>127.8</v>
      </c>
      <c r="K9" s="476">
        <v>0</v>
      </c>
      <c r="L9" s="476">
        <v>6160</v>
      </c>
      <c r="M9" s="476">
        <v>0</v>
      </c>
      <c r="N9" s="476">
        <v>0</v>
      </c>
      <c r="O9" s="476">
        <v>0</v>
      </c>
      <c r="P9" s="476">
        <v>126.76700000000001</v>
      </c>
      <c r="Q9" s="476">
        <v>0</v>
      </c>
      <c r="R9" s="476">
        <v>52594</v>
      </c>
      <c r="S9" s="476">
        <v>414.88400000000001</v>
      </c>
      <c r="T9" s="476">
        <v>0</v>
      </c>
      <c r="U9" s="476">
        <v>0</v>
      </c>
      <c r="V9" s="476">
        <v>0.35000000000000003</v>
      </c>
      <c r="W9" s="476">
        <v>216</v>
      </c>
      <c r="X9" s="476">
        <v>216</v>
      </c>
      <c r="Y9" s="476">
        <v>0</v>
      </c>
      <c r="Z9" s="476">
        <v>0</v>
      </c>
      <c r="AA9" s="476">
        <v>0</v>
      </c>
      <c r="AB9" s="476">
        <v>0</v>
      </c>
      <c r="AC9" s="476">
        <v>0</v>
      </c>
      <c r="AD9" s="476" t="s">
        <v>314</v>
      </c>
      <c r="AE9" s="476">
        <v>0</v>
      </c>
      <c r="AF9" s="476">
        <v>0</v>
      </c>
      <c r="AG9" s="476">
        <v>0</v>
      </c>
      <c r="AH9" s="476">
        <v>0</v>
      </c>
      <c r="AI9" s="476">
        <v>0</v>
      </c>
      <c r="AJ9" s="476">
        <v>6160</v>
      </c>
      <c r="AK9" s="476" t="s">
        <v>651</v>
      </c>
      <c r="AL9" s="476" t="s">
        <v>36</v>
      </c>
      <c r="AM9" s="476">
        <v>0</v>
      </c>
      <c r="AN9" s="476">
        <v>0</v>
      </c>
      <c r="AO9" s="476">
        <v>0</v>
      </c>
      <c r="AP9" s="476">
        <v>0</v>
      </c>
      <c r="AQ9" s="476">
        <v>0</v>
      </c>
      <c r="AR9" s="476">
        <v>0</v>
      </c>
      <c r="AS9" s="476">
        <v>0</v>
      </c>
      <c r="AT9" s="476">
        <v>0</v>
      </c>
      <c r="AU9" s="476">
        <v>0</v>
      </c>
      <c r="AV9" s="476">
        <v>0</v>
      </c>
      <c r="AW9" s="476">
        <v>1535642</v>
      </c>
      <c r="AX9" s="476">
        <v>1514599</v>
      </c>
      <c r="AY9" s="476">
        <v>0</v>
      </c>
      <c r="AZ9" s="476">
        <v>52594</v>
      </c>
      <c r="BA9" s="476">
        <v>20.833000000000002</v>
      </c>
      <c r="BB9" s="476">
        <v>0</v>
      </c>
      <c r="BC9" s="476">
        <v>0</v>
      </c>
      <c r="BD9" s="476">
        <v>0</v>
      </c>
      <c r="BE9" s="476">
        <v>0</v>
      </c>
      <c r="BF9" s="476">
        <v>1320507</v>
      </c>
      <c r="BG9" s="476">
        <v>0</v>
      </c>
      <c r="BH9" s="476">
        <v>0</v>
      </c>
      <c r="BI9" s="476">
        <v>0</v>
      </c>
      <c r="BJ9" s="476">
        <v>12</v>
      </c>
      <c r="BK9" s="476">
        <v>0</v>
      </c>
      <c r="BL9" s="476">
        <v>0</v>
      </c>
      <c r="BM9" s="476">
        <v>0</v>
      </c>
      <c r="BN9" s="476">
        <v>0</v>
      </c>
      <c r="BO9" s="476">
        <v>0</v>
      </c>
      <c r="BP9" s="476">
        <v>0</v>
      </c>
      <c r="BQ9" s="476">
        <v>755</v>
      </c>
      <c r="BR9" s="476">
        <v>0</v>
      </c>
      <c r="BS9" s="476">
        <v>0</v>
      </c>
      <c r="BT9" s="476">
        <v>0</v>
      </c>
      <c r="BU9" s="476">
        <v>0</v>
      </c>
      <c r="BV9" s="476">
        <v>0</v>
      </c>
      <c r="BW9" s="476">
        <v>0</v>
      </c>
      <c r="BX9" s="476">
        <v>0</v>
      </c>
      <c r="BY9" s="476">
        <v>0</v>
      </c>
      <c r="BZ9" s="476">
        <v>0</v>
      </c>
      <c r="CA9" s="476">
        <v>0</v>
      </c>
      <c r="CB9" s="476">
        <v>0</v>
      </c>
      <c r="CC9" s="476">
        <v>0</v>
      </c>
      <c r="CD9" s="476">
        <v>0</v>
      </c>
      <c r="CE9" s="476">
        <v>0</v>
      </c>
      <c r="CF9" s="476">
        <v>0</v>
      </c>
      <c r="CG9" s="476">
        <v>0</v>
      </c>
      <c r="CH9" s="476">
        <v>21576</v>
      </c>
      <c r="CI9" s="476">
        <v>0</v>
      </c>
      <c r="CJ9" s="476">
        <v>4</v>
      </c>
      <c r="CK9" s="476">
        <v>0</v>
      </c>
      <c r="CL9" s="476">
        <v>0</v>
      </c>
      <c r="CM9" s="476">
        <v>0</v>
      </c>
      <c r="CN9" s="476">
        <v>0</v>
      </c>
      <c r="CO9" s="476">
        <v>1</v>
      </c>
      <c r="CP9" s="476">
        <v>8.4000000000000005E-2</v>
      </c>
      <c r="CQ9" s="476">
        <v>1</v>
      </c>
      <c r="CR9" s="476">
        <v>127.8</v>
      </c>
      <c r="CS9" s="476">
        <v>0</v>
      </c>
      <c r="CT9" s="476">
        <v>0</v>
      </c>
      <c r="CU9" s="476">
        <v>0</v>
      </c>
      <c r="CV9" s="476">
        <v>0</v>
      </c>
      <c r="CW9" s="476">
        <v>0</v>
      </c>
      <c r="CX9" s="476">
        <v>0</v>
      </c>
      <c r="CY9" s="476">
        <v>0</v>
      </c>
      <c r="CZ9" s="476">
        <v>0</v>
      </c>
      <c r="DA9" s="476">
        <v>0</v>
      </c>
      <c r="DB9" s="476">
        <v>619109</v>
      </c>
      <c r="DC9" s="476">
        <v>0</v>
      </c>
      <c r="DD9" s="476">
        <v>0</v>
      </c>
      <c r="DE9" s="476">
        <v>181100</v>
      </c>
      <c r="DF9" s="476">
        <v>182347</v>
      </c>
      <c r="DG9" s="476">
        <v>29.400000000000002</v>
      </c>
      <c r="DH9" s="476">
        <v>0</v>
      </c>
      <c r="DI9" s="476">
        <v>1247</v>
      </c>
      <c r="DJ9" s="476">
        <v>0</v>
      </c>
      <c r="DK9" s="476">
        <v>3695</v>
      </c>
      <c r="DL9" s="476">
        <v>0</v>
      </c>
      <c r="DM9" s="476">
        <v>154866</v>
      </c>
      <c r="DN9" s="476">
        <v>532</v>
      </c>
      <c r="DO9" s="476">
        <v>0</v>
      </c>
      <c r="DP9" s="476">
        <v>0</v>
      </c>
      <c r="DQ9" s="476">
        <v>0</v>
      </c>
      <c r="DR9" s="476">
        <v>0</v>
      </c>
      <c r="DS9" s="476">
        <v>0</v>
      </c>
      <c r="DT9" s="476">
        <v>0</v>
      </c>
      <c r="DU9" s="476">
        <v>0</v>
      </c>
      <c r="DV9" s="476">
        <v>0</v>
      </c>
      <c r="DW9" s="476">
        <v>0</v>
      </c>
      <c r="DX9" s="476">
        <v>0</v>
      </c>
      <c r="DY9" s="476">
        <v>0</v>
      </c>
      <c r="DZ9" s="476">
        <v>0</v>
      </c>
      <c r="EA9" s="476">
        <v>0</v>
      </c>
      <c r="EB9" s="476">
        <v>0</v>
      </c>
      <c r="EC9" s="476">
        <v>18.083000000000002</v>
      </c>
      <c r="ED9" s="476">
        <v>128097</v>
      </c>
      <c r="EE9" s="476">
        <v>0</v>
      </c>
      <c r="EF9" s="476">
        <v>0</v>
      </c>
      <c r="EG9" s="476">
        <v>0</v>
      </c>
      <c r="EH9" s="476">
        <v>27301</v>
      </c>
      <c r="EI9" s="476">
        <v>0</v>
      </c>
      <c r="EJ9" s="476">
        <v>0</v>
      </c>
      <c r="EK9" s="476">
        <v>1.329</v>
      </c>
      <c r="EL9" s="476">
        <v>0</v>
      </c>
      <c r="EM9" s="476">
        <v>0</v>
      </c>
      <c r="EN9" s="476">
        <v>8.900000000000001E-2</v>
      </c>
      <c r="EO9" s="476">
        <v>0</v>
      </c>
      <c r="EP9" s="476">
        <v>0</v>
      </c>
      <c r="EQ9" s="476">
        <v>1.4180000000000001</v>
      </c>
      <c r="ER9" s="476">
        <v>0</v>
      </c>
      <c r="ES9" s="476">
        <v>4.4320000000000004</v>
      </c>
      <c r="ET9" s="476">
        <v>0</v>
      </c>
      <c r="EU9" s="476">
        <v>0</v>
      </c>
      <c r="EV9" s="476">
        <v>0</v>
      </c>
      <c r="EW9" s="476">
        <v>0</v>
      </c>
      <c r="EX9" s="476">
        <v>0</v>
      </c>
      <c r="EY9" s="476">
        <v>0</v>
      </c>
      <c r="EZ9" s="476">
        <v>1315622</v>
      </c>
      <c r="FA9" s="476">
        <v>0</v>
      </c>
      <c r="FB9" s="476">
        <v>1367683</v>
      </c>
      <c r="FC9" s="476">
        <v>0</v>
      </c>
      <c r="FD9" s="476">
        <v>0</v>
      </c>
      <c r="FE9" s="476">
        <v>170502</v>
      </c>
      <c r="FF9" s="476">
        <v>28475</v>
      </c>
      <c r="FG9" s="476">
        <v>6.3017999999999991E-2</v>
      </c>
      <c r="FH9" s="476">
        <v>2.6953999999999999E-2</v>
      </c>
      <c r="FI9" s="476">
        <v>0</v>
      </c>
      <c r="FJ9" s="476">
        <v>0</v>
      </c>
      <c r="FK9" s="476">
        <v>214.37300000000002</v>
      </c>
      <c r="FL9" s="476">
        <v>1588236</v>
      </c>
      <c r="FM9" s="476">
        <v>0</v>
      </c>
      <c r="FN9" s="476">
        <v>0</v>
      </c>
      <c r="FO9" s="476">
        <v>0</v>
      </c>
      <c r="FP9" s="476">
        <v>0</v>
      </c>
      <c r="FQ9" s="476">
        <v>0</v>
      </c>
      <c r="FR9" s="476">
        <v>0</v>
      </c>
      <c r="FS9" s="476">
        <v>0</v>
      </c>
      <c r="FT9" s="476">
        <v>0</v>
      </c>
      <c r="FU9" s="476">
        <v>0</v>
      </c>
      <c r="FV9" s="476">
        <v>0</v>
      </c>
      <c r="FW9" s="476">
        <v>0</v>
      </c>
      <c r="FX9" s="476">
        <v>0</v>
      </c>
      <c r="FY9" s="476">
        <v>0</v>
      </c>
      <c r="FZ9" s="476">
        <v>0</v>
      </c>
      <c r="GA9" s="476">
        <v>0</v>
      </c>
      <c r="GB9" s="476">
        <v>251400</v>
      </c>
      <c r="GC9" s="476">
        <v>251400</v>
      </c>
      <c r="GD9" s="476">
        <v>25.875</v>
      </c>
      <c r="GE9" s="476">
        <v>0</v>
      </c>
      <c r="GF9" s="476">
        <v>0</v>
      </c>
      <c r="GG9" s="476">
        <v>0</v>
      </c>
      <c r="GH9" s="476">
        <v>0</v>
      </c>
      <c r="GI9" s="476">
        <v>0</v>
      </c>
      <c r="GJ9" s="476">
        <v>0</v>
      </c>
      <c r="GK9" s="476">
        <v>0</v>
      </c>
      <c r="GL9" s="476">
        <v>0</v>
      </c>
      <c r="GM9" s="476">
        <v>0</v>
      </c>
      <c r="GN9" s="476">
        <v>0</v>
      </c>
      <c r="GO9" s="476">
        <v>0</v>
      </c>
      <c r="GP9" s="476">
        <v>0</v>
      </c>
      <c r="GQ9" s="476">
        <v>1514066</v>
      </c>
      <c r="GR9" s="476">
        <v>0</v>
      </c>
      <c r="GS9" s="476">
        <v>0</v>
      </c>
      <c r="GT9" s="476">
        <v>0</v>
      </c>
      <c r="GU9" s="476">
        <v>0</v>
      </c>
      <c r="GV9" s="476">
        <v>0</v>
      </c>
      <c r="GW9" s="476">
        <v>0</v>
      </c>
      <c r="GX9" s="476">
        <v>0</v>
      </c>
      <c r="GY9" s="476">
        <v>0</v>
      </c>
      <c r="GZ9" s="476">
        <v>0</v>
      </c>
      <c r="HA9" s="476">
        <v>0</v>
      </c>
      <c r="HB9" s="476">
        <v>323396213</v>
      </c>
      <c r="HC9" s="476">
        <v>4.2206E-2</v>
      </c>
      <c r="HD9" s="476">
        <v>21576</v>
      </c>
      <c r="HE9" s="476">
        <v>0</v>
      </c>
      <c r="HF9" s="476">
        <v>110759</v>
      </c>
      <c r="HG9" s="476">
        <v>0</v>
      </c>
      <c r="HH9" s="476">
        <v>0</v>
      </c>
      <c r="HI9" s="476">
        <v>0</v>
      </c>
      <c r="HJ9" s="476">
        <v>1278</v>
      </c>
      <c r="HK9" s="476">
        <v>1369</v>
      </c>
      <c r="HL9" s="476">
        <v>1241</v>
      </c>
      <c r="HM9" s="476">
        <v>0</v>
      </c>
      <c r="HN9" s="476">
        <v>0</v>
      </c>
      <c r="HO9" s="476">
        <v>0</v>
      </c>
      <c r="HP9" s="476">
        <v>45099</v>
      </c>
      <c r="HQ9" s="476">
        <v>0</v>
      </c>
      <c r="HR9" s="476">
        <v>0</v>
      </c>
      <c r="HS9" s="476">
        <v>1315089</v>
      </c>
      <c r="HT9" s="476">
        <v>28475</v>
      </c>
      <c r="HU9" s="476">
        <v>0</v>
      </c>
      <c r="HV9" s="476">
        <v>0</v>
      </c>
      <c r="HW9" s="476">
        <v>0</v>
      </c>
      <c r="HX9" s="476">
        <v>10</v>
      </c>
      <c r="HY9" s="476">
        <v>15</v>
      </c>
      <c r="HZ9" s="476">
        <v>13</v>
      </c>
      <c r="IA9" s="476">
        <v>23</v>
      </c>
      <c r="IB9" s="476">
        <v>52</v>
      </c>
      <c r="IC9" s="476">
        <v>113</v>
      </c>
      <c r="ID9" s="476">
        <v>0</v>
      </c>
      <c r="IE9" s="476">
        <v>0</v>
      </c>
      <c r="IF9" s="476">
        <v>0</v>
      </c>
      <c r="IG9" s="476">
        <v>0</v>
      </c>
      <c r="IH9" s="476">
        <v>0</v>
      </c>
      <c r="II9" s="476">
        <v>163.995</v>
      </c>
      <c r="IJ9" s="476">
        <v>0.35000000000000003</v>
      </c>
      <c r="IK9" s="476">
        <v>0</v>
      </c>
      <c r="IL9" s="476">
        <v>0</v>
      </c>
      <c r="IM9" s="476">
        <v>0</v>
      </c>
      <c r="IN9" s="476">
        <v>0</v>
      </c>
      <c r="IO9" s="476">
        <v>0</v>
      </c>
      <c r="IP9" s="476">
        <v>163.995</v>
      </c>
      <c r="IQ9" s="476">
        <v>0.35000000000000003</v>
      </c>
      <c r="IR9" s="476">
        <v>216</v>
      </c>
      <c r="IS9" s="476">
        <v>0</v>
      </c>
      <c r="IT9" s="476">
        <v>0</v>
      </c>
      <c r="IU9" s="476">
        <v>0</v>
      </c>
      <c r="IV9" s="476">
        <v>0</v>
      </c>
      <c r="IW9" s="476">
        <v>6160</v>
      </c>
      <c r="IX9" s="476">
        <v>0</v>
      </c>
      <c r="IY9" s="476">
        <v>0</v>
      </c>
      <c r="IZ9" s="476">
        <v>45099</v>
      </c>
      <c r="JA9" s="476">
        <v>0</v>
      </c>
      <c r="JB9" s="476">
        <v>0</v>
      </c>
      <c r="JC9" s="476">
        <v>0</v>
      </c>
      <c r="JD9" s="476">
        <v>0</v>
      </c>
      <c r="JE9" s="476">
        <v>0</v>
      </c>
      <c r="JF9" s="476">
        <v>0</v>
      </c>
      <c r="JG9" s="476">
        <v>0</v>
      </c>
      <c r="JH9" s="476">
        <v>0</v>
      </c>
      <c r="JI9" s="476">
        <v>0</v>
      </c>
      <c r="JJ9" s="476">
        <v>0</v>
      </c>
      <c r="JK9" s="476">
        <v>0</v>
      </c>
      <c r="JL9" s="476">
        <v>0</v>
      </c>
      <c r="JM9" s="476">
        <v>0</v>
      </c>
      <c r="JN9" s="476">
        <v>32469</v>
      </c>
      <c r="JO9" s="476">
        <v>2.552</v>
      </c>
      <c r="JP9" s="476">
        <v>13.018000000000001</v>
      </c>
      <c r="JQ9" s="476">
        <v>10.305</v>
      </c>
      <c r="JR9" s="476">
        <v>20386</v>
      </c>
      <c r="JS9" s="476">
        <v>121007</v>
      </c>
      <c r="JT9" s="476">
        <v>110007</v>
      </c>
      <c r="JU9" s="476">
        <v>0</v>
      </c>
      <c r="JV9" s="476">
        <v>0</v>
      </c>
      <c r="JW9" s="476">
        <v>0</v>
      </c>
      <c r="JX9" s="476">
        <v>0</v>
      </c>
      <c r="JY9" s="476">
        <v>0</v>
      </c>
      <c r="JZ9" s="476">
        <v>0</v>
      </c>
      <c r="KA9" s="476">
        <v>0</v>
      </c>
      <c r="KB9" s="476">
        <v>0</v>
      </c>
      <c r="KC9" s="476">
        <v>0</v>
      </c>
      <c r="KD9" s="476">
        <v>0</v>
      </c>
      <c r="KE9" s="476">
        <v>7262</v>
      </c>
      <c r="KF9" s="476">
        <v>0</v>
      </c>
      <c r="KG9" s="476">
        <v>0</v>
      </c>
      <c r="KH9" s="476">
        <v>1514066</v>
      </c>
      <c r="KI9" s="476">
        <v>0</v>
      </c>
      <c r="KJ9" s="476">
        <v>0</v>
      </c>
      <c r="KK9" s="476">
        <v>0</v>
      </c>
      <c r="KL9" s="476">
        <v>0</v>
      </c>
      <c r="KM9" s="476">
        <v>0</v>
      </c>
      <c r="KN9" s="476">
        <v>0</v>
      </c>
    </row>
    <row r="10" spans="1:300" x14ac:dyDescent="0.25">
      <c r="A10" s="476">
        <v>40976</v>
      </c>
      <c r="B10" s="476">
        <v>15802</v>
      </c>
      <c r="C10" s="476">
        <v>9</v>
      </c>
      <c r="D10" s="476">
        <v>2024</v>
      </c>
      <c r="E10" s="476">
        <v>6160</v>
      </c>
      <c r="F10" s="476">
        <v>0</v>
      </c>
      <c r="G10" s="476">
        <v>533.86300000000006</v>
      </c>
      <c r="H10" s="476">
        <v>514.33400000000006</v>
      </c>
      <c r="I10" s="476">
        <v>514.33400000000006</v>
      </c>
      <c r="J10" s="476">
        <v>533.86300000000006</v>
      </c>
      <c r="K10" s="476">
        <v>0</v>
      </c>
      <c r="L10" s="476">
        <v>6160</v>
      </c>
      <c r="M10" s="476">
        <v>0</v>
      </c>
      <c r="N10" s="476">
        <v>0</v>
      </c>
      <c r="O10" s="476">
        <v>0</v>
      </c>
      <c r="P10" s="476">
        <v>533.07000000000005</v>
      </c>
      <c r="Q10" s="476">
        <v>0</v>
      </c>
      <c r="R10" s="476">
        <v>221162</v>
      </c>
      <c r="S10" s="476">
        <v>414.88400000000001</v>
      </c>
      <c r="T10" s="476">
        <v>0</v>
      </c>
      <c r="U10" s="476">
        <v>0</v>
      </c>
      <c r="V10" s="476">
        <v>55.255000000000003</v>
      </c>
      <c r="W10" s="476">
        <v>66925</v>
      </c>
      <c r="X10" s="476">
        <v>66925</v>
      </c>
      <c r="Y10" s="476">
        <v>0</v>
      </c>
      <c r="Z10" s="476">
        <v>0</v>
      </c>
      <c r="AA10" s="476">
        <v>0</v>
      </c>
      <c r="AB10" s="476">
        <v>0</v>
      </c>
      <c r="AC10" s="476">
        <v>0</v>
      </c>
      <c r="AD10" s="476" t="s">
        <v>314</v>
      </c>
      <c r="AE10" s="476">
        <v>0</v>
      </c>
      <c r="AF10" s="476">
        <v>0</v>
      </c>
      <c r="AG10" s="476">
        <v>0</v>
      </c>
      <c r="AH10" s="476">
        <v>0</v>
      </c>
      <c r="AI10" s="476">
        <v>0</v>
      </c>
      <c r="AJ10" s="476">
        <v>6160</v>
      </c>
      <c r="AK10" s="476" t="s">
        <v>651</v>
      </c>
      <c r="AL10" s="476" t="s">
        <v>55</v>
      </c>
      <c r="AM10" s="476">
        <v>0</v>
      </c>
      <c r="AN10" s="476">
        <v>0</v>
      </c>
      <c r="AO10" s="476">
        <v>0</v>
      </c>
      <c r="AP10" s="476">
        <v>0</v>
      </c>
      <c r="AQ10" s="476">
        <v>0</v>
      </c>
      <c r="AR10" s="476">
        <v>0</v>
      </c>
      <c r="AS10" s="476">
        <v>0</v>
      </c>
      <c r="AT10" s="476">
        <v>0</v>
      </c>
      <c r="AU10" s="476">
        <v>0</v>
      </c>
      <c r="AV10" s="476">
        <v>0</v>
      </c>
      <c r="AW10" s="476">
        <v>6347829</v>
      </c>
      <c r="AX10" s="476">
        <v>6259580</v>
      </c>
      <c r="AY10" s="476">
        <v>0</v>
      </c>
      <c r="AZ10" s="476">
        <v>221162</v>
      </c>
      <c r="BA10" s="476">
        <v>46.833000000000006</v>
      </c>
      <c r="BB10" s="476">
        <v>2983</v>
      </c>
      <c r="BC10" s="476">
        <v>2964</v>
      </c>
      <c r="BD10" s="476">
        <v>7</v>
      </c>
      <c r="BE10" s="476">
        <v>19</v>
      </c>
      <c r="BF10" s="476">
        <v>5589321</v>
      </c>
      <c r="BG10" s="476">
        <v>0</v>
      </c>
      <c r="BH10" s="476">
        <v>0</v>
      </c>
      <c r="BI10" s="476">
        <v>0</v>
      </c>
      <c r="BJ10" s="476">
        <v>12</v>
      </c>
      <c r="BK10" s="476">
        <v>0</v>
      </c>
      <c r="BL10" s="476">
        <v>0</v>
      </c>
      <c r="BM10" s="476">
        <v>0</v>
      </c>
      <c r="BN10" s="476">
        <v>0</v>
      </c>
      <c r="BO10" s="476">
        <v>0</v>
      </c>
      <c r="BP10" s="476">
        <v>0</v>
      </c>
      <c r="BQ10" s="476">
        <v>691</v>
      </c>
      <c r="BR10" s="476">
        <v>0</v>
      </c>
      <c r="BS10" s="476">
        <v>0</v>
      </c>
      <c r="BT10" s="476">
        <v>0</v>
      </c>
      <c r="BU10" s="476">
        <v>0</v>
      </c>
      <c r="BV10" s="476">
        <v>0</v>
      </c>
      <c r="BW10" s="476">
        <v>0</v>
      </c>
      <c r="BX10" s="476">
        <v>0</v>
      </c>
      <c r="BY10" s="476">
        <v>0</v>
      </c>
      <c r="BZ10" s="476">
        <v>0</v>
      </c>
      <c r="CA10" s="476">
        <v>0</v>
      </c>
      <c r="CB10" s="476">
        <v>0</v>
      </c>
      <c r="CC10" s="476">
        <v>0</v>
      </c>
      <c r="CD10" s="476">
        <v>0</v>
      </c>
      <c r="CE10" s="476">
        <v>0</v>
      </c>
      <c r="CF10" s="476">
        <v>0</v>
      </c>
      <c r="CG10" s="476">
        <v>0</v>
      </c>
      <c r="CH10" s="476">
        <v>90130</v>
      </c>
      <c r="CI10" s="476">
        <v>0</v>
      </c>
      <c r="CJ10" s="476">
        <v>4</v>
      </c>
      <c r="CK10" s="476">
        <v>0</v>
      </c>
      <c r="CL10" s="476">
        <v>0</v>
      </c>
      <c r="CM10" s="476">
        <v>0</v>
      </c>
      <c r="CN10" s="476">
        <v>0</v>
      </c>
      <c r="CO10" s="476">
        <v>1</v>
      </c>
      <c r="CP10" s="476">
        <v>0.09</v>
      </c>
      <c r="CQ10" s="476">
        <v>0</v>
      </c>
      <c r="CR10" s="476">
        <v>533.86300000000006</v>
      </c>
      <c r="CS10" s="476">
        <v>0</v>
      </c>
      <c r="CT10" s="476">
        <v>0</v>
      </c>
      <c r="CU10" s="476">
        <v>0</v>
      </c>
      <c r="CV10" s="476">
        <v>0</v>
      </c>
      <c r="CW10" s="476">
        <v>0</v>
      </c>
      <c r="CX10" s="476">
        <v>0</v>
      </c>
      <c r="CY10" s="476">
        <v>0</v>
      </c>
      <c r="CZ10" s="476">
        <v>0</v>
      </c>
      <c r="DA10" s="476">
        <v>0</v>
      </c>
      <c r="DB10" s="476">
        <v>3147861</v>
      </c>
      <c r="DC10" s="476">
        <v>0</v>
      </c>
      <c r="DD10" s="476">
        <v>0</v>
      </c>
      <c r="DE10" s="476">
        <v>1104694</v>
      </c>
      <c r="DF10" s="476">
        <v>1106030</v>
      </c>
      <c r="DG10" s="476">
        <v>179.33800000000002</v>
      </c>
      <c r="DH10" s="476">
        <v>0</v>
      </c>
      <c r="DI10" s="476">
        <v>1336</v>
      </c>
      <c r="DJ10" s="476">
        <v>0</v>
      </c>
      <c r="DK10" s="476">
        <v>2675</v>
      </c>
      <c r="DL10" s="476">
        <v>0</v>
      </c>
      <c r="DM10" s="476">
        <v>561932</v>
      </c>
      <c r="DN10" s="476">
        <v>1862</v>
      </c>
      <c r="DO10" s="476">
        <v>0</v>
      </c>
      <c r="DP10" s="476">
        <v>0</v>
      </c>
      <c r="DQ10" s="476">
        <v>0</v>
      </c>
      <c r="DR10" s="476">
        <v>0</v>
      </c>
      <c r="DS10" s="476">
        <v>0</v>
      </c>
      <c r="DT10" s="476">
        <v>0</v>
      </c>
      <c r="DU10" s="476">
        <v>0</v>
      </c>
      <c r="DV10" s="476">
        <v>0</v>
      </c>
      <c r="DW10" s="476">
        <v>0</v>
      </c>
      <c r="DX10" s="476">
        <v>0</v>
      </c>
      <c r="DY10" s="476">
        <v>0</v>
      </c>
      <c r="DZ10" s="476">
        <v>0</v>
      </c>
      <c r="EA10" s="476">
        <v>0</v>
      </c>
      <c r="EB10" s="476">
        <v>0</v>
      </c>
      <c r="EC10" s="476">
        <v>23.527000000000001</v>
      </c>
      <c r="ED10" s="476">
        <v>166661</v>
      </c>
      <c r="EE10" s="476">
        <v>0</v>
      </c>
      <c r="EF10" s="476">
        <v>0</v>
      </c>
      <c r="EG10" s="476">
        <v>0</v>
      </c>
      <c r="EH10" s="476">
        <v>376768</v>
      </c>
      <c r="EI10" s="476">
        <v>0</v>
      </c>
      <c r="EJ10" s="476">
        <v>0</v>
      </c>
      <c r="EK10" s="476">
        <v>18.16</v>
      </c>
      <c r="EL10" s="476">
        <v>0</v>
      </c>
      <c r="EM10" s="476">
        <v>0.08</v>
      </c>
      <c r="EN10" s="476">
        <v>1.2890000000000001</v>
      </c>
      <c r="EO10" s="476">
        <v>0</v>
      </c>
      <c r="EP10" s="476">
        <v>0</v>
      </c>
      <c r="EQ10" s="476">
        <v>19.529</v>
      </c>
      <c r="ER10" s="476">
        <v>0</v>
      </c>
      <c r="ES10" s="476">
        <v>61.165000000000006</v>
      </c>
      <c r="ET10" s="476">
        <v>0</v>
      </c>
      <c r="EU10" s="476">
        <v>0</v>
      </c>
      <c r="EV10" s="476">
        <v>0</v>
      </c>
      <c r="EW10" s="476">
        <v>0</v>
      </c>
      <c r="EX10" s="476">
        <v>0</v>
      </c>
      <c r="EY10" s="476">
        <v>0</v>
      </c>
      <c r="EZ10" s="476">
        <v>5417371</v>
      </c>
      <c r="FA10" s="476">
        <v>0</v>
      </c>
      <c r="FB10" s="476">
        <v>5636652</v>
      </c>
      <c r="FC10" s="476">
        <v>0</v>
      </c>
      <c r="FD10" s="476">
        <v>0</v>
      </c>
      <c r="FE10" s="476">
        <v>721683</v>
      </c>
      <c r="FF10" s="476">
        <v>120526</v>
      </c>
      <c r="FG10" s="476">
        <v>6.3017999999999991E-2</v>
      </c>
      <c r="FH10" s="476">
        <v>2.6953999999999999E-2</v>
      </c>
      <c r="FI10" s="476">
        <v>0</v>
      </c>
      <c r="FJ10" s="476">
        <v>0</v>
      </c>
      <c r="FK10" s="476">
        <v>907.37800000000004</v>
      </c>
      <c r="FL10" s="476">
        <v>6568991</v>
      </c>
      <c r="FM10" s="476">
        <v>0</v>
      </c>
      <c r="FN10" s="476">
        <v>0</v>
      </c>
      <c r="FO10" s="476">
        <v>47939</v>
      </c>
      <c r="FP10" s="476">
        <v>0</v>
      </c>
      <c r="FQ10" s="476">
        <v>47939</v>
      </c>
      <c r="FR10" s="476">
        <v>47939</v>
      </c>
      <c r="FS10" s="476">
        <v>0</v>
      </c>
      <c r="FT10" s="476">
        <v>0</v>
      </c>
      <c r="FU10" s="476">
        <v>0</v>
      </c>
      <c r="FV10" s="476">
        <v>0</v>
      </c>
      <c r="FW10" s="476">
        <v>0</v>
      </c>
      <c r="FX10" s="476">
        <v>0</v>
      </c>
      <c r="FY10" s="476">
        <v>0</v>
      </c>
      <c r="FZ10" s="476">
        <v>0</v>
      </c>
      <c r="GA10" s="476">
        <v>0</v>
      </c>
      <c r="GB10" s="476">
        <v>0</v>
      </c>
      <c r="GC10" s="476">
        <v>0</v>
      </c>
      <c r="GD10" s="476">
        <v>0</v>
      </c>
      <c r="GE10" s="476">
        <v>0</v>
      </c>
      <c r="GF10" s="476">
        <v>0</v>
      </c>
      <c r="GG10" s="476">
        <v>0</v>
      </c>
      <c r="GH10" s="476">
        <v>0</v>
      </c>
      <c r="GI10" s="476">
        <v>0</v>
      </c>
      <c r="GJ10" s="476">
        <v>0</v>
      </c>
      <c r="GK10" s="476">
        <v>0</v>
      </c>
      <c r="GL10" s="476">
        <v>0</v>
      </c>
      <c r="GM10" s="476">
        <v>0</v>
      </c>
      <c r="GN10" s="476">
        <v>0</v>
      </c>
      <c r="GO10" s="476">
        <v>0</v>
      </c>
      <c r="GP10" s="476">
        <v>0</v>
      </c>
      <c r="GQ10" s="476">
        <v>6257699</v>
      </c>
      <c r="GR10" s="476">
        <v>0</v>
      </c>
      <c r="GS10" s="476">
        <v>0</v>
      </c>
      <c r="GT10" s="476">
        <v>0</v>
      </c>
      <c r="GU10" s="476">
        <v>0</v>
      </c>
      <c r="GV10" s="476">
        <v>0</v>
      </c>
      <c r="GW10" s="476">
        <v>0</v>
      </c>
      <c r="GX10" s="476">
        <v>0</v>
      </c>
      <c r="GY10" s="476">
        <v>0</v>
      </c>
      <c r="GZ10" s="476">
        <v>0</v>
      </c>
      <c r="HA10" s="476">
        <v>0</v>
      </c>
      <c r="HB10" s="476">
        <v>323396213</v>
      </c>
      <c r="HC10" s="476">
        <v>4.2206E-2</v>
      </c>
      <c r="HD10" s="476">
        <v>90130</v>
      </c>
      <c r="HE10" s="476">
        <v>0</v>
      </c>
      <c r="HF10" s="476">
        <v>566796</v>
      </c>
      <c r="HG10" s="476">
        <v>9240</v>
      </c>
      <c r="HH10" s="476">
        <v>120353</v>
      </c>
      <c r="HI10" s="476">
        <v>0</v>
      </c>
      <c r="HJ10" s="476">
        <v>5339</v>
      </c>
      <c r="HK10" s="476">
        <v>805</v>
      </c>
      <c r="HL10" s="476">
        <v>468</v>
      </c>
      <c r="HM10" s="476">
        <v>0</v>
      </c>
      <c r="HN10" s="476">
        <v>0</v>
      </c>
      <c r="HO10" s="476">
        <v>0</v>
      </c>
      <c r="HP10" s="476">
        <v>0</v>
      </c>
      <c r="HQ10" s="476">
        <v>0</v>
      </c>
      <c r="HR10" s="476">
        <v>0</v>
      </c>
      <c r="HS10" s="476">
        <v>5415490</v>
      </c>
      <c r="HT10" s="476">
        <v>120526</v>
      </c>
      <c r="HU10" s="476">
        <v>0</v>
      </c>
      <c r="HV10" s="476">
        <v>0</v>
      </c>
      <c r="HW10" s="476">
        <v>0</v>
      </c>
      <c r="HX10" s="476">
        <v>37</v>
      </c>
      <c r="HY10" s="476">
        <v>101</v>
      </c>
      <c r="HZ10" s="476">
        <v>99</v>
      </c>
      <c r="IA10" s="476">
        <v>162</v>
      </c>
      <c r="IB10" s="476">
        <v>290</v>
      </c>
      <c r="IC10" s="476">
        <v>689</v>
      </c>
      <c r="ID10" s="476">
        <v>0</v>
      </c>
      <c r="IE10" s="476">
        <v>32.369999999999997</v>
      </c>
      <c r="IF10" s="476">
        <v>9.6750000000000007</v>
      </c>
      <c r="IG10" s="476">
        <v>15</v>
      </c>
      <c r="IH10" s="476">
        <v>195.38200000000001</v>
      </c>
      <c r="II10" s="476">
        <v>0</v>
      </c>
      <c r="IJ10" s="476">
        <v>97.3</v>
      </c>
      <c r="IK10" s="476">
        <v>0</v>
      </c>
      <c r="IL10" s="476">
        <v>0</v>
      </c>
      <c r="IM10" s="476">
        <v>0</v>
      </c>
      <c r="IN10" s="476">
        <v>0</v>
      </c>
      <c r="IO10" s="476">
        <v>0</v>
      </c>
      <c r="IP10" s="476">
        <v>0</v>
      </c>
      <c r="IQ10" s="476">
        <v>55.255000000000003</v>
      </c>
      <c r="IR10" s="476">
        <v>34036</v>
      </c>
      <c r="IS10" s="476">
        <v>0</v>
      </c>
      <c r="IT10" s="476">
        <v>0</v>
      </c>
      <c r="IU10" s="476">
        <v>0</v>
      </c>
      <c r="IV10" s="476">
        <v>0</v>
      </c>
      <c r="IW10" s="476">
        <v>6160</v>
      </c>
      <c r="IX10" s="476">
        <v>29909</v>
      </c>
      <c r="IY10" s="476">
        <v>2980</v>
      </c>
      <c r="IZ10" s="476">
        <v>0</v>
      </c>
      <c r="JA10" s="476">
        <v>0</v>
      </c>
      <c r="JB10" s="476">
        <v>0</v>
      </c>
      <c r="JC10" s="476">
        <v>0</v>
      </c>
      <c r="JD10" s="476">
        <v>0</v>
      </c>
      <c r="JE10" s="476">
        <v>0</v>
      </c>
      <c r="JF10" s="476">
        <v>0</v>
      </c>
      <c r="JG10" s="476">
        <v>0</v>
      </c>
      <c r="JH10" s="476">
        <v>0</v>
      </c>
      <c r="JI10" s="476">
        <v>0</v>
      </c>
      <c r="JJ10" s="476">
        <v>0</v>
      </c>
      <c r="JK10" s="476">
        <v>0</v>
      </c>
      <c r="JL10" s="476">
        <v>0</v>
      </c>
      <c r="JM10" s="476">
        <v>0</v>
      </c>
      <c r="JN10" s="476">
        <v>32469</v>
      </c>
      <c r="JO10" s="476">
        <v>0</v>
      </c>
      <c r="JP10" s="476">
        <v>0</v>
      </c>
      <c r="JQ10" s="476">
        <v>0</v>
      </c>
      <c r="JR10" s="476">
        <v>0</v>
      </c>
      <c r="JS10" s="476">
        <v>0</v>
      </c>
      <c r="JT10" s="476">
        <v>0</v>
      </c>
      <c r="JU10" s="476">
        <v>3018</v>
      </c>
      <c r="JV10" s="476">
        <v>0</v>
      </c>
      <c r="JW10" s="476">
        <v>0</v>
      </c>
      <c r="JX10" s="476">
        <v>0</v>
      </c>
      <c r="JY10" s="476">
        <v>0</v>
      </c>
      <c r="JZ10" s="476">
        <v>0</v>
      </c>
      <c r="KA10" s="476">
        <v>0</v>
      </c>
      <c r="KB10" s="476">
        <v>0</v>
      </c>
      <c r="KC10" s="476">
        <v>0</v>
      </c>
      <c r="KD10" s="476">
        <v>3018</v>
      </c>
      <c r="KE10" s="476">
        <v>7262</v>
      </c>
      <c r="KF10" s="476">
        <v>0</v>
      </c>
      <c r="KG10" s="476">
        <v>0</v>
      </c>
      <c r="KH10" s="476">
        <v>6257699</v>
      </c>
      <c r="KI10" s="476">
        <v>0</v>
      </c>
      <c r="KJ10" s="476">
        <v>12</v>
      </c>
      <c r="KK10" s="476">
        <v>3</v>
      </c>
      <c r="KL10" s="476">
        <v>7392</v>
      </c>
      <c r="KM10" s="476">
        <v>1848</v>
      </c>
      <c r="KN10" s="476">
        <v>0</v>
      </c>
    </row>
    <row r="11" spans="1:300" x14ac:dyDescent="0.25">
      <c r="A11" s="476">
        <v>40976</v>
      </c>
      <c r="B11" s="476">
        <v>15805</v>
      </c>
      <c r="C11" s="476">
        <v>9</v>
      </c>
      <c r="D11" s="476">
        <v>2024</v>
      </c>
      <c r="E11" s="476">
        <v>6160</v>
      </c>
      <c r="F11" s="476">
        <v>0</v>
      </c>
      <c r="G11" s="476">
        <v>166.88300000000001</v>
      </c>
      <c r="H11" s="476">
        <v>166.84100000000001</v>
      </c>
      <c r="I11" s="476">
        <v>166.84100000000001</v>
      </c>
      <c r="J11" s="476">
        <v>166.88300000000001</v>
      </c>
      <c r="K11" s="476">
        <v>0</v>
      </c>
      <c r="L11" s="476">
        <v>6160</v>
      </c>
      <c r="M11" s="476">
        <v>0</v>
      </c>
      <c r="N11" s="476">
        <v>0</v>
      </c>
      <c r="O11" s="476">
        <v>0</v>
      </c>
      <c r="P11" s="476">
        <v>165.59200000000001</v>
      </c>
      <c r="Q11" s="476">
        <v>0</v>
      </c>
      <c r="R11" s="476">
        <v>68701</v>
      </c>
      <c r="S11" s="476">
        <v>414.88400000000001</v>
      </c>
      <c r="T11" s="476">
        <v>0</v>
      </c>
      <c r="U11" s="476">
        <v>0</v>
      </c>
      <c r="V11" s="476">
        <v>15.538</v>
      </c>
      <c r="W11" s="476">
        <v>9571</v>
      </c>
      <c r="X11" s="476">
        <v>9571</v>
      </c>
      <c r="Y11" s="476">
        <v>0</v>
      </c>
      <c r="Z11" s="476">
        <v>0</v>
      </c>
      <c r="AA11" s="476">
        <v>0</v>
      </c>
      <c r="AB11" s="476">
        <v>0</v>
      </c>
      <c r="AC11" s="476">
        <v>0</v>
      </c>
      <c r="AD11" s="476" t="s">
        <v>314</v>
      </c>
      <c r="AE11" s="476">
        <v>0</v>
      </c>
      <c r="AF11" s="476">
        <v>0</v>
      </c>
      <c r="AG11" s="476">
        <v>0</v>
      </c>
      <c r="AH11" s="476">
        <v>0</v>
      </c>
      <c r="AI11" s="476">
        <v>0</v>
      </c>
      <c r="AJ11" s="476">
        <v>6160</v>
      </c>
      <c r="AK11" s="476" t="s">
        <v>651</v>
      </c>
      <c r="AL11" s="476" t="s">
        <v>453</v>
      </c>
      <c r="AM11" s="476">
        <v>0</v>
      </c>
      <c r="AN11" s="476">
        <v>0</v>
      </c>
      <c r="AO11" s="476">
        <v>0</v>
      </c>
      <c r="AP11" s="476">
        <v>0</v>
      </c>
      <c r="AQ11" s="476">
        <v>0</v>
      </c>
      <c r="AR11" s="476">
        <v>0</v>
      </c>
      <c r="AS11" s="476">
        <v>0</v>
      </c>
      <c r="AT11" s="476">
        <v>0</v>
      </c>
      <c r="AU11" s="476">
        <v>0</v>
      </c>
      <c r="AV11" s="476">
        <v>0</v>
      </c>
      <c r="AW11" s="476">
        <v>1735151</v>
      </c>
      <c r="AX11" s="476">
        <v>1707144</v>
      </c>
      <c r="AY11" s="476">
        <v>0</v>
      </c>
      <c r="AZ11" s="476">
        <v>68701</v>
      </c>
      <c r="BA11" s="476">
        <v>0</v>
      </c>
      <c r="BB11" s="476">
        <v>0</v>
      </c>
      <c r="BC11" s="476">
        <v>0</v>
      </c>
      <c r="BD11" s="476">
        <v>0</v>
      </c>
      <c r="BE11" s="476">
        <v>0</v>
      </c>
      <c r="BF11" s="476">
        <v>1540507</v>
      </c>
      <c r="BG11" s="476">
        <v>0</v>
      </c>
      <c r="BH11" s="476">
        <v>0</v>
      </c>
      <c r="BI11" s="476">
        <v>0</v>
      </c>
      <c r="BJ11" s="476">
        <v>12</v>
      </c>
      <c r="BK11" s="476">
        <v>0</v>
      </c>
      <c r="BL11" s="476">
        <v>0</v>
      </c>
      <c r="BM11" s="476">
        <v>0</v>
      </c>
      <c r="BN11" s="476">
        <v>0</v>
      </c>
      <c r="BO11" s="476">
        <v>0</v>
      </c>
      <c r="BP11" s="476">
        <v>0</v>
      </c>
      <c r="BQ11" s="476">
        <v>744</v>
      </c>
      <c r="BR11" s="476">
        <v>0</v>
      </c>
      <c r="BS11" s="476">
        <v>0</v>
      </c>
      <c r="BT11" s="476">
        <v>0</v>
      </c>
      <c r="BU11" s="476">
        <v>0</v>
      </c>
      <c r="BV11" s="476">
        <v>0</v>
      </c>
      <c r="BW11" s="476">
        <v>0</v>
      </c>
      <c r="BX11" s="476">
        <v>0</v>
      </c>
      <c r="BY11" s="476">
        <v>0</v>
      </c>
      <c r="BZ11" s="476">
        <v>0</v>
      </c>
      <c r="CA11" s="476">
        <v>0</v>
      </c>
      <c r="CB11" s="476">
        <v>0</v>
      </c>
      <c r="CC11" s="476">
        <v>0</v>
      </c>
      <c r="CD11" s="476">
        <v>0</v>
      </c>
      <c r="CE11" s="476">
        <v>0</v>
      </c>
      <c r="CF11" s="476">
        <v>0</v>
      </c>
      <c r="CG11" s="476">
        <v>0</v>
      </c>
      <c r="CH11" s="476">
        <v>28174</v>
      </c>
      <c r="CI11" s="476">
        <v>0</v>
      </c>
      <c r="CJ11" s="476">
        <v>4</v>
      </c>
      <c r="CK11" s="476">
        <v>0</v>
      </c>
      <c r="CL11" s="476">
        <v>0</v>
      </c>
      <c r="CM11" s="476">
        <v>0</v>
      </c>
      <c r="CN11" s="476">
        <v>0</v>
      </c>
      <c r="CO11" s="476">
        <v>1</v>
      </c>
      <c r="CP11" s="476">
        <v>0</v>
      </c>
      <c r="CQ11" s="476">
        <v>0</v>
      </c>
      <c r="CR11" s="476">
        <v>166.88300000000001</v>
      </c>
      <c r="CS11" s="476">
        <v>0</v>
      </c>
      <c r="CT11" s="476">
        <v>0</v>
      </c>
      <c r="CU11" s="476">
        <v>0</v>
      </c>
      <c r="CV11" s="476">
        <v>0</v>
      </c>
      <c r="CW11" s="476">
        <v>0</v>
      </c>
      <c r="CX11" s="476">
        <v>0</v>
      </c>
      <c r="CY11" s="476">
        <v>0</v>
      </c>
      <c r="CZ11" s="476">
        <v>0</v>
      </c>
      <c r="DA11" s="476">
        <v>0</v>
      </c>
      <c r="DB11" s="476">
        <v>847384</v>
      </c>
      <c r="DC11" s="476">
        <v>0</v>
      </c>
      <c r="DD11" s="476">
        <v>0</v>
      </c>
      <c r="DE11" s="476">
        <v>184719</v>
      </c>
      <c r="DF11" s="476">
        <v>184719</v>
      </c>
      <c r="DG11" s="476">
        <v>29.988000000000003</v>
      </c>
      <c r="DH11" s="476">
        <v>0</v>
      </c>
      <c r="DI11" s="476">
        <v>0</v>
      </c>
      <c r="DJ11" s="476">
        <v>0</v>
      </c>
      <c r="DK11" s="476">
        <v>3531</v>
      </c>
      <c r="DL11" s="476">
        <v>0</v>
      </c>
      <c r="DM11" s="476">
        <v>228978</v>
      </c>
      <c r="DN11" s="476">
        <v>167</v>
      </c>
      <c r="DO11" s="476">
        <v>0</v>
      </c>
      <c r="DP11" s="476">
        <v>0</v>
      </c>
      <c r="DQ11" s="476">
        <v>0</v>
      </c>
      <c r="DR11" s="476">
        <v>0</v>
      </c>
      <c r="DS11" s="476">
        <v>0</v>
      </c>
      <c r="DT11" s="476">
        <v>0</v>
      </c>
      <c r="DU11" s="476">
        <v>0</v>
      </c>
      <c r="DV11" s="476">
        <v>0</v>
      </c>
      <c r="DW11" s="476">
        <v>0</v>
      </c>
      <c r="DX11" s="476">
        <v>0</v>
      </c>
      <c r="DY11" s="476">
        <v>0</v>
      </c>
      <c r="DZ11" s="476">
        <v>0</v>
      </c>
      <c r="EA11" s="476">
        <v>0</v>
      </c>
      <c r="EB11" s="476">
        <v>0</v>
      </c>
      <c r="EC11" s="476">
        <v>6.7080000000000002</v>
      </c>
      <c r="ED11" s="476">
        <v>47518</v>
      </c>
      <c r="EE11" s="476">
        <v>0</v>
      </c>
      <c r="EF11" s="476">
        <v>0</v>
      </c>
      <c r="EG11" s="476">
        <v>0</v>
      </c>
      <c r="EH11" s="476">
        <v>1294</v>
      </c>
      <c r="EI11" s="476">
        <v>0</v>
      </c>
      <c r="EJ11" s="476">
        <v>0</v>
      </c>
      <c r="EK11" s="476">
        <v>0</v>
      </c>
      <c r="EL11" s="476">
        <v>0</v>
      </c>
      <c r="EM11" s="476">
        <v>0</v>
      </c>
      <c r="EN11" s="476">
        <v>4.2000000000000003E-2</v>
      </c>
      <c r="EO11" s="476">
        <v>0</v>
      </c>
      <c r="EP11" s="476">
        <v>0</v>
      </c>
      <c r="EQ11" s="476">
        <v>4.2000000000000003E-2</v>
      </c>
      <c r="ER11" s="476">
        <v>0</v>
      </c>
      <c r="ES11" s="476">
        <v>0.21</v>
      </c>
      <c r="ET11" s="476">
        <v>0</v>
      </c>
      <c r="EU11" s="476">
        <v>0</v>
      </c>
      <c r="EV11" s="476">
        <v>0</v>
      </c>
      <c r="EW11" s="476">
        <v>0</v>
      </c>
      <c r="EX11" s="476">
        <v>0</v>
      </c>
      <c r="EY11" s="476">
        <v>0</v>
      </c>
      <c r="EZ11" s="476">
        <v>1475017</v>
      </c>
      <c r="FA11" s="476">
        <v>0</v>
      </c>
      <c r="FB11" s="476">
        <v>1543551</v>
      </c>
      <c r="FC11" s="476">
        <v>0</v>
      </c>
      <c r="FD11" s="476">
        <v>0</v>
      </c>
      <c r="FE11" s="476">
        <v>198908</v>
      </c>
      <c r="FF11" s="476">
        <v>33219</v>
      </c>
      <c r="FG11" s="476">
        <v>6.3017999999999991E-2</v>
      </c>
      <c r="FH11" s="476">
        <v>2.6953999999999999E-2</v>
      </c>
      <c r="FI11" s="476">
        <v>0</v>
      </c>
      <c r="FJ11" s="476">
        <v>0</v>
      </c>
      <c r="FK11" s="476">
        <v>250.08800000000002</v>
      </c>
      <c r="FL11" s="476">
        <v>1803852</v>
      </c>
      <c r="FM11" s="476">
        <v>0</v>
      </c>
      <c r="FN11" s="476">
        <v>0</v>
      </c>
      <c r="FO11" s="476">
        <v>950</v>
      </c>
      <c r="FP11" s="476">
        <v>0</v>
      </c>
      <c r="FQ11" s="476">
        <v>950</v>
      </c>
      <c r="FR11" s="476">
        <v>950</v>
      </c>
      <c r="FS11" s="476">
        <v>0</v>
      </c>
      <c r="FT11" s="476">
        <v>0</v>
      </c>
      <c r="FU11" s="476">
        <v>0</v>
      </c>
      <c r="FV11" s="476">
        <v>0</v>
      </c>
      <c r="FW11" s="476">
        <v>0</v>
      </c>
      <c r="FX11" s="476">
        <v>0</v>
      </c>
      <c r="FY11" s="476">
        <v>0</v>
      </c>
      <c r="FZ11" s="476">
        <v>0</v>
      </c>
      <c r="GA11" s="476">
        <v>0</v>
      </c>
      <c r="GB11" s="476">
        <v>0</v>
      </c>
      <c r="GC11" s="476">
        <v>0</v>
      </c>
      <c r="GD11" s="476">
        <v>0</v>
      </c>
      <c r="GE11" s="476">
        <v>0</v>
      </c>
      <c r="GF11" s="476">
        <v>0</v>
      </c>
      <c r="GG11" s="476">
        <v>0</v>
      </c>
      <c r="GH11" s="476">
        <v>0</v>
      </c>
      <c r="GI11" s="476">
        <v>0</v>
      </c>
      <c r="GJ11" s="476">
        <v>0</v>
      </c>
      <c r="GK11" s="476">
        <v>0</v>
      </c>
      <c r="GL11" s="476">
        <v>0</v>
      </c>
      <c r="GM11" s="476">
        <v>0</v>
      </c>
      <c r="GN11" s="476">
        <v>0</v>
      </c>
      <c r="GO11" s="476">
        <v>0</v>
      </c>
      <c r="GP11" s="476">
        <v>0</v>
      </c>
      <c r="GQ11" s="476">
        <v>1706977</v>
      </c>
      <c r="GR11" s="476">
        <v>0</v>
      </c>
      <c r="GS11" s="476">
        <v>0</v>
      </c>
      <c r="GT11" s="476">
        <v>0</v>
      </c>
      <c r="GU11" s="476">
        <v>0</v>
      </c>
      <c r="GV11" s="476">
        <v>0</v>
      </c>
      <c r="GW11" s="476">
        <v>0</v>
      </c>
      <c r="GX11" s="476">
        <v>0</v>
      </c>
      <c r="GY11" s="476">
        <v>0</v>
      </c>
      <c r="GZ11" s="476">
        <v>0</v>
      </c>
      <c r="HA11" s="476">
        <v>0</v>
      </c>
      <c r="HB11" s="476">
        <v>323396213</v>
      </c>
      <c r="HC11" s="476">
        <v>4.2206E-2</v>
      </c>
      <c r="HD11" s="476">
        <v>28174</v>
      </c>
      <c r="HE11" s="476">
        <v>0</v>
      </c>
      <c r="HF11" s="476">
        <v>183859</v>
      </c>
      <c r="HG11" s="476">
        <v>6160</v>
      </c>
      <c r="HH11" s="476">
        <v>0</v>
      </c>
      <c r="HI11" s="476">
        <v>0</v>
      </c>
      <c r="HJ11" s="476">
        <v>1669</v>
      </c>
      <c r="HK11" s="476">
        <v>2239</v>
      </c>
      <c r="HL11" s="476">
        <v>22</v>
      </c>
      <c r="HM11" s="476">
        <v>78000</v>
      </c>
      <c r="HN11" s="476">
        <v>0</v>
      </c>
      <c r="HO11" s="476">
        <v>0</v>
      </c>
      <c r="HP11" s="476">
        <v>0</v>
      </c>
      <c r="HQ11" s="476">
        <v>0</v>
      </c>
      <c r="HR11" s="476">
        <v>0</v>
      </c>
      <c r="HS11" s="476">
        <v>1474850</v>
      </c>
      <c r="HT11" s="476">
        <v>33219</v>
      </c>
      <c r="HU11" s="476">
        <v>0</v>
      </c>
      <c r="HV11" s="476">
        <v>0</v>
      </c>
      <c r="HW11" s="476">
        <v>0</v>
      </c>
      <c r="HX11" s="476">
        <v>3</v>
      </c>
      <c r="HY11" s="476">
        <v>18</v>
      </c>
      <c r="HZ11" s="476">
        <v>25</v>
      </c>
      <c r="IA11" s="476">
        <v>37</v>
      </c>
      <c r="IB11" s="476">
        <v>33</v>
      </c>
      <c r="IC11" s="476">
        <v>116</v>
      </c>
      <c r="ID11" s="476">
        <v>0</v>
      </c>
      <c r="IE11" s="476">
        <v>0</v>
      </c>
      <c r="IF11" s="476">
        <v>0</v>
      </c>
      <c r="IG11" s="476">
        <v>10</v>
      </c>
      <c r="IH11" s="476">
        <v>0</v>
      </c>
      <c r="II11" s="476">
        <v>0</v>
      </c>
      <c r="IJ11" s="476">
        <v>15.538</v>
      </c>
      <c r="IK11" s="476">
        <v>0</v>
      </c>
      <c r="IL11" s="476">
        <v>12</v>
      </c>
      <c r="IM11" s="476">
        <v>6</v>
      </c>
      <c r="IN11" s="476">
        <v>0</v>
      </c>
      <c r="IO11" s="476">
        <v>18</v>
      </c>
      <c r="IP11" s="476">
        <v>0</v>
      </c>
      <c r="IQ11" s="476">
        <v>15.538</v>
      </c>
      <c r="IR11" s="476">
        <v>9571</v>
      </c>
      <c r="IS11" s="476">
        <v>0</v>
      </c>
      <c r="IT11" s="476">
        <v>60000</v>
      </c>
      <c r="IU11" s="476">
        <v>18000</v>
      </c>
      <c r="IV11" s="476">
        <v>0</v>
      </c>
      <c r="IW11" s="476">
        <v>6160</v>
      </c>
      <c r="IX11" s="476">
        <v>0</v>
      </c>
      <c r="IY11" s="476">
        <v>0</v>
      </c>
      <c r="IZ11" s="476">
        <v>0</v>
      </c>
      <c r="JA11" s="476">
        <v>0</v>
      </c>
      <c r="JB11" s="476">
        <v>0</v>
      </c>
      <c r="JC11" s="476">
        <v>0</v>
      </c>
      <c r="JD11" s="476">
        <v>0</v>
      </c>
      <c r="JE11" s="476">
        <v>0</v>
      </c>
      <c r="JF11" s="476">
        <v>0</v>
      </c>
      <c r="JG11" s="476">
        <v>0</v>
      </c>
      <c r="JH11" s="476">
        <v>0</v>
      </c>
      <c r="JI11" s="476">
        <v>0</v>
      </c>
      <c r="JJ11" s="476">
        <v>0</v>
      </c>
      <c r="JK11" s="476">
        <v>0</v>
      </c>
      <c r="JL11" s="476">
        <v>0</v>
      </c>
      <c r="JM11" s="476">
        <v>0</v>
      </c>
      <c r="JN11" s="476">
        <v>32469</v>
      </c>
      <c r="JO11" s="476">
        <v>0</v>
      </c>
      <c r="JP11" s="476">
        <v>0</v>
      </c>
      <c r="JQ11" s="476">
        <v>0</v>
      </c>
      <c r="JR11" s="476">
        <v>0</v>
      </c>
      <c r="JS11" s="476">
        <v>0</v>
      </c>
      <c r="JT11" s="476">
        <v>0</v>
      </c>
      <c r="JU11" s="476">
        <v>0</v>
      </c>
      <c r="JV11" s="476">
        <v>0</v>
      </c>
      <c r="JW11" s="476">
        <v>0</v>
      </c>
      <c r="JX11" s="476">
        <v>0</v>
      </c>
      <c r="JY11" s="476">
        <v>0</v>
      </c>
      <c r="JZ11" s="476">
        <v>0</v>
      </c>
      <c r="KA11" s="476">
        <v>0</v>
      </c>
      <c r="KB11" s="476">
        <v>0</v>
      </c>
      <c r="KC11" s="476">
        <v>0</v>
      </c>
      <c r="KD11" s="476">
        <v>0</v>
      </c>
      <c r="KE11" s="476">
        <v>7262</v>
      </c>
      <c r="KF11" s="476">
        <v>0</v>
      </c>
      <c r="KG11" s="476">
        <v>0</v>
      </c>
      <c r="KH11" s="476">
        <v>1706977</v>
      </c>
      <c r="KI11" s="476">
        <v>0</v>
      </c>
      <c r="KJ11" s="476">
        <v>1</v>
      </c>
      <c r="KK11" s="476">
        <v>9</v>
      </c>
      <c r="KL11" s="476">
        <v>616</v>
      </c>
      <c r="KM11" s="476">
        <v>5544</v>
      </c>
      <c r="KN11" s="476">
        <v>0</v>
      </c>
    </row>
    <row r="12" spans="1:300" x14ac:dyDescent="0.25">
      <c r="A12" s="476">
        <v>40976</v>
      </c>
      <c r="B12" s="476">
        <v>15806</v>
      </c>
      <c r="C12" s="476">
        <v>9</v>
      </c>
      <c r="D12" s="476">
        <v>2024</v>
      </c>
      <c r="E12" s="476">
        <v>6160</v>
      </c>
      <c r="F12" s="476">
        <v>0</v>
      </c>
      <c r="G12" s="476">
        <v>813.65300000000002</v>
      </c>
      <c r="H12" s="476">
        <v>765.64700000000005</v>
      </c>
      <c r="I12" s="476">
        <v>765.64700000000005</v>
      </c>
      <c r="J12" s="476">
        <v>813.65300000000002</v>
      </c>
      <c r="K12" s="476">
        <v>0</v>
      </c>
      <c r="L12" s="476">
        <v>6160</v>
      </c>
      <c r="M12" s="476">
        <v>0</v>
      </c>
      <c r="N12" s="476">
        <v>0</v>
      </c>
      <c r="O12" s="476">
        <v>0</v>
      </c>
      <c r="P12" s="476">
        <v>813.65300000000002</v>
      </c>
      <c r="Q12" s="476">
        <v>0</v>
      </c>
      <c r="R12" s="476">
        <v>337572</v>
      </c>
      <c r="S12" s="476">
        <v>414.88400000000001</v>
      </c>
      <c r="T12" s="476">
        <v>0</v>
      </c>
      <c r="U12" s="476">
        <v>0</v>
      </c>
      <c r="V12" s="476">
        <v>81.628</v>
      </c>
      <c r="W12" s="476">
        <v>50282</v>
      </c>
      <c r="X12" s="476">
        <v>50282</v>
      </c>
      <c r="Y12" s="476">
        <v>0</v>
      </c>
      <c r="Z12" s="476">
        <v>0</v>
      </c>
      <c r="AA12" s="476">
        <v>0</v>
      </c>
      <c r="AB12" s="476">
        <v>0</v>
      </c>
      <c r="AC12" s="476">
        <v>0</v>
      </c>
      <c r="AD12" s="476" t="s">
        <v>314</v>
      </c>
      <c r="AE12" s="476">
        <v>0</v>
      </c>
      <c r="AF12" s="476">
        <v>0</v>
      </c>
      <c r="AG12" s="476">
        <v>0</v>
      </c>
      <c r="AH12" s="476">
        <v>0</v>
      </c>
      <c r="AI12" s="476">
        <v>0</v>
      </c>
      <c r="AJ12" s="476">
        <v>6160</v>
      </c>
      <c r="AK12" s="476" t="s">
        <v>651</v>
      </c>
      <c r="AL12" s="476" t="s">
        <v>698</v>
      </c>
      <c r="AM12" s="476">
        <v>0</v>
      </c>
      <c r="AN12" s="476">
        <v>0</v>
      </c>
      <c r="AO12" s="476">
        <v>0</v>
      </c>
      <c r="AP12" s="476">
        <v>0</v>
      </c>
      <c r="AQ12" s="476">
        <v>0</v>
      </c>
      <c r="AR12" s="476">
        <v>0</v>
      </c>
      <c r="AS12" s="476">
        <v>0</v>
      </c>
      <c r="AT12" s="476">
        <v>0</v>
      </c>
      <c r="AU12" s="476">
        <v>0</v>
      </c>
      <c r="AV12" s="476">
        <v>0</v>
      </c>
      <c r="AW12" s="476">
        <v>9303402</v>
      </c>
      <c r="AX12" s="476">
        <v>8109836</v>
      </c>
      <c r="AY12" s="476">
        <v>0</v>
      </c>
      <c r="AZ12" s="476">
        <v>337572</v>
      </c>
      <c r="BA12" s="476">
        <v>46.5</v>
      </c>
      <c r="BB12" s="476">
        <v>0</v>
      </c>
      <c r="BC12" s="476">
        <v>0</v>
      </c>
      <c r="BD12" s="476">
        <v>0</v>
      </c>
      <c r="BE12" s="476">
        <v>0</v>
      </c>
      <c r="BF12" s="476">
        <v>7295225</v>
      </c>
      <c r="BG12" s="476">
        <v>0</v>
      </c>
      <c r="BH12" s="476">
        <v>0</v>
      </c>
      <c r="BI12" s="476">
        <v>0</v>
      </c>
      <c r="BJ12" s="476">
        <v>12</v>
      </c>
      <c r="BK12" s="476">
        <v>0</v>
      </c>
      <c r="BL12" s="476">
        <v>0</v>
      </c>
      <c r="BM12" s="476">
        <v>0</v>
      </c>
      <c r="BN12" s="476">
        <v>0</v>
      </c>
      <c r="BO12" s="476">
        <v>0</v>
      </c>
      <c r="BP12" s="476">
        <v>0</v>
      </c>
      <c r="BQ12" s="476">
        <v>652</v>
      </c>
      <c r="BR12" s="476">
        <v>0</v>
      </c>
      <c r="BS12" s="476">
        <v>0</v>
      </c>
      <c r="BT12" s="476">
        <v>0</v>
      </c>
      <c r="BU12" s="476">
        <v>0</v>
      </c>
      <c r="BV12" s="476">
        <v>0</v>
      </c>
      <c r="BW12" s="476">
        <v>0</v>
      </c>
      <c r="BX12" s="476">
        <v>0</v>
      </c>
      <c r="BY12" s="476">
        <v>0</v>
      </c>
      <c r="BZ12" s="476">
        <v>0</v>
      </c>
      <c r="CA12" s="476">
        <v>0</v>
      </c>
      <c r="CB12" s="476">
        <v>0</v>
      </c>
      <c r="CC12" s="476">
        <v>0</v>
      </c>
      <c r="CD12" s="476">
        <v>0</v>
      </c>
      <c r="CE12" s="476">
        <v>0</v>
      </c>
      <c r="CF12" s="476">
        <v>0</v>
      </c>
      <c r="CG12" s="476">
        <v>0</v>
      </c>
      <c r="CH12" s="476">
        <v>1195352</v>
      </c>
      <c r="CI12" s="476">
        <v>0</v>
      </c>
      <c r="CJ12" s="476">
        <v>5</v>
      </c>
      <c r="CK12" s="476">
        <v>0</v>
      </c>
      <c r="CL12" s="476">
        <v>0</v>
      </c>
      <c r="CM12" s="476">
        <v>0</v>
      </c>
      <c r="CN12" s="476">
        <v>0</v>
      </c>
      <c r="CO12" s="476">
        <v>1</v>
      </c>
      <c r="CP12" s="476">
        <v>0</v>
      </c>
      <c r="CQ12" s="476">
        <v>0.58300000000000007</v>
      </c>
      <c r="CR12" s="476">
        <v>813.65300000000002</v>
      </c>
      <c r="CS12" s="476">
        <v>0</v>
      </c>
      <c r="CT12" s="476">
        <v>0</v>
      </c>
      <c r="CU12" s="476">
        <v>0</v>
      </c>
      <c r="CV12" s="476">
        <v>0</v>
      </c>
      <c r="CW12" s="476">
        <v>0</v>
      </c>
      <c r="CX12" s="476">
        <v>0</v>
      </c>
      <c r="CY12" s="476">
        <v>0</v>
      </c>
      <c r="CZ12" s="476">
        <v>0</v>
      </c>
      <c r="DA12" s="476">
        <v>0</v>
      </c>
      <c r="DB12" s="476">
        <v>4716278</v>
      </c>
      <c r="DC12" s="476">
        <v>0</v>
      </c>
      <c r="DD12" s="476">
        <v>0</v>
      </c>
      <c r="DE12" s="476">
        <v>703533</v>
      </c>
      <c r="DF12" s="476">
        <v>703533</v>
      </c>
      <c r="DG12" s="476">
        <v>114.21300000000001</v>
      </c>
      <c r="DH12" s="476">
        <v>0</v>
      </c>
      <c r="DI12" s="476">
        <v>0</v>
      </c>
      <c r="DJ12" s="476">
        <v>0</v>
      </c>
      <c r="DK12" s="476">
        <v>2056</v>
      </c>
      <c r="DL12" s="476">
        <v>0</v>
      </c>
      <c r="DM12" s="476">
        <v>519394</v>
      </c>
      <c r="DN12" s="476">
        <v>1786</v>
      </c>
      <c r="DO12" s="476">
        <v>0</v>
      </c>
      <c r="DP12" s="476">
        <v>0</v>
      </c>
      <c r="DQ12" s="476">
        <v>0</v>
      </c>
      <c r="DR12" s="476">
        <v>0</v>
      </c>
      <c r="DS12" s="476">
        <v>0</v>
      </c>
      <c r="DT12" s="476">
        <v>0</v>
      </c>
      <c r="DU12" s="476">
        <v>0</v>
      </c>
      <c r="DV12" s="476">
        <v>0</v>
      </c>
      <c r="DW12" s="476">
        <v>0</v>
      </c>
      <c r="DX12" s="476">
        <v>0</v>
      </c>
      <c r="DY12" s="476">
        <v>0</v>
      </c>
      <c r="DZ12" s="476">
        <v>0</v>
      </c>
      <c r="EA12" s="476">
        <v>0</v>
      </c>
      <c r="EB12" s="476">
        <v>0</v>
      </c>
      <c r="EC12" s="476">
        <v>24.207000000000001</v>
      </c>
      <c r="ED12" s="476">
        <v>171478</v>
      </c>
      <c r="EE12" s="476">
        <v>0</v>
      </c>
      <c r="EF12" s="476">
        <v>0</v>
      </c>
      <c r="EG12" s="476">
        <v>0</v>
      </c>
      <c r="EH12" s="476">
        <v>348593</v>
      </c>
      <c r="EI12" s="476">
        <v>1109</v>
      </c>
      <c r="EJ12" s="476">
        <v>4.5000000000000005E-2</v>
      </c>
      <c r="EK12" s="476">
        <v>15.035</v>
      </c>
      <c r="EL12" s="476">
        <v>0</v>
      </c>
      <c r="EM12" s="476">
        <v>2.1120000000000001</v>
      </c>
      <c r="EN12" s="476">
        <v>1.03</v>
      </c>
      <c r="EO12" s="476">
        <v>0</v>
      </c>
      <c r="EP12" s="476">
        <v>0</v>
      </c>
      <c r="EQ12" s="476">
        <v>18.222000000000001</v>
      </c>
      <c r="ER12" s="476">
        <v>0</v>
      </c>
      <c r="ES12" s="476">
        <v>56.591000000000001</v>
      </c>
      <c r="ET12" s="476">
        <v>0</v>
      </c>
      <c r="EU12" s="476">
        <v>0</v>
      </c>
      <c r="EV12" s="476">
        <v>0</v>
      </c>
      <c r="EW12" s="476">
        <v>0</v>
      </c>
      <c r="EX12" s="476">
        <v>0</v>
      </c>
      <c r="EY12" s="476">
        <v>0</v>
      </c>
      <c r="EZ12" s="476">
        <v>7010577</v>
      </c>
      <c r="FA12" s="476">
        <v>0</v>
      </c>
      <c r="FB12" s="476">
        <v>7346363</v>
      </c>
      <c r="FC12" s="476">
        <v>0</v>
      </c>
      <c r="FD12" s="476">
        <v>0</v>
      </c>
      <c r="FE12" s="476">
        <v>941947</v>
      </c>
      <c r="FF12" s="476">
        <v>157312</v>
      </c>
      <c r="FG12" s="476">
        <v>6.3017999999999991E-2</v>
      </c>
      <c r="FH12" s="476">
        <v>2.6953999999999999E-2</v>
      </c>
      <c r="FI12" s="476">
        <v>0</v>
      </c>
      <c r="FJ12" s="476">
        <v>0</v>
      </c>
      <c r="FK12" s="476">
        <v>1184.317</v>
      </c>
      <c r="FL12" s="476">
        <v>9640974</v>
      </c>
      <c r="FM12" s="476">
        <v>0</v>
      </c>
      <c r="FN12" s="476">
        <v>0</v>
      </c>
      <c r="FO12" s="476">
        <v>51263</v>
      </c>
      <c r="FP12" s="476">
        <v>0</v>
      </c>
      <c r="FQ12" s="476">
        <v>51263</v>
      </c>
      <c r="FR12" s="476">
        <v>51263</v>
      </c>
      <c r="FS12" s="476">
        <v>0</v>
      </c>
      <c r="FT12" s="476">
        <v>0</v>
      </c>
      <c r="FU12" s="476">
        <v>0</v>
      </c>
      <c r="FV12" s="476">
        <v>0</v>
      </c>
      <c r="FW12" s="476">
        <v>0</v>
      </c>
      <c r="FX12" s="476">
        <v>0</v>
      </c>
      <c r="FY12" s="476">
        <v>0</v>
      </c>
      <c r="FZ12" s="476">
        <v>0</v>
      </c>
      <c r="GA12" s="476">
        <v>0</v>
      </c>
      <c r="GB12" s="476">
        <v>288188</v>
      </c>
      <c r="GC12" s="476">
        <v>288188</v>
      </c>
      <c r="GD12" s="476">
        <v>29.784000000000002</v>
      </c>
      <c r="GE12" s="476">
        <v>0</v>
      </c>
      <c r="GF12" s="476">
        <v>0</v>
      </c>
      <c r="GG12" s="476">
        <v>0</v>
      </c>
      <c r="GH12" s="476">
        <v>0</v>
      </c>
      <c r="GI12" s="476">
        <v>0</v>
      </c>
      <c r="GJ12" s="476">
        <v>0</v>
      </c>
      <c r="GK12" s="476">
        <v>0</v>
      </c>
      <c r="GL12" s="476">
        <v>0</v>
      </c>
      <c r="GM12" s="476">
        <v>0</v>
      </c>
      <c r="GN12" s="476">
        <v>0</v>
      </c>
      <c r="GO12" s="476">
        <v>0</v>
      </c>
      <c r="GP12" s="476">
        <v>0</v>
      </c>
      <c r="GQ12" s="476">
        <v>8108050</v>
      </c>
      <c r="GR12" s="476">
        <v>0</v>
      </c>
      <c r="GS12" s="476">
        <v>0</v>
      </c>
      <c r="GT12" s="476">
        <v>0</v>
      </c>
      <c r="GU12" s="476">
        <v>0</v>
      </c>
      <c r="GV12" s="476">
        <v>0</v>
      </c>
      <c r="GW12" s="476">
        <v>0</v>
      </c>
      <c r="GX12" s="476">
        <v>0</v>
      </c>
      <c r="GY12" s="476">
        <v>0</v>
      </c>
      <c r="GZ12" s="476">
        <v>0</v>
      </c>
      <c r="HA12" s="476">
        <v>0</v>
      </c>
      <c r="HB12" s="476">
        <v>323396213</v>
      </c>
      <c r="HC12" s="476">
        <v>4.2206E-2</v>
      </c>
      <c r="HD12" s="476">
        <v>137365</v>
      </c>
      <c r="HE12" s="476">
        <v>0</v>
      </c>
      <c r="HF12" s="476">
        <v>843743</v>
      </c>
      <c r="HG12" s="476">
        <v>44967</v>
      </c>
      <c r="HH12" s="476">
        <v>113917</v>
      </c>
      <c r="HI12" s="476">
        <v>0</v>
      </c>
      <c r="HJ12" s="476">
        <v>8137</v>
      </c>
      <c r="HK12" s="476">
        <v>833</v>
      </c>
      <c r="HL12" s="476">
        <v>828</v>
      </c>
      <c r="HM12" s="476">
        <v>5000</v>
      </c>
      <c r="HN12" s="476">
        <v>0</v>
      </c>
      <c r="HO12" s="476">
        <v>0</v>
      </c>
      <c r="HP12" s="476">
        <v>0</v>
      </c>
      <c r="HQ12" s="476">
        <v>0</v>
      </c>
      <c r="HR12" s="476">
        <v>0</v>
      </c>
      <c r="HS12" s="476">
        <v>7008791</v>
      </c>
      <c r="HT12" s="476">
        <v>157312</v>
      </c>
      <c r="HU12" s="476">
        <v>1057987</v>
      </c>
      <c r="HV12" s="476">
        <v>0</v>
      </c>
      <c r="HW12" s="476">
        <v>0</v>
      </c>
      <c r="HX12" s="476">
        <v>142</v>
      </c>
      <c r="HY12" s="476">
        <v>96</v>
      </c>
      <c r="HZ12" s="476">
        <v>41</v>
      </c>
      <c r="IA12" s="476">
        <v>89</v>
      </c>
      <c r="IB12" s="476">
        <v>94</v>
      </c>
      <c r="IC12" s="476">
        <v>462</v>
      </c>
      <c r="ID12" s="476">
        <v>0</v>
      </c>
      <c r="IE12" s="476">
        <v>0</v>
      </c>
      <c r="IF12" s="476">
        <v>0</v>
      </c>
      <c r="IG12" s="476">
        <v>73</v>
      </c>
      <c r="IH12" s="476">
        <v>184.935</v>
      </c>
      <c r="II12" s="476">
        <v>0</v>
      </c>
      <c r="IJ12" s="476">
        <v>81.628</v>
      </c>
      <c r="IK12" s="476">
        <v>0</v>
      </c>
      <c r="IL12" s="476">
        <v>1</v>
      </c>
      <c r="IM12" s="476">
        <v>0</v>
      </c>
      <c r="IN12" s="476">
        <v>0</v>
      </c>
      <c r="IO12" s="476">
        <v>1</v>
      </c>
      <c r="IP12" s="476">
        <v>0</v>
      </c>
      <c r="IQ12" s="476">
        <v>81.628</v>
      </c>
      <c r="IR12" s="476">
        <v>50282</v>
      </c>
      <c r="IS12" s="476">
        <v>0</v>
      </c>
      <c r="IT12" s="476">
        <v>5000</v>
      </c>
      <c r="IU12" s="476">
        <v>0</v>
      </c>
      <c r="IV12" s="476">
        <v>0</v>
      </c>
      <c r="IW12" s="476">
        <v>6160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32469</v>
      </c>
      <c r="JO12" s="476">
        <v>1.68</v>
      </c>
      <c r="JP12" s="476">
        <v>18.297000000000001</v>
      </c>
      <c r="JQ12" s="476">
        <v>9.8070000000000004</v>
      </c>
      <c r="JR12" s="476">
        <v>13420</v>
      </c>
      <c r="JS12" s="476">
        <v>170077</v>
      </c>
      <c r="JT12" s="476">
        <v>104691</v>
      </c>
      <c r="JU12" s="476">
        <v>0</v>
      </c>
      <c r="JV12" s="476">
        <v>1057987</v>
      </c>
      <c r="JW12" s="476">
        <v>0</v>
      </c>
      <c r="JX12" s="476">
        <v>0</v>
      </c>
      <c r="JY12" s="476">
        <v>0</v>
      </c>
      <c r="JZ12" s="476">
        <v>0</v>
      </c>
      <c r="KA12" s="476">
        <v>0</v>
      </c>
      <c r="KB12" s="476">
        <v>0</v>
      </c>
      <c r="KC12" s="476">
        <v>0</v>
      </c>
      <c r="KD12" s="476">
        <v>0</v>
      </c>
      <c r="KE12" s="476">
        <v>7262</v>
      </c>
      <c r="KF12" s="476">
        <v>0</v>
      </c>
      <c r="KG12" s="476">
        <v>0</v>
      </c>
      <c r="KH12" s="476">
        <v>8108050</v>
      </c>
      <c r="KI12" s="476">
        <v>0</v>
      </c>
      <c r="KJ12" s="476">
        <v>12</v>
      </c>
      <c r="KK12" s="476">
        <v>61</v>
      </c>
      <c r="KL12" s="476">
        <v>7392</v>
      </c>
      <c r="KM12" s="476">
        <v>37575</v>
      </c>
      <c r="KN12" s="476">
        <v>0</v>
      </c>
    </row>
    <row r="13" spans="1:300" x14ac:dyDescent="0.25">
      <c r="A13" s="476">
        <v>40976</v>
      </c>
      <c r="B13" s="476">
        <v>15807</v>
      </c>
      <c r="C13" s="476">
        <v>9</v>
      </c>
      <c r="D13" s="476">
        <v>2024</v>
      </c>
      <c r="E13" s="476">
        <v>6160</v>
      </c>
      <c r="F13" s="476">
        <v>0</v>
      </c>
      <c r="G13" s="476">
        <v>677.71</v>
      </c>
      <c r="H13" s="476">
        <v>616.72300000000007</v>
      </c>
      <c r="I13" s="476">
        <v>616.72300000000007</v>
      </c>
      <c r="J13" s="476">
        <v>677.71</v>
      </c>
      <c r="K13" s="476">
        <v>0</v>
      </c>
      <c r="L13" s="476">
        <v>6160</v>
      </c>
      <c r="M13" s="476">
        <v>0</v>
      </c>
      <c r="N13" s="476">
        <v>0</v>
      </c>
      <c r="O13" s="476">
        <v>0</v>
      </c>
      <c r="P13" s="476">
        <v>679.58699999999999</v>
      </c>
      <c r="Q13" s="476">
        <v>0</v>
      </c>
      <c r="R13" s="476">
        <v>281950</v>
      </c>
      <c r="S13" s="476">
        <v>414.88400000000001</v>
      </c>
      <c r="T13" s="476">
        <v>0</v>
      </c>
      <c r="U13" s="476">
        <v>0</v>
      </c>
      <c r="V13" s="476">
        <v>74.694000000000003</v>
      </c>
      <c r="W13" s="476">
        <v>46010</v>
      </c>
      <c r="X13" s="476">
        <v>46010</v>
      </c>
      <c r="Y13" s="476">
        <v>0</v>
      </c>
      <c r="Z13" s="476">
        <v>0</v>
      </c>
      <c r="AA13" s="476">
        <v>0</v>
      </c>
      <c r="AB13" s="476">
        <v>0</v>
      </c>
      <c r="AC13" s="476">
        <v>0</v>
      </c>
      <c r="AD13" s="476" t="s">
        <v>314</v>
      </c>
      <c r="AE13" s="476">
        <v>0</v>
      </c>
      <c r="AF13" s="476">
        <v>0</v>
      </c>
      <c r="AG13" s="476">
        <v>0</v>
      </c>
      <c r="AH13" s="476">
        <v>0</v>
      </c>
      <c r="AI13" s="476">
        <v>0</v>
      </c>
      <c r="AJ13" s="476">
        <v>6160</v>
      </c>
      <c r="AK13" s="476" t="s">
        <v>651</v>
      </c>
      <c r="AL13" s="476" t="s">
        <v>38</v>
      </c>
      <c r="AM13" s="476">
        <v>0</v>
      </c>
      <c r="AN13" s="476">
        <v>0</v>
      </c>
      <c r="AO13" s="476">
        <v>0</v>
      </c>
      <c r="AP13" s="476">
        <v>0</v>
      </c>
      <c r="AQ13" s="476">
        <v>0</v>
      </c>
      <c r="AR13" s="476">
        <v>0</v>
      </c>
      <c r="AS13" s="476">
        <v>0</v>
      </c>
      <c r="AT13" s="476">
        <v>0</v>
      </c>
      <c r="AU13" s="476">
        <v>0</v>
      </c>
      <c r="AV13" s="476">
        <v>0</v>
      </c>
      <c r="AW13" s="476">
        <v>7656573</v>
      </c>
      <c r="AX13" s="476">
        <v>7544693</v>
      </c>
      <c r="AY13" s="476">
        <v>0</v>
      </c>
      <c r="AZ13" s="476">
        <v>281950</v>
      </c>
      <c r="BA13" s="476">
        <v>36.082999999999998</v>
      </c>
      <c r="BB13" s="476">
        <v>13214</v>
      </c>
      <c r="BC13" s="476">
        <v>13129</v>
      </c>
      <c r="BD13" s="476">
        <v>31</v>
      </c>
      <c r="BE13" s="476">
        <v>84</v>
      </c>
      <c r="BF13" s="476">
        <v>6771868</v>
      </c>
      <c r="BG13" s="476">
        <v>0</v>
      </c>
      <c r="BH13" s="476">
        <v>0</v>
      </c>
      <c r="BI13" s="476">
        <v>0</v>
      </c>
      <c r="BJ13" s="476">
        <v>12</v>
      </c>
      <c r="BK13" s="476">
        <v>0</v>
      </c>
      <c r="BL13" s="476">
        <v>0</v>
      </c>
      <c r="BM13" s="476">
        <v>0</v>
      </c>
      <c r="BN13" s="476">
        <v>0</v>
      </c>
      <c r="BO13" s="476">
        <v>0</v>
      </c>
      <c r="BP13" s="476">
        <v>0</v>
      </c>
      <c r="BQ13" s="476">
        <v>675</v>
      </c>
      <c r="BR13" s="476">
        <v>0</v>
      </c>
      <c r="BS13" s="476">
        <v>0</v>
      </c>
      <c r="BT13" s="476">
        <v>0</v>
      </c>
      <c r="BU13" s="476">
        <v>0</v>
      </c>
      <c r="BV13" s="476">
        <v>0</v>
      </c>
      <c r="BW13" s="476">
        <v>0</v>
      </c>
      <c r="BX13" s="476">
        <v>0</v>
      </c>
      <c r="BY13" s="476">
        <v>0</v>
      </c>
      <c r="BZ13" s="476">
        <v>0</v>
      </c>
      <c r="CA13" s="476">
        <v>0</v>
      </c>
      <c r="CB13" s="476">
        <v>0</v>
      </c>
      <c r="CC13" s="476">
        <v>0</v>
      </c>
      <c r="CD13" s="476">
        <v>0</v>
      </c>
      <c r="CE13" s="476">
        <v>0</v>
      </c>
      <c r="CF13" s="476">
        <v>0</v>
      </c>
      <c r="CG13" s="476">
        <v>0</v>
      </c>
      <c r="CH13" s="476">
        <v>114415</v>
      </c>
      <c r="CI13" s="476">
        <v>0</v>
      </c>
      <c r="CJ13" s="476">
        <v>4</v>
      </c>
      <c r="CK13" s="476">
        <v>0</v>
      </c>
      <c r="CL13" s="476">
        <v>0</v>
      </c>
      <c r="CM13" s="476">
        <v>0</v>
      </c>
      <c r="CN13" s="476">
        <v>0</v>
      </c>
      <c r="CO13" s="476">
        <v>1</v>
      </c>
      <c r="CP13" s="476">
        <v>0</v>
      </c>
      <c r="CQ13" s="476">
        <v>1</v>
      </c>
      <c r="CR13" s="476">
        <v>677.71</v>
      </c>
      <c r="CS13" s="476">
        <v>0</v>
      </c>
      <c r="CT13" s="476">
        <v>0</v>
      </c>
      <c r="CU13" s="476">
        <v>0</v>
      </c>
      <c r="CV13" s="476">
        <v>0</v>
      </c>
      <c r="CW13" s="476">
        <v>0</v>
      </c>
      <c r="CX13" s="476">
        <v>0</v>
      </c>
      <c r="CY13" s="476">
        <v>0</v>
      </c>
      <c r="CZ13" s="476">
        <v>0</v>
      </c>
      <c r="DA13" s="476">
        <v>0</v>
      </c>
      <c r="DB13" s="476">
        <v>3735504</v>
      </c>
      <c r="DC13" s="476">
        <v>0</v>
      </c>
      <c r="DD13" s="476">
        <v>0</v>
      </c>
      <c r="DE13" s="476">
        <v>1011680</v>
      </c>
      <c r="DF13" s="476">
        <v>1011680</v>
      </c>
      <c r="DG13" s="476">
        <v>164.238</v>
      </c>
      <c r="DH13" s="476">
        <v>0</v>
      </c>
      <c r="DI13" s="476">
        <v>0</v>
      </c>
      <c r="DJ13" s="476">
        <v>0</v>
      </c>
      <c r="DK13" s="476">
        <v>2423</v>
      </c>
      <c r="DL13" s="476">
        <v>0</v>
      </c>
      <c r="DM13" s="476">
        <v>776182</v>
      </c>
      <c r="DN13" s="476">
        <v>2450</v>
      </c>
      <c r="DO13" s="476">
        <v>0</v>
      </c>
      <c r="DP13" s="476">
        <v>0</v>
      </c>
      <c r="DQ13" s="476">
        <v>0</v>
      </c>
      <c r="DR13" s="476">
        <v>0</v>
      </c>
      <c r="DS13" s="476">
        <v>0</v>
      </c>
      <c r="DT13" s="476">
        <v>0</v>
      </c>
      <c r="DU13" s="476">
        <v>0</v>
      </c>
      <c r="DV13" s="476">
        <v>0</v>
      </c>
      <c r="DW13" s="476">
        <v>0</v>
      </c>
      <c r="DX13" s="476">
        <v>0</v>
      </c>
      <c r="DY13" s="476">
        <v>0</v>
      </c>
      <c r="DZ13" s="476">
        <v>0</v>
      </c>
      <c r="EA13" s="476">
        <v>0</v>
      </c>
      <c r="EB13" s="476">
        <v>0</v>
      </c>
      <c r="EC13" s="476">
        <v>40.774000000000001</v>
      </c>
      <c r="ED13" s="476">
        <v>288836</v>
      </c>
      <c r="EE13" s="476">
        <v>0</v>
      </c>
      <c r="EF13" s="476">
        <v>0</v>
      </c>
      <c r="EG13" s="476">
        <v>0</v>
      </c>
      <c r="EH13" s="476">
        <v>426373</v>
      </c>
      <c r="EI13" s="476">
        <v>0</v>
      </c>
      <c r="EJ13" s="476">
        <v>0</v>
      </c>
      <c r="EK13" s="476">
        <v>19.813000000000002</v>
      </c>
      <c r="EL13" s="476">
        <v>0</v>
      </c>
      <c r="EM13" s="476">
        <v>0.64300000000000002</v>
      </c>
      <c r="EN13" s="476">
        <v>1.57</v>
      </c>
      <c r="EO13" s="476">
        <v>0</v>
      </c>
      <c r="EP13" s="476">
        <v>0</v>
      </c>
      <c r="EQ13" s="476">
        <v>22.026</v>
      </c>
      <c r="ER13" s="476">
        <v>0</v>
      </c>
      <c r="ES13" s="476">
        <v>69.218000000000004</v>
      </c>
      <c r="ET13" s="476">
        <v>0</v>
      </c>
      <c r="EU13" s="476">
        <v>0</v>
      </c>
      <c r="EV13" s="476">
        <v>0</v>
      </c>
      <c r="EW13" s="476">
        <v>0</v>
      </c>
      <c r="EX13" s="476">
        <v>0</v>
      </c>
      <c r="EY13" s="476">
        <v>0</v>
      </c>
      <c r="EZ13" s="476">
        <v>6524296</v>
      </c>
      <c r="FA13" s="476">
        <v>0</v>
      </c>
      <c r="FB13" s="476">
        <v>6803711</v>
      </c>
      <c r="FC13" s="476">
        <v>0</v>
      </c>
      <c r="FD13" s="476">
        <v>0</v>
      </c>
      <c r="FE13" s="476">
        <v>874371</v>
      </c>
      <c r="FF13" s="476">
        <v>146026</v>
      </c>
      <c r="FG13" s="476">
        <v>6.3017999999999991E-2</v>
      </c>
      <c r="FH13" s="476">
        <v>2.6953999999999999E-2</v>
      </c>
      <c r="FI13" s="476">
        <v>0</v>
      </c>
      <c r="FJ13" s="476">
        <v>0</v>
      </c>
      <c r="FK13" s="476">
        <v>1099.354</v>
      </c>
      <c r="FL13" s="476">
        <v>7938523</v>
      </c>
      <c r="FM13" s="476">
        <v>0</v>
      </c>
      <c r="FN13" s="476">
        <v>0</v>
      </c>
      <c r="FO13" s="476">
        <v>30638</v>
      </c>
      <c r="FP13" s="476">
        <v>0</v>
      </c>
      <c r="FQ13" s="476">
        <v>30638</v>
      </c>
      <c r="FR13" s="476">
        <v>30638</v>
      </c>
      <c r="FS13" s="476">
        <v>0</v>
      </c>
      <c r="FT13" s="476">
        <v>0</v>
      </c>
      <c r="FU13" s="476">
        <v>0</v>
      </c>
      <c r="FV13" s="476">
        <v>0</v>
      </c>
      <c r="FW13" s="476">
        <v>0</v>
      </c>
      <c r="FX13" s="476">
        <v>0</v>
      </c>
      <c r="FY13" s="476">
        <v>0</v>
      </c>
      <c r="FZ13" s="476">
        <v>0</v>
      </c>
      <c r="GA13" s="476">
        <v>0</v>
      </c>
      <c r="GB13" s="476">
        <v>371210</v>
      </c>
      <c r="GC13" s="476">
        <v>371210</v>
      </c>
      <c r="GD13" s="476">
        <v>38.960999999999999</v>
      </c>
      <c r="GE13" s="476">
        <v>0</v>
      </c>
      <c r="GF13" s="476">
        <v>0</v>
      </c>
      <c r="GG13" s="476">
        <v>0</v>
      </c>
      <c r="GH13" s="476">
        <v>0</v>
      </c>
      <c r="GI13" s="476">
        <v>0</v>
      </c>
      <c r="GJ13" s="476">
        <v>0</v>
      </c>
      <c r="GK13" s="476">
        <v>0</v>
      </c>
      <c r="GL13" s="476">
        <v>0</v>
      </c>
      <c r="GM13" s="476">
        <v>0</v>
      </c>
      <c r="GN13" s="476">
        <v>0</v>
      </c>
      <c r="GO13" s="476">
        <v>0</v>
      </c>
      <c r="GP13" s="476">
        <v>0</v>
      </c>
      <c r="GQ13" s="476">
        <v>7542158</v>
      </c>
      <c r="GR13" s="476">
        <v>0</v>
      </c>
      <c r="GS13" s="476">
        <v>0</v>
      </c>
      <c r="GT13" s="476">
        <v>0</v>
      </c>
      <c r="GU13" s="476">
        <v>0</v>
      </c>
      <c r="GV13" s="476">
        <v>0</v>
      </c>
      <c r="GW13" s="476">
        <v>0</v>
      </c>
      <c r="GX13" s="476">
        <v>0</v>
      </c>
      <c r="GY13" s="476">
        <v>0</v>
      </c>
      <c r="GZ13" s="476">
        <v>0</v>
      </c>
      <c r="HA13" s="476">
        <v>0</v>
      </c>
      <c r="HB13" s="476">
        <v>323396213</v>
      </c>
      <c r="HC13" s="476">
        <v>4.2206E-2</v>
      </c>
      <c r="HD13" s="476">
        <v>114415</v>
      </c>
      <c r="HE13" s="476">
        <v>0</v>
      </c>
      <c r="HF13" s="476">
        <v>679629</v>
      </c>
      <c r="HG13" s="476">
        <v>19096</v>
      </c>
      <c r="HH13" s="476">
        <v>100116</v>
      </c>
      <c r="HI13" s="476">
        <v>0</v>
      </c>
      <c r="HJ13" s="476">
        <v>6777</v>
      </c>
      <c r="HK13" s="476">
        <v>2128</v>
      </c>
      <c r="HL13" s="476">
        <v>1612</v>
      </c>
      <c r="HM13" s="476">
        <v>10000</v>
      </c>
      <c r="HN13" s="476">
        <v>0</v>
      </c>
      <c r="HO13" s="476">
        <v>0</v>
      </c>
      <c r="HP13" s="476">
        <v>0</v>
      </c>
      <c r="HQ13" s="476">
        <v>0</v>
      </c>
      <c r="HR13" s="476">
        <v>0</v>
      </c>
      <c r="HS13" s="476">
        <v>6521761</v>
      </c>
      <c r="HT13" s="476">
        <v>146026</v>
      </c>
      <c r="HU13" s="476">
        <v>0</v>
      </c>
      <c r="HV13" s="476">
        <v>0</v>
      </c>
      <c r="HW13" s="476">
        <v>0</v>
      </c>
      <c r="HX13" s="476">
        <v>72</v>
      </c>
      <c r="HY13" s="476">
        <v>68</v>
      </c>
      <c r="HZ13" s="476">
        <v>102</v>
      </c>
      <c r="IA13" s="476">
        <v>179</v>
      </c>
      <c r="IB13" s="476">
        <v>216</v>
      </c>
      <c r="IC13" s="476">
        <v>637</v>
      </c>
      <c r="ID13" s="476">
        <v>0</v>
      </c>
      <c r="IE13" s="476">
        <v>0</v>
      </c>
      <c r="IF13" s="476">
        <v>0</v>
      </c>
      <c r="IG13" s="476">
        <v>31</v>
      </c>
      <c r="IH13" s="476">
        <v>162.529</v>
      </c>
      <c r="II13" s="476">
        <v>0</v>
      </c>
      <c r="IJ13" s="476">
        <v>74.694000000000003</v>
      </c>
      <c r="IK13" s="476">
        <v>0</v>
      </c>
      <c r="IL13" s="476">
        <v>2</v>
      </c>
      <c r="IM13" s="476">
        <v>0</v>
      </c>
      <c r="IN13" s="476">
        <v>0</v>
      </c>
      <c r="IO13" s="476">
        <v>2</v>
      </c>
      <c r="IP13" s="476">
        <v>0</v>
      </c>
      <c r="IQ13" s="476">
        <v>74.694000000000003</v>
      </c>
      <c r="IR13" s="476">
        <v>46010</v>
      </c>
      <c r="IS13" s="476">
        <v>0</v>
      </c>
      <c r="IT13" s="476">
        <v>10000</v>
      </c>
      <c r="IU13" s="476">
        <v>0</v>
      </c>
      <c r="IV13" s="476">
        <v>0</v>
      </c>
      <c r="IW13" s="476">
        <v>6160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32469</v>
      </c>
      <c r="JO13" s="476">
        <v>0</v>
      </c>
      <c r="JP13" s="476">
        <v>32.399000000000001</v>
      </c>
      <c r="JQ13" s="476">
        <v>6.5620000000000003</v>
      </c>
      <c r="JR13" s="476">
        <v>0</v>
      </c>
      <c r="JS13" s="476">
        <v>301160</v>
      </c>
      <c r="JT13" s="476">
        <v>70050</v>
      </c>
      <c r="JU13" s="476">
        <v>13367</v>
      </c>
      <c r="JV13" s="476">
        <v>0</v>
      </c>
      <c r="JW13" s="476">
        <v>0</v>
      </c>
      <c r="JX13" s="476">
        <v>0</v>
      </c>
      <c r="JY13" s="476">
        <v>0</v>
      </c>
      <c r="JZ13" s="476">
        <v>0</v>
      </c>
      <c r="KA13" s="476">
        <v>0</v>
      </c>
      <c r="KB13" s="476">
        <v>0</v>
      </c>
      <c r="KC13" s="476">
        <v>0</v>
      </c>
      <c r="KD13" s="476">
        <v>13367</v>
      </c>
      <c r="KE13" s="476">
        <v>7262</v>
      </c>
      <c r="KF13" s="476">
        <v>0</v>
      </c>
      <c r="KG13" s="476">
        <v>0</v>
      </c>
      <c r="KH13" s="476">
        <v>7542158</v>
      </c>
      <c r="KI13" s="476">
        <v>0</v>
      </c>
      <c r="KJ13" s="476">
        <v>8</v>
      </c>
      <c r="KK13" s="476">
        <v>23</v>
      </c>
      <c r="KL13" s="476">
        <v>4928</v>
      </c>
      <c r="KM13" s="476">
        <v>14168</v>
      </c>
      <c r="KN13" s="476">
        <v>0</v>
      </c>
    </row>
    <row r="14" spans="1:300" x14ac:dyDescent="0.25">
      <c r="A14" s="476">
        <v>40976</v>
      </c>
      <c r="B14" s="476">
        <v>15808</v>
      </c>
      <c r="C14" s="476">
        <v>9</v>
      </c>
      <c r="D14" s="476">
        <v>2024</v>
      </c>
      <c r="E14" s="476">
        <v>6160</v>
      </c>
      <c r="F14" s="476">
        <v>0</v>
      </c>
      <c r="G14" s="476">
        <v>674.71</v>
      </c>
      <c r="H14" s="476">
        <v>589.14300000000003</v>
      </c>
      <c r="I14" s="476">
        <v>589.14300000000003</v>
      </c>
      <c r="J14" s="476">
        <v>674.71</v>
      </c>
      <c r="K14" s="476">
        <v>0</v>
      </c>
      <c r="L14" s="476">
        <v>6160</v>
      </c>
      <c r="M14" s="476">
        <v>0</v>
      </c>
      <c r="N14" s="476">
        <v>0</v>
      </c>
      <c r="O14" s="476">
        <v>0</v>
      </c>
      <c r="P14" s="476">
        <v>674.13200000000006</v>
      </c>
      <c r="Q14" s="476">
        <v>0</v>
      </c>
      <c r="R14" s="476">
        <v>279687</v>
      </c>
      <c r="S14" s="476">
        <v>414.88400000000001</v>
      </c>
      <c r="T14" s="476">
        <v>0</v>
      </c>
      <c r="U14" s="476">
        <v>0</v>
      </c>
      <c r="V14" s="476">
        <v>3.4</v>
      </c>
      <c r="W14" s="476">
        <v>2094</v>
      </c>
      <c r="X14" s="476">
        <v>2094</v>
      </c>
      <c r="Y14" s="476">
        <v>0</v>
      </c>
      <c r="Z14" s="476">
        <v>0</v>
      </c>
      <c r="AA14" s="476">
        <v>0</v>
      </c>
      <c r="AB14" s="476">
        <v>0</v>
      </c>
      <c r="AC14" s="476">
        <v>0</v>
      </c>
      <c r="AD14" s="476" t="s">
        <v>314</v>
      </c>
      <c r="AE14" s="476">
        <v>0</v>
      </c>
      <c r="AF14" s="476">
        <v>0</v>
      </c>
      <c r="AG14" s="476">
        <v>0</v>
      </c>
      <c r="AH14" s="476">
        <v>0</v>
      </c>
      <c r="AI14" s="476">
        <v>0</v>
      </c>
      <c r="AJ14" s="476">
        <v>6160</v>
      </c>
      <c r="AK14" s="476" t="s">
        <v>651</v>
      </c>
      <c r="AL14" s="476" t="s">
        <v>438</v>
      </c>
      <c r="AM14" s="476">
        <v>0</v>
      </c>
      <c r="AN14" s="476">
        <v>0</v>
      </c>
      <c r="AO14" s="476">
        <v>0</v>
      </c>
      <c r="AP14" s="476">
        <v>0</v>
      </c>
      <c r="AQ14" s="476">
        <v>0</v>
      </c>
      <c r="AR14" s="476">
        <v>0</v>
      </c>
      <c r="AS14" s="476">
        <v>0</v>
      </c>
      <c r="AT14" s="476">
        <v>0</v>
      </c>
      <c r="AU14" s="476">
        <v>0</v>
      </c>
      <c r="AV14" s="476">
        <v>0</v>
      </c>
      <c r="AW14" s="476">
        <v>7714952</v>
      </c>
      <c r="AX14" s="476">
        <v>7596772</v>
      </c>
      <c r="AY14" s="476">
        <v>0</v>
      </c>
      <c r="AZ14" s="476">
        <v>279687</v>
      </c>
      <c r="BA14" s="476">
        <v>0</v>
      </c>
      <c r="BB14" s="476">
        <v>0</v>
      </c>
      <c r="BC14" s="476">
        <v>0</v>
      </c>
      <c r="BD14" s="476">
        <v>0</v>
      </c>
      <c r="BE14" s="476">
        <v>0</v>
      </c>
      <c r="BF14" s="476">
        <v>6713099</v>
      </c>
      <c r="BG14" s="476">
        <v>0</v>
      </c>
      <c r="BH14" s="476">
        <v>0</v>
      </c>
      <c r="BI14" s="476">
        <v>0</v>
      </c>
      <c r="BJ14" s="476">
        <v>12</v>
      </c>
      <c r="BK14" s="476">
        <v>0</v>
      </c>
      <c r="BL14" s="476">
        <v>0</v>
      </c>
      <c r="BM14" s="476">
        <v>0</v>
      </c>
      <c r="BN14" s="476">
        <v>0</v>
      </c>
      <c r="BO14" s="476">
        <v>0</v>
      </c>
      <c r="BP14" s="476">
        <v>0</v>
      </c>
      <c r="BQ14" s="476">
        <v>679</v>
      </c>
      <c r="BR14" s="476">
        <v>0</v>
      </c>
      <c r="BS14" s="476">
        <v>0</v>
      </c>
      <c r="BT14" s="476">
        <v>0</v>
      </c>
      <c r="BU14" s="476">
        <v>0</v>
      </c>
      <c r="BV14" s="476">
        <v>0</v>
      </c>
      <c r="BW14" s="476">
        <v>0</v>
      </c>
      <c r="BX14" s="476">
        <v>0</v>
      </c>
      <c r="BY14" s="476">
        <v>0</v>
      </c>
      <c r="BZ14" s="476">
        <v>0</v>
      </c>
      <c r="CA14" s="476">
        <v>0</v>
      </c>
      <c r="CB14" s="476">
        <v>0</v>
      </c>
      <c r="CC14" s="476">
        <v>0</v>
      </c>
      <c r="CD14" s="476">
        <v>0</v>
      </c>
      <c r="CE14" s="476">
        <v>0</v>
      </c>
      <c r="CF14" s="476">
        <v>0</v>
      </c>
      <c r="CG14" s="476">
        <v>0</v>
      </c>
      <c r="CH14" s="476">
        <v>122649</v>
      </c>
      <c r="CI14" s="476">
        <v>0</v>
      </c>
      <c r="CJ14" s="476">
        <v>4</v>
      </c>
      <c r="CK14" s="476">
        <v>0</v>
      </c>
      <c r="CL14" s="476">
        <v>0</v>
      </c>
      <c r="CM14" s="476">
        <v>0</v>
      </c>
      <c r="CN14" s="476">
        <v>0</v>
      </c>
      <c r="CO14" s="476">
        <v>1</v>
      </c>
      <c r="CP14" s="476">
        <v>4.7E-2</v>
      </c>
      <c r="CQ14" s="476">
        <v>0</v>
      </c>
      <c r="CR14" s="476">
        <v>674.71</v>
      </c>
      <c r="CS14" s="476">
        <v>0</v>
      </c>
      <c r="CT14" s="476">
        <v>0</v>
      </c>
      <c r="CU14" s="476">
        <v>0</v>
      </c>
      <c r="CV14" s="476">
        <v>0</v>
      </c>
      <c r="CW14" s="476">
        <v>0</v>
      </c>
      <c r="CX14" s="476">
        <v>0</v>
      </c>
      <c r="CY14" s="476">
        <v>0</v>
      </c>
      <c r="CZ14" s="476">
        <v>0</v>
      </c>
      <c r="DA14" s="476">
        <v>0</v>
      </c>
      <c r="DB14" s="476">
        <v>906234</v>
      </c>
      <c r="DC14" s="476">
        <v>0</v>
      </c>
      <c r="DD14" s="476">
        <v>0</v>
      </c>
      <c r="DE14" s="476">
        <v>626997</v>
      </c>
      <c r="DF14" s="476">
        <v>627695</v>
      </c>
      <c r="DG14" s="476">
        <v>101.78800000000001</v>
      </c>
      <c r="DH14" s="476">
        <v>0</v>
      </c>
      <c r="DI14" s="476">
        <v>698</v>
      </c>
      <c r="DJ14" s="476">
        <v>0</v>
      </c>
      <c r="DK14" s="476">
        <v>2491</v>
      </c>
      <c r="DL14" s="476">
        <v>0</v>
      </c>
      <c r="DM14" s="476">
        <v>4022636</v>
      </c>
      <c r="DN14" s="476">
        <v>4469</v>
      </c>
      <c r="DO14" s="476">
        <v>0</v>
      </c>
      <c r="DP14" s="476">
        <v>0</v>
      </c>
      <c r="DQ14" s="476">
        <v>0</v>
      </c>
      <c r="DR14" s="476">
        <v>0</v>
      </c>
      <c r="DS14" s="476">
        <v>0</v>
      </c>
      <c r="DT14" s="476">
        <v>0</v>
      </c>
      <c r="DU14" s="476">
        <v>0</v>
      </c>
      <c r="DV14" s="476">
        <v>0</v>
      </c>
      <c r="DW14" s="476">
        <v>0</v>
      </c>
      <c r="DX14" s="476">
        <v>0</v>
      </c>
      <c r="DY14" s="476">
        <v>0</v>
      </c>
      <c r="DZ14" s="476">
        <v>0</v>
      </c>
      <c r="EA14" s="476">
        <v>0.224</v>
      </c>
      <c r="EB14" s="476">
        <v>0</v>
      </c>
      <c r="EC14" s="476">
        <v>48.492000000000004</v>
      </c>
      <c r="ED14" s="476">
        <v>343510</v>
      </c>
      <c r="EE14" s="476">
        <v>0</v>
      </c>
      <c r="EF14" s="476">
        <v>0</v>
      </c>
      <c r="EG14" s="476">
        <v>0</v>
      </c>
      <c r="EH14" s="476">
        <v>265983</v>
      </c>
      <c r="EI14" s="476">
        <v>694808</v>
      </c>
      <c r="EJ14" s="476">
        <v>28.199000000000002</v>
      </c>
      <c r="EK14" s="476">
        <v>11.23</v>
      </c>
      <c r="EL14" s="476">
        <v>0</v>
      </c>
      <c r="EM14" s="476">
        <v>0</v>
      </c>
      <c r="EN14" s="476">
        <v>1.6740000000000002</v>
      </c>
      <c r="EO14" s="476">
        <v>0</v>
      </c>
      <c r="EP14" s="476">
        <v>0</v>
      </c>
      <c r="EQ14" s="476">
        <v>41.327000000000005</v>
      </c>
      <c r="ER14" s="476">
        <v>0</v>
      </c>
      <c r="ES14" s="476">
        <v>43.18</v>
      </c>
      <c r="ET14" s="476">
        <v>0</v>
      </c>
      <c r="EU14" s="476">
        <v>0</v>
      </c>
      <c r="EV14" s="476">
        <v>0</v>
      </c>
      <c r="EW14" s="476">
        <v>0</v>
      </c>
      <c r="EX14" s="476">
        <v>0</v>
      </c>
      <c r="EY14" s="476">
        <v>0</v>
      </c>
      <c r="EZ14" s="476">
        <v>6585229</v>
      </c>
      <c r="FA14" s="476">
        <v>0</v>
      </c>
      <c r="FB14" s="476">
        <v>6860447</v>
      </c>
      <c r="FC14" s="476">
        <v>0</v>
      </c>
      <c r="FD14" s="476">
        <v>0</v>
      </c>
      <c r="FE14" s="476">
        <v>866784</v>
      </c>
      <c r="FF14" s="476">
        <v>144759</v>
      </c>
      <c r="FG14" s="476">
        <v>6.3017999999999991E-2</v>
      </c>
      <c r="FH14" s="476">
        <v>2.6953999999999999E-2</v>
      </c>
      <c r="FI14" s="476">
        <v>0</v>
      </c>
      <c r="FJ14" s="476">
        <v>0</v>
      </c>
      <c r="FK14" s="476">
        <v>1089.8140000000001</v>
      </c>
      <c r="FL14" s="476">
        <v>7994639</v>
      </c>
      <c r="FM14" s="476">
        <v>0</v>
      </c>
      <c r="FN14" s="476">
        <v>0</v>
      </c>
      <c r="FO14" s="476">
        <v>0</v>
      </c>
      <c r="FP14" s="476">
        <v>0</v>
      </c>
      <c r="FQ14" s="476">
        <v>0</v>
      </c>
      <c r="FR14" s="476">
        <v>0</v>
      </c>
      <c r="FS14" s="476">
        <v>0</v>
      </c>
      <c r="FT14" s="476">
        <v>0</v>
      </c>
      <c r="FU14" s="476">
        <v>0</v>
      </c>
      <c r="FV14" s="476">
        <v>0</v>
      </c>
      <c r="FW14" s="476">
        <v>0</v>
      </c>
      <c r="FX14" s="476">
        <v>0</v>
      </c>
      <c r="FY14" s="476">
        <v>0</v>
      </c>
      <c r="FZ14" s="476">
        <v>0</v>
      </c>
      <c r="GA14" s="476">
        <v>0</v>
      </c>
      <c r="GB14" s="476">
        <v>433789</v>
      </c>
      <c r="GC14" s="476">
        <v>433789</v>
      </c>
      <c r="GD14" s="476">
        <v>44.24</v>
      </c>
      <c r="GE14" s="476">
        <v>0</v>
      </c>
      <c r="GF14" s="476">
        <v>0</v>
      </c>
      <c r="GG14" s="476">
        <v>0</v>
      </c>
      <c r="GH14" s="476">
        <v>0</v>
      </c>
      <c r="GI14" s="476">
        <v>0</v>
      </c>
      <c r="GJ14" s="476">
        <v>0</v>
      </c>
      <c r="GK14" s="476">
        <v>0</v>
      </c>
      <c r="GL14" s="476">
        <v>0</v>
      </c>
      <c r="GM14" s="476">
        <v>0</v>
      </c>
      <c r="GN14" s="476">
        <v>0</v>
      </c>
      <c r="GO14" s="476">
        <v>0</v>
      </c>
      <c r="GP14" s="476">
        <v>0</v>
      </c>
      <c r="GQ14" s="476">
        <v>7592303</v>
      </c>
      <c r="GR14" s="476">
        <v>0</v>
      </c>
      <c r="GS14" s="476">
        <v>0</v>
      </c>
      <c r="GT14" s="476">
        <v>0</v>
      </c>
      <c r="GU14" s="476">
        <v>0</v>
      </c>
      <c r="GV14" s="476">
        <v>0</v>
      </c>
      <c r="GW14" s="476">
        <v>0</v>
      </c>
      <c r="GX14" s="476">
        <v>0</v>
      </c>
      <c r="GY14" s="476">
        <v>0</v>
      </c>
      <c r="GZ14" s="476">
        <v>0</v>
      </c>
      <c r="HA14" s="476">
        <v>0</v>
      </c>
      <c r="HB14" s="476">
        <v>323396213</v>
      </c>
      <c r="HC14" s="476">
        <v>4.2206E-2</v>
      </c>
      <c r="HD14" s="476">
        <v>113908</v>
      </c>
      <c r="HE14" s="476">
        <v>0</v>
      </c>
      <c r="HF14" s="476">
        <v>649236</v>
      </c>
      <c r="HG14" s="476">
        <v>6776</v>
      </c>
      <c r="HH14" s="476">
        <v>53423</v>
      </c>
      <c r="HI14" s="476">
        <v>0</v>
      </c>
      <c r="HJ14" s="476">
        <v>6747</v>
      </c>
      <c r="HK14" s="476">
        <v>3275</v>
      </c>
      <c r="HL14" s="476">
        <v>436</v>
      </c>
      <c r="HM14" s="476">
        <v>0</v>
      </c>
      <c r="HN14" s="476">
        <v>0</v>
      </c>
      <c r="HO14" s="476">
        <v>0</v>
      </c>
      <c r="HP14" s="476">
        <v>108086</v>
      </c>
      <c r="HQ14" s="476">
        <v>0</v>
      </c>
      <c r="HR14" s="476">
        <v>0</v>
      </c>
      <c r="HS14" s="476">
        <v>6580760</v>
      </c>
      <c r="HT14" s="476">
        <v>144759</v>
      </c>
      <c r="HU14" s="476">
        <v>8741</v>
      </c>
      <c r="HV14" s="476">
        <v>0</v>
      </c>
      <c r="HW14" s="476">
        <v>0</v>
      </c>
      <c r="HX14" s="476">
        <v>116</v>
      </c>
      <c r="HY14" s="476">
        <v>37</v>
      </c>
      <c r="HZ14" s="476">
        <v>90</v>
      </c>
      <c r="IA14" s="476">
        <v>56</v>
      </c>
      <c r="IB14" s="476">
        <v>108</v>
      </c>
      <c r="IC14" s="476">
        <v>407</v>
      </c>
      <c r="ID14" s="476">
        <v>0</v>
      </c>
      <c r="IE14" s="476">
        <v>0</v>
      </c>
      <c r="IF14" s="476">
        <v>0</v>
      </c>
      <c r="IG14" s="476">
        <v>11</v>
      </c>
      <c r="IH14" s="476">
        <v>86.728000000000009</v>
      </c>
      <c r="II14" s="476">
        <v>393.03900000000004</v>
      </c>
      <c r="IJ14" s="476">
        <v>3.4</v>
      </c>
      <c r="IK14" s="476">
        <v>145.52700000000002</v>
      </c>
      <c r="IL14" s="476">
        <v>0</v>
      </c>
      <c r="IM14" s="476">
        <v>0</v>
      </c>
      <c r="IN14" s="476">
        <v>0</v>
      </c>
      <c r="IO14" s="476">
        <v>0</v>
      </c>
      <c r="IP14" s="476">
        <v>538.56600000000003</v>
      </c>
      <c r="IQ14" s="476">
        <v>3.4</v>
      </c>
      <c r="IR14" s="476">
        <v>2094</v>
      </c>
      <c r="IS14" s="476">
        <v>40020</v>
      </c>
      <c r="IT14" s="476">
        <v>0</v>
      </c>
      <c r="IU14" s="476">
        <v>0</v>
      </c>
      <c r="IV14" s="476">
        <v>0</v>
      </c>
      <c r="IW14" s="476">
        <v>6160</v>
      </c>
      <c r="IX14" s="476">
        <v>0</v>
      </c>
      <c r="IY14" s="476">
        <v>0</v>
      </c>
      <c r="IZ14" s="476">
        <v>148106</v>
      </c>
      <c r="JA14" s="476">
        <v>0</v>
      </c>
      <c r="JB14" s="476">
        <v>0</v>
      </c>
      <c r="JC14" s="476">
        <v>0</v>
      </c>
      <c r="JD14" s="476">
        <v>0</v>
      </c>
      <c r="JE14" s="476">
        <v>0</v>
      </c>
      <c r="JF14" s="476">
        <v>0</v>
      </c>
      <c r="JG14" s="476">
        <v>0</v>
      </c>
      <c r="JH14" s="476">
        <v>0</v>
      </c>
      <c r="JI14" s="476">
        <v>0</v>
      </c>
      <c r="JJ14" s="476">
        <v>0</v>
      </c>
      <c r="JK14" s="476">
        <v>0</v>
      </c>
      <c r="JL14" s="476">
        <v>0</v>
      </c>
      <c r="JM14" s="476">
        <v>0</v>
      </c>
      <c r="JN14" s="476">
        <v>32469</v>
      </c>
      <c r="JO14" s="476">
        <v>8.34</v>
      </c>
      <c r="JP14" s="476">
        <v>11.647</v>
      </c>
      <c r="JQ14" s="476">
        <v>24.253</v>
      </c>
      <c r="JR14" s="476">
        <v>66622</v>
      </c>
      <c r="JS14" s="476">
        <v>108263</v>
      </c>
      <c r="JT14" s="476">
        <v>258904</v>
      </c>
      <c r="JU14" s="476">
        <v>0</v>
      </c>
      <c r="JV14" s="476">
        <v>8741</v>
      </c>
      <c r="JW14" s="476">
        <v>0</v>
      </c>
      <c r="JX14" s="476">
        <v>0</v>
      </c>
      <c r="JY14" s="476">
        <v>0</v>
      </c>
      <c r="JZ14" s="476">
        <v>0</v>
      </c>
      <c r="KA14" s="476">
        <v>0</v>
      </c>
      <c r="KB14" s="476">
        <v>0</v>
      </c>
      <c r="KC14" s="476">
        <v>0</v>
      </c>
      <c r="KD14" s="476">
        <v>0</v>
      </c>
      <c r="KE14" s="476">
        <v>7262</v>
      </c>
      <c r="KF14" s="476">
        <v>0</v>
      </c>
      <c r="KG14" s="476">
        <v>0</v>
      </c>
      <c r="KH14" s="476">
        <v>7592303</v>
      </c>
      <c r="KI14" s="476">
        <v>0</v>
      </c>
      <c r="KJ14" s="476">
        <v>7</v>
      </c>
      <c r="KK14" s="476">
        <v>4</v>
      </c>
      <c r="KL14" s="476">
        <v>4312</v>
      </c>
      <c r="KM14" s="476">
        <v>2464</v>
      </c>
      <c r="KN14" s="476">
        <v>0</v>
      </c>
    </row>
    <row r="15" spans="1:300" x14ac:dyDescent="0.25">
      <c r="A15" s="476">
        <v>40976</v>
      </c>
      <c r="B15" s="476">
        <v>15809</v>
      </c>
      <c r="C15" s="476">
        <v>9</v>
      </c>
      <c r="D15" s="476">
        <v>2024</v>
      </c>
      <c r="E15" s="476">
        <v>6160</v>
      </c>
      <c r="F15" s="476">
        <v>0</v>
      </c>
      <c r="G15" s="476">
        <v>199.333</v>
      </c>
      <c r="H15" s="476">
        <v>199.01500000000001</v>
      </c>
      <c r="I15" s="476">
        <v>199.01500000000001</v>
      </c>
      <c r="J15" s="476">
        <v>199.333</v>
      </c>
      <c r="K15" s="476">
        <v>0</v>
      </c>
      <c r="L15" s="476">
        <v>6160</v>
      </c>
      <c r="M15" s="476">
        <v>0</v>
      </c>
      <c r="N15" s="476">
        <v>0</v>
      </c>
      <c r="O15" s="476">
        <v>0</v>
      </c>
      <c r="P15" s="476">
        <v>199.333</v>
      </c>
      <c r="Q15" s="476">
        <v>0</v>
      </c>
      <c r="R15" s="476">
        <v>82700</v>
      </c>
      <c r="S15" s="476">
        <v>414.88400000000001</v>
      </c>
      <c r="T15" s="476">
        <v>0</v>
      </c>
      <c r="U15" s="476">
        <v>0</v>
      </c>
      <c r="V15" s="476">
        <v>24.507000000000001</v>
      </c>
      <c r="W15" s="476">
        <v>15096</v>
      </c>
      <c r="X15" s="476">
        <v>15096</v>
      </c>
      <c r="Y15" s="476">
        <v>0</v>
      </c>
      <c r="Z15" s="476">
        <v>0</v>
      </c>
      <c r="AA15" s="476">
        <v>0</v>
      </c>
      <c r="AB15" s="476">
        <v>0</v>
      </c>
      <c r="AC15" s="476">
        <v>0</v>
      </c>
      <c r="AD15" s="476" t="s">
        <v>314</v>
      </c>
      <c r="AE15" s="476">
        <v>0</v>
      </c>
      <c r="AF15" s="476">
        <v>0</v>
      </c>
      <c r="AG15" s="476">
        <v>0</v>
      </c>
      <c r="AH15" s="476">
        <v>0</v>
      </c>
      <c r="AI15" s="476">
        <v>0</v>
      </c>
      <c r="AJ15" s="476">
        <v>6160</v>
      </c>
      <c r="AK15" s="476" t="s">
        <v>651</v>
      </c>
      <c r="AL15" s="476" t="s">
        <v>37</v>
      </c>
      <c r="AM15" s="476">
        <v>0</v>
      </c>
      <c r="AN15" s="476">
        <v>0</v>
      </c>
      <c r="AO15" s="476">
        <v>0</v>
      </c>
      <c r="AP15" s="476">
        <v>0</v>
      </c>
      <c r="AQ15" s="476">
        <v>0</v>
      </c>
      <c r="AR15" s="476">
        <v>0</v>
      </c>
      <c r="AS15" s="476">
        <v>0</v>
      </c>
      <c r="AT15" s="476">
        <v>0</v>
      </c>
      <c r="AU15" s="476">
        <v>0</v>
      </c>
      <c r="AV15" s="476">
        <v>0</v>
      </c>
      <c r="AW15" s="476">
        <v>2244864</v>
      </c>
      <c r="AX15" s="476">
        <v>2211529</v>
      </c>
      <c r="AY15" s="476">
        <v>0</v>
      </c>
      <c r="AZ15" s="476">
        <v>82700</v>
      </c>
      <c r="BA15" s="476">
        <v>0</v>
      </c>
      <c r="BB15" s="476">
        <v>0</v>
      </c>
      <c r="BC15" s="476">
        <v>0</v>
      </c>
      <c r="BD15" s="476">
        <v>0</v>
      </c>
      <c r="BE15" s="476">
        <v>0</v>
      </c>
      <c r="BF15" s="476">
        <v>1993799</v>
      </c>
      <c r="BG15" s="476">
        <v>0</v>
      </c>
      <c r="BH15" s="476">
        <v>0</v>
      </c>
      <c r="BI15" s="476">
        <v>0</v>
      </c>
      <c r="BJ15" s="476">
        <v>12</v>
      </c>
      <c r="BK15" s="476">
        <v>0</v>
      </c>
      <c r="BL15" s="476">
        <v>0</v>
      </c>
      <c r="BM15" s="476">
        <v>0</v>
      </c>
      <c r="BN15" s="476">
        <v>0</v>
      </c>
      <c r="BO15" s="476">
        <v>0</v>
      </c>
      <c r="BP15" s="476">
        <v>0</v>
      </c>
      <c r="BQ15" s="476">
        <v>739</v>
      </c>
      <c r="BR15" s="476">
        <v>0</v>
      </c>
      <c r="BS15" s="476">
        <v>0</v>
      </c>
      <c r="BT15" s="476">
        <v>0</v>
      </c>
      <c r="BU15" s="476">
        <v>0</v>
      </c>
      <c r="BV15" s="476">
        <v>0</v>
      </c>
      <c r="BW15" s="476">
        <v>0</v>
      </c>
      <c r="BX15" s="476">
        <v>0</v>
      </c>
      <c r="BY15" s="476">
        <v>0</v>
      </c>
      <c r="BZ15" s="476">
        <v>0</v>
      </c>
      <c r="CA15" s="476">
        <v>0</v>
      </c>
      <c r="CB15" s="476">
        <v>0</v>
      </c>
      <c r="CC15" s="476">
        <v>0</v>
      </c>
      <c r="CD15" s="476">
        <v>0</v>
      </c>
      <c r="CE15" s="476">
        <v>0</v>
      </c>
      <c r="CF15" s="476">
        <v>0</v>
      </c>
      <c r="CG15" s="476">
        <v>0</v>
      </c>
      <c r="CH15" s="476">
        <v>33652</v>
      </c>
      <c r="CI15" s="476">
        <v>0</v>
      </c>
      <c r="CJ15" s="476">
        <v>4</v>
      </c>
      <c r="CK15" s="476">
        <v>0</v>
      </c>
      <c r="CL15" s="476">
        <v>0</v>
      </c>
      <c r="CM15" s="476">
        <v>0</v>
      </c>
      <c r="CN15" s="476">
        <v>0</v>
      </c>
      <c r="CO15" s="476">
        <v>1</v>
      </c>
      <c r="CP15" s="476">
        <v>0</v>
      </c>
      <c r="CQ15" s="476">
        <v>0</v>
      </c>
      <c r="CR15" s="476">
        <v>199.333</v>
      </c>
      <c r="CS15" s="476">
        <v>0</v>
      </c>
      <c r="CT15" s="476">
        <v>0</v>
      </c>
      <c r="CU15" s="476">
        <v>0</v>
      </c>
      <c r="CV15" s="476">
        <v>0</v>
      </c>
      <c r="CW15" s="476">
        <v>0</v>
      </c>
      <c r="CX15" s="476">
        <v>0</v>
      </c>
      <c r="CY15" s="476">
        <v>0</v>
      </c>
      <c r="CZ15" s="476">
        <v>0</v>
      </c>
      <c r="DA15" s="476">
        <v>0</v>
      </c>
      <c r="DB15" s="476">
        <v>1062842</v>
      </c>
      <c r="DC15" s="476">
        <v>0</v>
      </c>
      <c r="DD15" s="476">
        <v>0</v>
      </c>
      <c r="DE15" s="476">
        <v>364664</v>
      </c>
      <c r="DF15" s="476">
        <v>364664</v>
      </c>
      <c r="DG15" s="476">
        <v>59.2</v>
      </c>
      <c r="DH15" s="476">
        <v>0</v>
      </c>
      <c r="DI15" s="476">
        <v>0</v>
      </c>
      <c r="DJ15" s="476">
        <v>0</v>
      </c>
      <c r="DK15" s="476">
        <v>3452</v>
      </c>
      <c r="DL15" s="476">
        <v>0</v>
      </c>
      <c r="DM15" s="476">
        <v>255258</v>
      </c>
      <c r="DN15" s="476">
        <v>317</v>
      </c>
      <c r="DO15" s="476">
        <v>0</v>
      </c>
      <c r="DP15" s="476">
        <v>0</v>
      </c>
      <c r="DQ15" s="476">
        <v>0</v>
      </c>
      <c r="DR15" s="476">
        <v>0</v>
      </c>
      <c r="DS15" s="476">
        <v>0</v>
      </c>
      <c r="DT15" s="476">
        <v>0</v>
      </c>
      <c r="DU15" s="476">
        <v>0</v>
      </c>
      <c r="DV15" s="476">
        <v>0</v>
      </c>
      <c r="DW15" s="476">
        <v>0</v>
      </c>
      <c r="DX15" s="476">
        <v>0</v>
      </c>
      <c r="DY15" s="476">
        <v>0</v>
      </c>
      <c r="DZ15" s="476">
        <v>0</v>
      </c>
      <c r="EA15" s="476">
        <v>0</v>
      </c>
      <c r="EB15" s="476">
        <v>0</v>
      </c>
      <c r="EC15" s="476">
        <v>11.677000000000001</v>
      </c>
      <c r="ED15" s="476">
        <v>82718</v>
      </c>
      <c r="EE15" s="476">
        <v>0</v>
      </c>
      <c r="EF15" s="476">
        <v>0</v>
      </c>
      <c r="EG15" s="476">
        <v>0</v>
      </c>
      <c r="EH15" s="476">
        <v>9794</v>
      </c>
      <c r="EI15" s="476">
        <v>0</v>
      </c>
      <c r="EJ15" s="476">
        <v>0</v>
      </c>
      <c r="EK15" s="476">
        <v>0</v>
      </c>
      <c r="EL15" s="476">
        <v>0</v>
      </c>
      <c r="EM15" s="476">
        <v>0</v>
      </c>
      <c r="EN15" s="476">
        <v>0.318</v>
      </c>
      <c r="EO15" s="476">
        <v>0</v>
      </c>
      <c r="EP15" s="476">
        <v>0</v>
      </c>
      <c r="EQ15" s="476">
        <v>0.318</v>
      </c>
      <c r="ER15" s="476">
        <v>0</v>
      </c>
      <c r="ES15" s="476">
        <v>1.59</v>
      </c>
      <c r="ET15" s="476">
        <v>0</v>
      </c>
      <c r="EU15" s="476">
        <v>0</v>
      </c>
      <c r="EV15" s="476">
        <v>0</v>
      </c>
      <c r="EW15" s="476">
        <v>0</v>
      </c>
      <c r="EX15" s="476">
        <v>0</v>
      </c>
      <c r="EY15" s="476">
        <v>0</v>
      </c>
      <c r="EZ15" s="476">
        <v>1911099</v>
      </c>
      <c r="FA15" s="476">
        <v>0</v>
      </c>
      <c r="FB15" s="476">
        <v>1993482</v>
      </c>
      <c r="FC15" s="476">
        <v>0</v>
      </c>
      <c r="FD15" s="476">
        <v>0</v>
      </c>
      <c r="FE15" s="476">
        <v>257436</v>
      </c>
      <c r="FF15" s="476">
        <v>42994</v>
      </c>
      <c r="FG15" s="476">
        <v>6.3017999999999991E-2</v>
      </c>
      <c r="FH15" s="476">
        <v>2.6953999999999999E-2</v>
      </c>
      <c r="FI15" s="476">
        <v>0</v>
      </c>
      <c r="FJ15" s="476">
        <v>0</v>
      </c>
      <c r="FK15" s="476">
        <v>323.67599999999999</v>
      </c>
      <c r="FL15" s="476">
        <v>2327564</v>
      </c>
      <c r="FM15" s="476">
        <v>0</v>
      </c>
      <c r="FN15" s="476">
        <v>0</v>
      </c>
      <c r="FO15" s="476">
        <v>0</v>
      </c>
      <c r="FP15" s="476">
        <v>0</v>
      </c>
      <c r="FQ15" s="476">
        <v>0</v>
      </c>
      <c r="FR15" s="476">
        <v>0</v>
      </c>
      <c r="FS15" s="476">
        <v>0</v>
      </c>
      <c r="FT15" s="476">
        <v>0</v>
      </c>
      <c r="FU15" s="476">
        <v>0</v>
      </c>
      <c r="FV15" s="476">
        <v>0</v>
      </c>
      <c r="FW15" s="476">
        <v>0</v>
      </c>
      <c r="FX15" s="476">
        <v>0</v>
      </c>
      <c r="FY15" s="476">
        <v>0</v>
      </c>
      <c r="FZ15" s="476">
        <v>0</v>
      </c>
      <c r="GA15" s="476">
        <v>0</v>
      </c>
      <c r="GB15" s="476">
        <v>0</v>
      </c>
      <c r="GC15" s="476">
        <v>0</v>
      </c>
      <c r="GD15" s="476">
        <v>0</v>
      </c>
      <c r="GE15" s="476">
        <v>0</v>
      </c>
      <c r="GF15" s="476">
        <v>0</v>
      </c>
      <c r="GG15" s="476">
        <v>0</v>
      </c>
      <c r="GH15" s="476">
        <v>0</v>
      </c>
      <c r="GI15" s="476">
        <v>0</v>
      </c>
      <c r="GJ15" s="476">
        <v>0</v>
      </c>
      <c r="GK15" s="476">
        <v>0</v>
      </c>
      <c r="GL15" s="476">
        <v>0</v>
      </c>
      <c r="GM15" s="476">
        <v>0</v>
      </c>
      <c r="GN15" s="476">
        <v>0</v>
      </c>
      <c r="GO15" s="476">
        <v>0</v>
      </c>
      <c r="GP15" s="476">
        <v>0</v>
      </c>
      <c r="GQ15" s="476">
        <v>2211212</v>
      </c>
      <c r="GR15" s="476">
        <v>0</v>
      </c>
      <c r="GS15" s="476">
        <v>0</v>
      </c>
      <c r="GT15" s="476">
        <v>0</v>
      </c>
      <c r="GU15" s="476">
        <v>0</v>
      </c>
      <c r="GV15" s="476">
        <v>0</v>
      </c>
      <c r="GW15" s="476">
        <v>0</v>
      </c>
      <c r="GX15" s="476">
        <v>0</v>
      </c>
      <c r="GY15" s="476">
        <v>0</v>
      </c>
      <c r="GZ15" s="476">
        <v>0</v>
      </c>
      <c r="HA15" s="476">
        <v>0</v>
      </c>
      <c r="HB15" s="476">
        <v>323396213</v>
      </c>
      <c r="HC15" s="476">
        <v>4.2206E-2</v>
      </c>
      <c r="HD15" s="476">
        <v>33652</v>
      </c>
      <c r="HE15" s="476">
        <v>0</v>
      </c>
      <c r="HF15" s="476">
        <v>219315</v>
      </c>
      <c r="HG15" s="476">
        <v>11088</v>
      </c>
      <c r="HH15" s="476">
        <v>63226</v>
      </c>
      <c r="HI15" s="476">
        <v>0</v>
      </c>
      <c r="HJ15" s="476">
        <v>1993</v>
      </c>
      <c r="HK15" s="476">
        <v>0</v>
      </c>
      <c r="HL15" s="476">
        <v>0</v>
      </c>
      <c r="HM15" s="476">
        <v>0</v>
      </c>
      <c r="HN15" s="476">
        <v>0</v>
      </c>
      <c r="HO15" s="476">
        <v>0</v>
      </c>
      <c r="HP15" s="476">
        <v>0</v>
      </c>
      <c r="HQ15" s="476">
        <v>0</v>
      </c>
      <c r="HR15" s="476">
        <v>0</v>
      </c>
      <c r="HS15" s="476">
        <v>1910782</v>
      </c>
      <c r="HT15" s="476">
        <v>42994</v>
      </c>
      <c r="HU15" s="476">
        <v>0</v>
      </c>
      <c r="HV15" s="476">
        <v>0</v>
      </c>
      <c r="HW15" s="476">
        <v>0</v>
      </c>
      <c r="HX15" s="476">
        <v>5</v>
      </c>
      <c r="HY15" s="476">
        <v>18</v>
      </c>
      <c r="HZ15" s="476">
        <v>30</v>
      </c>
      <c r="IA15" s="476">
        <v>58</v>
      </c>
      <c r="IB15" s="476">
        <v>113</v>
      </c>
      <c r="IC15" s="476">
        <v>224</v>
      </c>
      <c r="ID15" s="476">
        <v>0</v>
      </c>
      <c r="IE15" s="476">
        <v>0</v>
      </c>
      <c r="IF15" s="476">
        <v>0</v>
      </c>
      <c r="IG15" s="476">
        <v>18</v>
      </c>
      <c r="IH15" s="476">
        <v>102.64200000000001</v>
      </c>
      <c r="II15" s="476">
        <v>0</v>
      </c>
      <c r="IJ15" s="476">
        <v>24.507000000000001</v>
      </c>
      <c r="IK15" s="476">
        <v>0</v>
      </c>
      <c r="IL15" s="476">
        <v>0</v>
      </c>
      <c r="IM15" s="476">
        <v>0</v>
      </c>
      <c r="IN15" s="476">
        <v>0</v>
      </c>
      <c r="IO15" s="476">
        <v>0</v>
      </c>
      <c r="IP15" s="476">
        <v>0</v>
      </c>
      <c r="IQ15" s="476">
        <v>24.507000000000001</v>
      </c>
      <c r="IR15" s="476">
        <v>15096</v>
      </c>
      <c r="IS15" s="476">
        <v>0</v>
      </c>
      <c r="IT15" s="476">
        <v>0</v>
      </c>
      <c r="IU15" s="476">
        <v>0</v>
      </c>
      <c r="IV15" s="476">
        <v>0</v>
      </c>
      <c r="IW15" s="476">
        <v>6160</v>
      </c>
      <c r="IX15" s="476">
        <v>0</v>
      </c>
      <c r="IY15" s="476">
        <v>0</v>
      </c>
      <c r="IZ15" s="476">
        <v>0</v>
      </c>
      <c r="JA15" s="476">
        <v>0</v>
      </c>
      <c r="JB15" s="476">
        <v>0</v>
      </c>
      <c r="JC15" s="476">
        <v>0</v>
      </c>
      <c r="JD15" s="476">
        <v>0</v>
      </c>
      <c r="JE15" s="476">
        <v>0</v>
      </c>
      <c r="JF15" s="476">
        <v>0</v>
      </c>
      <c r="JG15" s="476">
        <v>0</v>
      </c>
      <c r="JH15" s="476">
        <v>0</v>
      </c>
      <c r="JI15" s="476">
        <v>0</v>
      </c>
      <c r="JJ15" s="476">
        <v>0</v>
      </c>
      <c r="JK15" s="476">
        <v>0</v>
      </c>
      <c r="JL15" s="476">
        <v>0</v>
      </c>
      <c r="JM15" s="476">
        <v>0</v>
      </c>
      <c r="JN15" s="476">
        <v>34493</v>
      </c>
      <c r="JO15" s="476">
        <v>0</v>
      </c>
      <c r="JP15" s="476">
        <v>0</v>
      </c>
      <c r="JQ15" s="476">
        <v>0</v>
      </c>
      <c r="JR15" s="476">
        <v>0</v>
      </c>
      <c r="JS15" s="476">
        <v>0</v>
      </c>
      <c r="JT15" s="476">
        <v>0</v>
      </c>
      <c r="JU15" s="476">
        <v>0</v>
      </c>
      <c r="JV15" s="476">
        <v>0</v>
      </c>
      <c r="JW15" s="476">
        <v>0</v>
      </c>
      <c r="JX15" s="476">
        <v>0</v>
      </c>
      <c r="JY15" s="476">
        <v>0</v>
      </c>
      <c r="JZ15" s="476">
        <v>0</v>
      </c>
      <c r="KA15" s="476">
        <v>0</v>
      </c>
      <c r="KB15" s="476">
        <v>0</v>
      </c>
      <c r="KC15" s="476">
        <v>0</v>
      </c>
      <c r="KD15" s="476">
        <v>0</v>
      </c>
      <c r="KE15" s="476">
        <v>7262</v>
      </c>
      <c r="KF15" s="476">
        <v>0</v>
      </c>
      <c r="KG15" s="476">
        <v>0</v>
      </c>
      <c r="KH15" s="476">
        <v>2211212</v>
      </c>
      <c r="KI15" s="476">
        <v>0</v>
      </c>
      <c r="KJ15" s="476">
        <v>10</v>
      </c>
      <c r="KK15" s="476">
        <v>8</v>
      </c>
      <c r="KL15" s="476">
        <v>6160</v>
      </c>
      <c r="KM15" s="476">
        <v>4928</v>
      </c>
      <c r="KN15" s="476">
        <v>0</v>
      </c>
    </row>
    <row r="16" spans="1:300" x14ac:dyDescent="0.25">
      <c r="A16" s="476">
        <v>40976</v>
      </c>
      <c r="B16" s="476">
        <v>15814</v>
      </c>
      <c r="C16" s="476">
        <v>9</v>
      </c>
      <c r="D16" s="476">
        <v>2024</v>
      </c>
      <c r="E16" s="476">
        <v>6160</v>
      </c>
      <c r="F16" s="476">
        <v>0</v>
      </c>
      <c r="G16" s="476">
        <v>73.046999999999997</v>
      </c>
      <c r="H16" s="476">
        <v>70.036000000000001</v>
      </c>
      <c r="I16" s="476">
        <v>70.036000000000001</v>
      </c>
      <c r="J16" s="476">
        <v>73.046999999999997</v>
      </c>
      <c r="K16" s="476">
        <v>0</v>
      </c>
      <c r="L16" s="476">
        <v>6160</v>
      </c>
      <c r="M16" s="476">
        <v>0</v>
      </c>
      <c r="N16" s="476">
        <v>0</v>
      </c>
      <c r="O16" s="476">
        <v>0</v>
      </c>
      <c r="P16" s="476">
        <v>73.046999999999997</v>
      </c>
      <c r="Q16" s="476">
        <v>0</v>
      </c>
      <c r="R16" s="476">
        <v>30306</v>
      </c>
      <c r="S16" s="476">
        <v>414.88400000000001</v>
      </c>
      <c r="T16" s="476">
        <v>0</v>
      </c>
      <c r="U16" s="476">
        <v>0</v>
      </c>
      <c r="V16" s="476">
        <v>2.1920000000000002</v>
      </c>
      <c r="W16" s="476">
        <v>1350</v>
      </c>
      <c r="X16" s="476">
        <v>1350</v>
      </c>
      <c r="Y16" s="476">
        <v>0</v>
      </c>
      <c r="Z16" s="476">
        <v>0</v>
      </c>
      <c r="AA16" s="476">
        <v>0</v>
      </c>
      <c r="AB16" s="476">
        <v>0</v>
      </c>
      <c r="AC16" s="476">
        <v>0</v>
      </c>
      <c r="AD16" s="476" t="s">
        <v>314</v>
      </c>
      <c r="AE16" s="476">
        <v>0</v>
      </c>
      <c r="AF16" s="476">
        <v>0</v>
      </c>
      <c r="AG16" s="476">
        <v>0</v>
      </c>
      <c r="AH16" s="476">
        <v>0</v>
      </c>
      <c r="AI16" s="476">
        <v>0</v>
      </c>
      <c r="AJ16" s="476">
        <v>6160</v>
      </c>
      <c r="AK16" s="476" t="s">
        <v>651</v>
      </c>
      <c r="AL16" s="476" t="s">
        <v>39</v>
      </c>
      <c r="AM16" s="476">
        <v>0</v>
      </c>
      <c r="AN16" s="476">
        <v>0</v>
      </c>
      <c r="AO16" s="476">
        <v>0</v>
      </c>
      <c r="AP16" s="476">
        <v>0</v>
      </c>
      <c r="AQ16" s="476">
        <v>0</v>
      </c>
      <c r="AR16" s="476">
        <v>0</v>
      </c>
      <c r="AS16" s="476">
        <v>0</v>
      </c>
      <c r="AT16" s="476">
        <v>0</v>
      </c>
      <c r="AU16" s="476">
        <v>0</v>
      </c>
      <c r="AV16" s="476">
        <v>0</v>
      </c>
      <c r="AW16" s="476">
        <v>917138</v>
      </c>
      <c r="AX16" s="476">
        <v>905232</v>
      </c>
      <c r="AY16" s="476">
        <v>0</v>
      </c>
      <c r="AZ16" s="476">
        <v>30306</v>
      </c>
      <c r="BA16" s="476">
        <v>0</v>
      </c>
      <c r="BB16" s="476">
        <v>0</v>
      </c>
      <c r="BC16" s="476">
        <v>0</v>
      </c>
      <c r="BD16" s="476">
        <v>0</v>
      </c>
      <c r="BE16" s="476">
        <v>0</v>
      </c>
      <c r="BF16" s="476">
        <v>791438</v>
      </c>
      <c r="BG16" s="476">
        <v>0</v>
      </c>
      <c r="BH16" s="476">
        <v>0</v>
      </c>
      <c r="BI16" s="476">
        <v>0</v>
      </c>
      <c r="BJ16" s="476">
        <v>12</v>
      </c>
      <c r="BK16" s="476">
        <v>0</v>
      </c>
      <c r="BL16" s="476">
        <v>0</v>
      </c>
      <c r="BM16" s="476">
        <v>0</v>
      </c>
      <c r="BN16" s="476">
        <v>0</v>
      </c>
      <c r="BO16" s="476">
        <v>0</v>
      </c>
      <c r="BP16" s="476">
        <v>0</v>
      </c>
      <c r="BQ16" s="476">
        <v>759</v>
      </c>
      <c r="BR16" s="476">
        <v>0</v>
      </c>
      <c r="BS16" s="476">
        <v>0</v>
      </c>
      <c r="BT16" s="476">
        <v>0</v>
      </c>
      <c r="BU16" s="476">
        <v>0</v>
      </c>
      <c r="BV16" s="476">
        <v>0</v>
      </c>
      <c r="BW16" s="476">
        <v>0</v>
      </c>
      <c r="BX16" s="476">
        <v>0</v>
      </c>
      <c r="BY16" s="476">
        <v>0</v>
      </c>
      <c r="BZ16" s="476">
        <v>0</v>
      </c>
      <c r="CA16" s="476">
        <v>0</v>
      </c>
      <c r="CB16" s="476">
        <v>0</v>
      </c>
      <c r="CC16" s="476">
        <v>0</v>
      </c>
      <c r="CD16" s="476">
        <v>0</v>
      </c>
      <c r="CE16" s="476">
        <v>0</v>
      </c>
      <c r="CF16" s="476">
        <v>0</v>
      </c>
      <c r="CG16" s="476">
        <v>0</v>
      </c>
      <c r="CH16" s="476">
        <v>12332</v>
      </c>
      <c r="CI16" s="476">
        <v>0</v>
      </c>
      <c r="CJ16" s="476">
        <v>4</v>
      </c>
      <c r="CK16" s="476">
        <v>0</v>
      </c>
      <c r="CL16" s="476">
        <v>0</v>
      </c>
      <c r="CM16" s="476">
        <v>0</v>
      </c>
      <c r="CN16" s="476">
        <v>0</v>
      </c>
      <c r="CO16" s="476">
        <v>1</v>
      </c>
      <c r="CP16" s="476">
        <v>0.26800000000000002</v>
      </c>
      <c r="CQ16" s="476">
        <v>0</v>
      </c>
      <c r="CR16" s="476">
        <v>73.046999999999997</v>
      </c>
      <c r="CS16" s="476">
        <v>0</v>
      </c>
      <c r="CT16" s="476">
        <v>0</v>
      </c>
      <c r="CU16" s="476">
        <v>0</v>
      </c>
      <c r="CV16" s="476">
        <v>0</v>
      </c>
      <c r="CW16" s="476">
        <v>0</v>
      </c>
      <c r="CX16" s="476">
        <v>0</v>
      </c>
      <c r="CY16" s="476">
        <v>0</v>
      </c>
      <c r="CZ16" s="476">
        <v>0</v>
      </c>
      <c r="DA16" s="476">
        <v>0</v>
      </c>
      <c r="DB16" s="476">
        <v>431412</v>
      </c>
      <c r="DC16" s="476">
        <v>0</v>
      </c>
      <c r="DD16" s="476">
        <v>0</v>
      </c>
      <c r="DE16" s="476">
        <v>146836</v>
      </c>
      <c r="DF16" s="476">
        <v>150815</v>
      </c>
      <c r="DG16" s="476">
        <v>23.838000000000001</v>
      </c>
      <c r="DH16" s="476">
        <v>0</v>
      </c>
      <c r="DI16" s="476">
        <v>3979</v>
      </c>
      <c r="DJ16" s="476">
        <v>0</v>
      </c>
      <c r="DK16" s="476">
        <v>3770</v>
      </c>
      <c r="DL16" s="476">
        <v>0</v>
      </c>
      <c r="DM16" s="476">
        <v>123865</v>
      </c>
      <c r="DN16" s="476">
        <v>426</v>
      </c>
      <c r="DO16" s="476">
        <v>0</v>
      </c>
      <c r="DP16" s="476">
        <v>0</v>
      </c>
      <c r="DQ16" s="476">
        <v>0</v>
      </c>
      <c r="DR16" s="476">
        <v>0</v>
      </c>
      <c r="DS16" s="476">
        <v>0</v>
      </c>
      <c r="DT16" s="476">
        <v>0</v>
      </c>
      <c r="DU16" s="476">
        <v>0</v>
      </c>
      <c r="DV16" s="476">
        <v>0</v>
      </c>
      <c r="DW16" s="476">
        <v>0</v>
      </c>
      <c r="DX16" s="476">
        <v>0</v>
      </c>
      <c r="DY16" s="476">
        <v>0</v>
      </c>
      <c r="DZ16" s="476">
        <v>0</v>
      </c>
      <c r="EA16" s="476">
        <v>0</v>
      </c>
      <c r="EB16" s="476">
        <v>0</v>
      </c>
      <c r="EC16" s="476">
        <v>10.457000000000001</v>
      </c>
      <c r="ED16" s="476">
        <v>74076</v>
      </c>
      <c r="EE16" s="476">
        <v>0</v>
      </c>
      <c r="EF16" s="476">
        <v>0</v>
      </c>
      <c r="EG16" s="476">
        <v>0</v>
      </c>
      <c r="EH16" s="476">
        <v>50215</v>
      </c>
      <c r="EI16" s="476">
        <v>0</v>
      </c>
      <c r="EJ16" s="476">
        <v>0</v>
      </c>
      <c r="EK16" s="476">
        <v>2.6</v>
      </c>
      <c r="EL16" s="476">
        <v>0</v>
      </c>
      <c r="EM16" s="476">
        <v>4.4000000000000004E-2</v>
      </c>
      <c r="EN16" s="476">
        <v>4.4000000000000004E-2</v>
      </c>
      <c r="EO16" s="476">
        <v>0</v>
      </c>
      <c r="EP16" s="476">
        <v>0</v>
      </c>
      <c r="EQ16" s="476">
        <v>2.6880000000000002</v>
      </c>
      <c r="ER16" s="476">
        <v>0</v>
      </c>
      <c r="ES16" s="476">
        <v>8.152000000000001</v>
      </c>
      <c r="ET16" s="476">
        <v>0</v>
      </c>
      <c r="EU16" s="476">
        <v>0</v>
      </c>
      <c r="EV16" s="476">
        <v>0</v>
      </c>
      <c r="EW16" s="476">
        <v>0</v>
      </c>
      <c r="EX16" s="476">
        <v>0</v>
      </c>
      <c r="EY16" s="476">
        <v>0</v>
      </c>
      <c r="EZ16" s="476">
        <v>785977</v>
      </c>
      <c r="FA16" s="476">
        <v>0</v>
      </c>
      <c r="FB16" s="476">
        <v>815857</v>
      </c>
      <c r="FC16" s="476">
        <v>0</v>
      </c>
      <c r="FD16" s="476">
        <v>0</v>
      </c>
      <c r="FE16" s="476">
        <v>102189</v>
      </c>
      <c r="FF16" s="476">
        <v>17066</v>
      </c>
      <c r="FG16" s="476">
        <v>6.3017999999999991E-2</v>
      </c>
      <c r="FH16" s="476">
        <v>2.6953999999999999E-2</v>
      </c>
      <c r="FI16" s="476">
        <v>0</v>
      </c>
      <c r="FJ16" s="476">
        <v>0</v>
      </c>
      <c r="FK16" s="476">
        <v>128.483</v>
      </c>
      <c r="FL16" s="476">
        <v>947444</v>
      </c>
      <c r="FM16" s="476">
        <v>0</v>
      </c>
      <c r="FN16" s="476">
        <v>0</v>
      </c>
      <c r="FO16" s="476">
        <v>5187</v>
      </c>
      <c r="FP16" s="476">
        <v>0</v>
      </c>
      <c r="FQ16" s="476">
        <v>5187</v>
      </c>
      <c r="FR16" s="476">
        <v>5187</v>
      </c>
      <c r="FS16" s="476">
        <v>0</v>
      </c>
      <c r="FT16" s="476">
        <v>0</v>
      </c>
      <c r="FU16" s="476">
        <v>0</v>
      </c>
      <c r="FV16" s="476">
        <v>0</v>
      </c>
      <c r="FW16" s="476">
        <v>0</v>
      </c>
      <c r="FX16" s="476">
        <v>0</v>
      </c>
      <c r="FY16" s="476">
        <v>0</v>
      </c>
      <c r="FZ16" s="476">
        <v>0</v>
      </c>
      <c r="GA16" s="476">
        <v>0</v>
      </c>
      <c r="GB16" s="476">
        <v>2580</v>
      </c>
      <c r="GC16" s="476">
        <v>2580</v>
      </c>
      <c r="GD16" s="476">
        <v>0.32300000000000001</v>
      </c>
      <c r="GE16" s="476">
        <v>0</v>
      </c>
      <c r="GF16" s="476">
        <v>0</v>
      </c>
      <c r="GG16" s="476">
        <v>0</v>
      </c>
      <c r="GH16" s="476">
        <v>0</v>
      </c>
      <c r="GI16" s="476">
        <v>0</v>
      </c>
      <c r="GJ16" s="476">
        <v>0</v>
      </c>
      <c r="GK16" s="476">
        <v>0</v>
      </c>
      <c r="GL16" s="476">
        <v>0</v>
      </c>
      <c r="GM16" s="476">
        <v>0</v>
      </c>
      <c r="GN16" s="476">
        <v>0</v>
      </c>
      <c r="GO16" s="476">
        <v>0</v>
      </c>
      <c r="GP16" s="476">
        <v>0</v>
      </c>
      <c r="GQ16" s="476">
        <v>904806</v>
      </c>
      <c r="GR16" s="476">
        <v>0</v>
      </c>
      <c r="GS16" s="476">
        <v>0</v>
      </c>
      <c r="GT16" s="476">
        <v>0</v>
      </c>
      <c r="GU16" s="476">
        <v>0</v>
      </c>
      <c r="GV16" s="476">
        <v>0</v>
      </c>
      <c r="GW16" s="476">
        <v>0</v>
      </c>
      <c r="GX16" s="476">
        <v>0</v>
      </c>
      <c r="GY16" s="476">
        <v>0</v>
      </c>
      <c r="GZ16" s="476">
        <v>0</v>
      </c>
      <c r="HA16" s="476">
        <v>0</v>
      </c>
      <c r="HB16" s="476">
        <v>323396213</v>
      </c>
      <c r="HC16" s="476">
        <v>4.2206E-2</v>
      </c>
      <c r="HD16" s="476">
        <v>12332</v>
      </c>
      <c r="HE16" s="476">
        <v>0</v>
      </c>
      <c r="HF16" s="476">
        <v>77180</v>
      </c>
      <c r="HG16" s="476">
        <v>3080</v>
      </c>
      <c r="HH16" s="476">
        <v>0</v>
      </c>
      <c r="HI16" s="476">
        <v>0</v>
      </c>
      <c r="HJ16" s="476">
        <v>730</v>
      </c>
      <c r="HK16" s="476">
        <v>1369</v>
      </c>
      <c r="HL16" s="476">
        <v>11</v>
      </c>
      <c r="HM16" s="476">
        <v>0</v>
      </c>
      <c r="HN16" s="476">
        <v>0</v>
      </c>
      <c r="HO16" s="476">
        <v>0</v>
      </c>
      <c r="HP16" s="476">
        <v>18278</v>
      </c>
      <c r="HQ16" s="476">
        <v>0</v>
      </c>
      <c r="HR16" s="476">
        <v>0</v>
      </c>
      <c r="HS16" s="476">
        <v>785551</v>
      </c>
      <c r="HT16" s="476">
        <v>17066</v>
      </c>
      <c r="HU16" s="476">
        <v>0</v>
      </c>
      <c r="HV16" s="476">
        <v>0</v>
      </c>
      <c r="HW16" s="476">
        <v>0</v>
      </c>
      <c r="HX16" s="476">
        <v>1</v>
      </c>
      <c r="HY16" s="476">
        <v>7</v>
      </c>
      <c r="HZ16" s="476">
        <v>8</v>
      </c>
      <c r="IA16" s="476">
        <v>32</v>
      </c>
      <c r="IB16" s="476">
        <v>42</v>
      </c>
      <c r="IC16" s="476">
        <v>90</v>
      </c>
      <c r="ID16" s="476">
        <v>0</v>
      </c>
      <c r="IE16" s="476">
        <v>0</v>
      </c>
      <c r="IF16" s="476">
        <v>0</v>
      </c>
      <c r="IG16" s="476">
        <v>5</v>
      </c>
      <c r="IH16" s="476">
        <v>0</v>
      </c>
      <c r="II16" s="476">
        <v>66.463999999999999</v>
      </c>
      <c r="IJ16" s="476">
        <v>2.1920000000000002</v>
      </c>
      <c r="IK16" s="476">
        <v>0</v>
      </c>
      <c r="IL16" s="476">
        <v>0</v>
      </c>
      <c r="IM16" s="476">
        <v>0</v>
      </c>
      <c r="IN16" s="476">
        <v>0</v>
      </c>
      <c r="IO16" s="476">
        <v>0</v>
      </c>
      <c r="IP16" s="476">
        <v>66.463999999999999</v>
      </c>
      <c r="IQ16" s="476">
        <v>2.1920000000000002</v>
      </c>
      <c r="IR16" s="476">
        <v>1350</v>
      </c>
      <c r="IS16" s="476">
        <v>0</v>
      </c>
      <c r="IT16" s="476">
        <v>0</v>
      </c>
      <c r="IU16" s="476">
        <v>0</v>
      </c>
      <c r="IV16" s="476">
        <v>0</v>
      </c>
      <c r="IW16" s="476">
        <v>6160</v>
      </c>
      <c r="IX16" s="476">
        <v>0</v>
      </c>
      <c r="IY16" s="476">
        <v>0</v>
      </c>
      <c r="IZ16" s="476">
        <v>18278</v>
      </c>
      <c r="JA16" s="476">
        <v>0</v>
      </c>
      <c r="JB16" s="476">
        <v>0</v>
      </c>
      <c r="JC16" s="476">
        <v>0</v>
      </c>
      <c r="JD16" s="476">
        <v>0</v>
      </c>
      <c r="JE16" s="476">
        <v>0</v>
      </c>
      <c r="JF16" s="476">
        <v>0</v>
      </c>
      <c r="JG16" s="476">
        <v>0</v>
      </c>
      <c r="JH16" s="476">
        <v>0</v>
      </c>
      <c r="JI16" s="476">
        <v>0</v>
      </c>
      <c r="JJ16" s="476">
        <v>0</v>
      </c>
      <c r="JK16" s="476">
        <v>0</v>
      </c>
      <c r="JL16" s="476">
        <v>0</v>
      </c>
      <c r="JM16" s="476">
        <v>0</v>
      </c>
      <c r="JN16" s="476">
        <v>32469</v>
      </c>
      <c r="JO16" s="476">
        <v>0.32300000000000001</v>
      </c>
      <c r="JP16" s="476">
        <v>0</v>
      </c>
      <c r="JQ16" s="476">
        <v>0</v>
      </c>
      <c r="JR16" s="476">
        <v>2580</v>
      </c>
      <c r="JS16" s="476">
        <v>0</v>
      </c>
      <c r="JT16" s="476">
        <v>0</v>
      </c>
      <c r="JU16" s="476">
        <v>0</v>
      </c>
      <c r="JV16" s="476">
        <v>0</v>
      </c>
      <c r="JW16" s="476">
        <v>0</v>
      </c>
      <c r="JX16" s="476">
        <v>0</v>
      </c>
      <c r="JY16" s="476">
        <v>0</v>
      </c>
      <c r="JZ16" s="476">
        <v>0</v>
      </c>
      <c r="KA16" s="476">
        <v>0</v>
      </c>
      <c r="KB16" s="476">
        <v>0</v>
      </c>
      <c r="KC16" s="476">
        <v>0</v>
      </c>
      <c r="KD16" s="476">
        <v>0</v>
      </c>
      <c r="KE16" s="476">
        <v>7262</v>
      </c>
      <c r="KF16" s="476">
        <v>0</v>
      </c>
      <c r="KG16" s="476">
        <v>0</v>
      </c>
      <c r="KH16" s="476">
        <v>904806</v>
      </c>
      <c r="KI16" s="476">
        <v>0</v>
      </c>
      <c r="KJ16" s="476">
        <v>0</v>
      </c>
      <c r="KK16" s="476">
        <v>5</v>
      </c>
      <c r="KL16" s="476">
        <v>0</v>
      </c>
      <c r="KM16" s="476">
        <v>3080</v>
      </c>
      <c r="KN16" s="476">
        <v>0</v>
      </c>
    </row>
    <row r="17" spans="1:300" x14ac:dyDescent="0.25">
      <c r="A17" s="476">
        <v>40976</v>
      </c>
      <c r="B17" s="476">
        <v>15815</v>
      </c>
      <c r="C17" s="476">
        <v>9</v>
      </c>
      <c r="D17" s="476">
        <v>2024</v>
      </c>
      <c r="E17" s="476">
        <v>6160</v>
      </c>
      <c r="F17" s="476">
        <v>0</v>
      </c>
      <c r="G17" s="476">
        <v>510.79700000000003</v>
      </c>
      <c r="H17" s="476">
        <v>453.65600000000001</v>
      </c>
      <c r="I17" s="476">
        <v>453.65600000000001</v>
      </c>
      <c r="J17" s="476">
        <v>510.79700000000003</v>
      </c>
      <c r="K17" s="476">
        <v>0</v>
      </c>
      <c r="L17" s="476">
        <v>6160</v>
      </c>
      <c r="M17" s="476">
        <v>0</v>
      </c>
      <c r="N17" s="476">
        <v>0</v>
      </c>
      <c r="O17" s="476">
        <v>0</v>
      </c>
      <c r="P17" s="476">
        <v>511.84500000000003</v>
      </c>
      <c r="Q17" s="476">
        <v>0</v>
      </c>
      <c r="R17" s="476">
        <v>212356</v>
      </c>
      <c r="S17" s="476">
        <v>414.88400000000001</v>
      </c>
      <c r="T17" s="476">
        <v>0</v>
      </c>
      <c r="U17" s="476">
        <v>0</v>
      </c>
      <c r="V17" s="476">
        <v>283.71700000000004</v>
      </c>
      <c r="W17" s="476">
        <v>174766</v>
      </c>
      <c r="X17" s="476">
        <v>174766</v>
      </c>
      <c r="Y17" s="476">
        <v>0</v>
      </c>
      <c r="Z17" s="476">
        <v>0</v>
      </c>
      <c r="AA17" s="476">
        <v>0</v>
      </c>
      <c r="AB17" s="476">
        <v>0</v>
      </c>
      <c r="AC17" s="476">
        <v>0</v>
      </c>
      <c r="AD17" s="476" t="s">
        <v>314</v>
      </c>
      <c r="AE17" s="476">
        <v>0</v>
      </c>
      <c r="AF17" s="476">
        <v>0</v>
      </c>
      <c r="AG17" s="476">
        <v>0</v>
      </c>
      <c r="AH17" s="476">
        <v>0</v>
      </c>
      <c r="AI17" s="476">
        <v>0</v>
      </c>
      <c r="AJ17" s="476">
        <v>6160</v>
      </c>
      <c r="AK17" s="476" t="s">
        <v>651</v>
      </c>
      <c r="AL17" s="476" t="s">
        <v>386</v>
      </c>
      <c r="AM17" s="476">
        <v>0</v>
      </c>
      <c r="AN17" s="476">
        <v>0</v>
      </c>
      <c r="AO17" s="476">
        <v>0</v>
      </c>
      <c r="AP17" s="476">
        <v>0</v>
      </c>
      <c r="AQ17" s="476">
        <v>0</v>
      </c>
      <c r="AR17" s="476">
        <v>0</v>
      </c>
      <c r="AS17" s="476">
        <v>0</v>
      </c>
      <c r="AT17" s="476">
        <v>0</v>
      </c>
      <c r="AU17" s="476">
        <v>0</v>
      </c>
      <c r="AV17" s="476">
        <v>0</v>
      </c>
      <c r="AW17" s="476">
        <v>5781543</v>
      </c>
      <c r="AX17" s="476">
        <v>5696870</v>
      </c>
      <c r="AY17" s="476">
        <v>0</v>
      </c>
      <c r="AZ17" s="476">
        <v>212356</v>
      </c>
      <c r="BA17" s="476">
        <v>13.25</v>
      </c>
      <c r="BB17" s="476">
        <v>2983</v>
      </c>
      <c r="BC17" s="476">
        <v>2964</v>
      </c>
      <c r="BD17" s="476">
        <v>7</v>
      </c>
      <c r="BE17" s="476">
        <v>19</v>
      </c>
      <c r="BF17" s="476">
        <v>5098656</v>
      </c>
      <c r="BG17" s="476">
        <v>0</v>
      </c>
      <c r="BH17" s="476">
        <v>0</v>
      </c>
      <c r="BI17" s="476">
        <v>0</v>
      </c>
      <c r="BJ17" s="476">
        <v>12</v>
      </c>
      <c r="BK17" s="476">
        <v>0</v>
      </c>
      <c r="BL17" s="476">
        <v>0</v>
      </c>
      <c r="BM17" s="476">
        <v>0</v>
      </c>
      <c r="BN17" s="476">
        <v>0</v>
      </c>
      <c r="BO17" s="476">
        <v>0</v>
      </c>
      <c r="BP17" s="476">
        <v>0</v>
      </c>
      <c r="BQ17" s="476">
        <v>700</v>
      </c>
      <c r="BR17" s="476">
        <v>0</v>
      </c>
      <c r="BS17" s="476">
        <v>0</v>
      </c>
      <c r="BT17" s="476">
        <v>0</v>
      </c>
      <c r="BU17" s="476">
        <v>0</v>
      </c>
      <c r="BV17" s="476">
        <v>0</v>
      </c>
      <c r="BW17" s="476">
        <v>0</v>
      </c>
      <c r="BX17" s="476">
        <v>0</v>
      </c>
      <c r="BY17" s="476">
        <v>0</v>
      </c>
      <c r="BZ17" s="476">
        <v>0</v>
      </c>
      <c r="CA17" s="476">
        <v>0</v>
      </c>
      <c r="CB17" s="476">
        <v>0</v>
      </c>
      <c r="CC17" s="476">
        <v>0</v>
      </c>
      <c r="CD17" s="476">
        <v>0</v>
      </c>
      <c r="CE17" s="476">
        <v>0</v>
      </c>
      <c r="CF17" s="476">
        <v>0</v>
      </c>
      <c r="CG17" s="476">
        <v>0</v>
      </c>
      <c r="CH17" s="476">
        <v>86235</v>
      </c>
      <c r="CI17" s="476">
        <v>0</v>
      </c>
      <c r="CJ17" s="476">
        <v>4</v>
      </c>
      <c r="CK17" s="476">
        <v>0</v>
      </c>
      <c r="CL17" s="476">
        <v>0</v>
      </c>
      <c r="CM17" s="476">
        <v>0</v>
      </c>
      <c r="CN17" s="476">
        <v>0</v>
      </c>
      <c r="CO17" s="476">
        <v>1</v>
      </c>
      <c r="CP17" s="476">
        <v>0</v>
      </c>
      <c r="CQ17" s="476">
        <v>0</v>
      </c>
      <c r="CR17" s="476">
        <v>510.79700000000003</v>
      </c>
      <c r="CS17" s="476">
        <v>0</v>
      </c>
      <c r="CT17" s="476">
        <v>0</v>
      </c>
      <c r="CU17" s="476">
        <v>0</v>
      </c>
      <c r="CV17" s="476">
        <v>0</v>
      </c>
      <c r="CW17" s="476">
        <v>0</v>
      </c>
      <c r="CX17" s="476">
        <v>0</v>
      </c>
      <c r="CY17" s="476">
        <v>0</v>
      </c>
      <c r="CZ17" s="476">
        <v>0</v>
      </c>
      <c r="DA17" s="476">
        <v>0</v>
      </c>
      <c r="DB17" s="476">
        <v>2794458</v>
      </c>
      <c r="DC17" s="476">
        <v>0</v>
      </c>
      <c r="DD17" s="476">
        <v>0</v>
      </c>
      <c r="DE17" s="476">
        <v>723014</v>
      </c>
      <c r="DF17" s="476">
        <v>723014</v>
      </c>
      <c r="DG17" s="476">
        <v>117.375</v>
      </c>
      <c r="DH17" s="476">
        <v>0</v>
      </c>
      <c r="DI17" s="476">
        <v>0</v>
      </c>
      <c r="DJ17" s="476">
        <v>0</v>
      </c>
      <c r="DK17" s="476">
        <v>2825</v>
      </c>
      <c r="DL17" s="476">
        <v>0</v>
      </c>
      <c r="DM17" s="476">
        <v>448925</v>
      </c>
      <c r="DN17" s="476">
        <v>1543</v>
      </c>
      <c r="DO17" s="476">
        <v>0</v>
      </c>
      <c r="DP17" s="476">
        <v>0</v>
      </c>
      <c r="DQ17" s="476">
        <v>0</v>
      </c>
      <c r="DR17" s="476">
        <v>0</v>
      </c>
      <c r="DS17" s="476">
        <v>0</v>
      </c>
      <c r="DT17" s="476">
        <v>0</v>
      </c>
      <c r="DU17" s="476">
        <v>0</v>
      </c>
      <c r="DV17" s="476">
        <v>0</v>
      </c>
      <c r="DW17" s="476">
        <v>0</v>
      </c>
      <c r="DX17" s="476">
        <v>0</v>
      </c>
      <c r="DY17" s="476">
        <v>0</v>
      </c>
      <c r="DZ17" s="476">
        <v>0</v>
      </c>
      <c r="EA17" s="476">
        <v>0</v>
      </c>
      <c r="EB17" s="476">
        <v>0</v>
      </c>
      <c r="EC17" s="476">
        <v>29.178000000000001</v>
      </c>
      <c r="ED17" s="476">
        <v>206692</v>
      </c>
      <c r="EE17" s="476">
        <v>0</v>
      </c>
      <c r="EF17" s="476">
        <v>0</v>
      </c>
      <c r="EG17" s="476">
        <v>0</v>
      </c>
      <c r="EH17" s="476">
        <v>243776</v>
      </c>
      <c r="EI17" s="476">
        <v>0</v>
      </c>
      <c r="EJ17" s="476">
        <v>0</v>
      </c>
      <c r="EK17" s="476">
        <v>11.267000000000001</v>
      </c>
      <c r="EL17" s="476">
        <v>0</v>
      </c>
      <c r="EM17" s="476">
        <v>0.46300000000000002</v>
      </c>
      <c r="EN17" s="476">
        <v>0.877</v>
      </c>
      <c r="EO17" s="476">
        <v>0</v>
      </c>
      <c r="EP17" s="476">
        <v>0</v>
      </c>
      <c r="EQ17" s="476">
        <v>12.607000000000001</v>
      </c>
      <c r="ER17" s="476">
        <v>0</v>
      </c>
      <c r="ES17" s="476">
        <v>39.575000000000003</v>
      </c>
      <c r="ET17" s="476">
        <v>0</v>
      </c>
      <c r="EU17" s="476">
        <v>0</v>
      </c>
      <c r="EV17" s="476">
        <v>0</v>
      </c>
      <c r="EW17" s="476">
        <v>0</v>
      </c>
      <c r="EX17" s="476">
        <v>0</v>
      </c>
      <c r="EY17" s="476">
        <v>0</v>
      </c>
      <c r="EZ17" s="476">
        <v>4928594</v>
      </c>
      <c r="FA17" s="476">
        <v>0</v>
      </c>
      <c r="FB17" s="476">
        <v>5139388</v>
      </c>
      <c r="FC17" s="476">
        <v>0</v>
      </c>
      <c r="FD17" s="476">
        <v>0</v>
      </c>
      <c r="FE17" s="476">
        <v>658330</v>
      </c>
      <c r="FF17" s="476">
        <v>109946</v>
      </c>
      <c r="FG17" s="476">
        <v>6.3017999999999991E-2</v>
      </c>
      <c r="FH17" s="476">
        <v>2.6953999999999999E-2</v>
      </c>
      <c r="FI17" s="476">
        <v>0</v>
      </c>
      <c r="FJ17" s="476">
        <v>0</v>
      </c>
      <c r="FK17" s="476">
        <v>827.72300000000007</v>
      </c>
      <c r="FL17" s="476">
        <v>5993899</v>
      </c>
      <c r="FM17" s="476">
        <v>0</v>
      </c>
      <c r="FN17" s="476">
        <v>0</v>
      </c>
      <c r="FO17" s="476">
        <v>0</v>
      </c>
      <c r="FP17" s="476">
        <v>0</v>
      </c>
      <c r="FQ17" s="476">
        <v>540</v>
      </c>
      <c r="FR17" s="476">
        <v>0</v>
      </c>
      <c r="FS17" s="476">
        <v>540</v>
      </c>
      <c r="FT17" s="476">
        <v>0</v>
      </c>
      <c r="FU17" s="476">
        <v>0</v>
      </c>
      <c r="FV17" s="476">
        <v>0</v>
      </c>
      <c r="FW17" s="476">
        <v>0</v>
      </c>
      <c r="FX17" s="476">
        <v>0</v>
      </c>
      <c r="FY17" s="476">
        <v>0</v>
      </c>
      <c r="FZ17" s="476">
        <v>0</v>
      </c>
      <c r="GA17" s="476">
        <v>0</v>
      </c>
      <c r="GB17" s="476">
        <v>418621</v>
      </c>
      <c r="GC17" s="476">
        <v>418621</v>
      </c>
      <c r="GD17" s="476">
        <v>44.533999999999999</v>
      </c>
      <c r="GE17" s="476">
        <v>0</v>
      </c>
      <c r="GF17" s="476">
        <v>0</v>
      </c>
      <c r="GG17" s="476">
        <v>0</v>
      </c>
      <c r="GH17" s="476">
        <v>0</v>
      </c>
      <c r="GI17" s="476">
        <v>0</v>
      </c>
      <c r="GJ17" s="476">
        <v>0</v>
      </c>
      <c r="GK17" s="476">
        <v>0</v>
      </c>
      <c r="GL17" s="476">
        <v>0</v>
      </c>
      <c r="GM17" s="476">
        <v>0</v>
      </c>
      <c r="GN17" s="476">
        <v>0</v>
      </c>
      <c r="GO17" s="476">
        <v>0</v>
      </c>
      <c r="GP17" s="476">
        <v>0</v>
      </c>
      <c r="GQ17" s="476">
        <v>5695308</v>
      </c>
      <c r="GR17" s="476">
        <v>0</v>
      </c>
      <c r="GS17" s="476">
        <v>0</v>
      </c>
      <c r="GT17" s="476">
        <v>0</v>
      </c>
      <c r="GU17" s="476">
        <v>0</v>
      </c>
      <c r="GV17" s="476">
        <v>0</v>
      </c>
      <c r="GW17" s="476">
        <v>0</v>
      </c>
      <c r="GX17" s="476">
        <v>0</v>
      </c>
      <c r="GY17" s="476">
        <v>0</v>
      </c>
      <c r="GZ17" s="476">
        <v>0</v>
      </c>
      <c r="HA17" s="476">
        <v>0</v>
      </c>
      <c r="HB17" s="476">
        <v>323396213</v>
      </c>
      <c r="HC17" s="476">
        <v>4.2206E-2</v>
      </c>
      <c r="HD17" s="476">
        <v>86235</v>
      </c>
      <c r="HE17" s="476">
        <v>0</v>
      </c>
      <c r="HF17" s="476">
        <v>499929</v>
      </c>
      <c r="HG17" s="476">
        <v>3080</v>
      </c>
      <c r="HH17" s="476">
        <v>26229</v>
      </c>
      <c r="HI17" s="476">
        <v>0</v>
      </c>
      <c r="HJ17" s="476">
        <v>5108</v>
      </c>
      <c r="HK17" s="476">
        <v>1859</v>
      </c>
      <c r="HL17" s="476">
        <v>1056</v>
      </c>
      <c r="HM17" s="476">
        <v>0</v>
      </c>
      <c r="HN17" s="476">
        <v>0</v>
      </c>
      <c r="HO17" s="476">
        <v>0</v>
      </c>
      <c r="HP17" s="476">
        <v>38839</v>
      </c>
      <c r="HQ17" s="476">
        <v>0</v>
      </c>
      <c r="HR17" s="476">
        <v>0</v>
      </c>
      <c r="HS17" s="476">
        <v>4927032</v>
      </c>
      <c r="HT17" s="476">
        <v>109946</v>
      </c>
      <c r="HU17" s="476">
        <v>0</v>
      </c>
      <c r="HV17" s="476">
        <v>0</v>
      </c>
      <c r="HW17" s="476">
        <v>0</v>
      </c>
      <c r="HX17" s="476">
        <v>99</v>
      </c>
      <c r="HY17" s="476">
        <v>46</v>
      </c>
      <c r="HZ17" s="476">
        <v>123</v>
      </c>
      <c r="IA17" s="476">
        <v>126</v>
      </c>
      <c r="IB17" s="476">
        <v>74</v>
      </c>
      <c r="IC17" s="476">
        <v>468</v>
      </c>
      <c r="ID17" s="476">
        <v>0</v>
      </c>
      <c r="IE17" s="476">
        <v>0</v>
      </c>
      <c r="IF17" s="476">
        <v>0</v>
      </c>
      <c r="IG17" s="476">
        <v>5</v>
      </c>
      <c r="IH17" s="476">
        <v>42.581000000000003</v>
      </c>
      <c r="II17" s="476">
        <v>141.23099999999999</v>
      </c>
      <c r="IJ17" s="476">
        <v>283.71700000000004</v>
      </c>
      <c r="IK17" s="476">
        <v>0</v>
      </c>
      <c r="IL17" s="476">
        <v>0</v>
      </c>
      <c r="IM17" s="476">
        <v>0</v>
      </c>
      <c r="IN17" s="476">
        <v>0</v>
      </c>
      <c r="IO17" s="476">
        <v>0</v>
      </c>
      <c r="IP17" s="476">
        <v>141.23099999999999</v>
      </c>
      <c r="IQ17" s="476">
        <v>283.71700000000004</v>
      </c>
      <c r="IR17" s="476">
        <v>174766</v>
      </c>
      <c r="IS17" s="476">
        <v>0</v>
      </c>
      <c r="IT17" s="476">
        <v>0</v>
      </c>
      <c r="IU17" s="476">
        <v>0</v>
      </c>
      <c r="IV17" s="476">
        <v>0</v>
      </c>
      <c r="IW17" s="476">
        <v>6160</v>
      </c>
      <c r="IX17" s="476">
        <v>0</v>
      </c>
      <c r="IY17" s="476">
        <v>0</v>
      </c>
      <c r="IZ17" s="476">
        <v>38839</v>
      </c>
      <c r="JA17" s="476">
        <v>0</v>
      </c>
      <c r="JB17" s="476">
        <v>0</v>
      </c>
      <c r="JC17" s="476">
        <v>0</v>
      </c>
      <c r="JD17" s="476">
        <v>0</v>
      </c>
      <c r="JE17" s="476">
        <v>0</v>
      </c>
      <c r="JF17" s="476">
        <v>0</v>
      </c>
      <c r="JG17" s="476">
        <v>0</v>
      </c>
      <c r="JH17" s="476">
        <v>0</v>
      </c>
      <c r="JI17" s="476">
        <v>0</v>
      </c>
      <c r="JJ17" s="476">
        <v>0</v>
      </c>
      <c r="JK17" s="476">
        <v>0</v>
      </c>
      <c r="JL17" s="476">
        <v>0</v>
      </c>
      <c r="JM17" s="476">
        <v>0</v>
      </c>
      <c r="JN17" s="476">
        <v>32469</v>
      </c>
      <c r="JO17" s="476">
        <v>0</v>
      </c>
      <c r="JP17" s="476">
        <v>41.155999999999999</v>
      </c>
      <c r="JQ17" s="476">
        <v>3.3780000000000001</v>
      </c>
      <c r="JR17" s="476">
        <v>0</v>
      </c>
      <c r="JS17" s="476">
        <v>382560</v>
      </c>
      <c r="JT17" s="476">
        <v>36061</v>
      </c>
      <c r="JU17" s="476">
        <v>3018</v>
      </c>
      <c r="JV17" s="476">
        <v>0</v>
      </c>
      <c r="JW17" s="476">
        <v>0</v>
      </c>
      <c r="JX17" s="476">
        <v>0</v>
      </c>
      <c r="JY17" s="476">
        <v>0</v>
      </c>
      <c r="JZ17" s="476">
        <v>0</v>
      </c>
      <c r="KA17" s="476">
        <v>0</v>
      </c>
      <c r="KB17" s="476">
        <v>0</v>
      </c>
      <c r="KC17" s="476">
        <v>0</v>
      </c>
      <c r="KD17" s="476">
        <v>3018</v>
      </c>
      <c r="KE17" s="476">
        <v>7262</v>
      </c>
      <c r="KF17" s="476">
        <v>0</v>
      </c>
      <c r="KG17" s="476">
        <v>0</v>
      </c>
      <c r="KH17" s="476">
        <v>5695308</v>
      </c>
      <c r="KI17" s="476">
        <v>0</v>
      </c>
      <c r="KJ17" s="476">
        <v>3</v>
      </c>
      <c r="KK17" s="476">
        <v>2</v>
      </c>
      <c r="KL17" s="476">
        <v>1848</v>
      </c>
      <c r="KM17" s="476">
        <v>1232</v>
      </c>
      <c r="KN17" s="476">
        <v>0</v>
      </c>
    </row>
    <row r="18" spans="1:300" x14ac:dyDescent="0.25">
      <c r="A18" s="476">
        <v>40976</v>
      </c>
      <c r="B18" s="476">
        <v>15822</v>
      </c>
      <c r="C18" s="476">
        <v>9</v>
      </c>
      <c r="D18" s="476">
        <v>2024</v>
      </c>
      <c r="E18" s="476">
        <v>6160</v>
      </c>
      <c r="F18" s="476">
        <v>0</v>
      </c>
      <c r="G18" s="476">
        <v>5484.7350000000006</v>
      </c>
      <c r="H18" s="476">
        <v>5125.41</v>
      </c>
      <c r="I18" s="476">
        <v>5125.41</v>
      </c>
      <c r="J18" s="476">
        <v>5484.7350000000006</v>
      </c>
      <c r="K18" s="476">
        <v>0</v>
      </c>
      <c r="L18" s="476">
        <v>6160</v>
      </c>
      <c r="M18" s="476">
        <v>0</v>
      </c>
      <c r="N18" s="476">
        <v>0</v>
      </c>
      <c r="O18" s="476">
        <v>0</v>
      </c>
      <c r="P18" s="476">
        <v>5484.7350000000006</v>
      </c>
      <c r="Q18" s="476">
        <v>0</v>
      </c>
      <c r="R18" s="476">
        <v>2275529</v>
      </c>
      <c r="S18" s="476">
        <v>414.88400000000001</v>
      </c>
      <c r="T18" s="476">
        <v>0</v>
      </c>
      <c r="U18" s="476">
        <v>0</v>
      </c>
      <c r="V18" s="476">
        <v>1434.31</v>
      </c>
      <c r="W18" s="476">
        <v>891847</v>
      </c>
      <c r="X18" s="476">
        <v>891847</v>
      </c>
      <c r="Y18" s="476">
        <v>0</v>
      </c>
      <c r="Z18" s="476">
        <v>0</v>
      </c>
      <c r="AA18" s="476">
        <v>0</v>
      </c>
      <c r="AB18" s="476">
        <v>0</v>
      </c>
      <c r="AC18" s="476">
        <v>0</v>
      </c>
      <c r="AD18" s="476" t="s">
        <v>314</v>
      </c>
      <c r="AE18" s="476">
        <v>0</v>
      </c>
      <c r="AF18" s="476">
        <v>0</v>
      </c>
      <c r="AG18" s="476">
        <v>0</v>
      </c>
      <c r="AH18" s="476">
        <v>0</v>
      </c>
      <c r="AI18" s="476">
        <v>0</v>
      </c>
      <c r="AJ18" s="476">
        <v>6160</v>
      </c>
      <c r="AK18" s="476" t="s">
        <v>651</v>
      </c>
      <c r="AL18" s="476" t="s">
        <v>424</v>
      </c>
      <c r="AM18" s="476">
        <v>0</v>
      </c>
      <c r="AN18" s="476">
        <v>0</v>
      </c>
      <c r="AO18" s="476">
        <v>0</v>
      </c>
      <c r="AP18" s="476">
        <v>0</v>
      </c>
      <c r="AQ18" s="476">
        <v>0</v>
      </c>
      <c r="AR18" s="476">
        <v>0</v>
      </c>
      <c r="AS18" s="476">
        <v>0</v>
      </c>
      <c r="AT18" s="476">
        <v>0</v>
      </c>
      <c r="AU18" s="476">
        <v>0</v>
      </c>
      <c r="AV18" s="476">
        <v>0</v>
      </c>
      <c r="AW18" s="476">
        <v>61411891</v>
      </c>
      <c r="AX18" s="476">
        <v>60499177</v>
      </c>
      <c r="AY18" s="476">
        <v>0</v>
      </c>
      <c r="AZ18" s="476">
        <v>2275529</v>
      </c>
      <c r="BA18" s="476">
        <v>0</v>
      </c>
      <c r="BB18" s="476">
        <v>116791</v>
      </c>
      <c r="BC18" s="476">
        <v>116047</v>
      </c>
      <c r="BD18" s="476">
        <v>274</v>
      </c>
      <c r="BE18" s="476">
        <v>745</v>
      </c>
      <c r="BF18" s="476">
        <v>54481043</v>
      </c>
      <c r="BG18" s="476">
        <v>0</v>
      </c>
      <c r="BH18" s="476">
        <v>0</v>
      </c>
      <c r="BI18" s="476">
        <v>0</v>
      </c>
      <c r="BJ18" s="476">
        <v>12</v>
      </c>
      <c r="BK18" s="476">
        <v>0</v>
      </c>
      <c r="BL18" s="476">
        <v>0</v>
      </c>
      <c r="BM18" s="476">
        <v>0</v>
      </c>
      <c r="BN18" s="476">
        <v>0</v>
      </c>
      <c r="BO18" s="476">
        <v>0</v>
      </c>
      <c r="BP18" s="476">
        <v>0</v>
      </c>
      <c r="BQ18" s="476">
        <v>0</v>
      </c>
      <c r="BR18" s="476">
        <v>0</v>
      </c>
      <c r="BS18" s="476">
        <v>0</v>
      </c>
      <c r="BT18" s="476">
        <v>0</v>
      </c>
      <c r="BU18" s="476">
        <v>0</v>
      </c>
      <c r="BV18" s="476">
        <v>0</v>
      </c>
      <c r="BW18" s="476">
        <v>0</v>
      </c>
      <c r="BX18" s="476">
        <v>0</v>
      </c>
      <c r="BY18" s="476">
        <v>0</v>
      </c>
      <c r="BZ18" s="476">
        <v>0</v>
      </c>
      <c r="CA18" s="476">
        <v>0</v>
      </c>
      <c r="CB18" s="476">
        <v>0</v>
      </c>
      <c r="CC18" s="476">
        <v>0</v>
      </c>
      <c r="CD18" s="476">
        <v>0</v>
      </c>
      <c r="CE18" s="476">
        <v>0</v>
      </c>
      <c r="CF18" s="476">
        <v>0</v>
      </c>
      <c r="CG18" s="476">
        <v>0</v>
      </c>
      <c r="CH18" s="476">
        <v>925962</v>
      </c>
      <c r="CI18" s="476">
        <v>0</v>
      </c>
      <c r="CJ18" s="476">
        <v>4</v>
      </c>
      <c r="CK18" s="476">
        <v>0</v>
      </c>
      <c r="CL18" s="476">
        <v>0</v>
      </c>
      <c r="CM18" s="476">
        <v>0</v>
      </c>
      <c r="CN18" s="476">
        <v>0</v>
      </c>
      <c r="CO18" s="476">
        <v>1</v>
      </c>
      <c r="CP18" s="476">
        <v>0</v>
      </c>
      <c r="CQ18" s="476">
        <v>0</v>
      </c>
      <c r="CR18" s="476">
        <v>5484.7350000000006</v>
      </c>
      <c r="CS18" s="476">
        <v>0</v>
      </c>
      <c r="CT18" s="476">
        <v>0</v>
      </c>
      <c r="CU18" s="476">
        <v>0</v>
      </c>
      <c r="CV18" s="476">
        <v>0</v>
      </c>
      <c r="CW18" s="476">
        <v>0</v>
      </c>
      <c r="CX18" s="476">
        <v>0</v>
      </c>
      <c r="CY18" s="476">
        <v>0</v>
      </c>
      <c r="CZ18" s="476">
        <v>0</v>
      </c>
      <c r="DA18" s="476">
        <v>0</v>
      </c>
      <c r="DB18" s="476">
        <v>31571809</v>
      </c>
      <c r="DC18" s="476">
        <v>0</v>
      </c>
      <c r="DD18" s="476">
        <v>0</v>
      </c>
      <c r="DE18" s="476">
        <v>8248515</v>
      </c>
      <c r="DF18" s="476">
        <v>8248515</v>
      </c>
      <c r="DG18" s="476">
        <v>1339.075</v>
      </c>
      <c r="DH18" s="476">
        <v>0</v>
      </c>
      <c r="DI18" s="476">
        <v>0</v>
      </c>
      <c r="DJ18" s="476">
        <v>0</v>
      </c>
      <c r="DK18" s="476">
        <v>0</v>
      </c>
      <c r="DL18" s="476">
        <v>0</v>
      </c>
      <c r="DM18" s="476">
        <v>3636836</v>
      </c>
      <c r="DN18" s="476">
        <v>12503</v>
      </c>
      <c r="DO18" s="476">
        <v>0</v>
      </c>
      <c r="DP18" s="476">
        <v>0</v>
      </c>
      <c r="DQ18" s="476">
        <v>0</v>
      </c>
      <c r="DR18" s="476">
        <v>0</v>
      </c>
      <c r="DS18" s="476">
        <v>0</v>
      </c>
      <c r="DT18" s="476">
        <v>0</v>
      </c>
      <c r="DU18" s="476">
        <v>0</v>
      </c>
      <c r="DV18" s="476">
        <v>0</v>
      </c>
      <c r="DW18" s="476">
        <v>0</v>
      </c>
      <c r="DX18" s="476">
        <v>0</v>
      </c>
      <c r="DY18" s="476">
        <v>0</v>
      </c>
      <c r="DZ18" s="476">
        <v>0</v>
      </c>
      <c r="EA18" s="476">
        <v>0.188</v>
      </c>
      <c r="EB18" s="476">
        <v>0</v>
      </c>
      <c r="EC18" s="476">
        <v>322.23700000000002</v>
      </c>
      <c r="ED18" s="476">
        <v>2282675</v>
      </c>
      <c r="EE18" s="476">
        <v>0</v>
      </c>
      <c r="EF18" s="476">
        <v>0</v>
      </c>
      <c r="EG18" s="476">
        <v>0</v>
      </c>
      <c r="EH18" s="476">
        <v>1366664</v>
      </c>
      <c r="EI18" s="476">
        <v>0</v>
      </c>
      <c r="EJ18" s="476">
        <v>0</v>
      </c>
      <c r="EK18" s="476">
        <v>37.234000000000002</v>
      </c>
      <c r="EL18" s="476">
        <v>0.14400000000000002</v>
      </c>
      <c r="EM18" s="476">
        <v>20.223000000000003</v>
      </c>
      <c r="EN18" s="476">
        <v>9.7110000000000003</v>
      </c>
      <c r="EO18" s="476">
        <v>0</v>
      </c>
      <c r="EP18" s="476">
        <v>0</v>
      </c>
      <c r="EQ18" s="476">
        <v>67.356000000000009</v>
      </c>
      <c r="ER18" s="476">
        <v>0</v>
      </c>
      <c r="ES18" s="476">
        <v>221.86600000000001</v>
      </c>
      <c r="ET18" s="476">
        <v>0</v>
      </c>
      <c r="EU18" s="476">
        <v>0</v>
      </c>
      <c r="EV18" s="476">
        <v>0</v>
      </c>
      <c r="EW18" s="476">
        <v>0</v>
      </c>
      <c r="EX18" s="476">
        <v>0</v>
      </c>
      <c r="EY18" s="476">
        <v>0</v>
      </c>
      <c r="EZ18" s="476">
        <v>52289870</v>
      </c>
      <c r="FA18" s="476">
        <v>0</v>
      </c>
      <c r="FB18" s="476">
        <v>54552151</v>
      </c>
      <c r="FC18" s="476">
        <v>0</v>
      </c>
      <c r="FD18" s="476">
        <v>0</v>
      </c>
      <c r="FE18" s="476">
        <v>7034495</v>
      </c>
      <c r="FF18" s="476">
        <v>1174812</v>
      </c>
      <c r="FG18" s="476">
        <v>6.3017999999999991E-2</v>
      </c>
      <c r="FH18" s="476">
        <v>2.6953999999999999E-2</v>
      </c>
      <c r="FI18" s="476">
        <v>0</v>
      </c>
      <c r="FJ18" s="476">
        <v>0</v>
      </c>
      <c r="FK18" s="476">
        <v>8844.5259999999998</v>
      </c>
      <c r="FL18" s="476">
        <v>63687420</v>
      </c>
      <c r="FM18" s="476">
        <v>0</v>
      </c>
      <c r="FN18" s="476">
        <v>0</v>
      </c>
      <c r="FO18" s="476">
        <v>71619</v>
      </c>
      <c r="FP18" s="476">
        <v>0</v>
      </c>
      <c r="FQ18" s="476">
        <v>71619</v>
      </c>
      <c r="FR18" s="476">
        <v>71619</v>
      </c>
      <c r="FS18" s="476">
        <v>0</v>
      </c>
      <c r="FT18" s="476">
        <v>0</v>
      </c>
      <c r="FU18" s="476">
        <v>0</v>
      </c>
      <c r="FV18" s="476">
        <v>0</v>
      </c>
      <c r="FW18" s="476">
        <v>0</v>
      </c>
      <c r="FX18" s="476">
        <v>0</v>
      </c>
      <c r="FY18" s="476">
        <v>0</v>
      </c>
      <c r="FZ18" s="476">
        <v>0</v>
      </c>
      <c r="GA18" s="476">
        <v>0</v>
      </c>
      <c r="GB18" s="476">
        <v>2737860</v>
      </c>
      <c r="GC18" s="476">
        <v>2737860</v>
      </c>
      <c r="GD18" s="476">
        <v>291.96899999999999</v>
      </c>
      <c r="GE18" s="476">
        <v>0</v>
      </c>
      <c r="GF18" s="476">
        <v>0</v>
      </c>
      <c r="GG18" s="476">
        <v>0</v>
      </c>
      <c r="GH18" s="476">
        <v>0</v>
      </c>
      <c r="GI18" s="476">
        <v>0</v>
      </c>
      <c r="GJ18" s="476">
        <v>0</v>
      </c>
      <c r="GK18" s="476">
        <v>0</v>
      </c>
      <c r="GL18" s="476">
        <v>0</v>
      </c>
      <c r="GM18" s="476">
        <v>0</v>
      </c>
      <c r="GN18" s="476">
        <v>0</v>
      </c>
      <c r="GO18" s="476">
        <v>0</v>
      </c>
      <c r="GP18" s="476">
        <v>0</v>
      </c>
      <c r="GQ18" s="476">
        <v>60485929</v>
      </c>
      <c r="GR18" s="476">
        <v>0</v>
      </c>
      <c r="GS18" s="476">
        <v>0</v>
      </c>
      <c r="GT18" s="476">
        <v>0</v>
      </c>
      <c r="GU18" s="476">
        <v>0</v>
      </c>
      <c r="GV18" s="476">
        <v>0</v>
      </c>
      <c r="GW18" s="476">
        <v>0</v>
      </c>
      <c r="GX18" s="476">
        <v>0</v>
      </c>
      <c r="GY18" s="476">
        <v>0</v>
      </c>
      <c r="GZ18" s="476">
        <v>0</v>
      </c>
      <c r="HA18" s="476">
        <v>0</v>
      </c>
      <c r="HB18" s="476">
        <v>323396213</v>
      </c>
      <c r="HC18" s="476">
        <v>4.2206E-2</v>
      </c>
      <c r="HD18" s="476">
        <v>925962</v>
      </c>
      <c r="HE18" s="476">
        <v>0</v>
      </c>
      <c r="HF18" s="476">
        <v>5648202</v>
      </c>
      <c r="HG18" s="476">
        <v>123813</v>
      </c>
      <c r="HH18" s="476">
        <v>1339020</v>
      </c>
      <c r="HI18" s="476">
        <v>0</v>
      </c>
      <c r="HJ18" s="476">
        <v>54847</v>
      </c>
      <c r="HK18" s="476">
        <v>8871</v>
      </c>
      <c r="HL18" s="476">
        <v>3866</v>
      </c>
      <c r="HM18" s="476">
        <v>99000</v>
      </c>
      <c r="HN18" s="476">
        <v>0</v>
      </c>
      <c r="HO18" s="476">
        <v>0</v>
      </c>
      <c r="HP18" s="476">
        <v>0</v>
      </c>
      <c r="HQ18" s="476">
        <v>0</v>
      </c>
      <c r="HR18" s="476">
        <v>0</v>
      </c>
      <c r="HS18" s="476">
        <v>52276622</v>
      </c>
      <c r="HT18" s="476">
        <v>1174812</v>
      </c>
      <c r="HU18" s="476">
        <v>0</v>
      </c>
      <c r="HV18" s="476">
        <v>0</v>
      </c>
      <c r="HW18" s="476">
        <v>0</v>
      </c>
      <c r="HX18" s="476">
        <v>516</v>
      </c>
      <c r="HY18" s="476">
        <v>801</v>
      </c>
      <c r="HZ18" s="476">
        <v>1132</v>
      </c>
      <c r="IA18" s="476">
        <v>1269</v>
      </c>
      <c r="IB18" s="476">
        <v>1515</v>
      </c>
      <c r="IC18" s="476">
        <v>5233</v>
      </c>
      <c r="ID18" s="476">
        <v>0</v>
      </c>
      <c r="IE18" s="476">
        <v>9.0170000000000012</v>
      </c>
      <c r="IF18" s="476">
        <v>0</v>
      </c>
      <c r="IG18" s="476">
        <v>201</v>
      </c>
      <c r="IH18" s="476">
        <v>2173.7829999999999</v>
      </c>
      <c r="II18" s="476">
        <v>0</v>
      </c>
      <c r="IJ18" s="476">
        <v>1443.327</v>
      </c>
      <c r="IK18" s="476">
        <v>0</v>
      </c>
      <c r="IL18" s="476">
        <v>18</v>
      </c>
      <c r="IM18" s="476">
        <v>3</v>
      </c>
      <c r="IN18" s="476">
        <v>0</v>
      </c>
      <c r="IO18" s="476">
        <v>21</v>
      </c>
      <c r="IP18" s="476">
        <v>0</v>
      </c>
      <c r="IQ18" s="476">
        <v>1434.31</v>
      </c>
      <c r="IR18" s="476">
        <v>883515</v>
      </c>
      <c r="IS18" s="476">
        <v>0</v>
      </c>
      <c r="IT18" s="476">
        <v>90000</v>
      </c>
      <c r="IU18" s="476">
        <v>9000</v>
      </c>
      <c r="IV18" s="476">
        <v>0</v>
      </c>
      <c r="IW18" s="476">
        <v>6160</v>
      </c>
      <c r="IX18" s="476">
        <v>8332</v>
      </c>
      <c r="IY18" s="476">
        <v>0</v>
      </c>
      <c r="IZ18" s="476">
        <v>0</v>
      </c>
      <c r="JA18" s="476">
        <v>0</v>
      </c>
      <c r="JB18" s="476">
        <v>0</v>
      </c>
      <c r="JC18" s="476">
        <v>0</v>
      </c>
      <c r="JD18" s="476">
        <v>0</v>
      </c>
      <c r="JE18" s="476">
        <v>0</v>
      </c>
      <c r="JF18" s="476">
        <v>0</v>
      </c>
      <c r="JG18" s="476">
        <v>0</v>
      </c>
      <c r="JH18" s="476">
        <v>0</v>
      </c>
      <c r="JI18" s="476">
        <v>0</v>
      </c>
      <c r="JJ18" s="476">
        <v>0</v>
      </c>
      <c r="JK18" s="476">
        <v>0</v>
      </c>
      <c r="JL18" s="476">
        <v>0</v>
      </c>
      <c r="JM18" s="476">
        <v>0</v>
      </c>
      <c r="JN18" s="476">
        <v>32469</v>
      </c>
      <c r="JO18" s="476">
        <v>62.911000000000001</v>
      </c>
      <c r="JP18" s="476">
        <v>152.13400000000001</v>
      </c>
      <c r="JQ18" s="476">
        <v>76.924000000000007</v>
      </c>
      <c r="JR18" s="476">
        <v>502546</v>
      </c>
      <c r="JS18" s="476">
        <v>1414140</v>
      </c>
      <c r="JT18" s="476">
        <v>821174</v>
      </c>
      <c r="JU18" s="476">
        <v>118146</v>
      </c>
      <c r="JV18" s="476">
        <v>0</v>
      </c>
      <c r="JW18" s="476">
        <v>0</v>
      </c>
      <c r="JX18" s="476">
        <v>0</v>
      </c>
      <c r="JY18" s="476">
        <v>0</v>
      </c>
      <c r="JZ18" s="476">
        <v>0</v>
      </c>
      <c r="KA18" s="476">
        <v>0</v>
      </c>
      <c r="KB18" s="476">
        <v>0</v>
      </c>
      <c r="KC18" s="476">
        <v>0</v>
      </c>
      <c r="KD18" s="476">
        <v>118146</v>
      </c>
      <c r="KE18" s="476">
        <v>7262</v>
      </c>
      <c r="KF18" s="476">
        <v>0</v>
      </c>
      <c r="KG18" s="476">
        <v>0</v>
      </c>
      <c r="KH18" s="476">
        <v>60485929</v>
      </c>
      <c r="KI18" s="476">
        <v>0</v>
      </c>
      <c r="KJ18" s="476">
        <v>60</v>
      </c>
      <c r="KK18" s="476">
        <v>141</v>
      </c>
      <c r="KL18" s="476">
        <v>36959</v>
      </c>
      <c r="KM18" s="476">
        <v>86854</v>
      </c>
      <c r="KN18" s="476">
        <v>0</v>
      </c>
    </row>
    <row r="19" spans="1:300" x14ac:dyDescent="0.25">
      <c r="A19" s="476">
        <v>40976</v>
      </c>
      <c r="B19" s="476">
        <v>15825</v>
      </c>
      <c r="C19" s="476">
        <v>9</v>
      </c>
      <c r="D19" s="476">
        <v>2024</v>
      </c>
      <c r="E19" s="476">
        <v>6160</v>
      </c>
      <c r="F19" s="476">
        <v>0</v>
      </c>
      <c r="G19" s="476">
        <v>330.48700000000002</v>
      </c>
      <c r="H19" s="476">
        <v>292.99900000000002</v>
      </c>
      <c r="I19" s="476">
        <v>292.99900000000002</v>
      </c>
      <c r="J19" s="476">
        <v>330.48700000000002</v>
      </c>
      <c r="K19" s="476">
        <v>0</v>
      </c>
      <c r="L19" s="476">
        <v>6160</v>
      </c>
      <c r="M19" s="476">
        <v>0</v>
      </c>
      <c r="N19" s="476">
        <v>0</v>
      </c>
      <c r="O19" s="476">
        <v>0</v>
      </c>
      <c r="P19" s="476">
        <v>333.47300000000001</v>
      </c>
      <c r="Q19" s="476">
        <v>0</v>
      </c>
      <c r="R19" s="476">
        <v>138353</v>
      </c>
      <c r="S19" s="476">
        <v>414.88400000000001</v>
      </c>
      <c r="T19" s="476">
        <v>0</v>
      </c>
      <c r="U19" s="476">
        <v>0</v>
      </c>
      <c r="V19" s="476">
        <v>97.195000000000007</v>
      </c>
      <c r="W19" s="476">
        <v>59871</v>
      </c>
      <c r="X19" s="476">
        <v>59871</v>
      </c>
      <c r="Y19" s="476">
        <v>0</v>
      </c>
      <c r="Z19" s="476">
        <v>0</v>
      </c>
      <c r="AA19" s="476">
        <v>0</v>
      </c>
      <c r="AB19" s="476">
        <v>0</v>
      </c>
      <c r="AC19" s="476">
        <v>0</v>
      </c>
      <c r="AD19" s="476" t="s">
        <v>314</v>
      </c>
      <c r="AE19" s="476">
        <v>0</v>
      </c>
      <c r="AF19" s="476">
        <v>0</v>
      </c>
      <c r="AG19" s="476">
        <v>0</v>
      </c>
      <c r="AH19" s="476">
        <v>0</v>
      </c>
      <c r="AI19" s="476">
        <v>0</v>
      </c>
      <c r="AJ19" s="476">
        <v>6160</v>
      </c>
      <c r="AK19" s="476" t="s">
        <v>651</v>
      </c>
      <c r="AL19" s="476" t="s">
        <v>699</v>
      </c>
      <c r="AM19" s="476">
        <v>0</v>
      </c>
      <c r="AN19" s="476">
        <v>0</v>
      </c>
      <c r="AO19" s="476">
        <v>0</v>
      </c>
      <c r="AP19" s="476">
        <v>0</v>
      </c>
      <c r="AQ19" s="476">
        <v>0</v>
      </c>
      <c r="AR19" s="476">
        <v>0</v>
      </c>
      <c r="AS19" s="476">
        <v>0</v>
      </c>
      <c r="AT19" s="476">
        <v>0</v>
      </c>
      <c r="AU19" s="476">
        <v>0</v>
      </c>
      <c r="AV19" s="476">
        <v>0</v>
      </c>
      <c r="AW19" s="476">
        <v>3885685</v>
      </c>
      <c r="AX19" s="476">
        <v>3887388</v>
      </c>
      <c r="AY19" s="476">
        <v>0</v>
      </c>
      <c r="AZ19" s="476">
        <v>138353</v>
      </c>
      <c r="BA19" s="476">
        <v>9.5830000000000002</v>
      </c>
      <c r="BB19" s="476">
        <v>3410</v>
      </c>
      <c r="BC19" s="476">
        <v>3389</v>
      </c>
      <c r="BD19" s="476">
        <v>8</v>
      </c>
      <c r="BE19" s="476">
        <v>22</v>
      </c>
      <c r="BF19" s="476">
        <v>3497846</v>
      </c>
      <c r="BG19" s="476">
        <v>0</v>
      </c>
      <c r="BH19" s="476">
        <v>0</v>
      </c>
      <c r="BI19" s="476">
        <v>0</v>
      </c>
      <c r="BJ19" s="476">
        <v>12</v>
      </c>
      <c r="BK19" s="476">
        <v>0</v>
      </c>
      <c r="BL19" s="476">
        <v>0</v>
      </c>
      <c r="BM19" s="476">
        <v>0</v>
      </c>
      <c r="BN19" s="476">
        <v>0</v>
      </c>
      <c r="BO19" s="476">
        <v>0</v>
      </c>
      <c r="BP19" s="476">
        <v>0</v>
      </c>
      <c r="BQ19" s="476">
        <v>725</v>
      </c>
      <c r="BR19" s="476">
        <v>0</v>
      </c>
      <c r="BS19" s="476">
        <v>0</v>
      </c>
      <c r="BT19" s="476">
        <v>0</v>
      </c>
      <c r="BU19" s="476">
        <v>0</v>
      </c>
      <c r="BV19" s="476">
        <v>0</v>
      </c>
      <c r="BW19" s="476">
        <v>0</v>
      </c>
      <c r="BX19" s="476">
        <v>0</v>
      </c>
      <c r="BY19" s="476">
        <v>0</v>
      </c>
      <c r="BZ19" s="476">
        <v>0</v>
      </c>
      <c r="CA19" s="476">
        <v>0</v>
      </c>
      <c r="CB19" s="476">
        <v>0</v>
      </c>
      <c r="CC19" s="476">
        <v>0</v>
      </c>
      <c r="CD19" s="476">
        <v>0</v>
      </c>
      <c r="CE19" s="476">
        <v>0</v>
      </c>
      <c r="CF19" s="476">
        <v>0</v>
      </c>
      <c r="CG19" s="476">
        <v>0</v>
      </c>
      <c r="CH19" s="476">
        <v>0</v>
      </c>
      <c r="CI19" s="476">
        <v>0</v>
      </c>
      <c r="CJ19" s="476">
        <v>4</v>
      </c>
      <c r="CK19" s="476">
        <v>0</v>
      </c>
      <c r="CL19" s="476">
        <v>0</v>
      </c>
      <c r="CM19" s="476">
        <v>0</v>
      </c>
      <c r="CN19" s="476">
        <v>0</v>
      </c>
      <c r="CO19" s="476">
        <v>1</v>
      </c>
      <c r="CP19" s="476">
        <v>0</v>
      </c>
      <c r="CQ19" s="476">
        <v>1</v>
      </c>
      <c r="CR19" s="476">
        <v>330.48700000000002</v>
      </c>
      <c r="CS19" s="476">
        <v>0</v>
      </c>
      <c r="CT19" s="476">
        <v>0</v>
      </c>
      <c r="CU19" s="476">
        <v>0</v>
      </c>
      <c r="CV19" s="476">
        <v>0</v>
      </c>
      <c r="CW19" s="476">
        <v>0</v>
      </c>
      <c r="CX19" s="476">
        <v>0</v>
      </c>
      <c r="CY19" s="476">
        <v>0</v>
      </c>
      <c r="CZ19" s="476">
        <v>0</v>
      </c>
      <c r="DA19" s="476">
        <v>0</v>
      </c>
      <c r="DB19" s="476">
        <v>1804833</v>
      </c>
      <c r="DC19" s="476">
        <v>0</v>
      </c>
      <c r="DD19" s="476">
        <v>0</v>
      </c>
      <c r="DE19" s="476">
        <v>599123</v>
      </c>
      <c r="DF19" s="476">
        <v>599123</v>
      </c>
      <c r="DG19" s="476">
        <v>97.263000000000005</v>
      </c>
      <c r="DH19" s="476">
        <v>0</v>
      </c>
      <c r="DI19" s="476">
        <v>0</v>
      </c>
      <c r="DJ19" s="476">
        <v>0</v>
      </c>
      <c r="DK19" s="476">
        <v>3220</v>
      </c>
      <c r="DL19" s="476">
        <v>0</v>
      </c>
      <c r="DM19" s="476">
        <v>489180</v>
      </c>
      <c r="DN19" s="476">
        <v>1682</v>
      </c>
      <c r="DO19" s="476">
        <v>0</v>
      </c>
      <c r="DP19" s="476">
        <v>0</v>
      </c>
      <c r="DQ19" s="476">
        <v>0</v>
      </c>
      <c r="DR19" s="476">
        <v>0</v>
      </c>
      <c r="DS19" s="476">
        <v>0</v>
      </c>
      <c r="DT19" s="476">
        <v>0</v>
      </c>
      <c r="DU19" s="476">
        <v>0</v>
      </c>
      <c r="DV19" s="476">
        <v>0</v>
      </c>
      <c r="DW19" s="476">
        <v>0</v>
      </c>
      <c r="DX19" s="476">
        <v>0</v>
      </c>
      <c r="DY19" s="476">
        <v>0</v>
      </c>
      <c r="DZ19" s="476">
        <v>0</v>
      </c>
      <c r="EA19" s="476">
        <v>0</v>
      </c>
      <c r="EB19" s="476">
        <v>0</v>
      </c>
      <c r="EC19" s="476">
        <v>8.2949999999999999</v>
      </c>
      <c r="ED19" s="476">
        <v>58760</v>
      </c>
      <c r="EE19" s="476">
        <v>0</v>
      </c>
      <c r="EF19" s="476">
        <v>0</v>
      </c>
      <c r="EG19" s="476">
        <v>0</v>
      </c>
      <c r="EH19" s="476">
        <v>432102</v>
      </c>
      <c r="EI19" s="476">
        <v>0</v>
      </c>
      <c r="EJ19" s="476">
        <v>0</v>
      </c>
      <c r="EK19" s="476">
        <v>20.85</v>
      </c>
      <c r="EL19" s="476">
        <v>0</v>
      </c>
      <c r="EM19" s="476">
        <v>0.97100000000000009</v>
      </c>
      <c r="EN19" s="476">
        <v>0.93700000000000006</v>
      </c>
      <c r="EO19" s="476">
        <v>0</v>
      </c>
      <c r="EP19" s="476">
        <v>0</v>
      </c>
      <c r="EQ19" s="476">
        <v>22.758000000000003</v>
      </c>
      <c r="ER19" s="476">
        <v>0</v>
      </c>
      <c r="ES19" s="476">
        <v>70.14800000000001</v>
      </c>
      <c r="ET19" s="476">
        <v>0</v>
      </c>
      <c r="EU19" s="476">
        <v>0</v>
      </c>
      <c r="EV19" s="476">
        <v>0</v>
      </c>
      <c r="EW19" s="476">
        <v>0</v>
      </c>
      <c r="EX19" s="476">
        <v>0</v>
      </c>
      <c r="EY19" s="476">
        <v>0</v>
      </c>
      <c r="EZ19" s="476">
        <v>3360326</v>
      </c>
      <c r="FA19" s="476">
        <v>0</v>
      </c>
      <c r="FB19" s="476">
        <v>3496976</v>
      </c>
      <c r="FC19" s="476">
        <v>0</v>
      </c>
      <c r="FD19" s="476">
        <v>0</v>
      </c>
      <c r="FE19" s="476">
        <v>451636</v>
      </c>
      <c r="FF19" s="476">
        <v>75426</v>
      </c>
      <c r="FG19" s="476">
        <v>6.3017999999999991E-2</v>
      </c>
      <c r="FH19" s="476">
        <v>2.6953999999999999E-2</v>
      </c>
      <c r="FI19" s="476">
        <v>0</v>
      </c>
      <c r="FJ19" s="476">
        <v>0</v>
      </c>
      <c r="FK19" s="476">
        <v>567.84500000000003</v>
      </c>
      <c r="FL19" s="476">
        <v>4024038</v>
      </c>
      <c r="FM19" s="476">
        <v>0</v>
      </c>
      <c r="FN19" s="476">
        <v>0</v>
      </c>
      <c r="FO19" s="476">
        <v>0</v>
      </c>
      <c r="FP19" s="476">
        <v>0</v>
      </c>
      <c r="FQ19" s="476">
        <v>0</v>
      </c>
      <c r="FR19" s="476">
        <v>0</v>
      </c>
      <c r="FS19" s="476">
        <v>0</v>
      </c>
      <c r="FT19" s="476">
        <v>0</v>
      </c>
      <c r="FU19" s="476">
        <v>0</v>
      </c>
      <c r="FV19" s="476">
        <v>0</v>
      </c>
      <c r="FW19" s="476">
        <v>0</v>
      </c>
      <c r="FX19" s="476">
        <v>0</v>
      </c>
      <c r="FY19" s="476">
        <v>0</v>
      </c>
      <c r="FZ19" s="476">
        <v>0</v>
      </c>
      <c r="GA19" s="476">
        <v>0</v>
      </c>
      <c r="GB19" s="476">
        <v>137352</v>
      </c>
      <c r="GC19" s="476">
        <v>137352</v>
      </c>
      <c r="GD19" s="476">
        <v>14.73</v>
      </c>
      <c r="GE19" s="476">
        <v>0</v>
      </c>
      <c r="GF19" s="476">
        <v>0</v>
      </c>
      <c r="GG19" s="476">
        <v>0</v>
      </c>
      <c r="GH19" s="476">
        <v>0</v>
      </c>
      <c r="GI19" s="476">
        <v>0</v>
      </c>
      <c r="GJ19" s="476">
        <v>0</v>
      </c>
      <c r="GK19" s="476">
        <v>0</v>
      </c>
      <c r="GL19" s="476">
        <v>0</v>
      </c>
      <c r="GM19" s="476">
        <v>0</v>
      </c>
      <c r="GN19" s="476">
        <v>0</v>
      </c>
      <c r="GO19" s="476">
        <v>0</v>
      </c>
      <c r="GP19" s="476">
        <v>0</v>
      </c>
      <c r="GQ19" s="476">
        <v>3885685</v>
      </c>
      <c r="GR19" s="476">
        <v>0</v>
      </c>
      <c r="GS19" s="476">
        <v>0</v>
      </c>
      <c r="GT19" s="476">
        <v>0</v>
      </c>
      <c r="GU19" s="476">
        <v>0</v>
      </c>
      <c r="GV19" s="476">
        <v>0</v>
      </c>
      <c r="GW19" s="476">
        <v>0</v>
      </c>
      <c r="GX19" s="476">
        <v>0</v>
      </c>
      <c r="GY19" s="476">
        <v>0</v>
      </c>
      <c r="GZ19" s="476">
        <v>0</v>
      </c>
      <c r="HA19" s="476">
        <v>0</v>
      </c>
      <c r="HB19" s="476">
        <v>0</v>
      </c>
      <c r="HC19" s="476">
        <v>4.2206E-2</v>
      </c>
      <c r="HD19" s="476">
        <v>0</v>
      </c>
      <c r="HE19" s="476">
        <v>0</v>
      </c>
      <c r="HF19" s="476">
        <v>322885</v>
      </c>
      <c r="HG19" s="476">
        <v>13552</v>
      </c>
      <c r="HH19" s="476">
        <v>62653</v>
      </c>
      <c r="HI19" s="476">
        <v>0</v>
      </c>
      <c r="HJ19" s="476">
        <v>3305</v>
      </c>
      <c r="HK19" s="476">
        <v>833</v>
      </c>
      <c r="HL19" s="476">
        <v>0</v>
      </c>
      <c r="HM19" s="476">
        <v>0</v>
      </c>
      <c r="HN19" s="476">
        <v>0</v>
      </c>
      <c r="HO19" s="476">
        <v>0</v>
      </c>
      <c r="HP19" s="476">
        <v>0</v>
      </c>
      <c r="HQ19" s="476">
        <v>0</v>
      </c>
      <c r="HR19" s="476">
        <v>0</v>
      </c>
      <c r="HS19" s="476">
        <v>3358623</v>
      </c>
      <c r="HT19" s="476">
        <v>75426</v>
      </c>
      <c r="HU19" s="476">
        <v>0</v>
      </c>
      <c r="HV19" s="476">
        <v>0</v>
      </c>
      <c r="HW19" s="476">
        <v>0</v>
      </c>
      <c r="HX19" s="476">
        <v>23</v>
      </c>
      <c r="HY19" s="476">
        <v>42</v>
      </c>
      <c r="HZ19" s="476">
        <v>93</v>
      </c>
      <c r="IA19" s="476">
        <v>87</v>
      </c>
      <c r="IB19" s="476">
        <v>131</v>
      </c>
      <c r="IC19" s="476">
        <v>376</v>
      </c>
      <c r="ID19" s="476">
        <v>0</v>
      </c>
      <c r="IE19" s="476">
        <v>0</v>
      </c>
      <c r="IF19" s="476">
        <v>0</v>
      </c>
      <c r="IG19" s="476">
        <v>22</v>
      </c>
      <c r="IH19" s="476">
        <v>101.712</v>
      </c>
      <c r="II19" s="476">
        <v>0</v>
      </c>
      <c r="IJ19" s="476">
        <v>97.195000000000007</v>
      </c>
      <c r="IK19" s="476">
        <v>0</v>
      </c>
      <c r="IL19" s="476">
        <v>0</v>
      </c>
      <c r="IM19" s="476">
        <v>0</v>
      </c>
      <c r="IN19" s="476">
        <v>0</v>
      </c>
      <c r="IO19" s="476">
        <v>0</v>
      </c>
      <c r="IP19" s="476">
        <v>0</v>
      </c>
      <c r="IQ19" s="476">
        <v>97.195000000000007</v>
      </c>
      <c r="IR19" s="476">
        <v>59871</v>
      </c>
      <c r="IS19" s="476">
        <v>0</v>
      </c>
      <c r="IT19" s="476">
        <v>0</v>
      </c>
      <c r="IU19" s="476">
        <v>0</v>
      </c>
      <c r="IV19" s="476">
        <v>0</v>
      </c>
      <c r="IW19" s="476">
        <v>6160</v>
      </c>
      <c r="IX19" s="476">
        <v>0</v>
      </c>
      <c r="IY19" s="476">
        <v>0</v>
      </c>
      <c r="IZ19" s="476">
        <v>0</v>
      </c>
      <c r="JA19" s="476">
        <v>0</v>
      </c>
      <c r="JB19" s="476">
        <v>0</v>
      </c>
      <c r="JC19" s="476">
        <v>0</v>
      </c>
      <c r="JD19" s="476">
        <v>0</v>
      </c>
      <c r="JE19" s="476">
        <v>0</v>
      </c>
      <c r="JF19" s="476">
        <v>0</v>
      </c>
      <c r="JG19" s="476">
        <v>0</v>
      </c>
      <c r="JH19" s="476">
        <v>0</v>
      </c>
      <c r="JI19" s="476">
        <v>0</v>
      </c>
      <c r="JJ19" s="476">
        <v>0</v>
      </c>
      <c r="JK19" s="476">
        <v>0</v>
      </c>
      <c r="JL19" s="476">
        <v>0</v>
      </c>
      <c r="JM19" s="476">
        <v>0</v>
      </c>
      <c r="JN19" s="476">
        <v>32469</v>
      </c>
      <c r="JO19" s="476">
        <v>0</v>
      </c>
      <c r="JP19" s="476">
        <v>14.418000000000001</v>
      </c>
      <c r="JQ19" s="476">
        <v>0.312</v>
      </c>
      <c r="JR19" s="476">
        <v>0</v>
      </c>
      <c r="JS19" s="476">
        <v>134021</v>
      </c>
      <c r="JT19" s="476">
        <v>3331</v>
      </c>
      <c r="JU19" s="476">
        <v>3450</v>
      </c>
      <c r="JV19" s="476">
        <v>0</v>
      </c>
      <c r="JW19" s="476">
        <v>0</v>
      </c>
      <c r="JX19" s="476">
        <v>0</v>
      </c>
      <c r="JY19" s="476">
        <v>0</v>
      </c>
      <c r="JZ19" s="476">
        <v>0</v>
      </c>
      <c r="KA19" s="476">
        <v>0</v>
      </c>
      <c r="KB19" s="476">
        <v>0</v>
      </c>
      <c r="KC19" s="476">
        <v>0</v>
      </c>
      <c r="KD19" s="476">
        <v>3450</v>
      </c>
      <c r="KE19" s="476">
        <v>7262</v>
      </c>
      <c r="KF19" s="476">
        <v>0</v>
      </c>
      <c r="KG19" s="476">
        <v>0</v>
      </c>
      <c r="KH19" s="476">
        <v>3885685</v>
      </c>
      <c r="KI19" s="476">
        <v>0</v>
      </c>
      <c r="KJ19" s="476">
        <v>16</v>
      </c>
      <c r="KK19" s="476">
        <v>6</v>
      </c>
      <c r="KL19" s="476">
        <v>9856</v>
      </c>
      <c r="KM19" s="476">
        <v>3696</v>
      </c>
      <c r="KN19" s="476">
        <v>0</v>
      </c>
    </row>
    <row r="20" spans="1:300" x14ac:dyDescent="0.25">
      <c r="A20" s="476">
        <v>40976</v>
      </c>
      <c r="B20" s="476">
        <v>15827</v>
      </c>
      <c r="C20" s="476">
        <v>9</v>
      </c>
      <c r="D20" s="476">
        <v>2024</v>
      </c>
      <c r="E20" s="476">
        <v>6160</v>
      </c>
      <c r="F20" s="476">
        <v>0</v>
      </c>
      <c r="G20" s="476">
        <v>3825.8920000000003</v>
      </c>
      <c r="H20" s="476">
        <v>3505.4370000000004</v>
      </c>
      <c r="I20" s="476">
        <v>3505.4370000000004</v>
      </c>
      <c r="J20" s="476">
        <v>3825.8920000000003</v>
      </c>
      <c r="K20" s="476">
        <v>0</v>
      </c>
      <c r="L20" s="476">
        <v>6160</v>
      </c>
      <c r="M20" s="476">
        <v>0</v>
      </c>
      <c r="N20" s="476">
        <v>0</v>
      </c>
      <c r="O20" s="476">
        <v>0</v>
      </c>
      <c r="P20" s="476">
        <v>3830.4</v>
      </c>
      <c r="Q20" s="476">
        <v>0</v>
      </c>
      <c r="R20" s="476">
        <v>1589172</v>
      </c>
      <c r="S20" s="476">
        <v>414.88400000000001</v>
      </c>
      <c r="T20" s="476">
        <v>0</v>
      </c>
      <c r="U20" s="476">
        <v>0</v>
      </c>
      <c r="V20" s="476">
        <v>741.01700000000005</v>
      </c>
      <c r="W20" s="476">
        <v>456456</v>
      </c>
      <c r="X20" s="476">
        <v>456456</v>
      </c>
      <c r="Y20" s="476">
        <v>0</v>
      </c>
      <c r="Z20" s="476">
        <v>0</v>
      </c>
      <c r="AA20" s="476">
        <v>0</v>
      </c>
      <c r="AB20" s="476">
        <v>0</v>
      </c>
      <c r="AC20" s="476">
        <v>0</v>
      </c>
      <c r="AD20" s="476" t="s">
        <v>314</v>
      </c>
      <c r="AE20" s="476">
        <v>0</v>
      </c>
      <c r="AF20" s="476">
        <v>0</v>
      </c>
      <c r="AG20" s="476">
        <v>0</v>
      </c>
      <c r="AH20" s="476">
        <v>0</v>
      </c>
      <c r="AI20" s="476">
        <v>0</v>
      </c>
      <c r="AJ20" s="476">
        <v>6160</v>
      </c>
      <c r="AK20" s="476" t="s">
        <v>651</v>
      </c>
      <c r="AL20" s="476" t="s">
        <v>15</v>
      </c>
      <c r="AM20" s="476">
        <v>0</v>
      </c>
      <c r="AN20" s="476">
        <v>0</v>
      </c>
      <c r="AO20" s="476">
        <v>0</v>
      </c>
      <c r="AP20" s="476">
        <v>0</v>
      </c>
      <c r="AQ20" s="476">
        <v>0</v>
      </c>
      <c r="AR20" s="476">
        <v>0</v>
      </c>
      <c r="AS20" s="476">
        <v>0</v>
      </c>
      <c r="AT20" s="476">
        <v>0</v>
      </c>
      <c r="AU20" s="476">
        <v>0</v>
      </c>
      <c r="AV20" s="476">
        <v>0</v>
      </c>
      <c r="AW20" s="476">
        <v>40489507</v>
      </c>
      <c r="AX20" s="476">
        <v>39855447</v>
      </c>
      <c r="AY20" s="476">
        <v>0</v>
      </c>
      <c r="AZ20" s="476">
        <v>1589172</v>
      </c>
      <c r="BA20" s="476">
        <v>44.417000000000002</v>
      </c>
      <c r="BB20" s="476">
        <v>81413</v>
      </c>
      <c r="BC20" s="476">
        <v>80894</v>
      </c>
      <c r="BD20" s="476">
        <v>191</v>
      </c>
      <c r="BE20" s="476">
        <v>519</v>
      </c>
      <c r="BF20" s="476">
        <v>35998161</v>
      </c>
      <c r="BG20" s="476">
        <v>0</v>
      </c>
      <c r="BH20" s="476">
        <v>0</v>
      </c>
      <c r="BI20" s="476">
        <v>0</v>
      </c>
      <c r="BJ20" s="476">
        <v>12</v>
      </c>
      <c r="BK20" s="476">
        <v>0</v>
      </c>
      <c r="BL20" s="476">
        <v>0</v>
      </c>
      <c r="BM20" s="476">
        <v>0</v>
      </c>
      <c r="BN20" s="476">
        <v>0</v>
      </c>
      <c r="BO20" s="476">
        <v>0</v>
      </c>
      <c r="BP20" s="476">
        <v>0</v>
      </c>
      <c r="BQ20" s="476">
        <v>230</v>
      </c>
      <c r="BR20" s="476">
        <v>0</v>
      </c>
      <c r="BS20" s="476">
        <v>0</v>
      </c>
      <c r="BT20" s="476">
        <v>0</v>
      </c>
      <c r="BU20" s="476">
        <v>0</v>
      </c>
      <c r="BV20" s="476">
        <v>0</v>
      </c>
      <c r="BW20" s="476">
        <v>0</v>
      </c>
      <c r="BX20" s="476">
        <v>0</v>
      </c>
      <c r="BY20" s="476">
        <v>0</v>
      </c>
      <c r="BZ20" s="476">
        <v>0</v>
      </c>
      <c r="CA20" s="476">
        <v>0</v>
      </c>
      <c r="CB20" s="476">
        <v>0</v>
      </c>
      <c r="CC20" s="476">
        <v>0</v>
      </c>
      <c r="CD20" s="476">
        <v>0</v>
      </c>
      <c r="CE20" s="476">
        <v>0</v>
      </c>
      <c r="CF20" s="476">
        <v>0</v>
      </c>
      <c r="CG20" s="476">
        <v>0</v>
      </c>
      <c r="CH20" s="476">
        <v>645907</v>
      </c>
      <c r="CI20" s="476">
        <v>0</v>
      </c>
      <c r="CJ20" s="476">
        <v>4</v>
      </c>
      <c r="CK20" s="476">
        <v>0</v>
      </c>
      <c r="CL20" s="476">
        <v>0</v>
      </c>
      <c r="CM20" s="476">
        <v>0</v>
      </c>
      <c r="CN20" s="476">
        <v>0</v>
      </c>
      <c r="CO20" s="476">
        <v>1</v>
      </c>
      <c r="CP20" s="476">
        <v>0</v>
      </c>
      <c r="CQ20" s="476">
        <v>0</v>
      </c>
      <c r="CR20" s="476">
        <v>3825.8920000000003</v>
      </c>
      <c r="CS20" s="476">
        <v>0</v>
      </c>
      <c r="CT20" s="476">
        <v>0</v>
      </c>
      <c r="CU20" s="476">
        <v>0</v>
      </c>
      <c r="CV20" s="476">
        <v>0</v>
      </c>
      <c r="CW20" s="476">
        <v>0</v>
      </c>
      <c r="CX20" s="476">
        <v>0</v>
      </c>
      <c r="CY20" s="476">
        <v>0</v>
      </c>
      <c r="CZ20" s="476">
        <v>0</v>
      </c>
      <c r="DA20" s="476">
        <v>0</v>
      </c>
      <c r="DB20" s="476">
        <v>21593002</v>
      </c>
      <c r="DC20" s="476">
        <v>0</v>
      </c>
      <c r="DD20" s="476">
        <v>0</v>
      </c>
      <c r="DE20" s="476">
        <v>3977191</v>
      </c>
      <c r="DF20" s="476">
        <v>3977191</v>
      </c>
      <c r="DG20" s="476">
        <v>645.66300000000001</v>
      </c>
      <c r="DH20" s="476">
        <v>0</v>
      </c>
      <c r="DI20" s="476">
        <v>0</v>
      </c>
      <c r="DJ20" s="476">
        <v>0</v>
      </c>
      <c r="DK20" s="476">
        <v>0</v>
      </c>
      <c r="DL20" s="476">
        <v>0</v>
      </c>
      <c r="DM20" s="476">
        <v>3294845</v>
      </c>
      <c r="DN20" s="476">
        <v>11328</v>
      </c>
      <c r="DO20" s="476">
        <v>0</v>
      </c>
      <c r="DP20" s="476">
        <v>0</v>
      </c>
      <c r="DQ20" s="476">
        <v>0</v>
      </c>
      <c r="DR20" s="476">
        <v>0</v>
      </c>
      <c r="DS20" s="476">
        <v>0</v>
      </c>
      <c r="DT20" s="476">
        <v>0</v>
      </c>
      <c r="DU20" s="476">
        <v>0</v>
      </c>
      <c r="DV20" s="476">
        <v>0</v>
      </c>
      <c r="DW20" s="476">
        <v>0</v>
      </c>
      <c r="DX20" s="476">
        <v>0</v>
      </c>
      <c r="DY20" s="476">
        <v>0</v>
      </c>
      <c r="DZ20" s="476">
        <v>0</v>
      </c>
      <c r="EA20" s="476">
        <v>0</v>
      </c>
      <c r="EB20" s="476">
        <v>0</v>
      </c>
      <c r="EC20" s="476">
        <v>136.67699999999999</v>
      </c>
      <c r="ED20" s="476">
        <v>968198</v>
      </c>
      <c r="EE20" s="476">
        <v>0</v>
      </c>
      <c r="EF20" s="476">
        <v>0</v>
      </c>
      <c r="EG20" s="476">
        <v>0</v>
      </c>
      <c r="EH20" s="476">
        <v>2337975</v>
      </c>
      <c r="EI20" s="476">
        <v>0</v>
      </c>
      <c r="EJ20" s="476">
        <v>0</v>
      </c>
      <c r="EK20" s="476">
        <v>101.277</v>
      </c>
      <c r="EL20" s="476">
        <v>0</v>
      </c>
      <c r="EM20" s="476">
        <v>9.2230000000000008</v>
      </c>
      <c r="EN20" s="476">
        <v>9.61</v>
      </c>
      <c r="EO20" s="476">
        <v>0</v>
      </c>
      <c r="EP20" s="476">
        <v>0</v>
      </c>
      <c r="EQ20" s="476">
        <v>120.11</v>
      </c>
      <c r="ER20" s="476">
        <v>0</v>
      </c>
      <c r="ES20" s="476">
        <v>379.55</v>
      </c>
      <c r="ET20" s="476">
        <v>0</v>
      </c>
      <c r="EU20" s="476">
        <v>0</v>
      </c>
      <c r="EV20" s="476">
        <v>0</v>
      </c>
      <c r="EW20" s="476">
        <v>0</v>
      </c>
      <c r="EX20" s="476">
        <v>0</v>
      </c>
      <c r="EY20" s="476">
        <v>0</v>
      </c>
      <c r="EZ20" s="476">
        <v>34431176</v>
      </c>
      <c r="FA20" s="476">
        <v>0</v>
      </c>
      <c r="FB20" s="476">
        <v>36008501</v>
      </c>
      <c r="FC20" s="476">
        <v>0</v>
      </c>
      <c r="FD20" s="476">
        <v>0</v>
      </c>
      <c r="FE20" s="476">
        <v>4648018</v>
      </c>
      <c r="FF20" s="476">
        <v>776253</v>
      </c>
      <c r="FG20" s="476">
        <v>6.3017999999999991E-2</v>
      </c>
      <c r="FH20" s="476">
        <v>2.6953999999999999E-2</v>
      </c>
      <c r="FI20" s="476">
        <v>0</v>
      </c>
      <c r="FJ20" s="476">
        <v>0</v>
      </c>
      <c r="FK20" s="476">
        <v>5843.99</v>
      </c>
      <c r="FL20" s="476">
        <v>42078679</v>
      </c>
      <c r="FM20" s="476">
        <v>0</v>
      </c>
      <c r="FN20" s="476">
        <v>0</v>
      </c>
      <c r="FO20" s="476">
        <v>17568</v>
      </c>
      <c r="FP20" s="476">
        <v>0</v>
      </c>
      <c r="FQ20" s="476">
        <v>17568</v>
      </c>
      <c r="FR20" s="476">
        <v>17568</v>
      </c>
      <c r="FS20" s="476">
        <v>0</v>
      </c>
      <c r="FT20" s="476">
        <v>0</v>
      </c>
      <c r="FU20" s="476">
        <v>0</v>
      </c>
      <c r="FV20" s="476">
        <v>0</v>
      </c>
      <c r="FW20" s="476">
        <v>0</v>
      </c>
      <c r="FX20" s="476">
        <v>0</v>
      </c>
      <c r="FY20" s="476">
        <v>0</v>
      </c>
      <c r="FZ20" s="476">
        <v>0</v>
      </c>
      <c r="GA20" s="476">
        <v>0</v>
      </c>
      <c r="GB20" s="476">
        <v>1742319</v>
      </c>
      <c r="GC20" s="476">
        <v>1742319</v>
      </c>
      <c r="GD20" s="476">
        <v>200.345</v>
      </c>
      <c r="GE20" s="476">
        <v>0</v>
      </c>
      <c r="GF20" s="476">
        <v>0</v>
      </c>
      <c r="GG20" s="476">
        <v>0</v>
      </c>
      <c r="GH20" s="476">
        <v>0</v>
      </c>
      <c r="GI20" s="476">
        <v>0</v>
      </c>
      <c r="GJ20" s="476">
        <v>0</v>
      </c>
      <c r="GK20" s="476">
        <v>0</v>
      </c>
      <c r="GL20" s="476">
        <v>0</v>
      </c>
      <c r="GM20" s="476">
        <v>0</v>
      </c>
      <c r="GN20" s="476">
        <v>0</v>
      </c>
      <c r="GO20" s="476">
        <v>0</v>
      </c>
      <c r="GP20" s="476">
        <v>0</v>
      </c>
      <c r="GQ20" s="476">
        <v>39843600</v>
      </c>
      <c r="GR20" s="476">
        <v>0</v>
      </c>
      <c r="GS20" s="476">
        <v>0</v>
      </c>
      <c r="GT20" s="476">
        <v>0</v>
      </c>
      <c r="GU20" s="476">
        <v>0</v>
      </c>
      <c r="GV20" s="476">
        <v>0</v>
      </c>
      <c r="GW20" s="476">
        <v>0</v>
      </c>
      <c r="GX20" s="476">
        <v>0</v>
      </c>
      <c r="GY20" s="476">
        <v>0</v>
      </c>
      <c r="GZ20" s="476">
        <v>0</v>
      </c>
      <c r="HA20" s="476">
        <v>0</v>
      </c>
      <c r="HB20" s="476">
        <v>323396213</v>
      </c>
      <c r="HC20" s="476">
        <v>4.2206E-2</v>
      </c>
      <c r="HD20" s="476">
        <v>645907</v>
      </c>
      <c r="HE20" s="476">
        <v>0</v>
      </c>
      <c r="HF20" s="476">
        <v>3862992</v>
      </c>
      <c r="HG20" s="476">
        <v>64063</v>
      </c>
      <c r="HH20" s="476">
        <v>772100</v>
      </c>
      <c r="HI20" s="476">
        <v>0</v>
      </c>
      <c r="HJ20" s="476">
        <v>38259</v>
      </c>
      <c r="HK20" s="476">
        <v>2757</v>
      </c>
      <c r="HL20" s="476">
        <v>1862</v>
      </c>
      <c r="HM20" s="476">
        <v>60000</v>
      </c>
      <c r="HN20" s="476">
        <v>44193</v>
      </c>
      <c r="HO20" s="476">
        <v>0</v>
      </c>
      <c r="HP20" s="476">
        <v>0</v>
      </c>
      <c r="HQ20" s="476">
        <v>0</v>
      </c>
      <c r="HR20" s="476">
        <v>0</v>
      </c>
      <c r="HS20" s="476">
        <v>34419329</v>
      </c>
      <c r="HT20" s="476">
        <v>776253</v>
      </c>
      <c r="HU20" s="476">
        <v>0</v>
      </c>
      <c r="HV20" s="476">
        <v>0</v>
      </c>
      <c r="HW20" s="476">
        <v>0</v>
      </c>
      <c r="HX20" s="476">
        <v>619</v>
      </c>
      <c r="HY20" s="476">
        <v>772</v>
      </c>
      <c r="HZ20" s="476">
        <v>393</v>
      </c>
      <c r="IA20" s="476">
        <v>431</v>
      </c>
      <c r="IB20" s="476">
        <v>406</v>
      </c>
      <c r="IC20" s="476">
        <v>2621</v>
      </c>
      <c r="ID20" s="476">
        <v>0</v>
      </c>
      <c r="IE20" s="476">
        <v>0</v>
      </c>
      <c r="IF20" s="476">
        <v>0</v>
      </c>
      <c r="IG20" s="476">
        <v>104</v>
      </c>
      <c r="IH20" s="476">
        <v>1253.4380000000001</v>
      </c>
      <c r="II20" s="476">
        <v>0</v>
      </c>
      <c r="IJ20" s="476">
        <v>741.01700000000005</v>
      </c>
      <c r="IK20" s="476">
        <v>0</v>
      </c>
      <c r="IL20" s="476">
        <v>6</v>
      </c>
      <c r="IM20" s="476">
        <v>10</v>
      </c>
      <c r="IN20" s="476">
        <v>0</v>
      </c>
      <c r="IO20" s="476">
        <v>16</v>
      </c>
      <c r="IP20" s="476">
        <v>0</v>
      </c>
      <c r="IQ20" s="476">
        <v>741.01700000000005</v>
      </c>
      <c r="IR20" s="476">
        <v>456456</v>
      </c>
      <c r="IS20" s="476">
        <v>0</v>
      </c>
      <c r="IT20" s="476">
        <v>30000</v>
      </c>
      <c r="IU20" s="476">
        <v>30000</v>
      </c>
      <c r="IV20" s="476">
        <v>0</v>
      </c>
      <c r="IW20" s="476">
        <v>6160</v>
      </c>
      <c r="IX20" s="476">
        <v>0</v>
      </c>
      <c r="IY20" s="476">
        <v>0</v>
      </c>
      <c r="IZ20" s="476">
        <v>0</v>
      </c>
      <c r="JA20" s="476">
        <v>0</v>
      </c>
      <c r="JB20" s="476">
        <v>1</v>
      </c>
      <c r="JC20" s="476">
        <v>12841</v>
      </c>
      <c r="JD20" s="476">
        <v>3</v>
      </c>
      <c r="JE20" s="476">
        <v>27239</v>
      </c>
      <c r="JF20" s="476">
        <v>1</v>
      </c>
      <c r="JG20" s="476">
        <v>4113</v>
      </c>
      <c r="JH20" s="476">
        <v>0</v>
      </c>
      <c r="JI20" s="476">
        <v>0</v>
      </c>
      <c r="JJ20" s="476">
        <v>0</v>
      </c>
      <c r="JK20" s="476">
        <v>0</v>
      </c>
      <c r="JL20" s="476">
        <v>0</v>
      </c>
      <c r="JM20" s="476">
        <v>0</v>
      </c>
      <c r="JN20" s="476">
        <v>32469</v>
      </c>
      <c r="JO20" s="476">
        <v>118.572</v>
      </c>
      <c r="JP20" s="476">
        <v>56.383000000000003</v>
      </c>
      <c r="JQ20" s="476">
        <v>25.39</v>
      </c>
      <c r="JR20" s="476">
        <v>947177</v>
      </c>
      <c r="JS20" s="476">
        <v>524100</v>
      </c>
      <c r="JT20" s="476">
        <v>271042</v>
      </c>
      <c r="JU20" s="476">
        <v>82357</v>
      </c>
      <c r="JV20" s="476">
        <v>0</v>
      </c>
      <c r="JW20" s="476">
        <v>0</v>
      </c>
      <c r="JX20" s="476">
        <v>0</v>
      </c>
      <c r="JY20" s="476">
        <v>0</v>
      </c>
      <c r="JZ20" s="476">
        <v>0</v>
      </c>
      <c r="KA20" s="476">
        <v>0</v>
      </c>
      <c r="KB20" s="476">
        <v>0</v>
      </c>
      <c r="KC20" s="476">
        <v>0</v>
      </c>
      <c r="KD20" s="476">
        <v>82357</v>
      </c>
      <c r="KE20" s="476">
        <v>7262</v>
      </c>
      <c r="KF20" s="476">
        <v>0</v>
      </c>
      <c r="KG20" s="476">
        <v>0</v>
      </c>
      <c r="KH20" s="476">
        <v>39843600</v>
      </c>
      <c r="KI20" s="476">
        <v>0</v>
      </c>
      <c r="KJ20" s="476">
        <v>81</v>
      </c>
      <c r="KK20" s="476">
        <v>23</v>
      </c>
      <c r="KL20" s="476">
        <v>49895</v>
      </c>
      <c r="KM20" s="476">
        <v>14168</v>
      </c>
      <c r="KN20" s="476">
        <v>0</v>
      </c>
    </row>
    <row r="21" spans="1:300" x14ac:dyDescent="0.25">
      <c r="A21" s="476">
        <v>40976</v>
      </c>
      <c r="B21" s="476">
        <v>15828</v>
      </c>
      <c r="C21" s="476">
        <v>9</v>
      </c>
      <c r="D21" s="476">
        <v>2024</v>
      </c>
      <c r="E21" s="476">
        <v>6160</v>
      </c>
      <c r="F21" s="476">
        <v>0</v>
      </c>
      <c r="G21" s="476">
        <v>4345.5280000000002</v>
      </c>
      <c r="H21" s="476">
        <v>3893.7850000000003</v>
      </c>
      <c r="I21" s="476">
        <v>3893.7850000000003</v>
      </c>
      <c r="J21" s="476">
        <v>4345.5280000000002</v>
      </c>
      <c r="K21" s="476">
        <v>0</v>
      </c>
      <c r="L21" s="476">
        <v>6160</v>
      </c>
      <c r="M21" s="476">
        <v>0</v>
      </c>
      <c r="N21" s="476">
        <v>0</v>
      </c>
      <c r="O21" s="476">
        <v>0</v>
      </c>
      <c r="P21" s="476">
        <v>4353.6880000000001</v>
      </c>
      <c r="Q21" s="476">
        <v>0</v>
      </c>
      <c r="R21" s="476">
        <v>1806275</v>
      </c>
      <c r="S21" s="476">
        <v>414.88400000000001</v>
      </c>
      <c r="T21" s="476">
        <v>0</v>
      </c>
      <c r="U21" s="476">
        <v>0</v>
      </c>
      <c r="V21" s="476">
        <v>1768.9660000000001</v>
      </c>
      <c r="W21" s="476">
        <v>1089658</v>
      </c>
      <c r="X21" s="476">
        <v>1089658</v>
      </c>
      <c r="Y21" s="476">
        <v>0</v>
      </c>
      <c r="Z21" s="476">
        <v>0</v>
      </c>
      <c r="AA21" s="476">
        <v>0</v>
      </c>
      <c r="AB21" s="476">
        <v>0</v>
      </c>
      <c r="AC21" s="476">
        <v>0</v>
      </c>
      <c r="AD21" s="476" t="s">
        <v>314</v>
      </c>
      <c r="AE21" s="476">
        <v>0</v>
      </c>
      <c r="AF21" s="476">
        <v>0</v>
      </c>
      <c r="AG21" s="476">
        <v>0</v>
      </c>
      <c r="AH21" s="476">
        <v>0</v>
      </c>
      <c r="AI21" s="476">
        <v>0</v>
      </c>
      <c r="AJ21" s="476">
        <v>6160</v>
      </c>
      <c r="AK21" s="476" t="s">
        <v>651</v>
      </c>
      <c r="AL21" s="476" t="s">
        <v>762</v>
      </c>
      <c r="AM21" s="476">
        <v>0</v>
      </c>
      <c r="AN21" s="476">
        <v>0</v>
      </c>
      <c r="AO21" s="476">
        <v>0</v>
      </c>
      <c r="AP21" s="476">
        <v>0</v>
      </c>
      <c r="AQ21" s="476">
        <v>0</v>
      </c>
      <c r="AR21" s="476">
        <v>0</v>
      </c>
      <c r="AS21" s="476">
        <v>0</v>
      </c>
      <c r="AT21" s="476">
        <v>0</v>
      </c>
      <c r="AU21" s="476">
        <v>0</v>
      </c>
      <c r="AV21" s="476">
        <v>0</v>
      </c>
      <c r="AW21" s="476">
        <v>49703341</v>
      </c>
      <c r="AX21" s="476">
        <v>48981154</v>
      </c>
      <c r="AY21" s="476">
        <v>0</v>
      </c>
      <c r="AZ21" s="476">
        <v>1806275</v>
      </c>
      <c r="BA21" s="476">
        <v>101.917</v>
      </c>
      <c r="BB21" s="476">
        <v>92495</v>
      </c>
      <c r="BC21" s="476">
        <v>91905</v>
      </c>
      <c r="BD21" s="476">
        <v>217</v>
      </c>
      <c r="BE21" s="476">
        <v>590</v>
      </c>
      <c r="BF21" s="476">
        <v>44114722</v>
      </c>
      <c r="BG21" s="476">
        <v>0</v>
      </c>
      <c r="BH21" s="476">
        <v>0</v>
      </c>
      <c r="BI21" s="476">
        <v>0</v>
      </c>
      <c r="BJ21" s="476">
        <v>12</v>
      </c>
      <c r="BK21" s="476">
        <v>0</v>
      </c>
      <c r="BL21" s="476">
        <v>0</v>
      </c>
      <c r="BM21" s="476">
        <v>0</v>
      </c>
      <c r="BN21" s="476">
        <v>0</v>
      </c>
      <c r="BO21" s="476">
        <v>0</v>
      </c>
      <c r="BP21" s="476">
        <v>0</v>
      </c>
      <c r="BQ21" s="476">
        <v>170</v>
      </c>
      <c r="BR21" s="476">
        <v>0</v>
      </c>
      <c r="BS21" s="476">
        <v>0</v>
      </c>
      <c r="BT21" s="476">
        <v>0</v>
      </c>
      <c r="BU21" s="476">
        <v>0</v>
      </c>
      <c r="BV21" s="476">
        <v>0</v>
      </c>
      <c r="BW21" s="476">
        <v>0</v>
      </c>
      <c r="BX21" s="476">
        <v>0</v>
      </c>
      <c r="BY21" s="476">
        <v>0</v>
      </c>
      <c r="BZ21" s="476">
        <v>0</v>
      </c>
      <c r="CA21" s="476">
        <v>0</v>
      </c>
      <c r="CB21" s="476">
        <v>0</v>
      </c>
      <c r="CC21" s="476">
        <v>0</v>
      </c>
      <c r="CD21" s="476">
        <v>0</v>
      </c>
      <c r="CE21" s="476">
        <v>0</v>
      </c>
      <c r="CF21" s="476">
        <v>0</v>
      </c>
      <c r="CG21" s="476">
        <v>0</v>
      </c>
      <c r="CH21" s="476">
        <v>733635</v>
      </c>
      <c r="CI21" s="476">
        <v>0</v>
      </c>
      <c r="CJ21" s="476">
        <v>4</v>
      </c>
      <c r="CK21" s="476">
        <v>0</v>
      </c>
      <c r="CL21" s="476">
        <v>0</v>
      </c>
      <c r="CM21" s="476">
        <v>0</v>
      </c>
      <c r="CN21" s="476">
        <v>0</v>
      </c>
      <c r="CO21" s="476">
        <v>1</v>
      </c>
      <c r="CP21" s="476">
        <v>0</v>
      </c>
      <c r="CQ21" s="476">
        <v>0</v>
      </c>
      <c r="CR21" s="476">
        <v>4345.5280000000002</v>
      </c>
      <c r="CS21" s="476">
        <v>0</v>
      </c>
      <c r="CT21" s="476">
        <v>0</v>
      </c>
      <c r="CU21" s="476">
        <v>0</v>
      </c>
      <c r="CV21" s="476">
        <v>0</v>
      </c>
      <c r="CW21" s="476">
        <v>0</v>
      </c>
      <c r="CX21" s="476">
        <v>0</v>
      </c>
      <c r="CY21" s="476">
        <v>0</v>
      </c>
      <c r="CZ21" s="476">
        <v>0</v>
      </c>
      <c r="DA21" s="476">
        <v>0</v>
      </c>
      <c r="DB21" s="476">
        <v>23958130</v>
      </c>
      <c r="DC21" s="476">
        <v>0</v>
      </c>
      <c r="DD21" s="476">
        <v>0</v>
      </c>
      <c r="DE21" s="476">
        <v>6359671</v>
      </c>
      <c r="DF21" s="476">
        <v>6359671</v>
      </c>
      <c r="DG21" s="476">
        <v>1032.4380000000001</v>
      </c>
      <c r="DH21" s="476">
        <v>0</v>
      </c>
      <c r="DI21" s="476">
        <v>0</v>
      </c>
      <c r="DJ21" s="476">
        <v>0</v>
      </c>
      <c r="DK21" s="476">
        <v>0</v>
      </c>
      <c r="DL21" s="476">
        <v>0</v>
      </c>
      <c r="DM21" s="476">
        <v>3185478</v>
      </c>
      <c r="DN21" s="476">
        <v>10859</v>
      </c>
      <c r="DO21" s="476">
        <v>0</v>
      </c>
      <c r="DP21" s="476">
        <v>0</v>
      </c>
      <c r="DQ21" s="476">
        <v>0</v>
      </c>
      <c r="DR21" s="476">
        <v>0</v>
      </c>
      <c r="DS21" s="476">
        <v>0</v>
      </c>
      <c r="DT21" s="476">
        <v>0</v>
      </c>
      <c r="DU21" s="476">
        <v>0</v>
      </c>
      <c r="DV21" s="476">
        <v>0</v>
      </c>
      <c r="DW21" s="476">
        <v>0</v>
      </c>
      <c r="DX21" s="476">
        <v>0</v>
      </c>
      <c r="DY21" s="476">
        <v>0</v>
      </c>
      <c r="DZ21" s="476">
        <v>0</v>
      </c>
      <c r="EA21" s="476">
        <v>3.6000000000000004E-2</v>
      </c>
      <c r="EB21" s="476">
        <v>0</v>
      </c>
      <c r="EC21" s="476">
        <v>65.162999999999997</v>
      </c>
      <c r="ED21" s="476">
        <v>461604</v>
      </c>
      <c r="EE21" s="476">
        <v>0</v>
      </c>
      <c r="EF21" s="476">
        <v>0</v>
      </c>
      <c r="EG21" s="476">
        <v>0</v>
      </c>
      <c r="EH21" s="476">
        <v>2707692</v>
      </c>
      <c r="EI21" s="476">
        <v>0</v>
      </c>
      <c r="EJ21" s="476">
        <v>0</v>
      </c>
      <c r="EK21" s="476">
        <v>105.229</v>
      </c>
      <c r="EL21" s="476">
        <v>0</v>
      </c>
      <c r="EM21" s="476">
        <v>26.689</v>
      </c>
      <c r="EN21" s="476">
        <v>8.3510000000000009</v>
      </c>
      <c r="EO21" s="476">
        <v>0</v>
      </c>
      <c r="EP21" s="476">
        <v>0</v>
      </c>
      <c r="EQ21" s="476">
        <v>141.12300000000002</v>
      </c>
      <c r="ER21" s="476">
        <v>0.81800000000000006</v>
      </c>
      <c r="ES21" s="476">
        <v>439.57</v>
      </c>
      <c r="ET21" s="476">
        <v>0</v>
      </c>
      <c r="EU21" s="476">
        <v>0</v>
      </c>
      <c r="EV21" s="476">
        <v>0</v>
      </c>
      <c r="EW21" s="476">
        <v>0</v>
      </c>
      <c r="EX21" s="476">
        <v>0</v>
      </c>
      <c r="EY21" s="476">
        <v>0</v>
      </c>
      <c r="EZ21" s="476">
        <v>42333864</v>
      </c>
      <c r="FA21" s="476">
        <v>0</v>
      </c>
      <c r="FB21" s="476">
        <v>44128691</v>
      </c>
      <c r="FC21" s="476">
        <v>0</v>
      </c>
      <c r="FD21" s="476">
        <v>0</v>
      </c>
      <c r="FE21" s="476">
        <v>5696014</v>
      </c>
      <c r="FF21" s="476">
        <v>951276</v>
      </c>
      <c r="FG21" s="476">
        <v>6.3017999999999991E-2</v>
      </c>
      <c r="FH21" s="476">
        <v>2.6953999999999999E-2</v>
      </c>
      <c r="FI21" s="476">
        <v>0</v>
      </c>
      <c r="FJ21" s="476">
        <v>0</v>
      </c>
      <c r="FK21" s="476">
        <v>7161.643</v>
      </c>
      <c r="FL21" s="476">
        <v>51509616</v>
      </c>
      <c r="FM21" s="476">
        <v>0</v>
      </c>
      <c r="FN21" s="476">
        <v>0</v>
      </c>
      <c r="FO21" s="476">
        <v>0</v>
      </c>
      <c r="FP21" s="476">
        <v>0</v>
      </c>
      <c r="FQ21" s="476">
        <v>0</v>
      </c>
      <c r="FR21" s="476">
        <v>0</v>
      </c>
      <c r="FS21" s="476">
        <v>0</v>
      </c>
      <c r="FT21" s="476">
        <v>0</v>
      </c>
      <c r="FU21" s="476">
        <v>1</v>
      </c>
      <c r="FV21" s="476">
        <v>0</v>
      </c>
      <c r="FW21" s="476">
        <v>0</v>
      </c>
      <c r="FX21" s="476">
        <v>0</v>
      </c>
      <c r="FY21" s="476">
        <v>0</v>
      </c>
      <c r="FZ21" s="476">
        <v>0</v>
      </c>
      <c r="GA21" s="476">
        <v>0</v>
      </c>
      <c r="GB21" s="476">
        <v>3100740</v>
      </c>
      <c r="GC21" s="476">
        <v>3100740</v>
      </c>
      <c r="GD21" s="476">
        <v>310.62</v>
      </c>
      <c r="GE21" s="476">
        <v>0</v>
      </c>
      <c r="GF21" s="476">
        <v>0</v>
      </c>
      <c r="GG21" s="476">
        <v>0</v>
      </c>
      <c r="GH21" s="476">
        <v>0</v>
      </c>
      <c r="GI21" s="476">
        <v>0</v>
      </c>
      <c r="GJ21" s="476">
        <v>0</v>
      </c>
      <c r="GK21" s="476">
        <v>0</v>
      </c>
      <c r="GL21" s="476">
        <v>0</v>
      </c>
      <c r="GM21" s="476">
        <v>0</v>
      </c>
      <c r="GN21" s="476">
        <v>0</v>
      </c>
      <c r="GO21" s="476">
        <v>0</v>
      </c>
      <c r="GP21" s="476">
        <v>0</v>
      </c>
      <c r="GQ21" s="476">
        <v>48969706</v>
      </c>
      <c r="GR21" s="476">
        <v>0</v>
      </c>
      <c r="GS21" s="476">
        <v>0</v>
      </c>
      <c r="GT21" s="476">
        <v>0</v>
      </c>
      <c r="GU21" s="476">
        <v>0</v>
      </c>
      <c r="GV21" s="476">
        <v>0</v>
      </c>
      <c r="GW21" s="476">
        <v>0</v>
      </c>
      <c r="GX21" s="476">
        <v>0</v>
      </c>
      <c r="GY21" s="476">
        <v>0</v>
      </c>
      <c r="GZ21" s="476">
        <v>0</v>
      </c>
      <c r="HA21" s="476">
        <v>0</v>
      </c>
      <c r="HB21" s="476">
        <v>323396213</v>
      </c>
      <c r="HC21" s="476">
        <v>4.2206E-2</v>
      </c>
      <c r="HD21" s="476">
        <v>733635</v>
      </c>
      <c r="HE21" s="476">
        <v>0</v>
      </c>
      <c r="HF21" s="476">
        <v>4290951</v>
      </c>
      <c r="HG21" s="476">
        <v>67758</v>
      </c>
      <c r="HH21" s="476">
        <v>835305</v>
      </c>
      <c r="HI21" s="476">
        <v>0</v>
      </c>
      <c r="HJ21" s="476">
        <v>43455</v>
      </c>
      <c r="HK21" s="476">
        <v>16585</v>
      </c>
      <c r="HL21" s="476">
        <v>8832</v>
      </c>
      <c r="HM21" s="476">
        <v>405000</v>
      </c>
      <c r="HN21" s="476">
        <v>675222</v>
      </c>
      <c r="HO21" s="476">
        <v>0</v>
      </c>
      <c r="HP21" s="476">
        <v>0</v>
      </c>
      <c r="HQ21" s="476">
        <v>0</v>
      </c>
      <c r="HR21" s="476">
        <v>0</v>
      </c>
      <c r="HS21" s="476">
        <v>42322416</v>
      </c>
      <c r="HT21" s="476">
        <v>951276</v>
      </c>
      <c r="HU21" s="476">
        <v>0</v>
      </c>
      <c r="HV21" s="476">
        <v>0</v>
      </c>
      <c r="HW21" s="476">
        <v>0</v>
      </c>
      <c r="HX21" s="476">
        <v>575</v>
      </c>
      <c r="HY21" s="476">
        <v>676</v>
      </c>
      <c r="HZ21" s="476">
        <v>756</v>
      </c>
      <c r="IA21" s="476">
        <v>907</v>
      </c>
      <c r="IB21" s="476">
        <v>1147</v>
      </c>
      <c r="IC21" s="476">
        <v>4061</v>
      </c>
      <c r="ID21" s="476">
        <v>0</v>
      </c>
      <c r="IE21" s="476">
        <v>0</v>
      </c>
      <c r="IF21" s="476">
        <v>0</v>
      </c>
      <c r="IG21" s="476">
        <v>110</v>
      </c>
      <c r="IH21" s="476">
        <v>1356.046</v>
      </c>
      <c r="II21" s="476">
        <v>0</v>
      </c>
      <c r="IJ21" s="476">
        <v>1768.9660000000001</v>
      </c>
      <c r="IK21" s="476">
        <v>0</v>
      </c>
      <c r="IL21" s="476">
        <v>71</v>
      </c>
      <c r="IM21" s="476">
        <v>16</v>
      </c>
      <c r="IN21" s="476">
        <v>1</v>
      </c>
      <c r="IO21" s="476">
        <v>88</v>
      </c>
      <c r="IP21" s="476">
        <v>0</v>
      </c>
      <c r="IQ21" s="476">
        <v>1768.9660000000001</v>
      </c>
      <c r="IR21" s="476">
        <v>1089658</v>
      </c>
      <c r="IS21" s="476">
        <v>0</v>
      </c>
      <c r="IT21" s="476">
        <v>355000</v>
      </c>
      <c r="IU21" s="476">
        <v>48000</v>
      </c>
      <c r="IV21" s="476">
        <v>2000</v>
      </c>
      <c r="IW21" s="476">
        <v>6160</v>
      </c>
      <c r="IX21" s="476">
        <v>0</v>
      </c>
      <c r="IY21" s="476">
        <v>0</v>
      </c>
      <c r="IZ21" s="476">
        <v>0</v>
      </c>
      <c r="JA21" s="476">
        <v>0</v>
      </c>
      <c r="JB21" s="476">
        <v>5</v>
      </c>
      <c r="JC21" s="476">
        <v>109988</v>
      </c>
      <c r="JD21" s="476">
        <v>32</v>
      </c>
      <c r="JE21" s="476">
        <v>391271</v>
      </c>
      <c r="JF21" s="476">
        <v>28</v>
      </c>
      <c r="JG21" s="476">
        <v>173963</v>
      </c>
      <c r="JH21" s="476">
        <v>0</v>
      </c>
      <c r="JI21" s="476">
        <v>0</v>
      </c>
      <c r="JJ21" s="476">
        <v>0</v>
      </c>
      <c r="JK21" s="476">
        <v>0</v>
      </c>
      <c r="JL21" s="476">
        <v>0</v>
      </c>
      <c r="JM21" s="476">
        <v>0</v>
      </c>
      <c r="JN21" s="476">
        <v>32469</v>
      </c>
      <c r="JO21" s="476">
        <v>30.425000000000001</v>
      </c>
      <c r="JP21" s="476">
        <v>96.698000000000008</v>
      </c>
      <c r="JQ21" s="476">
        <v>183.49700000000001</v>
      </c>
      <c r="JR21" s="476">
        <v>243041</v>
      </c>
      <c r="JS21" s="476">
        <v>898843</v>
      </c>
      <c r="JT21" s="476">
        <v>1958856</v>
      </c>
      <c r="JU21" s="476">
        <v>93568</v>
      </c>
      <c r="JV21" s="476">
        <v>0</v>
      </c>
      <c r="JW21" s="476">
        <v>0</v>
      </c>
      <c r="JX21" s="476">
        <v>0</v>
      </c>
      <c r="JY21" s="476">
        <v>0</v>
      </c>
      <c r="JZ21" s="476">
        <v>0</v>
      </c>
      <c r="KA21" s="476">
        <v>0</v>
      </c>
      <c r="KB21" s="476">
        <v>0</v>
      </c>
      <c r="KC21" s="476">
        <v>0</v>
      </c>
      <c r="KD21" s="476">
        <v>93568</v>
      </c>
      <c r="KE21" s="476">
        <v>7262</v>
      </c>
      <c r="KF21" s="476">
        <v>0</v>
      </c>
      <c r="KG21" s="476">
        <v>0</v>
      </c>
      <c r="KH21" s="476">
        <v>48969706</v>
      </c>
      <c r="KI21" s="476">
        <v>0</v>
      </c>
      <c r="KJ21" s="476">
        <v>47</v>
      </c>
      <c r="KK21" s="476">
        <v>63</v>
      </c>
      <c r="KL21" s="476">
        <v>28951</v>
      </c>
      <c r="KM21" s="476">
        <v>38807</v>
      </c>
      <c r="KN21" s="476">
        <v>0</v>
      </c>
    </row>
    <row r="22" spans="1:300" x14ac:dyDescent="0.25">
      <c r="A22" s="476">
        <v>40976</v>
      </c>
      <c r="B22" s="476">
        <v>15830</v>
      </c>
      <c r="C22" s="476">
        <v>9</v>
      </c>
      <c r="D22" s="476">
        <v>2024</v>
      </c>
      <c r="E22" s="476">
        <v>6160</v>
      </c>
      <c r="F22" s="476">
        <v>0</v>
      </c>
      <c r="G22" s="476">
        <v>2745.3830000000003</v>
      </c>
      <c r="H22" s="476">
        <v>2448.8180000000002</v>
      </c>
      <c r="I22" s="476">
        <v>2448.8180000000002</v>
      </c>
      <c r="J22" s="476">
        <v>2745.3830000000003</v>
      </c>
      <c r="K22" s="476">
        <v>0</v>
      </c>
      <c r="L22" s="476">
        <v>6160</v>
      </c>
      <c r="M22" s="476">
        <v>0</v>
      </c>
      <c r="N22" s="476">
        <v>0</v>
      </c>
      <c r="O22" s="476">
        <v>0</v>
      </c>
      <c r="P22" s="476">
        <v>2745.3830000000003</v>
      </c>
      <c r="Q22" s="476">
        <v>0</v>
      </c>
      <c r="R22" s="476">
        <v>1139015</v>
      </c>
      <c r="S22" s="476">
        <v>414.88400000000001</v>
      </c>
      <c r="T22" s="476">
        <v>0</v>
      </c>
      <c r="U22" s="476">
        <v>0</v>
      </c>
      <c r="V22" s="476">
        <v>200.50800000000001</v>
      </c>
      <c r="W22" s="476">
        <v>130443</v>
      </c>
      <c r="X22" s="476">
        <v>130443</v>
      </c>
      <c r="Y22" s="476">
        <v>0</v>
      </c>
      <c r="Z22" s="476">
        <v>0</v>
      </c>
      <c r="AA22" s="476">
        <v>0</v>
      </c>
      <c r="AB22" s="476">
        <v>0</v>
      </c>
      <c r="AC22" s="476">
        <v>0</v>
      </c>
      <c r="AD22" s="476" t="s">
        <v>314</v>
      </c>
      <c r="AE22" s="476">
        <v>0</v>
      </c>
      <c r="AF22" s="476">
        <v>0</v>
      </c>
      <c r="AG22" s="476">
        <v>0</v>
      </c>
      <c r="AH22" s="476">
        <v>0</v>
      </c>
      <c r="AI22" s="476">
        <v>0</v>
      </c>
      <c r="AJ22" s="476">
        <v>6160</v>
      </c>
      <c r="AK22" s="476" t="s">
        <v>651</v>
      </c>
      <c r="AL22" s="476" t="s">
        <v>1058</v>
      </c>
      <c r="AM22" s="476">
        <v>0</v>
      </c>
      <c r="AN22" s="476">
        <v>0</v>
      </c>
      <c r="AO22" s="476">
        <v>0</v>
      </c>
      <c r="AP22" s="476">
        <v>0</v>
      </c>
      <c r="AQ22" s="476">
        <v>0</v>
      </c>
      <c r="AR22" s="476">
        <v>0</v>
      </c>
      <c r="AS22" s="476">
        <v>0</v>
      </c>
      <c r="AT22" s="476">
        <v>0</v>
      </c>
      <c r="AU22" s="476">
        <v>0</v>
      </c>
      <c r="AV22" s="476">
        <v>0</v>
      </c>
      <c r="AW22" s="476">
        <v>30234362</v>
      </c>
      <c r="AX22" s="476">
        <v>29781577</v>
      </c>
      <c r="AY22" s="476">
        <v>0</v>
      </c>
      <c r="AZ22" s="476">
        <v>1139015</v>
      </c>
      <c r="BA22" s="476">
        <v>0</v>
      </c>
      <c r="BB22" s="476">
        <v>51150</v>
      </c>
      <c r="BC22" s="476">
        <v>50824</v>
      </c>
      <c r="BD22" s="476">
        <v>120</v>
      </c>
      <c r="BE22" s="476">
        <v>326</v>
      </c>
      <c r="BF22" s="476">
        <v>26862686</v>
      </c>
      <c r="BG22" s="476">
        <v>0</v>
      </c>
      <c r="BH22" s="476">
        <v>0</v>
      </c>
      <c r="BI22" s="476">
        <v>0</v>
      </c>
      <c r="BJ22" s="476">
        <v>12</v>
      </c>
      <c r="BK22" s="476">
        <v>0</v>
      </c>
      <c r="BL22" s="476">
        <v>0</v>
      </c>
      <c r="BM22" s="476">
        <v>0</v>
      </c>
      <c r="BN22" s="476">
        <v>0</v>
      </c>
      <c r="BO22" s="476">
        <v>0</v>
      </c>
      <c r="BP22" s="476">
        <v>0</v>
      </c>
      <c r="BQ22" s="476">
        <v>393</v>
      </c>
      <c r="BR22" s="476">
        <v>0</v>
      </c>
      <c r="BS22" s="476">
        <v>0</v>
      </c>
      <c r="BT22" s="476">
        <v>0</v>
      </c>
      <c r="BU22" s="476">
        <v>0</v>
      </c>
      <c r="BV22" s="476">
        <v>0</v>
      </c>
      <c r="BW22" s="476">
        <v>0</v>
      </c>
      <c r="BX22" s="476">
        <v>0</v>
      </c>
      <c r="BY22" s="476">
        <v>0</v>
      </c>
      <c r="BZ22" s="476">
        <v>0</v>
      </c>
      <c r="CA22" s="476">
        <v>0</v>
      </c>
      <c r="CB22" s="476">
        <v>0</v>
      </c>
      <c r="CC22" s="476">
        <v>0</v>
      </c>
      <c r="CD22" s="476">
        <v>0</v>
      </c>
      <c r="CE22" s="476">
        <v>0</v>
      </c>
      <c r="CF22" s="476">
        <v>0</v>
      </c>
      <c r="CG22" s="476">
        <v>0</v>
      </c>
      <c r="CH22" s="476">
        <v>463490</v>
      </c>
      <c r="CI22" s="476">
        <v>0</v>
      </c>
      <c r="CJ22" s="476">
        <v>4</v>
      </c>
      <c r="CK22" s="476">
        <v>0</v>
      </c>
      <c r="CL22" s="476">
        <v>0</v>
      </c>
      <c r="CM22" s="476">
        <v>0</v>
      </c>
      <c r="CN22" s="476">
        <v>0</v>
      </c>
      <c r="CO22" s="476">
        <v>1</v>
      </c>
      <c r="CP22" s="476">
        <v>0</v>
      </c>
      <c r="CQ22" s="476">
        <v>0</v>
      </c>
      <c r="CR22" s="476">
        <v>2745.3830000000003</v>
      </c>
      <c r="CS22" s="476">
        <v>0</v>
      </c>
      <c r="CT22" s="476">
        <v>0</v>
      </c>
      <c r="CU22" s="476">
        <v>0</v>
      </c>
      <c r="CV22" s="476">
        <v>0</v>
      </c>
      <c r="CW22" s="476">
        <v>0</v>
      </c>
      <c r="CX22" s="476">
        <v>0</v>
      </c>
      <c r="CY22" s="476">
        <v>0</v>
      </c>
      <c r="CZ22" s="476">
        <v>0</v>
      </c>
      <c r="DA22" s="476">
        <v>0</v>
      </c>
      <c r="DB22" s="476">
        <v>15004686</v>
      </c>
      <c r="DC22" s="476">
        <v>0</v>
      </c>
      <c r="DD22" s="476">
        <v>0</v>
      </c>
      <c r="DE22" s="476">
        <v>3641940</v>
      </c>
      <c r="DF22" s="476">
        <v>3641940</v>
      </c>
      <c r="DG22" s="476">
        <v>591.23800000000006</v>
      </c>
      <c r="DH22" s="476">
        <v>0</v>
      </c>
      <c r="DI22" s="476">
        <v>0</v>
      </c>
      <c r="DJ22" s="476">
        <v>0</v>
      </c>
      <c r="DK22" s="476">
        <v>0</v>
      </c>
      <c r="DL22" s="476">
        <v>0</v>
      </c>
      <c r="DM22" s="476">
        <v>3098484</v>
      </c>
      <c r="DN22" s="476">
        <v>10379</v>
      </c>
      <c r="DO22" s="476">
        <v>0</v>
      </c>
      <c r="DP22" s="476">
        <v>0</v>
      </c>
      <c r="DQ22" s="476">
        <v>0</v>
      </c>
      <c r="DR22" s="476">
        <v>0</v>
      </c>
      <c r="DS22" s="476">
        <v>0</v>
      </c>
      <c r="DT22" s="476">
        <v>0</v>
      </c>
      <c r="DU22" s="476">
        <v>0</v>
      </c>
      <c r="DV22" s="476">
        <v>0</v>
      </c>
      <c r="DW22" s="476">
        <v>0</v>
      </c>
      <c r="DX22" s="476">
        <v>0</v>
      </c>
      <c r="DY22" s="476">
        <v>0</v>
      </c>
      <c r="DZ22" s="476">
        <v>0</v>
      </c>
      <c r="EA22" s="476">
        <v>0.111</v>
      </c>
      <c r="EB22" s="476">
        <v>0</v>
      </c>
      <c r="EC22" s="476">
        <v>133.56</v>
      </c>
      <c r="ED22" s="476">
        <v>946118</v>
      </c>
      <c r="EE22" s="476">
        <v>0</v>
      </c>
      <c r="EF22" s="476">
        <v>0</v>
      </c>
      <c r="EG22" s="476">
        <v>0</v>
      </c>
      <c r="EH22" s="476">
        <v>2083055</v>
      </c>
      <c r="EI22" s="476">
        <v>0</v>
      </c>
      <c r="EJ22" s="476">
        <v>0</v>
      </c>
      <c r="EK22" s="476">
        <v>76.203000000000003</v>
      </c>
      <c r="EL22" s="476">
        <v>0.54100000000000004</v>
      </c>
      <c r="EM22" s="476">
        <v>22.754000000000001</v>
      </c>
      <c r="EN22" s="476">
        <v>8.1479999999999997</v>
      </c>
      <c r="EO22" s="476">
        <v>0</v>
      </c>
      <c r="EP22" s="476">
        <v>0</v>
      </c>
      <c r="EQ22" s="476">
        <v>107.21600000000001</v>
      </c>
      <c r="ER22" s="476">
        <v>0</v>
      </c>
      <c r="ES22" s="476">
        <v>338.166</v>
      </c>
      <c r="ET22" s="476">
        <v>0</v>
      </c>
      <c r="EU22" s="476">
        <v>0</v>
      </c>
      <c r="EV22" s="476">
        <v>0</v>
      </c>
      <c r="EW22" s="476">
        <v>0</v>
      </c>
      <c r="EX22" s="476">
        <v>0</v>
      </c>
      <c r="EY22" s="476">
        <v>0</v>
      </c>
      <c r="EZ22" s="476">
        <v>25733856</v>
      </c>
      <c r="FA22" s="476">
        <v>0</v>
      </c>
      <c r="FB22" s="476">
        <v>26862166</v>
      </c>
      <c r="FC22" s="476">
        <v>0</v>
      </c>
      <c r="FD22" s="476">
        <v>0</v>
      </c>
      <c r="FE22" s="476">
        <v>3468462</v>
      </c>
      <c r="FF22" s="476">
        <v>579259</v>
      </c>
      <c r="FG22" s="476">
        <v>6.3017999999999991E-2</v>
      </c>
      <c r="FH22" s="476">
        <v>2.6953999999999999E-2</v>
      </c>
      <c r="FI22" s="476">
        <v>0</v>
      </c>
      <c r="FJ22" s="476">
        <v>0</v>
      </c>
      <c r="FK22" s="476">
        <v>4360.9250000000002</v>
      </c>
      <c r="FL22" s="476">
        <v>31373377</v>
      </c>
      <c r="FM22" s="476">
        <v>0</v>
      </c>
      <c r="FN22" s="476">
        <v>0</v>
      </c>
      <c r="FO22" s="476">
        <v>0</v>
      </c>
      <c r="FP22" s="476">
        <v>0</v>
      </c>
      <c r="FQ22" s="476">
        <v>0</v>
      </c>
      <c r="FR22" s="476">
        <v>0</v>
      </c>
      <c r="FS22" s="476">
        <v>0</v>
      </c>
      <c r="FT22" s="476">
        <v>0</v>
      </c>
      <c r="FU22" s="476">
        <v>0</v>
      </c>
      <c r="FV22" s="476">
        <v>0</v>
      </c>
      <c r="FW22" s="476">
        <v>0</v>
      </c>
      <c r="FX22" s="476">
        <v>0</v>
      </c>
      <c r="FY22" s="476">
        <v>0</v>
      </c>
      <c r="FZ22" s="476">
        <v>0</v>
      </c>
      <c r="GA22" s="476">
        <v>0</v>
      </c>
      <c r="GB22" s="476">
        <v>1688638</v>
      </c>
      <c r="GC22" s="476">
        <v>1688638</v>
      </c>
      <c r="GD22" s="476">
        <v>189.34900000000002</v>
      </c>
      <c r="GE22" s="476">
        <v>0</v>
      </c>
      <c r="GF22" s="476">
        <v>0</v>
      </c>
      <c r="GG22" s="476">
        <v>0</v>
      </c>
      <c r="GH22" s="476">
        <v>0</v>
      </c>
      <c r="GI22" s="476">
        <v>0</v>
      </c>
      <c r="GJ22" s="476">
        <v>0</v>
      </c>
      <c r="GK22" s="476">
        <v>0</v>
      </c>
      <c r="GL22" s="476">
        <v>0</v>
      </c>
      <c r="GM22" s="476">
        <v>0</v>
      </c>
      <c r="GN22" s="476">
        <v>0</v>
      </c>
      <c r="GO22" s="476">
        <v>0</v>
      </c>
      <c r="GP22" s="476">
        <v>0</v>
      </c>
      <c r="GQ22" s="476">
        <v>29770872</v>
      </c>
      <c r="GR22" s="476">
        <v>0</v>
      </c>
      <c r="GS22" s="476">
        <v>0</v>
      </c>
      <c r="GT22" s="476">
        <v>0</v>
      </c>
      <c r="GU22" s="476">
        <v>0</v>
      </c>
      <c r="GV22" s="476">
        <v>0</v>
      </c>
      <c r="GW22" s="476">
        <v>0</v>
      </c>
      <c r="GX22" s="476">
        <v>0</v>
      </c>
      <c r="GY22" s="476">
        <v>0</v>
      </c>
      <c r="GZ22" s="476">
        <v>0</v>
      </c>
      <c r="HA22" s="476">
        <v>0</v>
      </c>
      <c r="HB22" s="476">
        <v>323396213</v>
      </c>
      <c r="HC22" s="476">
        <v>4.2206E-2</v>
      </c>
      <c r="HD22" s="476">
        <v>463490</v>
      </c>
      <c r="HE22" s="476">
        <v>0</v>
      </c>
      <c r="HF22" s="476">
        <v>2698597</v>
      </c>
      <c r="HG22" s="476">
        <v>16632</v>
      </c>
      <c r="HH22" s="476">
        <v>485283</v>
      </c>
      <c r="HI22" s="476">
        <v>0</v>
      </c>
      <c r="HJ22" s="476">
        <v>27454</v>
      </c>
      <c r="HK22" s="476">
        <v>7234</v>
      </c>
      <c r="HL22" s="476">
        <v>2951</v>
      </c>
      <c r="HM22" s="476">
        <v>9000</v>
      </c>
      <c r="HN22" s="476">
        <v>0</v>
      </c>
      <c r="HO22" s="476">
        <v>0</v>
      </c>
      <c r="HP22" s="476">
        <v>0</v>
      </c>
      <c r="HQ22" s="476">
        <v>0</v>
      </c>
      <c r="HR22" s="476">
        <v>0</v>
      </c>
      <c r="HS22" s="476">
        <v>25723151</v>
      </c>
      <c r="HT22" s="476">
        <v>579259</v>
      </c>
      <c r="HU22" s="476">
        <v>0</v>
      </c>
      <c r="HV22" s="476">
        <v>0</v>
      </c>
      <c r="HW22" s="476">
        <v>0</v>
      </c>
      <c r="HX22" s="476">
        <v>255</v>
      </c>
      <c r="HY22" s="476">
        <v>471</v>
      </c>
      <c r="HZ22" s="476">
        <v>511</v>
      </c>
      <c r="IA22" s="476">
        <v>616</v>
      </c>
      <c r="IB22" s="476">
        <v>482</v>
      </c>
      <c r="IC22" s="476">
        <v>2335</v>
      </c>
      <c r="ID22" s="476">
        <v>0</v>
      </c>
      <c r="IE22" s="476">
        <v>5.91</v>
      </c>
      <c r="IF22" s="476">
        <v>4.78</v>
      </c>
      <c r="IG22" s="476">
        <v>27</v>
      </c>
      <c r="IH22" s="476">
        <v>787.81500000000005</v>
      </c>
      <c r="II22" s="476">
        <v>0</v>
      </c>
      <c r="IJ22" s="476">
        <v>211.19800000000001</v>
      </c>
      <c r="IK22" s="476">
        <v>0</v>
      </c>
      <c r="IL22" s="476">
        <v>1</v>
      </c>
      <c r="IM22" s="476">
        <v>0</v>
      </c>
      <c r="IN22" s="476">
        <v>2</v>
      </c>
      <c r="IO22" s="476">
        <v>3</v>
      </c>
      <c r="IP22" s="476">
        <v>0</v>
      </c>
      <c r="IQ22" s="476">
        <v>200.50800000000001</v>
      </c>
      <c r="IR22" s="476">
        <v>123510</v>
      </c>
      <c r="IS22" s="476">
        <v>0</v>
      </c>
      <c r="IT22" s="476">
        <v>5000</v>
      </c>
      <c r="IU22" s="476">
        <v>0</v>
      </c>
      <c r="IV22" s="476">
        <v>4000</v>
      </c>
      <c r="IW22" s="476">
        <v>6160</v>
      </c>
      <c r="IX22" s="476">
        <v>5461</v>
      </c>
      <c r="IY22" s="476">
        <v>1472</v>
      </c>
      <c r="IZ22" s="476">
        <v>0</v>
      </c>
      <c r="JA22" s="476">
        <v>0</v>
      </c>
      <c r="JB22" s="476">
        <v>0</v>
      </c>
      <c r="JC22" s="476">
        <v>0</v>
      </c>
      <c r="JD22" s="476">
        <v>0</v>
      </c>
      <c r="JE22" s="476">
        <v>0</v>
      </c>
      <c r="JF22" s="476">
        <v>0</v>
      </c>
      <c r="JG22" s="476">
        <v>0</v>
      </c>
      <c r="JH22" s="476">
        <v>0</v>
      </c>
      <c r="JI22" s="476">
        <v>0</v>
      </c>
      <c r="JJ22" s="476">
        <v>0</v>
      </c>
      <c r="JK22" s="476">
        <v>0</v>
      </c>
      <c r="JL22" s="476">
        <v>0</v>
      </c>
      <c r="JM22" s="476">
        <v>0</v>
      </c>
      <c r="JN22" s="476">
        <v>32469</v>
      </c>
      <c r="JO22" s="476">
        <v>89.891000000000005</v>
      </c>
      <c r="JP22" s="476">
        <v>66.067000000000007</v>
      </c>
      <c r="JQ22" s="476">
        <v>33.390999999999998</v>
      </c>
      <c r="JR22" s="476">
        <v>718067</v>
      </c>
      <c r="JS22" s="476">
        <v>614117</v>
      </c>
      <c r="JT22" s="476">
        <v>356454</v>
      </c>
      <c r="JU22" s="476">
        <v>51743</v>
      </c>
      <c r="JV22" s="476">
        <v>0</v>
      </c>
      <c r="JW22" s="476">
        <v>0</v>
      </c>
      <c r="JX22" s="476">
        <v>0</v>
      </c>
      <c r="JY22" s="476">
        <v>0</v>
      </c>
      <c r="JZ22" s="476">
        <v>0</v>
      </c>
      <c r="KA22" s="476">
        <v>0</v>
      </c>
      <c r="KB22" s="476">
        <v>0</v>
      </c>
      <c r="KC22" s="476">
        <v>0</v>
      </c>
      <c r="KD22" s="476">
        <v>51743</v>
      </c>
      <c r="KE22" s="476">
        <v>7262</v>
      </c>
      <c r="KF22" s="476">
        <v>0</v>
      </c>
      <c r="KG22" s="476">
        <v>0</v>
      </c>
      <c r="KH22" s="476">
        <v>29770872</v>
      </c>
      <c r="KI22" s="476">
        <v>0</v>
      </c>
      <c r="KJ22" s="476">
        <v>16</v>
      </c>
      <c r="KK22" s="476">
        <v>11</v>
      </c>
      <c r="KL22" s="476">
        <v>9856</v>
      </c>
      <c r="KM22" s="476">
        <v>6776</v>
      </c>
      <c r="KN22" s="476">
        <v>0</v>
      </c>
    </row>
    <row r="23" spans="1:300" x14ac:dyDescent="0.25">
      <c r="A23" s="476">
        <v>40976</v>
      </c>
      <c r="B23" s="476">
        <v>15831</v>
      </c>
      <c r="C23" s="476">
        <v>9</v>
      </c>
      <c r="D23" s="476">
        <v>2024</v>
      </c>
      <c r="E23" s="476">
        <v>6160</v>
      </c>
      <c r="F23" s="476">
        <v>0</v>
      </c>
      <c r="G23" s="476">
        <v>5015.7449999999999</v>
      </c>
      <c r="H23" s="476">
        <v>4627.7910000000002</v>
      </c>
      <c r="I23" s="476">
        <v>4627.7910000000002</v>
      </c>
      <c r="J23" s="476">
        <v>5015.7449999999999</v>
      </c>
      <c r="K23" s="476">
        <v>0</v>
      </c>
      <c r="L23" s="476">
        <v>6160</v>
      </c>
      <c r="M23" s="476">
        <v>0</v>
      </c>
      <c r="N23" s="476">
        <v>0</v>
      </c>
      <c r="O23" s="476">
        <v>0</v>
      </c>
      <c r="P23" s="476">
        <v>5024.4080000000004</v>
      </c>
      <c r="Q23" s="476">
        <v>0</v>
      </c>
      <c r="R23" s="476">
        <v>2084546</v>
      </c>
      <c r="S23" s="476">
        <v>414.88400000000001</v>
      </c>
      <c r="T23" s="476">
        <v>0</v>
      </c>
      <c r="U23" s="476">
        <v>0</v>
      </c>
      <c r="V23" s="476">
        <v>780.43799999999999</v>
      </c>
      <c r="W23" s="476">
        <v>480739</v>
      </c>
      <c r="X23" s="476">
        <v>480739</v>
      </c>
      <c r="Y23" s="476">
        <v>0</v>
      </c>
      <c r="Z23" s="476">
        <v>0</v>
      </c>
      <c r="AA23" s="476">
        <v>0</v>
      </c>
      <c r="AB23" s="476">
        <v>0</v>
      </c>
      <c r="AC23" s="476">
        <v>0</v>
      </c>
      <c r="AD23" s="476" t="s">
        <v>314</v>
      </c>
      <c r="AE23" s="476">
        <v>0</v>
      </c>
      <c r="AF23" s="476">
        <v>0</v>
      </c>
      <c r="AG23" s="476">
        <v>0</v>
      </c>
      <c r="AH23" s="476">
        <v>0</v>
      </c>
      <c r="AI23" s="476">
        <v>0</v>
      </c>
      <c r="AJ23" s="476">
        <v>6160</v>
      </c>
      <c r="AK23" s="476" t="s">
        <v>651</v>
      </c>
      <c r="AL23" s="476" t="s">
        <v>316</v>
      </c>
      <c r="AM23" s="476">
        <v>0</v>
      </c>
      <c r="AN23" s="476">
        <v>0</v>
      </c>
      <c r="AO23" s="476">
        <v>0</v>
      </c>
      <c r="AP23" s="476">
        <v>0</v>
      </c>
      <c r="AQ23" s="476">
        <v>0</v>
      </c>
      <c r="AR23" s="476">
        <v>0</v>
      </c>
      <c r="AS23" s="476">
        <v>0</v>
      </c>
      <c r="AT23" s="476">
        <v>0</v>
      </c>
      <c r="AU23" s="476">
        <v>0</v>
      </c>
      <c r="AV23" s="476">
        <v>0</v>
      </c>
      <c r="AW23" s="476">
        <v>53248343</v>
      </c>
      <c r="AX23" s="476">
        <v>52417593</v>
      </c>
      <c r="AY23" s="476">
        <v>0</v>
      </c>
      <c r="AZ23" s="476">
        <v>2084546</v>
      </c>
      <c r="BA23" s="476">
        <v>70.917000000000002</v>
      </c>
      <c r="BB23" s="476">
        <v>106897</v>
      </c>
      <c r="BC23" s="476">
        <v>106216</v>
      </c>
      <c r="BD23" s="476">
        <v>250.78700000000001</v>
      </c>
      <c r="BE23" s="476">
        <v>681</v>
      </c>
      <c r="BF23" s="476">
        <v>47361613</v>
      </c>
      <c r="BG23" s="476">
        <v>0</v>
      </c>
      <c r="BH23" s="476">
        <v>0</v>
      </c>
      <c r="BI23" s="476">
        <v>0</v>
      </c>
      <c r="BJ23" s="476">
        <v>12</v>
      </c>
      <c r="BK23" s="476">
        <v>0</v>
      </c>
      <c r="BL23" s="476">
        <v>0</v>
      </c>
      <c r="BM23" s="476">
        <v>0</v>
      </c>
      <c r="BN23" s="476">
        <v>0</v>
      </c>
      <c r="BO23" s="476">
        <v>0</v>
      </c>
      <c r="BP23" s="476">
        <v>0</v>
      </c>
      <c r="BQ23" s="476">
        <v>57</v>
      </c>
      <c r="BR23" s="476">
        <v>0</v>
      </c>
      <c r="BS23" s="476">
        <v>0</v>
      </c>
      <c r="BT23" s="476">
        <v>0</v>
      </c>
      <c r="BU23" s="476">
        <v>0</v>
      </c>
      <c r="BV23" s="476">
        <v>0</v>
      </c>
      <c r="BW23" s="476">
        <v>0</v>
      </c>
      <c r="BX23" s="476">
        <v>0</v>
      </c>
      <c r="BY23" s="476">
        <v>0</v>
      </c>
      <c r="BZ23" s="476">
        <v>0</v>
      </c>
      <c r="CA23" s="476">
        <v>0</v>
      </c>
      <c r="CB23" s="476">
        <v>0</v>
      </c>
      <c r="CC23" s="476">
        <v>0</v>
      </c>
      <c r="CD23" s="476">
        <v>0</v>
      </c>
      <c r="CE23" s="476">
        <v>0</v>
      </c>
      <c r="CF23" s="476">
        <v>0</v>
      </c>
      <c r="CG23" s="476">
        <v>0</v>
      </c>
      <c r="CH23" s="476">
        <v>846784</v>
      </c>
      <c r="CI23" s="476">
        <v>0</v>
      </c>
      <c r="CJ23" s="476">
        <v>4</v>
      </c>
      <c r="CK23" s="476">
        <v>0</v>
      </c>
      <c r="CL23" s="476">
        <v>0</v>
      </c>
      <c r="CM23" s="476">
        <v>0</v>
      </c>
      <c r="CN23" s="476">
        <v>0</v>
      </c>
      <c r="CO23" s="476">
        <v>1</v>
      </c>
      <c r="CP23" s="476">
        <v>0</v>
      </c>
      <c r="CQ23" s="476">
        <v>0</v>
      </c>
      <c r="CR23" s="476">
        <v>5015.7449999999999</v>
      </c>
      <c r="CS23" s="476">
        <v>0</v>
      </c>
      <c r="CT23" s="476">
        <v>0</v>
      </c>
      <c r="CU23" s="476">
        <v>0</v>
      </c>
      <c r="CV23" s="476">
        <v>0</v>
      </c>
      <c r="CW23" s="476">
        <v>0</v>
      </c>
      <c r="CX23" s="476">
        <v>0</v>
      </c>
      <c r="CY23" s="476">
        <v>0</v>
      </c>
      <c r="CZ23" s="476">
        <v>0</v>
      </c>
      <c r="DA23" s="476">
        <v>0</v>
      </c>
      <c r="DB23" s="476">
        <v>28506545</v>
      </c>
      <c r="DC23" s="476">
        <v>0</v>
      </c>
      <c r="DD23" s="476">
        <v>0</v>
      </c>
      <c r="DE23" s="476">
        <v>5539562</v>
      </c>
      <c r="DF23" s="476">
        <v>5539562</v>
      </c>
      <c r="DG23" s="476">
        <v>899.30000000000007</v>
      </c>
      <c r="DH23" s="476">
        <v>0</v>
      </c>
      <c r="DI23" s="476">
        <v>0</v>
      </c>
      <c r="DJ23" s="476">
        <v>0</v>
      </c>
      <c r="DK23" s="476">
        <v>0</v>
      </c>
      <c r="DL23" s="476">
        <v>0</v>
      </c>
      <c r="DM23" s="476">
        <v>4465706</v>
      </c>
      <c r="DN23" s="476">
        <v>15353</v>
      </c>
      <c r="DO23" s="476">
        <v>0</v>
      </c>
      <c r="DP23" s="476">
        <v>0</v>
      </c>
      <c r="DQ23" s="476">
        <v>0</v>
      </c>
      <c r="DR23" s="476">
        <v>0</v>
      </c>
      <c r="DS23" s="476">
        <v>0</v>
      </c>
      <c r="DT23" s="476">
        <v>0</v>
      </c>
      <c r="DU23" s="476">
        <v>0</v>
      </c>
      <c r="DV23" s="476">
        <v>0</v>
      </c>
      <c r="DW23" s="476">
        <v>0</v>
      </c>
      <c r="DX23" s="476">
        <v>0</v>
      </c>
      <c r="DY23" s="476">
        <v>0</v>
      </c>
      <c r="DZ23" s="476">
        <v>0</v>
      </c>
      <c r="EA23" s="476">
        <v>7.0000000000000001E-3</v>
      </c>
      <c r="EB23" s="476">
        <v>0</v>
      </c>
      <c r="EC23" s="476">
        <v>127.08200000000001</v>
      </c>
      <c r="ED23" s="476">
        <v>900228</v>
      </c>
      <c r="EE23" s="476">
        <v>0</v>
      </c>
      <c r="EF23" s="476">
        <v>0</v>
      </c>
      <c r="EG23" s="476">
        <v>0</v>
      </c>
      <c r="EH23" s="476">
        <v>3580831</v>
      </c>
      <c r="EI23" s="476">
        <v>0</v>
      </c>
      <c r="EJ23" s="476">
        <v>0</v>
      </c>
      <c r="EK23" s="476">
        <v>147.63200000000001</v>
      </c>
      <c r="EL23" s="476">
        <v>0</v>
      </c>
      <c r="EM23" s="476">
        <v>24.082000000000001</v>
      </c>
      <c r="EN23" s="476">
        <v>13.228</v>
      </c>
      <c r="EO23" s="476">
        <v>0</v>
      </c>
      <c r="EP23" s="476">
        <v>0</v>
      </c>
      <c r="EQ23" s="476">
        <v>184.94900000000001</v>
      </c>
      <c r="ER23" s="476">
        <v>0</v>
      </c>
      <c r="ES23" s="476">
        <v>581.31700000000001</v>
      </c>
      <c r="ET23" s="476">
        <v>0</v>
      </c>
      <c r="EU23" s="476">
        <v>0</v>
      </c>
      <c r="EV23" s="476">
        <v>0</v>
      </c>
      <c r="EW23" s="476">
        <v>0</v>
      </c>
      <c r="EX23" s="476">
        <v>0</v>
      </c>
      <c r="EY23" s="476">
        <v>0</v>
      </c>
      <c r="EZ23" s="476">
        <v>45281055</v>
      </c>
      <c r="FA23" s="476">
        <v>0</v>
      </c>
      <c r="FB23" s="476">
        <v>47349567</v>
      </c>
      <c r="FC23" s="476">
        <v>0</v>
      </c>
      <c r="FD23" s="476">
        <v>0</v>
      </c>
      <c r="FE23" s="476">
        <v>6115247</v>
      </c>
      <c r="FF23" s="476">
        <v>1021291</v>
      </c>
      <c r="FG23" s="476">
        <v>6.3017999999999991E-2</v>
      </c>
      <c r="FH23" s="476">
        <v>2.6953999999999999E-2</v>
      </c>
      <c r="FI23" s="476">
        <v>0</v>
      </c>
      <c r="FJ23" s="476">
        <v>0</v>
      </c>
      <c r="FK23" s="476">
        <v>7688.7480000000005</v>
      </c>
      <c r="FL23" s="476">
        <v>55332889</v>
      </c>
      <c r="FM23" s="476">
        <v>0</v>
      </c>
      <c r="FN23" s="476">
        <v>0</v>
      </c>
      <c r="FO23" s="476">
        <v>0</v>
      </c>
      <c r="FP23" s="476">
        <v>0</v>
      </c>
      <c r="FQ23" s="476">
        <v>0</v>
      </c>
      <c r="FR23" s="476">
        <v>0</v>
      </c>
      <c r="FS23" s="476">
        <v>0</v>
      </c>
      <c r="FT23" s="476">
        <v>0</v>
      </c>
      <c r="FU23" s="476">
        <v>0</v>
      </c>
      <c r="FV23" s="476">
        <v>0</v>
      </c>
      <c r="FW23" s="476">
        <v>0</v>
      </c>
      <c r="FX23" s="476">
        <v>0</v>
      </c>
      <c r="FY23" s="476">
        <v>0</v>
      </c>
      <c r="FZ23" s="476">
        <v>0</v>
      </c>
      <c r="GA23" s="476">
        <v>0</v>
      </c>
      <c r="GB23" s="476">
        <v>1745673</v>
      </c>
      <c r="GC23" s="476">
        <v>1745673</v>
      </c>
      <c r="GD23" s="476">
        <v>203.00500000000002</v>
      </c>
      <c r="GE23" s="476">
        <v>0</v>
      </c>
      <c r="GF23" s="476">
        <v>0</v>
      </c>
      <c r="GG23" s="476">
        <v>0</v>
      </c>
      <c r="GH23" s="476">
        <v>0</v>
      </c>
      <c r="GI23" s="476">
        <v>0</v>
      </c>
      <c r="GJ23" s="476">
        <v>0</v>
      </c>
      <c r="GK23" s="476">
        <v>0</v>
      </c>
      <c r="GL23" s="476">
        <v>0</v>
      </c>
      <c r="GM23" s="476">
        <v>0</v>
      </c>
      <c r="GN23" s="476">
        <v>0</v>
      </c>
      <c r="GO23" s="476">
        <v>0</v>
      </c>
      <c r="GP23" s="476">
        <v>0</v>
      </c>
      <c r="GQ23" s="476">
        <v>52401559</v>
      </c>
      <c r="GR23" s="476">
        <v>0</v>
      </c>
      <c r="GS23" s="476">
        <v>0</v>
      </c>
      <c r="GT23" s="476">
        <v>0</v>
      </c>
      <c r="GU23" s="476">
        <v>0</v>
      </c>
      <c r="GV23" s="476">
        <v>0</v>
      </c>
      <c r="GW23" s="476">
        <v>0</v>
      </c>
      <c r="GX23" s="476">
        <v>0</v>
      </c>
      <c r="GY23" s="476">
        <v>0</v>
      </c>
      <c r="GZ23" s="476">
        <v>0</v>
      </c>
      <c r="HA23" s="476">
        <v>0</v>
      </c>
      <c r="HB23" s="476">
        <v>323396213</v>
      </c>
      <c r="HC23" s="476">
        <v>4.2206E-2</v>
      </c>
      <c r="HD23" s="476">
        <v>846784</v>
      </c>
      <c r="HE23" s="476">
        <v>0</v>
      </c>
      <c r="HF23" s="476">
        <v>5099826</v>
      </c>
      <c r="HG23" s="476">
        <v>57903</v>
      </c>
      <c r="HH23" s="476">
        <v>1139337</v>
      </c>
      <c r="HI23" s="476">
        <v>0</v>
      </c>
      <c r="HJ23" s="476">
        <v>50157</v>
      </c>
      <c r="HK23" s="476">
        <v>3117</v>
      </c>
      <c r="HL23" s="476">
        <v>871</v>
      </c>
      <c r="HM23" s="476">
        <v>44000</v>
      </c>
      <c r="HN23" s="476">
        <v>109915</v>
      </c>
      <c r="HO23" s="476">
        <v>0</v>
      </c>
      <c r="HP23" s="476">
        <v>0</v>
      </c>
      <c r="HQ23" s="476">
        <v>0</v>
      </c>
      <c r="HR23" s="476">
        <v>0</v>
      </c>
      <c r="HS23" s="476">
        <v>45265021</v>
      </c>
      <c r="HT23" s="476">
        <v>1021291</v>
      </c>
      <c r="HU23" s="476">
        <v>0</v>
      </c>
      <c r="HV23" s="476">
        <v>0</v>
      </c>
      <c r="HW23" s="476">
        <v>0</v>
      </c>
      <c r="HX23" s="476">
        <v>1002</v>
      </c>
      <c r="HY23" s="476">
        <v>725</v>
      </c>
      <c r="HZ23" s="476">
        <v>704</v>
      </c>
      <c r="IA23" s="476">
        <v>743</v>
      </c>
      <c r="IB23" s="476">
        <v>475</v>
      </c>
      <c r="IC23" s="476">
        <v>3649</v>
      </c>
      <c r="ID23" s="476">
        <v>0</v>
      </c>
      <c r="IE23" s="476">
        <v>0</v>
      </c>
      <c r="IF23" s="476">
        <v>0</v>
      </c>
      <c r="IG23" s="476">
        <v>94</v>
      </c>
      <c r="IH23" s="476">
        <v>1849.615</v>
      </c>
      <c r="II23" s="476">
        <v>0</v>
      </c>
      <c r="IJ23" s="476">
        <v>780.43799999999999</v>
      </c>
      <c r="IK23" s="476">
        <v>0</v>
      </c>
      <c r="IL23" s="476">
        <v>4</v>
      </c>
      <c r="IM23" s="476">
        <v>6</v>
      </c>
      <c r="IN23" s="476">
        <v>3</v>
      </c>
      <c r="IO23" s="476">
        <v>13</v>
      </c>
      <c r="IP23" s="476">
        <v>0</v>
      </c>
      <c r="IQ23" s="476">
        <v>780.43799999999999</v>
      </c>
      <c r="IR23" s="476">
        <v>480739</v>
      </c>
      <c r="IS23" s="476">
        <v>0</v>
      </c>
      <c r="IT23" s="476">
        <v>20000</v>
      </c>
      <c r="IU23" s="476">
        <v>18000</v>
      </c>
      <c r="IV23" s="476">
        <v>6000</v>
      </c>
      <c r="IW23" s="476">
        <v>6160</v>
      </c>
      <c r="IX23" s="476">
        <v>0</v>
      </c>
      <c r="IY23" s="476">
        <v>0</v>
      </c>
      <c r="IZ23" s="476">
        <v>0</v>
      </c>
      <c r="JA23" s="476">
        <v>0</v>
      </c>
      <c r="JB23" s="476">
        <v>1</v>
      </c>
      <c r="JC23" s="476">
        <v>15867</v>
      </c>
      <c r="JD23" s="476">
        <v>8</v>
      </c>
      <c r="JE23" s="476">
        <v>70562</v>
      </c>
      <c r="JF23" s="476">
        <v>4</v>
      </c>
      <c r="JG23" s="476">
        <v>23486</v>
      </c>
      <c r="JH23" s="476">
        <v>0</v>
      </c>
      <c r="JI23" s="476">
        <v>0</v>
      </c>
      <c r="JJ23" s="476">
        <v>0</v>
      </c>
      <c r="JK23" s="476">
        <v>0</v>
      </c>
      <c r="JL23" s="476">
        <v>0</v>
      </c>
      <c r="JM23" s="476">
        <v>0</v>
      </c>
      <c r="JN23" s="476">
        <v>32469</v>
      </c>
      <c r="JO23" s="476">
        <v>130.845</v>
      </c>
      <c r="JP23" s="476">
        <v>50.632000000000005</v>
      </c>
      <c r="JQ23" s="476">
        <v>21.528000000000002</v>
      </c>
      <c r="JR23" s="476">
        <v>1045216</v>
      </c>
      <c r="JS23" s="476">
        <v>470643</v>
      </c>
      <c r="JT23" s="476">
        <v>229814</v>
      </c>
      <c r="JU23" s="476">
        <v>108137</v>
      </c>
      <c r="JV23" s="476">
        <v>0</v>
      </c>
      <c r="JW23" s="476">
        <v>0</v>
      </c>
      <c r="JX23" s="476">
        <v>0</v>
      </c>
      <c r="JY23" s="476">
        <v>0</v>
      </c>
      <c r="JZ23" s="476">
        <v>0</v>
      </c>
      <c r="KA23" s="476">
        <v>0</v>
      </c>
      <c r="KB23" s="476">
        <v>0</v>
      </c>
      <c r="KC23" s="476">
        <v>0</v>
      </c>
      <c r="KD23" s="476">
        <v>108229</v>
      </c>
      <c r="KE23" s="476">
        <v>7262</v>
      </c>
      <c r="KF23" s="476">
        <v>0</v>
      </c>
      <c r="KG23" s="476">
        <v>0</v>
      </c>
      <c r="KH23" s="476">
        <v>52401559</v>
      </c>
      <c r="KI23" s="476">
        <v>0</v>
      </c>
      <c r="KJ23" s="476">
        <v>72</v>
      </c>
      <c r="KK23" s="476">
        <v>22</v>
      </c>
      <c r="KL23" s="476">
        <v>44351</v>
      </c>
      <c r="KM23" s="476">
        <v>13552</v>
      </c>
      <c r="KN23" s="476">
        <v>0</v>
      </c>
    </row>
    <row r="24" spans="1:300" x14ac:dyDescent="0.25">
      <c r="A24" s="476">
        <v>40976</v>
      </c>
      <c r="B24" s="476">
        <v>15833</v>
      </c>
      <c r="C24" s="476">
        <v>9</v>
      </c>
      <c r="D24" s="476">
        <v>2024</v>
      </c>
      <c r="E24" s="476">
        <v>6160</v>
      </c>
      <c r="F24" s="476">
        <v>0</v>
      </c>
      <c r="G24" s="476">
        <v>64.739999999999995</v>
      </c>
      <c r="H24" s="476">
        <v>62.858000000000004</v>
      </c>
      <c r="I24" s="476">
        <v>62.858000000000004</v>
      </c>
      <c r="J24" s="476">
        <v>64.739999999999995</v>
      </c>
      <c r="K24" s="476">
        <v>0</v>
      </c>
      <c r="L24" s="476">
        <v>6160</v>
      </c>
      <c r="M24" s="476">
        <v>0</v>
      </c>
      <c r="N24" s="476">
        <v>0</v>
      </c>
      <c r="O24" s="476">
        <v>0</v>
      </c>
      <c r="P24" s="476">
        <v>64.400000000000006</v>
      </c>
      <c r="Q24" s="476">
        <v>0</v>
      </c>
      <c r="R24" s="476">
        <v>26719</v>
      </c>
      <c r="S24" s="476">
        <v>414.88400000000001</v>
      </c>
      <c r="T24" s="476">
        <v>0</v>
      </c>
      <c r="U24" s="476">
        <v>0</v>
      </c>
      <c r="V24" s="476">
        <v>0</v>
      </c>
      <c r="W24" s="476">
        <v>0</v>
      </c>
      <c r="X24" s="476">
        <v>0</v>
      </c>
      <c r="Y24" s="476">
        <v>0</v>
      </c>
      <c r="Z24" s="476">
        <v>0</v>
      </c>
      <c r="AA24" s="476">
        <v>0</v>
      </c>
      <c r="AB24" s="476">
        <v>0</v>
      </c>
      <c r="AC24" s="476">
        <v>0</v>
      </c>
      <c r="AD24" s="476" t="s">
        <v>314</v>
      </c>
      <c r="AE24" s="476">
        <v>0</v>
      </c>
      <c r="AF24" s="476">
        <v>0</v>
      </c>
      <c r="AG24" s="476">
        <v>0</v>
      </c>
      <c r="AH24" s="476">
        <v>0</v>
      </c>
      <c r="AI24" s="476">
        <v>0</v>
      </c>
      <c r="AJ24" s="476">
        <v>6160</v>
      </c>
      <c r="AK24" s="476" t="s">
        <v>651</v>
      </c>
      <c r="AL24" s="476" t="s">
        <v>94</v>
      </c>
      <c r="AM24" s="476">
        <v>0</v>
      </c>
      <c r="AN24" s="476">
        <v>0</v>
      </c>
      <c r="AO24" s="476">
        <v>0</v>
      </c>
      <c r="AP24" s="476">
        <v>0</v>
      </c>
      <c r="AQ24" s="476">
        <v>0</v>
      </c>
      <c r="AR24" s="476">
        <v>0</v>
      </c>
      <c r="AS24" s="476">
        <v>0</v>
      </c>
      <c r="AT24" s="476">
        <v>0</v>
      </c>
      <c r="AU24" s="476">
        <v>0</v>
      </c>
      <c r="AV24" s="476">
        <v>0</v>
      </c>
      <c r="AW24" s="476">
        <v>658942</v>
      </c>
      <c r="AX24" s="476">
        <v>627415</v>
      </c>
      <c r="AY24" s="476">
        <v>0</v>
      </c>
      <c r="AZ24" s="476">
        <v>26719</v>
      </c>
      <c r="BA24" s="476">
        <v>0</v>
      </c>
      <c r="BB24" s="476">
        <v>0</v>
      </c>
      <c r="BC24" s="476">
        <v>0</v>
      </c>
      <c r="BD24" s="476">
        <v>0</v>
      </c>
      <c r="BE24" s="476">
        <v>0</v>
      </c>
      <c r="BF24" s="476">
        <v>563973</v>
      </c>
      <c r="BG24" s="476">
        <v>0</v>
      </c>
      <c r="BH24" s="476">
        <v>0</v>
      </c>
      <c r="BI24" s="476">
        <v>0</v>
      </c>
      <c r="BJ24" s="476">
        <v>12</v>
      </c>
      <c r="BK24" s="476">
        <v>0</v>
      </c>
      <c r="BL24" s="476">
        <v>0</v>
      </c>
      <c r="BM24" s="476">
        <v>0</v>
      </c>
      <c r="BN24" s="476">
        <v>0</v>
      </c>
      <c r="BO24" s="476">
        <v>0</v>
      </c>
      <c r="BP24" s="476">
        <v>0</v>
      </c>
      <c r="BQ24" s="476">
        <v>760</v>
      </c>
      <c r="BR24" s="476">
        <v>0</v>
      </c>
      <c r="BS24" s="476">
        <v>0</v>
      </c>
      <c r="BT24" s="476">
        <v>0</v>
      </c>
      <c r="BU24" s="476">
        <v>0</v>
      </c>
      <c r="BV24" s="476">
        <v>0</v>
      </c>
      <c r="BW24" s="476">
        <v>0</v>
      </c>
      <c r="BX24" s="476">
        <v>0</v>
      </c>
      <c r="BY24" s="476">
        <v>0</v>
      </c>
      <c r="BZ24" s="476">
        <v>0</v>
      </c>
      <c r="CA24" s="476">
        <v>0</v>
      </c>
      <c r="CB24" s="476">
        <v>0</v>
      </c>
      <c r="CC24" s="476">
        <v>0</v>
      </c>
      <c r="CD24" s="476">
        <v>0</v>
      </c>
      <c r="CE24" s="476">
        <v>0</v>
      </c>
      <c r="CF24" s="476">
        <v>0</v>
      </c>
      <c r="CG24" s="476">
        <v>0</v>
      </c>
      <c r="CH24" s="476">
        <v>31682</v>
      </c>
      <c r="CI24" s="476">
        <v>0</v>
      </c>
      <c r="CJ24" s="476">
        <v>4</v>
      </c>
      <c r="CK24" s="476">
        <v>0</v>
      </c>
      <c r="CL24" s="476">
        <v>0</v>
      </c>
      <c r="CM24" s="476">
        <v>0</v>
      </c>
      <c r="CN24" s="476">
        <v>0</v>
      </c>
      <c r="CO24" s="476">
        <v>1</v>
      </c>
      <c r="CP24" s="476">
        <v>0</v>
      </c>
      <c r="CQ24" s="476">
        <v>0</v>
      </c>
      <c r="CR24" s="476">
        <v>64.739999999999995</v>
      </c>
      <c r="CS24" s="476">
        <v>0</v>
      </c>
      <c r="CT24" s="476">
        <v>0</v>
      </c>
      <c r="CU24" s="476">
        <v>0</v>
      </c>
      <c r="CV24" s="476">
        <v>0</v>
      </c>
      <c r="CW24" s="476">
        <v>0</v>
      </c>
      <c r="CX24" s="476">
        <v>0</v>
      </c>
      <c r="CY24" s="476">
        <v>0</v>
      </c>
      <c r="CZ24" s="476">
        <v>0</v>
      </c>
      <c r="DA24" s="476">
        <v>0</v>
      </c>
      <c r="DB24" s="476">
        <v>350434</v>
      </c>
      <c r="DC24" s="476">
        <v>0</v>
      </c>
      <c r="DD24" s="476">
        <v>0</v>
      </c>
      <c r="DE24" s="476">
        <v>56748</v>
      </c>
      <c r="DF24" s="476">
        <v>56748</v>
      </c>
      <c r="DG24" s="476">
        <v>9.213000000000001</v>
      </c>
      <c r="DH24" s="476">
        <v>0</v>
      </c>
      <c r="DI24" s="476">
        <v>0</v>
      </c>
      <c r="DJ24" s="476">
        <v>0</v>
      </c>
      <c r="DK24" s="476">
        <v>3788</v>
      </c>
      <c r="DL24" s="476">
        <v>0</v>
      </c>
      <c r="DM24" s="476">
        <v>81719</v>
      </c>
      <c r="DN24" s="476">
        <v>155</v>
      </c>
      <c r="DO24" s="476">
        <v>0</v>
      </c>
      <c r="DP24" s="476">
        <v>0</v>
      </c>
      <c r="DQ24" s="476">
        <v>0</v>
      </c>
      <c r="DR24" s="476">
        <v>0</v>
      </c>
      <c r="DS24" s="476">
        <v>0</v>
      </c>
      <c r="DT24" s="476">
        <v>0</v>
      </c>
      <c r="DU24" s="476">
        <v>0</v>
      </c>
      <c r="DV24" s="476">
        <v>0</v>
      </c>
      <c r="DW24" s="476">
        <v>0</v>
      </c>
      <c r="DX24" s="476">
        <v>0</v>
      </c>
      <c r="DY24" s="476">
        <v>0</v>
      </c>
      <c r="DZ24" s="476">
        <v>0</v>
      </c>
      <c r="EA24" s="476">
        <v>0</v>
      </c>
      <c r="EB24" s="476">
        <v>0</v>
      </c>
      <c r="EC24" s="476">
        <v>1.403</v>
      </c>
      <c r="ED24" s="476">
        <v>9939</v>
      </c>
      <c r="EE24" s="476">
        <v>0</v>
      </c>
      <c r="EF24" s="476">
        <v>0</v>
      </c>
      <c r="EG24" s="476">
        <v>0</v>
      </c>
      <c r="EH24" s="476">
        <v>35173</v>
      </c>
      <c r="EI24" s="476">
        <v>0</v>
      </c>
      <c r="EJ24" s="476">
        <v>0</v>
      </c>
      <c r="EK24" s="476">
        <v>1.85</v>
      </c>
      <c r="EL24" s="476">
        <v>0</v>
      </c>
      <c r="EM24" s="476">
        <v>0</v>
      </c>
      <c r="EN24" s="476">
        <v>3.2000000000000001E-2</v>
      </c>
      <c r="EO24" s="476">
        <v>0</v>
      </c>
      <c r="EP24" s="476">
        <v>0</v>
      </c>
      <c r="EQ24" s="476">
        <v>1.8820000000000001</v>
      </c>
      <c r="ER24" s="476">
        <v>0</v>
      </c>
      <c r="ES24" s="476">
        <v>5.71</v>
      </c>
      <c r="ET24" s="476">
        <v>0</v>
      </c>
      <c r="EU24" s="476">
        <v>0</v>
      </c>
      <c r="EV24" s="476">
        <v>0</v>
      </c>
      <c r="EW24" s="476">
        <v>0</v>
      </c>
      <c r="EX24" s="476">
        <v>0</v>
      </c>
      <c r="EY24" s="476">
        <v>0</v>
      </c>
      <c r="EZ24" s="476">
        <v>542435</v>
      </c>
      <c r="FA24" s="476">
        <v>0</v>
      </c>
      <c r="FB24" s="476">
        <v>568999</v>
      </c>
      <c r="FC24" s="476">
        <v>0</v>
      </c>
      <c r="FD24" s="476">
        <v>0</v>
      </c>
      <c r="FE24" s="476">
        <v>72819</v>
      </c>
      <c r="FF24" s="476">
        <v>12161</v>
      </c>
      <c r="FG24" s="476">
        <v>6.3017999999999991E-2</v>
      </c>
      <c r="FH24" s="476">
        <v>2.6953999999999999E-2</v>
      </c>
      <c r="FI24" s="476">
        <v>0</v>
      </c>
      <c r="FJ24" s="476">
        <v>0</v>
      </c>
      <c r="FK24" s="476">
        <v>91.555999999999997</v>
      </c>
      <c r="FL24" s="476">
        <v>685661</v>
      </c>
      <c r="FM24" s="476">
        <v>0</v>
      </c>
      <c r="FN24" s="476">
        <v>0</v>
      </c>
      <c r="FO24" s="476">
        <v>3420</v>
      </c>
      <c r="FP24" s="476">
        <v>0</v>
      </c>
      <c r="FQ24" s="476">
        <v>3420</v>
      </c>
      <c r="FR24" s="476">
        <v>3420</v>
      </c>
      <c r="FS24" s="476">
        <v>0</v>
      </c>
      <c r="FT24" s="476">
        <v>0</v>
      </c>
      <c r="FU24" s="476">
        <v>0</v>
      </c>
      <c r="FV24" s="476">
        <v>0</v>
      </c>
      <c r="FW24" s="476">
        <v>0</v>
      </c>
      <c r="FX24" s="476">
        <v>0</v>
      </c>
      <c r="FY24" s="476">
        <v>0</v>
      </c>
      <c r="FZ24" s="476">
        <v>0</v>
      </c>
      <c r="GA24" s="476">
        <v>0</v>
      </c>
      <c r="GB24" s="476">
        <v>0</v>
      </c>
      <c r="GC24" s="476">
        <v>0</v>
      </c>
      <c r="GD24" s="476">
        <v>0</v>
      </c>
      <c r="GE24" s="476">
        <v>0</v>
      </c>
      <c r="GF24" s="476">
        <v>0</v>
      </c>
      <c r="GG24" s="476">
        <v>0</v>
      </c>
      <c r="GH24" s="476">
        <v>0</v>
      </c>
      <c r="GI24" s="476">
        <v>0</v>
      </c>
      <c r="GJ24" s="476">
        <v>0</v>
      </c>
      <c r="GK24" s="476">
        <v>0</v>
      </c>
      <c r="GL24" s="476">
        <v>0</v>
      </c>
      <c r="GM24" s="476">
        <v>0</v>
      </c>
      <c r="GN24" s="476">
        <v>0</v>
      </c>
      <c r="GO24" s="476">
        <v>0</v>
      </c>
      <c r="GP24" s="476">
        <v>0</v>
      </c>
      <c r="GQ24" s="476">
        <v>627260</v>
      </c>
      <c r="GR24" s="476">
        <v>0</v>
      </c>
      <c r="GS24" s="476">
        <v>0</v>
      </c>
      <c r="GT24" s="476">
        <v>0</v>
      </c>
      <c r="GU24" s="476">
        <v>0</v>
      </c>
      <c r="GV24" s="476">
        <v>0</v>
      </c>
      <c r="GW24" s="476">
        <v>0</v>
      </c>
      <c r="GX24" s="476">
        <v>0</v>
      </c>
      <c r="GY24" s="476">
        <v>0</v>
      </c>
      <c r="GZ24" s="476">
        <v>0</v>
      </c>
      <c r="HA24" s="476">
        <v>0</v>
      </c>
      <c r="HB24" s="476">
        <v>323396213</v>
      </c>
      <c r="HC24" s="476">
        <v>4.2206E-2</v>
      </c>
      <c r="HD24" s="476">
        <v>10930</v>
      </c>
      <c r="HE24" s="476">
        <v>0</v>
      </c>
      <c r="HF24" s="476">
        <v>69270</v>
      </c>
      <c r="HG24" s="476">
        <v>0</v>
      </c>
      <c r="HH24" s="476">
        <v>0</v>
      </c>
      <c r="HI24" s="476">
        <v>0</v>
      </c>
      <c r="HJ24" s="476">
        <v>647</v>
      </c>
      <c r="HK24" s="476">
        <v>1249</v>
      </c>
      <c r="HL24" s="476">
        <v>512</v>
      </c>
      <c r="HM24" s="476">
        <v>5000</v>
      </c>
      <c r="HN24" s="476">
        <v>0</v>
      </c>
      <c r="HO24" s="476">
        <v>0</v>
      </c>
      <c r="HP24" s="476">
        <v>0</v>
      </c>
      <c r="HQ24" s="476">
        <v>0</v>
      </c>
      <c r="HR24" s="476">
        <v>0</v>
      </c>
      <c r="HS24" s="476">
        <v>542280</v>
      </c>
      <c r="HT24" s="476">
        <v>12161</v>
      </c>
      <c r="HU24" s="476">
        <v>20752</v>
      </c>
      <c r="HV24" s="476">
        <v>0</v>
      </c>
      <c r="HW24" s="476">
        <v>0</v>
      </c>
      <c r="HX24" s="476">
        <v>2</v>
      </c>
      <c r="HY24" s="476">
        <v>6</v>
      </c>
      <c r="HZ24" s="476">
        <v>11</v>
      </c>
      <c r="IA24" s="476">
        <v>7</v>
      </c>
      <c r="IB24" s="476">
        <v>10</v>
      </c>
      <c r="IC24" s="476">
        <v>36</v>
      </c>
      <c r="ID24" s="476">
        <v>0</v>
      </c>
      <c r="IE24" s="476">
        <v>0</v>
      </c>
      <c r="IF24" s="476">
        <v>0</v>
      </c>
      <c r="IG24" s="476">
        <v>0</v>
      </c>
      <c r="IH24" s="476">
        <v>0</v>
      </c>
      <c r="II24" s="476">
        <v>0</v>
      </c>
      <c r="IJ24" s="476">
        <v>0</v>
      </c>
      <c r="IK24" s="476">
        <v>0</v>
      </c>
      <c r="IL24" s="476">
        <v>1</v>
      </c>
      <c r="IM24" s="476">
        <v>0</v>
      </c>
      <c r="IN24" s="476">
        <v>0</v>
      </c>
      <c r="IO24" s="476">
        <v>1</v>
      </c>
      <c r="IP24" s="476">
        <v>0</v>
      </c>
      <c r="IQ24" s="476">
        <v>0</v>
      </c>
      <c r="IR24" s="476">
        <v>0</v>
      </c>
      <c r="IS24" s="476">
        <v>0</v>
      </c>
      <c r="IT24" s="476">
        <v>5000</v>
      </c>
      <c r="IU24" s="476">
        <v>0</v>
      </c>
      <c r="IV24" s="476">
        <v>0</v>
      </c>
      <c r="IW24" s="476">
        <v>6160</v>
      </c>
      <c r="IX24" s="476">
        <v>0</v>
      </c>
      <c r="IY24" s="476">
        <v>0</v>
      </c>
      <c r="IZ24" s="476">
        <v>0</v>
      </c>
      <c r="JA24" s="476">
        <v>0</v>
      </c>
      <c r="JB24" s="476">
        <v>0</v>
      </c>
      <c r="JC24" s="476">
        <v>0</v>
      </c>
      <c r="JD24" s="476">
        <v>0</v>
      </c>
      <c r="JE24" s="476">
        <v>0</v>
      </c>
      <c r="JF24" s="476">
        <v>0</v>
      </c>
      <c r="JG24" s="476">
        <v>0</v>
      </c>
      <c r="JH24" s="476">
        <v>0</v>
      </c>
      <c r="JI24" s="476">
        <v>0</v>
      </c>
      <c r="JJ24" s="476">
        <v>0</v>
      </c>
      <c r="JK24" s="476">
        <v>0</v>
      </c>
      <c r="JL24" s="476">
        <v>0</v>
      </c>
      <c r="JM24" s="476">
        <v>0</v>
      </c>
      <c r="JN24" s="476">
        <v>32469</v>
      </c>
      <c r="JO24" s="476">
        <v>0</v>
      </c>
      <c r="JP24" s="476">
        <v>0</v>
      </c>
      <c r="JQ24" s="476">
        <v>0</v>
      </c>
      <c r="JR24" s="476">
        <v>0</v>
      </c>
      <c r="JS24" s="476">
        <v>0</v>
      </c>
      <c r="JT24" s="476">
        <v>0</v>
      </c>
      <c r="JU24" s="476">
        <v>0</v>
      </c>
      <c r="JV24" s="476">
        <v>20752</v>
      </c>
      <c r="JW24" s="476">
        <v>0</v>
      </c>
      <c r="JX24" s="476">
        <v>0</v>
      </c>
      <c r="JY24" s="476">
        <v>0</v>
      </c>
      <c r="JZ24" s="476">
        <v>0</v>
      </c>
      <c r="KA24" s="476">
        <v>0</v>
      </c>
      <c r="KB24" s="476">
        <v>0</v>
      </c>
      <c r="KC24" s="476">
        <v>0</v>
      </c>
      <c r="KD24" s="476">
        <v>0</v>
      </c>
      <c r="KE24" s="476">
        <v>7262</v>
      </c>
      <c r="KF24" s="476">
        <v>0</v>
      </c>
      <c r="KG24" s="476">
        <v>0</v>
      </c>
      <c r="KH24" s="476">
        <v>627260</v>
      </c>
      <c r="KI24" s="476">
        <v>0</v>
      </c>
      <c r="KJ24" s="476">
        <v>0</v>
      </c>
      <c r="KK24" s="476">
        <v>0</v>
      </c>
      <c r="KL24" s="476">
        <v>0</v>
      </c>
      <c r="KM24" s="476">
        <v>0</v>
      </c>
      <c r="KN24" s="476">
        <v>0</v>
      </c>
    </row>
    <row r="25" spans="1:300" x14ac:dyDescent="0.25">
      <c r="A25" s="476">
        <v>40976</v>
      </c>
      <c r="B25" s="476">
        <v>15834</v>
      </c>
      <c r="C25" s="476">
        <v>9</v>
      </c>
      <c r="D25" s="476">
        <v>2024</v>
      </c>
      <c r="E25" s="476">
        <v>6160</v>
      </c>
      <c r="F25" s="476">
        <v>0</v>
      </c>
      <c r="G25" s="476">
        <v>4668.6930000000002</v>
      </c>
      <c r="H25" s="476">
        <v>4628.009</v>
      </c>
      <c r="I25" s="476">
        <v>4628.009</v>
      </c>
      <c r="J25" s="476">
        <v>4668.6930000000002</v>
      </c>
      <c r="K25" s="476">
        <v>0</v>
      </c>
      <c r="L25" s="476">
        <v>6160</v>
      </c>
      <c r="M25" s="476">
        <v>0</v>
      </c>
      <c r="N25" s="476">
        <v>0</v>
      </c>
      <c r="O25" s="476">
        <v>0</v>
      </c>
      <c r="P25" s="476">
        <v>4668.6930000000002</v>
      </c>
      <c r="Q25" s="476">
        <v>0</v>
      </c>
      <c r="R25" s="476">
        <v>1936966</v>
      </c>
      <c r="S25" s="476">
        <v>414.88400000000001</v>
      </c>
      <c r="T25" s="476">
        <v>0</v>
      </c>
      <c r="U25" s="476">
        <v>0</v>
      </c>
      <c r="V25" s="476">
        <v>562.22300000000007</v>
      </c>
      <c r="W25" s="476">
        <v>346322</v>
      </c>
      <c r="X25" s="476">
        <v>346322</v>
      </c>
      <c r="Y25" s="476">
        <v>0</v>
      </c>
      <c r="Z25" s="476">
        <v>0</v>
      </c>
      <c r="AA25" s="476">
        <v>0</v>
      </c>
      <c r="AB25" s="476">
        <v>0</v>
      </c>
      <c r="AC25" s="476">
        <v>0</v>
      </c>
      <c r="AD25" s="476" t="s">
        <v>314</v>
      </c>
      <c r="AE25" s="476">
        <v>0</v>
      </c>
      <c r="AF25" s="476">
        <v>0</v>
      </c>
      <c r="AG25" s="476">
        <v>0</v>
      </c>
      <c r="AH25" s="476">
        <v>0</v>
      </c>
      <c r="AI25" s="476">
        <v>0</v>
      </c>
      <c r="AJ25" s="476">
        <v>6160</v>
      </c>
      <c r="AK25" s="476" t="s">
        <v>651</v>
      </c>
      <c r="AL25" s="476" t="s">
        <v>317</v>
      </c>
      <c r="AM25" s="476">
        <v>0</v>
      </c>
      <c r="AN25" s="476">
        <v>0</v>
      </c>
      <c r="AO25" s="476">
        <v>0</v>
      </c>
      <c r="AP25" s="476">
        <v>0</v>
      </c>
      <c r="AQ25" s="476">
        <v>0</v>
      </c>
      <c r="AR25" s="476">
        <v>0</v>
      </c>
      <c r="AS25" s="476">
        <v>0</v>
      </c>
      <c r="AT25" s="476">
        <v>0</v>
      </c>
      <c r="AU25" s="476">
        <v>0</v>
      </c>
      <c r="AV25" s="476">
        <v>0</v>
      </c>
      <c r="AW25" s="476">
        <v>40109093</v>
      </c>
      <c r="AX25" s="476">
        <v>39324240</v>
      </c>
      <c r="AY25" s="476">
        <v>0</v>
      </c>
      <c r="AZ25" s="476">
        <v>1936966</v>
      </c>
      <c r="BA25" s="476">
        <v>0</v>
      </c>
      <c r="BB25" s="476">
        <v>0</v>
      </c>
      <c r="BC25" s="476">
        <v>0</v>
      </c>
      <c r="BD25" s="476">
        <v>0</v>
      </c>
      <c r="BE25" s="476">
        <v>0</v>
      </c>
      <c r="BF25" s="476">
        <v>35854583</v>
      </c>
      <c r="BG25" s="476">
        <v>0</v>
      </c>
      <c r="BH25" s="476">
        <v>0</v>
      </c>
      <c r="BI25" s="476">
        <v>0</v>
      </c>
      <c r="BJ25" s="476">
        <v>12</v>
      </c>
      <c r="BK25" s="476">
        <v>0</v>
      </c>
      <c r="BL25" s="476">
        <v>0</v>
      </c>
      <c r="BM25" s="476">
        <v>0</v>
      </c>
      <c r="BN25" s="476">
        <v>0</v>
      </c>
      <c r="BO25" s="476">
        <v>0</v>
      </c>
      <c r="BP25" s="476">
        <v>0</v>
      </c>
      <c r="BQ25" s="476">
        <v>57</v>
      </c>
      <c r="BR25" s="476">
        <v>0</v>
      </c>
      <c r="BS25" s="476">
        <v>0</v>
      </c>
      <c r="BT25" s="476">
        <v>0</v>
      </c>
      <c r="BU25" s="476">
        <v>0</v>
      </c>
      <c r="BV25" s="476">
        <v>0</v>
      </c>
      <c r="BW25" s="476">
        <v>0</v>
      </c>
      <c r="BX25" s="476">
        <v>0</v>
      </c>
      <c r="BY25" s="476">
        <v>0</v>
      </c>
      <c r="BZ25" s="476">
        <v>0</v>
      </c>
      <c r="CA25" s="476">
        <v>0</v>
      </c>
      <c r="CB25" s="476">
        <v>0</v>
      </c>
      <c r="CC25" s="476">
        <v>0</v>
      </c>
      <c r="CD25" s="476">
        <v>0</v>
      </c>
      <c r="CE25" s="476">
        <v>0</v>
      </c>
      <c r="CF25" s="476">
        <v>0</v>
      </c>
      <c r="CG25" s="476">
        <v>0</v>
      </c>
      <c r="CH25" s="476">
        <v>788193</v>
      </c>
      <c r="CI25" s="476">
        <v>0</v>
      </c>
      <c r="CJ25" s="476">
        <v>4</v>
      </c>
      <c r="CK25" s="476">
        <v>0</v>
      </c>
      <c r="CL25" s="476">
        <v>0</v>
      </c>
      <c r="CM25" s="476">
        <v>0</v>
      </c>
      <c r="CN25" s="476">
        <v>0</v>
      </c>
      <c r="CO25" s="476">
        <v>1</v>
      </c>
      <c r="CP25" s="476">
        <v>0</v>
      </c>
      <c r="CQ25" s="476">
        <v>0</v>
      </c>
      <c r="CR25" s="476">
        <v>4668.6930000000002</v>
      </c>
      <c r="CS25" s="476">
        <v>0</v>
      </c>
      <c r="CT25" s="476">
        <v>0</v>
      </c>
      <c r="CU25" s="476">
        <v>0</v>
      </c>
      <c r="CV25" s="476">
        <v>0</v>
      </c>
      <c r="CW25" s="476">
        <v>0</v>
      </c>
      <c r="CX25" s="476">
        <v>0</v>
      </c>
      <c r="CY25" s="476">
        <v>0</v>
      </c>
      <c r="CZ25" s="476">
        <v>0</v>
      </c>
      <c r="DA25" s="476">
        <v>0</v>
      </c>
      <c r="DB25" s="476">
        <v>28507888</v>
      </c>
      <c r="DC25" s="476">
        <v>0</v>
      </c>
      <c r="DD25" s="476">
        <v>0</v>
      </c>
      <c r="DE25" s="476">
        <v>392306</v>
      </c>
      <c r="DF25" s="476">
        <v>392306</v>
      </c>
      <c r="DG25" s="476">
        <v>63.688000000000002</v>
      </c>
      <c r="DH25" s="476">
        <v>0</v>
      </c>
      <c r="DI25" s="476">
        <v>0</v>
      </c>
      <c r="DJ25" s="476">
        <v>0</v>
      </c>
      <c r="DK25" s="476">
        <v>0</v>
      </c>
      <c r="DL25" s="476">
        <v>0</v>
      </c>
      <c r="DM25" s="476">
        <v>971611</v>
      </c>
      <c r="DN25" s="476">
        <v>3340</v>
      </c>
      <c r="DO25" s="476">
        <v>0</v>
      </c>
      <c r="DP25" s="476">
        <v>0</v>
      </c>
      <c r="DQ25" s="476">
        <v>0</v>
      </c>
      <c r="DR25" s="476">
        <v>0</v>
      </c>
      <c r="DS25" s="476">
        <v>0</v>
      </c>
      <c r="DT25" s="476">
        <v>0</v>
      </c>
      <c r="DU25" s="476">
        <v>0</v>
      </c>
      <c r="DV25" s="476">
        <v>0</v>
      </c>
      <c r="DW25" s="476">
        <v>0</v>
      </c>
      <c r="DX25" s="476">
        <v>0</v>
      </c>
      <c r="DY25" s="476">
        <v>0</v>
      </c>
      <c r="DZ25" s="476">
        <v>0</v>
      </c>
      <c r="EA25" s="476">
        <v>0</v>
      </c>
      <c r="EB25" s="476">
        <v>0</v>
      </c>
      <c r="EC25" s="476">
        <v>23.773</v>
      </c>
      <c r="ED25" s="476">
        <v>168404</v>
      </c>
      <c r="EE25" s="476">
        <v>0</v>
      </c>
      <c r="EF25" s="476">
        <v>0</v>
      </c>
      <c r="EG25" s="476">
        <v>0</v>
      </c>
      <c r="EH25" s="476">
        <v>806547</v>
      </c>
      <c r="EI25" s="476">
        <v>0</v>
      </c>
      <c r="EJ25" s="476">
        <v>0</v>
      </c>
      <c r="EK25" s="476">
        <v>33.966999999999999</v>
      </c>
      <c r="EL25" s="476">
        <v>0</v>
      </c>
      <c r="EM25" s="476">
        <v>2.2749999999999999</v>
      </c>
      <c r="EN25" s="476">
        <v>4.4420000000000002</v>
      </c>
      <c r="EO25" s="476">
        <v>0</v>
      </c>
      <c r="EP25" s="476">
        <v>0</v>
      </c>
      <c r="EQ25" s="476">
        <v>40.684000000000005</v>
      </c>
      <c r="ER25" s="476">
        <v>0</v>
      </c>
      <c r="ES25" s="476">
        <v>130.93600000000001</v>
      </c>
      <c r="ET25" s="476">
        <v>0</v>
      </c>
      <c r="EU25" s="476">
        <v>0</v>
      </c>
      <c r="EV25" s="476">
        <v>0</v>
      </c>
      <c r="EW25" s="476">
        <v>0</v>
      </c>
      <c r="EX25" s="476">
        <v>0</v>
      </c>
      <c r="EY25" s="476">
        <v>0</v>
      </c>
      <c r="EZ25" s="476">
        <v>33921603</v>
      </c>
      <c r="FA25" s="476">
        <v>0</v>
      </c>
      <c r="FB25" s="476">
        <v>35855229</v>
      </c>
      <c r="FC25" s="476">
        <v>0</v>
      </c>
      <c r="FD25" s="476">
        <v>0</v>
      </c>
      <c r="FE25" s="476">
        <v>4629480</v>
      </c>
      <c r="FF25" s="476">
        <v>773157</v>
      </c>
      <c r="FG25" s="476">
        <v>6.3017999999999991E-2</v>
      </c>
      <c r="FH25" s="476">
        <v>2.6953999999999999E-2</v>
      </c>
      <c r="FI25" s="476">
        <v>0</v>
      </c>
      <c r="FJ25" s="476">
        <v>0</v>
      </c>
      <c r="FK25" s="476">
        <v>5820.6810000000005</v>
      </c>
      <c r="FL25" s="476">
        <v>42046059</v>
      </c>
      <c r="FM25" s="476">
        <v>0</v>
      </c>
      <c r="FN25" s="476">
        <v>0</v>
      </c>
      <c r="FO25" s="476">
        <v>0</v>
      </c>
      <c r="FP25" s="476">
        <v>0</v>
      </c>
      <c r="FQ25" s="476">
        <v>0</v>
      </c>
      <c r="FR25" s="476">
        <v>0</v>
      </c>
      <c r="FS25" s="476">
        <v>0</v>
      </c>
      <c r="FT25" s="476">
        <v>0</v>
      </c>
      <c r="FU25" s="476">
        <v>0</v>
      </c>
      <c r="FV25" s="476">
        <v>0</v>
      </c>
      <c r="FW25" s="476">
        <v>0</v>
      </c>
      <c r="FX25" s="476">
        <v>0</v>
      </c>
      <c r="FY25" s="476">
        <v>0</v>
      </c>
      <c r="FZ25" s="476">
        <v>0</v>
      </c>
      <c r="GA25" s="476">
        <v>0</v>
      </c>
      <c r="GB25" s="476">
        <v>0</v>
      </c>
      <c r="GC25" s="476">
        <v>0</v>
      </c>
      <c r="GD25" s="476">
        <v>0</v>
      </c>
      <c r="GE25" s="476">
        <v>0</v>
      </c>
      <c r="GF25" s="476">
        <v>0</v>
      </c>
      <c r="GG25" s="476">
        <v>0</v>
      </c>
      <c r="GH25" s="476">
        <v>0</v>
      </c>
      <c r="GI25" s="476">
        <v>0</v>
      </c>
      <c r="GJ25" s="476">
        <v>0</v>
      </c>
      <c r="GK25" s="476">
        <v>0</v>
      </c>
      <c r="GL25" s="476">
        <v>0</v>
      </c>
      <c r="GM25" s="476">
        <v>0</v>
      </c>
      <c r="GN25" s="476">
        <v>0</v>
      </c>
      <c r="GO25" s="476">
        <v>0</v>
      </c>
      <c r="GP25" s="476">
        <v>0</v>
      </c>
      <c r="GQ25" s="476">
        <v>39320900</v>
      </c>
      <c r="GR25" s="476">
        <v>0</v>
      </c>
      <c r="GS25" s="476">
        <v>0</v>
      </c>
      <c r="GT25" s="476">
        <v>0</v>
      </c>
      <c r="GU25" s="476">
        <v>0</v>
      </c>
      <c r="GV25" s="476">
        <v>0</v>
      </c>
      <c r="GW25" s="476">
        <v>0</v>
      </c>
      <c r="GX25" s="476">
        <v>0</v>
      </c>
      <c r="GY25" s="476">
        <v>0</v>
      </c>
      <c r="GZ25" s="476">
        <v>0</v>
      </c>
      <c r="HA25" s="476">
        <v>0</v>
      </c>
      <c r="HB25" s="476">
        <v>323396213</v>
      </c>
      <c r="HC25" s="476">
        <v>4.2206E-2</v>
      </c>
      <c r="HD25" s="476">
        <v>788193</v>
      </c>
      <c r="HE25" s="476">
        <v>0</v>
      </c>
      <c r="HF25" s="476">
        <v>5100066</v>
      </c>
      <c r="HG25" s="476">
        <v>12936</v>
      </c>
      <c r="HH25" s="476">
        <v>283427</v>
      </c>
      <c r="HI25" s="476">
        <v>0</v>
      </c>
      <c r="HJ25" s="476">
        <v>46687</v>
      </c>
      <c r="HK25" s="476">
        <v>3746</v>
      </c>
      <c r="HL25" s="476">
        <v>240</v>
      </c>
      <c r="HM25" s="476">
        <v>190000</v>
      </c>
      <c r="HN25" s="476">
        <v>0</v>
      </c>
      <c r="HO25" s="476">
        <v>0</v>
      </c>
      <c r="HP25" s="476">
        <v>0</v>
      </c>
      <c r="HQ25" s="476">
        <v>0</v>
      </c>
      <c r="HR25" s="476">
        <v>0</v>
      </c>
      <c r="HS25" s="476">
        <v>33918263</v>
      </c>
      <c r="HT25" s="476">
        <v>773157</v>
      </c>
      <c r="HU25" s="476">
        <v>0</v>
      </c>
      <c r="HV25" s="476">
        <v>0</v>
      </c>
      <c r="HW25" s="476">
        <v>0</v>
      </c>
      <c r="HX25" s="476">
        <v>85</v>
      </c>
      <c r="HY25" s="476">
        <v>70</v>
      </c>
      <c r="HZ25" s="476">
        <v>47</v>
      </c>
      <c r="IA25" s="476">
        <v>47</v>
      </c>
      <c r="IB25" s="476">
        <v>14</v>
      </c>
      <c r="IC25" s="476">
        <v>263</v>
      </c>
      <c r="ID25" s="476">
        <v>0</v>
      </c>
      <c r="IE25" s="476">
        <v>0</v>
      </c>
      <c r="IF25" s="476">
        <v>0</v>
      </c>
      <c r="IG25" s="476">
        <v>21</v>
      </c>
      <c r="IH25" s="476">
        <v>460.12</v>
      </c>
      <c r="II25" s="476">
        <v>0</v>
      </c>
      <c r="IJ25" s="476">
        <v>562.22300000000007</v>
      </c>
      <c r="IK25" s="476">
        <v>0</v>
      </c>
      <c r="IL25" s="476">
        <v>5</v>
      </c>
      <c r="IM25" s="476">
        <v>55</v>
      </c>
      <c r="IN25" s="476">
        <v>0</v>
      </c>
      <c r="IO25" s="476">
        <v>60</v>
      </c>
      <c r="IP25" s="476">
        <v>0</v>
      </c>
      <c r="IQ25" s="476">
        <v>562.22300000000007</v>
      </c>
      <c r="IR25" s="476">
        <v>346322</v>
      </c>
      <c r="IS25" s="476">
        <v>0</v>
      </c>
      <c r="IT25" s="476">
        <v>25000</v>
      </c>
      <c r="IU25" s="476">
        <v>165000</v>
      </c>
      <c r="IV25" s="476">
        <v>0</v>
      </c>
      <c r="IW25" s="476">
        <v>6160</v>
      </c>
      <c r="IX25" s="476">
        <v>0</v>
      </c>
      <c r="IY25" s="476">
        <v>0</v>
      </c>
      <c r="IZ25" s="476">
        <v>0</v>
      </c>
      <c r="JA25" s="476">
        <v>0</v>
      </c>
      <c r="JB25" s="476">
        <v>0</v>
      </c>
      <c r="JC25" s="476">
        <v>0</v>
      </c>
      <c r="JD25" s="476">
        <v>0</v>
      </c>
      <c r="JE25" s="476">
        <v>0</v>
      </c>
      <c r="JF25" s="476">
        <v>0</v>
      </c>
      <c r="JG25" s="476">
        <v>0</v>
      </c>
      <c r="JH25" s="476">
        <v>0</v>
      </c>
      <c r="JI25" s="476">
        <v>0</v>
      </c>
      <c r="JJ25" s="476">
        <v>0</v>
      </c>
      <c r="JK25" s="476">
        <v>0</v>
      </c>
      <c r="JL25" s="476">
        <v>0</v>
      </c>
      <c r="JM25" s="476">
        <v>0</v>
      </c>
      <c r="JN25" s="476">
        <v>32469</v>
      </c>
      <c r="JO25" s="476">
        <v>0</v>
      </c>
      <c r="JP25" s="476">
        <v>0</v>
      </c>
      <c r="JQ25" s="476">
        <v>0</v>
      </c>
      <c r="JR25" s="476">
        <v>0</v>
      </c>
      <c r="JS25" s="476">
        <v>0</v>
      </c>
      <c r="JT25" s="476">
        <v>0</v>
      </c>
      <c r="JU25" s="476">
        <v>0</v>
      </c>
      <c r="JV25" s="476">
        <v>0</v>
      </c>
      <c r="JW25" s="476">
        <v>0</v>
      </c>
      <c r="JX25" s="476">
        <v>0</v>
      </c>
      <c r="JY25" s="476">
        <v>0</v>
      </c>
      <c r="JZ25" s="476">
        <v>0</v>
      </c>
      <c r="KA25" s="476">
        <v>0</v>
      </c>
      <c r="KB25" s="476">
        <v>0</v>
      </c>
      <c r="KC25" s="476">
        <v>0</v>
      </c>
      <c r="KD25" s="476">
        <v>0</v>
      </c>
      <c r="KE25" s="476">
        <v>7262</v>
      </c>
      <c r="KF25" s="476">
        <v>0</v>
      </c>
      <c r="KG25" s="476">
        <v>0</v>
      </c>
      <c r="KH25" s="476">
        <v>39320900</v>
      </c>
      <c r="KI25" s="476">
        <v>0</v>
      </c>
      <c r="KJ25" s="476">
        <v>13</v>
      </c>
      <c r="KK25" s="476">
        <v>8</v>
      </c>
      <c r="KL25" s="476">
        <v>8008</v>
      </c>
      <c r="KM25" s="476">
        <v>4928</v>
      </c>
      <c r="KN25" s="476">
        <v>0</v>
      </c>
    </row>
    <row r="26" spans="1:300" x14ac:dyDescent="0.25">
      <c r="A26" s="476">
        <v>40976</v>
      </c>
      <c r="B26" s="476">
        <v>15835</v>
      </c>
      <c r="C26" s="476">
        <v>9</v>
      </c>
      <c r="D26" s="476">
        <v>2024</v>
      </c>
      <c r="E26" s="476">
        <v>6160</v>
      </c>
      <c r="F26" s="476">
        <v>0</v>
      </c>
      <c r="G26" s="476">
        <v>9397.3630000000012</v>
      </c>
      <c r="H26" s="476">
        <v>9149.630000000001</v>
      </c>
      <c r="I26" s="476">
        <v>9149.630000000001</v>
      </c>
      <c r="J26" s="476">
        <v>9397.3630000000012</v>
      </c>
      <c r="K26" s="476">
        <v>0</v>
      </c>
      <c r="L26" s="476">
        <v>6160</v>
      </c>
      <c r="M26" s="476">
        <v>0</v>
      </c>
      <c r="N26" s="476">
        <v>0</v>
      </c>
      <c r="O26" s="476">
        <v>0</v>
      </c>
      <c r="P26" s="476">
        <v>9405.8630000000012</v>
      </c>
      <c r="Q26" s="476">
        <v>0</v>
      </c>
      <c r="R26" s="476">
        <v>3902342</v>
      </c>
      <c r="S26" s="476">
        <v>414.88400000000001</v>
      </c>
      <c r="T26" s="476">
        <v>0</v>
      </c>
      <c r="U26" s="476">
        <v>0</v>
      </c>
      <c r="V26" s="476">
        <v>804.53800000000001</v>
      </c>
      <c r="W26" s="476">
        <v>495584</v>
      </c>
      <c r="X26" s="476">
        <v>495584</v>
      </c>
      <c r="Y26" s="476">
        <v>0</v>
      </c>
      <c r="Z26" s="476">
        <v>0</v>
      </c>
      <c r="AA26" s="476">
        <v>0</v>
      </c>
      <c r="AB26" s="476">
        <v>0</v>
      </c>
      <c r="AC26" s="476">
        <v>0</v>
      </c>
      <c r="AD26" s="476" t="s">
        <v>314</v>
      </c>
      <c r="AE26" s="476">
        <v>0</v>
      </c>
      <c r="AF26" s="476">
        <v>0</v>
      </c>
      <c r="AG26" s="476">
        <v>0</v>
      </c>
      <c r="AH26" s="476">
        <v>0</v>
      </c>
      <c r="AI26" s="476">
        <v>0</v>
      </c>
      <c r="AJ26" s="476">
        <v>6160</v>
      </c>
      <c r="AK26" s="476" t="s">
        <v>651</v>
      </c>
      <c r="AL26" s="476" t="s">
        <v>318</v>
      </c>
      <c r="AM26" s="476">
        <v>0</v>
      </c>
      <c r="AN26" s="476">
        <v>0</v>
      </c>
      <c r="AO26" s="476">
        <v>0</v>
      </c>
      <c r="AP26" s="476">
        <v>0</v>
      </c>
      <c r="AQ26" s="476">
        <v>0</v>
      </c>
      <c r="AR26" s="476">
        <v>0</v>
      </c>
      <c r="AS26" s="476">
        <v>0</v>
      </c>
      <c r="AT26" s="476">
        <v>0</v>
      </c>
      <c r="AU26" s="476">
        <v>0</v>
      </c>
      <c r="AV26" s="476">
        <v>0</v>
      </c>
      <c r="AW26" s="476">
        <v>87006102</v>
      </c>
      <c r="AX26" s="476">
        <v>85438829</v>
      </c>
      <c r="AY26" s="476">
        <v>0</v>
      </c>
      <c r="AZ26" s="476">
        <v>3902342</v>
      </c>
      <c r="BA26" s="476">
        <v>0</v>
      </c>
      <c r="BB26" s="476">
        <v>0</v>
      </c>
      <c r="BC26" s="476">
        <v>0</v>
      </c>
      <c r="BD26" s="476">
        <v>0</v>
      </c>
      <c r="BE26" s="476">
        <v>0</v>
      </c>
      <c r="BF26" s="476">
        <v>77633879</v>
      </c>
      <c r="BG26" s="476">
        <v>0</v>
      </c>
      <c r="BH26" s="476">
        <v>0</v>
      </c>
      <c r="BI26" s="476">
        <v>0</v>
      </c>
      <c r="BJ26" s="476">
        <v>12</v>
      </c>
      <c r="BK26" s="476">
        <v>0</v>
      </c>
      <c r="BL26" s="476">
        <v>0</v>
      </c>
      <c r="BM26" s="476">
        <v>0</v>
      </c>
      <c r="BN26" s="476">
        <v>0</v>
      </c>
      <c r="BO26" s="476">
        <v>0</v>
      </c>
      <c r="BP26" s="476">
        <v>0</v>
      </c>
      <c r="BQ26" s="476">
        <v>0</v>
      </c>
      <c r="BR26" s="476">
        <v>0</v>
      </c>
      <c r="BS26" s="476">
        <v>0</v>
      </c>
      <c r="BT26" s="476">
        <v>0</v>
      </c>
      <c r="BU26" s="476">
        <v>0</v>
      </c>
      <c r="BV26" s="476">
        <v>0</v>
      </c>
      <c r="BW26" s="476">
        <v>0</v>
      </c>
      <c r="BX26" s="476">
        <v>0</v>
      </c>
      <c r="BY26" s="476">
        <v>0</v>
      </c>
      <c r="BZ26" s="476">
        <v>0</v>
      </c>
      <c r="CA26" s="476">
        <v>0</v>
      </c>
      <c r="CB26" s="476">
        <v>0</v>
      </c>
      <c r="CC26" s="476">
        <v>0</v>
      </c>
      <c r="CD26" s="476">
        <v>0</v>
      </c>
      <c r="CE26" s="476">
        <v>0</v>
      </c>
      <c r="CF26" s="476">
        <v>0</v>
      </c>
      <c r="CG26" s="476">
        <v>0</v>
      </c>
      <c r="CH26" s="476">
        <v>1586512</v>
      </c>
      <c r="CI26" s="476">
        <v>0</v>
      </c>
      <c r="CJ26" s="476">
        <v>4</v>
      </c>
      <c r="CK26" s="476">
        <v>0</v>
      </c>
      <c r="CL26" s="476">
        <v>0</v>
      </c>
      <c r="CM26" s="476">
        <v>0</v>
      </c>
      <c r="CN26" s="476">
        <v>0</v>
      </c>
      <c r="CO26" s="476">
        <v>1</v>
      </c>
      <c r="CP26" s="476">
        <v>0</v>
      </c>
      <c r="CQ26" s="476">
        <v>0</v>
      </c>
      <c r="CR26" s="476">
        <v>9397.3630000000012</v>
      </c>
      <c r="CS26" s="476">
        <v>0</v>
      </c>
      <c r="CT26" s="476">
        <v>0</v>
      </c>
      <c r="CU26" s="476">
        <v>0</v>
      </c>
      <c r="CV26" s="476">
        <v>0</v>
      </c>
      <c r="CW26" s="476">
        <v>0</v>
      </c>
      <c r="CX26" s="476">
        <v>0</v>
      </c>
      <c r="CY26" s="476">
        <v>0</v>
      </c>
      <c r="CZ26" s="476">
        <v>0</v>
      </c>
      <c r="DA26" s="476">
        <v>0</v>
      </c>
      <c r="DB26" s="476">
        <v>56360441</v>
      </c>
      <c r="DC26" s="476">
        <v>0</v>
      </c>
      <c r="DD26" s="476">
        <v>0</v>
      </c>
      <c r="DE26" s="476">
        <v>3859152</v>
      </c>
      <c r="DF26" s="476">
        <v>3859152</v>
      </c>
      <c r="DG26" s="476">
        <v>626.5</v>
      </c>
      <c r="DH26" s="476">
        <v>0</v>
      </c>
      <c r="DI26" s="476">
        <v>0</v>
      </c>
      <c r="DJ26" s="476">
        <v>0</v>
      </c>
      <c r="DK26" s="476">
        <v>0</v>
      </c>
      <c r="DL26" s="476">
        <v>0</v>
      </c>
      <c r="DM26" s="476">
        <v>5596122</v>
      </c>
      <c r="DN26" s="476">
        <v>19239</v>
      </c>
      <c r="DO26" s="476">
        <v>0</v>
      </c>
      <c r="DP26" s="476">
        <v>0</v>
      </c>
      <c r="DQ26" s="476">
        <v>0</v>
      </c>
      <c r="DR26" s="476">
        <v>0</v>
      </c>
      <c r="DS26" s="476">
        <v>0</v>
      </c>
      <c r="DT26" s="476">
        <v>0</v>
      </c>
      <c r="DU26" s="476">
        <v>0</v>
      </c>
      <c r="DV26" s="476">
        <v>0</v>
      </c>
      <c r="DW26" s="476">
        <v>0</v>
      </c>
      <c r="DX26" s="476">
        <v>0</v>
      </c>
      <c r="DY26" s="476">
        <v>0</v>
      </c>
      <c r="DZ26" s="476">
        <v>0</v>
      </c>
      <c r="EA26" s="476">
        <v>5.2000000000000005E-2</v>
      </c>
      <c r="EB26" s="476">
        <v>0</v>
      </c>
      <c r="EC26" s="476">
        <v>114.292</v>
      </c>
      <c r="ED26" s="476">
        <v>809626</v>
      </c>
      <c r="EE26" s="476">
        <v>0</v>
      </c>
      <c r="EF26" s="476">
        <v>0</v>
      </c>
      <c r="EG26" s="476">
        <v>6.5000000000000002E-2</v>
      </c>
      <c r="EH26" s="476">
        <v>4805735</v>
      </c>
      <c r="EI26" s="476">
        <v>0</v>
      </c>
      <c r="EJ26" s="476">
        <v>0</v>
      </c>
      <c r="EK26" s="476">
        <v>195.953</v>
      </c>
      <c r="EL26" s="476">
        <v>0</v>
      </c>
      <c r="EM26" s="476">
        <v>33.22</v>
      </c>
      <c r="EN26" s="476">
        <v>18.443000000000001</v>
      </c>
      <c r="EO26" s="476">
        <v>0</v>
      </c>
      <c r="EP26" s="476">
        <v>0</v>
      </c>
      <c r="EQ26" s="476">
        <v>247.733</v>
      </c>
      <c r="ER26" s="476">
        <v>0</v>
      </c>
      <c r="ES26" s="476">
        <v>780.17000000000007</v>
      </c>
      <c r="ET26" s="476">
        <v>0</v>
      </c>
      <c r="EU26" s="476">
        <v>0</v>
      </c>
      <c r="EV26" s="476">
        <v>0</v>
      </c>
      <c r="EW26" s="476">
        <v>0</v>
      </c>
      <c r="EX26" s="476">
        <v>0</v>
      </c>
      <c r="EY26" s="476">
        <v>0</v>
      </c>
      <c r="EZ26" s="476">
        <v>73740807</v>
      </c>
      <c r="FA26" s="476">
        <v>0</v>
      </c>
      <c r="FB26" s="476">
        <v>77623910</v>
      </c>
      <c r="FC26" s="476">
        <v>0</v>
      </c>
      <c r="FD26" s="476">
        <v>0</v>
      </c>
      <c r="FE26" s="476">
        <v>10023949</v>
      </c>
      <c r="FF26" s="476">
        <v>1674073</v>
      </c>
      <c r="FG26" s="476">
        <v>6.3017999999999991E-2</v>
      </c>
      <c r="FH26" s="476">
        <v>2.6953999999999999E-2</v>
      </c>
      <c r="FI26" s="476">
        <v>0</v>
      </c>
      <c r="FJ26" s="476">
        <v>0</v>
      </c>
      <c r="FK26" s="476">
        <v>12603.189</v>
      </c>
      <c r="FL26" s="476">
        <v>90908444</v>
      </c>
      <c r="FM26" s="476">
        <v>0</v>
      </c>
      <c r="FN26" s="476">
        <v>0</v>
      </c>
      <c r="FO26" s="476">
        <v>0</v>
      </c>
      <c r="FP26" s="476">
        <v>0</v>
      </c>
      <c r="FQ26" s="476">
        <v>0</v>
      </c>
      <c r="FR26" s="476">
        <v>0</v>
      </c>
      <c r="FS26" s="476">
        <v>0</v>
      </c>
      <c r="FT26" s="476">
        <v>0</v>
      </c>
      <c r="FU26" s="476">
        <v>0</v>
      </c>
      <c r="FV26" s="476">
        <v>0</v>
      </c>
      <c r="FW26" s="476">
        <v>0</v>
      </c>
      <c r="FX26" s="476">
        <v>0</v>
      </c>
      <c r="FY26" s="476">
        <v>0</v>
      </c>
      <c r="FZ26" s="476">
        <v>0</v>
      </c>
      <c r="GA26" s="476">
        <v>0</v>
      </c>
      <c r="GB26" s="476">
        <v>0</v>
      </c>
      <c r="GC26" s="476">
        <v>0</v>
      </c>
      <c r="GD26" s="476">
        <v>0</v>
      </c>
      <c r="GE26" s="476">
        <v>0</v>
      </c>
      <c r="GF26" s="476">
        <v>0</v>
      </c>
      <c r="GG26" s="476">
        <v>0</v>
      </c>
      <c r="GH26" s="476">
        <v>0</v>
      </c>
      <c r="GI26" s="476">
        <v>0</v>
      </c>
      <c r="GJ26" s="476">
        <v>0</v>
      </c>
      <c r="GK26" s="476">
        <v>0</v>
      </c>
      <c r="GL26" s="476">
        <v>0</v>
      </c>
      <c r="GM26" s="476">
        <v>0</v>
      </c>
      <c r="GN26" s="476">
        <v>0</v>
      </c>
      <c r="GO26" s="476">
        <v>0</v>
      </c>
      <c r="GP26" s="476">
        <v>0</v>
      </c>
      <c r="GQ26" s="476">
        <v>85419590</v>
      </c>
      <c r="GR26" s="476">
        <v>0</v>
      </c>
      <c r="GS26" s="476">
        <v>0</v>
      </c>
      <c r="GT26" s="476">
        <v>0</v>
      </c>
      <c r="GU26" s="476">
        <v>0</v>
      </c>
      <c r="GV26" s="476">
        <v>0</v>
      </c>
      <c r="GW26" s="476">
        <v>0</v>
      </c>
      <c r="GX26" s="476">
        <v>0</v>
      </c>
      <c r="GY26" s="476">
        <v>0</v>
      </c>
      <c r="GZ26" s="476">
        <v>0</v>
      </c>
      <c r="HA26" s="476">
        <v>0</v>
      </c>
      <c r="HB26" s="476">
        <v>323396213</v>
      </c>
      <c r="HC26" s="476">
        <v>4.2206E-2</v>
      </c>
      <c r="HD26" s="476">
        <v>1586512</v>
      </c>
      <c r="HE26" s="476">
        <v>0</v>
      </c>
      <c r="HF26" s="476">
        <v>10082892</v>
      </c>
      <c r="HG26" s="476">
        <v>46199</v>
      </c>
      <c r="HH26" s="476">
        <v>928710</v>
      </c>
      <c r="HI26" s="476">
        <v>0</v>
      </c>
      <c r="HJ26" s="476">
        <v>93974</v>
      </c>
      <c r="HK26" s="476">
        <v>9259</v>
      </c>
      <c r="HL26" s="476">
        <v>11</v>
      </c>
      <c r="HM26" s="476">
        <v>145000</v>
      </c>
      <c r="HN26" s="476">
        <v>6566</v>
      </c>
      <c r="HO26" s="476">
        <v>0</v>
      </c>
      <c r="HP26" s="476">
        <v>0</v>
      </c>
      <c r="HQ26" s="476">
        <v>0</v>
      </c>
      <c r="HR26" s="476">
        <v>0</v>
      </c>
      <c r="HS26" s="476">
        <v>73721568</v>
      </c>
      <c r="HT26" s="476">
        <v>1674073</v>
      </c>
      <c r="HU26" s="476">
        <v>0</v>
      </c>
      <c r="HV26" s="476">
        <v>0</v>
      </c>
      <c r="HW26" s="476">
        <v>0</v>
      </c>
      <c r="HX26" s="476">
        <v>936</v>
      </c>
      <c r="HY26" s="476">
        <v>786</v>
      </c>
      <c r="HZ26" s="476">
        <v>350</v>
      </c>
      <c r="IA26" s="476">
        <v>344</v>
      </c>
      <c r="IB26" s="476">
        <v>187</v>
      </c>
      <c r="IC26" s="476">
        <v>2603</v>
      </c>
      <c r="ID26" s="476">
        <v>0</v>
      </c>
      <c r="IE26" s="476">
        <v>0</v>
      </c>
      <c r="IF26" s="476">
        <v>0</v>
      </c>
      <c r="IG26" s="476">
        <v>75</v>
      </c>
      <c r="IH26" s="476">
        <v>1507.68</v>
      </c>
      <c r="II26" s="476">
        <v>0</v>
      </c>
      <c r="IJ26" s="476">
        <v>804.53800000000001</v>
      </c>
      <c r="IK26" s="476">
        <v>0</v>
      </c>
      <c r="IL26" s="476">
        <v>7</v>
      </c>
      <c r="IM26" s="476">
        <v>36</v>
      </c>
      <c r="IN26" s="476">
        <v>1</v>
      </c>
      <c r="IO26" s="476">
        <v>44</v>
      </c>
      <c r="IP26" s="476">
        <v>0</v>
      </c>
      <c r="IQ26" s="476">
        <v>804.53800000000001</v>
      </c>
      <c r="IR26" s="476">
        <v>495584</v>
      </c>
      <c r="IS26" s="476">
        <v>0</v>
      </c>
      <c r="IT26" s="476">
        <v>35000</v>
      </c>
      <c r="IU26" s="476">
        <v>108000</v>
      </c>
      <c r="IV26" s="476">
        <v>2000</v>
      </c>
      <c r="IW26" s="476">
        <v>6160</v>
      </c>
      <c r="IX26" s="476">
        <v>0</v>
      </c>
      <c r="IY26" s="476">
        <v>0</v>
      </c>
      <c r="IZ26" s="476">
        <v>0</v>
      </c>
      <c r="JA26" s="476">
        <v>0</v>
      </c>
      <c r="JB26" s="476">
        <v>0</v>
      </c>
      <c r="JC26" s="476">
        <v>0</v>
      </c>
      <c r="JD26" s="476">
        <v>1</v>
      </c>
      <c r="JE26" s="476">
        <v>6566</v>
      </c>
      <c r="JF26" s="476">
        <v>0</v>
      </c>
      <c r="JG26" s="476">
        <v>0</v>
      </c>
      <c r="JH26" s="476">
        <v>0</v>
      </c>
      <c r="JI26" s="476">
        <v>0</v>
      </c>
      <c r="JJ26" s="476">
        <v>0</v>
      </c>
      <c r="JK26" s="476">
        <v>0</v>
      </c>
      <c r="JL26" s="476">
        <v>0</v>
      </c>
      <c r="JM26" s="476">
        <v>0</v>
      </c>
      <c r="JN26" s="476">
        <v>32469</v>
      </c>
      <c r="JO26" s="476">
        <v>0</v>
      </c>
      <c r="JP26" s="476">
        <v>0</v>
      </c>
      <c r="JQ26" s="476">
        <v>0</v>
      </c>
      <c r="JR26" s="476">
        <v>0</v>
      </c>
      <c r="JS26" s="476">
        <v>0</v>
      </c>
      <c r="JT26" s="476">
        <v>0</v>
      </c>
      <c r="JU26" s="476">
        <v>0</v>
      </c>
      <c r="JV26" s="476">
        <v>0</v>
      </c>
      <c r="JW26" s="476">
        <v>0</v>
      </c>
      <c r="JX26" s="476">
        <v>0</v>
      </c>
      <c r="JY26" s="476">
        <v>0</v>
      </c>
      <c r="JZ26" s="476">
        <v>0</v>
      </c>
      <c r="KA26" s="476">
        <v>0</v>
      </c>
      <c r="KB26" s="476">
        <v>0</v>
      </c>
      <c r="KC26" s="476">
        <v>0</v>
      </c>
      <c r="KD26" s="476">
        <v>0</v>
      </c>
      <c r="KE26" s="476">
        <v>7262</v>
      </c>
      <c r="KF26" s="476">
        <v>0</v>
      </c>
      <c r="KG26" s="476">
        <v>0</v>
      </c>
      <c r="KH26" s="476">
        <v>85419590</v>
      </c>
      <c r="KI26" s="476">
        <v>0</v>
      </c>
      <c r="KJ26" s="476">
        <v>31</v>
      </c>
      <c r="KK26" s="476">
        <v>44</v>
      </c>
      <c r="KL26" s="476">
        <v>19096</v>
      </c>
      <c r="KM26" s="476">
        <v>27103</v>
      </c>
      <c r="KN26" s="476">
        <v>0</v>
      </c>
    </row>
    <row r="27" spans="1:300" x14ac:dyDescent="0.25">
      <c r="A27" s="476">
        <v>40976</v>
      </c>
      <c r="B27" s="476">
        <v>15836</v>
      </c>
      <c r="C27" s="476">
        <v>9</v>
      </c>
      <c r="D27" s="476">
        <v>2024</v>
      </c>
      <c r="E27" s="476">
        <v>6160</v>
      </c>
      <c r="F27" s="476">
        <v>0</v>
      </c>
      <c r="G27" s="476">
        <v>452.43300000000005</v>
      </c>
      <c r="H27" s="476">
        <v>440.19499999999999</v>
      </c>
      <c r="I27" s="476">
        <v>440.19499999999999</v>
      </c>
      <c r="J27" s="476">
        <v>452.43300000000005</v>
      </c>
      <c r="K27" s="476">
        <v>0</v>
      </c>
      <c r="L27" s="476">
        <v>6160</v>
      </c>
      <c r="M27" s="476">
        <v>0</v>
      </c>
      <c r="N27" s="476">
        <v>0</v>
      </c>
      <c r="O27" s="476">
        <v>0</v>
      </c>
      <c r="P27" s="476">
        <v>452.25700000000001</v>
      </c>
      <c r="Q27" s="476">
        <v>0</v>
      </c>
      <c r="R27" s="476">
        <v>187634</v>
      </c>
      <c r="S27" s="476">
        <v>414.88400000000001</v>
      </c>
      <c r="T27" s="476">
        <v>0</v>
      </c>
      <c r="U27" s="476">
        <v>0</v>
      </c>
      <c r="V27" s="476">
        <v>39.248000000000005</v>
      </c>
      <c r="W27" s="476">
        <v>24176</v>
      </c>
      <c r="X27" s="476">
        <v>24176</v>
      </c>
      <c r="Y27" s="476">
        <v>0</v>
      </c>
      <c r="Z27" s="476">
        <v>0</v>
      </c>
      <c r="AA27" s="476">
        <v>0</v>
      </c>
      <c r="AB27" s="476">
        <v>0</v>
      </c>
      <c r="AC27" s="476">
        <v>0</v>
      </c>
      <c r="AD27" s="476" t="s">
        <v>314</v>
      </c>
      <c r="AE27" s="476">
        <v>0</v>
      </c>
      <c r="AF27" s="476">
        <v>0</v>
      </c>
      <c r="AG27" s="476">
        <v>0</v>
      </c>
      <c r="AH27" s="476">
        <v>0</v>
      </c>
      <c r="AI27" s="476">
        <v>0</v>
      </c>
      <c r="AJ27" s="476">
        <v>6160</v>
      </c>
      <c r="AK27" s="476" t="s">
        <v>651</v>
      </c>
      <c r="AL27" s="476" t="s">
        <v>319</v>
      </c>
      <c r="AM27" s="476">
        <v>0</v>
      </c>
      <c r="AN27" s="476">
        <v>0</v>
      </c>
      <c r="AO27" s="476">
        <v>0</v>
      </c>
      <c r="AP27" s="476">
        <v>0</v>
      </c>
      <c r="AQ27" s="476">
        <v>0</v>
      </c>
      <c r="AR27" s="476">
        <v>0</v>
      </c>
      <c r="AS27" s="476">
        <v>0</v>
      </c>
      <c r="AT27" s="476">
        <v>0</v>
      </c>
      <c r="AU27" s="476">
        <v>0</v>
      </c>
      <c r="AV27" s="476">
        <v>0</v>
      </c>
      <c r="AW27" s="476">
        <v>4116930</v>
      </c>
      <c r="AX27" s="476">
        <v>4041494</v>
      </c>
      <c r="AY27" s="476">
        <v>0</v>
      </c>
      <c r="AZ27" s="476">
        <v>187634</v>
      </c>
      <c r="BA27" s="476">
        <v>0</v>
      </c>
      <c r="BB27" s="476">
        <v>0</v>
      </c>
      <c r="BC27" s="476">
        <v>0</v>
      </c>
      <c r="BD27" s="476">
        <v>0</v>
      </c>
      <c r="BE27" s="476">
        <v>0</v>
      </c>
      <c r="BF27" s="476">
        <v>3675323</v>
      </c>
      <c r="BG27" s="476">
        <v>0</v>
      </c>
      <c r="BH27" s="476">
        <v>0</v>
      </c>
      <c r="BI27" s="476">
        <v>0</v>
      </c>
      <c r="BJ27" s="476">
        <v>12</v>
      </c>
      <c r="BK27" s="476">
        <v>0</v>
      </c>
      <c r="BL27" s="476">
        <v>0</v>
      </c>
      <c r="BM27" s="476">
        <v>0</v>
      </c>
      <c r="BN27" s="476">
        <v>0</v>
      </c>
      <c r="BO27" s="476">
        <v>0</v>
      </c>
      <c r="BP27" s="476">
        <v>0</v>
      </c>
      <c r="BQ27" s="476">
        <v>702</v>
      </c>
      <c r="BR27" s="476">
        <v>0</v>
      </c>
      <c r="BS27" s="476">
        <v>0</v>
      </c>
      <c r="BT27" s="476">
        <v>0</v>
      </c>
      <c r="BU27" s="476">
        <v>0</v>
      </c>
      <c r="BV27" s="476">
        <v>0</v>
      </c>
      <c r="BW27" s="476">
        <v>0</v>
      </c>
      <c r="BX27" s="476">
        <v>0</v>
      </c>
      <c r="BY27" s="476">
        <v>0</v>
      </c>
      <c r="BZ27" s="476">
        <v>0</v>
      </c>
      <c r="CA27" s="476">
        <v>0</v>
      </c>
      <c r="CB27" s="476">
        <v>0</v>
      </c>
      <c r="CC27" s="476">
        <v>0</v>
      </c>
      <c r="CD27" s="476">
        <v>0</v>
      </c>
      <c r="CE27" s="476">
        <v>0</v>
      </c>
      <c r="CF27" s="476">
        <v>0</v>
      </c>
      <c r="CG27" s="476">
        <v>0</v>
      </c>
      <c r="CH27" s="476">
        <v>76382</v>
      </c>
      <c r="CI27" s="476">
        <v>0</v>
      </c>
      <c r="CJ27" s="476">
        <v>4</v>
      </c>
      <c r="CK27" s="476">
        <v>0</v>
      </c>
      <c r="CL27" s="476">
        <v>0</v>
      </c>
      <c r="CM27" s="476">
        <v>0</v>
      </c>
      <c r="CN27" s="476">
        <v>0</v>
      </c>
      <c r="CO27" s="476">
        <v>1</v>
      </c>
      <c r="CP27" s="476">
        <v>0</v>
      </c>
      <c r="CQ27" s="476">
        <v>0</v>
      </c>
      <c r="CR27" s="476">
        <v>452.43300000000005</v>
      </c>
      <c r="CS27" s="476">
        <v>0</v>
      </c>
      <c r="CT27" s="476">
        <v>0</v>
      </c>
      <c r="CU27" s="476">
        <v>0</v>
      </c>
      <c r="CV27" s="476">
        <v>0</v>
      </c>
      <c r="CW27" s="476">
        <v>0</v>
      </c>
      <c r="CX27" s="476">
        <v>0</v>
      </c>
      <c r="CY27" s="476">
        <v>0</v>
      </c>
      <c r="CZ27" s="476">
        <v>0</v>
      </c>
      <c r="DA27" s="476">
        <v>0</v>
      </c>
      <c r="DB27" s="476">
        <v>2711540</v>
      </c>
      <c r="DC27" s="476">
        <v>0</v>
      </c>
      <c r="DD27" s="476">
        <v>0</v>
      </c>
      <c r="DE27" s="476">
        <v>130358</v>
      </c>
      <c r="DF27" s="476">
        <v>130358</v>
      </c>
      <c r="DG27" s="476">
        <v>21.163</v>
      </c>
      <c r="DH27" s="476">
        <v>0</v>
      </c>
      <c r="DI27" s="476">
        <v>0</v>
      </c>
      <c r="DJ27" s="476">
        <v>0</v>
      </c>
      <c r="DK27" s="476">
        <v>2858</v>
      </c>
      <c r="DL27" s="476">
        <v>0</v>
      </c>
      <c r="DM27" s="476">
        <v>275261</v>
      </c>
      <c r="DN27" s="476">
        <v>946</v>
      </c>
      <c r="DO27" s="476">
        <v>0</v>
      </c>
      <c r="DP27" s="476">
        <v>0</v>
      </c>
      <c r="DQ27" s="476">
        <v>0</v>
      </c>
      <c r="DR27" s="476">
        <v>0</v>
      </c>
      <c r="DS27" s="476">
        <v>0</v>
      </c>
      <c r="DT27" s="476">
        <v>0</v>
      </c>
      <c r="DU27" s="476">
        <v>0</v>
      </c>
      <c r="DV27" s="476">
        <v>0</v>
      </c>
      <c r="DW27" s="476">
        <v>0</v>
      </c>
      <c r="DX27" s="476">
        <v>0</v>
      </c>
      <c r="DY27" s="476">
        <v>0</v>
      </c>
      <c r="DZ27" s="476">
        <v>0</v>
      </c>
      <c r="EA27" s="476">
        <v>0</v>
      </c>
      <c r="EB27" s="476">
        <v>0</v>
      </c>
      <c r="EC27" s="476">
        <v>5.8520000000000003</v>
      </c>
      <c r="ED27" s="476">
        <v>41455</v>
      </c>
      <c r="EE27" s="476">
        <v>0</v>
      </c>
      <c r="EF27" s="476">
        <v>0</v>
      </c>
      <c r="EG27" s="476">
        <v>0</v>
      </c>
      <c r="EH27" s="476">
        <v>234752</v>
      </c>
      <c r="EI27" s="476">
        <v>0</v>
      </c>
      <c r="EJ27" s="476">
        <v>0</v>
      </c>
      <c r="EK27" s="476">
        <v>11.08</v>
      </c>
      <c r="EL27" s="476">
        <v>0</v>
      </c>
      <c r="EM27" s="476">
        <v>0.46</v>
      </c>
      <c r="EN27" s="476">
        <v>0.69800000000000006</v>
      </c>
      <c r="EO27" s="476">
        <v>0</v>
      </c>
      <c r="EP27" s="476">
        <v>0</v>
      </c>
      <c r="EQ27" s="476">
        <v>12.238000000000001</v>
      </c>
      <c r="ER27" s="476">
        <v>0</v>
      </c>
      <c r="ES27" s="476">
        <v>38.11</v>
      </c>
      <c r="ET27" s="476">
        <v>0</v>
      </c>
      <c r="EU27" s="476">
        <v>0</v>
      </c>
      <c r="EV27" s="476">
        <v>0</v>
      </c>
      <c r="EW27" s="476">
        <v>0</v>
      </c>
      <c r="EX27" s="476">
        <v>0</v>
      </c>
      <c r="EY27" s="476">
        <v>0</v>
      </c>
      <c r="EZ27" s="476">
        <v>3487689</v>
      </c>
      <c r="FA27" s="476">
        <v>0</v>
      </c>
      <c r="FB27" s="476">
        <v>3674377</v>
      </c>
      <c r="FC27" s="476">
        <v>0</v>
      </c>
      <c r="FD27" s="476">
        <v>0</v>
      </c>
      <c r="FE27" s="476">
        <v>474551</v>
      </c>
      <c r="FF27" s="476">
        <v>79254</v>
      </c>
      <c r="FG27" s="476">
        <v>6.3017999999999991E-2</v>
      </c>
      <c r="FH27" s="476">
        <v>2.6953999999999999E-2</v>
      </c>
      <c r="FI27" s="476">
        <v>0</v>
      </c>
      <c r="FJ27" s="476">
        <v>0</v>
      </c>
      <c r="FK27" s="476">
        <v>596.65700000000004</v>
      </c>
      <c r="FL27" s="476">
        <v>4304564</v>
      </c>
      <c r="FM27" s="476">
        <v>0</v>
      </c>
      <c r="FN27" s="476">
        <v>0</v>
      </c>
      <c r="FO27" s="476">
        <v>0</v>
      </c>
      <c r="FP27" s="476">
        <v>0</v>
      </c>
      <c r="FQ27" s="476">
        <v>0</v>
      </c>
      <c r="FR27" s="476">
        <v>0</v>
      </c>
      <c r="FS27" s="476">
        <v>0</v>
      </c>
      <c r="FT27" s="476">
        <v>0</v>
      </c>
      <c r="FU27" s="476">
        <v>0</v>
      </c>
      <c r="FV27" s="476">
        <v>0</v>
      </c>
      <c r="FW27" s="476">
        <v>0</v>
      </c>
      <c r="FX27" s="476">
        <v>0</v>
      </c>
      <c r="FY27" s="476">
        <v>0</v>
      </c>
      <c r="FZ27" s="476">
        <v>0</v>
      </c>
      <c r="GA27" s="476">
        <v>0</v>
      </c>
      <c r="GB27" s="476">
        <v>0</v>
      </c>
      <c r="GC27" s="476">
        <v>0</v>
      </c>
      <c r="GD27" s="476">
        <v>0</v>
      </c>
      <c r="GE27" s="476">
        <v>0</v>
      </c>
      <c r="GF27" s="476">
        <v>0</v>
      </c>
      <c r="GG27" s="476">
        <v>0</v>
      </c>
      <c r="GH27" s="476">
        <v>0</v>
      </c>
      <c r="GI27" s="476">
        <v>0</v>
      </c>
      <c r="GJ27" s="476">
        <v>0</v>
      </c>
      <c r="GK27" s="476">
        <v>0</v>
      </c>
      <c r="GL27" s="476">
        <v>0</v>
      </c>
      <c r="GM27" s="476">
        <v>0</v>
      </c>
      <c r="GN27" s="476">
        <v>0</v>
      </c>
      <c r="GO27" s="476">
        <v>0</v>
      </c>
      <c r="GP27" s="476">
        <v>0</v>
      </c>
      <c r="GQ27" s="476">
        <v>4040548</v>
      </c>
      <c r="GR27" s="476">
        <v>0</v>
      </c>
      <c r="GS27" s="476">
        <v>0</v>
      </c>
      <c r="GT27" s="476">
        <v>0</v>
      </c>
      <c r="GU27" s="476">
        <v>0</v>
      </c>
      <c r="GV27" s="476">
        <v>0</v>
      </c>
      <c r="GW27" s="476">
        <v>0</v>
      </c>
      <c r="GX27" s="476">
        <v>0</v>
      </c>
      <c r="GY27" s="476">
        <v>0</v>
      </c>
      <c r="GZ27" s="476">
        <v>0</v>
      </c>
      <c r="HA27" s="476">
        <v>0</v>
      </c>
      <c r="HB27" s="476">
        <v>323396213</v>
      </c>
      <c r="HC27" s="476">
        <v>4.2206E-2</v>
      </c>
      <c r="HD27" s="476">
        <v>76382</v>
      </c>
      <c r="HE27" s="476">
        <v>0</v>
      </c>
      <c r="HF27" s="476">
        <v>485095</v>
      </c>
      <c r="HG27" s="476">
        <v>8008</v>
      </c>
      <c r="HH27" s="476">
        <v>35415</v>
      </c>
      <c r="HI27" s="476">
        <v>0</v>
      </c>
      <c r="HJ27" s="476">
        <v>4524</v>
      </c>
      <c r="HK27" s="476">
        <v>0</v>
      </c>
      <c r="HL27" s="476">
        <v>0</v>
      </c>
      <c r="HM27" s="476">
        <v>0</v>
      </c>
      <c r="HN27" s="476">
        <v>0</v>
      </c>
      <c r="HO27" s="476">
        <v>0</v>
      </c>
      <c r="HP27" s="476">
        <v>0</v>
      </c>
      <c r="HQ27" s="476">
        <v>0</v>
      </c>
      <c r="HR27" s="476">
        <v>0</v>
      </c>
      <c r="HS27" s="476">
        <v>3486743</v>
      </c>
      <c r="HT27" s="476">
        <v>79254</v>
      </c>
      <c r="HU27" s="476">
        <v>0</v>
      </c>
      <c r="HV27" s="476">
        <v>0</v>
      </c>
      <c r="HW27" s="476">
        <v>0</v>
      </c>
      <c r="HX27" s="476">
        <v>30</v>
      </c>
      <c r="HY27" s="476">
        <v>15</v>
      </c>
      <c r="HZ27" s="476">
        <v>18</v>
      </c>
      <c r="IA27" s="476">
        <v>20</v>
      </c>
      <c r="IB27" s="476">
        <v>4</v>
      </c>
      <c r="IC27" s="476">
        <v>87</v>
      </c>
      <c r="ID27" s="476">
        <v>0</v>
      </c>
      <c r="IE27" s="476">
        <v>0</v>
      </c>
      <c r="IF27" s="476">
        <v>0</v>
      </c>
      <c r="IG27" s="476">
        <v>13</v>
      </c>
      <c r="IH27" s="476">
        <v>57.493000000000002</v>
      </c>
      <c r="II27" s="476">
        <v>0</v>
      </c>
      <c r="IJ27" s="476">
        <v>39.248000000000005</v>
      </c>
      <c r="IK27" s="476">
        <v>0</v>
      </c>
      <c r="IL27" s="476">
        <v>0</v>
      </c>
      <c r="IM27" s="476">
        <v>0</v>
      </c>
      <c r="IN27" s="476">
        <v>0</v>
      </c>
      <c r="IO27" s="476">
        <v>0</v>
      </c>
      <c r="IP27" s="476">
        <v>0</v>
      </c>
      <c r="IQ27" s="476">
        <v>39.248000000000005</v>
      </c>
      <c r="IR27" s="476">
        <v>24176</v>
      </c>
      <c r="IS27" s="476">
        <v>0</v>
      </c>
      <c r="IT27" s="476">
        <v>0</v>
      </c>
      <c r="IU27" s="476">
        <v>0</v>
      </c>
      <c r="IV27" s="476">
        <v>0</v>
      </c>
      <c r="IW27" s="476">
        <v>6160</v>
      </c>
      <c r="IX27" s="476">
        <v>0</v>
      </c>
      <c r="IY27" s="476">
        <v>0</v>
      </c>
      <c r="IZ27" s="476">
        <v>0</v>
      </c>
      <c r="JA27" s="476">
        <v>0</v>
      </c>
      <c r="JB27" s="476">
        <v>0</v>
      </c>
      <c r="JC27" s="476">
        <v>0</v>
      </c>
      <c r="JD27" s="476">
        <v>0</v>
      </c>
      <c r="JE27" s="476">
        <v>0</v>
      </c>
      <c r="JF27" s="476">
        <v>0</v>
      </c>
      <c r="JG27" s="476">
        <v>0</v>
      </c>
      <c r="JH27" s="476">
        <v>0</v>
      </c>
      <c r="JI27" s="476">
        <v>0</v>
      </c>
      <c r="JJ27" s="476">
        <v>0</v>
      </c>
      <c r="JK27" s="476">
        <v>0</v>
      </c>
      <c r="JL27" s="476">
        <v>0</v>
      </c>
      <c r="JM27" s="476">
        <v>0</v>
      </c>
      <c r="JN27" s="476">
        <v>32469</v>
      </c>
      <c r="JO27" s="476">
        <v>0</v>
      </c>
      <c r="JP27" s="476">
        <v>0</v>
      </c>
      <c r="JQ27" s="476">
        <v>0</v>
      </c>
      <c r="JR27" s="476">
        <v>0</v>
      </c>
      <c r="JS27" s="476">
        <v>0</v>
      </c>
      <c r="JT27" s="476">
        <v>0</v>
      </c>
      <c r="JU27" s="476">
        <v>0</v>
      </c>
      <c r="JV27" s="476">
        <v>0</v>
      </c>
      <c r="JW27" s="476">
        <v>0</v>
      </c>
      <c r="JX27" s="476">
        <v>0</v>
      </c>
      <c r="JY27" s="476">
        <v>0</v>
      </c>
      <c r="JZ27" s="476">
        <v>0</v>
      </c>
      <c r="KA27" s="476">
        <v>0</v>
      </c>
      <c r="KB27" s="476">
        <v>0</v>
      </c>
      <c r="KC27" s="476">
        <v>0</v>
      </c>
      <c r="KD27" s="476">
        <v>0</v>
      </c>
      <c r="KE27" s="476">
        <v>7262</v>
      </c>
      <c r="KF27" s="476">
        <v>0</v>
      </c>
      <c r="KG27" s="476">
        <v>0</v>
      </c>
      <c r="KH27" s="476">
        <v>4040548</v>
      </c>
      <c r="KI27" s="476">
        <v>0</v>
      </c>
      <c r="KJ27" s="476">
        <v>5</v>
      </c>
      <c r="KK27" s="476">
        <v>8</v>
      </c>
      <c r="KL27" s="476">
        <v>3080</v>
      </c>
      <c r="KM27" s="476">
        <v>4928</v>
      </c>
      <c r="KN27" s="476">
        <v>0</v>
      </c>
    </row>
    <row r="28" spans="1:300" x14ac:dyDescent="0.25">
      <c r="A28" s="476">
        <v>40976</v>
      </c>
      <c r="B28" s="476">
        <v>15838</v>
      </c>
      <c r="C28" s="476">
        <v>9</v>
      </c>
      <c r="D28" s="476">
        <v>2024</v>
      </c>
      <c r="E28" s="476">
        <v>6160</v>
      </c>
      <c r="F28" s="476">
        <v>0</v>
      </c>
      <c r="G28" s="476">
        <v>2387.192</v>
      </c>
      <c r="H28" s="476">
        <v>2293.922</v>
      </c>
      <c r="I28" s="476">
        <v>2293.922</v>
      </c>
      <c r="J28" s="476">
        <v>2387.192</v>
      </c>
      <c r="K28" s="476">
        <v>0</v>
      </c>
      <c r="L28" s="476">
        <v>6160</v>
      </c>
      <c r="M28" s="476">
        <v>0</v>
      </c>
      <c r="N28" s="476">
        <v>0</v>
      </c>
      <c r="O28" s="476">
        <v>0</v>
      </c>
      <c r="P28" s="476">
        <v>2387.192</v>
      </c>
      <c r="Q28" s="476">
        <v>0</v>
      </c>
      <c r="R28" s="476">
        <v>990408</v>
      </c>
      <c r="S28" s="476">
        <v>414.88400000000001</v>
      </c>
      <c r="T28" s="476">
        <v>0</v>
      </c>
      <c r="U28" s="476">
        <v>0</v>
      </c>
      <c r="V28" s="476">
        <v>261.233</v>
      </c>
      <c r="W28" s="476">
        <v>160916</v>
      </c>
      <c r="X28" s="476">
        <v>160916</v>
      </c>
      <c r="Y28" s="476">
        <v>0</v>
      </c>
      <c r="Z28" s="476">
        <v>0</v>
      </c>
      <c r="AA28" s="476">
        <v>0</v>
      </c>
      <c r="AB28" s="476">
        <v>0</v>
      </c>
      <c r="AC28" s="476">
        <v>0</v>
      </c>
      <c r="AD28" s="476" t="s">
        <v>314</v>
      </c>
      <c r="AE28" s="476">
        <v>0</v>
      </c>
      <c r="AF28" s="476">
        <v>0</v>
      </c>
      <c r="AG28" s="476">
        <v>0</v>
      </c>
      <c r="AH28" s="476">
        <v>0</v>
      </c>
      <c r="AI28" s="476">
        <v>0</v>
      </c>
      <c r="AJ28" s="476">
        <v>6160</v>
      </c>
      <c r="AK28" s="476" t="s">
        <v>651</v>
      </c>
      <c r="AL28" s="476" t="s">
        <v>700</v>
      </c>
      <c r="AM28" s="476">
        <v>0</v>
      </c>
      <c r="AN28" s="476">
        <v>0</v>
      </c>
      <c r="AO28" s="476">
        <v>0</v>
      </c>
      <c r="AP28" s="476">
        <v>0</v>
      </c>
      <c r="AQ28" s="476">
        <v>0</v>
      </c>
      <c r="AR28" s="476">
        <v>0</v>
      </c>
      <c r="AS28" s="476">
        <v>0</v>
      </c>
      <c r="AT28" s="476">
        <v>0</v>
      </c>
      <c r="AU28" s="476">
        <v>0</v>
      </c>
      <c r="AV28" s="476">
        <v>0</v>
      </c>
      <c r="AW28" s="476">
        <v>25956486</v>
      </c>
      <c r="AX28" s="476">
        <v>25560548</v>
      </c>
      <c r="AY28" s="476">
        <v>0</v>
      </c>
      <c r="AZ28" s="476">
        <v>990408</v>
      </c>
      <c r="BA28" s="476">
        <v>0</v>
      </c>
      <c r="BB28" s="476">
        <v>0</v>
      </c>
      <c r="BC28" s="476">
        <v>0</v>
      </c>
      <c r="BD28" s="476">
        <v>0</v>
      </c>
      <c r="BE28" s="476">
        <v>0</v>
      </c>
      <c r="BF28" s="476">
        <v>22797961</v>
      </c>
      <c r="BG28" s="476">
        <v>0</v>
      </c>
      <c r="BH28" s="476">
        <v>0</v>
      </c>
      <c r="BI28" s="476">
        <v>0</v>
      </c>
      <c r="BJ28" s="476">
        <v>12</v>
      </c>
      <c r="BK28" s="476">
        <v>0</v>
      </c>
      <c r="BL28" s="476">
        <v>0</v>
      </c>
      <c r="BM28" s="476">
        <v>0</v>
      </c>
      <c r="BN28" s="476">
        <v>0</v>
      </c>
      <c r="BO28" s="476">
        <v>0</v>
      </c>
      <c r="BP28" s="476">
        <v>0</v>
      </c>
      <c r="BQ28" s="476">
        <v>417</v>
      </c>
      <c r="BR28" s="476">
        <v>0</v>
      </c>
      <c r="BS28" s="476">
        <v>0</v>
      </c>
      <c r="BT28" s="476">
        <v>0</v>
      </c>
      <c r="BU28" s="476">
        <v>0</v>
      </c>
      <c r="BV28" s="476">
        <v>0</v>
      </c>
      <c r="BW28" s="476">
        <v>0</v>
      </c>
      <c r="BX28" s="476">
        <v>0</v>
      </c>
      <c r="BY28" s="476">
        <v>0</v>
      </c>
      <c r="BZ28" s="476">
        <v>0</v>
      </c>
      <c r="CA28" s="476">
        <v>0</v>
      </c>
      <c r="CB28" s="476">
        <v>0</v>
      </c>
      <c r="CC28" s="476">
        <v>0</v>
      </c>
      <c r="CD28" s="476">
        <v>0</v>
      </c>
      <c r="CE28" s="476">
        <v>0</v>
      </c>
      <c r="CF28" s="476">
        <v>0</v>
      </c>
      <c r="CG28" s="476">
        <v>0</v>
      </c>
      <c r="CH28" s="476">
        <v>403018</v>
      </c>
      <c r="CI28" s="476">
        <v>0</v>
      </c>
      <c r="CJ28" s="476">
        <v>5</v>
      </c>
      <c r="CK28" s="476">
        <v>0</v>
      </c>
      <c r="CL28" s="476">
        <v>0</v>
      </c>
      <c r="CM28" s="476">
        <v>0</v>
      </c>
      <c r="CN28" s="476">
        <v>0</v>
      </c>
      <c r="CO28" s="476">
        <v>1</v>
      </c>
      <c r="CP28" s="476">
        <v>0</v>
      </c>
      <c r="CQ28" s="476">
        <v>0</v>
      </c>
      <c r="CR28" s="476">
        <v>2387.192</v>
      </c>
      <c r="CS28" s="476">
        <v>0</v>
      </c>
      <c r="CT28" s="476">
        <v>0</v>
      </c>
      <c r="CU28" s="476">
        <v>0</v>
      </c>
      <c r="CV28" s="476">
        <v>0</v>
      </c>
      <c r="CW28" s="476">
        <v>0</v>
      </c>
      <c r="CX28" s="476">
        <v>0</v>
      </c>
      <c r="CY28" s="476">
        <v>0</v>
      </c>
      <c r="CZ28" s="476">
        <v>0</v>
      </c>
      <c r="DA28" s="476">
        <v>0</v>
      </c>
      <c r="DB28" s="476">
        <v>14130239</v>
      </c>
      <c r="DC28" s="476">
        <v>0</v>
      </c>
      <c r="DD28" s="476">
        <v>0</v>
      </c>
      <c r="DE28" s="476">
        <v>3025646</v>
      </c>
      <c r="DF28" s="476">
        <v>3025646</v>
      </c>
      <c r="DG28" s="476">
        <v>491.18800000000005</v>
      </c>
      <c r="DH28" s="476">
        <v>0</v>
      </c>
      <c r="DI28" s="476">
        <v>0</v>
      </c>
      <c r="DJ28" s="476">
        <v>0</v>
      </c>
      <c r="DK28" s="476">
        <v>0</v>
      </c>
      <c r="DL28" s="476">
        <v>0</v>
      </c>
      <c r="DM28" s="476">
        <v>2059473</v>
      </c>
      <c r="DN28" s="476">
        <v>7080</v>
      </c>
      <c r="DO28" s="476">
        <v>0</v>
      </c>
      <c r="DP28" s="476">
        <v>0</v>
      </c>
      <c r="DQ28" s="476">
        <v>0</v>
      </c>
      <c r="DR28" s="476">
        <v>0</v>
      </c>
      <c r="DS28" s="476">
        <v>0</v>
      </c>
      <c r="DT28" s="476">
        <v>0</v>
      </c>
      <c r="DU28" s="476">
        <v>0</v>
      </c>
      <c r="DV28" s="476">
        <v>0</v>
      </c>
      <c r="DW28" s="476">
        <v>0</v>
      </c>
      <c r="DX28" s="476">
        <v>0</v>
      </c>
      <c r="DY28" s="476">
        <v>0</v>
      </c>
      <c r="DZ28" s="476">
        <v>0</v>
      </c>
      <c r="EA28" s="476">
        <v>0.22900000000000001</v>
      </c>
      <c r="EB28" s="476">
        <v>0</v>
      </c>
      <c r="EC28" s="476">
        <v>142.673</v>
      </c>
      <c r="ED28" s="476">
        <v>1010673</v>
      </c>
      <c r="EE28" s="476">
        <v>0</v>
      </c>
      <c r="EF28" s="476">
        <v>0</v>
      </c>
      <c r="EG28" s="476">
        <v>0</v>
      </c>
      <c r="EH28" s="476">
        <v>1055880</v>
      </c>
      <c r="EI28" s="476">
        <v>0</v>
      </c>
      <c r="EJ28" s="476">
        <v>0</v>
      </c>
      <c r="EK28" s="476">
        <v>17.387</v>
      </c>
      <c r="EL28" s="476">
        <v>0</v>
      </c>
      <c r="EM28" s="476">
        <v>29.469000000000001</v>
      </c>
      <c r="EN28" s="476">
        <v>5.94</v>
      </c>
      <c r="EO28" s="476">
        <v>0</v>
      </c>
      <c r="EP28" s="476">
        <v>0</v>
      </c>
      <c r="EQ28" s="476">
        <v>53.025000000000006</v>
      </c>
      <c r="ER28" s="476">
        <v>0</v>
      </c>
      <c r="ES28" s="476">
        <v>171.41300000000001</v>
      </c>
      <c r="ET28" s="476">
        <v>0</v>
      </c>
      <c r="EU28" s="476">
        <v>0</v>
      </c>
      <c r="EV28" s="476">
        <v>0</v>
      </c>
      <c r="EW28" s="476">
        <v>0</v>
      </c>
      <c r="EX28" s="476">
        <v>0</v>
      </c>
      <c r="EY28" s="476">
        <v>0</v>
      </c>
      <c r="EZ28" s="476">
        <v>22125308</v>
      </c>
      <c r="FA28" s="476">
        <v>0</v>
      </c>
      <c r="FB28" s="476">
        <v>23108636</v>
      </c>
      <c r="FC28" s="476">
        <v>0</v>
      </c>
      <c r="FD28" s="476">
        <v>0</v>
      </c>
      <c r="FE28" s="476">
        <v>2943632</v>
      </c>
      <c r="FF28" s="476">
        <v>491608</v>
      </c>
      <c r="FG28" s="476">
        <v>6.3017999999999991E-2</v>
      </c>
      <c r="FH28" s="476">
        <v>2.6953999999999999E-2</v>
      </c>
      <c r="FI28" s="476">
        <v>0</v>
      </c>
      <c r="FJ28" s="476">
        <v>0</v>
      </c>
      <c r="FK28" s="476">
        <v>3701.0520000000001</v>
      </c>
      <c r="FL28" s="476">
        <v>26946894</v>
      </c>
      <c r="FM28" s="476">
        <v>0</v>
      </c>
      <c r="FN28" s="476">
        <v>0</v>
      </c>
      <c r="FO28" s="476">
        <v>218453</v>
      </c>
      <c r="FP28" s="476">
        <v>94848</v>
      </c>
      <c r="FQ28" s="476">
        <v>313301</v>
      </c>
      <c r="FR28" s="476">
        <v>218453</v>
      </c>
      <c r="FS28" s="476">
        <v>0</v>
      </c>
      <c r="FT28" s="476">
        <v>0</v>
      </c>
      <c r="FU28" s="476">
        <v>0</v>
      </c>
      <c r="FV28" s="476">
        <v>0</v>
      </c>
      <c r="FW28" s="476">
        <v>0</v>
      </c>
      <c r="FX28" s="476">
        <v>0</v>
      </c>
      <c r="FY28" s="476">
        <v>0</v>
      </c>
      <c r="FZ28" s="476">
        <v>0</v>
      </c>
      <c r="GA28" s="476">
        <v>0</v>
      </c>
      <c r="GB28" s="476">
        <v>388737</v>
      </c>
      <c r="GC28" s="476">
        <v>388737</v>
      </c>
      <c r="GD28" s="476">
        <v>40.245000000000005</v>
      </c>
      <c r="GE28" s="476">
        <v>0</v>
      </c>
      <c r="GF28" s="476">
        <v>0</v>
      </c>
      <c r="GG28" s="476">
        <v>0</v>
      </c>
      <c r="GH28" s="476">
        <v>0</v>
      </c>
      <c r="GI28" s="476">
        <v>0</v>
      </c>
      <c r="GJ28" s="476">
        <v>0</v>
      </c>
      <c r="GK28" s="476">
        <v>0</v>
      </c>
      <c r="GL28" s="476">
        <v>0</v>
      </c>
      <c r="GM28" s="476">
        <v>0</v>
      </c>
      <c r="GN28" s="476">
        <v>0</v>
      </c>
      <c r="GO28" s="476">
        <v>0</v>
      </c>
      <c r="GP28" s="476">
        <v>0</v>
      </c>
      <c r="GQ28" s="476">
        <v>25553468</v>
      </c>
      <c r="GR28" s="476">
        <v>0</v>
      </c>
      <c r="GS28" s="476">
        <v>0</v>
      </c>
      <c r="GT28" s="476">
        <v>0</v>
      </c>
      <c r="GU28" s="476">
        <v>0</v>
      </c>
      <c r="GV28" s="476">
        <v>0</v>
      </c>
      <c r="GW28" s="476">
        <v>0</v>
      </c>
      <c r="GX28" s="476">
        <v>0</v>
      </c>
      <c r="GY28" s="476">
        <v>0</v>
      </c>
      <c r="GZ28" s="476">
        <v>0</v>
      </c>
      <c r="HA28" s="476">
        <v>0</v>
      </c>
      <c r="HB28" s="476">
        <v>323396213</v>
      </c>
      <c r="HC28" s="476">
        <v>4.2206E-2</v>
      </c>
      <c r="HD28" s="476">
        <v>403018</v>
      </c>
      <c r="HE28" s="476">
        <v>0</v>
      </c>
      <c r="HF28" s="476">
        <v>2527902</v>
      </c>
      <c r="HG28" s="476">
        <v>49279</v>
      </c>
      <c r="HH28" s="476">
        <v>424817</v>
      </c>
      <c r="HI28" s="476">
        <v>0</v>
      </c>
      <c r="HJ28" s="476">
        <v>23872</v>
      </c>
      <c r="HK28" s="476">
        <v>3931</v>
      </c>
      <c r="HL28" s="476">
        <v>523</v>
      </c>
      <c r="HM28" s="476">
        <v>0</v>
      </c>
      <c r="HN28" s="476">
        <v>0</v>
      </c>
      <c r="HO28" s="476">
        <v>0</v>
      </c>
      <c r="HP28" s="476">
        <v>0</v>
      </c>
      <c r="HQ28" s="476">
        <v>0</v>
      </c>
      <c r="HR28" s="476">
        <v>0</v>
      </c>
      <c r="HS28" s="476">
        <v>22118228</v>
      </c>
      <c r="HT28" s="476">
        <v>491608</v>
      </c>
      <c r="HU28" s="476">
        <v>0</v>
      </c>
      <c r="HV28" s="476">
        <v>0</v>
      </c>
      <c r="HW28" s="476">
        <v>0</v>
      </c>
      <c r="HX28" s="476">
        <v>274</v>
      </c>
      <c r="HY28" s="476">
        <v>227</v>
      </c>
      <c r="HZ28" s="476">
        <v>259</v>
      </c>
      <c r="IA28" s="476">
        <v>320</v>
      </c>
      <c r="IB28" s="476">
        <v>825</v>
      </c>
      <c r="IC28" s="476">
        <v>1905</v>
      </c>
      <c r="ID28" s="476">
        <v>0</v>
      </c>
      <c r="IE28" s="476">
        <v>0</v>
      </c>
      <c r="IF28" s="476">
        <v>0</v>
      </c>
      <c r="IG28" s="476">
        <v>80</v>
      </c>
      <c r="IH28" s="476">
        <v>689.65300000000002</v>
      </c>
      <c r="II28" s="476">
        <v>0</v>
      </c>
      <c r="IJ28" s="476">
        <v>261.233</v>
      </c>
      <c r="IK28" s="476">
        <v>0</v>
      </c>
      <c r="IL28" s="476">
        <v>0</v>
      </c>
      <c r="IM28" s="476">
        <v>0</v>
      </c>
      <c r="IN28" s="476">
        <v>0</v>
      </c>
      <c r="IO28" s="476">
        <v>0</v>
      </c>
      <c r="IP28" s="476">
        <v>0</v>
      </c>
      <c r="IQ28" s="476">
        <v>261.233</v>
      </c>
      <c r="IR28" s="476">
        <v>160916</v>
      </c>
      <c r="IS28" s="476">
        <v>0</v>
      </c>
      <c r="IT28" s="476">
        <v>0</v>
      </c>
      <c r="IU28" s="476">
        <v>0</v>
      </c>
      <c r="IV28" s="476">
        <v>0</v>
      </c>
      <c r="IW28" s="476">
        <v>6160</v>
      </c>
      <c r="IX28" s="476">
        <v>0</v>
      </c>
      <c r="IY28" s="476">
        <v>0</v>
      </c>
      <c r="IZ28" s="476">
        <v>0</v>
      </c>
      <c r="JA28" s="476">
        <v>0</v>
      </c>
      <c r="JB28" s="476">
        <v>0</v>
      </c>
      <c r="JC28" s="476">
        <v>0</v>
      </c>
      <c r="JD28" s="476">
        <v>0</v>
      </c>
      <c r="JE28" s="476">
        <v>0</v>
      </c>
      <c r="JF28" s="476">
        <v>0</v>
      </c>
      <c r="JG28" s="476">
        <v>0</v>
      </c>
      <c r="JH28" s="476">
        <v>0</v>
      </c>
      <c r="JI28" s="476">
        <v>0</v>
      </c>
      <c r="JJ28" s="476">
        <v>0</v>
      </c>
      <c r="JK28" s="476">
        <v>0</v>
      </c>
      <c r="JL28" s="476">
        <v>0</v>
      </c>
      <c r="JM28" s="476">
        <v>0</v>
      </c>
      <c r="JN28" s="476">
        <v>32469</v>
      </c>
      <c r="JO28" s="476">
        <v>0</v>
      </c>
      <c r="JP28" s="476">
        <v>29.631</v>
      </c>
      <c r="JQ28" s="476">
        <v>10.614000000000001</v>
      </c>
      <c r="JR28" s="476">
        <v>0</v>
      </c>
      <c r="JS28" s="476">
        <v>275431</v>
      </c>
      <c r="JT28" s="476">
        <v>113306</v>
      </c>
      <c r="JU28" s="476">
        <v>0</v>
      </c>
      <c r="JV28" s="476">
        <v>0</v>
      </c>
      <c r="JW28" s="476">
        <v>0</v>
      </c>
      <c r="JX28" s="476">
        <v>0</v>
      </c>
      <c r="JY28" s="476">
        <v>0</v>
      </c>
      <c r="JZ28" s="476">
        <v>0</v>
      </c>
      <c r="KA28" s="476">
        <v>0</v>
      </c>
      <c r="KB28" s="476">
        <v>0</v>
      </c>
      <c r="KC28" s="476">
        <v>0</v>
      </c>
      <c r="KD28" s="476">
        <v>0</v>
      </c>
      <c r="KE28" s="476">
        <v>7262</v>
      </c>
      <c r="KF28" s="476">
        <v>0</v>
      </c>
      <c r="KG28" s="476">
        <v>0</v>
      </c>
      <c r="KH28" s="476">
        <v>25553468</v>
      </c>
      <c r="KI28" s="476">
        <v>0</v>
      </c>
      <c r="KJ28" s="476">
        <v>18</v>
      </c>
      <c r="KK28" s="476">
        <v>62</v>
      </c>
      <c r="KL28" s="476">
        <v>11088</v>
      </c>
      <c r="KM28" s="476">
        <v>38191</v>
      </c>
      <c r="KN28" s="476">
        <v>0</v>
      </c>
    </row>
    <row r="29" spans="1:300" x14ac:dyDescent="0.25">
      <c r="A29" s="476">
        <v>40976</v>
      </c>
      <c r="B29" s="476">
        <v>15839</v>
      </c>
      <c r="C29" s="476">
        <v>9</v>
      </c>
      <c r="D29" s="476">
        <v>2024</v>
      </c>
      <c r="E29" s="476">
        <v>6160</v>
      </c>
      <c r="F29" s="476">
        <v>0</v>
      </c>
      <c r="G29" s="476">
        <v>284.62</v>
      </c>
      <c r="H29" s="476">
        <v>263.71800000000002</v>
      </c>
      <c r="I29" s="476">
        <v>263.71800000000002</v>
      </c>
      <c r="J29" s="476">
        <v>284.62</v>
      </c>
      <c r="K29" s="476">
        <v>0</v>
      </c>
      <c r="L29" s="476">
        <v>6160</v>
      </c>
      <c r="M29" s="476">
        <v>0</v>
      </c>
      <c r="N29" s="476">
        <v>0</v>
      </c>
      <c r="O29" s="476">
        <v>0</v>
      </c>
      <c r="P29" s="476">
        <v>284.62</v>
      </c>
      <c r="Q29" s="476">
        <v>0</v>
      </c>
      <c r="R29" s="476">
        <v>118084</v>
      </c>
      <c r="S29" s="476">
        <v>414.88400000000001</v>
      </c>
      <c r="T29" s="476">
        <v>0</v>
      </c>
      <c r="U29" s="476">
        <v>0</v>
      </c>
      <c r="V29" s="476">
        <v>20.377000000000002</v>
      </c>
      <c r="W29" s="476">
        <v>12552</v>
      </c>
      <c r="X29" s="476">
        <v>12552</v>
      </c>
      <c r="Y29" s="476">
        <v>0</v>
      </c>
      <c r="Z29" s="476">
        <v>0</v>
      </c>
      <c r="AA29" s="476">
        <v>0</v>
      </c>
      <c r="AB29" s="476">
        <v>0</v>
      </c>
      <c r="AC29" s="476">
        <v>0</v>
      </c>
      <c r="AD29" s="476" t="s">
        <v>314</v>
      </c>
      <c r="AE29" s="476">
        <v>0</v>
      </c>
      <c r="AF29" s="476">
        <v>0</v>
      </c>
      <c r="AG29" s="476">
        <v>0</v>
      </c>
      <c r="AH29" s="476">
        <v>0</v>
      </c>
      <c r="AI29" s="476">
        <v>0</v>
      </c>
      <c r="AJ29" s="476">
        <v>6160</v>
      </c>
      <c r="AK29" s="476" t="s">
        <v>651</v>
      </c>
      <c r="AL29" s="476" t="s">
        <v>455</v>
      </c>
      <c r="AM29" s="476">
        <v>0</v>
      </c>
      <c r="AN29" s="476">
        <v>0</v>
      </c>
      <c r="AO29" s="476">
        <v>0</v>
      </c>
      <c r="AP29" s="476">
        <v>0</v>
      </c>
      <c r="AQ29" s="476">
        <v>0</v>
      </c>
      <c r="AR29" s="476">
        <v>0</v>
      </c>
      <c r="AS29" s="476">
        <v>0</v>
      </c>
      <c r="AT29" s="476">
        <v>0</v>
      </c>
      <c r="AU29" s="476">
        <v>0</v>
      </c>
      <c r="AV29" s="476">
        <v>0</v>
      </c>
      <c r="AW29" s="476">
        <v>3440384</v>
      </c>
      <c r="AX29" s="476">
        <v>3442029</v>
      </c>
      <c r="AY29" s="476">
        <v>0</v>
      </c>
      <c r="AZ29" s="476">
        <v>118084</v>
      </c>
      <c r="BA29" s="476">
        <v>0</v>
      </c>
      <c r="BB29" s="476">
        <v>0</v>
      </c>
      <c r="BC29" s="476">
        <v>0</v>
      </c>
      <c r="BD29" s="476">
        <v>0</v>
      </c>
      <c r="BE29" s="476">
        <v>0</v>
      </c>
      <c r="BF29" s="476">
        <v>3068578</v>
      </c>
      <c r="BG29" s="476">
        <v>0</v>
      </c>
      <c r="BH29" s="476">
        <v>0</v>
      </c>
      <c r="BI29" s="476">
        <v>0</v>
      </c>
      <c r="BJ29" s="476">
        <v>12</v>
      </c>
      <c r="BK29" s="476">
        <v>0</v>
      </c>
      <c r="BL29" s="476">
        <v>0</v>
      </c>
      <c r="BM29" s="476">
        <v>0</v>
      </c>
      <c r="BN29" s="476">
        <v>0</v>
      </c>
      <c r="BO29" s="476">
        <v>0</v>
      </c>
      <c r="BP29" s="476">
        <v>0</v>
      </c>
      <c r="BQ29" s="476">
        <v>729</v>
      </c>
      <c r="BR29" s="476">
        <v>0</v>
      </c>
      <c r="BS29" s="476">
        <v>0</v>
      </c>
      <c r="BT29" s="476">
        <v>0</v>
      </c>
      <c r="BU29" s="476">
        <v>0</v>
      </c>
      <c r="BV29" s="476">
        <v>0</v>
      </c>
      <c r="BW29" s="476">
        <v>0</v>
      </c>
      <c r="BX29" s="476">
        <v>0</v>
      </c>
      <c r="BY29" s="476">
        <v>0</v>
      </c>
      <c r="BZ29" s="476">
        <v>0</v>
      </c>
      <c r="CA29" s="476">
        <v>0</v>
      </c>
      <c r="CB29" s="476">
        <v>0</v>
      </c>
      <c r="CC29" s="476">
        <v>0</v>
      </c>
      <c r="CD29" s="476">
        <v>0</v>
      </c>
      <c r="CE29" s="476">
        <v>0</v>
      </c>
      <c r="CF29" s="476">
        <v>0</v>
      </c>
      <c r="CG29" s="476">
        <v>0</v>
      </c>
      <c r="CH29" s="476">
        <v>0</v>
      </c>
      <c r="CI29" s="476">
        <v>0</v>
      </c>
      <c r="CJ29" s="476">
        <v>4</v>
      </c>
      <c r="CK29" s="476">
        <v>0</v>
      </c>
      <c r="CL29" s="476">
        <v>0</v>
      </c>
      <c r="CM29" s="476">
        <v>0</v>
      </c>
      <c r="CN29" s="476">
        <v>0</v>
      </c>
      <c r="CO29" s="476">
        <v>1</v>
      </c>
      <c r="CP29" s="476">
        <v>0</v>
      </c>
      <c r="CQ29" s="476">
        <v>0</v>
      </c>
      <c r="CR29" s="476">
        <v>284.62</v>
      </c>
      <c r="CS29" s="476">
        <v>0</v>
      </c>
      <c r="CT29" s="476">
        <v>0</v>
      </c>
      <c r="CU29" s="476">
        <v>0</v>
      </c>
      <c r="CV29" s="476">
        <v>0</v>
      </c>
      <c r="CW29" s="476">
        <v>0</v>
      </c>
      <c r="CX29" s="476">
        <v>0</v>
      </c>
      <c r="CY29" s="476">
        <v>0</v>
      </c>
      <c r="CZ29" s="476">
        <v>0</v>
      </c>
      <c r="DA29" s="476">
        <v>0</v>
      </c>
      <c r="DB29" s="476">
        <v>1624466</v>
      </c>
      <c r="DC29" s="476">
        <v>0</v>
      </c>
      <c r="DD29" s="476">
        <v>0</v>
      </c>
      <c r="DE29" s="476">
        <v>346954</v>
      </c>
      <c r="DF29" s="476">
        <v>346954</v>
      </c>
      <c r="DG29" s="476">
        <v>56.325000000000003</v>
      </c>
      <c r="DH29" s="476">
        <v>0</v>
      </c>
      <c r="DI29" s="476">
        <v>0</v>
      </c>
      <c r="DJ29" s="476">
        <v>0</v>
      </c>
      <c r="DK29" s="476">
        <v>3293</v>
      </c>
      <c r="DL29" s="476">
        <v>0</v>
      </c>
      <c r="DM29" s="476">
        <v>478373</v>
      </c>
      <c r="DN29" s="476">
        <v>1645</v>
      </c>
      <c r="DO29" s="476">
        <v>0</v>
      </c>
      <c r="DP29" s="476">
        <v>0</v>
      </c>
      <c r="DQ29" s="476">
        <v>0</v>
      </c>
      <c r="DR29" s="476">
        <v>0</v>
      </c>
      <c r="DS29" s="476">
        <v>0</v>
      </c>
      <c r="DT29" s="476">
        <v>0</v>
      </c>
      <c r="DU29" s="476">
        <v>0</v>
      </c>
      <c r="DV29" s="476">
        <v>0</v>
      </c>
      <c r="DW29" s="476">
        <v>0</v>
      </c>
      <c r="DX29" s="476">
        <v>0</v>
      </c>
      <c r="DY29" s="476">
        <v>0</v>
      </c>
      <c r="DZ29" s="476">
        <v>0</v>
      </c>
      <c r="EA29" s="476">
        <v>0</v>
      </c>
      <c r="EB29" s="476">
        <v>0</v>
      </c>
      <c r="EC29" s="476">
        <v>11.072000000000001</v>
      </c>
      <c r="ED29" s="476">
        <v>78432</v>
      </c>
      <c r="EE29" s="476">
        <v>0</v>
      </c>
      <c r="EF29" s="476">
        <v>0</v>
      </c>
      <c r="EG29" s="476">
        <v>0</v>
      </c>
      <c r="EH29" s="476">
        <v>401586</v>
      </c>
      <c r="EI29" s="476">
        <v>0</v>
      </c>
      <c r="EJ29" s="476">
        <v>0</v>
      </c>
      <c r="EK29" s="476">
        <v>18.667000000000002</v>
      </c>
      <c r="EL29" s="476">
        <v>0</v>
      </c>
      <c r="EM29" s="476">
        <v>0.99099999999999999</v>
      </c>
      <c r="EN29" s="476">
        <v>1.244</v>
      </c>
      <c r="EO29" s="476">
        <v>0</v>
      </c>
      <c r="EP29" s="476">
        <v>0</v>
      </c>
      <c r="EQ29" s="476">
        <v>20.902000000000001</v>
      </c>
      <c r="ER29" s="476">
        <v>0</v>
      </c>
      <c r="ES29" s="476">
        <v>65.194000000000003</v>
      </c>
      <c r="ET29" s="476">
        <v>0</v>
      </c>
      <c r="EU29" s="476">
        <v>0</v>
      </c>
      <c r="EV29" s="476">
        <v>0</v>
      </c>
      <c r="EW29" s="476">
        <v>0</v>
      </c>
      <c r="EX29" s="476">
        <v>0</v>
      </c>
      <c r="EY29" s="476">
        <v>0</v>
      </c>
      <c r="EZ29" s="476">
        <v>2979650</v>
      </c>
      <c r="FA29" s="476">
        <v>0</v>
      </c>
      <c r="FB29" s="476">
        <v>3096089</v>
      </c>
      <c r="FC29" s="476">
        <v>0</v>
      </c>
      <c r="FD29" s="476">
        <v>0</v>
      </c>
      <c r="FE29" s="476">
        <v>396209</v>
      </c>
      <c r="FF29" s="476">
        <v>66170</v>
      </c>
      <c r="FG29" s="476">
        <v>6.3017999999999991E-2</v>
      </c>
      <c r="FH29" s="476">
        <v>2.6953999999999999E-2</v>
      </c>
      <c r="FI29" s="476">
        <v>0</v>
      </c>
      <c r="FJ29" s="476">
        <v>0</v>
      </c>
      <c r="FK29" s="476">
        <v>498.15700000000004</v>
      </c>
      <c r="FL29" s="476">
        <v>3558468</v>
      </c>
      <c r="FM29" s="476">
        <v>0</v>
      </c>
      <c r="FN29" s="476">
        <v>0</v>
      </c>
      <c r="FO29" s="476">
        <v>29156</v>
      </c>
      <c r="FP29" s="476">
        <v>0</v>
      </c>
      <c r="FQ29" s="476">
        <v>29156</v>
      </c>
      <c r="FR29" s="476">
        <v>29156</v>
      </c>
      <c r="FS29" s="476">
        <v>0</v>
      </c>
      <c r="FT29" s="476">
        <v>0</v>
      </c>
      <c r="FU29" s="476">
        <v>0</v>
      </c>
      <c r="FV29" s="476">
        <v>0</v>
      </c>
      <c r="FW29" s="476">
        <v>0</v>
      </c>
      <c r="FX29" s="476">
        <v>0</v>
      </c>
      <c r="FY29" s="476">
        <v>0</v>
      </c>
      <c r="FZ29" s="476">
        <v>0</v>
      </c>
      <c r="GA29" s="476">
        <v>0</v>
      </c>
      <c r="GB29" s="476">
        <v>0</v>
      </c>
      <c r="GC29" s="476">
        <v>0</v>
      </c>
      <c r="GD29" s="476">
        <v>0</v>
      </c>
      <c r="GE29" s="476">
        <v>0</v>
      </c>
      <c r="GF29" s="476">
        <v>0</v>
      </c>
      <c r="GG29" s="476">
        <v>0</v>
      </c>
      <c r="GH29" s="476">
        <v>0</v>
      </c>
      <c r="GI29" s="476">
        <v>0</v>
      </c>
      <c r="GJ29" s="476">
        <v>0</v>
      </c>
      <c r="GK29" s="476">
        <v>0</v>
      </c>
      <c r="GL29" s="476">
        <v>0</v>
      </c>
      <c r="GM29" s="476">
        <v>0</v>
      </c>
      <c r="GN29" s="476">
        <v>0</v>
      </c>
      <c r="GO29" s="476">
        <v>0</v>
      </c>
      <c r="GP29" s="476">
        <v>0</v>
      </c>
      <c r="GQ29" s="476">
        <v>3440384</v>
      </c>
      <c r="GR29" s="476">
        <v>0</v>
      </c>
      <c r="GS29" s="476">
        <v>0</v>
      </c>
      <c r="GT29" s="476">
        <v>0</v>
      </c>
      <c r="GU29" s="476">
        <v>0</v>
      </c>
      <c r="GV29" s="476">
        <v>0</v>
      </c>
      <c r="GW29" s="476">
        <v>0</v>
      </c>
      <c r="GX29" s="476">
        <v>0</v>
      </c>
      <c r="GY29" s="476">
        <v>0</v>
      </c>
      <c r="GZ29" s="476">
        <v>0</v>
      </c>
      <c r="HA29" s="476">
        <v>0</v>
      </c>
      <c r="HB29" s="476">
        <v>0</v>
      </c>
      <c r="HC29" s="476">
        <v>4.2206E-2</v>
      </c>
      <c r="HD29" s="476">
        <v>0</v>
      </c>
      <c r="HE29" s="476">
        <v>0</v>
      </c>
      <c r="HF29" s="476">
        <v>290617</v>
      </c>
      <c r="HG29" s="476">
        <v>15400</v>
      </c>
      <c r="HH29" s="476">
        <v>118189</v>
      </c>
      <c r="HI29" s="476">
        <v>0</v>
      </c>
      <c r="HJ29" s="476">
        <v>2846</v>
      </c>
      <c r="HK29" s="476">
        <v>0</v>
      </c>
      <c r="HL29" s="476">
        <v>0</v>
      </c>
      <c r="HM29" s="476">
        <v>0</v>
      </c>
      <c r="HN29" s="476">
        <v>177536</v>
      </c>
      <c r="HO29" s="476">
        <v>0</v>
      </c>
      <c r="HP29" s="476">
        <v>0</v>
      </c>
      <c r="HQ29" s="476">
        <v>0</v>
      </c>
      <c r="HR29" s="476">
        <v>0</v>
      </c>
      <c r="HS29" s="476">
        <v>2978005</v>
      </c>
      <c r="HT29" s="476">
        <v>66170</v>
      </c>
      <c r="HU29" s="476">
        <v>0</v>
      </c>
      <c r="HV29" s="476">
        <v>0</v>
      </c>
      <c r="HW29" s="476">
        <v>0</v>
      </c>
      <c r="HX29" s="476">
        <v>14</v>
      </c>
      <c r="HY29" s="476">
        <v>25</v>
      </c>
      <c r="HZ29" s="476">
        <v>26</v>
      </c>
      <c r="IA29" s="476">
        <v>41</v>
      </c>
      <c r="IB29" s="476">
        <v>109</v>
      </c>
      <c r="IC29" s="476">
        <v>215</v>
      </c>
      <c r="ID29" s="476">
        <v>0</v>
      </c>
      <c r="IE29" s="476">
        <v>0</v>
      </c>
      <c r="IF29" s="476">
        <v>0</v>
      </c>
      <c r="IG29" s="476">
        <v>25</v>
      </c>
      <c r="IH29" s="476">
        <v>191.87</v>
      </c>
      <c r="II29" s="476">
        <v>0</v>
      </c>
      <c r="IJ29" s="476">
        <v>20.377000000000002</v>
      </c>
      <c r="IK29" s="476">
        <v>0</v>
      </c>
      <c r="IL29" s="476">
        <v>0</v>
      </c>
      <c r="IM29" s="476">
        <v>0</v>
      </c>
      <c r="IN29" s="476">
        <v>0</v>
      </c>
      <c r="IO29" s="476">
        <v>0</v>
      </c>
      <c r="IP29" s="476">
        <v>0</v>
      </c>
      <c r="IQ29" s="476">
        <v>20.377000000000002</v>
      </c>
      <c r="IR29" s="476">
        <v>12552</v>
      </c>
      <c r="IS29" s="476">
        <v>0</v>
      </c>
      <c r="IT29" s="476">
        <v>0</v>
      </c>
      <c r="IU29" s="476">
        <v>0</v>
      </c>
      <c r="IV29" s="476">
        <v>0</v>
      </c>
      <c r="IW29" s="476">
        <v>6160</v>
      </c>
      <c r="IX29" s="476">
        <v>0</v>
      </c>
      <c r="IY29" s="476">
        <v>0</v>
      </c>
      <c r="IZ29" s="476">
        <v>0</v>
      </c>
      <c r="JA29" s="476">
        <v>0</v>
      </c>
      <c r="JB29" s="476">
        <v>5</v>
      </c>
      <c r="JC29" s="476">
        <v>120160</v>
      </c>
      <c r="JD29" s="476">
        <v>4</v>
      </c>
      <c r="JE29" s="476">
        <v>52876</v>
      </c>
      <c r="JF29" s="476">
        <v>0</v>
      </c>
      <c r="JG29" s="476">
        <v>0</v>
      </c>
      <c r="JH29" s="476">
        <v>4500</v>
      </c>
      <c r="JI29" s="476">
        <v>0</v>
      </c>
      <c r="JJ29" s="476">
        <v>0</v>
      </c>
      <c r="JK29" s="476">
        <v>0</v>
      </c>
      <c r="JL29" s="476">
        <v>0</v>
      </c>
      <c r="JM29" s="476">
        <v>0</v>
      </c>
      <c r="JN29" s="476">
        <v>29136</v>
      </c>
      <c r="JO29" s="476">
        <v>0</v>
      </c>
      <c r="JP29" s="476">
        <v>0</v>
      </c>
      <c r="JQ29" s="476">
        <v>0</v>
      </c>
      <c r="JR29" s="476">
        <v>0</v>
      </c>
      <c r="JS29" s="476">
        <v>0</v>
      </c>
      <c r="JT29" s="476">
        <v>0</v>
      </c>
      <c r="JU29" s="476">
        <v>0</v>
      </c>
      <c r="JV29" s="476">
        <v>0</v>
      </c>
      <c r="JW29" s="476">
        <v>0</v>
      </c>
      <c r="JX29" s="476">
        <v>0</v>
      </c>
      <c r="JY29" s="476">
        <v>0</v>
      </c>
      <c r="JZ29" s="476">
        <v>0</v>
      </c>
      <c r="KA29" s="476">
        <v>0</v>
      </c>
      <c r="KB29" s="476">
        <v>0</v>
      </c>
      <c r="KC29" s="476">
        <v>0</v>
      </c>
      <c r="KD29" s="476">
        <v>0</v>
      </c>
      <c r="KE29" s="476">
        <v>7262</v>
      </c>
      <c r="KF29" s="476">
        <v>0</v>
      </c>
      <c r="KG29" s="476">
        <v>0</v>
      </c>
      <c r="KH29" s="476">
        <v>3440384</v>
      </c>
      <c r="KI29" s="476">
        <v>0</v>
      </c>
      <c r="KJ29" s="476">
        <v>21</v>
      </c>
      <c r="KK29" s="476">
        <v>4</v>
      </c>
      <c r="KL29" s="476">
        <v>12936</v>
      </c>
      <c r="KM29" s="476">
        <v>2464</v>
      </c>
      <c r="KN29" s="476">
        <v>0</v>
      </c>
    </row>
    <row r="30" spans="1:300" x14ac:dyDescent="0.25">
      <c r="A30" s="476">
        <v>40976</v>
      </c>
      <c r="B30" s="476">
        <v>15840</v>
      </c>
      <c r="C30" s="476">
        <v>9</v>
      </c>
      <c r="D30" s="476">
        <v>2024</v>
      </c>
      <c r="E30" s="476">
        <v>6160</v>
      </c>
      <c r="F30" s="476">
        <v>0</v>
      </c>
      <c r="G30" s="476">
        <v>152.31700000000001</v>
      </c>
      <c r="H30" s="476">
        <v>142.501</v>
      </c>
      <c r="I30" s="476">
        <v>142.501</v>
      </c>
      <c r="J30" s="476">
        <v>152.31700000000001</v>
      </c>
      <c r="K30" s="476">
        <v>0</v>
      </c>
      <c r="L30" s="476">
        <v>6160</v>
      </c>
      <c r="M30" s="476">
        <v>0</v>
      </c>
      <c r="N30" s="476">
        <v>0</v>
      </c>
      <c r="O30" s="476">
        <v>0</v>
      </c>
      <c r="P30" s="476">
        <v>150.78300000000002</v>
      </c>
      <c r="Q30" s="476">
        <v>0</v>
      </c>
      <c r="R30" s="476">
        <v>62557</v>
      </c>
      <c r="S30" s="476">
        <v>414.88400000000001</v>
      </c>
      <c r="T30" s="476">
        <v>0</v>
      </c>
      <c r="U30" s="476">
        <v>0</v>
      </c>
      <c r="V30" s="476">
        <v>0</v>
      </c>
      <c r="W30" s="476">
        <v>0</v>
      </c>
      <c r="X30" s="476">
        <v>0</v>
      </c>
      <c r="Y30" s="476">
        <v>0</v>
      </c>
      <c r="Z30" s="476">
        <v>0</v>
      </c>
      <c r="AA30" s="476">
        <v>0</v>
      </c>
      <c r="AB30" s="476">
        <v>0</v>
      </c>
      <c r="AC30" s="476">
        <v>0</v>
      </c>
      <c r="AD30" s="476" t="s">
        <v>314</v>
      </c>
      <c r="AE30" s="476">
        <v>0</v>
      </c>
      <c r="AF30" s="476">
        <v>0</v>
      </c>
      <c r="AG30" s="476">
        <v>0</v>
      </c>
      <c r="AH30" s="476">
        <v>0</v>
      </c>
      <c r="AI30" s="476">
        <v>0</v>
      </c>
      <c r="AJ30" s="476">
        <v>6160</v>
      </c>
      <c r="AK30" s="476" t="s">
        <v>651</v>
      </c>
      <c r="AL30" s="476" t="s">
        <v>701</v>
      </c>
      <c r="AM30" s="476">
        <v>0</v>
      </c>
      <c r="AN30" s="476">
        <v>0</v>
      </c>
      <c r="AO30" s="476">
        <v>0</v>
      </c>
      <c r="AP30" s="476">
        <v>0</v>
      </c>
      <c r="AQ30" s="476">
        <v>0</v>
      </c>
      <c r="AR30" s="476">
        <v>0</v>
      </c>
      <c r="AS30" s="476">
        <v>0</v>
      </c>
      <c r="AT30" s="476">
        <v>0</v>
      </c>
      <c r="AU30" s="476">
        <v>0</v>
      </c>
      <c r="AV30" s="476">
        <v>0</v>
      </c>
      <c r="AW30" s="476">
        <v>1553967</v>
      </c>
      <c r="AX30" s="476">
        <v>1528854</v>
      </c>
      <c r="AY30" s="476">
        <v>0</v>
      </c>
      <c r="AZ30" s="476">
        <v>62557</v>
      </c>
      <c r="BA30" s="476">
        <v>0</v>
      </c>
      <c r="BB30" s="476">
        <v>0</v>
      </c>
      <c r="BC30" s="476">
        <v>0</v>
      </c>
      <c r="BD30" s="476">
        <v>0</v>
      </c>
      <c r="BE30" s="476">
        <v>0</v>
      </c>
      <c r="BF30" s="476">
        <v>1383015</v>
      </c>
      <c r="BG30" s="476">
        <v>0</v>
      </c>
      <c r="BH30" s="476">
        <v>0</v>
      </c>
      <c r="BI30" s="476">
        <v>0</v>
      </c>
      <c r="BJ30" s="476">
        <v>12</v>
      </c>
      <c r="BK30" s="476">
        <v>0</v>
      </c>
      <c r="BL30" s="476">
        <v>0</v>
      </c>
      <c r="BM30" s="476">
        <v>0</v>
      </c>
      <c r="BN30" s="476">
        <v>0</v>
      </c>
      <c r="BO30" s="476">
        <v>0</v>
      </c>
      <c r="BP30" s="476">
        <v>0</v>
      </c>
      <c r="BQ30" s="476">
        <v>748</v>
      </c>
      <c r="BR30" s="476">
        <v>0</v>
      </c>
      <c r="BS30" s="476">
        <v>0</v>
      </c>
      <c r="BT30" s="476">
        <v>0</v>
      </c>
      <c r="BU30" s="476">
        <v>0</v>
      </c>
      <c r="BV30" s="476">
        <v>0</v>
      </c>
      <c r="BW30" s="476">
        <v>0</v>
      </c>
      <c r="BX30" s="476">
        <v>0</v>
      </c>
      <c r="BY30" s="476">
        <v>0</v>
      </c>
      <c r="BZ30" s="476">
        <v>0</v>
      </c>
      <c r="CA30" s="476">
        <v>0</v>
      </c>
      <c r="CB30" s="476">
        <v>0</v>
      </c>
      <c r="CC30" s="476">
        <v>0</v>
      </c>
      <c r="CD30" s="476">
        <v>0</v>
      </c>
      <c r="CE30" s="476">
        <v>0</v>
      </c>
      <c r="CF30" s="476">
        <v>0</v>
      </c>
      <c r="CG30" s="476">
        <v>0</v>
      </c>
      <c r="CH30" s="476">
        <v>25715</v>
      </c>
      <c r="CI30" s="476">
        <v>0</v>
      </c>
      <c r="CJ30" s="476">
        <v>4</v>
      </c>
      <c r="CK30" s="476">
        <v>0</v>
      </c>
      <c r="CL30" s="476">
        <v>0</v>
      </c>
      <c r="CM30" s="476">
        <v>0</v>
      </c>
      <c r="CN30" s="476">
        <v>0</v>
      </c>
      <c r="CO30" s="476">
        <v>1</v>
      </c>
      <c r="CP30" s="476">
        <v>0</v>
      </c>
      <c r="CQ30" s="476">
        <v>0</v>
      </c>
      <c r="CR30" s="476">
        <v>152.31700000000001</v>
      </c>
      <c r="CS30" s="476">
        <v>0</v>
      </c>
      <c r="CT30" s="476">
        <v>0</v>
      </c>
      <c r="CU30" s="476">
        <v>0</v>
      </c>
      <c r="CV30" s="476">
        <v>0</v>
      </c>
      <c r="CW30" s="476">
        <v>0</v>
      </c>
      <c r="CX30" s="476">
        <v>0</v>
      </c>
      <c r="CY30" s="476">
        <v>0</v>
      </c>
      <c r="CZ30" s="476">
        <v>0</v>
      </c>
      <c r="DA30" s="476">
        <v>0</v>
      </c>
      <c r="DB30" s="476">
        <v>877786</v>
      </c>
      <c r="DC30" s="476">
        <v>0</v>
      </c>
      <c r="DD30" s="476">
        <v>0</v>
      </c>
      <c r="DE30" s="476">
        <v>118115</v>
      </c>
      <c r="DF30" s="476">
        <v>118115</v>
      </c>
      <c r="DG30" s="476">
        <v>19.175000000000001</v>
      </c>
      <c r="DH30" s="476">
        <v>0</v>
      </c>
      <c r="DI30" s="476">
        <v>0</v>
      </c>
      <c r="DJ30" s="476">
        <v>0</v>
      </c>
      <c r="DK30" s="476">
        <v>3591</v>
      </c>
      <c r="DL30" s="476">
        <v>0</v>
      </c>
      <c r="DM30" s="476">
        <v>175078</v>
      </c>
      <c r="DN30" s="476">
        <v>602</v>
      </c>
      <c r="DO30" s="476">
        <v>0</v>
      </c>
      <c r="DP30" s="476">
        <v>0</v>
      </c>
      <c r="DQ30" s="476">
        <v>0</v>
      </c>
      <c r="DR30" s="476">
        <v>0</v>
      </c>
      <c r="DS30" s="476">
        <v>0</v>
      </c>
      <c r="DT30" s="476">
        <v>0</v>
      </c>
      <c r="DU30" s="476">
        <v>0</v>
      </c>
      <c r="DV30" s="476">
        <v>0</v>
      </c>
      <c r="DW30" s="476">
        <v>0</v>
      </c>
      <c r="DX30" s="476">
        <v>0</v>
      </c>
      <c r="DY30" s="476">
        <v>0</v>
      </c>
      <c r="DZ30" s="476">
        <v>0</v>
      </c>
      <c r="EA30" s="476">
        <v>0</v>
      </c>
      <c r="EB30" s="476">
        <v>0</v>
      </c>
      <c r="EC30" s="476">
        <v>13.168000000000001</v>
      </c>
      <c r="ED30" s="476">
        <v>93280</v>
      </c>
      <c r="EE30" s="476">
        <v>0</v>
      </c>
      <c r="EF30" s="476">
        <v>0</v>
      </c>
      <c r="EG30" s="476">
        <v>0</v>
      </c>
      <c r="EH30" s="476">
        <v>82400</v>
      </c>
      <c r="EI30" s="476">
        <v>0</v>
      </c>
      <c r="EJ30" s="476">
        <v>0</v>
      </c>
      <c r="EK30" s="476">
        <v>3.1190000000000002</v>
      </c>
      <c r="EL30" s="476">
        <v>0</v>
      </c>
      <c r="EM30" s="476">
        <v>1.34</v>
      </c>
      <c r="EN30" s="476">
        <v>0</v>
      </c>
      <c r="EO30" s="476">
        <v>0</v>
      </c>
      <c r="EP30" s="476">
        <v>0</v>
      </c>
      <c r="EQ30" s="476">
        <v>4.4590000000000005</v>
      </c>
      <c r="ER30" s="476">
        <v>0</v>
      </c>
      <c r="ES30" s="476">
        <v>13.377000000000001</v>
      </c>
      <c r="ET30" s="476">
        <v>0</v>
      </c>
      <c r="EU30" s="476">
        <v>0</v>
      </c>
      <c r="EV30" s="476">
        <v>0</v>
      </c>
      <c r="EW30" s="476">
        <v>0</v>
      </c>
      <c r="EX30" s="476">
        <v>0</v>
      </c>
      <c r="EY30" s="476">
        <v>0</v>
      </c>
      <c r="EZ30" s="476">
        <v>1320458</v>
      </c>
      <c r="FA30" s="476">
        <v>0</v>
      </c>
      <c r="FB30" s="476">
        <v>1382413</v>
      </c>
      <c r="FC30" s="476">
        <v>0</v>
      </c>
      <c r="FD30" s="476">
        <v>0</v>
      </c>
      <c r="FE30" s="476">
        <v>178573</v>
      </c>
      <c r="FF30" s="476">
        <v>29823</v>
      </c>
      <c r="FG30" s="476">
        <v>6.3017999999999991E-2</v>
      </c>
      <c r="FH30" s="476">
        <v>2.6953999999999999E-2</v>
      </c>
      <c r="FI30" s="476">
        <v>0</v>
      </c>
      <c r="FJ30" s="476">
        <v>0</v>
      </c>
      <c r="FK30" s="476">
        <v>224.52100000000002</v>
      </c>
      <c r="FL30" s="476">
        <v>1616524</v>
      </c>
      <c r="FM30" s="476">
        <v>0</v>
      </c>
      <c r="FN30" s="476">
        <v>0</v>
      </c>
      <c r="FO30" s="476">
        <v>0</v>
      </c>
      <c r="FP30" s="476">
        <v>0</v>
      </c>
      <c r="FQ30" s="476">
        <v>0</v>
      </c>
      <c r="FR30" s="476">
        <v>0</v>
      </c>
      <c r="FS30" s="476">
        <v>0</v>
      </c>
      <c r="FT30" s="476">
        <v>0</v>
      </c>
      <c r="FU30" s="476">
        <v>0</v>
      </c>
      <c r="FV30" s="476">
        <v>0</v>
      </c>
      <c r="FW30" s="476">
        <v>0</v>
      </c>
      <c r="FX30" s="476">
        <v>0</v>
      </c>
      <c r="FY30" s="476">
        <v>0</v>
      </c>
      <c r="FZ30" s="476">
        <v>0</v>
      </c>
      <c r="GA30" s="476">
        <v>0</v>
      </c>
      <c r="GB30" s="476">
        <v>49795</v>
      </c>
      <c r="GC30" s="476">
        <v>49795</v>
      </c>
      <c r="GD30" s="476">
        <v>5.3570000000000002</v>
      </c>
      <c r="GE30" s="476">
        <v>0</v>
      </c>
      <c r="GF30" s="476">
        <v>0</v>
      </c>
      <c r="GG30" s="476">
        <v>0</v>
      </c>
      <c r="GH30" s="476">
        <v>0</v>
      </c>
      <c r="GI30" s="476">
        <v>0</v>
      </c>
      <c r="GJ30" s="476">
        <v>0</v>
      </c>
      <c r="GK30" s="476">
        <v>0</v>
      </c>
      <c r="GL30" s="476">
        <v>0</v>
      </c>
      <c r="GM30" s="476">
        <v>0</v>
      </c>
      <c r="GN30" s="476">
        <v>0</v>
      </c>
      <c r="GO30" s="476">
        <v>0</v>
      </c>
      <c r="GP30" s="476">
        <v>0</v>
      </c>
      <c r="GQ30" s="476">
        <v>1528252</v>
      </c>
      <c r="GR30" s="476">
        <v>0</v>
      </c>
      <c r="GS30" s="476">
        <v>0</v>
      </c>
      <c r="GT30" s="476">
        <v>0</v>
      </c>
      <c r="GU30" s="476">
        <v>0</v>
      </c>
      <c r="GV30" s="476">
        <v>0</v>
      </c>
      <c r="GW30" s="476">
        <v>0</v>
      </c>
      <c r="GX30" s="476">
        <v>0</v>
      </c>
      <c r="GY30" s="476">
        <v>0</v>
      </c>
      <c r="GZ30" s="476">
        <v>0</v>
      </c>
      <c r="HA30" s="476">
        <v>0</v>
      </c>
      <c r="HB30" s="476">
        <v>323396213</v>
      </c>
      <c r="HC30" s="476">
        <v>4.2206E-2</v>
      </c>
      <c r="HD30" s="476">
        <v>25715</v>
      </c>
      <c r="HE30" s="476">
        <v>0</v>
      </c>
      <c r="HF30" s="476">
        <v>157036</v>
      </c>
      <c r="HG30" s="476">
        <v>3080</v>
      </c>
      <c r="HH30" s="476">
        <v>0</v>
      </c>
      <c r="HI30" s="476">
        <v>0</v>
      </c>
      <c r="HJ30" s="476">
        <v>1523</v>
      </c>
      <c r="HK30" s="476">
        <v>0</v>
      </c>
      <c r="HL30" s="476">
        <v>0</v>
      </c>
      <c r="HM30" s="476">
        <v>0</v>
      </c>
      <c r="HN30" s="476">
        <v>0</v>
      </c>
      <c r="HO30" s="476">
        <v>0</v>
      </c>
      <c r="HP30" s="476">
        <v>0</v>
      </c>
      <c r="HQ30" s="476">
        <v>0</v>
      </c>
      <c r="HR30" s="476">
        <v>0</v>
      </c>
      <c r="HS30" s="476">
        <v>1319856</v>
      </c>
      <c r="HT30" s="476">
        <v>29823</v>
      </c>
      <c r="HU30" s="476">
        <v>0</v>
      </c>
      <c r="HV30" s="476">
        <v>0</v>
      </c>
      <c r="HW30" s="476">
        <v>0</v>
      </c>
      <c r="HX30" s="476">
        <v>2</v>
      </c>
      <c r="HY30" s="476">
        <v>30</v>
      </c>
      <c r="HZ30" s="476">
        <v>14</v>
      </c>
      <c r="IA30" s="476">
        <v>12</v>
      </c>
      <c r="IB30" s="476">
        <v>18</v>
      </c>
      <c r="IC30" s="476">
        <v>76</v>
      </c>
      <c r="ID30" s="476">
        <v>0</v>
      </c>
      <c r="IE30" s="476">
        <v>0</v>
      </c>
      <c r="IF30" s="476">
        <v>0</v>
      </c>
      <c r="IG30" s="476">
        <v>5</v>
      </c>
      <c r="IH30" s="476">
        <v>0</v>
      </c>
      <c r="II30" s="476">
        <v>0</v>
      </c>
      <c r="IJ30" s="476">
        <v>0</v>
      </c>
      <c r="IK30" s="476">
        <v>0</v>
      </c>
      <c r="IL30" s="476">
        <v>0</v>
      </c>
      <c r="IM30" s="476">
        <v>0</v>
      </c>
      <c r="IN30" s="476">
        <v>0</v>
      </c>
      <c r="IO30" s="476">
        <v>0</v>
      </c>
      <c r="IP30" s="476">
        <v>0</v>
      </c>
      <c r="IQ30" s="476">
        <v>0</v>
      </c>
      <c r="IR30" s="476">
        <v>0</v>
      </c>
      <c r="IS30" s="476">
        <v>0</v>
      </c>
      <c r="IT30" s="476">
        <v>0</v>
      </c>
      <c r="IU30" s="476">
        <v>0</v>
      </c>
      <c r="IV30" s="476">
        <v>0</v>
      </c>
      <c r="IW30" s="476">
        <v>6160</v>
      </c>
      <c r="IX30" s="476">
        <v>0</v>
      </c>
      <c r="IY30" s="476">
        <v>0</v>
      </c>
      <c r="IZ30" s="476">
        <v>0</v>
      </c>
      <c r="JA30" s="476">
        <v>0</v>
      </c>
      <c r="JB30" s="476">
        <v>0</v>
      </c>
      <c r="JC30" s="476">
        <v>0</v>
      </c>
      <c r="JD30" s="476">
        <v>0</v>
      </c>
      <c r="JE30" s="476">
        <v>0</v>
      </c>
      <c r="JF30" s="476">
        <v>0</v>
      </c>
      <c r="JG30" s="476">
        <v>0</v>
      </c>
      <c r="JH30" s="476">
        <v>0</v>
      </c>
      <c r="JI30" s="476">
        <v>0</v>
      </c>
      <c r="JJ30" s="476">
        <v>0</v>
      </c>
      <c r="JK30" s="476">
        <v>0</v>
      </c>
      <c r="JL30" s="476">
        <v>0</v>
      </c>
      <c r="JM30" s="476">
        <v>0</v>
      </c>
      <c r="JN30" s="476">
        <v>0</v>
      </c>
      <c r="JO30" s="476">
        <v>0</v>
      </c>
      <c r="JP30" s="476">
        <v>5.3570000000000002</v>
      </c>
      <c r="JQ30" s="476">
        <v>0</v>
      </c>
      <c r="JR30" s="476">
        <v>0</v>
      </c>
      <c r="JS30" s="476">
        <v>49795</v>
      </c>
      <c r="JT30" s="476">
        <v>0</v>
      </c>
      <c r="JU30" s="476">
        <v>0</v>
      </c>
      <c r="JV30" s="476">
        <v>0</v>
      </c>
      <c r="JW30" s="476">
        <v>0</v>
      </c>
      <c r="JX30" s="476">
        <v>0</v>
      </c>
      <c r="JY30" s="476">
        <v>0</v>
      </c>
      <c r="JZ30" s="476">
        <v>0</v>
      </c>
      <c r="KA30" s="476">
        <v>0</v>
      </c>
      <c r="KB30" s="476">
        <v>0</v>
      </c>
      <c r="KC30" s="476">
        <v>0</v>
      </c>
      <c r="KD30" s="476">
        <v>0</v>
      </c>
      <c r="KE30" s="476">
        <v>7262</v>
      </c>
      <c r="KF30" s="476">
        <v>0</v>
      </c>
      <c r="KG30" s="476">
        <v>0</v>
      </c>
      <c r="KH30" s="476">
        <v>1528252</v>
      </c>
      <c r="KI30" s="476">
        <v>0</v>
      </c>
      <c r="KJ30" s="476">
        <v>3</v>
      </c>
      <c r="KK30" s="476">
        <v>2</v>
      </c>
      <c r="KL30" s="476">
        <v>1848</v>
      </c>
      <c r="KM30" s="476">
        <v>1232</v>
      </c>
      <c r="KN30" s="476">
        <v>0</v>
      </c>
    </row>
    <row r="31" spans="1:300" x14ac:dyDescent="0.25">
      <c r="A31" s="476">
        <v>40976</v>
      </c>
      <c r="B31" s="476">
        <v>15841</v>
      </c>
      <c r="C31" s="476">
        <v>9</v>
      </c>
      <c r="D31" s="476">
        <v>2024</v>
      </c>
      <c r="E31" s="476">
        <v>6160</v>
      </c>
      <c r="F31" s="476">
        <v>0</v>
      </c>
      <c r="G31" s="476">
        <v>540.89800000000002</v>
      </c>
      <c r="H31" s="476">
        <v>515.57500000000005</v>
      </c>
      <c r="I31" s="476">
        <v>515.57500000000005</v>
      </c>
      <c r="J31" s="476">
        <v>540.89800000000002</v>
      </c>
      <c r="K31" s="476">
        <v>0</v>
      </c>
      <c r="L31" s="476">
        <v>6160</v>
      </c>
      <c r="M31" s="476">
        <v>0</v>
      </c>
      <c r="N31" s="476">
        <v>0</v>
      </c>
      <c r="O31" s="476">
        <v>0</v>
      </c>
      <c r="P31" s="476">
        <v>538.31700000000001</v>
      </c>
      <c r="Q31" s="476">
        <v>0</v>
      </c>
      <c r="R31" s="476">
        <v>223339</v>
      </c>
      <c r="S31" s="476">
        <v>414.88400000000001</v>
      </c>
      <c r="T31" s="476">
        <v>0</v>
      </c>
      <c r="U31" s="476">
        <v>0</v>
      </c>
      <c r="V31" s="476">
        <v>11.477</v>
      </c>
      <c r="W31" s="476">
        <v>7070</v>
      </c>
      <c r="X31" s="476">
        <v>7070</v>
      </c>
      <c r="Y31" s="476">
        <v>0</v>
      </c>
      <c r="Z31" s="476">
        <v>0</v>
      </c>
      <c r="AA31" s="476">
        <v>0</v>
      </c>
      <c r="AB31" s="476">
        <v>0</v>
      </c>
      <c r="AC31" s="476">
        <v>0</v>
      </c>
      <c r="AD31" s="476" t="s">
        <v>314</v>
      </c>
      <c r="AE31" s="476">
        <v>0</v>
      </c>
      <c r="AF31" s="476">
        <v>0</v>
      </c>
      <c r="AG31" s="476">
        <v>0</v>
      </c>
      <c r="AH31" s="476">
        <v>0</v>
      </c>
      <c r="AI31" s="476">
        <v>0</v>
      </c>
      <c r="AJ31" s="476">
        <v>6160</v>
      </c>
      <c r="AK31" s="476" t="s">
        <v>651</v>
      </c>
      <c r="AL31" s="476" t="s">
        <v>538</v>
      </c>
      <c r="AM31" s="476">
        <v>0</v>
      </c>
      <c r="AN31" s="476">
        <v>0</v>
      </c>
      <c r="AO31" s="476">
        <v>0</v>
      </c>
      <c r="AP31" s="476">
        <v>0</v>
      </c>
      <c r="AQ31" s="476">
        <v>0</v>
      </c>
      <c r="AR31" s="476">
        <v>0</v>
      </c>
      <c r="AS31" s="476">
        <v>0</v>
      </c>
      <c r="AT31" s="476">
        <v>0</v>
      </c>
      <c r="AU31" s="476">
        <v>0</v>
      </c>
      <c r="AV31" s="476">
        <v>0</v>
      </c>
      <c r="AW31" s="476">
        <v>5789310</v>
      </c>
      <c r="AX31" s="476">
        <v>5791472</v>
      </c>
      <c r="AY31" s="476">
        <v>0</v>
      </c>
      <c r="AZ31" s="476">
        <v>223339</v>
      </c>
      <c r="BA31" s="476">
        <v>0</v>
      </c>
      <c r="BB31" s="476">
        <v>0</v>
      </c>
      <c r="BC31" s="476">
        <v>0</v>
      </c>
      <c r="BD31" s="476">
        <v>0</v>
      </c>
      <c r="BE31" s="476">
        <v>0</v>
      </c>
      <c r="BF31" s="476">
        <v>5227171</v>
      </c>
      <c r="BG31" s="476">
        <v>0</v>
      </c>
      <c r="BH31" s="476">
        <v>0</v>
      </c>
      <c r="BI31" s="476">
        <v>0</v>
      </c>
      <c r="BJ31" s="476">
        <v>12</v>
      </c>
      <c r="BK31" s="476">
        <v>0</v>
      </c>
      <c r="BL31" s="476">
        <v>0</v>
      </c>
      <c r="BM31" s="476">
        <v>0</v>
      </c>
      <c r="BN31" s="476">
        <v>0</v>
      </c>
      <c r="BO31" s="476">
        <v>0</v>
      </c>
      <c r="BP31" s="476">
        <v>0</v>
      </c>
      <c r="BQ31" s="476">
        <v>691</v>
      </c>
      <c r="BR31" s="476">
        <v>0</v>
      </c>
      <c r="BS31" s="476">
        <v>0</v>
      </c>
      <c r="BT31" s="476">
        <v>0</v>
      </c>
      <c r="BU31" s="476">
        <v>0</v>
      </c>
      <c r="BV31" s="476">
        <v>0</v>
      </c>
      <c r="BW31" s="476">
        <v>0</v>
      </c>
      <c r="BX31" s="476">
        <v>0</v>
      </c>
      <c r="BY31" s="476">
        <v>0</v>
      </c>
      <c r="BZ31" s="476">
        <v>0</v>
      </c>
      <c r="CA31" s="476">
        <v>0</v>
      </c>
      <c r="CB31" s="476">
        <v>0</v>
      </c>
      <c r="CC31" s="476">
        <v>0</v>
      </c>
      <c r="CD31" s="476">
        <v>0</v>
      </c>
      <c r="CE31" s="476">
        <v>0</v>
      </c>
      <c r="CF31" s="476">
        <v>0</v>
      </c>
      <c r="CG31" s="476">
        <v>0</v>
      </c>
      <c r="CH31" s="476">
        <v>0</v>
      </c>
      <c r="CI31" s="476">
        <v>0</v>
      </c>
      <c r="CJ31" s="476">
        <v>5</v>
      </c>
      <c r="CK31" s="476">
        <v>0</v>
      </c>
      <c r="CL31" s="476">
        <v>0</v>
      </c>
      <c r="CM31" s="476">
        <v>0</v>
      </c>
      <c r="CN31" s="476">
        <v>0</v>
      </c>
      <c r="CO31" s="476">
        <v>1</v>
      </c>
      <c r="CP31" s="476">
        <v>0</v>
      </c>
      <c r="CQ31" s="476">
        <v>0</v>
      </c>
      <c r="CR31" s="476">
        <v>540.89800000000002</v>
      </c>
      <c r="CS31" s="476">
        <v>0</v>
      </c>
      <c r="CT31" s="476">
        <v>0</v>
      </c>
      <c r="CU31" s="476">
        <v>0</v>
      </c>
      <c r="CV31" s="476">
        <v>0</v>
      </c>
      <c r="CW31" s="476">
        <v>0</v>
      </c>
      <c r="CX31" s="476">
        <v>0</v>
      </c>
      <c r="CY31" s="476">
        <v>0</v>
      </c>
      <c r="CZ31" s="476">
        <v>0</v>
      </c>
      <c r="DA31" s="476">
        <v>0</v>
      </c>
      <c r="DB31" s="476">
        <v>3175870</v>
      </c>
      <c r="DC31" s="476">
        <v>0</v>
      </c>
      <c r="DD31" s="476">
        <v>0</v>
      </c>
      <c r="DE31" s="476">
        <v>638239</v>
      </c>
      <c r="DF31" s="476">
        <v>638239</v>
      </c>
      <c r="DG31" s="476">
        <v>103.613</v>
      </c>
      <c r="DH31" s="476">
        <v>0</v>
      </c>
      <c r="DI31" s="476">
        <v>0</v>
      </c>
      <c r="DJ31" s="476">
        <v>0</v>
      </c>
      <c r="DK31" s="476">
        <v>2672</v>
      </c>
      <c r="DL31" s="476">
        <v>0</v>
      </c>
      <c r="DM31" s="476">
        <v>628906</v>
      </c>
      <c r="DN31" s="476">
        <v>2162</v>
      </c>
      <c r="DO31" s="476">
        <v>0</v>
      </c>
      <c r="DP31" s="476">
        <v>0</v>
      </c>
      <c r="DQ31" s="476">
        <v>0</v>
      </c>
      <c r="DR31" s="476">
        <v>0</v>
      </c>
      <c r="DS31" s="476">
        <v>0</v>
      </c>
      <c r="DT31" s="476">
        <v>0</v>
      </c>
      <c r="DU31" s="476">
        <v>0</v>
      </c>
      <c r="DV31" s="476">
        <v>0</v>
      </c>
      <c r="DW31" s="476">
        <v>0</v>
      </c>
      <c r="DX31" s="476">
        <v>0</v>
      </c>
      <c r="DY31" s="476">
        <v>0</v>
      </c>
      <c r="DZ31" s="476">
        <v>0</v>
      </c>
      <c r="EA31" s="476">
        <v>0.155</v>
      </c>
      <c r="EB31" s="476">
        <v>0</v>
      </c>
      <c r="EC31" s="476">
        <v>19.028000000000002</v>
      </c>
      <c r="ED31" s="476">
        <v>134791</v>
      </c>
      <c r="EE31" s="476">
        <v>0</v>
      </c>
      <c r="EF31" s="476">
        <v>0</v>
      </c>
      <c r="EG31" s="476">
        <v>0.17600000000000002</v>
      </c>
      <c r="EH31" s="476">
        <v>496277</v>
      </c>
      <c r="EI31" s="476">
        <v>0</v>
      </c>
      <c r="EJ31" s="476">
        <v>0</v>
      </c>
      <c r="EK31" s="476">
        <v>19.433</v>
      </c>
      <c r="EL31" s="476">
        <v>0.46600000000000003</v>
      </c>
      <c r="EM31" s="476">
        <v>3.3890000000000002</v>
      </c>
      <c r="EN31" s="476">
        <v>2.17</v>
      </c>
      <c r="EO31" s="476">
        <v>0</v>
      </c>
      <c r="EP31" s="476">
        <v>0</v>
      </c>
      <c r="EQ31" s="476">
        <v>25.323</v>
      </c>
      <c r="ER31" s="476">
        <v>0</v>
      </c>
      <c r="ES31" s="476">
        <v>80.566000000000003</v>
      </c>
      <c r="ET31" s="476">
        <v>0</v>
      </c>
      <c r="EU31" s="476">
        <v>0</v>
      </c>
      <c r="EV31" s="476">
        <v>0</v>
      </c>
      <c r="EW31" s="476">
        <v>0</v>
      </c>
      <c r="EX31" s="476">
        <v>0</v>
      </c>
      <c r="EY31" s="476">
        <v>0</v>
      </c>
      <c r="EZ31" s="476">
        <v>5003832</v>
      </c>
      <c r="FA31" s="476">
        <v>0</v>
      </c>
      <c r="FB31" s="476">
        <v>5225009</v>
      </c>
      <c r="FC31" s="476">
        <v>0</v>
      </c>
      <c r="FD31" s="476">
        <v>0</v>
      </c>
      <c r="FE31" s="476">
        <v>674923</v>
      </c>
      <c r="FF31" s="476">
        <v>112717</v>
      </c>
      <c r="FG31" s="476">
        <v>6.3017999999999991E-2</v>
      </c>
      <c r="FH31" s="476">
        <v>2.6953999999999999E-2</v>
      </c>
      <c r="FI31" s="476">
        <v>0</v>
      </c>
      <c r="FJ31" s="476">
        <v>0</v>
      </c>
      <c r="FK31" s="476">
        <v>848.58600000000001</v>
      </c>
      <c r="FL31" s="476">
        <v>6012649</v>
      </c>
      <c r="FM31" s="476">
        <v>0</v>
      </c>
      <c r="FN31" s="476">
        <v>0</v>
      </c>
      <c r="FO31" s="476">
        <v>0</v>
      </c>
      <c r="FP31" s="476">
        <v>0</v>
      </c>
      <c r="FQ31" s="476">
        <v>0</v>
      </c>
      <c r="FR31" s="476">
        <v>0</v>
      </c>
      <c r="FS31" s="476">
        <v>0</v>
      </c>
      <c r="FT31" s="476">
        <v>0</v>
      </c>
      <c r="FU31" s="476">
        <v>0</v>
      </c>
      <c r="FV31" s="476">
        <v>0</v>
      </c>
      <c r="FW31" s="476">
        <v>0</v>
      </c>
      <c r="FX31" s="476">
        <v>0</v>
      </c>
      <c r="FY31" s="476">
        <v>0</v>
      </c>
      <c r="FZ31" s="476">
        <v>0</v>
      </c>
      <c r="GA31" s="476">
        <v>0</v>
      </c>
      <c r="GB31" s="476">
        <v>0</v>
      </c>
      <c r="GC31" s="476">
        <v>0</v>
      </c>
      <c r="GD31" s="476">
        <v>0</v>
      </c>
      <c r="GE31" s="476">
        <v>0</v>
      </c>
      <c r="GF31" s="476">
        <v>0</v>
      </c>
      <c r="GG31" s="476">
        <v>0</v>
      </c>
      <c r="GH31" s="476">
        <v>0</v>
      </c>
      <c r="GI31" s="476">
        <v>0</v>
      </c>
      <c r="GJ31" s="476">
        <v>0</v>
      </c>
      <c r="GK31" s="476">
        <v>0</v>
      </c>
      <c r="GL31" s="476">
        <v>0</v>
      </c>
      <c r="GM31" s="476">
        <v>0</v>
      </c>
      <c r="GN31" s="476">
        <v>0</v>
      </c>
      <c r="GO31" s="476">
        <v>0</v>
      </c>
      <c r="GP31" s="476">
        <v>0</v>
      </c>
      <c r="GQ31" s="476">
        <v>5789310</v>
      </c>
      <c r="GR31" s="476">
        <v>0</v>
      </c>
      <c r="GS31" s="476">
        <v>0</v>
      </c>
      <c r="GT31" s="476">
        <v>0</v>
      </c>
      <c r="GU31" s="476">
        <v>0</v>
      </c>
      <c r="GV31" s="476">
        <v>0</v>
      </c>
      <c r="GW31" s="476">
        <v>0</v>
      </c>
      <c r="GX31" s="476">
        <v>0</v>
      </c>
      <c r="GY31" s="476">
        <v>0</v>
      </c>
      <c r="GZ31" s="476">
        <v>0</v>
      </c>
      <c r="HA31" s="476">
        <v>0</v>
      </c>
      <c r="HB31" s="476">
        <v>0</v>
      </c>
      <c r="HC31" s="476">
        <v>4.2206E-2</v>
      </c>
      <c r="HD31" s="476">
        <v>0</v>
      </c>
      <c r="HE31" s="476">
        <v>0</v>
      </c>
      <c r="HF31" s="476">
        <v>568164</v>
      </c>
      <c r="HG31" s="476">
        <v>14784</v>
      </c>
      <c r="HH31" s="476">
        <v>186567</v>
      </c>
      <c r="HI31" s="476">
        <v>0</v>
      </c>
      <c r="HJ31" s="476">
        <v>5409</v>
      </c>
      <c r="HK31" s="476">
        <v>0</v>
      </c>
      <c r="HL31" s="476">
        <v>0</v>
      </c>
      <c r="HM31" s="476">
        <v>0</v>
      </c>
      <c r="HN31" s="476">
        <v>0</v>
      </c>
      <c r="HO31" s="476">
        <v>0</v>
      </c>
      <c r="HP31" s="476">
        <v>0</v>
      </c>
      <c r="HQ31" s="476">
        <v>0</v>
      </c>
      <c r="HR31" s="476">
        <v>0</v>
      </c>
      <c r="HS31" s="476">
        <v>5001670</v>
      </c>
      <c r="HT31" s="476">
        <v>112717</v>
      </c>
      <c r="HU31" s="476">
        <v>0</v>
      </c>
      <c r="HV31" s="476">
        <v>0</v>
      </c>
      <c r="HW31" s="476">
        <v>0</v>
      </c>
      <c r="HX31" s="476">
        <v>65</v>
      </c>
      <c r="HY31" s="476">
        <v>77</v>
      </c>
      <c r="HZ31" s="476">
        <v>96</v>
      </c>
      <c r="IA31" s="476">
        <v>92</v>
      </c>
      <c r="IB31" s="476">
        <v>82</v>
      </c>
      <c r="IC31" s="476">
        <v>412</v>
      </c>
      <c r="ID31" s="476">
        <v>0</v>
      </c>
      <c r="IE31" s="476">
        <v>0</v>
      </c>
      <c r="IF31" s="476">
        <v>0</v>
      </c>
      <c r="IG31" s="476">
        <v>24</v>
      </c>
      <c r="IH31" s="476">
        <v>302.875</v>
      </c>
      <c r="II31" s="476">
        <v>0</v>
      </c>
      <c r="IJ31" s="476">
        <v>11.477</v>
      </c>
      <c r="IK31" s="476">
        <v>0</v>
      </c>
      <c r="IL31" s="476">
        <v>0</v>
      </c>
      <c r="IM31" s="476">
        <v>0</v>
      </c>
      <c r="IN31" s="476">
        <v>0</v>
      </c>
      <c r="IO31" s="476">
        <v>0</v>
      </c>
      <c r="IP31" s="476">
        <v>0</v>
      </c>
      <c r="IQ31" s="476">
        <v>11.477</v>
      </c>
      <c r="IR31" s="476">
        <v>7070</v>
      </c>
      <c r="IS31" s="476">
        <v>0</v>
      </c>
      <c r="IT31" s="476">
        <v>0</v>
      </c>
      <c r="IU31" s="476">
        <v>0</v>
      </c>
      <c r="IV31" s="476">
        <v>0</v>
      </c>
      <c r="IW31" s="476">
        <v>6160</v>
      </c>
      <c r="IX31" s="476">
        <v>0</v>
      </c>
      <c r="IY31" s="476">
        <v>0</v>
      </c>
      <c r="IZ31" s="476">
        <v>0</v>
      </c>
      <c r="JA31" s="476">
        <v>0</v>
      </c>
      <c r="JB31" s="476">
        <v>0</v>
      </c>
      <c r="JC31" s="476">
        <v>0</v>
      </c>
      <c r="JD31" s="476">
        <v>0</v>
      </c>
      <c r="JE31" s="476">
        <v>0</v>
      </c>
      <c r="JF31" s="476">
        <v>0</v>
      </c>
      <c r="JG31" s="476">
        <v>0</v>
      </c>
      <c r="JH31" s="476">
        <v>0</v>
      </c>
      <c r="JI31" s="476">
        <v>0</v>
      </c>
      <c r="JJ31" s="476">
        <v>0</v>
      </c>
      <c r="JK31" s="476">
        <v>0</v>
      </c>
      <c r="JL31" s="476">
        <v>0</v>
      </c>
      <c r="JM31" s="476">
        <v>0</v>
      </c>
      <c r="JN31" s="476">
        <v>0</v>
      </c>
      <c r="JO31" s="476">
        <v>0</v>
      </c>
      <c r="JP31" s="476">
        <v>0</v>
      </c>
      <c r="JQ31" s="476">
        <v>0</v>
      </c>
      <c r="JR31" s="476">
        <v>0</v>
      </c>
      <c r="JS31" s="476">
        <v>0</v>
      </c>
      <c r="JT31" s="476">
        <v>0</v>
      </c>
      <c r="JU31" s="476">
        <v>0</v>
      </c>
      <c r="JV31" s="476">
        <v>0</v>
      </c>
      <c r="JW31" s="476">
        <v>0</v>
      </c>
      <c r="JX31" s="476">
        <v>0</v>
      </c>
      <c r="JY31" s="476">
        <v>0</v>
      </c>
      <c r="JZ31" s="476">
        <v>0</v>
      </c>
      <c r="KA31" s="476">
        <v>0</v>
      </c>
      <c r="KB31" s="476">
        <v>0</v>
      </c>
      <c r="KC31" s="476">
        <v>0</v>
      </c>
      <c r="KD31" s="476">
        <v>0</v>
      </c>
      <c r="KE31" s="476">
        <v>7262</v>
      </c>
      <c r="KF31" s="476">
        <v>0</v>
      </c>
      <c r="KG31" s="476">
        <v>0</v>
      </c>
      <c r="KH31" s="476">
        <v>5789310</v>
      </c>
      <c r="KI31" s="476">
        <v>0</v>
      </c>
      <c r="KJ31" s="476">
        <v>14</v>
      </c>
      <c r="KK31" s="476">
        <v>10</v>
      </c>
      <c r="KL31" s="476">
        <v>8624</v>
      </c>
      <c r="KM31" s="476">
        <v>6160</v>
      </c>
      <c r="KN31" s="476">
        <v>0</v>
      </c>
    </row>
    <row r="32" spans="1:300" x14ac:dyDescent="0.25">
      <c r="A32" s="476">
        <v>40976</v>
      </c>
      <c r="B32" s="476">
        <v>15842</v>
      </c>
      <c r="C32" s="476">
        <v>9</v>
      </c>
      <c r="D32" s="476">
        <v>2024</v>
      </c>
      <c r="E32" s="476">
        <v>6160</v>
      </c>
      <c r="F32" s="476">
        <v>0</v>
      </c>
      <c r="G32" s="476">
        <v>181.84300000000002</v>
      </c>
      <c r="H32" s="476">
        <v>179.82500000000002</v>
      </c>
      <c r="I32" s="476">
        <v>179.82500000000002</v>
      </c>
      <c r="J32" s="476">
        <v>181.84300000000002</v>
      </c>
      <c r="K32" s="476">
        <v>0</v>
      </c>
      <c r="L32" s="476">
        <v>6160</v>
      </c>
      <c r="M32" s="476">
        <v>0</v>
      </c>
      <c r="N32" s="476">
        <v>0</v>
      </c>
      <c r="O32" s="476">
        <v>0</v>
      </c>
      <c r="P32" s="476">
        <v>181.84300000000002</v>
      </c>
      <c r="Q32" s="476">
        <v>0</v>
      </c>
      <c r="R32" s="476">
        <v>75444</v>
      </c>
      <c r="S32" s="476">
        <v>414.88400000000001</v>
      </c>
      <c r="T32" s="476">
        <v>0</v>
      </c>
      <c r="U32" s="476">
        <v>0</v>
      </c>
      <c r="V32" s="476">
        <v>14.482000000000001</v>
      </c>
      <c r="W32" s="476">
        <v>8921</v>
      </c>
      <c r="X32" s="476">
        <v>8921</v>
      </c>
      <c r="Y32" s="476">
        <v>0</v>
      </c>
      <c r="Z32" s="476">
        <v>0</v>
      </c>
      <c r="AA32" s="476">
        <v>0</v>
      </c>
      <c r="AB32" s="476">
        <v>0</v>
      </c>
      <c r="AC32" s="476">
        <v>0</v>
      </c>
      <c r="AD32" s="476" t="s">
        <v>314</v>
      </c>
      <c r="AE32" s="476">
        <v>0</v>
      </c>
      <c r="AF32" s="476">
        <v>0</v>
      </c>
      <c r="AG32" s="476">
        <v>0</v>
      </c>
      <c r="AH32" s="476">
        <v>0</v>
      </c>
      <c r="AI32" s="476">
        <v>0</v>
      </c>
      <c r="AJ32" s="476">
        <v>6160</v>
      </c>
      <c r="AK32" s="476" t="s">
        <v>651</v>
      </c>
      <c r="AL32" s="476" t="s">
        <v>702</v>
      </c>
      <c r="AM32" s="476">
        <v>0</v>
      </c>
      <c r="AN32" s="476">
        <v>0</v>
      </c>
      <c r="AO32" s="476">
        <v>0</v>
      </c>
      <c r="AP32" s="476">
        <v>0</v>
      </c>
      <c r="AQ32" s="476">
        <v>0</v>
      </c>
      <c r="AR32" s="476">
        <v>0</v>
      </c>
      <c r="AS32" s="476">
        <v>0</v>
      </c>
      <c r="AT32" s="476">
        <v>0</v>
      </c>
      <c r="AU32" s="476">
        <v>0</v>
      </c>
      <c r="AV32" s="476">
        <v>0</v>
      </c>
      <c r="AW32" s="476">
        <v>2027130</v>
      </c>
      <c r="AX32" s="476">
        <v>2027491</v>
      </c>
      <c r="AY32" s="476">
        <v>0</v>
      </c>
      <c r="AZ32" s="476">
        <v>75444</v>
      </c>
      <c r="BA32" s="476">
        <v>0</v>
      </c>
      <c r="BB32" s="476">
        <v>426</v>
      </c>
      <c r="BC32" s="476">
        <v>423</v>
      </c>
      <c r="BD32" s="476">
        <v>1</v>
      </c>
      <c r="BE32" s="476">
        <v>3</v>
      </c>
      <c r="BF32" s="476">
        <v>1827555</v>
      </c>
      <c r="BG32" s="476">
        <v>0</v>
      </c>
      <c r="BH32" s="476">
        <v>0</v>
      </c>
      <c r="BI32" s="476">
        <v>0</v>
      </c>
      <c r="BJ32" s="476">
        <v>12</v>
      </c>
      <c r="BK32" s="476">
        <v>0</v>
      </c>
      <c r="BL32" s="476">
        <v>0</v>
      </c>
      <c r="BM32" s="476">
        <v>0</v>
      </c>
      <c r="BN32" s="476">
        <v>0</v>
      </c>
      <c r="BO32" s="476">
        <v>0</v>
      </c>
      <c r="BP32" s="476">
        <v>0</v>
      </c>
      <c r="BQ32" s="476">
        <v>742</v>
      </c>
      <c r="BR32" s="476">
        <v>0</v>
      </c>
      <c r="BS32" s="476">
        <v>0</v>
      </c>
      <c r="BT32" s="476">
        <v>0</v>
      </c>
      <c r="BU32" s="476">
        <v>0</v>
      </c>
      <c r="BV32" s="476">
        <v>0</v>
      </c>
      <c r="BW32" s="476">
        <v>0</v>
      </c>
      <c r="BX32" s="476">
        <v>0</v>
      </c>
      <c r="BY32" s="476">
        <v>0</v>
      </c>
      <c r="BZ32" s="476">
        <v>0</v>
      </c>
      <c r="CA32" s="476">
        <v>0</v>
      </c>
      <c r="CB32" s="476">
        <v>0</v>
      </c>
      <c r="CC32" s="476">
        <v>0</v>
      </c>
      <c r="CD32" s="476">
        <v>0</v>
      </c>
      <c r="CE32" s="476">
        <v>0</v>
      </c>
      <c r="CF32" s="476">
        <v>0</v>
      </c>
      <c r="CG32" s="476">
        <v>0</v>
      </c>
      <c r="CH32" s="476">
        <v>0</v>
      </c>
      <c r="CI32" s="476">
        <v>0</v>
      </c>
      <c r="CJ32" s="476">
        <v>4</v>
      </c>
      <c r="CK32" s="476">
        <v>0</v>
      </c>
      <c r="CL32" s="476">
        <v>0</v>
      </c>
      <c r="CM32" s="476">
        <v>0</v>
      </c>
      <c r="CN32" s="476">
        <v>0</v>
      </c>
      <c r="CO32" s="476">
        <v>1</v>
      </c>
      <c r="CP32" s="476">
        <v>0</v>
      </c>
      <c r="CQ32" s="476">
        <v>0</v>
      </c>
      <c r="CR32" s="476">
        <v>181.84300000000002</v>
      </c>
      <c r="CS32" s="476">
        <v>0</v>
      </c>
      <c r="CT32" s="476">
        <v>0</v>
      </c>
      <c r="CU32" s="476">
        <v>0</v>
      </c>
      <c r="CV32" s="476">
        <v>0</v>
      </c>
      <c r="CW32" s="476">
        <v>0</v>
      </c>
      <c r="CX32" s="476">
        <v>0</v>
      </c>
      <c r="CY32" s="476">
        <v>0</v>
      </c>
      <c r="CZ32" s="476">
        <v>0</v>
      </c>
      <c r="DA32" s="476">
        <v>0</v>
      </c>
      <c r="DB32" s="476">
        <v>1107697</v>
      </c>
      <c r="DC32" s="476">
        <v>0</v>
      </c>
      <c r="DD32" s="476">
        <v>0</v>
      </c>
      <c r="DE32" s="476">
        <v>302526</v>
      </c>
      <c r="DF32" s="476">
        <v>302526</v>
      </c>
      <c r="DG32" s="476">
        <v>49.113</v>
      </c>
      <c r="DH32" s="476">
        <v>0</v>
      </c>
      <c r="DI32" s="476">
        <v>0</v>
      </c>
      <c r="DJ32" s="476">
        <v>0</v>
      </c>
      <c r="DK32" s="476">
        <v>3499</v>
      </c>
      <c r="DL32" s="476">
        <v>0</v>
      </c>
      <c r="DM32" s="476">
        <v>104255</v>
      </c>
      <c r="DN32" s="476">
        <v>358</v>
      </c>
      <c r="DO32" s="476">
        <v>0</v>
      </c>
      <c r="DP32" s="476">
        <v>0</v>
      </c>
      <c r="DQ32" s="476">
        <v>0</v>
      </c>
      <c r="DR32" s="476">
        <v>0</v>
      </c>
      <c r="DS32" s="476">
        <v>0</v>
      </c>
      <c r="DT32" s="476">
        <v>0</v>
      </c>
      <c r="DU32" s="476">
        <v>0</v>
      </c>
      <c r="DV32" s="476">
        <v>0</v>
      </c>
      <c r="DW32" s="476">
        <v>0</v>
      </c>
      <c r="DX32" s="476">
        <v>0</v>
      </c>
      <c r="DY32" s="476">
        <v>0</v>
      </c>
      <c r="DZ32" s="476">
        <v>0</v>
      </c>
      <c r="EA32" s="476">
        <v>0</v>
      </c>
      <c r="EB32" s="476">
        <v>0</v>
      </c>
      <c r="EC32" s="476">
        <v>8.3000000000000007</v>
      </c>
      <c r="ED32" s="476">
        <v>58796</v>
      </c>
      <c r="EE32" s="476">
        <v>0</v>
      </c>
      <c r="EF32" s="476">
        <v>0</v>
      </c>
      <c r="EG32" s="476">
        <v>0</v>
      </c>
      <c r="EH32" s="476">
        <v>45817</v>
      </c>
      <c r="EI32" s="476">
        <v>0</v>
      </c>
      <c r="EJ32" s="476">
        <v>0</v>
      </c>
      <c r="EK32" s="476">
        <v>1.3260000000000001</v>
      </c>
      <c r="EL32" s="476">
        <v>0</v>
      </c>
      <c r="EM32" s="476">
        <v>0</v>
      </c>
      <c r="EN32" s="476">
        <v>0.69200000000000006</v>
      </c>
      <c r="EO32" s="476">
        <v>0</v>
      </c>
      <c r="EP32" s="476">
        <v>0</v>
      </c>
      <c r="EQ32" s="476">
        <v>2.0180000000000002</v>
      </c>
      <c r="ER32" s="476">
        <v>0</v>
      </c>
      <c r="ES32" s="476">
        <v>7.4380000000000006</v>
      </c>
      <c r="ET32" s="476">
        <v>0</v>
      </c>
      <c r="EU32" s="476">
        <v>0</v>
      </c>
      <c r="EV32" s="476">
        <v>0</v>
      </c>
      <c r="EW32" s="476">
        <v>0</v>
      </c>
      <c r="EX32" s="476">
        <v>0</v>
      </c>
      <c r="EY32" s="476">
        <v>0</v>
      </c>
      <c r="EZ32" s="476">
        <v>1752111</v>
      </c>
      <c r="FA32" s="476">
        <v>0</v>
      </c>
      <c r="FB32" s="476">
        <v>1827194</v>
      </c>
      <c r="FC32" s="476">
        <v>0</v>
      </c>
      <c r="FD32" s="476">
        <v>0</v>
      </c>
      <c r="FE32" s="476">
        <v>235971</v>
      </c>
      <c r="FF32" s="476">
        <v>39409</v>
      </c>
      <c r="FG32" s="476">
        <v>6.3017999999999991E-2</v>
      </c>
      <c r="FH32" s="476">
        <v>2.6953999999999999E-2</v>
      </c>
      <c r="FI32" s="476">
        <v>0</v>
      </c>
      <c r="FJ32" s="476">
        <v>0</v>
      </c>
      <c r="FK32" s="476">
        <v>296.68799999999999</v>
      </c>
      <c r="FL32" s="476">
        <v>2102574</v>
      </c>
      <c r="FM32" s="476">
        <v>0</v>
      </c>
      <c r="FN32" s="476">
        <v>0</v>
      </c>
      <c r="FO32" s="476">
        <v>0</v>
      </c>
      <c r="FP32" s="476">
        <v>0</v>
      </c>
      <c r="FQ32" s="476">
        <v>0</v>
      </c>
      <c r="FR32" s="476">
        <v>0</v>
      </c>
      <c r="FS32" s="476">
        <v>0</v>
      </c>
      <c r="FT32" s="476">
        <v>0</v>
      </c>
      <c r="FU32" s="476">
        <v>0</v>
      </c>
      <c r="FV32" s="476">
        <v>0</v>
      </c>
      <c r="FW32" s="476">
        <v>0</v>
      </c>
      <c r="FX32" s="476">
        <v>0</v>
      </c>
      <c r="FY32" s="476">
        <v>0</v>
      </c>
      <c r="FZ32" s="476">
        <v>0</v>
      </c>
      <c r="GA32" s="476">
        <v>0</v>
      </c>
      <c r="GB32" s="476">
        <v>0</v>
      </c>
      <c r="GC32" s="476">
        <v>0</v>
      </c>
      <c r="GD32" s="476">
        <v>0</v>
      </c>
      <c r="GE32" s="476">
        <v>0</v>
      </c>
      <c r="GF32" s="476">
        <v>0</v>
      </c>
      <c r="GG32" s="476">
        <v>0</v>
      </c>
      <c r="GH32" s="476">
        <v>0</v>
      </c>
      <c r="GI32" s="476">
        <v>0</v>
      </c>
      <c r="GJ32" s="476">
        <v>0</v>
      </c>
      <c r="GK32" s="476">
        <v>0</v>
      </c>
      <c r="GL32" s="476">
        <v>0</v>
      </c>
      <c r="GM32" s="476">
        <v>0</v>
      </c>
      <c r="GN32" s="476">
        <v>0</v>
      </c>
      <c r="GO32" s="476">
        <v>0</v>
      </c>
      <c r="GP32" s="476">
        <v>0</v>
      </c>
      <c r="GQ32" s="476">
        <v>2027130</v>
      </c>
      <c r="GR32" s="476">
        <v>0</v>
      </c>
      <c r="GS32" s="476">
        <v>0</v>
      </c>
      <c r="GT32" s="476">
        <v>0</v>
      </c>
      <c r="GU32" s="476">
        <v>0</v>
      </c>
      <c r="GV32" s="476">
        <v>0</v>
      </c>
      <c r="GW32" s="476">
        <v>0</v>
      </c>
      <c r="GX32" s="476">
        <v>0</v>
      </c>
      <c r="GY32" s="476">
        <v>0</v>
      </c>
      <c r="GZ32" s="476">
        <v>0</v>
      </c>
      <c r="HA32" s="476">
        <v>0</v>
      </c>
      <c r="HB32" s="476">
        <v>0</v>
      </c>
      <c r="HC32" s="476">
        <v>4.2206E-2</v>
      </c>
      <c r="HD32" s="476">
        <v>0</v>
      </c>
      <c r="HE32" s="476">
        <v>0</v>
      </c>
      <c r="HF32" s="476">
        <v>198167</v>
      </c>
      <c r="HG32" s="476">
        <v>2464</v>
      </c>
      <c r="HH32" s="476">
        <v>100923</v>
      </c>
      <c r="HI32" s="476">
        <v>0</v>
      </c>
      <c r="HJ32" s="476">
        <v>1818</v>
      </c>
      <c r="HK32" s="476">
        <v>0</v>
      </c>
      <c r="HL32" s="476">
        <v>0</v>
      </c>
      <c r="HM32" s="476">
        <v>0</v>
      </c>
      <c r="HN32" s="476">
        <v>0</v>
      </c>
      <c r="HO32" s="476">
        <v>0</v>
      </c>
      <c r="HP32" s="476">
        <v>0</v>
      </c>
      <c r="HQ32" s="476">
        <v>0</v>
      </c>
      <c r="HR32" s="476">
        <v>0</v>
      </c>
      <c r="HS32" s="476">
        <v>1751750</v>
      </c>
      <c r="HT32" s="476">
        <v>39409</v>
      </c>
      <c r="HU32" s="476">
        <v>0</v>
      </c>
      <c r="HV32" s="476">
        <v>0</v>
      </c>
      <c r="HW32" s="476">
        <v>0</v>
      </c>
      <c r="HX32" s="476">
        <v>18</v>
      </c>
      <c r="HY32" s="476">
        <v>18</v>
      </c>
      <c r="HZ32" s="476">
        <v>22</v>
      </c>
      <c r="IA32" s="476">
        <v>59</v>
      </c>
      <c r="IB32" s="476">
        <v>72</v>
      </c>
      <c r="IC32" s="476">
        <v>189</v>
      </c>
      <c r="ID32" s="476">
        <v>0</v>
      </c>
      <c r="IE32" s="476">
        <v>0</v>
      </c>
      <c r="IF32" s="476">
        <v>0</v>
      </c>
      <c r="IG32" s="476">
        <v>4</v>
      </c>
      <c r="IH32" s="476">
        <v>163.84</v>
      </c>
      <c r="II32" s="476">
        <v>0</v>
      </c>
      <c r="IJ32" s="476">
        <v>14.482000000000001</v>
      </c>
      <c r="IK32" s="476">
        <v>0</v>
      </c>
      <c r="IL32" s="476">
        <v>0</v>
      </c>
      <c r="IM32" s="476">
        <v>0</v>
      </c>
      <c r="IN32" s="476">
        <v>0</v>
      </c>
      <c r="IO32" s="476">
        <v>0</v>
      </c>
      <c r="IP32" s="476">
        <v>0</v>
      </c>
      <c r="IQ32" s="476">
        <v>14.482000000000001</v>
      </c>
      <c r="IR32" s="476">
        <v>8921</v>
      </c>
      <c r="IS32" s="476">
        <v>0</v>
      </c>
      <c r="IT32" s="476">
        <v>0</v>
      </c>
      <c r="IU32" s="476">
        <v>0</v>
      </c>
      <c r="IV32" s="476">
        <v>0</v>
      </c>
      <c r="IW32" s="476">
        <v>6160</v>
      </c>
      <c r="IX32" s="476">
        <v>0</v>
      </c>
      <c r="IY32" s="476">
        <v>0</v>
      </c>
      <c r="IZ32" s="476">
        <v>0</v>
      </c>
      <c r="JA32" s="476">
        <v>0</v>
      </c>
      <c r="JB32" s="476">
        <v>0</v>
      </c>
      <c r="JC32" s="476">
        <v>0</v>
      </c>
      <c r="JD32" s="476">
        <v>0</v>
      </c>
      <c r="JE32" s="476">
        <v>0</v>
      </c>
      <c r="JF32" s="476">
        <v>0</v>
      </c>
      <c r="JG32" s="476">
        <v>0</v>
      </c>
      <c r="JH32" s="476">
        <v>0</v>
      </c>
      <c r="JI32" s="476">
        <v>0</v>
      </c>
      <c r="JJ32" s="476">
        <v>0</v>
      </c>
      <c r="JK32" s="476">
        <v>0</v>
      </c>
      <c r="JL32" s="476">
        <v>0</v>
      </c>
      <c r="JM32" s="476">
        <v>0</v>
      </c>
      <c r="JN32" s="476">
        <v>0</v>
      </c>
      <c r="JO32" s="476">
        <v>0</v>
      </c>
      <c r="JP32" s="476">
        <v>0</v>
      </c>
      <c r="JQ32" s="476">
        <v>0</v>
      </c>
      <c r="JR32" s="476">
        <v>0</v>
      </c>
      <c r="JS32" s="476">
        <v>0</v>
      </c>
      <c r="JT32" s="476">
        <v>0</v>
      </c>
      <c r="JU32" s="476">
        <v>431</v>
      </c>
      <c r="JV32" s="476">
        <v>0</v>
      </c>
      <c r="JW32" s="476">
        <v>0</v>
      </c>
      <c r="JX32" s="476">
        <v>0</v>
      </c>
      <c r="JY32" s="476">
        <v>0</v>
      </c>
      <c r="JZ32" s="476">
        <v>0</v>
      </c>
      <c r="KA32" s="476">
        <v>0</v>
      </c>
      <c r="KB32" s="476">
        <v>0</v>
      </c>
      <c r="KC32" s="476">
        <v>0</v>
      </c>
      <c r="KD32" s="476">
        <v>431</v>
      </c>
      <c r="KE32" s="476">
        <v>7262</v>
      </c>
      <c r="KF32" s="476">
        <v>0</v>
      </c>
      <c r="KG32" s="476">
        <v>0</v>
      </c>
      <c r="KH32" s="476">
        <v>2027130</v>
      </c>
      <c r="KI32" s="476">
        <v>0</v>
      </c>
      <c r="KJ32" s="476">
        <v>0</v>
      </c>
      <c r="KK32" s="476">
        <v>4</v>
      </c>
      <c r="KL32" s="476">
        <v>0</v>
      </c>
      <c r="KM32" s="476">
        <v>2464</v>
      </c>
      <c r="KN32" s="476">
        <v>0</v>
      </c>
    </row>
    <row r="33" spans="1:300" x14ac:dyDescent="0.25">
      <c r="A33" s="476">
        <v>40976</v>
      </c>
      <c r="B33" s="476">
        <v>15843</v>
      </c>
      <c r="C33" s="476">
        <v>9</v>
      </c>
      <c r="D33" s="476">
        <v>2024</v>
      </c>
      <c r="E33" s="476">
        <v>6160</v>
      </c>
      <c r="F33" s="476">
        <v>0</v>
      </c>
      <c r="G33" s="476">
        <v>70.653000000000006</v>
      </c>
      <c r="H33" s="476">
        <v>67.307000000000002</v>
      </c>
      <c r="I33" s="476">
        <v>67.307000000000002</v>
      </c>
      <c r="J33" s="476">
        <v>70.653000000000006</v>
      </c>
      <c r="K33" s="476">
        <v>0</v>
      </c>
      <c r="L33" s="476">
        <v>6160</v>
      </c>
      <c r="M33" s="476">
        <v>0</v>
      </c>
      <c r="N33" s="476">
        <v>0</v>
      </c>
      <c r="O33" s="476">
        <v>0</v>
      </c>
      <c r="P33" s="476">
        <v>70.781999999999996</v>
      </c>
      <c r="Q33" s="476">
        <v>0</v>
      </c>
      <c r="R33" s="476">
        <v>29366</v>
      </c>
      <c r="S33" s="476">
        <v>414.88400000000001</v>
      </c>
      <c r="T33" s="476">
        <v>0</v>
      </c>
      <c r="U33" s="476">
        <v>0</v>
      </c>
      <c r="V33" s="476">
        <v>6.2149999999999999</v>
      </c>
      <c r="W33" s="476">
        <v>3828</v>
      </c>
      <c r="X33" s="476">
        <v>3828</v>
      </c>
      <c r="Y33" s="476">
        <v>0</v>
      </c>
      <c r="Z33" s="476">
        <v>0</v>
      </c>
      <c r="AA33" s="476">
        <v>0</v>
      </c>
      <c r="AB33" s="476">
        <v>0</v>
      </c>
      <c r="AC33" s="476">
        <v>0</v>
      </c>
      <c r="AD33" s="476" t="s">
        <v>314</v>
      </c>
      <c r="AE33" s="476">
        <v>0</v>
      </c>
      <c r="AF33" s="476">
        <v>0</v>
      </c>
      <c r="AG33" s="476">
        <v>0</v>
      </c>
      <c r="AH33" s="476">
        <v>0</v>
      </c>
      <c r="AI33" s="476">
        <v>0</v>
      </c>
      <c r="AJ33" s="476">
        <v>6160</v>
      </c>
      <c r="AK33" s="476" t="s">
        <v>651</v>
      </c>
      <c r="AL33" s="476" t="s">
        <v>703</v>
      </c>
      <c r="AM33" s="476">
        <v>0</v>
      </c>
      <c r="AN33" s="476">
        <v>0</v>
      </c>
      <c r="AO33" s="476">
        <v>0</v>
      </c>
      <c r="AP33" s="476">
        <v>0</v>
      </c>
      <c r="AQ33" s="476">
        <v>0</v>
      </c>
      <c r="AR33" s="476">
        <v>0</v>
      </c>
      <c r="AS33" s="476">
        <v>0</v>
      </c>
      <c r="AT33" s="476">
        <v>0</v>
      </c>
      <c r="AU33" s="476">
        <v>0</v>
      </c>
      <c r="AV33" s="476">
        <v>0</v>
      </c>
      <c r="AW33" s="476">
        <v>822556</v>
      </c>
      <c r="AX33" s="476">
        <v>822841</v>
      </c>
      <c r="AY33" s="476">
        <v>0</v>
      </c>
      <c r="AZ33" s="476">
        <v>29366</v>
      </c>
      <c r="BA33" s="476">
        <v>0</v>
      </c>
      <c r="BB33" s="476">
        <v>0</v>
      </c>
      <c r="BC33" s="476">
        <v>0</v>
      </c>
      <c r="BD33" s="476">
        <v>0</v>
      </c>
      <c r="BE33" s="476">
        <v>0</v>
      </c>
      <c r="BF33" s="476">
        <v>740610</v>
      </c>
      <c r="BG33" s="476">
        <v>0</v>
      </c>
      <c r="BH33" s="476">
        <v>0</v>
      </c>
      <c r="BI33" s="476">
        <v>0</v>
      </c>
      <c r="BJ33" s="476">
        <v>12</v>
      </c>
      <c r="BK33" s="476">
        <v>0</v>
      </c>
      <c r="BL33" s="476">
        <v>0</v>
      </c>
      <c r="BM33" s="476">
        <v>0</v>
      </c>
      <c r="BN33" s="476">
        <v>0</v>
      </c>
      <c r="BO33" s="476">
        <v>0</v>
      </c>
      <c r="BP33" s="476">
        <v>0</v>
      </c>
      <c r="BQ33" s="476">
        <v>760</v>
      </c>
      <c r="BR33" s="476">
        <v>0</v>
      </c>
      <c r="BS33" s="476">
        <v>0</v>
      </c>
      <c r="BT33" s="476">
        <v>0</v>
      </c>
      <c r="BU33" s="476">
        <v>0</v>
      </c>
      <c r="BV33" s="476">
        <v>0</v>
      </c>
      <c r="BW33" s="476">
        <v>0</v>
      </c>
      <c r="BX33" s="476">
        <v>0</v>
      </c>
      <c r="BY33" s="476">
        <v>0</v>
      </c>
      <c r="BZ33" s="476">
        <v>0</v>
      </c>
      <c r="CA33" s="476">
        <v>0</v>
      </c>
      <c r="CB33" s="476">
        <v>0</v>
      </c>
      <c r="CC33" s="476">
        <v>0</v>
      </c>
      <c r="CD33" s="476">
        <v>0</v>
      </c>
      <c r="CE33" s="476">
        <v>0</v>
      </c>
      <c r="CF33" s="476">
        <v>0</v>
      </c>
      <c r="CG33" s="476">
        <v>0</v>
      </c>
      <c r="CH33" s="476">
        <v>0</v>
      </c>
      <c r="CI33" s="476">
        <v>0</v>
      </c>
      <c r="CJ33" s="476">
        <v>4</v>
      </c>
      <c r="CK33" s="476">
        <v>0</v>
      </c>
      <c r="CL33" s="476">
        <v>0</v>
      </c>
      <c r="CM33" s="476">
        <v>0</v>
      </c>
      <c r="CN33" s="476">
        <v>0</v>
      </c>
      <c r="CO33" s="476">
        <v>1</v>
      </c>
      <c r="CP33" s="476">
        <v>0</v>
      </c>
      <c r="CQ33" s="476">
        <v>0</v>
      </c>
      <c r="CR33" s="476">
        <v>70.653000000000006</v>
      </c>
      <c r="CS33" s="476">
        <v>0</v>
      </c>
      <c r="CT33" s="476">
        <v>0</v>
      </c>
      <c r="CU33" s="476">
        <v>0</v>
      </c>
      <c r="CV33" s="476">
        <v>0</v>
      </c>
      <c r="CW33" s="476">
        <v>0</v>
      </c>
      <c r="CX33" s="476">
        <v>0</v>
      </c>
      <c r="CY33" s="476">
        <v>0</v>
      </c>
      <c r="CZ33" s="476">
        <v>0</v>
      </c>
      <c r="DA33" s="476">
        <v>0</v>
      </c>
      <c r="DB33" s="476">
        <v>414602</v>
      </c>
      <c r="DC33" s="476">
        <v>0</v>
      </c>
      <c r="DD33" s="476">
        <v>0</v>
      </c>
      <c r="DE33" s="476">
        <v>134054</v>
      </c>
      <c r="DF33" s="476">
        <v>134054</v>
      </c>
      <c r="DG33" s="476">
        <v>21.763000000000002</v>
      </c>
      <c r="DH33" s="476">
        <v>0</v>
      </c>
      <c r="DI33" s="476">
        <v>0</v>
      </c>
      <c r="DJ33" s="476">
        <v>0</v>
      </c>
      <c r="DK33" s="476">
        <v>3777</v>
      </c>
      <c r="DL33" s="476">
        <v>0</v>
      </c>
      <c r="DM33" s="476">
        <v>82951</v>
      </c>
      <c r="DN33" s="476">
        <v>285</v>
      </c>
      <c r="DO33" s="476">
        <v>0</v>
      </c>
      <c r="DP33" s="476">
        <v>0</v>
      </c>
      <c r="DQ33" s="476">
        <v>0</v>
      </c>
      <c r="DR33" s="476">
        <v>0</v>
      </c>
      <c r="DS33" s="476">
        <v>0</v>
      </c>
      <c r="DT33" s="476">
        <v>0</v>
      </c>
      <c r="DU33" s="476">
        <v>0</v>
      </c>
      <c r="DV33" s="476">
        <v>0</v>
      </c>
      <c r="DW33" s="476">
        <v>0</v>
      </c>
      <c r="DX33" s="476">
        <v>0</v>
      </c>
      <c r="DY33" s="476">
        <v>0</v>
      </c>
      <c r="DZ33" s="476">
        <v>0</v>
      </c>
      <c r="EA33" s="476">
        <v>0</v>
      </c>
      <c r="EB33" s="476">
        <v>0</v>
      </c>
      <c r="EC33" s="476">
        <v>2.157</v>
      </c>
      <c r="ED33" s="476">
        <v>15280</v>
      </c>
      <c r="EE33" s="476">
        <v>0</v>
      </c>
      <c r="EF33" s="476">
        <v>0</v>
      </c>
      <c r="EG33" s="476">
        <v>0</v>
      </c>
      <c r="EH33" s="476">
        <v>67956</v>
      </c>
      <c r="EI33" s="476">
        <v>0</v>
      </c>
      <c r="EJ33" s="476">
        <v>0</v>
      </c>
      <c r="EK33" s="476">
        <v>2.8490000000000002</v>
      </c>
      <c r="EL33" s="476">
        <v>0</v>
      </c>
      <c r="EM33" s="476">
        <v>0</v>
      </c>
      <c r="EN33" s="476">
        <v>0.497</v>
      </c>
      <c r="EO33" s="476">
        <v>0</v>
      </c>
      <c r="EP33" s="476">
        <v>0</v>
      </c>
      <c r="EQ33" s="476">
        <v>3.3460000000000001</v>
      </c>
      <c r="ER33" s="476">
        <v>0</v>
      </c>
      <c r="ES33" s="476">
        <v>11.032</v>
      </c>
      <c r="ET33" s="476">
        <v>0</v>
      </c>
      <c r="EU33" s="476">
        <v>0</v>
      </c>
      <c r="EV33" s="476">
        <v>0</v>
      </c>
      <c r="EW33" s="476">
        <v>0</v>
      </c>
      <c r="EX33" s="476">
        <v>0</v>
      </c>
      <c r="EY33" s="476">
        <v>0</v>
      </c>
      <c r="EZ33" s="476">
        <v>711244</v>
      </c>
      <c r="FA33" s="476">
        <v>0</v>
      </c>
      <c r="FB33" s="476">
        <v>740325</v>
      </c>
      <c r="FC33" s="476">
        <v>0</v>
      </c>
      <c r="FD33" s="476">
        <v>0</v>
      </c>
      <c r="FE33" s="476">
        <v>95627</v>
      </c>
      <c r="FF33" s="476">
        <v>15970</v>
      </c>
      <c r="FG33" s="476">
        <v>6.3017999999999991E-2</v>
      </c>
      <c r="FH33" s="476">
        <v>2.6953999999999999E-2</v>
      </c>
      <c r="FI33" s="476">
        <v>0</v>
      </c>
      <c r="FJ33" s="476">
        <v>0</v>
      </c>
      <c r="FK33" s="476">
        <v>120.232</v>
      </c>
      <c r="FL33" s="476">
        <v>851922</v>
      </c>
      <c r="FM33" s="476">
        <v>0</v>
      </c>
      <c r="FN33" s="476">
        <v>0</v>
      </c>
      <c r="FO33" s="476">
        <v>0</v>
      </c>
      <c r="FP33" s="476">
        <v>0</v>
      </c>
      <c r="FQ33" s="476">
        <v>0</v>
      </c>
      <c r="FR33" s="476">
        <v>0</v>
      </c>
      <c r="FS33" s="476">
        <v>0</v>
      </c>
      <c r="FT33" s="476">
        <v>0</v>
      </c>
      <c r="FU33" s="476">
        <v>0</v>
      </c>
      <c r="FV33" s="476">
        <v>0</v>
      </c>
      <c r="FW33" s="476">
        <v>0</v>
      </c>
      <c r="FX33" s="476">
        <v>0</v>
      </c>
      <c r="FY33" s="476">
        <v>0</v>
      </c>
      <c r="FZ33" s="476">
        <v>0</v>
      </c>
      <c r="GA33" s="476">
        <v>0</v>
      </c>
      <c r="GB33" s="476">
        <v>0</v>
      </c>
      <c r="GC33" s="476">
        <v>0</v>
      </c>
      <c r="GD33" s="476">
        <v>0</v>
      </c>
      <c r="GE33" s="476">
        <v>0</v>
      </c>
      <c r="GF33" s="476">
        <v>0</v>
      </c>
      <c r="GG33" s="476">
        <v>0</v>
      </c>
      <c r="GH33" s="476">
        <v>0</v>
      </c>
      <c r="GI33" s="476">
        <v>0</v>
      </c>
      <c r="GJ33" s="476">
        <v>0</v>
      </c>
      <c r="GK33" s="476">
        <v>0</v>
      </c>
      <c r="GL33" s="476">
        <v>0</v>
      </c>
      <c r="GM33" s="476">
        <v>0</v>
      </c>
      <c r="GN33" s="476">
        <v>0</v>
      </c>
      <c r="GO33" s="476">
        <v>0</v>
      </c>
      <c r="GP33" s="476">
        <v>0</v>
      </c>
      <c r="GQ33" s="476">
        <v>822556</v>
      </c>
      <c r="GR33" s="476">
        <v>0</v>
      </c>
      <c r="GS33" s="476">
        <v>0</v>
      </c>
      <c r="GT33" s="476">
        <v>0</v>
      </c>
      <c r="GU33" s="476">
        <v>0</v>
      </c>
      <c r="GV33" s="476">
        <v>0</v>
      </c>
      <c r="GW33" s="476">
        <v>0</v>
      </c>
      <c r="GX33" s="476">
        <v>0</v>
      </c>
      <c r="GY33" s="476">
        <v>0</v>
      </c>
      <c r="GZ33" s="476">
        <v>0</v>
      </c>
      <c r="HA33" s="476">
        <v>0</v>
      </c>
      <c r="HB33" s="476">
        <v>0</v>
      </c>
      <c r="HC33" s="476">
        <v>4.2206E-2</v>
      </c>
      <c r="HD33" s="476">
        <v>0</v>
      </c>
      <c r="HE33" s="476">
        <v>0</v>
      </c>
      <c r="HF33" s="476">
        <v>74172</v>
      </c>
      <c r="HG33" s="476">
        <v>0</v>
      </c>
      <c r="HH33" s="476">
        <v>30011</v>
      </c>
      <c r="HI33" s="476">
        <v>0</v>
      </c>
      <c r="HJ33" s="476">
        <v>707</v>
      </c>
      <c r="HK33" s="476">
        <v>0</v>
      </c>
      <c r="HL33" s="476">
        <v>0</v>
      </c>
      <c r="HM33" s="476">
        <v>0</v>
      </c>
      <c r="HN33" s="476">
        <v>0</v>
      </c>
      <c r="HO33" s="476">
        <v>0</v>
      </c>
      <c r="HP33" s="476">
        <v>0</v>
      </c>
      <c r="HQ33" s="476">
        <v>0</v>
      </c>
      <c r="HR33" s="476">
        <v>0</v>
      </c>
      <c r="HS33" s="476">
        <v>710959</v>
      </c>
      <c r="HT33" s="476">
        <v>15970</v>
      </c>
      <c r="HU33" s="476">
        <v>0</v>
      </c>
      <c r="HV33" s="476">
        <v>0</v>
      </c>
      <c r="HW33" s="476">
        <v>0</v>
      </c>
      <c r="HX33" s="476">
        <v>2</v>
      </c>
      <c r="HY33" s="476">
        <v>8</v>
      </c>
      <c r="HZ33" s="476">
        <v>15</v>
      </c>
      <c r="IA33" s="476">
        <v>23</v>
      </c>
      <c r="IB33" s="476">
        <v>35</v>
      </c>
      <c r="IC33" s="476">
        <v>83</v>
      </c>
      <c r="ID33" s="476">
        <v>0</v>
      </c>
      <c r="IE33" s="476">
        <v>0</v>
      </c>
      <c r="IF33" s="476">
        <v>0</v>
      </c>
      <c r="IG33" s="476">
        <v>0</v>
      </c>
      <c r="IH33" s="476">
        <v>48.72</v>
      </c>
      <c r="II33" s="476">
        <v>0</v>
      </c>
      <c r="IJ33" s="476">
        <v>6.2149999999999999</v>
      </c>
      <c r="IK33" s="476">
        <v>0</v>
      </c>
      <c r="IL33" s="476">
        <v>0</v>
      </c>
      <c r="IM33" s="476">
        <v>0</v>
      </c>
      <c r="IN33" s="476">
        <v>0</v>
      </c>
      <c r="IO33" s="476">
        <v>0</v>
      </c>
      <c r="IP33" s="476">
        <v>0</v>
      </c>
      <c r="IQ33" s="476">
        <v>6.2149999999999999</v>
      </c>
      <c r="IR33" s="476">
        <v>3828</v>
      </c>
      <c r="IS33" s="476">
        <v>0</v>
      </c>
      <c r="IT33" s="476">
        <v>0</v>
      </c>
      <c r="IU33" s="476">
        <v>0</v>
      </c>
      <c r="IV33" s="476">
        <v>0</v>
      </c>
      <c r="IW33" s="476">
        <v>6160</v>
      </c>
      <c r="IX33" s="476">
        <v>0</v>
      </c>
      <c r="IY33" s="476">
        <v>0</v>
      </c>
      <c r="IZ33" s="476">
        <v>0</v>
      </c>
      <c r="JA33" s="476">
        <v>0</v>
      </c>
      <c r="JB33" s="476">
        <v>0</v>
      </c>
      <c r="JC33" s="476">
        <v>0</v>
      </c>
      <c r="JD33" s="476">
        <v>0</v>
      </c>
      <c r="JE33" s="476">
        <v>0</v>
      </c>
      <c r="JF33" s="476">
        <v>0</v>
      </c>
      <c r="JG33" s="476">
        <v>0</v>
      </c>
      <c r="JH33" s="476">
        <v>0</v>
      </c>
      <c r="JI33" s="476">
        <v>0</v>
      </c>
      <c r="JJ33" s="476">
        <v>0</v>
      </c>
      <c r="JK33" s="476">
        <v>0</v>
      </c>
      <c r="JL33" s="476">
        <v>0</v>
      </c>
      <c r="JM33" s="476">
        <v>0</v>
      </c>
      <c r="JN33" s="476">
        <v>0</v>
      </c>
      <c r="JO33" s="476">
        <v>0</v>
      </c>
      <c r="JP33" s="476">
        <v>0</v>
      </c>
      <c r="JQ33" s="476">
        <v>0</v>
      </c>
      <c r="JR33" s="476">
        <v>0</v>
      </c>
      <c r="JS33" s="476">
        <v>0</v>
      </c>
      <c r="JT33" s="476">
        <v>0</v>
      </c>
      <c r="JU33" s="476">
        <v>0</v>
      </c>
      <c r="JV33" s="476">
        <v>0</v>
      </c>
      <c r="JW33" s="476">
        <v>0</v>
      </c>
      <c r="JX33" s="476">
        <v>0</v>
      </c>
      <c r="JY33" s="476">
        <v>0</v>
      </c>
      <c r="JZ33" s="476">
        <v>0</v>
      </c>
      <c r="KA33" s="476">
        <v>0</v>
      </c>
      <c r="KB33" s="476">
        <v>0</v>
      </c>
      <c r="KC33" s="476">
        <v>0</v>
      </c>
      <c r="KD33" s="476">
        <v>0</v>
      </c>
      <c r="KE33" s="476">
        <v>7262</v>
      </c>
      <c r="KF33" s="476">
        <v>0</v>
      </c>
      <c r="KG33" s="476">
        <v>0</v>
      </c>
      <c r="KH33" s="476">
        <v>822556</v>
      </c>
      <c r="KI33" s="476">
        <v>0</v>
      </c>
      <c r="KJ33" s="476">
        <v>0</v>
      </c>
      <c r="KK33" s="476">
        <v>0</v>
      </c>
      <c r="KL33" s="476">
        <v>0</v>
      </c>
      <c r="KM33" s="476">
        <v>0</v>
      </c>
      <c r="KN33" s="476">
        <v>0</v>
      </c>
    </row>
    <row r="34" spans="1:300" x14ac:dyDescent="0.25">
      <c r="A34" s="476">
        <v>40976</v>
      </c>
      <c r="B34" s="476">
        <v>15844</v>
      </c>
      <c r="C34" s="476">
        <v>9</v>
      </c>
      <c r="D34" s="476">
        <v>2024</v>
      </c>
      <c r="E34" s="476">
        <v>6160</v>
      </c>
      <c r="F34" s="476">
        <v>0</v>
      </c>
      <c r="G34" s="476">
        <v>84.048000000000002</v>
      </c>
      <c r="H34" s="476">
        <v>82.974000000000004</v>
      </c>
      <c r="I34" s="476">
        <v>82.974000000000004</v>
      </c>
      <c r="J34" s="476">
        <v>84.048000000000002</v>
      </c>
      <c r="K34" s="476">
        <v>0</v>
      </c>
      <c r="L34" s="476">
        <v>6160</v>
      </c>
      <c r="M34" s="476">
        <v>0</v>
      </c>
      <c r="N34" s="476">
        <v>0</v>
      </c>
      <c r="O34" s="476">
        <v>0</v>
      </c>
      <c r="P34" s="476">
        <v>84.048000000000002</v>
      </c>
      <c r="Q34" s="476">
        <v>0</v>
      </c>
      <c r="R34" s="476">
        <v>34870</v>
      </c>
      <c r="S34" s="476">
        <v>414.88400000000001</v>
      </c>
      <c r="T34" s="476">
        <v>0</v>
      </c>
      <c r="U34" s="476">
        <v>0</v>
      </c>
      <c r="V34" s="476">
        <v>0</v>
      </c>
      <c r="W34" s="476">
        <v>0</v>
      </c>
      <c r="X34" s="476">
        <v>0</v>
      </c>
      <c r="Y34" s="476">
        <v>0</v>
      </c>
      <c r="Z34" s="476">
        <v>0</v>
      </c>
      <c r="AA34" s="476">
        <v>0</v>
      </c>
      <c r="AB34" s="476">
        <v>0</v>
      </c>
      <c r="AC34" s="476">
        <v>0</v>
      </c>
      <c r="AD34" s="476" t="s">
        <v>314</v>
      </c>
      <c r="AE34" s="476">
        <v>0</v>
      </c>
      <c r="AF34" s="476">
        <v>0</v>
      </c>
      <c r="AG34" s="476">
        <v>0</v>
      </c>
      <c r="AH34" s="476">
        <v>0</v>
      </c>
      <c r="AI34" s="476">
        <v>0</v>
      </c>
      <c r="AJ34" s="476">
        <v>6160</v>
      </c>
      <c r="AK34" s="476" t="s">
        <v>651</v>
      </c>
      <c r="AL34" s="476" t="s">
        <v>808</v>
      </c>
      <c r="AM34" s="476">
        <v>0</v>
      </c>
      <c r="AN34" s="476">
        <v>0</v>
      </c>
      <c r="AO34" s="476">
        <v>0</v>
      </c>
      <c r="AP34" s="476">
        <v>0</v>
      </c>
      <c r="AQ34" s="476">
        <v>0</v>
      </c>
      <c r="AR34" s="476">
        <v>0</v>
      </c>
      <c r="AS34" s="476">
        <v>0</v>
      </c>
      <c r="AT34" s="476">
        <v>0</v>
      </c>
      <c r="AU34" s="476">
        <v>0</v>
      </c>
      <c r="AV34" s="476">
        <v>0</v>
      </c>
      <c r="AW34" s="476">
        <v>873029</v>
      </c>
      <c r="AX34" s="476">
        <v>873134</v>
      </c>
      <c r="AY34" s="476">
        <v>0</v>
      </c>
      <c r="AZ34" s="476">
        <v>34870</v>
      </c>
      <c r="BA34" s="476">
        <v>0</v>
      </c>
      <c r="BB34" s="476">
        <v>0</v>
      </c>
      <c r="BC34" s="476">
        <v>0</v>
      </c>
      <c r="BD34" s="476">
        <v>0</v>
      </c>
      <c r="BE34" s="476">
        <v>0</v>
      </c>
      <c r="BF34" s="476">
        <v>782687</v>
      </c>
      <c r="BG34" s="476">
        <v>0</v>
      </c>
      <c r="BH34" s="476">
        <v>0</v>
      </c>
      <c r="BI34" s="476">
        <v>0</v>
      </c>
      <c r="BJ34" s="476">
        <v>12</v>
      </c>
      <c r="BK34" s="476">
        <v>0</v>
      </c>
      <c r="BL34" s="476">
        <v>0</v>
      </c>
      <c r="BM34" s="476">
        <v>0</v>
      </c>
      <c r="BN34" s="476">
        <v>0</v>
      </c>
      <c r="BO34" s="476">
        <v>0</v>
      </c>
      <c r="BP34" s="476">
        <v>0</v>
      </c>
      <c r="BQ34" s="476">
        <v>757</v>
      </c>
      <c r="BR34" s="476">
        <v>0</v>
      </c>
      <c r="BS34" s="476">
        <v>0</v>
      </c>
      <c r="BT34" s="476">
        <v>0</v>
      </c>
      <c r="BU34" s="476">
        <v>0</v>
      </c>
      <c r="BV34" s="476">
        <v>0</v>
      </c>
      <c r="BW34" s="476">
        <v>0</v>
      </c>
      <c r="BX34" s="476">
        <v>0</v>
      </c>
      <c r="BY34" s="476">
        <v>0</v>
      </c>
      <c r="BZ34" s="476">
        <v>0</v>
      </c>
      <c r="CA34" s="476">
        <v>0</v>
      </c>
      <c r="CB34" s="476">
        <v>0</v>
      </c>
      <c r="CC34" s="476">
        <v>0</v>
      </c>
      <c r="CD34" s="476">
        <v>0</v>
      </c>
      <c r="CE34" s="476">
        <v>0</v>
      </c>
      <c r="CF34" s="476">
        <v>0</v>
      </c>
      <c r="CG34" s="476">
        <v>0</v>
      </c>
      <c r="CH34" s="476">
        <v>0</v>
      </c>
      <c r="CI34" s="476">
        <v>0</v>
      </c>
      <c r="CJ34" s="476">
        <v>4</v>
      </c>
      <c r="CK34" s="476">
        <v>0</v>
      </c>
      <c r="CL34" s="476">
        <v>0</v>
      </c>
      <c r="CM34" s="476">
        <v>0</v>
      </c>
      <c r="CN34" s="476">
        <v>0</v>
      </c>
      <c r="CO34" s="476">
        <v>1</v>
      </c>
      <c r="CP34" s="476">
        <v>0</v>
      </c>
      <c r="CQ34" s="476">
        <v>0</v>
      </c>
      <c r="CR34" s="476">
        <v>84.048000000000002</v>
      </c>
      <c r="CS34" s="476">
        <v>0</v>
      </c>
      <c r="CT34" s="476">
        <v>0</v>
      </c>
      <c r="CU34" s="476">
        <v>0</v>
      </c>
      <c r="CV34" s="476">
        <v>0</v>
      </c>
      <c r="CW34" s="476">
        <v>0</v>
      </c>
      <c r="CX34" s="476">
        <v>0</v>
      </c>
      <c r="CY34" s="476">
        <v>0</v>
      </c>
      <c r="CZ34" s="476">
        <v>0</v>
      </c>
      <c r="DA34" s="476">
        <v>0</v>
      </c>
      <c r="DB34" s="476">
        <v>511108</v>
      </c>
      <c r="DC34" s="476">
        <v>0</v>
      </c>
      <c r="DD34" s="476">
        <v>0</v>
      </c>
      <c r="DE34" s="476">
        <v>120887</v>
      </c>
      <c r="DF34" s="476">
        <v>120887</v>
      </c>
      <c r="DG34" s="476">
        <v>19.625</v>
      </c>
      <c r="DH34" s="476">
        <v>0</v>
      </c>
      <c r="DI34" s="476">
        <v>0</v>
      </c>
      <c r="DJ34" s="476">
        <v>0</v>
      </c>
      <c r="DK34" s="476">
        <v>3738</v>
      </c>
      <c r="DL34" s="476">
        <v>0</v>
      </c>
      <c r="DM34" s="476">
        <v>30631</v>
      </c>
      <c r="DN34" s="476">
        <v>105</v>
      </c>
      <c r="DO34" s="476">
        <v>0</v>
      </c>
      <c r="DP34" s="476">
        <v>0</v>
      </c>
      <c r="DQ34" s="476">
        <v>0</v>
      </c>
      <c r="DR34" s="476">
        <v>0</v>
      </c>
      <c r="DS34" s="476">
        <v>0</v>
      </c>
      <c r="DT34" s="476">
        <v>0</v>
      </c>
      <c r="DU34" s="476">
        <v>0</v>
      </c>
      <c r="DV34" s="476">
        <v>0</v>
      </c>
      <c r="DW34" s="476">
        <v>0</v>
      </c>
      <c r="DX34" s="476">
        <v>0</v>
      </c>
      <c r="DY34" s="476">
        <v>0</v>
      </c>
      <c r="DZ34" s="476">
        <v>0</v>
      </c>
      <c r="EA34" s="476">
        <v>0</v>
      </c>
      <c r="EB34" s="476">
        <v>0</v>
      </c>
      <c r="EC34" s="476">
        <v>1.278</v>
      </c>
      <c r="ED34" s="476">
        <v>9053</v>
      </c>
      <c r="EE34" s="476">
        <v>0</v>
      </c>
      <c r="EF34" s="476">
        <v>0</v>
      </c>
      <c r="EG34" s="476">
        <v>0</v>
      </c>
      <c r="EH34" s="476">
        <v>21683</v>
      </c>
      <c r="EI34" s="476">
        <v>0</v>
      </c>
      <c r="EJ34" s="476">
        <v>0</v>
      </c>
      <c r="EK34" s="476">
        <v>0.56700000000000006</v>
      </c>
      <c r="EL34" s="476">
        <v>0</v>
      </c>
      <c r="EM34" s="476">
        <v>0.35800000000000004</v>
      </c>
      <c r="EN34" s="476">
        <v>0.14899999999999999</v>
      </c>
      <c r="EO34" s="476">
        <v>0</v>
      </c>
      <c r="EP34" s="476">
        <v>0</v>
      </c>
      <c r="EQ34" s="476">
        <v>1.0740000000000001</v>
      </c>
      <c r="ER34" s="476">
        <v>0</v>
      </c>
      <c r="ES34" s="476">
        <v>3.52</v>
      </c>
      <c r="ET34" s="476">
        <v>0</v>
      </c>
      <c r="EU34" s="476">
        <v>0</v>
      </c>
      <c r="EV34" s="476">
        <v>0</v>
      </c>
      <c r="EW34" s="476">
        <v>0</v>
      </c>
      <c r="EX34" s="476">
        <v>0</v>
      </c>
      <c r="EY34" s="476">
        <v>0</v>
      </c>
      <c r="EZ34" s="476">
        <v>755197</v>
      </c>
      <c r="FA34" s="476">
        <v>0</v>
      </c>
      <c r="FB34" s="476">
        <v>789962</v>
      </c>
      <c r="FC34" s="476">
        <v>0</v>
      </c>
      <c r="FD34" s="476">
        <v>0</v>
      </c>
      <c r="FE34" s="476">
        <v>101059</v>
      </c>
      <c r="FF34" s="476">
        <v>16878</v>
      </c>
      <c r="FG34" s="476">
        <v>6.3017999999999991E-2</v>
      </c>
      <c r="FH34" s="476">
        <v>2.6953999999999999E-2</v>
      </c>
      <c r="FI34" s="476">
        <v>0</v>
      </c>
      <c r="FJ34" s="476">
        <v>0</v>
      </c>
      <c r="FK34" s="476">
        <v>127.06200000000001</v>
      </c>
      <c r="FL34" s="476">
        <v>907899</v>
      </c>
      <c r="FM34" s="476">
        <v>0</v>
      </c>
      <c r="FN34" s="476">
        <v>0</v>
      </c>
      <c r="FO34" s="476">
        <v>7380</v>
      </c>
      <c r="FP34" s="476">
        <v>0</v>
      </c>
      <c r="FQ34" s="476">
        <v>7380</v>
      </c>
      <c r="FR34" s="476">
        <v>7380</v>
      </c>
      <c r="FS34" s="476">
        <v>0</v>
      </c>
      <c r="FT34" s="476">
        <v>0</v>
      </c>
      <c r="FU34" s="476">
        <v>0</v>
      </c>
      <c r="FV34" s="476">
        <v>0</v>
      </c>
      <c r="FW34" s="476">
        <v>0</v>
      </c>
      <c r="FX34" s="476">
        <v>0</v>
      </c>
      <c r="FY34" s="476">
        <v>0</v>
      </c>
      <c r="FZ34" s="476">
        <v>0</v>
      </c>
      <c r="GA34" s="476">
        <v>0</v>
      </c>
      <c r="GB34" s="476">
        <v>0</v>
      </c>
      <c r="GC34" s="476">
        <v>0</v>
      </c>
      <c r="GD34" s="476">
        <v>0</v>
      </c>
      <c r="GE34" s="476">
        <v>0</v>
      </c>
      <c r="GF34" s="476">
        <v>0</v>
      </c>
      <c r="GG34" s="476">
        <v>0</v>
      </c>
      <c r="GH34" s="476">
        <v>0</v>
      </c>
      <c r="GI34" s="476">
        <v>0</v>
      </c>
      <c r="GJ34" s="476">
        <v>0</v>
      </c>
      <c r="GK34" s="476">
        <v>0</v>
      </c>
      <c r="GL34" s="476">
        <v>0</v>
      </c>
      <c r="GM34" s="476">
        <v>0</v>
      </c>
      <c r="GN34" s="476">
        <v>0</v>
      </c>
      <c r="GO34" s="476">
        <v>0</v>
      </c>
      <c r="GP34" s="476">
        <v>0</v>
      </c>
      <c r="GQ34" s="476">
        <v>873029</v>
      </c>
      <c r="GR34" s="476">
        <v>0</v>
      </c>
      <c r="GS34" s="476">
        <v>0</v>
      </c>
      <c r="GT34" s="476">
        <v>0</v>
      </c>
      <c r="GU34" s="476">
        <v>0</v>
      </c>
      <c r="GV34" s="476">
        <v>0</v>
      </c>
      <c r="GW34" s="476">
        <v>0</v>
      </c>
      <c r="GX34" s="476">
        <v>0</v>
      </c>
      <c r="GY34" s="476">
        <v>0</v>
      </c>
      <c r="GZ34" s="476">
        <v>0</v>
      </c>
      <c r="HA34" s="476">
        <v>0</v>
      </c>
      <c r="HB34" s="476">
        <v>0</v>
      </c>
      <c r="HC34" s="476">
        <v>4.2206E-2</v>
      </c>
      <c r="HD34" s="476">
        <v>0</v>
      </c>
      <c r="HE34" s="476">
        <v>0</v>
      </c>
      <c r="HF34" s="476">
        <v>91437</v>
      </c>
      <c r="HG34" s="476">
        <v>4928</v>
      </c>
      <c r="HH34" s="476">
        <v>22751</v>
      </c>
      <c r="HI34" s="476">
        <v>0</v>
      </c>
      <c r="HJ34" s="476">
        <v>840</v>
      </c>
      <c r="HK34" s="476">
        <v>0</v>
      </c>
      <c r="HL34" s="476">
        <v>0</v>
      </c>
      <c r="HM34" s="476">
        <v>0</v>
      </c>
      <c r="HN34" s="476">
        <v>0</v>
      </c>
      <c r="HO34" s="476">
        <v>0</v>
      </c>
      <c r="HP34" s="476">
        <v>0</v>
      </c>
      <c r="HQ34" s="476">
        <v>0</v>
      </c>
      <c r="HR34" s="476">
        <v>0</v>
      </c>
      <c r="HS34" s="476">
        <v>755092</v>
      </c>
      <c r="HT34" s="476">
        <v>16878</v>
      </c>
      <c r="HU34" s="476">
        <v>0</v>
      </c>
      <c r="HV34" s="476">
        <v>0</v>
      </c>
      <c r="HW34" s="476">
        <v>0</v>
      </c>
      <c r="HX34" s="476">
        <v>5</v>
      </c>
      <c r="HY34" s="476">
        <v>7</v>
      </c>
      <c r="HZ34" s="476">
        <v>9</v>
      </c>
      <c r="IA34" s="476">
        <v>21</v>
      </c>
      <c r="IB34" s="476">
        <v>33</v>
      </c>
      <c r="IC34" s="476">
        <v>75</v>
      </c>
      <c r="ID34" s="476">
        <v>0</v>
      </c>
      <c r="IE34" s="476">
        <v>0</v>
      </c>
      <c r="IF34" s="476">
        <v>0</v>
      </c>
      <c r="IG34" s="476">
        <v>8</v>
      </c>
      <c r="IH34" s="476">
        <v>36.935000000000002</v>
      </c>
      <c r="II34" s="476">
        <v>0</v>
      </c>
      <c r="IJ34" s="476">
        <v>0</v>
      </c>
      <c r="IK34" s="476">
        <v>0</v>
      </c>
      <c r="IL34" s="476">
        <v>0</v>
      </c>
      <c r="IM34" s="476">
        <v>0</v>
      </c>
      <c r="IN34" s="476">
        <v>0</v>
      </c>
      <c r="IO34" s="476">
        <v>0</v>
      </c>
      <c r="IP34" s="476">
        <v>0</v>
      </c>
      <c r="IQ34" s="476">
        <v>0</v>
      </c>
      <c r="IR34" s="476">
        <v>0</v>
      </c>
      <c r="IS34" s="476">
        <v>0</v>
      </c>
      <c r="IT34" s="476">
        <v>0</v>
      </c>
      <c r="IU34" s="476">
        <v>0</v>
      </c>
      <c r="IV34" s="476">
        <v>0</v>
      </c>
      <c r="IW34" s="476">
        <v>6160</v>
      </c>
      <c r="IX34" s="476">
        <v>0</v>
      </c>
      <c r="IY34" s="476">
        <v>0</v>
      </c>
      <c r="IZ34" s="476">
        <v>0</v>
      </c>
      <c r="JA34" s="476">
        <v>0</v>
      </c>
      <c r="JB34" s="476">
        <v>0</v>
      </c>
      <c r="JC34" s="476">
        <v>0</v>
      </c>
      <c r="JD34" s="476">
        <v>0</v>
      </c>
      <c r="JE34" s="476">
        <v>0</v>
      </c>
      <c r="JF34" s="476">
        <v>0</v>
      </c>
      <c r="JG34" s="476">
        <v>0</v>
      </c>
      <c r="JH34" s="476">
        <v>0</v>
      </c>
      <c r="JI34" s="476">
        <v>0</v>
      </c>
      <c r="JJ34" s="476">
        <v>0</v>
      </c>
      <c r="JK34" s="476">
        <v>0</v>
      </c>
      <c r="JL34" s="476">
        <v>0</v>
      </c>
      <c r="JM34" s="476">
        <v>0</v>
      </c>
      <c r="JN34" s="476">
        <v>0</v>
      </c>
      <c r="JO34" s="476">
        <v>0</v>
      </c>
      <c r="JP34" s="476">
        <v>0</v>
      </c>
      <c r="JQ34" s="476">
        <v>0</v>
      </c>
      <c r="JR34" s="476">
        <v>0</v>
      </c>
      <c r="JS34" s="476">
        <v>0</v>
      </c>
      <c r="JT34" s="476">
        <v>0</v>
      </c>
      <c r="JU34" s="476">
        <v>0</v>
      </c>
      <c r="JV34" s="476">
        <v>0</v>
      </c>
      <c r="JW34" s="476">
        <v>0</v>
      </c>
      <c r="JX34" s="476">
        <v>0</v>
      </c>
      <c r="JY34" s="476">
        <v>0</v>
      </c>
      <c r="JZ34" s="476">
        <v>0</v>
      </c>
      <c r="KA34" s="476">
        <v>0</v>
      </c>
      <c r="KB34" s="476">
        <v>0</v>
      </c>
      <c r="KC34" s="476">
        <v>0</v>
      </c>
      <c r="KD34" s="476">
        <v>0</v>
      </c>
      <c r="KE34" s="476">
        <v>7262</v>
      </c>
      <c r="KF34" s="476">
        <v>0</v>
      </c>
      <c r="KG34" s="476">
        <v>0</v>
      </c>
      <c r="KH34" s="476">
        <v>873029</v>
      </c>
      <c r="KI34" s="476">
        <v>0</v>
      </c>
      <c r="KJ34" s="476">
        <v>4</v>
      </c>
      <c r="KK34" s="476">
        <v>4</v>
      </c>
      <c r="KL34" s="476">
        <v>2464</v>
      </c>
      <c r="KM34" s="476">
        <v>2464</v>
      </c>
      <c r="KN34" s="476">
        <v>0</v>
      </c>
    </row>
    <row r="35" spans="1:300" x14ac:dyDescent="0.25">
      <c r="A35" s="476">
        <v>40976</v>
      </c>
      <c r="B35" s="476">
        <v>21803</v>
      </c>
      <c r="C35" s="476">
        <v>9</v>
      </c>
      <c r="D35" s="476">
        <v>2024</v>
      </c>
      <c r="E35" s="476">
        <v>6160</v>
      </c>
      <c r="F35" s="476">
        <v>0</v>
      </c>
      <c r="G35" s="476">
        <v>243.05800000000002</v>
      </c>
      <c r="H35" s="476">
        <v>237.16600000000003</v>
      </c>
      <c r="I35" s="476">
        <v>237.16600000000003</v>
      </c>
      <c r="J35" s="476">
        <v>243.05800000000002</v>
      </c>
      <c r="K35" s="476">
        <v>0</v>
      </c>
      <c r="L35" s="476">
        <v>6160</v>
      </c>
      <c r="M35" s="476">
        <v>0</v>
      </c>
      <c r="N35" s="476">
        <v>0</v>
      </c>
      <c r="O35" s="476">
        <v>0</v>
      </c>
      <c r="P35" s="476">
        <v>243.05800000000002</v>
      </c>
      <c r="Q35" s="476">
        <v>0</v>
      </c>
      <c r="R35" s="476">
        <v>100841</v>
      </c>
      <c r="S35" s="476">
        <v>414.88400000000001</v>
      </c>
      <c r="T35" s="476">
        <v>0</v>
      </c>
      <c r="U35" s="476">
        <v>0</v>
      </c>
      <c r="V35" s="476">
        <v>103.98700000000001</v>
      </c>
      <c r="W35" s="476">
        <v>64055</v>
      </c>
      <c r="X35" s="476">
        <v>64055</v>
      </c>
      <c r="Y35" s="476">
        <v>0</v>
      </c>
      <c r="Z35" s="476">
        <v>0</v>
      </c>
      <c r="AA35" s="476">
        <v>0</v>
      </c>
      <c r="AB35" s="476">
        <v>0</v>
      </c>
      <c r="AC35" s="476">
        <v>0</v>
      </c>
      <c r="AD35" s="476" t="s">
        <v>314</v>
      </c>
      <c r="AE35" s="476">
        <v>0</v>
      </c>
      <c r="AF35" s="476">
        <v>0</v>
      </c>
      <c r="AG35" s="476">
        <v>0</v>
      </c>
      <c r="AH35" s="476">
        <v>0</v>
      </c>
      <c r="AI35" s="476">
        <v>0</v>
      </c>
      <c r="AJ35" s="476">
        <v>6160</v>
      </c>
      <c r="AK35" s="476" t="s">
        <v>651</v>
      </c>
      <c r="AL35" s="476" t="s">
        <v>40</v>
      </c>
      <c r="AM35" s="476">
        <v>0</v>
      </c>
      <c r="AN35" s="476">
        <v>0</v>
      </c>
      <c r="AO35" s="476">
        <v>0</v>
      </c>
      <c r="AP35" s="476">
        <v>0</v>
      </c>
      <c r="AQ35" s="476">
        <v>0</v>
      </c>
      <c r="AR35" s="476">
        <v>0</v>
      </c>
      <c r="AS35" s="476">
        <v>0</v>
      </c>
      <c r="AT35" s="476">
        <v>0</v>
      </c>
      <c r="AU35" s="476">
        <v>0</v>
      </c>
      <c r="AV35" s="476">
        <v>0</v>
      </c>
      <c r="AW35" s="476">
        <v>2812430</v>
      </c>
      <c r="AX35" s="476">
        <v>2771801</v>
      </c>
      <c r="AY35" s="476">
        <v>0</v>
      </c>
      <c r="AZ35" s="476">
        <v>100841</v>
      </c>
      <c r="BA35" s="476">
        <v>17.833000000000002</v>
      </c>
      <c r="BB35" s="476">
        <v>0</v>
      </c>
      <c r="BC35" s="476">
        <v>0</v>
      </c>
      <c r="BD35" s="476">
        <v>0</v>
      </c>
      <c r="BE35" s="476">
        <v>0</v>
      </c>
      <c r="BF35" s="476">
        <v>2496469</v>
      </c>
      <c r="BG35" s="476">
        <v>0</v>
      </c>
      <c r="BH35" s="476">
        <v>0</v>
      </c>
      <c r="BI35" s="476">
        <v>0</v>
      </c>
      <c r="BJ35" s="476">
        <v>12</v>
      </c>
      <c r="BK35" s="476">
        <v>0</v>
      </c>
      <c r="BL35" s="476">
        <v>0</v>
      </c>
      <c r="BM35" s="476">
        <v>0</v>
      </c>
      <c r="BN35" s="476">
        <v>0</v>
      </c>
      <c r="BO35" s="476">
        <v>0</v>
      </c>
      <c r="BP35" s="476">
        <v>0</v>
      </c>
      <c r="BQ35" s="476">
        <v>733</v>
      </c>
      <c r="BR35" s="476">
        <v>0</v>
      </c>
      <c r="BS35" s="476">
        <v>0</v>
      </c>
      <c r="BT35" s="476">
        <v>0</v>
      </c>
      <c r="BU35" s="476">
        <v>0</v>
      </c>
      <c r="BV35" s="476">
        <v>0</v>
      </c>
      <c r="BW35" s="476">
        <v>0</v>
      </c>
      <c r="BX35" s="476">
        <v>0</v>
      </c>
      <c r="BY35" s="476">
        <v>0</v>
      </c>
      <c r="BZ35" s="476">
        <v>0</v>
      </c>
      <c r="CA35" s="476">
        <v>0</v>
      </c>
      <c r="CB35" s="476">
        <v>0</v>
      </c>
      <c r="CC35" s="476">
        <v>0</v>
      </c>
      <c r="CD35" s="476">
        <v>0</v>
      </c>
      <c r="CE35" s="476">
        <v>0</v>
      </c>
      <c r="CF35" s="476">
        <v>0</v>
      </c>
      <c r="CG35" s="476">
        <v>0</v>
      </c>
      <c r="CH35" s="476">
        <v>41034</v>
      </c>
      <c r="CI35" s="476">
        <v>0</v>
      </c>
      <c r="CJ35" s="476">
        <v>4</v>
      </c>
      <c r="CK35" s="476">
        <v>0</v>
      </c>
      <c r="CL35" s="476">
        <v>0</v>
      </c>
      <c r="CM35" s="476">
        <v>0</v>
      </c>
      <c r="CN35" s="476">
        <v>0</v>
      </c>
      <c r="CO35" s="476">
        <v>1</v>
      </c>
      <c r="CP35" s="476">
        <v>0</v>
      </c>
      <c r="CQ35" s="476">
        <v>2</v>
      </c>
      <c r="CR35" s="476">
        <v>243.05800000000002</v>
      </c>
      <c r="CS35" s="476">
        <v>0</v>
      </c>
      <c r="CT35" s="476">
        <v>0</v>
      </c>
      <c r="CU35" s="476">
        <v>0</v>
      </c>
      <c r="CV35" s="476">
        <v>0</v>
      </c>
      <c r="CW35" s="476">
        <v>0</v>
      </c>
      <c r="CX35" s="476">
        <v>0</v>
      </c>
      <c r="CY35" s="476">
        <v>0</v>
      </c>
      <c r="CZ35" s="476">
        <v>0</v>
      </c>
      <c r="DA35" s="476">
        <v>0</v>
      </c>
      <c r="DB35" s="476">
        <v>1412319</v>
      </c>
      <c r="DC35" s="476">
        <v>0</v>
      </c>
      <c r="DD35" s="476">
        <v>0</v>
      </c>
      <c r="DE35" s="476">
        <v>477389</v>
      </c>
      <c r="DF35" s="476">
        <v>477389</v>
      </c>
      <c r="DG35" s="476">
        <v>77.5</v>
      </c>
      <c r="DH35" s="476">
        <v>0</v>
      </c>
      <c r="DI35" s="476">
        <v>0</v>
      </c>
      <c r="DJ35" s="476">
        <v>0</v>
      </c>
      <c r="DK35" s="476">
        <v>3358</v>
      </c>
      <c r="DL35" s="476">
        <v>0</v>
      </c>
      <c r="DM35" s="476">
        <v>166516</v>
      </c>
      <c r="DN35" s="476">
        <v>405</v>
      </c>
      <c r="DO35" s="476">
        <v>0</v>
      </c>
      <c r="DP35" s="476">
        <v>0</v>
      </c>
      <c r="DQ35" s="476">
        <v>0</v>
      </c>
      <c r="DR35" s="476">
        <v>0</v>
      </c>
      <c r="DS35" s="476">
        <v>0</v>
      </c>
      <c r="DT35" s="476">
        <v>0</v>
      </c>
      <c r="DU35" s="476">
        <v>0</v>
      </c>
      <c r="DV35" s="476">
        <v>0</v>
      </c>
      <c r="DW35" s="476">
        <v>0</v>
      </c>
      <c r="DX35" s="476">
        <v>0</v>
      </c>
      <c r="DY35" s="476">
        <v>0</v>
      </c>
      <c r="DZ35" s="476">
        <v>0</v>
      </c>
      <c r="EA35" s="476">
        <v>0</v>
      </c>
      <c r="EB35" s="476">
        <v>0</v>
      </c>
      <c r="EC35" s="476">
        <v>0</v>
      </c>
      <c r="ED35" s="476">
        <v>0</v>
      </c>
      <c r="EE35" s="476">
        <v>0</v>
      </c>
      <c r="EF35" s="476">
        <v>0</v>
      </c>
      <c r="EG35" s="476">
        <v>0</v>
      </c>
      <c r="EH35" s="476">
        <v>118331</v>
      </c>
      <c r="EI35" s="476">
        <v>0</v>
      </c>
      <c r="EJ35" s="476">
        <v>0</v>
      </c>
      <c r="EK35" s="476">
        <v>5.125</v>
      </c>
      <c r="EL35" s="476">
        <v>0</v>
      </c>
      <c r="EM35" s="476">
        <v>0</v>
      </c>
      <c r="EN35" s="476">
        <v>0.76700000000000002</v>
      </c>
      <c r="EO35" s="476">
        <v>0</v>
      </c>
      <c r="EP35" s="476">
        <v>0</v>
      </c>
      <c r="EQ35" s="476">
        <v>5.8920000000000003</v>
      </c>
      <c r="ER35" s="476">
        <v>0</v>
      </c>
      <c r="ES35" s="476">
        <v>19.21</v>
      </c>
      <c r="ET35" s="476">
        <v>0</v>
      </c>
      <c r="EU35" s="476">
        <v>0</v>
      </c>
      <c r="EV35" s="476">
        <v>0</v>
      </c>
      <c r="EW35" s="476">
        <v>0</v>
      </c>
      <c r="EX35" s="476">
        <v>0</v>
      </c>
      <c r="EY35" s="476">
        <v>0</v>
      </c>
      <c r="EZ35" s="476">
        <v>2395628</v>
      </c>
      <c r="FA35" s="476">
        <v>0</v>
      </c>
      <c r="FB35" s="476">
        <v>2496064</v>
      </c>
      <c r="FC35" s="476">
        <v>0</v>
      </c>
      <c r="FD35" s="476">
        <v>0</v>
      </c>
      <c r="FE35" s="476">
        <v>322340</v>
      </c>
      <c r="FF35" s="476">
        <v>53833</v>
      </c>
      <c r="FG35" s="476">
        <v>6.3017999999999991E-2</v>
      </c>
      <c r="FH35" s="476">
        <v>2.6953999999999999E-2</v>
      </c>
      <c r="FI35" s="476">
        <v>0</v>
      </c>
      <c r="FJ35" s="476">
        <v>0</v>
      </c>
      <c r="FK35" s="476">
        <v>405.28000000000003</v>
      </c>
      <c r="FL35" s="476">
        <v>2913271</v>
      </c>
      <c r="FM35" s="476">
        <v>0</v>
      </c>
      <c r="FN35" s="476">
        <v>0</v>
      </c>
      <c r="FO35" s="476">
        <v>0</v>
      </c>
      <c r="FP35" s="476">
        <v>0</v>
      </c>
      <c r="FQ35" s="476">
        <v>0</v>
      </c>
      <c r="FR35" s="476">
        <v>0</v>
      </c>
      <c r="FS35" s="476">
        <v>0</v>
      </c>
      <c r="FT35" s="476">
        <v>0</v>
      </c>
      <c r="FU35" s="476">
        <v>0</v>
      </c>
      <c r="FV35" s="476">
        <v>0</v>
      </c>
      <c r="FW35" s="476">
        <v>0</v>
      </c>
      <c r="FX35" s="476">
        <v>0</v>
      </c>
      <c r="FY35" s="476">
        <v>0</v>
      </c>
      <c r="FZ35" s="476">
        <v>0</v>
      </c>
      <c r="GA35" s="476">
        <v>0</v>
      </c>
      <c r="GB35" s="476">
        <v>0</v>
      </c>
      <c r="GC35" s="476">
        <v>0</v>
      </c>
      <c r="GD35" s="476">
        <v>0</v>
      </c>
      <c r="GE35" s="476">
        <v>0</v>
      </c>
      <c r="GF35" s="476">
        <v>0</v>
      </c>
      <c r="GG35" s="476">
        <v>0</v>
      </c>
      <c r="GH35" s="476">
        <v>0</v>
      </c>
      <c r="GI35" s="476">
        <v>0</v>
      </c>
      <c r="GJ35" s="476">
        <v>0</v>
      </c>
      <c r="GK35" s="476">
        <v>0</v>
      </c>
      <c r="GL35" s="476">
        <v>0</v>
      </c>
      <c r="GM35" s="476">
        <v>0</v>
      </c>
      <c r="GN35" s="476">
        <v>0</v>
      </c>
      <c r="GO35" s="476">
        <v>0</v>
      </c>
      <c r="GP35" s="476">
        <v>0</v>
      </c>
      <c r="GQ35" s="476">
        <v>2771396</v>
      </c>
      <c r="GR35" s="476">
        <v>0</v>
      </c>
      <c r="GS35" s="476">
        <v>0</v>
      </c>
      <c r="GT35" s="476">
        <v>0</v>
      </c>
      <c r="GU35" s="476">
        <v>0</v>
      </c>
      <c r="GV35" s="476">
        <v>0</v>
      </c>
      <c r="GW35" s="476">
        <v>0</v>
      </c>
      <c r="GX35" s="476">
        <v>0</v>
      </c>
      <c r="GY35" s="476">
        <v>0</v>
      </c>
      <c r="GZ35" s="476">
        <v>0</v>
      </c>
      <c r="HA35" s="476">
        <v>0</v>
      </c>
      <c r="HB35" s="476">
        <v>323396213</v>
      </c>
      <c r="HC35" s="476">
        <v>4.2206E-2</v>
      </c>
      <c r="HD35" s="476">
        <v>41034</v>
      </c>
      <c r="HE35" s="476">
        <v>0</v>
      </c>
      <c r="HF35" s="476">
        <v>261357</v>
      </c>
      <c r="HG35" s="476">
        <v>1848</v>
      </c>
      <c r="HH35" s="476">
        <v>110149</v>
      </c>
      <c r="HI35" s="476">
        <v>0</v>
      </c>
      <c r="HJ35" s="476">
        <v>2431</v>
      </c>
      <c r="HK35" s="476">
        <v>0</v>
      </c>
      <c r="HL35" s="476">
        <v>0</v>
      </c>
      <c r="HM35" s="476">
        <v>0</v>
      </c>
      <c r="HN35" s="476">
        <v>0</v>
      </c>
      <c r="HO35" s="476">
        <v>0</v>
      </c>
      <c r="HP35" s="476">
        <v>0</v>
      </c>
      <c r="HQ35" s="476">
        <v>0</v>
      </c>
      <c r="HR35" s="476">
        <v>0</v>
      </c>
      <c r="HS35" s="476">
        <v>2395223</v>
      </c>
      <c r="HT35" s="476">
        <v>53833</v>
      </c>
      <c r="HU35" s="476">
        <v>0</v>
      </c>
      <c r="HV35" s="476">
        <v>0</v>
      </c>
      <c r="HW35" s="476">
        <v>0</v>
      </c>
      <c r="HX35" s="476">
        <v>15</v>
      </c>
      <c r="HY35" s="476">
        <v>34</v>
      </c>
      <c r="HZ35" s="476">
        <v>32</v>
      </c>
      <c r="IA35" s="476">
        <v>64</v>
      </c>
      <c r="IB35" s="476">
        <v>150</v>
      </c>
      <c r="IC35" s="476">
        <v>295</v>
      </c>
      <c r="ID35" s="476">
        <v>0</v>
      </c>
      <c r="IE35" s="476">
        <v>0</v>
      </c>
      <c r="IF35" s="476">
        <v>0</v>
      </c>
      <c r="IG35" s="476">
        <v>3</v>
      </c>
      <c r="IH35" s="476">
        <v>178.81700000000001</v>
      </c>
      <c r="II35" s="476">
        <v>0</v>
      </c>
      <c r="IJ35" s="476">
        <v>103.98700000000001</v>
      </c>
      <c r="IK35" s="476">
        <v>0</v>
      </c>
      <c r="IL35" s="476">
        <v>0</v>
      </c>
      <c r="IM35" s="476">
        <v>0</v>
      </c>
      <c r="IN35" s="476">
        <v>0</v>
      </c>
      <c r="IO35" s="476">
        <v>0</v>
      </c>
      <c r="IP35" s="476">
        <v>0</v>
      </c>
      <c r="IQ35" s="476">
        <v>103.98700000000001</v>
      </c>
      <c r="IR35" s="476">
        <v>64055</v>
      </c>
      <c r="IS35" s="476">
        <v>0</v>
      </c>
      <c r="IT35" s="476">
        <v>0</v>
      </c>
      <c r="IU35" s="476">
        <v>0</v>
      </c>
      <c r="IV35" s="476">
        <v>0</v>
      </c>
      <c r="IW35" s="476">
        <v>6160</v>
      </c>
      <c r="IX35" s="476">
        <v>0</v>
      </c>
      <c r="IY35" s="476">
        <v>0</v>
      </c>
      <c r="IZ35" s="476">
        <v>0</v>
      </c>
      <c r="JA35" s="476">
        <v>0</v>
      </c>
      <c r="JB35" s="476">
        <v>0</v>
      </c>
      <c r="JC35" s="476">
        <v>0</v>
      </c>
      <c r="JD35" s="476">
        <v>0</v>
      </c>
      <c r="JE35" s="476">
        <v>0</v>
      </c>
      <c r="JF35" s="476">
        <v>0</v>
      </c>
      <c r="JG35" s="476">
        <v>0</v>
      </c>
      <c r="JH35" s="476">
        <v>0</v>
      </c>
      <c r="JI35" s="476">
        <v>0</v>
      </c>
      <c r="JJ35" s="476">
        <v>0</v>
      </c>
      <c r="JK35" s="476">
        <v>0</v>
      </c>
      <c r="JL35" s="476">
        <v>0</v>
      </c>
      <c r="JM35" s="476">
        <v>0</v>
      </c>
      <c r="JN35" s="476">
        <v>32469</v>
      </c>
      <c r="JO35" s="476">
        <v>0</v>
      </c>
      <c r="JP35" s="476">
        <v>0</v>
      </c>
      <c r="JQ35" s="476">
        <v>0</v>
      </c>
      <c r="JR35" s="476">
        <v>0</v>
      </c>
      <c r="JS35" s="476">
        <v>0</v>
      </c>
      <c r="JT35" s="476">
        <v>0</v>
      </c>
      <c r="JU35" s="476">
        <v>0</v>
      </c>
      <c r="JV35" s="476">
        <v>0</v>
      </c>
      <c r="JW35" s="476">
        <v>0</v>
      </c>
      <c r="JX35" s="476">
        <v>0</v>
      </c>
      <c r="JY35" s="476">
        <v>0</v>
      </c>
      <c r="JZ35" s="476">
        <v>0</v>
      </c>
      <c r="KA35" s="476">
        <v>0</v>
      </c>
      <c r="KB35" s="476">
        <v>0</v>
      </c>
      <c r="KC35" s="476">
        <v>0</v>
      </c>
      <c r="KD35" s="476">
        <v>0</v>
      </c>
      <c r="KE35" s="476">
        <v>7262</v>
      </c>
      <c r="KF35" s="476">
        <v>0</v>
      </c>
      <c r="KG35" s="476">
        <v>0</v>
      </c>
      <c r="KH35" s="476">
        <v>2771396</v>
      </c>
      <c r="KI35" s="476">
        <v>0</v>
      </c>
      <c r="KJ35" s="476">
        <v>1</v>
      </c>
      <c r="KK35" s="476">
        <v>2</v>
      </c>
      <c r="KL35" s="476">
        <v>616</v>
      </c>
      <c r="KM35" s="476">
        <v>1232</v>
      </c>
      <c r="KN35" s="476">
        <v>0</v>
      </c>
    </row>
    <row r="36" spans="1:300" x14ac:dyDescent="0.25">
      <c r="A36" s="476">
        <v>40976</v>
      </c>
      <c r="B36" s="476">
        <v>21805</v>
      </c>
      <c r="C36" s="476">
        <v>9</v>
      </c>
      <c r="D36" s="476">
        <v>2024</v>
      </c>
      <c r="E36" s="476">
        <v>6160</v>
      </c>
      <c r="F36" s="476">
        <v>0</v>
      </c>
      <c r="G36" s="476">
        <v>601.30100000000004</v>
      </c>
      <c r="H36" s="476">
        <v>578.72199999999998</v>
      </c>
      <c r="I36" s="476">
        <v>578.72199999999998</v>
      </c>
      <c r="J36" s="476">
        <v>601.30100000000004</v>
      </c>
      <c r="K36" s="476">
        <v>0</v>
      </c>
      <c r="L36" s="476">
        <v>6160</v>
      </c>
      <c r="M36" s="476">
        <v>0</v>
      </c>
      <c r="N36" s="476">
        <v>0</v>
      </c>
      <c r="O36" s="476">
        <v>0</v>
      </c>
      <c r="P36" s="476">
        <v>603.96</v>
      </c>
      <c r="Q36" s="476">
        <v>0</v>
      </c>
      <c r="R36" s="476">
        <v>250573</v>
      </c>
      <c r="S36" s="476">
        <v>414.88400000000001</v>
      </c>
      <c r="T36" s="476">
        <v>0</v>
      </c>
      <c r="U36" s="476">
        <v>0</v>
      </c>
      <c r="V36" s="476">
        <v>75.311000000000007</v>
      </c>
      <c r="W36" s="476">
        <v>46391</v>
      </c>
      <c r="X36" s="476">
        <v>46391</v>
      </c>
      <c r="Y36" s="476">
        <v>0</v>
      </c>
      <c r="Z36" s="476">
        <v>0</v>
      </c>
      <c r="AA36" s="476">
        <v>0</v>
      </c>
      <c r="AB36" s="476">
        <v>0</v>
      </c>
      <c r="AC36" s="476">
        <v>0</v>
      </c>
      <c r="AD36" s="476" t="s">
        <v>314</v>
      </c>
      <c r="AE36" s="476">
        <v>0</v>
      </c>
      <c r="AF36" s="476">
        <v>0</v>
      </c>
      <c r="AG36" s="476">
        <v>0</v>
      </c>
      <c r="AH36" s="476">
        <v>0</v>
      </c>
      <c r="AI36" s="476">
        <v>0</v>
      </c>
      <c r="AJ36" s="476">
        <v>6160</v>
      </c>
      <c r="AK36" s="476" t="s">
        <v>651</v>
      </c>
      <c r="AL36" s="476" t="s">
        <v>320</v>
      </c>
      <c r="AM36" s="476">
        <v>0</v>
      </c>
      <c r="AN36" s="476">
        <v>0</v>
      </c>
      <c r="AO36" s="476">
        <v>0</v>
      </c>
      <c r="AP36" s="476">
        <v>0</v>
      </c>
      <c r="AQ36" s="476">
        <v>0</v>
      </c>
      <c r="AR36" s="476">
        <v>0</v>
      </c>
      <c r="AS36" s="476">
        <v>0</v>
      </c>
      <c r="AT36" s="476">
        <v>0</v>
      </c>
      <c r="AU36" s="476">
        <v>0</v>
      </c>
      <c r="AV36" s="476">
        <v>0</v>
      </c>
      <c r="AW36" s="476">
        <v>6550233</v>
      </c>
      <c r="AX36" s="476">
        <v>6450682</v>
      </c>
      <c r="AY36" s="476">
        <v>0</v>
      </c>
      <c r="AZ36" s="476">
        <v>250573</v>
      </c>
      <c r="BA36" s="476">
        <v>0</v>
      </c>
      <c r="BB36" s="476">
        <v>2131</v>
      </c>
      <c r="BC36" s="476">
        <v>2118</v>
      </c>
      <c r="BD36" s="476">
        <v>5</v>
      </c>
      <c r="BE36" s="476">
        <v>14</v>
      </c>
      <c r="BF36" s="476">
        <v>5808060</v>
      </c>
      <c r="BG36" s="476">
        <v>0</v>
      </c>
      <c r="BH36" s="476">
        <v>0</v>
      </c>
      <c r="BI36" s="476">
        <v>0</v>
      </c>
      <c r="BJ36" s="476">
        <v>12</v>
      </c>
      <c r="BK36" s="476">
        <v>0</v>
      </c>
      <c r="BL36" s="476">
        <v>0</v>
      </c>
      <c r="BM36" s="476">
        <v>0</v>
      </c>
      <c r="BN36" s="476">
        <v>0</v>
      </c>
      <c r="BO36" s="476">
        <v>0</v>
      </c>
      <c r="BP36" s="476">
        <v>0</v>
      </c>
      <c r="BQ36" s="476">
        <v>681</v>
      </c>
      <c r="BR36" s="476">
        <v>0</v>
      </c>
      <c r="BS36" s="476">
        <v>0</v>
      </c>
      <c r="BT36" s="476">
        <v>0</v>
      </c>
      <c r="BU36" s="476">
        <v>0</v>
      </c>
      <c r="BV36" s="476">
        <v>0</v>
      </c>
      <c r="BW36" s="476">
        <v>0</v>
      </c>
      <c r="BX36" s="476">
        <v>0</v>
      </c>
      <c r="BY36" s="476">
        <v>0</v>
      </c>
      <c r="BZ36" s="476">
        <v>0</v>
      </c>
      <c r="CA36" s="476">
        <v>0</v>
      </c>
      <c r="CB36" s="476">
        <v>0</v>
      </c>
      <c r="CC36" s="476">
        <v>0</v>
      </c>
      <c r="CD36" s="476">
        <v>0</v>
      </c>
      <c r="CE36" s="476">
        <v>0</v>
      </c>
      <c r="CF36" s="476">
        <v>0</v>
      </c>
      <c r="CG36" s="476">
        <v>0</v>
      </c>
      <c r="CH36" s="476">
        <v>101515</v>
      </c>
      <c r="CI36" s="476">
        <v>0</v>
      </c>
      <c r="CJ36" s="476">
        <v>4</v>
      </c>
      <c r="CK36" s="476">
        <v>0</v>
      </c>
      <c r="CL36" s="476">
        <v>0</v>
      </c>
      <c r="CM36" s="476">
        <v>0</v>
      </c>
      <c r="CN36" s="476">
        <v>0</v>
      </c>
      <c r="CO36" s="476">
        <v>1</v>
      </c>
      <c r="CP36" s="476">
        <v>0</v>
      </c>
      <c r="CQ36" s="476">
        <v>0</v>
      </c>
      <c r="CR36" s="476">
        <v>601.30100000000004</v>
      </c>
      <c r="CS36" s="476">
        <v>0</v>
      </c>
      <c r="CT36" s="476">
        <v>0</v>
      </c>
      <c r="CU36" s="476">
        <v>0</v>
      </c>
      <c r="CV36" s="476">
        <v>0</v>
      </c>
      <c r="CW36" s="476">
        <v>0</v>
      </c>
      <c r="CX36" s="476">
        <v>0</v>
      </c>
      <c r="CY36" s="476">
        <v>0</v>
      </c>
      <c r="CZ36" s="476">
        <v>0</v>
      </c>
      <c r="DA36" s="476">
        <v>0</v>
      </c>
      <c r="DB36" s="476">
        <v>3564847</v>
      </c>
      <c r="DC36" s="476">
        <v>0</v>
      </c>
      <c r="DD36" s="476">
        <v>0</v>
      </c>
      <c r="DE36" s="476">
        <v>809098</v>
      </c>
      <c r="DF36" s="476">
        <v>809098</v>
      </c>
      <c r="DG36" s="476">
        <v>131.35</v>
      </c>
      <c r="DH36" s="476">
        <v>0</v>
      </c>
      <c r="DI36" s="476">
        <v>0</v>
      </c>
      <c r="DJ36" s="476">
        <v>0</v>
      </c>
      <c r="DK36" s="476">
        <v>2516</v>
      </c>
      <c r="DL36" s="476">
        <v>0</v>
      </c>
      <c r="DM36" s="476">
        <v>567269</v>
      </c>
      <c r="DN36" s="476">
        <v>1950</v>
      </c>
      <c r="DO36" s="476">
        <v>0</v>
      </c>
      <c r="DP36" s="476">
        <v>0</v>
      </c>
      <c r="DQ36" s="476">
        <v>0</v>
      </c>
      <c r="DR36" s="476">
        <v>0</v>
      </c>
      <c r="DS36" s="476">
        <v>0</v>
      </c>
      <c r="DT36" s="476">
        <v>0</v>
      </c>
      <c r="DU36" s="476">
        <v>0</v>
      </c>
      <c r="DV36" s="476">
        <v>0</v>
      </c>
      <c r="DW36" s="476">
        <v>0</v>
      </c>
      <c r="DX36" s="476">
        <v>0</v>
      </c>
      <c r="DY36" s="476">
        <v>0</v>
      </c>
      <c r="DZ36" s="476">
        <v>0</v>
      </c>
      <c r="EA36" s="476">
        <v>0</v>
      </c>
      <c r="EB36" s="476">
        <v>0</v>
      </c>
      <c r="EC36" s="476">
        <v>19.478999999999999</v>
      </c>
      <c r="ED36" s="476">
        <v>137986</v>
      </c>
      <c r="EE36" s="476">
        <v>0</v>
      </c>
      <c r="EF36" s="476">
        <v>0</v>
      </c>
      <c r="EG36" s="476">
        <v>0</v>
      </c>
      <c r="EH36" s="476">
        <v>431233</v>
      </c>
      <c r="EI36" s="476">
        <v>0</v>
      </c>
      <c r="EJ36" s="476">
        <v>0</v>
      </c>
      <c r="EK36" s="476">
        <v>20.209</v>
      </c>
      <c r="EL36" s="476">
        <v>0</v>
      </c>
      <c r="EM36" s="476">
        <v>1.2350000000000001</v>
      </c>
      <c r="EN36" s="476">
        <v>1.135</v>
      </c>
      <c r="EO36" s="476">
        <v>0</v>
      </c>
      <c r="EP36" s="476">
        <v>0</v>
      </c>
      <c r="EQ36" s="476">
        <v>22.579000000000001</v>
      </c>
      <c r="ER36" s="476">
        <v>0</v>
      </c>
      <c r="ES36" s="476">
        <v>70.007000000000005</v>
      </c>
      <c r="ET36" s="476">
        <v>0</v>
      </c>
      <c r="EU36" s="476">
        <v>0</v>
      </c>
      <c r="EV36" s="476">
        <v>0</v>
      </c>
      <c r="EW36" s="476">
        <v>0</v>
      </c>
      <c r="EX36" s="476">
        <v>0</v>
      </c>
      <c r="EY36" s="476">
        <v>0</v>
      </c>
      <c r="EZ36" s="476">
        <v>5575513</v>
      </c>
      <c r="FA36" s="476">
        <v>0</v>
      </c>
      <c r="FB36" s="476">
        <v>5824122</v>
      </c>
      <c r="FC36" s="476">
        <v>0</v>
      </c>
      <c r="FD36" s="476">
        <v>0</v>
      </c>
      <c r="FE36" s="476">
        <v>749926</v>
      </c>
      <c r="FF36" s="476">
        <v>125243</v>
      </c>
      <c r="FG36" s="476">
        <v>6.3017999999999991E-2</v>
      </c>
      <c r="FH36" s="476">
        <v>2.6953999999999999E-2</v>
      </c>
      <c r="FI36" s="476">
        <v>0</v>
      </c>
      <c r="FJ36" s="476">
        <v>0</v>
      </c>
      <c r="FK36" s="476">
        <v>942.88800000000003</v>
      </c>
      <c r="FL36" s="476">
        <v>6800806</v>
      </c>
      <c r="FM36" s="476">
        <v>0</v>
      </c>
      <c r="FN36" s="476">
        <v>0</v>
      </c>
      <c r="FO36" s="476">
        <v>18026</v>
      </c>
      <c r="FP36" s="476">
        <v>0</v>
      </c>
      <c r="FQ36" s="476">
        <v>18026</v>
      </c>
      <c r="FR36" s="476">
        <v>18026</v>
      </c>
      <c r="FS36" s="476">
        <v>0</v>
      </c>
      <c r="FT36" s="476">
        <v>0</v>
      </c>
      <c r="FU36" s="476">
        <v>0</v>
      </c>
      <c r="FV36" s="476">
        <v>0</v>
      </c>
      <c r="FW36" s="476">
        <v>0</v>
      </c>
      <c r="FX36" s="476">
        <v>0</v>
      </c>
      <c r="FY36" s="476">
        <v>0</v>
      </c>
      <c r="FZ36" s="476">
        <v>0</v>
      </c>
      <c r="GA36" s="476">
        <v>0</v>
      </c>
      <c r="GB36" s="476">
        <v>0</v>
      </c>
      <c r="GC36" s="476">
        <v>0</v>
      </c>
      <c r="GD36" s="476">
        <v>0</v>
      </c>
      <c r="GE36" s="476">
        <v>0</v>
      </c>
      <c r="GF36" s="476">
        <v>0</v>
      </c>
      <c r="GG36" s="476">
        <v>0</v>
      </c>
      <c r="GH36" s="476">
        <v>0</v>
      </c>
      <c r="GI36" s="476">
        <v>0</v>
      </c>
      <c r="GJ36" s="476">
        <v>0</v>
      </c>
      <c r="GK36" s="476">
        <v>0</v>
      </c>
      <c r="GL36" s="476">
        <v>0</v>
      </c>
      <c r="GM36" s="476">
        <v>0</v>
      </c>
      <c r="GN36" s="476">
        <v>0</v>
      </c>
      <c r="GO36" s="476">
        <v>0</v>
      </c>
      <c r="GP36" s="476">
        <v>0</v>
      </c>
      <c r="GQ36" s="476">
        <v>6448718</v>
      </c>
      <c r="GR36" s="476">
        <v>0</v>
      </c>
      <c r="GS36" s="476">
        <v>0</v>
      </c>
      <c r="GT36" s="476">
        <v>0</v>
      </c>
      <c r="GU36" s="476">
        <v>0</v>
      </c>
      <c r="GV36" s="476">
        <v>0</v>
      </c>
      <c r="GW36" s="476">
        <v>0</v>
      </c>
      <c r="GX36" s="476">
        <v>0</v>
      </c>
      <c r="GY36" s="476">
        <v>0</v>
      </c>
      <c r="GZ36" s="476">
        <v>0</v>
      </c>
      <c r="HA36" s="476">
        <v>0</v>
      </c>
      <c r="HB36" s="476">
        <v>323396213</v>
      </c>
      <c r="HC36" s="476">
        <v>4.2206E-2</v>
      </c>
      <c r="HD36" s="476">
        <v>101515</v>
      </c>
      <c r="HE36" s="476">
        <v>0</v>
      </c>
      <c r="HF36" s="476">
        <v>637752</v>
      </c>
      <c r="HG36" s="476">
        <v>3080</v>
      </c>
      <c r="HH36" s="476">
        <v>169529</v>
      </c>
      <c r="HI36" s="476">
        <v>0</v>
      </c>
      <c r="HJ36" s="476">
        <v>6013</v>
      </c>
      <c r="HK36" s="476">
        <v>0</v>
      </c>
      <c r="HL36" s="476">
        <v>0</v>
      </c>
      <c r="HM36" s="476">
        <v>0</v>
      </c>
      <c r="HN36" s="476">
        <v>0</v>
      </c>
      <c r="HO36" s="476">
        <v>0</v>
      </c>
      <c r="HP36" s="476">
        <v>0</v>
      </c>
      <c r="HQ36" s="476">
        <v>0</v>
      </c>
      <c r="HR36" s="476">
        <v>0</v>
      </c>
      <c r="HS36" s="476">
        <v>5573549</v>
      </c>
      <c r="HT36" s="476">
        <v>125243</v>
      </c>
      <c r="HU36" s="476">
        <v>0</v>
      </c>
      <c r="HV36" s="476">
        <v>0</v>
      </c>
      <c r="HW36" s="476">
        <v>0</v>
      </c>
      <c r="HX36" s="476">
        <v>44</v>
      </c>
      <c r="HY36" s="476">
        <v>85</v>
      </c>
      <c r="HZ36" s="476">
        <v>75</v>
      </c>
      <c r="IA36" s="476">
        <v>87</v>
      </c>
      <c r="IB36" s="476">
        <v>217</v>
      </c>
      <c r="IC36" s="476">
        <v>508</v>
      </c>
      <c r="ID36" s="476">
        <v>0</v>
      </c>
      <c r="IE36" s="476">
        <v>0</v>
      </c>
      <c r="IF36" s="476">
        <v>0</v>
      </c>
      <c r="IG36" s="476">
        <v>5</v>
      </c>
      <c r="IH36" s="476">
        <v>275.21500000000003</v>
      </c>
      <c r="II36" s="476">
        <v>0</v>
      </c>
      <c r="IJ36" s="476">
        <v>75.311000000000007</v>
      </c>
      <c r="IK36" s="476">
        <v>0</v>
      </c>
      <c r="IL36" s="476">
        <v>0</v>
      </c>
      <c r="IM36" s="476">
        <v>0</v>
      </c>
      <c r="IN36" s="476">
        <v>0</v>
      </c>
      <c r="IO36" s="476">
        <v>0</v>
      </c>
      <c r="IP36" s="476">
        <v>0</v>
      </c>
      <c r="IQ36" s="476">
        <v>75.311000000000007</v>
      </c>
      <c r="IR36" s="476">
        <v>46391</v>
      </c>
      <c r="IS36" s="476">
        <v>0</v>
      </c>
      <c r="IT36" s="476">
        <v>0</v>
      </c>
      <c r="IU36" s="476">
        <v>0</v>
      </c>
      <c r="IV36" s="476">
        <v>0</v>
      </c>
      <c r="IW36" s="476">
        <v>6160</v>
      </c>
      <c r="IX36" s="476">
        <v>0</v>
      </c>
      <c r="IY36" s="476">
        <v>0</v>
      </c>
      <c r="IZ36" s="476">
        <v>0</v>
      </c>
      <c r="JA36" s="476">
        <v>0</v>
      </c>
      <c r="JB36" s="476">
        <v>0</v>
      </c>
      <c r="JC36" s="476">
        <v>0</v>
      </c>
      <c r="JD36" s="476">
        <v>0</v>
      </c>
      <c r="JE36" s="476">
        <v>0</v>
      </c>
      <c r="JF36" s="476">
        <v>0</v>
      </c>
      <c r="JG36" s="476">
        <v>0</v>
      </c>
      <c r="JH36" s="476">
        <v>0</v>
      </c>
      <c r="JI36" s="476">
        <v>0</v>
      </c>
      <c r="JJ36" s="476">
        <v>0</v>
      </c>
      <c r="JK36" s="476">
        <v>0</v>
      </c>
      <c r="JL36" s="476">
        <v>0</v>
      </c>
      <c r="JM36" s="476">
        <v>0</v>
      </c>
      <c r="JN36" s="476">
        <v>32469</v>
      </c>
      <c r="JO36" s="476">
        <v>0</v>
      </c>
      <c r="JP36" s="476">
        <v>0</v>
      </c>
      <c r="JQ36" s="476">
        <v>0</v>
      </c>
      <c r="JR36" s="476">
        <v>0</v>
      </c>
      <c r="JS36" s="476">
        <v>0</v>
      </c>
      <c r="JT36" s="476">
        <v>0</v>
      </c>
      <c r="JU36" s="476">
        <v>2156</v>
      </c>
      <c r="JV36" s="476">
        <v>0</v>
      </c>
      <c r="JW36" s="476">
        <v>0</v>
      </c>
      <c r="JX36" s="476">
        <v>0</v>
      </c>
      <c r="JY36" s="476">
        <v>0</v>
      </c>
      <c r="JZ36" s="476">
        <v>0</v>
      </c>
      <c r="KA36" s="476">
        <v>0</v>
      </c>
      <c r="KB36" s="476">
        <v>0</v>
      </c>
      <c r="KC36" s="476">
        <v>0</v>
      </c>
      <c r="KD36" s="476">
        <v>2156</v>
      </c>
      <c r="KE36" s="476">
        <v>7262</v>
      </c>
      <c r="KF36" s="476">
        <v>0</v>
      </c>
      <c r="KG36" s="476">
        <v>0</v>
      </c>
      <c r="KH36" s="476">
        <v>6448718</v>
      </c>
      <c r="KI36" s="476">
        <v>0</v>
      </c>
      <c r="KJ36" s="476">
        <v>2</v>
      </c>
      <c r="KK36" s="476">
        <v>3</v>
      </c>
      <c r="KL36" s="476">
        <v>1232</v>
      </c>
      <c r="KM36" s="476">
        <v>1848</v>
      </c>
      <c r="KN36" s="476">
        <v>0</v>
      </c>
    </row>
    <row r="37" spans="1:300" x14ac:dyDescent="0.25">
      <c r="A37" s="476">
        <v>40976</v>
      </c>
      <c r="B37" s="476">
        <v>43801</v>
      </c>
      <c r="C37" s="476">
        <v>9</v>
      </c>
      <c r="D37" s="476">
        <v>2024</v>
      </c>
      <c r="E37" s="476">
        <v>6160</v>
      </c>
      <c r="F37" s="476">
        <v>0</v>
      </c>
      <c r="G37" s="476">
        <v>1334.287</v>
      </c>
      <c r="H37" s="476">
        <v>1317.124</v>
      </c>
      <c r="I37" s="476">
        <v>1317.124</v>
      </c>
      <c r="J37" s="476">
        <v>1334.287</v>
      </c>
      <c r="K37" s="476">
        <v>0</v>
      </c>
      <c r="L37" s="476">
        <v>6160</v>
      </c>
      <c r="M37" s="476">
        <v>0</v>
      </c>
      <c r="N37" s="476">
        <v>0</v>
      </c>
      <c r="O37" s="476">
        <v>0</v>
      </c>
      <c r="P37" s="476">
        <v>1334.287</v>
      </c>
      <c r="Q37" s="476">
        <v>0</v>
      </c>
      <c r="R37" s="476">
        <v>553574</v>
      </c>
      <c r="S37" s="476">
        <v>414.88400000000001</v>
      </c>
      <c r="T37" s="476">
        <v>0</v>
      </c>
      <c r="U37" s="476">
        <v>0</v>
      </c>
      <c r="V37" s="476">
        <v>177.09800000000001</v>
      </c>
      <c r="W37" s="476">
        <v>109090</v>
      </c>
      <c r="X37" s="476">
        <v>109090</v>
      </c>
      <c r="Y37" s="476">
        <v>0</v>
      </c>
      <c r="Z37" s="476">
        <v>0</v>
      </c>
      <c r="AA37" s="476">
        <v>0</v>
      </c>
      <c r="AB37" s="476">
        <v>0</v>
      </c>
      <c r="AC37" s="476">
        <v>0</v>
      </c>
      <c r="AD37" s="476" t="s">
        <v>314</v>
      </c>
      <c r="AE37" s="476">
        <v>0</v>
      </c>
      <c r="AF37" s="476">
        <v>0</v>
      </c>
      <c r="AG37" s="476">
        <v>0</v>
      </c>
      <c r="AH37" s="476">
        <v>0</v>
      </c>
      <c r="AI37" s="476">
        <v>0</v>
      </c>
      <c r="AJ37" s="476">
        <v>6160</v>
      </c>
      <c r="AK37" s="476" t="s">
        <v>651</v>
      </c>
      <c r="AL37" s="476" t="s">
        <v>321</v>
      </c>
      <c r="AM37" s="476">
        <v>0</v>
      </c>
      <c r="AN37" s="476">
        <v>0</v>
      </c>
      <c r="AO37" s="476">
        <v>0</v>
      </c>
      <c r="AP37" s="476">
        <v>0</v>
      </c>
      <c r="AQ37" s="476">
        <v>0</v>
      </c>
      <c r="AR37" s="476">
        <v>0</v>
      </c>
      <c r="AS37" s="476">
        <v>0</v>
      </c>
      <c r="AT37" s="476">
        <v>0</v>
      </c>
      <c r="AU37" s="476">
        <v>0</v>
      </c>
      <c r="AV37" s="476">
        <v>0</v>
      </c>
      <c r="AW37" s="476">
        <v>11574190</v>
      </c>
      <c r="AX37" s="476">
        <v>11350418</v>
      </c>
      <c r="AY37" s="476">
        <v>0</v>
      </c>
      <c r="AZ37" s="476">
        <v>553574</v>
      </c>
      <c r="BA37" s="476">
        <v>0</v>
      </c>
      <c r="BB37" s="476">
        <v>0</v>
      </c>
      <c r="BC37" s="476">
        <v>0</v>
      </c>
      <c r="BD37" s="476">
        <v>0</v>
      </c>
      <c r="BE37" s="476">
        <v>0</v>
      </c>
      <c r="BF37" s="476">
        <v>10342703</v>
      </c>
      <c r="BG37" s="476">
        <v>0</v>
      </c>
      <c r="BH37" s="476">
        <v>0</v>
      </c>
      <c r="BI37" s="476">
        <v>0</v>
      </c>
      <c r="BJ37" s="476">
        <v>12</v>
      </c>
      <c r="BK37" s="476">
        <v>0</v>
      </c>
      <c r="BL37" s="476">
        <v>0</v>
      </c>
      <c r="BM37" s="476">
        <v>0</v>
      </c>
      <c r="BN37" s="476">
        <v>0</v>
      </c>
      <c r="BO37" s="476">
        <v>0</v>
      </c>
      <c r="BP37" s="476">
        <v>0</v>
      </c>
      <c r="BQ37" s="476">
        <v>567</v>
      </c>
      <c r="BR37" s="476">
        <v>0</v>
      </c>
      <c r="BS37" s="476">
        <v>0</v>
      </c>
      <c r="BT37" s="476">
        <v>0</v>
      </c>
      <c r="BU37" s="476">
        <v>0</v>
      </c>
      <c r="BV37" s="476">
        <v>0</v>
      </c>
      <c r="BW37" s="476">
        <v>0</v>
      </c>
      <c r="BX37" s="476">
        <v>0</v>
      </c>
      <c r="BY37" s="476">
        <v>0</v>
      </c>
      <c r="BZ37" s="476">
        <v>0</v>
      </c>
      <c r="CA37" s="476">
        <v>0</v>
      </c>
      <c r="CB37" s="476">
        <v>0</v>
      </c>
      <c r="CC37" s="476">
        <v>0</v>
      </c>
      <c r="CD37" s="476">
        <v>0</v>
      </c>
      <c r="CE37" s="476">
        <v>0</v>
      </c>
      <c r="CF37" s="476">
        <v>0</v>
      </c>
      <c r="CG37" s="476">
        <v>0</v>
      </c>
      <c r="CH37" s="476">
        <v>225261</v>
      </c>
      <c r="CI37" s="476">
        <v>0</v>
      </c>
      <c r="CJ37" s="476">
        <v>4</v>
      </c>
      <c r="CK37" s="476">
        <v>0</v>
      </c>
      <c r="CL37" s="476">
        <v>0</v>
      </c>
      <c r="CM37" s="476">
        <v>0</v>
      </c>
      <c r="CN37" s="476">
        <v>0</v>
      </c>
      <c r="CO37" s="476">
        <v>1</v>
      </c>
      <c r="CP37" s="476">
        <v>0</v>
      </c>
      <c r="CQ37" s="476">
        <v>0</v>
      </c>
      <c r="CR37" s="476">
        <v>1334.287</v>
      </c>
      <c r="CS37" s="476">
        <v>0</v>
      </c>
      <c r="CT37" s="476">
        <v>0</v>
      </c>
      <c r="CU37" s="476">
        <v>0</v>
      </c>
      <c r="CV37" s="476">
        <v>0</v>
      </c>
      <c r="CW37" s="476">
        <v>0</v>
      </c>
      <c r="CX37" s="476">
        <v>0</v>
      </c>
      <c r="CY37" s="476">
        <v>0</v>
      </c>
      <c r="CZ37" s="476">
        <v>0</v>
      </c>
      <c r="DA37" s="476">
        <v>0</v>
      </c>
      <c r="DB37" s="476">
        <v>8113300</v>
      </c>
      <c r="DC37" s="476">
        <v>0</v>
      </c>
      <c r="DD37" s="476">
        <v>0</v>
      </c>
      <c r="DE37" s="476">
        <v>48817</v>
      </c>
      <c r="DF37" s="476">
        <v>48817</v>
      </c>
      <c r="DG37" s="476">
        <v>7.9250000000000007</v>
      </c>
      <c r="DH37" s="476">
        <v>0</v>
      </c>
      <c r="DI37" s="476">
        <v>0</v>
      </c>
      <c r="DJ37" s="476">
        <v>0</v>
      </c>
      <c r="DK37" s="476">
        <v>697</v>
      </c>
      <c r="DL37" s="476">
        <v>0</v>
      </c>
      <c r="DM37" s="476">
        <v>433099</v>
      </c>
      <c r="DN37" s="476">
        <v>1489</v>
      </c>
      <c r="DO37" s="476">
        <v>0</v>
      </c>
      <c r="DP37" s="476">
        <v>0</v>
      </c>
      <c r="DQ37" s="476">
        <v>0</v>
      </c>
      <c r="DR37" s="476">
        <v>0</v>
      </c>
      <c r="DS37" s="476">
        <v>0</v>
      </c>
      <c r="DT37" s="476">
        <v>0</v>
      </c>
      <c r="DU37" s="476">
        <v>0</v>
      </c>
      <c r="DV37" s="476">
        <v>0</v>
      </c>
      <c r="DW37" s="476">
        <v>0</v>
      </c>
      <c r="DX37" s="476">
        <v>0</v>
      </c>
      <c r="DY37" s="476">
        <v>0</v>
      </c>
      <c r="DZ37" s="476">
        <v>0</v>
      </c>
      <c r="EA37" s="476">
        <v>0</v>
      </c>
      <c r="EB37" s="476">
        <v>0</v>
      </c>
      <c r="EC37" s="476">
        <v>12.778</v>
      </c>
      <c r="ED37" s="476">
        <v>90517</v>
      </c>
      <c r="EE37" s="476">
        <v>0</v>
      </c>
      <c r="EF37" s="476">
        <v>0</v>
      </c>
      <c r="EG37" s="476">
        <v>0</v>
      </c>
      <c r="EH37" s="476">
        <v>344071</v>
      </c>
      <c r="EI37" s="476">
        <v>0</v>
      </c>
      <c r="EJ37" s="476">
        <v>0</v>
      </c>
      <c r="EK37" s="476">
        <v>13.49</v>
      </c>
      <c r="EL37" s="476">
        <v>0</v>
      </c>
      <c r="EM37" s="476">
        <v>1.4890000000000001</v>
      </c>
      <c r="EN37" s="476">
        <v>2.1840000000000002</v>
      </c>
      <c r="EO37" s="476">
        <v>0</v>
      </c>
      <c r="EP37" s="476">
        <v>0</v>
      </c>
      <c r="EQ37" s="476">
        <v>17.163</v>
      </c>
      <c r="ER37" s="476">
        <v>0</v>
      </c>
      <c r="ES37" s="476">
        <v>55.856999999999999</v>
      </c>
      <c r="ET37" s="476">
        <v>0</v>
      </c>
      <c r="EU37" s="476">
        <v>0</v>
      </c>
      <c r="EV37" s="476">
        <v>0</v>
      </c>
      <c r="EW37" s="476">
        <v>0</v>
      </c>
      <c r="EX37" s="476">
        <v>0</v>
      </c>
      <c r="EY37" s="476">
        <v>0</v>
      </c>
      <c r="EZ37" s="476">
        <v>9791960</v>
      </c>
      <c r="FA37" s="476">
        <v>0</v>
      </c>
      <c r="FB37" s="476">
        <v>10344045</v>
      </c>
      <c r="FC37" s="476">
        <v>0</v>
      </c>
      <c r="FD37" s="476">
        <v>0</v>
      </c>
      <c r="FE37" s="476">
        <v>1335431</v>
      </c>
      <c r="FF37" s="476">
        <v>223027</v>
      </c>
      <c r="FG37" s="476">
        <v>6.3017999999999991E-2</v>
      </c>
      <c r="FH37" s="476">
        <v>2.6953999999999999E-2</v>
      </c>
      <c r="FI37" s="476">
        <v>0</v>
      </c>
      <c r="FJ37" s="476">
        <v>0</v>
      </c>
      <c r="FK37" s="476">
        <v>1679.048</v>
      </c>
      <c r="FL37" s="476">
        <v>12127764</v>
      </c>
      <c r="FM37" s="476">
        <v>0</v>
      </c>
      <c r="FN37" s="476">
        <v>0</v>
      </c>
      <c r="FO37" s="476">
        <v>0</v>
      </c>
      <c r="FP37" s="476">
        <v>0</v>
      </c>
      <c r="FQ37" s="476">
        <v>0</v>
      </c>
      <c r="FR37" s="476">
        <v>0</v>
      </c>
      <c r="FS37" s="476">
        <v>0</v>
      </c>
      <c r="FT37" s="476">
        <v>0</v>
      </c>
      <c r="FU37" s="476">
        <v>0</v>
      </c>
      <c r="FV37" s="476">
        <v>0</v>
      </c>
      <c r="FW37" s="476">
        <v>0</v>
      </c>
      <c r="FX37" s="476">
        <v>0</v>
      </c>
      <c r="FY37" s="476">
        <v>0</v>
      </c>
      <c r="FZ37" s="476">
        <v>0</v>
      </c>
      <c r="GA37" s="476">
        <v>0</v>
      </c>
      <c r="GB37" s="476">
        <v>0</v>
      </c>
      <c r="GC37" s="476">
        <v>0</v>
      </c>
      <c r="GD37" s="476">
        <v>0</v>
      </c>
      <c r="GE37" s="476">
        <v>0</v>
      </c>
      <c r="GF37" s="476">
        <v>0</v>
      </c>
      <c r="GG37" s="476">
        <v>0</v>
      </c>
      <c r="GH37" s="476">
        <v>0</v>
      </c>
      <c r="GI37" s="476">
        <v>0</v>
      </c>
      <c r="GJ37" s="476">
        <v>0</v>
      </c>
      <c r="GK37" s="476">
        <v>0</v>
      </c>
      <c r="GL37" s="476">
        <v>0</v>
      </c>
      <c r="GM37" s="476">
        <v>0</v>
      </c>
      <c r="GN37" s="476">
        <v>0</v>
      </c>
      <c r="GO37" s="476">
        <v>0</v>
      </c>
      <c r="GP37" s="476">
        <v>0</v>
      </c>
      <c r="GQ37" s="476">
        <v>11348929</v>
      </c>
      <c r="GR37" s="476">
        <v>0</v>
      </c>
      <c r="GS37" s="476">
        <v>0</v>
      </c>
      <c r="GT37" s="476">
        <v>0</v>
      </c>
      <c r="GU37" s="476">
        <v>0</v>
      </c>
      <c r="GV37" s="476">
        <v>0</v>
      </c>
      <c r="GW37" s="476">
        <v>0</v>
      </c>
      <c r="GX37" s="476">
        <v>0</v>
      </c>
      <c r="GY37" s="476">
        <v>0</v>
      </c>
      <c r="GZ37" s="476">
        <v>0</v>
      </c>
      <c r="HA37" s="476">
        <v>0</v>
      </c>
      <c r="HB37" s="476">
        <v>323396213</v>
      </c>
      <c r="HC37" s="476">
        <v>4.2206E-2</v>
      </c>
      <c r="HD37" s="476">
        <v>225261</v>
      </c>
      <c r="HE37" s="476">
        <v>0</v>
      </c>
      <c r="HF37" s="476">
        <v>1451471</v>
      </c>
      <c r="HG37" s="476">
        <v>17248</v>
      </c>
      <c r="HH37" s="476">
        <v>67846</v>
      </c>
      <c r="HI37" s="476">
        <v>0</v>
      </c>
      <c r="HJ37" s="476">
        <v>13343</v>
      </c>
      <c r="HK37" s="476">
        <v>2831</v>
      </c>
      <c r="HL37" s="476">
        <v>0</v>
      </c>
      <c r="HM37" s="476">
        <v>87000</v>
      </c>
      <c r="HN37" s="476">
        <v>0</v>
      </c>
      <c r="HO37" s="476">
        <v>0</v>
      </c>
      <c r="HP37" s="476">
        <v>0</v>
      </c>
      <c r="HQ37" s="476">
        <v>0</v>
      </c>
      <c r="HR37" s="476">
        <v>0</v>
      </c>
      <c r="HS37" s="476">
        <v>9790471</v>
      </c>
      <c r="HT37" s="476">
        <v>223027</v>
      </c>
      <c r="HU37" s="476">
        <v>0</v>
      </c>
      <c r="HV37" s="476">
        <v>0</v>
      </c>
      <c r="HW37" s="476">
        <v>0</v>
      </c>
      <c r="HX37" s="476">
        <v>23</v>
      </c>
      <c r="HY37" s="476">
        <v>3</v>
      </c>
      <c r="HZ37" s="476">
        <v>5</v>
      </c>
      <c r="IA37" s="476">
        <v>3</v>
      </c>
      <c r="IB37" s="476">
        <v>0</v>
      </c>
      <c r="IC37" s="476">
        <v>34</v>
      </c>
      <c r="ID37" s="476">
        <v>0</v>
      </c>
      <c r="IE37" s="476">
        <v>0</v>
      </c>
      <c r="IF37" s="476">
        <v>0</v>
      </c>
      <c r="IG37" s="476">
        <v>28</v>
      </c>
      <c r="IH37" s="476">
        <v>110.14200000000001</v>
      </c>
      <c r="II37" s="476">
        <v>0</v>
      </c>
      <c r="IJ37" s="476">
        <v>177.09800000000001</v>
      </c>
      <c r="IK37" s="476">
        <v>0</v>
      </c>
      <c r="IL37" s="476">
        <v>3</v>
      </c>
      <c r="IM37" s="476">
        <v>24</v>
      </c>
      <c r="IN37" s="476">
        <v>0</v>
      </c>
      <c r="IO37" s="476">
        <v>27</v>
      </c>
      <c r="IP37" s="476">
        <v>0</v>
      </c>
      <c r="IQ37" s="476">
        <v>177.09800000000001</v>
      </c>
      <c r="IR37" s="476">
        <v>109090</v>
      </c>
      <c r="IS37" s="476">
        <v>0</v>
      </c>
      <c r="IT37" s="476">
        <v>15000</v>
      </c>
      <c r="IU37" s="476">
        <v>72000</v>
      </c>
      <c r="IV37" s="476">
        <v>0</v>
      </c>
      <c r="IW37" s="476">
        <v>6160</v>
      </c>
      <c r="IX37" s="476">
        <v>0</v>
      </c>
      <c r="IY37" s="476">
        <v>0</v>
      </c>
      <c r="IZ37" s="476">
        <v>0</v>
      </c>
      <c r="JA37" s="476">
        <v>0</v>
      </c>
      <c r="JB37" s="476">
        <v>0</v>
      </c>
      <c r="JC37" s="476">
        <v>0</v>
      </c>
      <c r="JD37" s="476">
        <v>0</v>
      </c>
      <c r="JE37" s="476">
        <v>0</v>
      </c>
      <c r="JF37" s="476">
        <v>0</v>
      </c>
      <c r="JG37" s="476">
        <v>0</v>
      </c>
      <c r="JH37" s="476">
        <v>0</v>
      </c>
      <c r="JI37" s="476">
        <v>0</v>
      </c>
      <c r="JJ37" s="476">
        <v>0</v>
      </c>
      <c r="JK37" s="476">
        <v>0</v>
      </c>
      <c r="JL37" s="476">
        <v>0</v>
      </c>
      <c r="JM37" s="476">
        <v>0</v>
      </c>
      <c r="JN37" s="476">
        <v>32469</v>
      </c>
      <c r="JO37" s="476">
        <v>0</v>
      </c>
      <c r="JP37" s="476">
        <v>0</v>
      </c>
      <c r="JQ37" s="476">
        <v>0</v>
      </c>
      <c r="JR37" s="476">
        <v>0</v>
      </c>
      <c r="JS37" s="476">
        <v>0</v>
      </c>
      <c r="JT37" s="476">
        <v>0</v>
      </c>
      <c r="JU37" s="476">
        <v>0</v>
      </c>
      <c r="JV37" s="476">
        <v>0</v>
      </c>
      <c r="JW37" s="476">
        <v>0</v>
      </c>
      <c r="JX37" s="476">
        <v>0</v>
      </c>
      <c r="JY37" s="476">
        <v>0</v>
      </c>
      <c r="JZ37" s="476">
        <v>0</v>
      </c>
      <c r="KA37" s="476">
        <v>0</v>
      </c>
      <c r="KB37" s="476">
        <v>0</v>
      </c>
      <c r="KC37" s="476">
        <v>0</v>
      </c>
      <c r="KD37" s="476">
        <v>0</v>
      </c>
      <c r="KE37" s="476">
        <v>7262</v>
      </c>
      <c r="KF37" s="476">
        <v>0</v>
      </c>
      <c r="KG37" s="476">
        <v>0</v>
      </c>
      <c r="KH37" s="476">
        <v>11348929</v>
      </c>
      <c r="KI37" s="476">
        <v>0</v>
      </c>
      <c r="KJ37" s="476">
        <v>6</v>
      </c>
      <c r="KK37" s="476">
        <v>22</v>
      </c>
      <c r="KL37" s="476">
        <v>3696</v>
      </c>
      <c r="KM37" s="476">
        <v>13552</v>
      </c>
      <c r="KN37" s="476">
        <v>0</v>
      </c>
    </row>
    <row r="38" spans="1:300" x14ac:dyDescent="0.25">
      <c r="A38" s="476">
        <v>40976</v>
      </c>
      <c r="B38" s="476">
        <v>43802</v>
      </c>
      <c r="C38" s="476">
        <v>9</v>
      </c>
      <c r="D38" s="476">
        <v>2024</v>
      </c>
      <c r="E38" s="476">
        <v>6160</v>
      </c>
      <c r="F38" s="476">
        <v>0</v>
      </c>
      <c r="G38" s="476">
        <v>160.107</v>
      </c>
      <c r="H38" s="476">
        <v>156.73400000000001</v>
      </c>
      <c r="I38" s="476">
        <v>156.73400000000001</v>
      </c>
      <c r="J38" s="476">
        <v>160.107</v>
      </c>
      <c r="K38" s="476">
        <v>0</v>
      </c>
      <c r="L38" s="476">
        <v>6160</v>
      </c>
      <c r="M38" s="476">
        <v>0</v>
      </c>
      <c r="N38" s="476">
        <v>0</v>
      </c>
      <c r="O38" s="476">
        <v>0</v>
      </c>
      <c r="P38" s="476">
        <v>160.107</v>
      </c>
      <c r="Q38" s="476">
        <v>0</v>
      </c>
      <c r="R38" s="476">
        <v>66426</v>
      </c>
      <c r="S38" s="476">
        <v>414.88400000000001</v>
      </c>
      <c r="T38" s="476">
        <v>0</v>
      </c>
      <c r="U38" s="476">
        <v>0</v>
      </c>
      <c r="V38" s="476">
        <v>28.837</v>
      </c>
      <c r="W38" s="476">
        <v>17763</v>
      </c>
      <c r="X38" s="476">
        <v>17763</v>
      </c>
      <c r="Y38" s="476">
        <v>0</v>
      </c>
      <c r="Z38" s="476">
        <v>0</v>
      </c>
      <c r="AA38" s="476">
        <v>0</v>
      </c>
      <c r="AB38" s="476">
        <v>0</v>
      </c>
      <c r="AC38" s="476">
        <v>0</v>
      </c>
      <c r="AD38" s="476" t="s">
        <v>314</v>
      </c>
      <c r="AE38" s="476">
        <v>0</v>
      </c>
      <c r="AF38" s="476">
        <v>0</v>
      </c>
      <c r="AG38" s="476">
        <v>0</v>
      </c>
      <c r="AH38" s="476">
        <v>0</v>
      </c>
      <c r="AI38" s="476">
        <v>0</v>
      </c>
      <c r="AJ38" s="476">
        <v>6160</v>
      </c>
      <c r="AK38" s="476" t="s">
        <v>651</v>
      </c>
      <c r="AL38" s="476" t="s">
        <v>440</v>
      </c>
      <c r="AM38" s="476">
        <v>0</v>
      </c>
      <c r="AN38" s="476">
        <v>0</v>
      </c>
      <c r="AO38" s="476">
        <v>0</v>
      </c>
      <c r="AP38" s="476">
        <v>0</v>
      </c>
      <c r="AQ38" s="476">
        <v>0</v>
      </c>
      <c r="AR38" s="476">
        <v>0</v>
      </c>
      <c r="AS38" s="476">
        <v>0</v>
      </c>
      <c r="AT38" s="476">
        <v>0</v>
      </c>
      <c r="AU38" s="476">
        <v>0</v>
      </c>
      <c r="AV38" s="476">
        <v>0</v>
      </c>
      <c r="AW38" s="476">
        <v>1406842</v>
      </c>
      <c r="AX38" s="476">
        <v>1380065</v>
      </c>
      <c r="AY38" s="476">
        <v>0</v>
      </c>
      <c r="AZ38" s="476">
        <v>66426</v>
      </c>
      <c r="BA38" s="476">
        <v>0</v>
      </c>
      <c r="BB38" s="476">
        <v>0</v>
      </c>
      <c r="BC38" s="476">
        <v>0</v>
      </c>
      <c r="BD38" s="476">
        <v>0</v>
      </c>
      <c r="BE38" s="476">
        <v>0</v>
      </c>
      <c r="BF38" s="476">
        <v>1257073</v>
      </c>
      <c r="BG38" s="476">
        <v>0</v>
      </c>
      <c r="BH38" s="476">
        <v>0</v>
      </c>
      <c r="BI38" s="476">
        <v>0</v>
      </c>
      <c r="BJ38" s="476">
        <v>12</v>
      </c>
      <c r="BK38" s="476">
        <v>0</v>
      </c>
      <c r="BL38" s="476">
        <v>0</v>
      </c>
      <c r="BM38" s="476">
        <v>0</v>
      </c>
      <c r="BN38" s="476">
        <v>0</v>
      </c>
      <c r="BO38" s="476">
        <v>0</v>
      </c>
      <c r="BP38" s="476">
        <v>0</v>
      </c>
      <c r="BQ38" s="476">
        <v>746</v>
      </c>
      <c r="BR38" s="476">
        <v>0</v>
      </c>
      <c r="BS38" s="476">
        <v>0</v>
      </c>
      <c r="BT38" s="476">
        <v>0</v>
      </c>
      <c r="BU38" s="476">
        <v>0</v>
      </c>
      <c r="BV38" s="476">
        <v>0</v>
      </c>
      <c r="BW38" s="476">
        <v>0</v>
      </c>
      <c r="BX38" s="476">
        <v>0</v>
      </c>
      <c r="BY38" s="476">
        <v>0</v>
      </c>
      <c r="BZ38" s="476">
        <v>0</v>
      </c>
      <c r="CA38" s="476">
        <v>0</v>
      </c>
      <c r="CB38" s="476">
        <v>0</v>
      </c>
      <c r="CC38" s="476">
        <v>0</v>
      </c>
      <c r="CD38" s="476">
        <v>0</v>
      </c>
      <c r="CE38" s="476">
        <v>0</v>
      </c>
      <c r="CF38" s="476">
        <v>0</v>
      </c>
      <c r="CG38" s="476">
        <v>0</v>
      </c>
      <c r="CH38" s="476">
        <v>27030</v>
      </c>
      <c r="CI38" s="476">
        <v>0</v>
      </c>
      <c r="CJ38" s="476">
        <v>4</v>
      </c>
      <c r="CK38" s="476">
        <v>0</v>
      </c>
      <c r="CL38" s="476">
        <v>0</v>
      </c>
      <c r="CM38" s="476">
        <v>0</v>
      </c>
      <c r="CN38" s="476">
        <v>0</v>
      </c>
      <c r="CO38" s="476">
        <v>1</v>
      </c>
      <c r="CP38" s="476">
        <v>0</v>
      </c>
      <c r="CQ38" s="476">
        <v>0</v>
      </c>
      <c r="CR38" s="476">
        <v>160.107</v>
      </c>
      <c r="CS38" s="476">
        <v>0</v>
      </c>
      <c r="CT38" s="476">
        <v>0</v>
      </c>
      <c r="CU38" s="476">
        <v>0</v>
      </c>
      <c r="CV38" s="476">
        <v>0</v>
      </c>
      <c r="CW38" s="476">
        <v>0</v>
      </c>
      <c r="CX38" s="476">
        <v>0</v>
      </c>
      <c r="CY38" s="476">
        <v>0</v>
      </c>
      <c r="CZ38" s="476">
        <v>0</v>
      </c>
      <c r="DA38" s="476">
        <v>0</v>
      </c>
      <c r="DB38" s="476">
        <v>958951</v>
      </c>
      <c r="DC38" s="476">
        <v>0</v>
      </c>
      <c r="DD38" s="476">
        <v>0</v>
      </c>
      <c r="DE38" s="476">
        <v>4158</v>
      </c>
      <c r="DF38" s="476">
        <v>4158</v>
      </c>
      <c r="DG38" s="476">
        <v>0.67500000000000004</v>
      </c>
      <c r="DH38" s="476">
        <v>0</v>
      </c>
      <c r="DI38" s="476">
        <v>0</v>
      </c>
      <c r="DJ38" s="476">
        <v>0</v>
      </c>
      <c r="DK38" s="476">
        <v>3556</v>
      </c>
      <c r="DL38" s="476">
        <v>0</v>
      </c>
      <c r="DM38" s="476">
        <v>79959</v>
      </c>
      <c r="DN38" s="476">
        <v>253</v>
      </c>
      <c r="DO38" s="476">
        <v>0</v>
      </c>
      <c r="DP38" s="476">
        <v>0</v>
      </c>
      <c r="DQ38" s="476">
        <v>0</v>
      </c>
      <c r="DR38" s="476">
        <v>0</v>
      </c>
      <c r="DS38" s="476">
        <v>0</v>
      </c>
      <c r="DT38" s="476">
        <v>0</v>
      </c>
      <c r="DU38" s="476">
        <v>0</v>
      </c>
      <c r="DV38" s="476">
        <v>0</v>
      </c>
      <c r="DW38" s="476">
        <v>0</v>
      </c>
      <c r="DX38" s="476">
        <v>0</v>
      </c>
      <c r="DY38" s="476">
        <v>0</v>
      </c>
      <c r="DZ38" s="476">
        <v>0</v>
      </c>
      <c r="EA38" s="476">
        <v>0</v>
      </c>
      <c r="EB38" s="476">
        <v>0</v>
      </c>
      <c r="EC38" s="476">
        <v>1</v>
      </c>
      <c r="ED38" s="476">
        <v>7084</v>
      </c>
      <c r="EE38" s="476">
        <v>0</v>
      </c>
      <c r="EF38" s="476">
        <v>0</v>
      </c>
      <c r="EG38" s="476">
        <v>0</v>
      </c>
      <c r="EH38" s="476">
        <v>66619</v>
      </c>
      <c r="EI38" s="476">
        <v>0</v>
      </c>
      <c r="EJ38" s="476">
        <v>0</v>
      </c>
      <c r="EK38" s="476">
        <v>3.0250000000000004</v>
      </c>
      <c r="EL38" s="476">
        <v>0</v>
      </c>
      <c r="EM38" s="476">
        <v>0</v>
      </c>
      <c r="EN38" s="476">
        <v>0.34800000000000003</v>
      </c>
      <c r="EO38" s="476">
        <v>0</v>
      </c>
      <c r="EP38" s="476">
        <v>0</v>
      </c>
      <c r="EQ38" s="476">
        <v>3.3730000000000002</v>
      </c>
      <c r="ER38" s="476">
        <v>0</v>
      </c>
      <c r="ES38" s="476">
        <v>10.815000000000001</v>
      </c>
      <c r="ET38" s="476">
        <v>0</v>
      </c>
      <c r="EU38" s="476">
        <v>0</v>
      </c>
      <c r="EV38" s="476">
        <v>0</v>
      </c>
      <c r="EW38" s="476">
        <v>0</v>
      </c>
      <c r="EX38" s="476">
        <v>0</v>
      </c>
      <c r="EY38" s="476">
        <v>0</v>
      </c>
      <c r="EZ38" s="476">
        <v>1190647</v>
      </c>
      <c r="FA38" s="476">
        <v>0</v>
      </c>
      <c r="FB38" s="476">
        <v>1256820</v>
      </c>
      <c r="FC38" s="476">
        <v>0</v>
      </c>
      <c r="FD38" s="476">
        <v>0</v>
      </c>
      <c r="FE38" s="476">
        <v>162311</v>
      </c>
      <c r="FF38" s="476">
        <v>27107</v>
      </c>
      <c r="FG38" s="476">
        <v>6.3017999999999991E-2</v>
      </c>
      <c r="FH38" s="476">
        <v>2.6953999999999999E-2</v>
      </c>
      <c r="FI38" s="476">
        <v>0</v>
      </c>
      <c r="FJ38" s="476">
        <v>0</v>
      </c>
      <c r="FK38" s="476">
        <v>204.07500000000002</v>
      </c>
      <c r="FL38" s="476">
        <v>1473268</v>
      </c>
      <c r="FM38" s="476">
        <v>0</v>
      </c>
      <c r="FN38" s="476">
        <v>0</v>
      </c>
      <c r="FO38" s="476">
        <v>0</v>
      </c>
      <c r="FP38" s="476">
        <v>0</v>
      </c>
      <c r="FQ38" s="476">
        <v>0</v>
      </c>
      <c r="FR38" s="476">
        <v>0</v>
      </c>
      <c r="FS38" s="476">
        <v>0</v>
      </c>
      <c r="FT38" s="476">
        <v>0</v>
      </c>
      <c r="FU38" s="476">
        <v>0</v>
      </c>
      <c r="FV38" s="476">
        <v>0</v>
      </c>
      <c r="FW38" s="476">
        <v>0</v>
      </c>
      <c r="FX38" s="476">
        <v>0</v>
      </c>
      <c r="FY38" s="476">
        <v>0</v>
      </c>
      <c r="FZ38" s="476">
        <v>0</v>
      </c>
      <c r="GA38" s="476">
        <v>0</v>
      </c>
      <c r="GB38" s="476">
        <v>0</v>
      </c>
      <c r="GC38" s="476">
        <v>0</v>
      </c>
      <c r="GD38" s="476">
        <v>0</v>
      </c>
      <c r="GE38" s="476">
        <v>0</v>
      </c>
      <c r="GF38" s="476">
        <v>0</v>
      </c>
      <c r="GG38" s="476">
        <v>0</v>
      </c>
      <c r="GH38" s="476">
        <v>0</v>
      </c>
      <c r="GI38" s="476">
        <v>0</v>
      </c>
      <c r="GJ38" s="476">
        <v>0</v>
      </c>
      <c r="GK38" s="476">
        <v>0</v>
      </c>
      <c r="GL38" s="476">
        <v>0</v>
      </c>
      <c r="GM38" s="476">
        <v>0</v>
      </c>
      <c r="GN38" s="476">
        <v>0</v>
      </c>
      <c r="GO38" s="476">
        <v>0</v>
      </c>
      <c r="GP38" s="476">
        <v>0</v>
      </c>
      <c r="GQ38" s="476">
        <v>1379812</v>
      </c>
      <c r="GR38" s="476">
        <v>0</v>
      </c>
      <c r="GS38" s="476">
        <v>0</v>
      </c>
      <c r="GT38" s="476">
        <v>0</v>
      </c>
      <c r="GU38" s="476">
        <v>0</v>
      </c>
      <c r="GV38" s="476">
        <v>0</v>
      </c>
      <c r="GW38" s="476">
        <v>0</v>
      </c>
      <c r="GX38" s="476">
        <v>0</v>
      </c>
      <c r="GY38" s="476">
        <v>0</v>
      </c>
      <c r="GZ38" s="476">
        <v>0</v>
      </c>
      <c r="HA38" s="476">
        <v>0</v>
      </c>
      <c r="HB38" s="476">
        <v>323396213</v>
      </c>
      <c r="HC38" s="476">
        <v>4.2206E-2</v>
      </c>
      <c r="HD38" s="476">
        <v>27030</v>
      </c>
      <c r="HE38" s="476">
        <v>0</v>
      </c>
      <c r="HF38" s="476">
        <v>172721</v>
      </c>
      <c r="HG38" s="476">
        <v>7392</v>
      </c>
      <c r="HH38" s="476">
        <v>14275</v>
      </c>
      <c r="HI38" s="476">
        <v>0</v>
      </c>
      <c r="HJ38" s="476">
        <v>1601</v>
      </c>
      <c r="HK38" s="476">
        <v>0</v>
      </c>
      <c r="HL38" s="476">
        <v>0</v>
      </c>
      <c r="HM38" s="476">
        <v>0</v>
      </c>
      <c r="HN38" s="476">
        <v>0</v>
      </c>
      <c r="HO38" s="476">
        <v>0</v>
      </c>
      <c r="HP38" s="476">
        <v>0</v>
      </c>
      <c r="HQ38" s="476">
        <v>0</v>
      </c>
      <c r="HR38" s="476">
        <v>0</v>
      </c>
      <c r="HS38" s="476">
        <v>1190394</v>
      </c>
      <c r="HT38" s="476">
        <v>27107</v>
      </c>
      <c r="HU38" s="476">
        <v>0</v>
      </c>
      <c r="HV38" s="476">
        <v>0</v>
      </c>
      <c r="HW38" s="476">
        <v>0</v>
      </c>
      <c r="HX38" s="476">
        <v>3</v>
      </c>
      <c r="HY38" s="476">
        <v>0</v>
      </c>
      <c r="HZ38" s="476">
        <v>0</v>
      </c>
      <c r="IA38" s="476">
        <v>0</v>
      </c>
      <c r="IB38" s="476">
        <v>0</v>
      </c>
      <c r="IC38" s="476">
        <v>3</v>
      </c>
      <c r="ID38" s="476">
        <v>0</v>
      </c>
      <c r="IE38" s="476">
        <v>0</v>
      </c>
      <c r="IF38" s="476">
        <v>0</v>
      </c>
      <c r="IG38" s="476">
        <v>12</v>
      </c>
      <c r="IH38" s="476">
        <v>23.175000000000001</v>
      </c>
      <c r="II38" s="476">
        <v>0</v>
      </c>
      <c r="IJ38" s="476">
        <v>28.837</v>
      </c>
      <c r="IK38" s="476">
        <v>0</v>
      </c>
      <c r="IL38" s="476">
        <v>0</v>
      </c>
      <c r="IM38" s="476">
        <v>0</v>
      </c>
      <c r="IN38" s="476">
        <v>0</v>
      </c>
      <c r="IO38" s="476">
        <v>0</v>
      </c>
      <c r="IP38" s="476">
        <v>0</v>
      </c>
      <c r="IQ38" s="476">
        <v>28.837</v>
      </c>
      <c r="IR38" s="476">
        <v>17763</v>
      </c>
      <c r="IS38" s="476">
        <v>0</v>
      </c>
      <c r="IT38" s="476">
        <v>0</v>
      </c>
      <c r="IU38" s="476">
        <v>0</v>
      </c>
      <c r="IV38" s="476">
        <v>0</v>
      </c>
      <c r="IW38" s="476">
        <v>6160</v>
      </c>
      <c r="IX38" s="476">
        <v>0</v>
      </c>
      <c r="IY38" s="476">
        <v>0</v>
      </c>
      <c r="IZ38" s="476">
        <v>0</v>
      </c>
      <c r="JA38" s="476">
        <v>0</v>
      </c>
      <c r="JB38" s="476">
        <v>0</v>
      </c>
      <c r="JC38" s="476">
        <v>0</v>
      </c>
      <c r="JD38" s="476">
        <v>0</v>
      </c>
      <c r="JE38" s="476">
        <v>0</v>
      </c>
      <c r="JF38" s="476">
        <v>0</v>
      </c>
      <c r="JG38" s="476">
        <v>0</v>
      </c>
      <c r="JH38" s="476">
        <v>0</v>
      </c>
      <c r="JI38" s="476">
        <v>0</v>
      </c>
      <c r="JJ38" s="476">
        <v>0</v>
      </c>
      <c r="JK38" s="476">
        <v>0</v>
      </c>
      <c r="JL38" s="476">
        <v>0</v>
      </c>
      <c r="JM38" s="476">
        <v>0</v>
      </c>
      <c r="JN38" s="476">
        <v>32469</v>
      </c>
      <c r="JO38" s="476">
        <v>0</v>
      </c>
      <c r="JP38" s="476">
        <v>0</v>
      </c>
      <c r="JQ38" s="476">
        <v>0</v>
      </c>
      <c r="JR38" s="476">
        <v>0</v>
      </c>
      <c r="JS38" s="476">
        <v>0</v>
      </c>
      <c r="JT38" s="476">
        <v>0</v>
      </c>
      <c r="JU38" s="476">
        <v>0</v>
      </c>
      <c r="JV38" s="476">
        <v>0</v>
      </c>
      <c r="JW38" s="476">
        <v>0</v>
      </c>
      <c r="JX38" s="476">
        <v>0</v>
      </c>
      <c r="JY38" s="476">
        <v>0</v>
      </c>
      <c r="JZ38" s="476">
        <v>0</v>
      </c>
      <c r="KA38" s="476">
        <v>0</v>
      </c>
      <c r="KB38" s="476">
        <v>0</v>
      </c>
      <c r="KC38" s="476">
        <v>0</v>
      </c>
      <c r="KD38" s="476">
        <v>0</v>
      </c>
      <c r="KE38" s="476">
        <v>7262</v>
      </c>
      <c r="KF38" s="476">
        <v>0</v>
      </c>
      <c r="KG38" s="476">
        <v>0</v>
      </c>
      <c r="KH38" s="476">
        <v>1379812</v>
      </c>
      <c r="KI38" s="476">
        <v>0</v>
      </c>
      <c r="KJ38" s="476">
        <v>0</v>
      </c>
      <c r="KK38" s="476">
        <v>12</v>
      </c>
      <c r="KL38" s="476">
        <v>0</v>
      </c>
      <c r="KM38" s="476">
        <v>7392</v>
      </c>
      <c r="KN38" s="476">
        <v>0</v>
      </c>
    </row>
    <row r="39" spans="1:300" x14ac:dyDescent="0.25">
      <c r="A39" s="476">
        <v>40976</v>
      </c>
      <c r="B39" s="476">
        <v>46802</v>
      </c>
      <c r="C39" s="476">
        <v>9</v>
      </c>
      <c r="D39" s="476">
        <v>2024</v>
      </c>
      <c r="E39" s="476">
        <v>6160</v>
      </c>
      <c r="F39" s="476">
        <v>0</v>
      </c>
      <c r="G39" s="476">
        <v>319.38200000000001</v>
      </c>
      <c r="H39" s="476">
        <v>195.214</v>
      </c>
      <c r="I39" s="476">
        <v>195.214</v>
      </c>
      <c r="J39" s="476">
        <v>319.38200000000001</v>
      </c>
      <c r="K39" s="476">
        <v>0</v>
      </c>
      <c r="L39" s="476">
        <v>6160</v>
      </c>
      <c r="M39" s="476">
        <v>0</v>
      </c>
      <c r="N39" s="476">
        <v>0</v>
      </c>
      <c r="O39" s="476">
        <v>0</v>
      </c>
      <c r="P39" s="476">
        <v>317.48500000000001</v>
      </c>
      <c r="Q39" s="476">
        <v>0</v>
      </c>
      <c r="R39" s="476">
        <v>131719</v>
      </c>
      <c r="S39" s="476">
        <v>414.88400000000001</v>
      </c>
      <c r="T39" s="476">
        <v>0</v>
      </c>
      <c r="U39" s="476">
        <v>0</v>
      </c>
      <c r="V39" s="476">
        <v>18.77</v>
      </c>
      <c r="W39" s="476">
        <v>11562</v>
      </c>
      <c r="X39" s="476">
        <v>11562</v>
      </c>
      <c r="Y39" s="476">
        <v>0</v>
      </c>
      <c r="Z39" s="476">
        <v>0</v>
      </c>
      <c r="AA39" s="476">
        <v>0</v>
      </c>
      <c r="AB39" s="476">
        <v>0</v>
      </c>
      <c r="AC39" s="476">
        <v>0</v>
      </c>
      <c r="AD39" s="476" t="s">
        <v>314</v>
      </c>
      <c r="AE39" s="476">
        <v>0</v>
      </c>
      <c r="AF39" s="476">
        <v>0</v>
      </c>
      <c r="AG39" s="476">
        <v>0</v>
      </c>
      <c r="AH39" s="476">
        <v>0</v>
      </c>
      <c r="AI39" s="476">
        <v>0</v>
      </c>
      <c r="AJ39" s="476">
        <v>6160</v>
      </c>
      <c r="AK39" s="476" t="s">
        <v>651</v>
      </c>
      <c r="AL39" s="476" t="s">
        <v>41</v>
      </c>
      <c r="AM39" s="476">
        <v>0</v>
      </c>
      <c r="AN39" s="476">
        <v>0</v>
      </c>
      <c r="AO39" s="476">
        <v>0</v>
      </c>
      <c r="AP39" s="476">
        <v>0</v>
      </c>
      <c r="AQ39" s="476">
        <v>0</v>
      </c>
      <c r="AR39" s="476">
        <v>0</v>
      </c>
      <c r="AS39" s="476">
        <v>0</v>
      </c>
      <c r="AT39" s="476">
        <v>0</v>
      </c>
      <c r="AU39" s="476">
        <v>0</v>
      </c>
      <c r="AV39" s="476">
        <v>0</v>
      </c>
      <c r="AW39" s="476">
        <v>5703267</v>
      </c>
      <c r="AX39" s="476">
        <v>5658803</v>
      </c>
      <c r="AY39" s="476">
        <v>0</v>
      </c>
      <c r="AZ39" s="476">
        <v>131719</v>
      </c>
      <c r="BA39" s="476">
        <v>42.083000000000006</v>
      </c>
      <c r="BB39" s="476">
        <v>0</v>
      </c>
      <c r="BC39" s="476">
        <v>0</v>
      </c>
      <c r="BD39" s="476">
        <v>0</v>
      </c>
      <c r="BE39" s="476">
        <v>0</v>
      </c>
      <c r="BF39" s="476">
        <v>4854999</v>
      </c>
      <c r="BG39" s="476">
        <v>0</v>
      </c>
      <c r="BH39" s="476">
        <v>0</v>
      </c>
      <c r="BI39" s="476">
        <v>0</v>
      </c>
      <c r="BJ39" s="476">
        <v>12</v>
      </c>
      <c r="BK39" s="476">
        <v>0</v>
      </c>
      <c r="BL39" s="476">
        <v>0</v>
      </c>
      <c r="BM39" s="476">
        <v>0</v>
      </c>
      <c r="BN39" s="476">
        <v>0</v>
      </c>
      <c r="BO39" s="476">
        <v>0</v>
      </c>
      <c r="BP39" s="476">
        <v>0</v>
      </c>
      <c r="BQ39" s="476">
        <v>740</v>
      </c>
      <c r="BR39" s="476">
        <v>0</v>
      </c>
      <c r="BS39" s="476">
        <v>0</v>
      </c>
      <c r="BT39" s="476">
        <v>0</v>
      </c>
      <c r="BU39" s="476">
        <v>0</v>
      </c>
      <c r="BV39" s="476">
        <v>0</v>
      </c>
      <c r="BW39" s="476">
        <v>0</v>
      </c>
      <c r="BX39" s="476">
        <v>0</v>
      </c>
      <c r="BY39" s="476">
        <v>0</v>
      </c>
      <c r="BZ39" s="476">
        <v>0</v>
      </c>
      <c r="CA39" s="476">
        <v>0</v>
      </c>
      <c r="CB39" s="476">
        <v>0</v>
      </c>
      <c r="CC39" s="476">
        <v>0</v>
      </c>
      <c r="CD39" s="476">
        <v>0</v>
      </c>
      <c r="CE39" s="476">
        <v>0</v>
      </c>
      <c r="CF39" s="476">
        <v>0</v>
      </c>
      <c r="CG39" s="476">
        <v>0</v>
      </c>
      <c r="CH39" s="476">
        <v>53920</v>
      </c>
      <c r="CI39" s="476">
        <v>0</v>
      </c>
      <c r="CJ39" s="476">
        <v>4</v>
      </c>
      <c r="CK39" s="476">
        <v>0</v>
      </c>
      <c r="CL39" s="476">
        <v>0</v>
      </c>
      <c r="CM39" s="476">
        <v>0</v>
      </c>
      <c r="CN39" s="476">
        <v>0</v>
      </c>
      <c r="CO39" s="476">
        <v>1</v>
      </c>
      <c r="CP39" s="476">
        <v>0</v>
      </c>
      <c r="CQ39" s="476">
        <v>0</v>
      </c>
      <c r="CR39" s="476">
        <v>319.38200000000001</v>
      </c>
      <c r="CS39" s="476">
        <v>0</v>
      </c>
      <c r="CT39" s="476">
        <v>0</v>
      </c>
      <c r="CU39" s="476">
        <v>0</v>
      </c>
      <c r="CV39" s="476">
        <v>0</v>
      </c>
      <c r="CW39" s="476">
        <v>0</v>
      </c>
      <c r="CX39" s="476">
        <v>0</v>
      </c>
      <c r="CY39" s="476">
        <v>0</v>
      </c>
      <c r="CZ39" s="476">
        <v>0</v>
      </c>
      <c r="DA39" s="476">
        <v>0</v>
      </c>
      <c r="DB39" s="476">
        <v>144782</v>
      </c>
      <c r="DC39" s="476">
        <v>0</v>
      </c>
      <c r="DD39" s="476">
        <v>0</v>
      </c>
      <c r="DE39" s="476">
        <v>518352</v>
      </c>
      <c r="DF39" s="476">
        <v>520816</v>
      </c>
      <c r="DG39" s="476">
        <v>84.15</v>
      </c>
      <c r="DH39" s="476">
        <v>0</v>
      </c>
      <c r="DI39" s="476">
        <v>0</v>
      </c>
      <c r="DJ39" s="476">
        <v>0</v>
      </c>
      <c r="DK39" s="476">
        <v>3461</v>
      </c>
      <c r="DL39" s="476">
        <v>0</v>
      </c>
      <c r="DM39" s="476">
        <v>3808052</v>
      </c>
      <c r="DN39" s="476">
        <v>9456</v>
      </c>
      <c r="DO39" s="476">
        <v>0</v>
      </c>
      <c r="DP39" s="476">
        <v>0</v>
      </c>
      <c r="DQ39" s="476">
        <v>0</v>
      </c>
      <c r="DR39" s="476">
        <v>0</v>
      </c>
      <c r="DS39" s="476">
        <v>0</v>
      </c>
      <c r="DT39" s="476">
        <v>0</v>
      </c>
      <c r="DU39" s="476">
        <v>0</v>
      </c>
      <c r="DV39" s="476">
        <v>0</v>
      </c>
      <c r="DW39" s="476">
        <v>0</v>
      </c>
      <c r="DX39" s="476">
        <v>0</v>
      </c>
      <c r="DY39" s="476">
        <v>0</v>
      </c>
      <c r="DZ39" s="476">
        <v>0</v>
      </c>
      <c r="EA39" s="476">
        <v>0</v>
      </c>
      <c r="EB39" s="476">
        <v>0</v>
      </c>
      <c r="EC39" s="476">
        <v>5.17</v>
      </c>
      <c r="ED39" s="476">
        <v>36623</v>
      </c>
      <c r="EE39" s="476">
        <v>0</v>
      </c>
      <c r="EF39" s="476">
        <v>0</v>
      </c>
      <c r="EG39" s="476">
        <v>0</v>
      </c>
      <c r="EH39" s="476">
        <v>17691</v>
      </c>
      <c r="EI39" s="476">
        <v>2705485</v>
      </c>
      <c r="EJ39" s="476">
        <v>109.80300000000001</v>
      </c>
      <c r="EK39" s="476">
        <v>0.129</v>
      </c>
      <c r="EL39" s="476">
        <v>0</v>
      </c>
      <c r="EM39" s="476">
        <v>0</v>
      </c>
      <c r="EN39" s="476">
        <v>0.497</v>
      </c>
      <c r="EO39" s="476">
        <v>0</v>
      </c>
      <c r="EP39" s="476">
        <v>0</v>
      </c>
      <c r="EQ39" s="476">
        <v>110.429</v>
      </c>
      <c r="ER39" s="476">
        <v>0</v>
      </c>
      <c r="ES39" s="476">
        <v>2.8720000000000003</v>
      </c>
      <c r="ET39" s="476">
        <v>0</v>
      </c>
      <c r="EU39" s="476">
        <v>0</v>
      </c>
      <c r="EV39" s="476">
        <v>0</v>
      </c>
      <c r="EW39" s="476">
        <v>0</v>
      </c>
      <c r="EX39" s="476">
        <v>0</v>
      </c>
      <c r="EY39" s="476">
        <v>0</v>
      </c>
      <c r="EZ39" s="476">
        <v>4927242</v>
      </c>
      <c r="FA39" s="476">
        <v>0</v>
      </c>
      <c r="FB39" s="476">
        <v>5049505</v>
      </c>
      <c r="FC39" s="476">
        <v>0</v>
      </c>
      <c r="FD39" s="476">
        <v>0</v>
      </c>
      <c r="FE39" s="476">
        <v>626869</v>
      </c>
      <c r="FF39" s="476">
        <v>104692</v>
      </c>
      <c r="FG39" s="476">
        <v>6.3017999999999991E-2</v>
      </c>
      <c r="FH39" s="476">
        <v>2.6953999999999999E-2</v>
      </c>
      <c r="FI39" s="476">
        <v>0</v>
      </c>
      <c r="FJ39" s="476">
        <v>0</v>
      </c>
      <c r="FK39" s="476">
        <v>788.16700000000003</v>
      </c>
      <c r="FL39" s="476">
        <v>5834986</v>
      </c>
      <c r="FM39" s="476">
        <v>0</v>
      </c>
      <c r="FN39" s="476">
        <v>0</v>
      </c>
      <c r="FO39" s="476">
        <v>0</v>
      </c>
      <c r="FP39" s="476">
        <v>0</v>
      </c>
      <c r="FQ39" s="476">
        <v>0</v>
      </c>
      <c r="FR39" s="476">
        <v>0</v>
      </c>
      <c r="FS39" s="476">
        <v>0</v>
      </c>
      <c r="FT39" s="476">
        <v>0</v>
      </c>
      <c r="FU39" s="476">
        <v>0</v>
      </c>
      <c r="FV39" s="476">
        <v>0</v>
      </c>
      <c r="FW39" s="476">
        <v>0</v>
      </c>
      <c r="FX39" s="476">
        <v>0</v>
      </c>
      <c r="FY39" s="476">
        <v>0</v>
      </c>
      <c r="FZ39" s="476">
        <v>0</v>
      </c>
      <c r="GA39" s="476">
        <v>0</v>
      </c>
      <c r="GB39" s="476">
        <v>134003</v>
      </c>
      <c r="GC39" s="476">
        <v>134003</v>
      </c>
      <c r="GD39" s="476">
        <v>13.739000000000001</v>
      </c>
      <c r="GE39" s="476">
        <v>0</v>
      </c>
      <c r="GF39" s="476">
        <v>0</v>
      </c>
      <c r="GG39" s="476">
        <v>0</v>
      </c>
      <c r="GH39" s="476">
        <v>0</v>
      </c>
      <c r="GI39" s="476">
        <v>0</v>
      </c>
      <c r="GJ39" s="476">
        <v>0</v>
      </c>
      <c r="GK39" s="476">
        <v>0</v>
      </c>
      <c r="GL39" s="476">
        <v>0</v>
      </c>
      <c r="GM39" s="476">
        <v>0</v>
      </c>
      <c r="GN39" s="476">
        <v>0</v>
      </c>
      <c r="GO39" s="476">
        <v>0</v>
      </c>
      <c r="GP39" s="476">
        <v>0</v>
      </c>
      <c r="GQ39" s="476">
        <v>5649347</v>
      </c>
      <c r="GR39" s="476">
        <v>0</v>
      </c>
      <c r="GS39" s="476">
        <v>0</v>
      </c>
      <c r="GT39" s="476">
        <v>0</v>
      </c>
      <c r="GU39" s="476">
        <v>0</v>
      </c>
      <c r="GV39" s="476">
        <v>0</v>
      </c>
      <c r="GW39" s="476">
        <v>0</v>
      </c>
      <c r="GX39" s="476">
        <v>0</v>
      </c>
      <c r="GY39" s="476">
        <v>0</v>
      </c>
      <c r="GZ39" s="476">
        <v>0</v>
      </c>
      <c r="HA39" s="476">
        <v>0</v>
      </c>
      <c r="HB39" s="476">
        <v>323396213</v>
      </c>
      <c r="HC39" s="476">
        <v>4.2206E-2</v>
      </c>
      <c r="HD39" s="476">
        <v>53920</v>
      </c>
      <c r="HE39" s="476">
        <v>0</v>
      </c>
      <c r="HF39" s="476">
        <v>215126</v>
      </c>
      <c r="HG39" s="476">
        <v>8008</v>
      </c>
      <c r="HH39" s="476">
        <v>0</v>
      </c>
      <c r="HI39" s="476">
        <v>0</v>
      </c>
      <c r="HJ39" s="476">
        <v>3194</v>
      </c>
      <c r="HK39" s="476">
        <v>3053</v>
      </c>
      <c r="HL39" s="476">
        <v>229</v>
      </c>
      <c r="HM39" s="476">
        <v>0</v>
      </c>
      <c r="HN39" s="476">
        <v>0</v>
      </c>
      <c r="HO39" s="476">
        <v>0</v>
      </c>
      <c r="HP39" s="476">
        <v>113337</v>
      </c>
      <c r="HQ39" s="476">
        <v>0</v>
      </c>
      <c r="HR39" s="476">
        <v>0</v>
      </c>
      <c r="HS39" s="476">
        <v>4917786</v>
      </c>
      <c r="HT39" s="476">
        <v>104692</v>
      </c>
      <c r="HU39" s="476">
        <v>0</v>
      </c>
      <c r="HV39" s="476">
        <v>0</v>
      </c>
      <c r="HW39" s="476">
        <v>0</v>
      </c>
      <c r="HX39" s="476">
        <v>0</v>
      </c>
      <c r="HY39" s="476">
        <v>0</v>
      </c>
      <c r="HZ39" s="476">
        <v>0</v>
      </c>
      <c r="IA39" s="476">
        <v>0</v>
      </c>
      <c r="IB39" s="476">
        <v>306</v>
      </c>
      <c r="IC39" s="476">
        <v>306</v>
      </c>
      <c r="ID39" s="476">
        <v>2</v>
      </c>
      <c r="IE39" s="476">
        <v>0</v>
      </c>
      <c r="IF39" s="476">
        <v>0</v>
      </c>
      <c r="IG39" s="476">
        <v>13</v>
      </c>
      <c r="IH39" s="476">
        <v>0</v>
      </c>
      <c r="II39" s="476">
        <v>412.13500000000005</v>
      </c>
      <c r="IJ39" s="476">
        <v>18.77</v>
      </c>
      <c r="IK39" s="476">
        <v>317.61</v>
      </c>
      <c r="IL39" s="476">
        <v>0</v>
      </c>
      <c r="IM39" s="476">
        <v>0</v>
      </c>
      <c r="IN39" s="476">
        <v>0</v>
      </c>
      <c r="IO39" s="476">
        <v>0</v>
      </c>
      <c r="IP39" s="476">
        <v>729.745</v>
      </c>
      <c r="IQ39" s="476">
        <v>18.77</v>
      </c>
      <c r="IR39" s="476">
        <v>11562</v>
      </c>
      <c r="IS39" s="476">
        <v>87343</v>
      </c>
      <c r="IT39" s="476">
        <v>0</v>
      </c>
      <c r="IU39" s="476">
        <v>0</v>
      </c>
      <c r="IV39" s="476">
        <v>0</v>
      </c>
      <c r="IW39" s="476">
        <v>6160</v>
      </c>
      <c r="IX39" s="476">
        <v>0</v>
      </c>
      <c r="IY39" s="476">
        <v>0</v>
      </c>
      <c r="IZ39" s="476">
        <v>200680</v>
      </c>
      <c r="JA39" s="476">
        <v>2464</v>
      </c>
      <c r="JB39" s="476">
        <v>0</v>
      </c>
      <c r="JC39" s="476">
        <v>0</v>
      </c>
      <c r="JD39" s="476">
        <v>0</v>
      </c>
      <c r="JE39" s="476">
        <v>0</v>
      </c>
      <c r="JF39" s="476">
        <v>0</v>
      </c>
      <c r="JG39" s="476">
        <v>0</v>
      </c>
      <c r="JH39" s="476">
        <v>0</v>
      </c>
      <c r="JI39" s="476">
        <v>0</v>
      </c>
      <c r="JJ39" s="476">
        <v>0</v>
      </c>
      <c r="JK39" s="476">
        <v>0</v>
      </c>
      <c r="JL39" s="476">
        <v>0</v>
      </c>
      <c r="JM39" s="476">
        <v>0</v>
      </c>
      <c r="JN39" s="476">
        <v>32469</v>
      </c>
      <c r="JO39" s="476">
        <v>0.61399999999999999</v>
      </c>
      <c r="JP39" s="476">
        <v>7.9820000000000002</v>
      </c>
      <c r="JQ39" s="476">
        <v>5.1430000000000007</v>
      </c>
      <c r="JR39" s="476">
        <v>4905</v>
      </c>
      <c r="JS39" s="476">
        <v>74196</v>
      </c>
      <c r="JT39" s="476">
        <v>54902</v>
      </c>
      <c r="JU39" s="476">
        <v>0</v>
      </c>
      <c r="JV39" s="476">
        <v>0</v>
      </c>
      <c r="JW39" s="476">
        <v>0</v>
      </c>
      <c r="JX39" s="476">
        <v>0</v>
      </c>
      <c r="JY39" s="476">
        <v>0</v>
      </c>
      <c r="JZ39" s="476">
        <v>0</v>
      </c>
      <c r="KA39" s="476">
        <v>0</v>
      </c>
      <c r="KB39" s="476">
        <v>0</v>
      </c>
      <c r="KC39" s="476">
        <v>0</v>
      </c>
      <c r="KD39" s="476">
        <v>0</v>
      </c>
      <c r="KE39" s="476">
        <v>7262</v>
      </c>
      <c r="KF39" s="476">
        <v>0</v>
      </c>
      <c r="KG39" s="476">
        <v>0</v>
      </c>
      <c r="KH39" s="476">
        <v>5649347</v>
      </c>
      <c r="KI39" s="476">
        <v>0</v>
      </c>
      <c r="KJ39" s="476">
        <v>2</v>
      </c>
      <c r="KK39" s="476">
        <v>11</v>
      </c>
      <c r="KL39" s="476">
        <v>1232</v>
      </c>
      <c r="KM39" s="476">
        <v>6776</v>
      </c>
      <c r="KN39" s="476">
        <v>0</v>
      </c>
    </row>
    <row r="40" spans="1:300" x14ac:dyDescent="0.25">
      <c r="A40" s="476">
        <v>40976</v>
      </c>
      <c r="B40" s="476">
        <v>57802</v>
      </c>
      <c r="C40" s="476">
        <v>9</v>
      </c>
      <c r="D40" s="476">
        <v>2024</v>
      </c>
      <c r="E40" s="476">
        <v>6160</v>
      </c>
      <c r="F40" s="476">
        <v>0</v>
      </c>
      <c r="G40" s="476">
        <v>432.80200000000002</v>
      </c>
      <c r="H40" s="476">
        <v>405.93900000000002</v>
      </c>
      <c r="I40" s="476">
        <v>405.93900000000002</v>
      </c>
      <c r="J40" s="476">
        <v>432.80200000000002</v>
      </c>
      <c r="K40" s="476">
        <v>0</v>
      </c>
      <c r="L40" s="476">
        <v>6160</v>
      </c>
      <c r="M40" s="476">
        <v>0</v>
      </c>
      <c r="N40" s="476">
        <v>0</v>
      </c>
      <c r="O40" s="476">
        <v>0</v>
      </c>
      <c r="P40" s="476">
        <v>432.82500000000005</v>
      </c>
      <c r="Q40" s="476">
        <v>0</v>
      </c>
      <c r="R40" s="476">
        <v>179572</v>
      </c>
      <c r="S40" s="476">
        <v>414.88400000000001</v>
      </c>
      <c r="T40" s="476">
        <v>0</v>
      </c>
      <c r="U40" s="476">
        <v>0</v>
      </c>
      <c r="V40" s="476">
        <v>105.59</v>
      </c>
      <c r="W40" s="476">
        <v>65042</v>
      </c>
      <c r="X40" s="476">
        <v>65042</v>
      </c>
      <c r="Y40" s="476">
        <v>0</v>
      </c>
      <c r="Z40" s="476">
        <v>0</v>
      </c>
      <c r="AA40" s="476">
        <v>0</v>
      </c>
      <c r="AB40" s="476">
        <v>0</v>
      </c>
      <c r="AC40" s="476">
        <v>0</v>
      </c>
      <c r="AD40" s="476" t="s">
        <v>314</v>
      </c>
      <c r="AE40" s="476">
        <v>0</v>
      </c>
      <c r="AF40" s="476">
        <v>0</v>
      </c>
      <c r="AG40" s="476">
        <v>0</v>
      </c>
      <c r="AH40" s="476">
        <v>0</v>
      </c>
      <c r="AI40" s="476">
        <v>0</v>
      </c>
      <c r="AJ40" s="476">
        <v>6160</v>
      </c>
      <c r="AK40" s="476" t="s">
        <v>651</v>
      </c>
      <c r="AL40" s="476" t="s">
        <v>17</v>
      </c>
      <c r="AM40" s="476">
        <v>0</v>
      </c>
      <c r="AN40" s="476">
        <v>0</v>
      </c>
      <c r="AO40" s="476">
        <v>0</v>
      </c>
      <c r="AP40" s="476">
        <v>0</v>
      </c>
      <c r="AQ40" s="476">
        <v>0</v>
      </c>
      <c r="AR40" s="476">
        <v>0</v>
      </c>
      <c r="AS40" s="476">
        <v>0</v>
      </c>
      <c r="AT40" s="476">
        <v>0</v>
      </c>
      <c r="AU40" s="476">
        <v>0</v>
      </c>
      <c r="AV40" s="476">
        <v>0</v>
      </c>
      <c r="AW40" s="476">
        <v>4974990</v>
      </c>
      <c r="AX40" s="476">
        <v>4903812</v>
      </c>
      <c r="AY40" s="476">
        <v>0</v>
      </c>
      <c r="AZ40" s="476">
        <v>179572</v>
      </c>
      <c r="BA40" s="476">
        <v>14.667</v>
      </c>
      <c r="BB40" s="476">
        <v>0</v>
      </c>
      <c r="BC40" s="476">
        <v>0</v>
      </c>
      <c r="BD40" s="476">
        <v>0</v>
      </c>
      <c r="BE40" s="476">
        <v>0</v>
      </c>
      <c r="BF40" s="476">
        <v>4285434</v>
      </c>
      <c r="BG40" s="476">
        <v>0</v>
      </c>
      <c r="BH40" s="476">
        <v>0</v>
      </c>
      <c r="BI40" s="476">
        <v>0</v>
      </c>
      <c r="BJ40" s="476">
        <v>12</v>
      </c>
      <c r="BK40" s="476">
        <v>0</v>
      </c>
      <c r="BL40" s="476">
        <v>0</v>
      </c>
      <c r="BM40" s="476">
        <v>0</v>
      </c>
      <c r="BN40" s="476">
        <v>0</v>
      </c>
      <c r="BO40" s="476">
        <v>0</v>
      </c>
      <c r="BP40" s="476">
        <v>0</v>
      </c>
      <c r="BQ40" s="476">
        <v>707</v>
      </c>
      <c r="BR40" s="476">
        <v>0</v>
      </c>
      <c r="BS40" s="476">
        <v>0</v>
      </c>
      <c r="BT40" s="476">
        <v>0</v>
      </c>
      <c r="BU40" s="476">
        <v>0</v>
      </c>
      <c r="BV40" s="476">
        <v>0</v>
      </c>
      <c r="BW40" s="476">
        <v>0</v>
      </c>
      <c r="BX40" s="476">
        <v>0</v>
      </c>
      <c r="BY40" s="476">
        <v>0</v>
      </c>
      <c r="BZ40" s="476">
        <v>0</v>
      </c>
      <c r="CA40" s="476">
        <v>0</v>
      </c>
      <c r="CB40" s="476">
        <v>0</v>
      </c>
      <c r="CC40" s="476">
        <v>0</v>
      </c>
      <c r="CD40" s="476">
        <v>0</v>
      </c>
      <c r="CE40" s="476">
        <v>0</v>
      </c>
      <c r="CF40" s="476">
        <v>0</v>
      </c>
      <c r="CG40" s="476">
        <v>0</v>
      </c>
      <c r="CH40" s="476">
        <v>73068</v>
      </c>
      <c r="CI40" s="476">
        <v>0</v>
      </c>
      <c r="CJ40" s="476">
        <v>4</v>
      </c>
      <c r="CK40" s="476">
        <v>0</v>
      </c>
      <c r="CL40" s="476">
        <v>0</v>
      </c>
      <c r="CM40" s="476">
        <v>0</v>
      </c>
      <c r="CN40" s="476">
        <v>0</v>
      </c>
      <c r="CO40" s="476">
        <v>1</v>
      </c>
      <c r="CP40" s="476">
        <v>0</v>
      </c>
      <c r="CQ40" s="476">
        <v>0</v>
      </c>
      <c r="CR40" s="476">
        <v>432.80200000000002</v>
      </c>
      <c r="CS40" s="476">
        <v>0</v>
      </c>
      <c r="CT40" s="476">
        <v>0</v>
      </c>
      <c r="CU40" s="476">
        <v>0</v>
      </c>
      <c r="CV40" s="476">
        <v>0</v>
      </c>
      <c r="CW40" s="476">
        <v>0</v>
      </c>
      <c r="CX40" s="476">
        <v>0</v>
      </c>
      <c r="CY40" s="476">
        <v>0</v>
      </c>
      <c r="CZ40" s="476">
        <v>0</v>
      </c>
      <c r="DA40" s="476">
        <v>0</v>
      </c>
      <c r="DB40" s="476">
        <v>2500527</v>
      </c>
      <c r="DC40" s="476">
        <v>0</v>
      </c>
      <c r="DD40" s="476">
        <v>0</v>
      </c>
      <c r="DE40" s="476">
        <v>632464</v>
      </c>
      <c r="DF40" s="476">
        <v>632464</v>
      </c>
      <c r="DG40" s="476">
        <v>102.67500000000001</v>
      </c>
      <c r="DH40" s="476">
        <v>0</v>
      </c>
      <c r="DI40" s="476">
        <v>0</v>
      </c>
      <c r="DJ40" s="476">
        <v>0</v>
      </c>
      <c r="DK40" s="476">
        <v>2942</v>
      </c>
      <c r="DL40" s="476">
        <v>0</v>
      </c>
      <c r="DM40" s="476">
        <v>549719</v>
      </c>
      <c r="DN40" s="476">
        <v>1890</v>
      </c>
      <c r="DO40" s="476">
        <v>0</v>
      </c>
      <c r="DP40" s="476">
        <v>0</v>
      </c>
      <c r="DQ40" s="476">
        <v>0</v>
      </c>
      <c r="DR40" s="476">
        <v>0</v>
      </c>
      <c r="DS40" s="476">
        <v>0</v>
      </c>
      <c r="DT40" s="476">
        <v>0</v>
      </c>
      <c r="DU40" s="476">
        <v>0</v>
      </c>
      <c r="DV40" s="476">
        <v>0</v>
      </c>
      <c r="DW40" s="476">
        <v>0</v>
      </c>
      <c r="DX40" s="476">
        <v>0</v>
      </c>
      <c r="DY40" s="476">
        <v>0</v>
      </c>
      <c r="DZ40" s="476">
        <v>0</v>
      </c>
      <c r="EA40" s="476">
        <v>0</v>
      </c>
      <c r="EB40" s="476">
        <v>0</v>
      </c>
      <c r="EC40" s="476">
        <v>5.9130000000000003</v>
      </c>
      <c r="ED40" s="476">
        <v>41887</v>
      </c>
      <c r="EE40" s="476">
        <v>0</v>
      </c>
      <c r="EF40" s="476">
        <v>0</v>
      </c>
      <c r="EG40" s="476">
        <v>0</v>
      </c>
      <c r="EH40" s="476">
        <v>509722</v>
      </c>
      <c r="EI40" s="476">
        <v>0</v>
      </c>
      <c r="EJ40" s="476">
        <v>0</v>
      </c>
      <c r="EK40" s="476">
        <v>25.195</v>
      </c>
      <c r="EL40" s="476">
        <v>0</v>
      </c>
      <c r="EM40" s="476">
        <v>0.58800000000000008</v>
      </c>
      <c r="EN40" s="476">
        <v>1.08</v>
      </c>
      <c r="EO40" s="476">
        <v>0</v>
      </c>
      <c r="EP40" s="476">
        <v>0</v>
      </c>
      <c r="EQ40" s="476">
        <v>26.863</v>
      </c>
      <c r="ER40" s="476">
        <v>0</v>
      </c>
      <c r="ES40" s="476">
        <v>82.749000000000009</v>
      </c>
      <c r="ET40" s="476">
        <v>0</v>
      </c>
      <c r="EU40" s="476">
        <v>0</v>
      </c>
      <c r="EV40" s="476">
        <v>0</v>
      </c>
      <c r="EW40" s="476">
        <v>0</v>
      </c>
      <c r="EX40" s="476">
        <v>0</v>
      </c>
      <c r="EY40" s="476">
        <v>0</v>
      </c>
      <c r="EZ40" s="476">
        <v>4258074</v>
      </c>
      <c r="FA40" s="476">
        <v>0</v>
      </c>
      <c r="FB40" s="476">
        <v>4435756</v>
      </c>
      <c r="FC40" s="476">
        <v>0</v>
      </c>
      <c r="FD40" s="476">
        <v>0</v>
      </c>
      <c r="FE40" s="476">
        <v>553328</v>
      </c>
      <c r="FF40" s="476">
        <v>92410</v>
      </c>
      <c r="FG40" s="476">
        <v>6.3017999999999991E-2</v>
      </c>
      <c r="FH40" s="476">
        <v>2.6953999999999999E-2</v>
      </c>
      <c r="FI40" s="476">
        <v>0</v>
      </c>
      <c r="FJ40" s="476">
        <v>0</v>
      </c>
      <c r="FK40" s="476">
        <v>695.70300000000009</v>
      </c>
      <c r="FL40" s="476">
        <v>5154562</v>
      </c>
      <c r="FM40" s="476">
        <v>0</v>
      </c>
      <c r="FN40" s="476">
        <v>0</v>
      </c>
      <c r="FO40" s="476">
        <v>150480</v>
      </c>
      <c r="FP40" s="476">
        <v>0</v>
      </c>
      <c r="FQ40" s="476">
        <v>150480</v>
      </c>
      <c r="FR40" s="476">
        <v>150480</v>
      </c>
      <c r="FS40" s="476">
        <v>0</v>
      </c>
      <c r="FT40" s="476">
        <v>0</v>
      </c>
      <c r="FU40" s="476">
        <v>0</v>
      </c>
      <c r="FV40" s="476">
        <v>0</v>
      </c>
      <c r="FW40" s="476">
        <v>0</v>
      </c>
      <c r="FX40" s="476">
        <v>0</v>
      </c>
      <c r="FY40" s="476">
        <v>0</v>
      </c>
      <c r="FZ40" s="476">
        <v>0</v>
      </c>
      <c r="GA40" s="476">
        <v>0</v>
      </c>
      <c r="GB40" s="476">
        <v>0</v>
      </c>
      <c r="GC40" s="476">
        <v>0</v>
      </c>
      <c r="GD40" s="476">
        <v>0</v>
      </c>
      <c r="GE40" s="476">
        <v>0</v>
      </c>
      <c r="GF40" s="476">
        <v>0</v>
      </c>
      <c r="GG40" s="476">
        <v>0</v>
      </c>
      <c r="GH40" s="476">
        <v>0</v>
      </c>
      <c r="GI40" s="476">
        <v>0</v>
      </c>
      <c r="GJ40" s="476">
        <v>0</v>
      </c>
      <c r="GK40" s="476">
        <v>0</v>
      </c>
      <c r="GL40" s="476">
        <v>0</v>
      </c>
      <c r="GM40" s="476">
        <v>0</v>
      </c>
      <c r="GN40" s="476">
        <v>0</v>
      </c>
      <c r="GO40" s="476">
        <v>0</v>
      </c>
      <c r="GP40" s="476">
        <v>0</v>
      </c>
      <c r="GQ40" s="476">
        <v>4901922</v>
      </c>
      <c r="GR40" s="476">
        <v>0</v>
      </c>
      <c r="GS40" s="476">
        <v>0</v>
      </c>
      <c r="GT40" s="476">
        <v>0</v>
      </c>
      <c r="GU40" s="476">
        <v>0</v>
      </c>
      <c r="GV40" s="476">
        <v>0</v>
      </c>
      <c r="GW40" s="476">
        <v>0</v>
      </c>
      <c r="GX40" s="476">
        <v>0</v>
      </c>
      <c r="GY40" s="476">
        <v>0</v>
      </c>
      <c r="GZ40" s="476">
        <v>0</v>
      </c>
      <c r="HA40" s="476">
        <v>0</v>
      </c>
      <c r="HB40" s="476">
        <v>323396213</v>
      </c>
      <c r="HC40" s="476">
        <v>4.2206E-2</v>
      </c>
      <c r="HD40" s="476">
        <v>73068</v>
      </c>
      <c r="HE40" s="476">
        <v>0</v>
      </c>
      <c r="HF40" s="476">
        <v>447345</v>
      </c>
      <c r="HG40" s="476">
        <v>17248</v>
      </c>
      <c r="HH40" s="476">
        <v>66871</v>
      </c>
      <c r="HI40" s="476">
        <v>0</v>
      </c>
      <c r="HJ40" s="476">
        <v>4328</v>
      </c>
      <c r="HK40" s="476">
        <v>1721</v>
      </c>
      <c r="HL40" s="476">
        <v>11</v>
      </c>
      <c r="HM40" s="476">
        <v>0</v>
      </c>
      <c r="HN40" s="476">
        <v>0</v>
      </c>
      <c r="HO40" s="476">
        <v>0</v>
      </c>
      <c r="HP40" s="476">
        <v>0</v>
      </c>
      <c r="HQ40" s="476">
        <v>0</v>
      </c>
      <c r="HR40" s="476">
        <v>0</v>
      </c>
      <c r="HS40" s="476">
        <v>4256184</v>
      </c>
      <c r="HT40" s="476">
        <v>92410</v>
      </c>
      <c r="HU40" s="476">
        <v>0</v>
      </c>
      <c r="HV40" s="476">
        <v>0</v>
      </c>
      <c r="HW40" s="476">
        <v>0</v>
      </c>
      <c r="HX40" s="476">
        <v>11</v>
      </c>
      <c r="HY40" s="476">
        <v>67</v>
      </c>
      <c r="HZ40" s="476">
        <v>53</v>
      </c>
      <c r="IA40" s="476">
        <v>81</v>
      </c>
      <c r="IB40" s="476">
        <v>181</v>
      </c>
      <c r="IC40" s="476">
        <v>393</v>
      </c>
      <c r="ID40" s="476">
        <v>0</v>
      </c>
      <c r="IE40" s="476">
        <v>0</v>
      </c>
      <c r="IF40" s="476">
        <v>0</v>
      </c>
      <c r="IG40" s="476">
        <v>28</v>
      </c>
      <c r="IH40" s="476">
        <v>108.56</v>
      </c>
      <c r="II40" s="476">
        <v>0</v>
      </c>
      <c r="IJ40" s="476">
        <v>105.59</v>
      </c>
      <c r="IK40" s="476">
        <v>0</v>
      </c>
      <c r="IL40" s="476">
        <v>0</v>
      </c>
      <c r="IM40" s="476">
        <v>0</v>
      </c>
      <c r="IN40" s="476">
        <v>0</v>
      </c>
      <c r="IO40" s="476">
        <v>0</v>
      </c>
      <c r="IP40" s="476">
        <v>0</v>
      </c>
      <c r="IQ40" s="476">
        <v>105.59</v>
      </c>
      <c r="IR40" s="476">
        <v>65042</v>
      </c>
      <c r="IS40" s="476">
        <v>0</v>
      </c>
      <c r="IT40" s="476">
        <v>0</v>
      </c>
      <c r="IU40" s="476">
        <v>0</v>
      </c>
      <c r="IV40" s="476">
        <v>0</v>
      </c>
      <c r="IW40" s="476">
        <v>6160</v>
      </c>
      <c r="IX40" s="476">
        <v>0</v>
      </c>
      <c r="IY40" s="476">
        <v>0</v>
      </c>
      <c r="IZ40" s="476">
        <v>0</v>
      </c>
      <c r="JA40" s="476">
        <v>0</v>
      </c>
      <c r="JB40" s="476">
        <v>0</v>
      </c>
      <c r="JC40" s="476">
        <v>0</v>
      </c>
      <c r="JD40" s="476">
        <v>0</v>
      </c>
      <c r="JE40" s="476">
        <v>0</v>
      </c>
      <c r="JF40" s="476">
        <v>0</v>
      </c>
      <c r="JG40" s="476">
        <v>0</v>
      </c>
      <c r="JH40" s="476">
        <v>0</v>
      </c>
      <c r="JI40" s="476">
        <v>0</v>
      </c>
      <c r="JJ40" s="476">
        <v>0</v>
      </c>
      <c r="JK40" s="476">
        <v>0</v>
      </c>
      <c r="JL40" s="476">
        <v>0</v>
      </c>
      <c r="JM40" s="476">
        <v>0</v>
      </c>
      <c r="JN40" s="476">
        <v>32469</v>
      </c>
      <c r="JO40" s="476">
        <v>0</v>
      </c>
      <c r="JP40" s="476">
        <v>0</v>
      </c>
      <c r="JQ40" s="476">
        <v>0</v>
      </c>
      <c r="JR40" s="476">
        <v>0</v>
      </c>
      <c r="JS40" s="476">
        <v>0</v>
      </c>
      <c r="JT40" s="476">
        <v>0</v>
      </c>
      <c r="JU40" s="476">
        <v>0</v>
      </c>
      <c r="JV40" s="476">
        <v>0</v>
      </c>
      <c r="JW40" s="476">
        <v>0</v>
      </c>
      <c r="JX40" s="476">
        <v>0</v>
      </c>
      <c r="JY40" s="476">
        <v>0</v>
      </c>
      <c r="JZ40" s="476">
        <v>0</v>
      </c>
      <c r="KA40" s="476">
        <v>0</v>
      </c>
      <c r="KB40" s="476">
        <v>0</v>
      </c>
      <c r="KC40" s="476">
        <v>0</v>
      </c>
      <c r="KD40" s="476">
        <v>0</v>
      </c>
      <c r="KE40" s="476">
        <v>7262</v>
      </c>
      <c r="KF40" s="476">
        <v>0</v>
      </c>
      <c r="KG40" s="476">
        <v>0</v>
      </c>
      <c r="KH40" s="476">
        <v>4901922</v>
      </c>
      <c r="KI40" s="476">
        <v>0</v>
      </c>
      <c r="KJ40" s="476">
        <v>15</v>
      </c>
      <c r="KK40" s="476">
        <v>13</v>
      </c>
      <c r="KL40" s="476">
        <v>9240</v>
      </c>
      <c r="KM40" s="476">
        <v>8008</v>
      </c>
      <c r="KN40" s="476">
        <v>0</v>
      </c>
    </row>
    <row r="41" spans="1:300" x14ac:dyDescent="0.25">
      <c r="A41" s="476">
        <v>40976</v>
      </c>
      <c r="B41" s="476">
        <v>57803</v>
      </c>
      <c r="C41" s="476">
        <v>9</v>
      </c>
      <c r="D41" s="476">
        <v>2024</v>
      </c>
      <c r="E41" s="476">
        <v>6160</v>
      </c>
      <c r="F41" s="476">
        <v>0</v>
      </c>
      <c r="G41" s="476">
        <v>20657.582999999999</v>
      </c>
      <c r="H41" s="476">
        <v>18524.420000000002</v>
      </c>
      <c r="I41" s="476">
        <v>18524.420000000002</v>
      </c>
      <c r="J41" s="476">
        <v>20657.582999999999</v>
      </c>
      <c r="K41" s="476">
        <v>0</v>
      </c>
      <c r="L41" s="476">
        <v>6160</v>
      </c>
      <c r="M41" s="476">
        <v>0</v>
      </c>
      <c r="N41" s="476">
        <v>0</v>
      </c>
      <c r="O41" s="476">
        <v>0</v>
      </c>
      <c r="P41" s="476">
        <v>20706.988000000001</v>
      </c>
      <c r="Q41" s="476">
        <v>0</v>
      </c>
      <c r="R41" s="476">
        <v>8590998</v>
      </c>
      <c r="S41" s="476">
        <v>414.88400000000001</v>
      </c>
      <c r="T41" s="476">
        <v>0</v>
      </c>
      <c r="U41" s="476">
        <v>0</v>
      </c>
      <c r="V41" s="476">
        <v>6580.79</v>
      </c>
      <c r="W41" s="476">
        <v>4053675</v>
      </c>
      <c r="X41" s="476">
        <v>4053675</v>
      </c>
      <c r="Y41" s="476">
        <v>0</v>
      </c>
      <c r="Z41" s="476">
        <v>0</v>
      </c>
      <c r="AA41" s="476">
        <v>0</v>
      </c>
      <c r="AB41" s="476">
        <v>0</v>
      </c>
      <c r="AC41" s="476">
        <v>0</v>
      </c>
      <c r="AD41" s="476" t="s">
        <v>314</v>
      </c>
      <c r="AE41" s="476">
        <v>0</v>
      </c>
      <c r="AF41" s="476">
        <v>0</v>
      </c>
      <c r="AG41" s="476">
        <v>0</v>
      </c>
      <c r="AH41" s="476">
        <v>0</v>
      </c>
      <c r="AI41" s="476">
        <v>0</v>
      </c>
      <c r="AJ41" s="476">
        <v>6160</v>
      </c>
      <c r="AK41" s="476" t="s">
        <v>651</v>
      </c>
      <c r="AL41" s="476" t="s">
        <v>381</v>
      </c>
      <c r="AM41" s="476">
        <v>0</v>
      </c>
      <c r="AN41" s="476">
        <v>0</v>
      </c>
      <c r="AO41" s="476">
        <v>0</v>
      </c>
      <c r="AP41" s="476">
        <v>0</v>
      </c>
      <c r="AQ41" s="476">
        <v>0</v>
      </c>
      <c r="AR41" s="476">
        <v>0</v>
      </c>
      <c r="AS41" s="476">
        <v>0</v>
      </c>
      <c r="AT41" s="476">
        <v>0</v>
      </c>
      <c r="AU41" s="476">
        <v>0</v>
      </c>
      <c r="AV41" s="476">
        <v>0</v>
      </c>
      <c r="AW41" s="476">
        <v>229087493</v>
      </c>
      <c r="AX41" s="476">
        <v>225649768</v>
      </c>
      <c r="AY41" s="476">
        <v>0</v>
      </c>
      <c r="AZ41" s="476">
        <v>8590998</v>
      </c>
      <c r="BA41" s="476">
        <v>345.91700000000003</v>
      </c>
      <c r="BB41" s="476">
        <v>0</v>
      </c>
      <c r="BC41" s="476">
        <v>0</v>
      </c>
      <c r="BD41" s="476">
        <v>0</v>
      </c>
      <c r="BE41" s="476">
        <v>0</v>
      </c>
      <c r="BF41" s="476">
        <v>203496403</v>
      </c>
      <c r="BG41" s="476">
        <v>0</v>
      </c>
      <c r="BH41" s="476">
        <v>0</v>
      </c>
      <c r="BI41" s="476">
        <v>0</v>
      </c>
      <c r="BJ41" s="476">
        <v>12</v>
      </c>
      <c r="BK41" s="476">
        <v>0</v>
      </c>
      <c r="BL41" s="476">
        <v>0</v>
      </c>
      <c r="BM41" s="476">
        <v>0</v>
      </c>
      <c r="BN41" s="476">
        <v>0</v>
      </c>
      <c r="BO41" s="476">
        <v>0</v>
      </c>
      <c r="BP41" s="476">
        <v>0</v>
      </c>
      <c r="BQ41" s="476">
        <v>0</v>
      </c>
      <c r="BR41" s="476">
        <v>0</v>
      </c>
      <c r="BS41" s="476">
        <v>0</v>
      </c>
      <c r="BT41" s="476">
        <v>0</v>
      </c>
      <c r="BU41" s="476">
        <v>0</v>
      </c>
      <c r="BV41" s="476">
        <v>0</v>
      </c>
      <c r="BW41" s="476">
        <v>0</v>
      </c>
      <c r="BX41" s="476">
        <v>0</v>
      </c>
      <c r="BY41" s="476">
        <v>0</v>
      </c>
      <c r="BZ41" s="476">
        <v>0</v>
      </c>
      <c r="CA41" s="476">
        <v>0</v>
      </c>
      <c r="CB41" s="476">
        <v>0</v>
      </c>
      <c r="CC41" s="476">
        <v>0</v>
      </c>
      <c r="CD41" s="476">
        <v>0</v>
      </c>
      <c r="CE41" s="476">
        <v>0</v>
      </c>
      <c r="CF41" s="476">
        <v>0</v>
      </c>
      <c r="CG41" s="476">
        <v>0</v>
      </c>
      <c r="CH41" s="476">
        <v>3487521</v>
      </c>
      <c r="CI41" s="476">
        <v>0</v>
      </c>
      <c r="CJ41" s="476">
        <v>4</v>
      </c>
      <c r="CK41" s="476">
        <v>0</v>
      </c>
      <c r="CL41" s="476">
        <v>0</v>
      </c>
      <c r="CM41" s="476">
        <v>0</v>
      </c>
      <c r="CN41" s="476">
        <v>0</v>
      </c>
      <c r="CO41" s="476">
        <v>1</v>
      </c>
      <c r="CP41" s="476">
        <v>0</v>
      </c>
      <c r="CQ41" s="476">
        <v>2.6670000000000003</v>
      </c>
      <c r="CR41" s="476">
        <v>20657.582999999999</v>
      </c>
      <c r="CS41" s="476">
        <v>0</v>
      </c>
      <c r="CT41" s="476">
        <v>0</v>
      </c>
      <c r="CU41" s="476">
        <v>0</v>
      </c>
      <c r="CV41" s="476">
        <v>0</v>
      </c>
      <c r="CW41" s="476">
        <v>0</v>
      </c>
      <c r="CX41" s="476">
        <v>0</v>
      </c>
      <c r="CY41" s="476">
        <v>0</v>
      </c>
      <c r="CZ41" s="476">
        <v>0</v>
      </c>
      <c r="DA41" s="476">
        <v>0</v>
      </c>
      <c r="DB41" s="476">
        <v>114107837</v>
      </c>
      <c r="DC41" s="476">
        <v>0</v>
      </c>
      <c r="DD41" s="476">
        <v>0</v>
      </c>
      <c r="DE41" s="476">
        <v>30189629</v>
      </c>
      <c r="DF41" s="476">
        <v>30189629</v>
      </c>
      <c r="DG41" s="476">
        <v>4901.0250000000005</v>
      </c>
      <c r="DH41" s="476">
        <v>0</v>
      </c>
      <c r="DI41" s="476">
        <v>0</v>
      </c>
      <c r="DJ41" s="476">
        <v>0</v>
      </c>
      <c r="DK41" s="476">
        <v>0</v>
      </c>
      <c r="DL41" s="476">
        <v>0</v>
      </c>
      <c r="DM41" s="476">
        <v>14483969</v>
      </c>
      <c r="DN41" s="476">
        <v>49796</v>
      </c>
      <c r="DO41" s="476">
        <v>0</v>
      </c>
      <c r="DP41" s="476">
        <v>0</v>
      </c>
      <c r="DQ41" s="476">
        <v>0</v>
      </c>
      <c r="DR41" s="476">
        <v>0</v>
      </c>
      <c r="DS41" s="476">
        <v>0</v>
      </c>
      <c r="DT41" s="476">
        <v>0</v>
      </c>
      <c r="DU41" s="476">
        <v>0</v>
      </c>
      <c r="DV41" s="476">
        <v>0</v>
      </c>
      <c r="DW41" s="476">
        <v>0</v>
      </c>
      <c r="DX41" s="476">
        <v>0</v>
      </c>
      <c r="DY41" s="476">
        <v>0</v>
      </c>
      <c r="DZ41" s="476">
        <v>0</v>
      </c>
      <c r="EA41" s="476">
        <v>0.60699999999999998</v>
      </c>
      <c r="EB41" s="476">
        <v>0</v>
      </c>
      <c r="EC41" s="476">
        <v>257.33</v>
      </c>
      <c r="ED41" s="476">
        <v>1822884</v>
      </c>
      <c r="EE41" s="476">
        <v>0</v>
      </c>
      <c r="EF41" s="476">
        <v>0</v>
      </c>
      <c r="EG41" s="476">
        <v>0</v>
      </c>
      <c r="EH41" s="476">
        <v>12710881</v>
      </c>
      <c r="EI41" s="476">
        <v>0</v>
      </c>
      <c r="EJ41" s="476">
        <v>0</v>
      </c>
      <c r="EK41" s="476">
        <v>483.7</v>
      </c>
      <c r="EL41" s="476">
        <v>0.24</v>
      </c>
      <c r="EM41" s="476">
        <v>136.642</v>
      </c>
      <c r="EN41" s="476">
        <v>39.757000000000005</v>
      </c>
      <c r="EO41" s="476">
        <v>0</v>
      </c>
      <c r="EP41" s="476">
        <v>0</v>
      </c>
      <c r="EQ41" s="476">
        <v>660.99099999999999</v>
      </c>
      <c r="ER41" s="476">
        <v>0.28500000000000003</v>
      </c>
      <c r="ES41" s="476">
        <v>2063.502</v>
      </c>
      <c r="ET41" s="476">
        <v>0</v>
      </c>
      <c r="EU41" s="476">
        <v>0</v>
      </c>
      <c r="EV41" s="476">
        <v>0</v>
      </c>
      <c r="EW41" s="476">
        <v>0</v>
      </c>
      <c r="EX41" s="476">
        <v>0</v>
      </c>
      <c r="EY41" s="476">
        <v>0</v>
      </c>
      <c r="EZ41" s="476">
        <v>194986542</v>
      </c>
      <c r="FA41" s="476">
        <v>0</v>
      </c>
      <c r="FB41" s="476">
        <v>203527744</v>
      </c>
      <c r="FC41" s="476">
        <v>0</v>
      </c>
      <c r="FD41" s="476">
        <v>0</v>
      </c>
      <c r="FE41" s="476">
        <v>26275093</v>
      </c>
      <c r="FF41" s="476">
        <v>4388133</v>
      </c>
      <c r="FG41" s="476">
        <v>6.3017999999999991E-2</v>
      </c>
      <c r="FH41" s="476">
        <v>2.6953999999999999E-2</v>
      </c>
      <c r="FI41" s="476">
        <v>0</v>
      </c>
      <c r="FJ41" s="476">
        <v>0</v>
      </c>
      <c r="FK41" s="476">
        <v>33035.879999999997</v>
      </c>
      <c r="FL41" s="476">
        <v>237678491</v>
      </c>
      <c r="FM41" s="476">
        <v>0</v>
      </c>
      <c r="FN41" s="476">
        <v>0</v>
      </c>
      <c r="FO41" s="476">
        <v>0</v>
      </c>
      <c r="FP41" s="476">
        <v>0</v>
      </c>
      <c r="FQ41" s="476">
        <v>0</v>
      </c>
      <c r="FR41" s="476">
        <v>0</v>
      </c>
      <c r="FS41" s="476">
        <v>0</v>
      </c>
      <c r="FT41" s="476">
        <v>0</v>
      </c>
      <c r="FU41" s="476">
        <v>1</v>
      </c>
      <c r="FV41" s="476">
        <v>0</v>
      </c>
      <c r="FW41" s="476">
        <v>0</v>
      </c>
      <c r="FX41" s="476">
        <v>0</v>
      </c>
      <c r="FY41" s="476">
        <v>0</v>
      </c>
      <c r="FZ41" s="476">
        <v>0</v>
      </c>
      <c r="GA41" s="476">
        <v>0</v>
      </c>
      <c r="GB41" s="476">
        <v>13901901</v>
      </c>
      <c r="GC41" s="476">
        <v>13901901</v>
      </c>
      <c r="GD41" s="476">
        <v>1472.172</v>
      </c>
      <c r="GE41" s="476">
        <v>0</v>
      </c>
      <c r="GF41" s="476">
        <v>0</v>
      </c>
      <c r="GG41" s="476">
        <v>0</v>
      </c>
      <c r="GH41" s="476">
        <v>0</v>
      </c>
      <c r="GI41" s="476">
        <v>0</v>
      </c>
      <c r="GJ41" s="476">
        <v>0</v>
      </c>
      <c r="GK41" s="476">
        <v>0</v>
      </c>
      <c r="GL41" s="476">
        <v>0</v>
      </c>
      <c r="GM41" s="476">
        <v>0</v>
      </c>
      <c r="GN41" s="476">
        <v>0</v>
      </c>
      <c r="GO41" s="476">
        <v>0</v>
      </c>
      <c r="GP41" s="476">
        <v>0</v>
      </c>
      <c r="GQ41" s="476">
        <v>225599972</v>
      </c>
      <c r="GR41" s="476">
        <v>0</v>
      </c>
      <c r="GS41" s="476">
        <v>0</v>
      </c>
      <c r="GT41" s="476">
        <v>0</v>
      </c>
      <c r="GU41" s="476">
        <v>0</v>
      </c>
      <c r="GV41" s="476">
        <v>0</v>
      </c>
      <c r="GW41" s="476">
        <v>0</v>
      </c>
      <c r="GX41" s="476">
        <v>0</v>
      </c>
      <c r="GY41" s="476">
        <v>0</v>
      </c>
      <c r="GZ41" s="476">
        <v>0</v>
      </c>
      <c r="HA41" s="476">
        <v>0</v>
      </c>
      <c r="HB41" s="476">
        <v>323396213</v>
      </c>
      <c r="HC41" s="476">
        <v>4.2206E-2</v>
      </c>
      <c r="HD41" s="476">
        <v>3487521</v>
      </c>
      <c r="HE41" s="476">
        <v>0</v>
      </c>
      <c r="HF41" s="476">
        <v>20413911</v>
      </c>
      <c r="HG41" s="476">
        <v>260562</v>
      </c>
      <c r="HH41" s="476">
        <v>4110995</v>
      </c>
      <c r="HI41" s="476">
        <v>0</v>
      </c>
      <c r="HJ41" s="476">
        <v>206576</v>
      </c>
      <c r="HK41" s="476">
        <v>59117</v>
      </c>
      <c r="HL41" s="476">
        <v>22020</v>
      </c>
      <c r="HM41" s="476">
        <v>416000</v>
      </c>
      <c r="HN41" s="476">
        <v>1301552</v>
      </c>
      <c r="HO41" s="476">
        <v>0</v>
      </c>
      <c r="HP41" s="476">
        <v>0</v>
      </c>
      <c r="HQ41" s="476">
        <v>0</v>
      </c>
      <c r="HR41" s="476">
        <v>0</v>
      </c>
      <c r="HS41" s="476">
        <v>194936746</v>
      </c>
      <c r="HT41" s="476">
        <v>4388133</v>
      </c>
      <c r="HU41" s="476">
        <v>0</v>
      </c>
      <c r="HV41" s="476">
        <v>0</v>
      </c>
      <c r="HW41" s="476">
        <v>0</v>
      </c>
      <c r="HX41" s="476">
        <v>1311</v>
      </c>
      <c r="HY41" s="476">
        <v>2307</v>
      </c>
      <c r="HZ41" s="476">
        <v>3716</v>
      </c>
      <c r="IA41" s="476">
        <v>5507</v>
      </c>
      <c r="IB41" s="476">
        <v>6122</v>
      </c>
      <c r="IC41" s="476">
        <v>18963</v>
      </c>
      <c r="ID41" s="476">
        <v>0</v>
      </c>
      <c r="IE41" s="476">
        <v>0</v>
      </c>
      <c r="IF41" s="476">
        <v>0</v>
      </c>
      <c r="IG41" s="476">
        <v>423</v>
      </c>
      <c r="IH41" s="476">
        <v>6673.8450000000003</v>
      </c>
      <c r="II41" s="476">
        <v>0</v>
      </c>
      <c r="IJ41" s="476">
        <v>6580.79</v>
      </c>
      <c r="IK41" s="476">
        <v>0</v>
      </c>
      <c r="IL41" s="476">
        <v>47</v>
      </c>
      <c r="IM41" s="476">
        <v>59</v>
      </c>
      <c r="IN41" s="476">
        <v>2</v>
      </c>
      <c r="IO41" s="476">
        <v>108</v>
      </c>
      <c r="IP41" s="476">
        <v>0</v>
      </c>
      <c r="IQ41" s="476">
        <v>6580.79</v>
      </c>
      <c r="IR41" s="476">
        <v>4053675</v>
      </c>
      <c r="IS41" s="476">
        <v>0</v>
      </c>
      <c r="IT41" s="476">
        <v>235000</v>
      </c>
      <c r="IU41" s="476">
        <v>177000</v>
      </c>
      <c r="IV41" s="476">
        <v>4000</v>
      </c>
      <c r="IW41" s="476">
        <v>6160</v>
      </c>
      <c r="IX41" s="476">
        <v>0</v>
      </c>
      <c r="IY41" s="476">
        <v>0</v>
      </c>
      <c r="IZ41" s="476">
        <v>0</v>
      </c>
      <c r="JA41" s="476">
        <v>0</v>
      </c>
      <c r="JB41" s="476">
        <v>19</v>
      </c>
      <c r="JC41" s="476">
        <v>322474</v>
      </c>
      <c r="JD41" s="476">
        <v>52</v>
      </c>
      <c r="JE41" s="476">
        <v>577041</v>
      </c>
      <c r="JF41" s="476">
        <v>69</v>
      </c>
      <c r="JG41" s="476">
        <v>390362</v>
      </c>
      <c r="JH41" s="476">
        <v>11675</v>
      </c>
      <c r="JI41" s="476">
        <v>0</v>
      </c>
      <c r="JJ41" s="476">
        <v>0</v>
      </c>
      <c r="JK41" s="476">
        <v>0</v>
      </c>
      <c r="JL41" s="476">
        <v>0</v>
      </c>
      <c r="JM41" s="476">
        <v>0</v>
      </c>
      <c r="JN41" s="476">
        <v>40371</v>
      </c>
      <c r="JO41" s="476">
        <v>194.46200000000002</v>
      </c>
      <c r="JP41" s="476">
        <v>935.82600000000002</v>
      </c>
      <c r="JQ41" s="476">
        <v>341.88400000000001</v>
      </c>
      <c r="JR41" s="476">
        <v>1553401</v>
      </c>
      <c r="JS41" s="476">
        <v>8698840</v>
      </c>
      <c r="JT41" s="476">
        <v>3649660</v>
      </c>
      <c r="JU41" s="476">
        <v>0</v>
      </c>
      <c r="JV41" s="476">
        <v>0</v>
      </c>
      <c r="JW41" s="476">
        <v>0</v>
      </c>
      <c r="JX41" s="476">
        <v>0</v>
      </c>
      <c r="JY41" s="476">
        <v>0</v>
      </c>
      <c r="JZ41" s="476">
        <v>0</v>
      </c>
      <c r="KA41" s="476">
        <v>0</v>
      </c>
      <c r="KB41" s="476">
        <v>0</v>
      </c>
      <c r="KC41" s="476">
        <v>0</v>
      </c>
      <c r="KD41" s="476">
        <v>0</v>
      </c>
      <c r="KE41" s="476">
        <v>7262</v>
      </c>
      <c r="KF41" s="476">
        <v>0</v>
      </c>
      <c r="KG41" s="476">
        <v>0</v>
      </c>
      <c r="KH41" s="476">
        <v>225599972</v>
      </c>
      <c r="KI41" s="476">
        <v>0</v>
      </c>
      <c r="KJ41" s="476">
        <v>223</v>
      </c>
      <c r="KK41" s="476">
        <v>200</v>
      </c>
      <c r="KL41" s="476">
        <v>137365</v>
      </c>
      <c r="KM41" s="476">
        <v>123197</v>
      </c>
      <c r="KN41" s="476">
        <v>0</v>
      </c>
    </row>
    <row r="42" spans="1:300" x14ac:dyDescent="0.25">
      <c r="A42" s="476">
        <v>40976</v>
      </c>
      <c r="B42" s="476">
        <v>57804</v>
      </c>
      <c r="C42" s="476">
        <v>9</v>
      </c>
      <c r="D42" s="476">
        <v>2024</v>
      </c>
      <c r="E42" s="476">
        <v>6160</v>
      </c>
      <c r="F42" s="476">
        <v>0</v>
      </c>
      <c r="G42" s="476">
        <v>2704.5030000000002</v>
      </c>
      <c r="H42" s="476">
        <v>2410.3610000000003</v>
      </c>
      <c r="I42" s="476">
        <v>2410.3610000000003</v>
      </c>
      <c r="J42" s="476">
        <v>2704.5030000000002</v>
      </c>
      <c r="K42" s="476">
        <v>0</v>
      </c>
      <c r="L42" s="476">
        <v>6160</v>
      </c>
      <c r="M42" s="476">
        <v>0</v>
      </c>
      <c r="N42" s="476">
        <v>0</v>
      </c>
      <c r="O42" s="476">
        <v>0</v>
      </c>
      <c r="P42" s="476">
        <v>2704.5030000000002</v>
      </c>
      <c r="Q42" s="476">
        <v>0</v>
      </c>
      <c r="R42" s="476">
        <v>1122055</v>
      </c>
      <c r="S42" s="476">
        <v>414.88400000000001</v>
      </c>
      <c r="T42" s="476">
        <v>0</v>
      </c>
      <c r="U42" s="476">
        <v>0</v>
      </c>
      <c r="V42" s="476">
        <v>954.46800000000007</v>
      </c>
      <c r="W42" s="476">
        <v>587939</v>
      </c>
      <c r="X42" s="476">
        <v>587939</v>
      </c>
      <c r="Y42" s="476">
        <v>0</v>
      </c>
      <c r="Z42" s="476">
        <v>0</v>
      </c>
      <c r="AA42" s="476">
        <v>0</v>
      </c>
      <c r="AB42" s="476">
        <v>0</v>
      </c>
      <c r="AC42" s="476">
        <v>0</v>
      </c>
      <c r="AD42" s="476" t="s">
        <v>314</v>
      </c>
      <c r="AE42" s="476">
        <v>0</v>
      </c>
      <c r="AF42" s="476">
        <v>0</v>
      </c>
      <c r="AG42" s="476">
        <v>0</v>
      </c>
      <c r="AH42" s="476">
        <v>0</v>
      </c>
      <c r="AI42" s="476">
        <v>0</v>
      </c>
      <c r="AJ42" s="476">
        <v>6160</v>
      </c>
      <c r="AK42" s="476" t="s">
        <v>651</v>
      </c>
      <c r="AL42" s="476" t="s">
        <v>322</v>
      </c>
      <c r="AM42" s="476">
        <v>0</v>
      </c>
      <c r="AN42" s="476">
        <v>0</v>
      </c>
      <c r="AO42" s="476">
        <v>0</v>
      </c>
      <c r="AP42" s="476">
        <v>0</v>
      </c>
      <c r="AQ42" s="476">
        <v>0</v>
      </c>
      <c r="AR42" s="476">
        <v>0</v>
      </c>
      <c r="AS42" s="476">
        <v>0</v>
      </c>
      <c r="AT42" s="476">
        <v>0</v>
      </c>
      <c r="AU42" s="476">
        <v>0</v>
      </c>
      <c r="AV42" s="476">
        <v>0</v>
      </c>
      <c r="AW42" s="476">
        <v>32534681</v>
      </c>
      <c r="AX42" s="476">
        <v>32086015</v>
      </c>
      <c r="AY42" s="476">
        <v>0</v>
      </c>
      <c r="AZ42" s="476">
        <v>1122055</v>
      </c>
      <c r="BA42" s="476">
        <v>0</v>
      </c>
      <c r="BB42" s="476">
        <v>0</v>
      </c>
      <c r="BC42" s="476">
        <v>0</v>
      </c>
      <c r="BD42" s="476">
        <v>0</v>
      </c>
      <c r="BE42" s="476">
        <v>0</v>
      </c>
      <c r="BF42" s="476">
        <v>27509180</v>
      </c>
      <c r="BG42" s="476">
        <v>0</v>
      </c>
      <c r="BH42" s="476">
        <v>0</v>
      </c>
      <c r="BI42" s="476">
        <v>0</v>
      </c>
      <c r="BJ42" s="476">
        <v>12</v>
      </c>
      <c r="BK42" s="476">
        <v>0</v>
      </c>
      <c r="BL42" s="476">
        <v>0</v>
      </c>
      <c r="BM42" s="476">
        <v>0</v>
      </c>
      <c r="BN42" s="476">
        <v>0</v>
      </c>
      <c r="BO42" s="476">
        <v>0</v>
      </c>
      <c r="BP42" s="476">
        <v>0</v>
      </c>
      <c r="BQ42" s="476">
        <v>399</v>
      </c>
      <c r="BR42" s="476">
        <v>0</v>
      </c>
      <c r="BS42" s="476">
        <v>0</v>
      </c>
      <c r="BT42" s="476">
        <v>0</v>
      </c>
      <c r="BU42" s="476">
        <v>0</v>
      </c>
      <c r="BV42" s="476">
        <v>0</v>
      </c>
      <c r="BW42" s="476">
        <v>0</v>
      </c>
      <c r="BX42" s="476">
        <v>0</v>
      </c>
      <c r="BY42" s="476">
        <v>0</v>
      </c>
      <c r="BZ42" s="476">
        <v>0</v>
      </c>
      <c r="CA42" s="476">
        <v>0</v>
      </c>
      <c r="CB42" s="476">
        <v>0</v>
      </c>
      <c r="CC42" s="476">
        <v>0</v>
      </c>
      <c r="CD42" s="476">
        <v>0</v>
      </c>
      <c r="CE42" s="476">
        <v>0</v>
      </c>
      <c r="CF42" s="476">
        <v>0</v>
      </c>
      <c r="CG42" s="476">
        <v>0</v>
      </c>
      <c r="CH42" s="476">
        <v>456588</v>
      </c>
      <c r="CI42" s="476">
        <v>0</v>
      </c>
      <c r="CJ42" s="476">
        <v>4</v>
      </c>
      <c r="CK42" s="476">
        <v>0</v>
      </c>
      <c r="CL42" s="476">
        <v>0</v>
      </c>
      <c r="CM42" s="476">
        <v>0</v>
      </c>
      <c r="CN42" s="476">
        <v>0</v>
      </c>
      <c r="CO42" s="476">
        <v>1</v>
      </c>
      <c r="CP42" s="476">
        <v>5.5E-2</v>
      </c>
      <c r="CQ42" s="476">
        <v>0</v>
      </c>
      <c r="CR42" s="476">
        <v>2704.5030000000002</v>
      </c>
      <c r="CS42" s="476">
        <v>0</v>
      </c>
      <c r="CT42" s="476">
        <v>0</v>
      </c>
      <c r="CU42" s="476">
        <v>0</v>
      </c>
      <c r="CV42" s="476">
        <v>0</v>
      </c>
      <c r="CW42" s="476">
        <v>0</v>
      </c>
      <c r="CX42" s="476">
        <v>0</v>
      </c>
      <c r="CY42" s="476">
        <v>0</v>
      </c>
      <c r="CZ42" s="476">
        <v>0</v>
      </c>
      <c r="DA42" s="476">
        <v>0</v>
      </c>
      <c r="DB42" s="476">
        <v>14407919</v>
      </c>
      <c r="DC42" s="476">
        <v>0</v>
      </c>
      <c r="DD42" s="476">
        <v>0</v>
      </c>
      <c r="DE42" s="476">
        <v>5136630</v>
      </c>
      <c r="DF42" s="476">
        <v>5137446</v>
      </c>
      <c r="DG42" s="476">
        <v>833.88800000000003</v>
      </c>
      <c r="DH42" s="476">
        <v>0</v>
      </c>
      <c r="DI42" s="476">
        <v>816</v>
      </c>
      <c r="DJ42" s="476">
        <v>0</v>
      </c>
      <c r="DK42" s="476">
        <v>0</v>
      </c>
      <c r="DL42" s="476">
        <v>0</v>
      </c>
      <c r="DM42" s="476">
        <v>2743717</v>
      </c>
      <c r="DN42" s="476">
        <v>7922</v>
      </c>
      <c r="DO42" s="476">
        <v>0</v>
      </c>
      <c r="DP42" s="476">
        <v>0</v>
      </c>
      <c r="DQ42" s="476">
        <v>0</v>
      </c>
      <c r="DR42" s="476">
        <v>0</v>
      </c>
      <c r="DS42" s="476">
        <v>0</v>
      </c>
      <c r="DT42" s="476">
        <v>0</v>
      </c>
      <c r="DU42" s="476">
        <v>0</v>
      </c>
      <c r="DV42" s="476">
        <v>0</v>
      </c>
      <c r="DW42" s="476">
        <v>0</v>
      </c>
      <c r="DX42" s="476">
        <v>0</v>
      </c>
      <c r="DY42" s="476">
        <v>0</v>
      </c>
      <c r="DZ42" s="476">
        <v>0</v>
      </c>
      <c r="EA42" s="476">
        <v>8.5000000000000006E-2</v>
      </c>
      <c r="EB42" s="476">
        <v>0</v>
      </c>
      <c r="EC42" s="476">
        <v>187.178</v>
      </c>
      <c r="ED42" s="476">
        <v>1325939</v>
      </c>
      <c r="EE42" s="476">
        <v>0</v>
      </c>
      <c r="EF42" s="476">
        <v>0</v>
      </c>
      <c r="EG42" s="476">
        <v>0</v>
      </c>
      <c r="EH42" s="476">
        <v>986132</v>
      </c>
      <c r="EI42" s="476">
        <v>0</v>
      </c>
      <c r="EJ42" s="476">
        <v>0</v>
      </c>
      <c r="EK42" s="476">
        <v>52.769000000000005</v>
      </c>
      <c r="EL42" s="476">
        <v>0</v>
      </c>
      <c r="EM42" s="476">
        <v>0.41100000000000003</v>
      </c>
      <c r="EN42" s="476">
        <v>2.5000000000000001E-2</v>
      </c>
      <c r="EO42" s="476">
        <v>0</v>
      </c>
      <c r="EP42" s="476">
        <v>0</v>
      </c>
      <c r="EQ42" s="476">
        <v>53.29</v>
      </c>
      <c r="ER42" s="476">
        <v>0</v>
      </c>
      <c r="ES42" s="476">
        <v>160.09</v>
      </c>
      <c r="ET42" s="476">
        <v>0</v>
      </c>
      <c r="EU42" s="476">
        <v>0</v>
      </c>
      <c r="EV42" s="476">
        <v>0</v>
      </c>
      <c r="EW42" s="476">
        <v>0</v>
      </c>
      <c r="EX42" s="476">
        <v>0</v>
      </c>
      <c r="EY42" s="476">
        <v>0</v>
      </c>
      <c r="EZ42" s="476">
        <v>27940880</v>
      </c>
      <c r="FA42" s="476">
        <v>0</v>
      </c>
      <c r="FB42" s="476">
        <v>29055013</v>
      </c>
      <c r="FC42" s="476">
        <v>0</v>
      </c>
      <c r="FD42" s="476">
        <v>0</v>
      </c>
      <c r="FE42" s="476">
        <v>3551936</v>
      </c>
      <c r="FF42" s="476">
        <v>593199</v>
      </c>
      <c r="FG42" s="476">
        <v>6.3017999999999991E-2</v>
      </c>
      <c r="FH42" s="476">
        <v>2.6953999999999999E-2</v>
      </c>
      <c r="FI42" s="476">
        <v>0</v>
      </c>
      <c r="FJ42" s="476">
        <v>0</v>
      </c>
      <c r="FK42" s="476">
        <v>4465.8770000000004</v>
      </c>
      <c r="FL42" s="476">
        <v>33656736</v>
      </c>
      <c r="FM42" s="476">
        <v>0</v>
      </c>
      <c r="FN42" s="476">
        <v>0</v>
      </c>
      <c r="FO42" s="476">
        <v>220804</v>
      </c>
      <c r="FP42" s="476">
        <v>0</v>
      </c>
      <c r="FQ42" s="476">
        <v>220804</v>
      </c>
      <c r="FR42" s="476">
        <v>220804</v>
      </c>
      <c r="FS42" s="476">
        <v>0</v>
      </c>
      <c r="FT42" s="476">
        <v>0</v>
      </c>
      <c r="FU42" s="476">
        <v>0</v>
      </c>
      <c r="FV42" s="476">
        <v>0</v>
      </c>
      <c r="FW42" s="476">
        <v>0</v>
      </c>
      <c r="FX42" s="476">
        <v>0</v>
      </c>
      <c r="FY42" s="476">
        <v>0</v>
      </c>
      <c r="FZ42" s="476">
        <v>0</v>
      </c>
      <c r="GA42" s="476">
        <v>0</v>
      </c>
      <c r="GB42" s="476">
        <v>1923974</v>
      </c>
      <c r="GC42" s="476">
        <v>1923974</v>
      </c>
      <c r="GD42" s="476">
        <v>240.852</v>
      </c>
      <c r="GE42" s="476">
        <v>0</v>
      </c>
      <c r="GF42" s="476">
        <v>0</v>
      </c>
      <c r="GG42" s="476">
        <v>0</v>
      </c>
      <c r="GH42" s="476">
        <v>0</v>
      </c>
      <c r="GI42" s="476">
        <v>0</v>
      </c>
      <c r="GJ42" s="476">
        <v>0</v>
      </c>
      <c r="GK42" s="476">
        <v>0</v>
      </c>
      <c r="GL42" s="476">
        <v>0</v>
      </c>
      <c r="GM42" s="476">
        <v>0</v>
      </c>
      <c r="GN42" s="476">
        <v>0</v>
      </c>
      <c r="GO42" s="476">
        <v>0</v>
      </c>
      <c r="GP42" s="476">
        <v>0</v>
      </c>
      <c r="GQ42" s="476">
        <v>32078093</v>
      </c>
      <c r="GR42" s="476">
        <v>0</v>
      </c>
      <c r="GS42" s="476">
        <v>0</v>
      </c>
      <c r="GT42" s="476">
        <v>0</v>
      </c>
      <c r="GU42" s="476">
        <v>0</v>
      </c>
      <c r="GV42" s="476">
        <v>0</v>
      </c>
      <c r="GW42" s="476">
        <v>0</v>
      </c>
      <c r="GX42" s="476">
        <v>0</v>
      </c>
      <c r="GY42" s="476">
        <v>0</v>
      </c>
      <c r="GZ42" s="476">
        <v>0</v>
      </c>
      <c r="HA42" s="476">
        <v>0</v>
      </c>
      <c r="HB42" s="476">
        <v>323396213</v>
      </c>
      <c r="HC42" s="476">
        <v>4.2206E-2</v>
      </c>
      <c r="HD42" s="476">
        <v>456588</v>
      </c>
      <c r="HE42" s="476">
        <v>0</v>
      </c>
      <c r="HF42" s="476">
        <v>2656218</v>
      </c>
      <c r="HG42" s="476">
        <v>0</v>
      </c>
      <c r="HH42" s="476">
        <v>0</v>
      </c>
      <c r="HI42" s="476">
        <v>0</v>
      </c>
      <c r="HJ42" s="476">
        <v>27045</v>
      </c>
      <c r="HK42" s="476">
        <v>61355</v>
      </c>
      <c r="HL42" s="476">
        <v>9953</v>
      </c>
      <c r="HM42" s="476">
        <v>0</v>
      </c>
      <c r="HN42" s="476">
        <v>0</v>
      </c>
      <c r="HO42" s="476">
        <v>17000</v>
      </c>
      <c r="HP42" s="476">
        <v>1261643</v>
      </c>
      <c r="HQ42" s="476">
        <v>0</v>
      </c>
      <c r="HR42" s="476">
        <v>0</v>
      </c>
      <c r="HS42" s="476">
        <v>27932958</v>
      </c>
      <c r="HT42" s="476">
        <v>593199</v>
      </c>
      <c r="HU42" s="476">
        <v>0</v>
      </c>
      <c r="HV42" s="476">
        <v>0</v>
      </c>
      <c r="HW42" s="476">
        <v>0</v>
      </c>
      <c r="HX42" s="476">
        <v>148</v>
      </c>
      <c r="HY42" s="476">
        <v>251</v>
      </c>
      <c r="HZ42" s="476">
        <v>388</v>
      </c>
      <c r="IA42" s="476">
        <v>644</v>
      </c>
      <c r="IB42" s="476">
        <v>1727</v>
      </c>
      <c r="IC42" s="476">
        <v>3158</v>
      </c>
      <c r="ID42" s="476">
        <v>0</v>
      </c>
      <c r="IE42" s="476">
        <v>0</v>
      </c>
      <c r="IF42" s="476">
        <v>0</v>
      </c>
      <c r="IG42" s="476">
        <v>0</v>
      </c>
      <c r="IH42" s="476">
        <v>0</v>
      </c>
      <c r="II42" s="476">
        <v>4587.7920000000004</v>
      </c>
      <c r="IJ42" s="476">
        <v>954.46800000000007</v>
      </c>
      <c r="IK42" s="476">
        <v>0</v>
      </c>
      <c r="IL42" s="476">
        <v>0</v>
      </c>
      <c r="IM42" s="476">
        <v>0</v>
      </c>
      <c r="IN42" s="476">
        <v>0</v>
      </c>
      <c r="IO42" s="476">
        <v>0</v>
      </c>
      <c r="IP42" s="476">
        <v>4587.7920000000004</v>
      </c>
      <c r="IQ42" s="476">
        <v>954.46800000000007</v>
      </c>
      <c r="IR42" s="476">
        <v>587939</v>
      </c>
      <c r="IS42" s="476">
        <v>0</v>
      </c>
      <c r="IT42" s="476">
        <v>0</v>
      </c>
      <c r="IU42" s="476">
        <v>0</v>
      </c>
      <c r="IV42" s="476">
        <v>0</v>
      </c>
      <c r="IW42" s="476">
        <v>6160</v>
      </c>
      <c r="IX42" s="476">
        <v>0</v>
      </c>
      <c r="IY42" s="476">
        <v>0</v>
      </c>
      <c r="IZ42" s="476">
        <v>1261643</v>
      </c>
      <c r="JA42" s="476">
        <v>0</v>
      </c>
      <c r="JB42" s="476">
        <v>0</v>
      </c>
      <c r="JC42" s="476">
        <v>0</v>
      </c>
      <c r="JD42" s="476">
        <v>0</v>
      </c>
      <c r="JE42" s="476">
        <v>0</v>
      </c>
      <c r="JF42" s="476">
        <v>0</v>
      </c>
      <c r="JG42" s="476">
        <v>0</v>
      </c>
      <c r="JH42" s="476">
        <v>0</v>
      </c>
      <c r="JI42" s="476">
        <v>0</v>
      </c>
      <c r="JJ42" s="476">
        <v>0</v>
      </c>
      <c r="JK42" s="476">
        <v>0</v>
      </c>
      <c r="JL42" s="476">
        <v>0</v>
      </c>
      <c r="JM42" s="476">
        <v>0</v>
      </c>
      <c r="JN42" s="476">
        <v>40471</v>
      </c>
      <c r="JO42" s="476">
        <v>240.852</v>
      </c>
      <c r="JP42" s="476">
        <v>0</v>
      </c>
      <c r="JQ42" s="476">
        <v>0</v>
      </c>
      <c r="JR42" s="476">
        <v>1923974</v>
      </c>
      <c r="JS42" s="476">
        <v>0</v>
      </c>
      <c r="JT42" s="476">
        <v>0</v>
      </c>
      <c r="JU42" s="476">
        <v>0</v>
      </c>
      <c r="JV42" s="476">
        <v>0</v>
      </c>
      <c r="JW42" s="476">
        <v>0</v>
      </c>
      <c r="JX42" s="476">
        <v>0</v>
      </c>
      <c r="JY42" s="476">
        <v>0</v>
      </c>
      <c r="JZ42" s="476">
        <v>0</v>
      </c>
      <c r="KA42" s="476">
        <v>0</v>
      </c>
      <c r="KB42" s="476">
        <v>0</v>
      </c>
      <c r="KC42" s="476">
        <v>0</v>
      </c>
      <c r="KD42" s="476">
        <v>0</v>
      </c>
      <c r="KE42" s="476">
        <v>7262</v>
      </c>
      <c r="KF42" s="476">
        <v>0</v>
      </c>
      <c r="KG42" s="476">
        <v>0</v>
      </c>
      <c r="KH42" s="476">
        <v>32078093</v>
      </c>
      <c r="KI42" s="476">
        <v>0</v>
      </c>
      <c r="KJ42" s="476">
        <v>0</v>
      </c>
      <c r="KK42" s="476">
        <v>0</v>
      </c>
      <c r="KL42" s="476">
        <v>0</v>
      </c>
      <c r="KM42" s="476">
        <v>0</v>
      </c>
      <c r="KN42" s="476">
        <v>0</v>
      </c>
    </row>
    <row r="43" spans="1:300" x14ac:dyDescent="0.25">
      <c r="A43" s="476">
        <v>40976</v>
      </c>
      <c r="B43" s="476">
        <v>57806</v>
      </c>
      <c r="C43" s="476">
        <v>9</v>
      </c>
      <c r="D43" s="476">
        <v>2024</v>
      </c>
      <c r="E43" s="476">
        <v>6160</v>
      </c>
      <c r="F43" s="476">
        <v>0</v>
      </c>
      <c r="G43" s="476">
        <v>901.553</v>
      </c>
      <c r="H43" s="476">
        <v>819.80000000000007</v>
      </c>
      <c r="I43" s="476">
        <v>819.80000000000007</v>
      </c>
      <c r="J43" s="476">
        <v>901.553</v>
      </c>
      <c r="K43" s="476">
        <v>0</v>
      </c>
      <c r="L43" s="476">
        <v>6160</v>
      </c>
      <c r="M43" s="476">
        <v>0</v>
      </c>
      <c r="N43" s="476">
        <v>0</v>
      </c>
      <c r="O43" s="476">
        <v>0</v>
      </c>
      <c r="P43" s="476">
        <v>901.66500000000008</v>
      </c>
      <c r="Q43" s="476">
        <v>0</v>
      </c>
      <c r="R43" s="476">
        <v>374086</v>
      </c>
      <c r="S43" s="476">
        <v>414.88400000000001</v>
      </c>
      <c r="T43" s="476">
        <v>0</v>
      </c>
      <c r="U43" s="476">
        <v>0</v>
      </c>
      <c r="V43" s="476">
        <v>219.565</v>
      </c>
      <c r="W43" s="476">
        <v>135249</v>
      </c>
      <c r="X43" s="476">
        <v>135249</v>
      </c>
      <c r="Y43" s="476">
        <v>0</v>
      </c>
      <c r="Z43" s="476">
        <v>0</v>
      </c>
      <c r="AA43" s="476">
        <v>0</v>
      </c>
      <c r="AB43" s="476">
        <v>0</v>
      </c>
      <c r="AC43" s="476">
        <v>0</v>
      </c>
      <c r="AD43" s="476" t="s">
        <v>314</v>
      </c>
      <c r="AE43" s="476">
        <v>0</v>
      </c>
      <c r="AF43" s="476">
        <v>0</v>
      </c>
      <c r="AG43" s="476">
        <v>0</v>
      </c>
      <c r="AH43" s="476">
        <v>0</v>
      </c>
      <c r="AI43" s="476">
        <v>0</v>
      </c>
      <c r="AJ43" s="476">
        <v>6160</v>
      </c>
      <c r="AK43" s="476" t="s">
        <v>651</v>
      </c>
      <c r="AL43" s="476" t="s">
        <v>324</v>
      </c>
      <c r="AM43" s="476">
        <v>0</v>
      </c>
      <c r="AN43" s="476">
        <v>0</v>
      </c>
      <c r="AO43" s="476">
        <v>0</v>
      </c>
      <c r="AP43" s="476">
        <v>0</v>
      </c>
      <c r="AQ43" s="476">
        <v>0</v>
      </c>
      <c r="AR43" s="476">
        <v>0</v>
      </c>
      <c r="AS43" s="476">
        <v>0</v>
      </c>
      <c r="AT43" s="476">
        <v>0</v>
      </c>
      <c r="AU43" s="476">
        <v>0</v>
      </c>
      <c r="AV43" s="476">
        <v>0</v>
      </c>
      <c r="AW43" s="476">
        <v>10080034</v>
      </c>
      <c r="AX43" s="476">
        <v>9930398</v>
      </c>
      <c r="AY43" s="476">
        <v>0</v>
      </c>
      <c r="AZ43" s="476">
        <v>374086</v>
      </c>
      <c r="BA43" s="476">
        <v>40.582999999999998</v>
      </c>
      <c r="BB43" s="476">
        <v>8951</v>
      </c>
      <c r="BC43" s="476">
        <v>8894</v>
      </c>
      <c r="BD43" s="476">
        <v>21</v>
      </c>
      <c r="BE43" s="476">
        <v>57</v>
      </c>
      <c r="BF43" s="476">
        <v>8952661</v>
      </c>
      <c r="BG43" s="476">
        <v>0</v>
      </c>
      <c r="BH43" s="476">
        <v>0</v>
      </c>
      <c r="BI43" s="476">
        <v>0</v>
      </c>
      <c r="BJ43" s="476">
        <v>12</v>
      </c>
      <c r="BK43" s="476">
        <v>0</v>
      </c>
      <c r="BL43" s="476">
        <v>0</v>
      </c>
      <c r="BM43" s="476">
        <v>0</v>
      </c>
      <c r="BN43" s="476">
        <v>0</v>
      </c>
      <c r="BO43" s="476">
        <v>0</v>
      </c>
      <c r="BP43" s="476">
        <v>0</v>
      </c>
      <c r="BQ43" s="476">
        <v>644</v>
      </c>
      <c r="BR43" s="476">
        <v>0</v>
      </c>
      <c r="BS43" s="476">
        <v>0</v>
      </c>
      <c r="BT43" s="476">
        <v>0</v>
      </c>
      <c r="BU43" s="476">
        <v>0</v>
      </c>
      <c r="BV43" s="476">
        <v>0</v>
      </c>
      <c r="BW43" s="476">
        <v>0</v>
      </c>
      <c r="BX43" s="476">
        <v>0</v>
      </c>
      <c r="BY43" s="476">
        <v>0</v>
      </c>
      <c r="BZ43" s="476">
        <v>0</v>
      </c>
      <c r="CA43" s="476">
        <v>0</v>
      </c>
      <c r="CB43" s="476">
        <v>0</v>
      </c>
      <c r="CC43" s="476">
        <v>0</v>
      </c>
      <c r="CD43" s="476">
        <v>0</v>
      </c>
      <c r="CE43" s="476">
        <v>0</v>
      </c>
      <c r="CF43" s="476">
        <v>0</v>
      </c>
      <c r="CG43" s="476">
        <v>0</v>
      </c>
      <c r="CH43" s="476">
        <v>152205</v>
      </c>
      <c r="CI43" s="476">
        <v>0</v>
      </c>
      <c r="CJ43" s="476">
        <v>4</v>
      </c>
      <c r="CK43" s="476">
        <v>0</v>
      </c>
      <c r="CL43" s="476">
        <v>0</v>
      </c>
      <c r="CM43" s="476">
        <v>0</v>
      </c>
      <c r="CN43" s="476">
        <v>0</v>
      </c>
      <c r="CO43" s="476">
        <v>1</v>
      </c>
      <c r="CP43" s="476">
        <v>0</v>
      </c>
      <c r="CQ43" s="476">
        <v>0.16700000000000001</v>
      </c>
      <c r="CR43" s="476">
        <v>901.553</v>
      </c>
      <c r="CS43" s="476">
        <v>0</v>
      </c>
      <c r="CT43" s="476">
        <v>0</v>
      </c>
      <c r="CU43" s="476">
        <v>0</v>
      </c>
      <c r="CV43" s="476">
        <v>0</v>
      </c>
      <c r="CW43" s="476">
        <v>0</v>
      </c>
      <c r="CX43" s="476">
        <v>0</v>
      </c>
      <c r="CY43" s="476">
        <v>0</v>
      </c>
      <c r="CZ43" s="476">
        <v>0</v>
      </c>
      <c r="DA43" s="476">
        <v>0</v>
      </c>
      <c r="DB43" s="476">
        <v>5049853</v>
      </c>
      <c r="DC43" s="476">
        <v>0</v>
      </c>
      <c r="DD43" s="476">
        <v>0</v>
      </c>
      <c r="DE43" s="476">
        <v>1419386</v>
      </c>
      <c r="DF43" s="476">
        <v>1419386</v>
      </c>
      <c r="DG43" s="476">
        <v>230.42500000000001</v>
      </c>
      <c r="DH43" s="476">
        <v>0</v>
      </c>
      <c r="DI43" s="476">
        <v>0</v>
      </c>
      <c r="DJ43" s="476">
        <v>0</v>
      </c>
      <c r="DK43" s="476">
        <v>1922</v>
      </c>
      <c r="DL43" s="476">
        <v>0</v>
      </c>
      <c r="DM43" s="476">
        <v>730633</v>
      </c>
      <c r="DN43" s="476">
        <v>2512</v>
      </c>
      <c r="DO43" s="476">
        <v>0</v>
      </c>
      <c r="DP43" s="476">
        <v>0</v>
      </c>
      <c r="DQ43" s="476">
        <v>0</v>
      </c>
      <c r="DR43" s="476">
        <v>0</v>
      </c>
      <c r="DS43" s="476">
        <v>0</v>
      </c>
      <c r="DT43" s="476">
        <v>0</v>
      </c>
      <c r="DU43" s="476">
        <v>0</v>
      </c>
      <c r="DV43" s="476">
        <v>0</v>
      </c>
      <c r="DW43" s="476">
        <v>0</v>
      </c>
      <c r="DX43" s="476">
        <v>0</v>
      </c>
      <c r="DY43" s="476">
        <v>0</v>
      </c>
      <c r="DZ43" s="476">
        <v>0</v>
      </c>
      <c r="EA43" s="476">
        <v>0</v>
      </c>
      <c r="EB43" s="476">
        <v>0</v>
      </c>
      <c r="EC43" s="476">
        <v>15.232000000000001</v>
      </c>
      <c r="ED43" s="476">
        <v>107901</v>
      </c>
      <c r="EE43" s="476">
        <v>0</v>
      </c>
      <c r="EF43" s="476">
        <v>0</v>
      </c>
      <c r="EG43" s="476">
        <v>0</v>
      </c>
      <c r="EH43" s="476">
        <v>625244</v>
      </c>
      <c r="EI43" s="476">
        <v>0</v>
      </c>
      <c r="EJ43" s="476">
        <v>0</v>
      </c>
      <c r="EK43" s="476">
        <v>28.857000000000003</v>
      </c>
      <c r="EL43" s="476">
        <v>0</v>
      </c>
      <c r="EM43" s="476">
        <v>2.069</v>
      </c>
      <c r="EN43" s="476">
        <v>1.7450000000000001</v>
      </c>
      <c r="EO43" s="476">
        <v>0</v>
      </c>
      <c r="EP43" s="476">
        <v>0</v>
      </c>
      <c r="EQ43" s="476">
        <v>32.670999999999999</v>
      </c>
      <c r="ER43" s="476">
        <v>0</v>
      </c>
      <c r="ES43" s="476">
        <v>101.503</v>
      </c>
      <c r="ET43" s="476">
        <v>0</v>
      </c>
      <c r="EU43" s="476">
        <v>0</v>
      </c>
      <c r="EV43" s="476">
        <v>0</v>
      </c>
      <c r="EW43" s="476">
        <v>0</v>
      </c>
      <c r="EX43" s="476">
        <v>0</v>
      </c>
      <c r="EY43" s="476">
        <v>0</v>
      </c>
      <c r="EZ43" s="476">
        <v>8581394</v>
      </c>
      <c r="FA43" s="476">
        <v>0</v>
      </c>
      <c r="FB43" s="476">
        <v>8952911</v>
      </c>
      <c r="FC43" s="476">
        <v>0</v>
      </c>
      <c r="FD43" s="476">
        <v>0</v>
      </c>
      <c r="FE43" s="476">
        <v>1155952</v>
      </c>
      <c r="FF43" s="476">
        <v>193052</v>
      </c>
      <c r="FG43" s="476">
        <v>6.3017999999999991E-2</v>
      </c>
      <c r="FH43" s="476">
        <v>2.6953999999999999E-2</v>
      </c>
      <c r="FI43" s="476">
        <v>0</v>
      </c>
      <c r="FJ43" s="476">
        <v>0</v>
      </c>
      <c r="FK43" s="476">
        <v>1453.3870000000002</v>
      </c>
      <c r="FL43" s="476">
        <v>10454120</v>
      </c>
      <c r="FM43" s="476">
        <v>0</v>
      </c>
      <c r="FN43" s="476">
        <v>0</v>
      </c>
      <c r="FO43" s="476">
        <v>0</v>
      </c>
      <c r="FP43" s="476">
        <v>0</v>
      </c>
      <c r="FQ43" s="476">
        <v>0</v>
      </c>
      <c r="FR43" s="476">
        <v>0</v>
      </c>
      <c r="FS43" s="476">
        <v>0</v>
      </c>
      <c r="FT43" s="476">
        <v>0</v>
      </c>
      <c r="FU43" s="476">
        <v>0</v>
      </c>
      <c r="FV43" s="476">
        <v>0</v>
      </c>
      <c r="FW43" s="476">
        <v>0</v>
      </c>
      <c r="FX43" s="476">
        <v>0</v>
      </c>
      <c r="FY43" s="476">
        <v>0</v>
      </c>
      <c r="FZ43" s="476">
        <v>0</v>
      </c>
      <c r="GA43" s="476">
        <v>0</v>
      </c>
      <c r="GB43" s="476">
        <v>474211</v>
      </c>
      <c r="GC43" s="476">
        <v>474211</v>
      </c>
      <c r="GD43" s="476">
        <v>49.082000000000001</v>
      </c>
      <c r="GE43" s="476">
        <v>0</v>
      </c>
      <c r="GF43" s="476">
        <v>0</v>
      </c>
      <c r="GG43" s="476">
        <v>0</v>
      </c>
      <c r="GH43" s="476">
        <v>0</v>
      </c>
      <c r="GI43" s="476">
        <v>0</v>
      </c>
      <c r="GJ43" s="476">
        <v>0</v>
      </c>
      <c r="GK43" s="476">
        <v>0</v>
      </c>
      <c r="GL43" s="476">
        <v>0</v>
      </c>
      <c r="GM43" s="476">
        <v>0</v>
      </c>
      <c r="GN43" s="476">
        <v>0</v>
      </c>
      <c r="GO43" s="476">
        <v>0</v>
      </c>
      <c r="GP43" s="476">
        <v>0</v>
      </c>
      <c r="GQ43" s="476">
        <v>9927829</v>
      </c>
      <c r="GR43" s="476">
        <v>0</v>
      </c>
      <c r="GS43" s="476">
        <v>0</v>
      </c>
      <c r="GT43" s="476">
        <v>0</v>
      </c>
      <c r="GU43" s="476">
        <v>0</v>
      </c>
      <c r="GV43" s="476">
        <v>0</v>
      </c>
      <c r="GW43" s="476">
        <v>0</v>
      </c>
      <c r="GX43" s="476">
        <v>0</v>
      </c>
      <c r="GY43" s="476">
        <v>0</v>
      </c>
      <c r="GZ43" s="476">
        <v>0</v>
      </c>
      <c r="HA43" s="476">
        <v>0</v>
      </c>
      <c r="HB43" s="476">
        <v>323396213</v>
      </c>
      <c r="HC43" s="476">
        <v>4.2206E-2</v>
      </c>
      <c r="HD43" s="476">
        <v>152205</v>
      </c>
      <c r="HE43" s="476">
        <v>0</v>
      </c>
      <c r="HF43" s="476">
        <v>903420</v>
      </c>
      <c r="HG43" s="476">
        <v>13552</v>
      </c>
      <c r="HH43" s="476">
        <v>204878</v>
      </c>
      <c r="HI43" s="476">
        <v>0</v>
      </c>
      <c r="HJ43" s="476">
        <v>9016</v>
      </c>
      <c r="HK43" s="476">
        <v>1850</v>
      </c>
      <c r="HL43" s="476">
        <v>969</v>
      </c>
      <c r="HM43" s="476">
        <v>0</v>
      </c>
      <c r="HN43" s="476">
        <v>1000</v>
      </c>
      <c r="HO43" s="476">
        <v>0</v>
      </c>
      <c r="HP43" s="476">
        <v>0</v>
      </c>
      <c r="HQ43" s="476">
        <v>0</v>
      </c>
      <c r="HR43" s="476">
        <v>0</v>
      </c>
      <c r="HS43" s="476">
        <v>8578825</v>
      </c>
      <c r="HT43" s="476">
        <v>193052</v>
      </c>
      <c r="HU43" s="476">
        <v>0</v>
      </c>
      <c r="HV43" s="476">
        <v>0</v>
      </c>
      <c r="HW43" s="476">
        <v>0</v>
      </c>
      <c r="HX43" s="476">
        <v>82</v>
      </c>
      <c r="HY43" s="476">
        <v>146</v>
      </c>
      <c r="HZ43" s="476">
        <v>77</v>
      </c>
      <c r="IA43" s="476">
        <v>292</v>
      </c>
      <c r="IB43" s="476">
        <v>296</v>
      </c>
      <c r="IC43" s="476">
        <v>893</v>
      </c>
      <c r="ID43" s="476">
        <v>0</v>
      </c>
      <c r="IE43" s="476">
        <v>0</v>
      </c>
      <c r="IF43" s="476">
        <v>0</v>
      </c>
      <c r="IG43" s="476">
        <v>22</v>
      </c>
      <c r="IH43" s="476">
        <v>332.60200000000003</v>
      </c>
      <c r="II43" s="476">
        <v>0</v>
      </c>
      <c r="IJ43" s="476">
        <v>219.565</v>
      </c>
      <c r="IK43" s="476">
        <v>0</v>
      </c>
      <c r="IL43" s="476">
        <v>0</v>
      </c>
      <c r="IM43" s="476">
        <v>0</v>
      </c>
      <c r="IN43" s="476">
        <v>0</v>
      </c>
      <c r="IO43" s="476">
        <v>0</v>
      </c>
      <c r="IP43" s="476">
        <v>0</v>
      </c>
      <c r="IQ43" s="476">
        <v>219.565</v>
      </c>
      <c r="IR43" s="476">
        <v>135249</v>
      </c>
      <c r="IS43" s="476">
        <v>0</v>
      </c>
      <c r="IT43" s="476">
        <v>0</v>
      </c>
      <c r="IU43" s="476">
        <v>0</v>
      </c>
      <c r="IV43" s="476">
        <v>0</v>
      </c>
      <c r="IW43" s="476">
        <v>6160</v>
      </c>
      <c r="IX43" s="476">
        <v>0</v>
      </c>
      <c r="IY43" s="476">
        <v>0</v>
      </c>
      <c r="IZ43" s="476">
        <v>0</v>
      </c>
      <c r="JA43" s="476">
        <v>0</v>
      </c>
      <c r="JB43" s="476">
        <v>0</v>
      </c>
      <c r="JC43" s="476">
        <v>0</v>
      </c>
      <c r="JD43" s="476">
        <v>0</v>
      </c>
      <c r="JE43" s="476">
        <v>0</v>
      </c>
      <c r="JF43" s="476">
        <v>0</v>
      </c>
      <c r="JG43" s="476">
        <v>0</v>
      </c>
      <c r="JH43" s="476">
        <v>1000</v>
      </c>
      <c r="JI43" s="476">
        <v>0</v>
      </c>
      <c r="JJ43" s="476">
        <v>0</v>
      </c>
      <c r="JK43" s="476">
        <v>0</v>
      </c>
      <c r="JL43" s="476">
        <v>0</v>
      </c>
      <c r="JM43" s="476">
        <v>0</v>
      </c>
      <c r="JN43" s="476">
        <v>32469</v>
      </c>
      <c r="JO43" s="476">
        <v>4.0220000000000002</v>
      </c>
      <c r="JP43" s="476">
        <v>28.222000000000001</v>
      </c>
      <c r="JQ43" s="476">
        <v>16.838000000000001</v>
      </c>
      <c r="JR43" s="476">
        <v>32129</v>
      </c>
      <c r="JS43" s="476">
        <v>262334</v>
      </c>
      <c r="JT43" s="476">
        <v>179748</v>
      </c>
      <c r="JU43" s="476">
        <v>9055</v>
      </c>
      <c r="JV43" s="476">
        <v>0</v>
      </c>
      <c r="JW43" s="476">
        <v>0</v>
      </c>
      <c r="JX43" s="476">
        <v>0</v>
      </c>
      <c r="JY43" s="476">
        <v>0</v>
      </c>
      <c r="JZ43" s="476">
        <v>0</v>
      </c>
      <c r="KA43" s="476">
        <v>0</v>
      </c>
      <c r="KB43" s="476">
        <v>0</v>
      </c>
      <c r="KC43" s="476">
        <v>0</v>
      </c>
      <c r="KD43" s="476">
        <v>9055</v>
      </c>
      <c r="KE43" s="476">
        <v>7262</v>
      </c>
      <c r="KF43" s="476">
        <v>0</v>
      </c>
      <c r="KG43" s="476">
        <v>0</v>
      </c>
      <c r="KH43" s="476">
        <v>9927829</v>
      </c>
      <c r="KI43" s="476">
        <v>0</v>
      </c>
      <c r="KJ43" s="476">
        <v>10</v>
      </c>
      <c r="KK43" s="476">
        <v>12</v>
      </c>
      <c r="KL43" s="476">
        <v>6160</v>
      </c>
      <c r="KM43" s="476">
        <v>7392</v>
      </c>
      <c r="KN43" s="476">
        <v>0</v>
      </c>
    </row>
    <row r="44" spans="1:300" x14ac:dyDescent="0.25">
      <c r="A44" s="476">
        <v>40976</v>
      </c>
      <c r="B44" s="476">
        <v>57807</v>
      </c>
      <c r="C44" s="476">
        <v>9</v>
      </c>
      <c r="D44" s="476">
        <v>2024</v>
      </c>
      <c r="E44" s="476">
        <v>6160</v>
      </c>
      <c r="F44" s="476">
        <v>0</v>
      </c>
      <c r="G44" s="476">
        <v>5128.66</v>
      </c>
      <c r="H44" s="476">
        <v>4494.78</v>
      </c>
      <c r="I44" s="476">
        <v>4494.78</v>
      </c>
      <c r="J44" s="476">
        <v>5128.66</v>
      </c>
      <c r="K44" s="476">
        <v>0</v>
      </c>
      <c r="L44" s="476">
        <v>6160</v>
      </c>
      <c r="M44" s="476">
        <v>0</v>
      </c>
      <c r="N44" s="476">
        <v>0</v>
      </c>
      <c r="O44" s="476">
        <v>0</v>
      </c>
      <c r="P44" s="476">
        <v>5144.5730000000003</v>
      </c>
      <c r="Q44" s="476">
        <v>0</v>
      </c>
      <c r="R44" s="476">
        <v>2134401</v>
      </c>
      <c r="S44" s="476">
        <v>414.88400000000001</v>
      </c>
      <c r="T44" s="476">
        <v>0</v>
      </c>
      <c r="U44" s="476">
        <v>0</v>
      </c>
      <c r="V44" s="476">
        <v>523.40200000000004</v>
      </c>
      <c r="W44" s="476">
        <v>322408</v>
      </c>
      <c r="X44" s="476">
        <v>322408</v>
      </c>
      <c r="Y44" s="476">
        <v>0</v>
      </c>
      <c r="Z44" s="476">
        <v>0</v>
      </c>
      <c r="AA44" s="476">
        <v>0</v>
      </c>
      <c r="AB44" s="476">
        <v>0</v>
      </c>
      <c r="AC44" s="476">
        <v>0</v>
      </c>
      <c r="AD44" s="476" t="s">
        <v>314</v>
      </c>
      <c r="AE44" s="476">
        <v>0</v>
      </c>
      <c r="AF44" s="476">
        <v>0</v>
      </c>
      <c r="AG44" s="476">
        <v>0</v>
      </c>
      <c r="AH44" s="476">
        <v>0</v>
      </c>
      <c r="AI44" s="476">
        <v>0</v>
      </c>
      <c r="AJ44" s="476">
        <v>6160</v>
      </c>
      <c r="AK44" s="476" t="s">
        <v>651</v>
      </c>
      <c r="AL44" s="476" t="s">
        <v>18</v>
      </c>
      <c r="AM44" s="476">
        <v>0</v>
      </c>
      <c r="AN44" s="476">
        <v>0</v>
      </c>
      <c r="AO44" s="476">
        <v>0</v>
      </c>
      <c r="AP44" s="476">
        <v>0</v>
      </c>
      <c r="AQ44" s="476">
        <v>0</v>
      </c>
      <c r="AR44" s="476">
        <v>0</v>
      </c>
      <c r="AS44" s="476">
        <v>0</v>
      </c>
      <c r="AT44" s="476">
        <v>0</v>
      </c>
      <c r="AU44" s="476">
        <v>0</v>
      </c>
      <c r="AV44" s="476">
        <v>0</v>
      </c>
      <c r="AW44" s="476">
        <v>56006645</v>
      </c>
      <c r="AX44" s="476">
        <v>55161463</v>
      </c>
      <c r="AY44" s="476">
        <v>0</v>
      </c>
      <c r="AZ44" s="476">
        <v>2134401</v>
      </c>
      <c r="BA44" s="476">
        <v>0</v>
      </c>
      <c r="BB44" s="476">
        <v>109119</v>
      </c>
      <c r="BC44" s="476">
        <v>108424</v>
      </c>
      <c r="BD44" s="476">
        <v>256</v>
      </c>
      <c r="BE44" s="476">
        <v>696</v>
      </c>
      <c r="BF44" s="476">
        <v>49734600</v>
      </c>
      <c r="BG44" s="476">
        <v>0</v>
      </c>
      <c r="BH44" s="476">
        <v>0</v>
      </c>
      <c r="BI44" s="476">
        <v>0</v>
      </c>
      <c r="BJ44" s="476">
        <v>12</v>
      </c>
      <c r="BK44" s="476">
        <v>0</v>
      </c>
      <c r="BL44" s="476">
        <v>0</v>
      </c>
      <c r="BM44" s="476">
        <v>0</v>
      </c>
      <c r="BN44" s="476">
        <v>0</v>
      </c>
      <c r="BO44" s="476">
        <v>0</v>
      </c>
      <c r="BP44" s="476">
        <v>0</v>
      </c>
      <c r="BQ44" s="476">
        <v>78</v>
      </c>
      <c r="BR44" s="476">
        <v>0</v>
      </c>
      <c r="BS44" s="476">
        <v>0</v>
      </c>
      <c r="BT44" s="476">
        <v>0</v>
      </c>
      <c r="BU44" s="476">
        <v>0</v>
      </c>
      <c r="BV44" s="476">
        <v>0</v>
      </c>
      <c r="BW44" s="476">
        <v>0</v>
      </c>
      <c r="BX44" s="476">
        <v>0</v>
      </c>
      <c r="BY44" s="476">
        <v>0</v>
      </c>
      <c r="BZ44" s="476">
        <v>0</v>
      </c>
      <c r="CA44" s="476">
        <v>0</v>
      </c>
      <c r="CB44" s="476">
        <v>0</v>
      </c>
      <c r="CC44" s="476">
        <v>0</v>
      </c>
      <c r="CD44" s="476">
        <v>0</v>
      </c>
      <c r="CE44" s="476">
        <v>0</v>
      </c>
      <c r="CF44" s="476">
        <v>0</v>
      </c>
      <c r="CG44" s="476">
        <v>0</v>
      </c>
      <c r="CH44" s="476">
        <v>865847</v>
      </c>
      <c r="CI44" s="476">
        <v>0</v>
      </c>
      <c r="CJ44" s="476">
        <v>4</v>
      </c>
      <c r="CK44" s="476">
        <v>0</v>
      </c>
      <c r="CL44" s="476">
        <v>0</v>
      </c>
      <c r="CM44" s="476">
        <v>0</v>
      </c>
      <c r="CN44" s="476">
        <v>0</v>
      </c>
      <c r="CO44" s="476">
        <v>1</v>
      </c>
      <c r="CP44" s="476">
        <v>0.02</v>
      </c>
      <c r="CQ44" s="476">
        <v>0</v>
      </c>
      <c r="CR44" s="476">
        <v>5128.66</v>
      </c>
      <c r="CS44" s="476">
        <v>0</v>
      </c>
      <c r="CT44" s="476">
        <v>0</v>
      </c>
      <c r="CU44" s="476">
        <v>0</v>
      </c>
      <c r="CV44" s="476">
        <v>0</v>
      </c>
      <c r="CW44" s="476">
        <v>0</v>
      </c>
      <c r="CX44" s="476">
        <v>0</v>
      </c>
      <c r="CY44" s="476">
        <v>0</v>
      </c>
      <c r="CZ44" s="476">
        <v>0</v>
      </c>
      <c r="DA44" s="476">
        <v>0</v>
      </c>
      <c r="DB44" s="476">
        <v>27687216</v>
      </c>
      <c r="DC44" s="476">
        <v>0</v>
      </c>
      <c r="DD44" s="476">
        <v>0</v>
      </c>
      <c r="DE44" s="476">
        <v>5749459</v>
      </c>
      <c r="DF44" s="476">
        <v>5749756</v>
      </c>
      <c r="DG44" s="476">
        <v>933.375</v>
      </c>
      <c r="DH44" s="476">
        <v>0</v>
      </c>
      <c r="DI44" s="476">
        <v>297</v>
      </c>
      <c r="DJ44" s="476">
        <v>0</v>
      </c>
      <c r="DK44" s="476">
        <v>0</v>
      </c>
      <c r="DL44" s="476">
        <v>0</v>
      </c>
      <c r="DM44" s="476">
        <v>5808664</v>
      </c>
      <c r="DN44" s="476">
        <v>19970</v>
      </c>
      <c r="DO44" s="476">
        <v>0</v>
      </c>
      <c r="DP44" s="476">
        <v>0</v>
      </c>
      <c r="DQ44" s="476">
        <v>0</v>
      </c>
      <c r="DR44" s="476">
        <v>0</v>
      </c>
      <c r="DS44" s="476">
        <v>0</v>
      </c>
      <c r="DT44" s="476">
        <v>0</v>
      </c>
      <c r="DU44" s="476">
        <v>0</v>
      </c>
      <c r="DV44" s="476">
        <v>0</v>
      </c>
      <c r="DW44" s="476">
        <v>0</v>
      </c>
      <c r="DX44" s="476">
        <v>0</v>
      </c>
      <c r="DY44" s="476">
        <v>0</v>
      </c>
      <c r="DZ44" s="476">
        <v>0</v>
      </c>
      <c r="EA44" s="476">
        <v>0</v>
      </c>
      <c r="EB44" s="476">
        <v>0</v>
      </c>
      <c r="EC44" s="476">
        <v>246.96800000000002</v>
      </c>
      <c r="ED44" s="476">
        <v>1749482</v>
      </c>
      <c r="EE44" s="476">
        <v>0</v>
      </c>
      <c r="EF44" s="476">
        <v>0</v>
      </c>
      <c r="EG44" s="476">
        <v>0</v>
      </c>
      <c r="EH44" s="476">
        <v>4079152</v>
      </c>
      <c r="EI44" s="476">
        <v>0</v>
      </c>
      <c r="EJ44" s="476">
        <v>0</v>
      </c>
      <c r="EK44" s="476">
        <v>152.88800000000001</v>
      </c>
      <c r="EL44" s="476">
        <v>0</v>
      </c>
      <c r="EM44" s="476">
        <v>46.347000000000001</v>
      </c>
      <c r="EN44" s="476">
        <v>12.902000000000001</v>
      </c>
      <c r="EO44" s="476">
        <v>0</v>
      </c>
      <c r="EP44" s="476">
        <v>0</v>
      </c>
      <c r="EQ44" s="476">
        <v>212.137</v>
      </c>
      <c r="ER44" s="476">
        <v>0</v>
      </c>
      <c r="ES44" s="476">
        <v>662.21500000000003</v>
      </c>
      <c r="ET44" s="476">
        <v>0</v>
      </c>
      <c r="EU44" s="476">
        <v>0</v>
      </c>
      <c r="EV44" s="476">
        <v>0</v>
      </c>
      <c r="EW44" s="476">
        <v>0</v>
      </c>
      <c r="EX44" s="476">
        <v>0</v>
      </c>
      <c r="EY44" s="476">
        <v>0</v>
      </c>
      <c r="EZ44" s="476">
        <v>47667359</v>
      </c>
      <c r="FA44" s="476">
        <v>0</v>
      </c>
      <c r="FB44" s="476">
        <v>49781095</v>
      </c>
      <c r="FC44" s="476">
        <v>0</v>
      </c>
      <c r="FD44" s="476">
        <v>0</v>
      </c>
      <c r="FE44" s="476">
        <v>6421643</v>
      </c>
      <c r="FF44" s="476">
        <v>1072461</v>
      </c>
      <c r="FG44" s="476">
        <v>6.3017999999999991E-2</v>
      </c>
      <c r="FH44" s="476">
        <v>2.6953999999999999E-2</v>
      </c>
      <c r="FI44" s="476">
        <v>0</v>
      </c>
      <c r="FJ44" s="476">
        <v>0</v>
      </c>
      <c r="FK44" s="476">
        <v>8073.982</v>
      </c>
      <c r="FL44" s="476">
        <v>58141046</v>
      </c>
      <c r="FM44" s="476">
        <v>0</v>
      </c>
      <c r="FN44" s="476">
        <v>0</v>
      </c>
      <c r="FO44" s="476">
        <v>41824</v>
      </c>
      <c r="FP44" s="476">
        <v>0</v>
      </c>
      <c r="FQ44" s="476">
        <v>42669</v>
      </c>
      <c r="FR44" s="476">
        <v>41824</v>
      </c>
      <c r="FS44" s="476">
        <v>845</v>
      </c>
      <c r="FT44" s="476">
        <v>0</v>
      </c>
      <c r="FU44" s="476">
        <v>0</v>
      </c>
      <c r="FV44" s="476">
        <v>0</v>
      </c>
      <c r="FW44" s="476">
        <v>0</v>
      </c>
      <c r="FX44" s="476">
        <v>0</v>
      </c>
      <c r="FY44" s="476">
        <v>0</v>
      </c>
      <c r="FZ44" s="476">
        <v>0</v>
      </c>
      <c r="GA44" s="476">
        <v>0</v>
      </c>
      <c r="GB44" s="476">
        <v>4053465</v>
      </c>
      <c r="GC44" s="476">
        <v>4053465</v>
      </c>
      <c r="GD44" s="476">
        <v>421.74299999999999</v>
      </c>
      <c r="GE44" s="476">
        <v>0</v>
      </c>
      <c r="GF44" s="476">
        <v>0</v>
      </c>
      <c r="GG44" s="476">
        <v>0</v>
      </c>
      <c r="GH44" s="476">
        <v>0</v>
      </c>
      <c r="GI44" s="476">
        <v>0</v>
      </c>
      <c r="GJ44" s="476">
        <v>0</v>
      </c>
      <c r="GK44" s="476">
        <v>0</v>
      </c>
      <c r="GL44" s="476">
        <v>0</v>
      </c>
      <c r="GM44" s="476">
        <v>0</v>
      </c>
      <c r="GN44" s="476">
        <v>0</v>
      </c>
      <c r="GO44" s="476">
        <v>0</v>
      </c>
      <c r="GP44" s="476">
        <v>0</v>
      </c>
      <c r="GQ44" s="476">
        <v>55140798</v>
      </c>
      <c r="GR44" s="476">
        <v>0</v>
      </c>
      <c r="GS44" s="476">
        <v>0</v>
      </c>
      <c r="GT44" s="476">
        <v>0</v>
      </c>
      <c r="GU44" s="476">
        <v>0</v>
      </c>
      <c r="GV44" s="476">
        <v>0</v>
      </c>
      <c r="GW44" s="476">
        <v>0</v>
      </c>
      <c r="GX44" s="476">
        <v>0</v>
      </c>
      <c r="GY44" s="476">
        <v>0</v>
      </c>
      <c r="GZ44" s="476">
        <v>0</v>
      </c>
      <c r="HA44" s="476">
        <v>0</v>
      </c>
      <c r="HB44" s="476">
        <v>323396213</v>
      </c>
      <c r="HC44" s="476">
        <v>4.2206E-2</v>
      </c>
      <c r="HD44" s="476">
        <v>865847</v>
      </c>
      <c r="HE44" s="476">
        <v>0</v>
      </c>
      <c r="HF44" s="476">
        <v>4953248</v>
      </c>
      <c r="HG44" s="476">
        <v>134285</v>
      </c>
      <c r="HH44" s="476">
        <v>792190</v>
      </c>
      <c r="HI44" s="476">
        <v>0</v>
      </c>
      <c r="HJ44" s="476">
        <v>51287</v>
      </c>
      <c r="HK44" s="476">
        <v>15670</v>
      </c>
      <c r="HL44" s="476">
        <v>8821</v>
      </c>
      <c r="HM44" s="476">
        <v>45000</v>
      </c>
      <c r="HN44" s="476">
        <v>7992</v>
      </c>
      <c r="HO44" s="476">
        <v>0</v>
      </c>
      <c r="HP44" s="476">
        <v>0</v>
      </c>
      <c r="HQ44" s="476">
        <v>0</v>
      </c>
      <c r="HR44" s="476">
        <v>0</v>
      </c>
      <c r="HS44" s="476">
        <v>47646694</v>
      </c>
      <c r="HT44" s="476">
        <v>1072461</v>
      </c>
      <c r="HU44" s="476">
        <v>0</v>
      </c>
      <c r="HV44" s="476">
        <v>0</v>
      </c>
      <c r="HW44" s="476">
        <v>0</v>
      </c>
      <c r="HX44" s="476">
        <v>587</v>
      </c>
      <c r="HY44" s="476">
        <v>896</v>
      </c>
      <c r="HZ44" s="476">
        <v>674</v>
      </c>
      <c r="IA44" s="476">
        <v>654</v>
      </c>
      <c r="IB44" s="476">
        <v>903</v>
      </c>
      <c r="IC44" s="476">
        <v>3714</v>
      </c>
      <c r="ID44" s="476">
        <v>0</v>
      </c>
      <c r="IE44" s="476">
        <v>0</v>
      </c>
      <c r="IF44" s="476">
        <v>0</v>
      </c>
      <c r="IG44" s="476">
        <v>218</v>
      </c>
      <c r="IH44" s="476">
        <v>1286.0520000000001</v>
      </c>
      <c r="II44" s="476">
        <v>0</v>
      </c>
      <c r="IJ44" s="476">
        <v>523.40200000000004</v>
      </c>
      <c r="IK44" s="476">
        <v>0</v>
      </c>
      <c r="IL44" s="476">
        <v>9</v>
      </c>
      <c r="IM44" s="476">
        <v>0</v>
      </c>
      <c r="IN44" s="476">
        <v>0</v>
      </c>
      <c r="IO44" s="476">
        <v>9</v>
      </c>
      <c r="IP44" s="476">
        <v>0</v>
      </c>
      <c r="IQ44" s="476">
        <v>523.40200000000004</v>
      </c>
      <c r="IR44" s="476">
        <v>322408</v>
      </c>
      <c r="IS44" s="476">
        <v>0</v>
      </c>
      <c r="IT44" s="476">
        <v>45000</v>
      </c>
      <c r="IU44" s="476">
        <v>0</v>
      </c>
      <c r="IV44" s="476">
        <v>0</v>
      </c>
      <c r="IW44" s="476">
        <v>6160</v>
      </c>
      <c r="IX44" s="476">
        <v>0</v>
      </c>
      <c r="IY44" s="476">
        <v>0</v>
      </c>
      <c r="IZ44" s="476">
        <v>0</v>
      </c>
      <c r="JA44" s="476">
        <v>0</v>
      </c>
      <c r="JB44" s="476">
        <v>0</v>
      </c>
      <c r="JC44" s="476">
        <v>0</v>
      </c>
      <c r="JD44" s="476">
        <v>0</v>
      </c>
      <c r="JE44" s="476">
        <v>0</v>
      </c>
      <c r="JF44" s="476">
        <v>1</v>
      </c>
      <c r="JG44" s="476">
        <v>6742</v>
      </c>
      <c r="JH44" s="476">
        <v>1250</v>
      </c>
      <c r="JI44" s="476">
        <v>0</v>
      </c>
      <c r="JJ44" s="476">
        <v>0</v>
      </c>
      <c r="JK44" s="476">
        <v>0</v>
      </c>
      <c r="JL44" s="476">
        <v>0</v>
      </c>
      <c r="JM44" s="476">
        <v>0</v>
      </c>
      <c r="JN44" s="476">
        <v>32469</v>
      </c>
      <c r="JO44" s="476">
        <v>5.0579999999999998</v>
      </c>
      <c r="JP44" s="476">
        <v>315.34700000000004</v>
      </c>
      <c r="JQ44" s="476">
        <v>101.33800000000001</v>
      </c>
      <c r="JR44" s="476">
        <v>40404</v>
      </c>
      <c r="JS44" s="476">
        <v>2931264</v>
      </c>
      <c r="JT44" s="476">
        <v>1081797</v>
      </c>
      <c r="JU44" s="476">
        <v>110385</v>
      </c>
      <c r="JV44" s="476">
        <v>0</v>
      </c>
      <c r="JW44" s="476">
        <v>0</v>
      </c>
      <c r="JX44" s="476">
        <v>0</v>
      </c>
      <c r="JY44" s="476">
        <v>0</v>
      </c>
      <c r="JZ44" s="476">
        <v>0</v>
      </c>
      <c r="KA44" s="476">
        <v>0</v>
      </c>
      <c r="KB44" s="476">
        <v>0</v>
      </c>
      <c r="KC44" s="476">
        <v>0</v>
      </c>
      <c r="KD44" s="476">
        <v>110385</v>
      </c>
      <c r="KE44" s="476">
        <v>7262</v>
      </c>
      <c r="KF44" s="476">
        <v>0</v>
      </c>
      <c r="KG44" s="476">
        <v>0</v>
      </c>
      <c r="KH44" s="476">
        <v>55140798</v>
      </c>
      <c r="KI44" s="476">
        <v>0</v>
      </c>
      <c r="KJ44" s="476">
        <v>90</v>
      </c>
      <c r="KK44" s="476">
        <v>128</v>
      </c>
      <c r="KL44" s="476">
        <v>55439</v>
      </c>
      <c r="KM44" s="476">
        <v>78846</v>
      </c>
      <c r="KN44" s="476">
        <v>0</v>
      </c>
    </row>
    <row r="45" spans="1:300" x14ac:dyDescent="0.25">
      <c r="A45" s="476">
        <v>40976</v>
      </c>
      <c r="B45" s="476">
        <v>57808</v>
      </c>
      <c r="C45" s="476">
        <v>9</v>
      </c>
      <c r="D45" s="476">
        <v>2024</v>
      </c>
      <c r="E45" s="476">
        <v>6160</v>
      </c>
      <c r="F45" s="476">
        <v>0</v>
      </c>
      <c r="G45" s="476">
        <v>1804.952</v>
      </c>
      <c r="H45" s="476">
        <v>1779.9480000000001</v>
      </c>
      <c r="I45" s="476">
        <v>1779.9480000000001</v>
      </c>
      <c r="J45" s="476">
        <v>1804.952</v>
      </c>
      <c r="K45" s="476">
        <v>0</v>
      </c>
      <c r="L45" s="476">
        <v>6160</v>
      </c>
      <c r="M45" s="476">
        <v>0</v>
      </c>
      <c r="N45" s="476">
        <v>0</v>
      </c>
      <c r="O45" s="476">
        <v>0</v>
      </c>
      <c r="P45" s="476">
        <v>1812.8150000000001</v>
      </c>
      <c r="Q45" s="476">
        <v>0</v>
      </c>
      <c r="R45" s="476">
        <v>752108</v>
      </c>
      <c r="S45" s="476">
        <v>414.88400000000001</v>
      </c>
      <c r="T45" s="476">
        <v>0</v>
      </c>
      <c r="U45" s="476">
        <v>0</v>
      </c>
      <c r="V45" s="476">
        <v>831.77700000000004</v>
      </c>
      <c r="W45" s="476">
        <v>512363</v>
      </c>
      <c r="X45" s="476">
        <v>512363</v>
      </c>
      <c r="Y45" s="476">
        <v>0</v>
      </c>
      <c r="Z45" s="476">
        <v>0</v>
      </c>
      <c r="AA45" s="476">
        <v>0</v>
      </c>
      <c r="AB45" s="476">
        <v>0</v>
      </c>
      <c r="AC45" s="476">
        <v>0</v>
      </c>
      <c r="AD45" s="476" t="s">
        <v>314</v>
      </c>
      <c r="AE45" s="476">
        <v>0</v>
      </c>
      <c r="AF45" s="476">
        <v>0</v>
      </c>
      <c r="AG45" s="476">
        <v>0</v>
      </c>
      <c r="AH45" s="476">
        <v>0</v>
      </c>
      <c r="AI45" s="476">
        <v>0</v>
      </c>
      <c r="AJ45" s="476">
        <v>6160</v>
      </c>
      <c r="AK45" s="476" t="s">
        <v>651</v>
      </c>
      <c r="AL45" s="476" t="s">
        <v>42</v>
      </c>
      <c r="AM45" s="476">
        <v>0</v>
      </c>
      <c r="AN45" s="476">
        <v>0</v>
      </c>
      <c r="AO45" s="476">
        <v>0</v>
      </c>
      <c r="AP45" s="476">
        <v>0</v>
      </c>
      <c r="AQ45" s="476">
        <v>0</v>
      </c>
      <c r="AR45" s="476">
        <v>0</v>
      </c>
      <c r="AS45" s="476">
        <v>0</v>
      </c>
      <c r="AT45" s="476">
        <v>0</v>
      </c>
      <c r="AU45" s="476">
        <v>0</v>
      </c>
      <c r="AV45" s="476">
        <v>0</v>
      </c>
      <c r="AW45" s="476">
        <v>17605772</v>
      </c>
      <c r="AX45" s="476">
        <v>17302699</v>
      </c>
      <c r="AY45" s="476">
        <v>0</v>
      </c>
      <c r="AZ45" s="476">
        <v>752108</v>
      </c>
      <c r="BA45" s="476">
        <v>37.25</v>
      </c>
      <c r="BB45" s="476">
        <v>35805</v>
      </c>
      <c r="BC45" s="476">
        <v>35576</v>
      </c>
      <c r="BD45" s="476">
        <v>84</v>
      </c>
      <c r="BE45" s="476">
        <v>228</v>
      </c>
      <c r="BF45" s="476">
        <v>15642759</v>
      </c>
      <c r="BG45" s="476">
        <v>0</v>
      </c>
      <c r="BH45" s="476">
        <v>0</v>
      </c>
      <c r="BI45" s="476">
        <v>0</v>
      </c>
      <c r="BJ45" s="476">
        <v>12</v>
      </c>
      <c r="BK45" s="476">
        <v>0</v>
      </c>
      <c r="BL45" s="476">
        <v>0</v>
      </c>
      <c r="BM45" s="476">
        <v>0</v>
      </c>
      <c r="BN45" s="476">
        <v>0</v>
      </c>
      <c r="BO45" s="476">
        <v>0</v>
      </c>
      <c r="BP45" s="476">
        <v>0</v>
      </c>
      <c r="BQ45" s="476">
        <v>496</v>
      </c>
      <c r="BR45" s="476">
        <v>0</v>
      </c>
      <c r="BS45" s="476">
        <v>0</v>
      </c>
      <c r="BT45" s="476">
        <v>0</v>
      </c>
      <c r="BU45" s="476">
        <v>0</v>
      </c>
      <c r="BV45" s="476">
        <v>0</v>
      </c>
      <c r="BW45" s="476">
        <v>0</v>
      </c>
      <c r="BX45" s="476">
        <v>0</v>
      </c>
      <c r="BY45" s="476">
        <v>0</v>
      </c>
      <c r="BZ45" s="476">
        <v>0</v>
      </c>
      <c r="CA45" s="476">
        <v>0</v>
      </c>
      <c r="CB45" s="476">
        <v>0</v>
      </c>
      <c r="CC45" s="476">
        <v>0</v>
      </c>
      <c r="CD45" s="476">
        <v>0</v>
      </c>
      <c r="CE45" s="476">
        <v>0</v>
      </c>
      <c r="CF45" s="476">
        <v>0</v>
      </c>
      <c r="CG45" s="476">
        <v>0</v>
      </c>
      <c r="CH45" s="476">
        <v>304721</v>
      </c>
      <c r="CI45" s="476">
        <v>0</v>
      </c>
      <c r="CJ45" s="476">
        <v>4</v>
      </c>
      <c r="CK45" s="476">
        <v>0</v>
      </c>
      <c r="CL45" s="476">
        <v>0</v>
      </c>
      <c r="CM45" s="476">
        <v>0</v>
      </c>
      <c r="CN45" s="476">
        <v>0</v>
      </c>
      <c r="CO45" s="476">
        <v>1</v>
      </c>
      <c r="CP45" s="476">
        <v>0</v>
      </c>
      <c r="CQ45" s="476">
        <v>9.4169999999999998</v>
      </c>
      <c r="CR45" s="476">
        <v>1804.952</v>
      </c>
      <c r="CS45" s="476">
        <v>0</v>
      </c>
      <c r="CT45" s="476">
        <v>0</v>
      </c>
      <c r="CU45" s="476">
        <v>0</v>
      </c>
      <c r="CV45" s="476">
        <v>0</v>
      </c>
      <c r="CW45" s="476">
        <v>0</v>
      </c>
      <c r="CX45" s="476">
        <v>0</v>
      </c>
      <c r="CY45" s="476">
        <v>0</v>
      </c>
      <c r="CZ45" s="476">
        <v>0</v>
      </c>
      <c r="DA45" s="476">
        <v>0</v>
      </c>
      <c r="DB45" s="476">
        <v>10964231</v>
      </c>
      <c r="DC45" s="476">
        <v>0</v>
      </c>
      <c r="DD45" s="476">
        <v>0</v>
      </c>
      <c r="DE45" s="476">
        <v>1113549</v>
      </c>
      <c r="DF45" s="476">
        <v>1113549</v>
      </c>
      <c r="DG45" s="476">
        <v>180.77500000000001</v>
      </c>
      <c r="DH45" s="476">
        <v>0</v>
      </c>
      <c r="DI45" s="476">
        <v>0</v>
      </c>
      <c r="DJ45" s="476">
        <v>0</v>
      </c>
      <c r="DK45" s="476">
        <v>0</v>
      </c>
      <c r="DL45" s="476">
        <v>0</v>
      </c>
      <c r="DM45" s="476">
        <v>412786</v>
      </c>
      <c r="DN45" s="476">
        <v>1419</v>
      </c>
      <c r="DO45" s="476">
        <v>0</v>
      </c>
      <c r="DP45" s="476">
        <v>0</v>
      </c>
      <c r="DQ45" s="476">
        <v>0</v>
      </c>
      <c r="DR45" s="476">
        <v>0</v>
      </c>
      <c r="DS45" s="476">
        <v>0</v>
      </c>
      <c r="DT45" s="476">
        <v>0</v>
      </c>
      <c r="DU45" s="476">
        <v>0</v>
      </c>
      <c r="DV45" s="476">
        <v>0</v>
      </c>
      <c r="DW45" s="476">
        <v>0</v>
      </c>
      <c r="DX45" s="476">
        <v>0</v>
      </c>
      <c r="DY45" s="476">
        <v>0</v>
      </c>
      <c r="DZ45" s="476">
        <v>0</v>
      </c>
      <c r="EA45" s="476">
        <v>0</v>
      </c>
      <c r="EB45" s="476">
        <v>0</v>
      </c>
      <c r="EC45" s="476">
        <v>15.370000000000001</v>
      </c>
      <c r="ED45" s="476">
        <v>108879</v>
      </c>
      <c r="EE45" s="476">
        <v>0</v>
      </c>
      <c r="EF45" s="476">
        <v>0</v>
      </c>
      <c r="EG45" s="476">
        <v>0</v>
      </c>
      <c r="EH45" s="476">
        <v>305326</v>
      </c>
      <c r="EI45" s="476">
        <v>0</v>
      </c>
      <c r="EJ45" s="476">
        <v>0</v>
      </c>
      <c r="EK45" s="476">
        <v>12.753</v>
      </c>
      <c r="EL45" s="476">
        <v>0</v>
      </c>
      <c r="EM45" s="476">
        <v>1.341</v>
      </c>
      <c r="EN45" s="476">
        <v>1.4570000000000001</v>
      </c>
      <c r="EO45" s="476">
        <v>0</v>
      </c>
      <c r="EP45" s="476">
        <v>0</v>
      </c>
      <c r="EQ45" s="476">
        <v>15.551</v>
      </c>
      <c r="ER45" s="476">
        <v>0</v>
      </c>
      <c r="ES45" s="476">
        <v>49.567</v>
      </c>
      <c r="ET45" s="476">
        <v>0</v>
      </c>
      <c r="EU45" s="476">
        <v>0</v>
      </c>
      <c r="EV45" s="476">
        <v>0</v>
      </c>
      <c r="EW45" s="476">
        <v>0</v>
      </c>
      <c r="EX45" s="476">
        <v>0</v>
      </c>
      <c r="EY45" s="476">
        <v>0</v>
      </c>
      <c r="EZ45" s="476">
        <v>14945617</v>
      </c>
      <c r="FA45" s="476">
        <v>0</v>
      </c>
      <c r="FB45" s="476">
        <v>15696077</v>
      </c>
      <c r="FC45" s="476">
        <v>0</v>
      </c>
      <c r="FD45" s="476">
        <v>0</v>
      </c>
      <c r="FE45" s="476">
        <v>2019766</v>
      </c>
      <c r="FF45" s="476">
        <v>337316</v>
      </c>
      <c r="FG45" s="476">
        <v>6.3017999999999991E-2</v>
      </c>
      <c r="FH45" s="476">
        <v>2.6953999999999999E-2</v>
      </c>
      <c r="FI45" s="476">
        <v>0</v>
      </c>
      <c r="FJ45" s="476">
        <v>0</v>
      </c>
      <c r="FK45" s="476">
        <v>2539.4670000000001</v>
      </c>
      <c r="FL45" s="476">
        <v>18357880</v>
      </c>
      <c r="FM45" s="476">
        <v>0</v>
      </c>
      <c r="FN45" s="476">
        <v>0</v>
      </c>
      <c r="FO45" s="476">
        <v>52200</v>
      </c>
      <c r="FP45" s="476">
        <v>0</v>
      </c>
      <c r="FQ45" s="476">
        <v>52200</v>
      </c>
      <c r="FR45" s="476">
        <v>52200</v>
      </c>
      <c r="FS45" s="476">
        <v>0</v>
      </c>
      <c r="FT45" s="476">
        <v>0</v>
      </c>
      <c r="FU45" s="476">
        <v>0</v>
      </c>
      <c r="FV45" s="476">
        <v>0</v>
      </c>
      <c r="FW45" s="476">
        <v>0</v>
      </c>
      <c r="FX45" s="476">
        <v>0</v>
      </c>
      <c r="FY45" s="476">
        <v>0</v>
      </c>
      <c r="FZ45" s="476">
        <v>0</v>
      </c>
      <c r="GA45" s="476">
        <v>0</v>
      </c>
      <c r="GB45" s="476">
        <v>87869</v>
      </c>
      <c r="GC45" s="476">
        <v>87869</v>
      </c>
      <c r="GD45" s="476">
        <v>9.4530000000000012</v>
      </c>
      <c r="GE45" s="476">
        <v>0</v>
      </c>
      <c r="GF45" s="476">
        <v>0</v>
      </c>
      <c r="GG45" s="476">
        <v>0</v>
      </c>
      <c r="GH45" s="476">
        <v>0</v>
      </c>
      <c r="GI45" s="476">
        <v>0</v>
      </c>
      <c r="GJ45" s="476">
        <v>0</v>
      </c>
      <c r="GK45" s="476">
        <v>0</v>
      </c>
      <c r="GL45" s="476">
        <v>0</v>
      </c>
      <c r="GM45" s="476">
        <v>0</v>
      </c>
      <c r="GN45" s="476">
        <v>0</v>
      </c>
      <c r="GO45" s="476">
        <v>0</v>
      </c>
      <c r="GP45" s="476">
        <v>0</v>
      </c>
      <c r="GQ45" s="476">
        <v>17301051</v>
      </c>
      <c r="GR45" s="476">
        <v>0</v>
      </c>
      <c r="GS45" s="476">
        <v>0</v>
      </c>
      <c r="GT45" s="476">
        <v>0</v>
      </c>
      <c r="GU45" s="476">
        <v>0</v>
      </c>
      <c r="GV45" s="476">
        <v>0</v>
      </c>
      <c r="GW45" s="476">
        <v>0</v>
      </c>
      <c r="GX45" s="476">
        <v>0</v>
      </c>
      <c r="GY45" s="476">
        <v>0</v>
      </c>
      <c r="GZ45" s="476">
        <v>0</v>
      </c>
      <c r="HA45" s="476">
        <v>0</v>
      </c>
      <c r="HB45" s="476">
        <v>323396213</v>
      </c>
      <c r="HC45" s="476">
        <v>4.2206E-2</v>
      </c>
      <c r="HD45" s="476">
        <v>304721</v>
      </c>
      <c r="HE45" s="476">
        <v>0</v>
      </c>
      <c r="HF45" s="476">
        <v>1961503</v>
      </c>
      <c r="HG45" s="476">
        <v>3080</v>
      </c>
      <c r="HH45" s="476">
        <v>505104</v>
      </c>
      <c r="HI45" s="476">
        <v>0</v>
      </c>
      <c r="HJ45" s="476">
        <v>18050</v>
      </c>
      <c r="HK45" s="476">
        <v>2091</v>
      </c>
      <c r="HL45" s="476">
        <v>675</v>
      </c>
      <c r="HM45" s="476">
        <v>27000</v>
      </c>
      <c r="HN45" s="476">
        <v>0</v>
      </c>
      <c r="HO45" s="476">
        <v>0</v>
      </c>
      <c r="HP45" s="476">
        <v>0</v>
      </c>
      <c r="HQ45" s="476">
        <v>0</v>
      </c>
      <c r="HR45" s="476">
        <v>0</v>
      </c>
      <c r="HS45" s="476">
        <v>14943969</v>
      </c>
      <c r="HT45" s="476">
        <v>337316</v>
      </c>
      <c r="HU45" s="476">
        <v>0</v>
      </c>
      <c r="HV45" s="476">
        <v>0</v>
      </c>
      <c r="HW45" s="476">
        <v>0</v>
      </c>
      <c r="HX45" s="476">
        <v>78</v>
      </c>
      <c r="HY45" s="476">
        <v>157</v>
      </c>
      <c r="HZ45" s="476">
        <v>156</v>
      </c>
      <c r="IA45" s="476">
        <v>217</v>
      </c>
      <c r="IB45" s="476">
        <v>109</v>
      </c>
      <c r="IC45" s="476">
        <v>717</v>
      </c>
      <c r="ID45" s="476">
        <v>0</v>
      </c>
      <c r="IE45" s="476">
        <v>0</v>
      </c>
      <c r="IF45" s="476">
        <v>0</v>
      </c>
      <c r="IG45" s="476">
        <v>5</v>
      </c>
      <c r="IH45" s="476">
        <v>819.99300000000005</v>
      </c>
      <c r="II45" s="476">
        <v>0</v>
      </c>
      <c r="IJ45" s="476">
        <v>831.77700000000004</v>
      </c>
      <c r="IK45" s="476">
        <v>0</v>
      </c>
      <c r="IL45" s="476">
        <v>3</v>
      </c>
      <c r="IM45" s="476">
        <v>4</v>
      </c>
      <c r="IN45" s="476">
        <v>0</v>
      </c>
      <c r="IO45" s="476">
        <v>7</v>
      </c>
      <c r="IP45" s="476">
        <v>0</v>
      </c>
      <c r="IQ45" s="476">
        <v>831.77700000000004</v>
      </c>
      <c r="IR45" s="476">
        <v>512363</v>
      </c>
      <c r="IS45" s="476">
        <v>0</v>
      </c>
      <c r="IT45" s="476">
        <v>15000</v>
      </c>
      <c r="IU45" s="476">
        <v>12000</v>
      </c>
      <c r="IV45" s="476">
        <v>0</v>
      </c>
      <c r="IW45" s="476">
        <v>6160</v>
      </c>
      <c r="IX45" s="476">
        <v>0</v>
      </c>
      <c r="IY45" s="476">
        <v>0</v>
      </c>
      <c r="IZ45" s="476">
        <v>0</v>
      </c>
      <c r="JA45" s="476">
        <v>0</v>
      </c>
      <c r="JB45" s="476">
        <v>0</v>
      </c>
      <c r="JC45" s="476">
        <v>0</v>
      </c>
      <c r="JD45" s="476">
        <v>0</v>
      </c>
      <c r="JE45" s="476">
        <v>0</v>
      </c>
      <c r="JF45" s="476">
        <v>0</v>
      </c>
      <c r="JG45" s="476">
        <v>0</v>
      </c>
      <c r="JH45" s="476">
        <v>0</v>
      </c>
      <c r="JI45" s="476">
        <v>0</v>
      </c>
      <c r="JJ45" s="476">
        <v>0</v>
      </c>
      <c r="JK45" s="476">
        <v>0</v>
      </c>
      <c r="JL45" s="476">
        <v>0</v>
      </c>
      <c r="JM45" s="476">
        <v>0</v>
      </c>
      <c r="JN45" s="476">
        <v>32469</v>
      </c>
      <c r="JO45" s="476">
        <v>0</v>
      </c>
      <c r="JP45" s="476">
        <v>9.4530000000000012</v>
      </c>
      <c r="JQ45" s="476">
        <v>0</v>
      </c>
      <c r="JR45" s="476">
        <v>0</v>
      </c>
      <c r="JS45" s="476">
        <v>87869</v>
      </c>
      <c r="JT45" s="476">
        <v>0</v>
      </c>
      <c r="JU45" s="476">
        <v>36220</v>
      </c>
      <c r="JV45" s="476">
        <v>0</v>
      </c>
      <c r="JW45" s="476">
        <v>0</v>
      </c>
      <c r="JX45" s="476">
        <v>0</v>
      </c>
      <c r="JY45" s="476">
        <v>0</v>
      </c>
      <c r="JZ45" s="476">
        <v>0</v>
      </c>
      <c r="KA45" s="476">
        <v>0</v>
      </c>
      <c r="KB45" s="476">
        <v>0</v>
      </c>
      <c r="KC45" s="476">
        <v>0</v>
      </c>
      <c r="KD45" s="476">
        <v>36220</v>
      </c>
      <c r="KE45" s="476">
        <v>7262</v>
      </c>
      <c r="KF45" s="476">
        <v>0</v>
      </c>
      <c r="KG45" s="476">
        <v>0</v>
      </c>
      <c r="KH45" s="476">
        <v>17301051</v>
      </c>
      <c r="KI45" s="476">
        <v>0</v>
      </c>
      <c r="KJ45" s="476">
        <v>2</v>
      </c>
      <c r="KK45" s="476">
        <v>3</v>
      </c>
      <c r="KL45" s="476">
        <v>1232</v>
      </c>
      <c r="KM45" s="476">
        <v>1848</v>
      </c>
      <c r="KN45" s="476">
        <v>0</v>
      </c>
    </row>
    <row r="46" spans="1:300" x14ac:dyDescent="0.25">
      <c r="A46" s="476">
        <v>40976</v>
      </c>
      <c r="B46" s="476">
        <v>57809</v>
      </c>
      <c r="C46" s="476">
        <v>9</v>
      </c>
      <c r="D46" s="476">
        <v>2024</v>
      </c>
      <c r="E46" s="476">
        <v>6160</v>
      </c>
      <c r="F46" s="476">
        <v>0</v>
      </c>
      <c r="G46" s="476">
        <v>80.94</v>
      </c>
      <c r="H46" s="476">
        <v>80.862000000000009</v>
      </c>
      <c r="I46" s="476">
        <v>80.862000000000009</v>
      </c>
      <c r="J46" s="476">
        <v>80.94</v>
      </c>
      <c r="K46" s="476">
        <v>0</v>
      </c>
      <c r="L46" s="476">
        <v>6160</v>
      </c>
      <c r="M46" s="476">
        <v>0</v>
      </c>
      <c r="N46" s="476">
        <v>0</v>
      </c>
      <c r="O46" s="476">
        <v>0</v>
      </c>
      <c r="P46" s="476">
        <v>81.075000000000003</v>
      </c>
      <c r="Q46" s="476">
        <v>0</v>
      </c>
      <c r="R46" s="476">
        <v>33637</v>
      </c>
      <c r="S46" s="476">
        <v>414.88400000000001</v>
      </c>
      <c r="T46" s="476">
        <v>0</v>
      </c>
      <c r="U46" s="476">
        <v>0</v>
      </c>
      <c r="V46" s="476">
        <v>8.157</v>
      </c>
      <c r="W46" s="476">
        <v>5025</v>
      </c>
      <c r="X46" s="476">
        <v>5025</v>
      </c>
      <c r="Y46" s="476">
        <v>0</v>
      </c>
      <c r="Z46" s="476">
        <v>0</v>
      </c>
      <c r="AA46" s="476">
        <v>0</v>
      </c>
      <c r="AB46" s="476">
        <v>0</v>
      </c>
      <c r="AC46" s="476">
        <v>0</v>
      </c>
      <c r="AD46" s="476" t="s">
        <v>314</v>
      </c>
      <c r="AE46" s="476">
        <v>0</v>
      </c>
      <c r="AF46" s="476">
        <v>0</v>
      </c>
      <c r="AG46" s="476">
        <v>0</v>
      </c>
      <c r="AH46" s="476">
        <v>0</v>
      </c>
      <c r="AI46" s="476">
        <v>0</v>
      </c>
      <c r="AJ46" s="476">
        <v>6160</v>
      </c>
      <c r="AK46" s="476" t="s">
        <v>651</v>
      </c>
      <c r="AL46" s="476" t="s">
        <v>325</v>
      </c>
      <c r="AM46" s="476">
        <v>0</v>
      </c>
      <c r="AN46" s="476">
        <v>0</v>
      </c>
      <c r="AO46" s="476">
        <v>0</v>
      </c>
      <c r="AP46" s="476">
        <v>0</v>
      </c>
      <c r="AQ46" s="476">
        <v>0</v>
      </c>
      <c r="AR46" s="476">
        <v>0</v>
      </c>
      <c r="AS46" s="476">
        <v>0</v>
      </c>
      <c r="AT46" s="476">
        <v>0</v>
      </c>
      <c r="AU46" s="476">
        <v>0</v>
      </c>
      <c r="AV46" s="476">
        <v>0</v>
      </c>
      <c r="AW46" s="476">
        <v>895487</v>
      </c>
      <c r="AX46" s="476">
        <v>881842</v>
      </c>
      <c r="AY46" s="476">
        <v>0</v>
      </c>
      <c r="AZ46" s="476">
        <v>33637</v>
      </c>
      <c r="BA46" s="476">
        <v>6</v>
      </c>
      <c r="BB46" s="476">
        <v>0</v>
      </c>
      <c r="BC46" s="476">
        <v>0</v>
      </c>
      <c r="BD46" s="476">
        <v>0</v>
      </c>
      <c r="BE46" s="476">
        <v>0</v>
      </c>
      <c r="BF46" s="476">
        <v>795597</v>
      </c>
      <c r="BG46" s="476">
        <v>0</v>
      </c>
      <c r="BH46" s="476">
        <v>0</v>
      </c>
      <c r="BI46" s="476">
        <v>0</v>
      </c>
      <c r="BJ46" s="476">
        <v>12</v>
      </c>
      <c r="BK46" s="476">
        <v>0</v>
      </c>
      <c r="BL46" s="476">
        <v>0</v>
      </c>
      <c r="BM46" s="476">
        <v>0</v>
      </c>
      <c r="BN46" s="476">
        <v>0</v>
      </c>
      <c r="BO46" s="476">
        <v>0</v>
      </c>
      <c r="BP46" s="476">
        <v>0</v>
      </c>
      <c r="BQ46" s="476">
        <v>758</v>
      </c>
      <c r="BR46" s="476">
        <v>0</v>
      </c>
      <c r="BS46" s="476">
        <v>0</v>
      </c>
      <c r="BT46" s="476">
        <v>0</v>
      </c>
      <c r="BU46" s="476">
        <v>0</v>
      </c>
      <c r="BV46" s="476">
        <v>0</v>
      </c>
      <c r="BW46" s="476">
        <v>0</v>
      </c>
      <c r="BX46" s="476">
        <v>0</v>
      </c>
      <c r="BY46" s="476">
        <v>0</v>
      </c>
      <c r="BZ46" s="476">
        <v>0</v>
      </c>
      <c r="CA46" s="476">
        <v>0</v>
      </c>
      <c r="CB46" s="476">
        <v>0</v>
      </c>
      <c r="CC46" s="476">
        <v>0</v>
      </c>
      <c r="CD46" s="476">
        <v>0</v>
      </c>
      <c r="CE46" s="476">
        <v>0</v>
      </c>
      <c r="CF46" s="476">
        <v>0</v>
      </c>
      <c r="CG46" s="476">
        <v>0</v>
      </c>
      <c r="CH46" s="476">
        <v>13665</v>
      </c>
      <c r="CI46" s="476">
        <v>0</v>
      </c>
      <c r="CJ46" s="476">
        <v>4</v>
      </c>
      <c r="CK46" s="476">
        <v>0</v>
      </c>
      <c r="CL46" s="476">
        <v>0</v>
      </c>
      <c r="CM46" s="476">
        <v>0</v>
      </c>
      <c r="CN46" s="476">
        <v>0</v>
      </c>
      <c r="CO46" s="476">
        <v>1</v>
      </c>
      <c r="CP46" s="476">
        <v>0</v>
      </c>
      <c r="CQ46" s="476">
        <v>0</v>
      </c>
      <c r="CR46" s="476">
        <v>80.94</v>
      </c>
      <c r="CS46" s="476">
        <v>0</v>
      </c>
      <c r="CT46" s="476">
        <v>0</v>
      </c>
      <c r="CU46" s="476">
        <v>0</v>
      </c>
      <c r="CV46" s="476">
        <v>0</v>
      </c>
      <c r="CW46" s="476">
        <v>0</v>
      </c>
      <c r="CX46" s="476">
        <v>0</v>
      </c>
      <c r="CY46" s="476">
        <v>0</v>
      </c>
      <c r="CZ46" s="476">
        <v>0</v>
      </c>
      <c r="DA46" s="476">
        <v>0</v>
      </c>
      <c r="DB46" s="476">
        <v>484604</v>
      </c>
      <c r="DC46" s="476">
        <v>0</v>
      </c>
      <c r="DD46" s="476">
        <v>0</v>
      </c>
      <c r="DE46" s="476">
        <v>166008</v>
      </c>
      <c r="DF46" s="476">
        <v>166008</v>
      </c>
      <c r="DG46" s="476">
        <v>26.95</v>
      </c>
      <c r="DH46" s="476">
        <v>0</v>
      </c>
      <c r="DI46" s="476">
        <v>0</v>
      </c>
      <c r="DJ46" s="476">
        <v>0</v>
      </c>
      <c r="DK46" s="476">
        <v>3743</v>
      </c>
      <c r="DL46" s="476">
        <v>0</v>
      </c>
      <c r="DM46" s="476">
        <v>19313</v>
      </c>
      <c r="DN46" s="476">
        <v>20</v>
      </c>
      <c r="DO46" s="476">
        <v>0</v>
      </c>
      <c r="DP46" s="476">
        <v>0</v>
      </c>
      <c r="DQ46" s="476">
        <v>0</v>
      </c>
      <c r="DR46" s="476">
        <v>0</v>
      </c>
      <c r="DS46" s="476">
        <v>0</v>
      </c>
      <c r="DT46" s="476">
        <v>0</v>
      </c>
      <c r="DU46" s="476">
        <v>0</v>
      </c>
      <c r="DV46" s="476">
        <v>0</v>
      </c>
      <c r="DW46" s="476">
        <v>0</v>
      </c>
      <c r="DX46" s="476">
        <v>0</v>
      </c>
      <c r="DY46" s="476">
        <v>0</v>
      </c>
      <c r="DZ46" s="476">
        <v>0</v>
      </c>
      <c r="EA46" s="476">
        <v>0</v>
      </c>
      <c r="EB46" s="476">
        <v>0</v>
      </c>
      <c r="EC46" s="476">
        <v>0.48500000000000004</v>
      </c>
      <c r="ED46" s="476">
        <v>3436</v>
      </c>
      <c r="EE46" s="476">
        <v>0</v>
      </c>
      <c r="EF46" s="476">
        <v>0</v>
      </c>
      <c r="EG46" s="476">
        <v>0</v>
      </c>
      <c r="EH46" s="476">
        <v>2402</v>
      </c>
      <c r="EI46" s="476">
        <v>0</v>
      </c>
      <c r="EJ46" s="476">
        <v>0</v>
      </c>
      <c r="EK46" s="476">
        <v>0</v>
      </c>
      <c r="EL46" s="476">
        <v>0</v>
      </c>
      <c r="EM46" s="476">
        <v>0</v>
      </c>
      <c r="EN46" s="476">
        <v>7.8E-2</v>
      </c>
      <c r="EO46" s="476">
        <v>0</v>
      </c>
      <c r="EP46" s="476">
        <v>0</v>
      </c>
      <c r="EQ46" s="476">
        <v>7.8E-2</v>
      </c>
      <c r="ER46" s="476">
        <v>0</v>
      </c>
      <c r="ES46" s="476">
        <v>0.39</v>
      </c>
      <c r="ET46" s="476">
        <v>0</v>
      </c>
      <c r="EU46" s="476">
        <v>0</v>
      </c>
      <c r="EV46" s="476">
        <v>0</v>
      </c>
      <c r="EW46" s="476">
        <v>0</v>
      </c>
      <c r="EX46" s="476">
        <v>0</v>
      </c>
      <c r="EY46" s="476">
        <v>0</v>
      </c>
      <c r="EZ46" s="476">
        <v>761960</v>
      </c>
      <c r="FA46" s="476">
        <v>0</v>
      </c>
      <c r="FB46" s="476">
        <v>795577</v>
      </c>
      <c r="FC46" s="476">
        <v>0</v>
      </c>
      <c r="FD46" s="476">
        <v>0</v>
      </c>
      <c r="FE46" s="476">
        <v>102726</v>
      </c>
      <c r="FF46" s="476">
        <v>17156</v>
      </c>
      <c r="FG46" s="476">
        <v>6.3017999999999991E-2</v>
      </c>
      <c r="FH46" s="476">
        <v>2.6953999999999999E-2</v>
      </c>
      <c r="FI46" s="476">
        <v>0</v>
      </c>
      <c r="FJ46" s="476">
        <v>0</v>
      </c>
      <c r="FK46" s="476">
        <v>129.15800000000002</v>
      </c>
      <c r="FL46" s="476">
        <v>929124</v>
      </c>
      <c r="FM46" s="476">
        <v>0</v>
      </c>
      <c r="FN46" s="476">
        <v>0</v>
      </c>
      <c r="FO46" s="476">
        <v>0</v>
      </c>
      <c r="FP46" s="476">
        <v>0</v>
      </c>
      <c r="FQ46" s="476">
        <v>0</v>
      </c>
      <c r="FR46" s="476">
        <v>0</v>
      </c>
      <c r="FS46" s="476">
        <v>0</v>
      </c>
      <c r="FT46" s="476">
        <v>0</v>
      </c>
      <c r="FU46" s="476">
        <v>0</v>
      </c>
      <c r="FV46" s="476">
        <v>0</v>
      </c>
      <c r="FW46" s="476">
        <v>0</v>
      </c>
      <c r="FX46" s="476">
        <v>0</v>
      </c>
      <c r="FY46" s="476">
        <v>0</v>
      </c>
      <c r="FZ46" s="476">
        <v>0</v>
      </c>
      <c r="GA46" s="476">
        <v>0</v>
      </c>
      <c r="GB46" s="476">
        <v>0</v>
      </c>
      <c r="GC46" s="476">
        <v>0</v>
      </c>
      <c r="GD46" s="476">
        <v>0</v>
      </c>
      <c r="GE46" s="476">
        <v>0</v>
      </c>
      <c r="GF46" s="476">
        <v>0</v>
      </c>
      <c r="GG46" s="476">
        <v>0</v>
      </c>
      <c r="GH46" s="476">
        <v>0</v>
      </c>
      <c r="GI46" s="476">
        <v>0</v>
      </c>
      <c r="GJ46" s="476">
        <v>0</v>
      </c>
      <c r="GK46" s="476">
        <v>0</v>
      </c>
      <c r="GL46" s="476">
        <v>0</v>
      </c>
      <c r="GM46" s="476">
        <v>0</v>
      </c>
      <c r="GN46" s="476">
        <v>0</v>
      </c>
      <c r="GO46" s="476">
        <v>0</v>
      </c>
      <c r="GP46" s="476">
        <v>0</v>
      </c>
      <c r="GQ46" s="476">
        <v>881822</v>
      </c>
      <c r="GR46" s="476">
        <v>0</v>
      </c>
      <c r="GS46" s="476">
        <v>0</v>
      </c>
      <c r="GT46" s="476">
        <v>0</v>
      </c>
      <c r="GU46" s="476">
        <v>0</v>
      </c>
      <c r="GV46" s="476">
        <v>0</v>
      </c>
      <c r="GW46" s="476">
        <v>0</v>
      </c>
      <c r="GX46" s="476">
        <v>0</v>
      </c>
      <c r="GY46" s="476">
        <v>0</v>
      </c>
      <c r="GZ46" s="476">
        <v>0</v>
      </c>
      <c r="HA46" s="476">
        <v>0</v>
      </c>
      <c r="HB46" s="476">
        <v>323396213</v>
      </c>
      <c r="HC46" s="476">
        <v>4.2206E-2</v>
      </c>
      <c r="HD46" s="476">
        <v>13665</v>
      </c>
      <c r="HE46" s="476">
        <v>0</v>
      </c>
      <c r="HF46" s="476">
        <v>89110</v>
      </c>
      <c r="HG46" s="476">
        <v>1232</v>
      </c>
      <c r="HH46" s="476">
        <v>29476</v>
      </c>
      <c r="HI46" s="476">
        <v>0</v>
      </c>
      <c r="HJ46" s="476">
        <v>809</v>
      </c>
      <c r="HK46" s="476">
        <v>0</v>
      </c>
      <c r="HL46" s="476">
        <v>0</v>
      </c>
      <c r="HM46" s="476">
        <v>0</v>
      </c>
      <c r="HN46" s="476">
        <v>0</v>
      </c>
      <c r="HO46" s="476">
        <v>0</v>
      </c>
      <c r="HP46" s="476">
        <v>0</v>
      </c>
      <c r="HQ46" s="476">
        <v>0</v>
      </c>
      <c r="HR46" s="476">
        <v>0</v>
      </c>
      <c r="HS46" s="476">
        <v>761940</v>
      </c>
      <c r="HT46" s="476">
        <v>17156</v>
      </c>
      <c r="HU46" s="476">
        <v>0</v>
      </c>
      <c r="HV46" s="476">
        <v>0</v>
      </c>
      <c r="HW46" s="476">
        <v>0</v>
      </c>
      <c r="HX46" s="476">
        <v>3</v>
      </c>
      <c r="HY46" s="476">
        <v>5</v>
      </c>
      <c r="HZ46" s="476">
        <v>28</v>
      </c>
      <c r="IA46" s="476">
        <v>27</v>
      </c>
      <c r="IB46" s="476">
        <v>40</v>
      </c>
      <c r="IC46" s="476">
        <v>103</v>
      </c>
      <c r="ID46" s="476">
        <v>0</v>
      </c>
      <c r="IE46" s="476">
        <v>0</v>
      </c>
      <c r="IF46" s="476">
        <v>0</v>
      </c>
      <c r="IG46" s="476">
        <v>2</v>
      </c>
      <c r="IH46" s="476">
        <v>47.852000000000004</v>
      </c>
      <c r="II46" s="476">
        <v>0</v>
      </c>
      <c r="IJ46" s="476">
        <v>8.157</v>
      </c>
      <c r="IK46" s="476">
        <v>0</v>
      </c>
      <c r="IL46" s="476">
        <v>0</v>
      </c>
      <c r="IM46" s="476">
        <v>0</v>
      </c>
      <c r="IN46" s="476">
        <v>0</v>
      </c>
      <c r="IO46" s="476">
        <v>0</v>
      </c>
      <c r="IP46" s="476">
        <v>0</v>
      </c>
      <c r="IQ46" s="476">
        <v>8.157</v>
      </c>
      <c r="IR46" s="476">
        <v>5025</v>
      </c>
      <c r="IS46" s="476">
        <v>0</v>
      </c>
      <c r="IT46" s="476">
        <v>0</v>
      </c>
      <c r="IU46" s="476">
        <v>0</v>
      </c>
      <c r="IV46" s="476">
        <v>0</v>
      </c>
      <c r="IW46" s="476">
        <v>6160</v>
      </c>
      <c r="IX46" s="476">
        <v>0</v>
      </c>
      <c r="IY46" s="476">
        <v>0</v>
      </c>
      <c r="IZ46" s="476">
        <v>0</v>
      </c>
      <c r="JA46" s="476">
        <v>0</v>
      </c>
      <c r="JB46" s="476">
        <v>0</v>
      </c>
      <c r="JC46" s="476">
        <v>0</v>
      </c>
      <c r="JD46" s="476">
        <v>0</v>
      </c>
      <c r="JE46" s="476">
        <v>0</v>
      </c>
      <c r="JF46" s="476">
        <v>0</v>
      </c>
      <c r="JG46" s="476">
        <v>0</v>
      </c>
      <c r="JH46" s="476">
        <v>0</v>
      </c>
      <c r="JI46" s="476">
        <v>0</v>
      </c>
      <c r="JJ46" s="476">
        <v>0</v>
      </c>
      <c r="JK46" s="476">
        <v>0</v>
      </c>
      <c r="JL46" s="476">
        <v>0</v>
      </c>
      <c r="JM46" s="476">
        <v>0</v>
      </c>
      <c r="JN46" s="476">
        <v>32469</v>
      </c>
      <c r="JO46" s="476">
        <v>0</v>
      </c>
      <c r="JP46" s="476">
        <v>0</v>
      </c>
      <c r="JQ46" s="476">
        <v>0</v>
      </c>
      <c r="JR46" s="476">
        <v>0</v>
      </c>
      <c r="JS46" s="476">
        <v>0</v>
      </c>
      <c r="JT46" s="476">
        <v>0</v>
      </c>
      <c r="JU46" s="476">
        <v>0</v>
      </c>
      <c r="JV46" s="476">
        <v>0</v>
      </c>
      <c r="JW46" s="476">
        <v>0</v>
      </c>
      <c r="JX46" s="476">
        <v>0</v>
      </c>
      <c r="JY46" s="476">
        <v>0</v>
      </c>
      <c r="JZ46" s="476">
        <v>0</v>
      </c>
      <c r="KA46" s="476">
        <v>0</v>
      </c>
      <c r="KB46" s="476">
        <v>0</v>
      </c>
      <c r="KC46" s="476">
        <v>0</v>
      </c>
      <c r="KD46" s="476">
        <v>0</v>
      </c>
      <c r="KE46" s="476">
        <v>7262</v>
      </c>
      <c r="KF46" s="476">
        <v>0</v>
      </c>
      <c r="KG46" s="476">
        <v>0</v>
      </c>
      <c r="KH46" s="476">
        <v>881822</v>
      </c>
      <c r="KI46" s="476">
        <v>0</v>
      </c>
      <c r="KJ46" s="476">
        <v>1</v>
      </c>
      <c r="KK46" s="476">
        <v>1</v>
      </c>
      <c r="KL46" s="476">
        <v>616</v>
      </c>
      <c r="KM46" s="476">
        <v>616</v>
      </c>
      <c r="KN46" s="476">
        <v>0</v>
      </c>
    </row>
    <row r="47" spans="1:300" x14ac:dyDescent="0.25">
      <c r="A47" s="476">
        <v>40976</v>
      </c>
      <c r="B47" s="476">
        <v>57810</v>
      </c>
      <c r="C47" s="476">
        <v>9</v>
      </c>
      <c r="D47" s="476">
        <v>2024</v>
      </c>
      <c r="E47" s="476">
        <v>6160</v>
      </c>
      <c r="F47" s="476">
        <v>0</v>
      </c>
      <c r="G47" s="476">
        <v>240.708</v>
      </c>
      <c r="H47" s="476">
        <v>233.25400000000002</v>
      </c>
      <c r="I47" s="476">
        <v>233.25400000000002</v>
      </c>
      <c r="J47" s="476">
        <v>240.708</v>
      </c>
      <c r="K47" s="476">
        <v>0</v>
      </c>
      <c r="L47" s="476">
        <v>6160</v>
      </c>
      <c r="M47" s="476">
        <v>0</v>
      </c>
      <c r="N47" s="476">
        <v>0</v>
      </c>
      <c r="O47" s="476">
        <v>0</v>
      </c>
      <c r="P47" s="476">
        <v>240.708</v>
      </c>
      <c r="Q47" s="476">
        <v>0</v>
      </c>
      <c r="R47" s="476">
        <v>99866</v>
      </c>
      <c r="S47" s="476">
        <v>414.88400000000001</v>
      </c>
      <c r="T47" s="476">
        <v>0</v>
      </c>
      <c r="U47" s="476">
        <v>0</v>
      </c>
      <c r="V47" s="476">
        <v>19.323</v>
      </c>
      <c r="W47" s="476">
        <v>11903</v>
      </c>
      <c r="X47" s="476">
        <v>11903</v>
      </c>
      <c r="Y47" s="476">
        <v>0</v>
      </c>
      <c r="Z47" s="476">
        <v>0</v>
      </c>
      <c r="AA47" s="476">
        <v>0</v>
      </c>
      <c r="AB47" s="476">
        <v>0</v>
      </c>
      <c r="AC47" s="476">
        <v>0</v>
      </c>
      <c r="AD47" s="476" t="s">
        <v>314</v>
      </c>
      <c r="AE47" s="476">
        <v>0</v>
      </c>
      <c r="AF47" s="476">
        <v>0</v>
      </c>
      <c r="AG47" s="476">
        <v>0</v>
      </c>
      <c r="AH47" s="476">
        <v>0</v>
      </c>
      <c r="AI47" s="476">
        <v>0</v>
      </c>
      <c r="AJ47" s="476">
        <v>6160</v>
      </c>
      <c r="AK47" s="476" t="s">
        <v>651</v>
      </c>
      <c r="AL47" s="476" t="s">
        <v>20</v>
      </c>
      <c r="AM47" s="476">
        <v>0</v>
      </c>
      <c r="AN47" s="476">
        <v>0</v>
      </c>
      <c r="AO47" s="476">
        <v>0</v>
      </c>
      <c r="AP47" s="476">
        <v>0</v>
      </c>
      <c r="AQ47" s="476">
        <v>0</v>
      </c>
      <c r="AR47" s="476">
        <v>0</v>
      </c>
      <c r="AS47" s="476">
        <v>0</v>
      </c>
      <c r="AT47" s="476">
        <v>0</v>
      </c>
      <c r="AU47" s="476">
        <v>0</v>
      </c>
      <c r="AV47" s="476">
        <v>0</v>
      </c>
      <c r="AW47" s="476">
        <v>2620519</v>
      </c>
      <c r="AX47" s="476">
        <v>2580412</v>
      </c>
      <c r="AY47" s="476">
        <v>0</v>
      </c>
      <c r="AZ47" s="476">
        <v>99866</v>
      </c>
      <c r="BA47" s="476">
        <v>0</v>
      </c>
      <c r="BB47" s="476">
        <v>0</v>
      </c>
      <c r="BC47" s="476">
        <v>0</v>
      </c>
      <c r="BD47" s="476">
        <v>0</v>
      </c>
      <c r="BE47" s="476">
        <v>0</v>
      </c>
      <c r="BF47" s="476">
        <v>2329295</v>
      </c>
      <c r="BG47" s="476">
        <v>0</v>
      </c>
      <c r="BH47" s="476">
        <v>0</v>
      </c>
      <c r="BI47" s="476">
        <v>0</v>
      </c>
      <c r="BJ47" s="476">
        <v>12</v>
      </c>
      <c r="BK47" s="476">
        <v>0</v>
      </c>
      <c r="BL47" s="476">
        <v>0</v>
      </c>
      <c r="BM47" s="476">
        <v>0</v>
      </c>
      <c r="BN47" s="476">
        <v>0</v>
      </c>
      <c r="BO47" s="476">
        <v>0</v>
      </c>
      <c r="BP47" s="476">
        <v>0</v>
      </c>
      <c r="BQ47" s="476">
        <v>734</v>
      </c>
      <c r="BR47" s="476">
        <v>0</v>
      </c>
      <c r="BS47" s="476">
        <v>0</v>
      </c>
      <c r="BT47" s="476">
        <v>0</v>
      </c>
      <c r="BU47" s="476">
        <v>0</v>
      </c>
      <c r="BV47" s="476">
        <v>0</v>
      </c>
      <c r="BW47" s="476">
        <v>0</v>
      </c>
      <c r="BX47" s="476">
        <v>0</v>
      </c>
      <c r="BY47" s="476">
        <v>0</v>
      </c>
      <c r="BZ47" s="476">
        <v>0</v>
      </c>
      <c r="CA47" s="476">
        <v>0</v>
      </c>
      <c r="CB47" s="476">
        <v>0</v>
      </c>
      <c r="CC47" s="476">
        <v>0</v>
      </c>
      <c r="CD47" s="476">
        <v>0</v>
      </c>
      <c r="CE47" s="476">
        <v>0</v>
      </c>
      <c r="CF47" s="476">
        <v>0</v>
      </c>
      <c r="CG47" s="476">
        <v>0</v>
      </c>
      <c r="CH47" s="476">
        <v>40638</v>
      </c>
      <c r="CI47" s="476">
        <v>0</v>
      </c>
      <c r="CJ47" s="476">
        <v>4</v>
      </c>
      <c r="CK47" s="476">
        <v>0</v>
      </c>
      <c r="CL47" s="476">
        <v>0</v>
      </c>
      <c r="CM47" s="476">
        <v>0</v>
      </c>
      <c r="CN47" s="476">
        <v>0</v>
      </c>
      <c r="CO47" s="476">
        <v>1</v>
      </c>
      <c r="CP47" s="476">
        <v>0</v>
      </c>
      <c r="CQ47" s="476">
        <v>0</v>
      </c>
      <c r="CR47" s="476">
        <v>240.708</v>
      </c>
      <c r="CS47" s="476">
        <v>0</v>
      </c>
      <c r="CT47" s="476">
        <v>0</v>
      </c>
      <c r="CU47" s="476">
        <v>0</v>
      </c>
      <c r="CV47" s="476">
        <v>0</v>
      </c>
      <c r="CW47" s="476">
        <v>0</v>
      </c>
      <c r="CX47" s="476">
        <v>0</v>
      </c>
      <c r="CY47" s="476">
        <v>0</v>
      </c>
      <c r="CZ47" s="476">
        <v>0</v>
      </c>
      <c r="DA47" s="476">
        <v>0</v>
      </c>
      <c r="DB47" s="476">
        <v>1417781</v>
      </c>
      <c r="DC47" s="476">
        <v>0</v>
      </c>
      <c r="DD47" s="476">
        <v>0</v>
      </c>
      <c r="DE47" s="476">
        <v>409631</v>
      </c>
      <c r="DF47" s="476">
        <v>409631</v>
      </c>
      <c r="DG47" s="476">
        <v>66.5</v>
      </c>
      <c r="DH47" s="476">
        <v>0</v>
      </c>
      <c r="DI47" s="476">
        <v>0</v>
      </c>
      <c r="DJ47" s="476">
        <v>0</v>
      </c>
      <c r="DK47" s="476">
        <v>3368</v>
      </c>
      <c r="DL47" s="476">
        <v>0</v>
      </c>
      <c r="DM47" s="476">
        <v>173342</v>
      </c>
      <c r="DN47" s="476">
        <v>531</v>
      </c>
      <c r="DO47" s="476">
        <v>0</v>
      </c>
      <c r="DP47" s="476">
        <v>0</v>
      </c>
      <c r="DQ47" s="476">
        <v>0</v>
      </c>
      <c r="DR47" s="476">
        <v>0</v>
      </c>
      <c r="DS47" s="476">
        <v>0</v>
      </c>
      <c r="DT47" s="476">
        <v>0</v>
      </c>
      <c r="DU47" s="476">
        <v>0</v>
      </c>
      <c r="DV47" s="476">
        <v>0</v>
      </c>
      <c r="DW47" s="476">
        <v>0</v>
      </c>
      <c r="DX47" s="476">
        <v>0</v>
      </c>
      <c r="DY47" s="476">
        <v>0</v>
      </c>
      <c r="DZ47" s="476">
        <v>0</v>
      </c>
      <c r="EA47" s="476">
        <v>0</v>
      </c>
      <c r="EB47" s="476">
        <v>0</v>
      </c>
      <c r="EC47" s="476">
        <v>0.77500000000000002</v>
      </c>
      <c r="ED47" s="476">
        <v>5490</v>
      </c>
      <c r="EE47" s="476">
        <v>0</v>
      </c>
      <c r="EF47" s="476">
        <v>0</v>
      </c>
      <c r="EG47" s="476">
        <v>0</v>
      </c>
      <c r="EH47" s="476">
        <v>149352</v>
      </c>
      <c r="EI47" s="476">
        <v>0</v>
      </c>
      <c r="EJ47" s="476">
        <v>0</v>
      </c>
      <c r="EK47" s="476">
        <v>3.16</v>
      </c>
      <c r="EL47" s="476">
        <v>0</v>
      </c>
      <c r="EM47" s="476">
        <v>3.3520000000000003</v>
      </c>
      <c r="EN47" s="476">
        <v>0.94200000000000006</v>
      </c>
      <c r="EO47" s="476">
        <v>0</v>
      </c>
      <c r="EP47" s="476">
        <v>0</v>
      </c>
      <c r="EQ47" s="476">
        <v>7.4540000000000006</v>
      </c>
      <c r="ER47" s="476">
        <v>0</v>
      </c>
      <c r="ES47" s="476">
        <v>24.246000000000002</v>
      </c>
      <c r="ET47" s="476">
        <v>0</v>
      </c>
      <c r="EU47" s="476">
        <v>0</v>
      </c>
      <c r="EV47" s="476">
        <v>0</v>
      </c>
      <c r="EW47" s="476">
        <v>0</v>
      </c>
      <c r="EX47" s="476">
        <v>0</v>
      </c>
      <c r="EY47" s="476">
        <v>0</v>
      </c>
      <c r="EZ47" s="476">
        <v>2229429</v>
      </c>
      <c r="FA47" s="476">
        <v>0</v>
      </c>
      <c r="FB47" s="476">
        <v>2328764</v>
      </c>
      <c r="FC47" s="476">
        <v>0</v>
      </c>
      <c r="FD47" s="476">
        <v>0</v>
      </c>
      <c r="FE47" s="476">
        <v>300755</v>
      </c>
      <c r="FF47" s="476">
        <v>50228</v>
      </c>
      <c r="FG47" s="476">
        <v>6.3017999999999991E-2</v>
      </c>
      <c r="FH47" s="476">
        <v>2.6953999999999999E-2</v>
      </c>
      <c r="FI47" s="476">
        <v>0</v>
      </c>
      <c r="FJ47" s="476">
        <v>0</v>
      </c>
      <c r="FK47" s="476">
        <v>378.14100000000002</v>
      </c>
      <c r="FL47" s="476">
        <v>2720385</v>
      </c>
      <c r="FM47" s="476">
        <v>0</v>
      </c>
      <c r="FN47" s="476">
        <v>0</v>
      </c>
      <c r="FO47" s="476">
        <v>0</v>
      </c>
      <c r="FP47" s="476">
        <v>0</v>
      </c>
      <c r="FQ47" s="476">
        <v>0</v>
      </c>
      <c r="FR47" s="476">
        <v>0</v>
      </c>
      <c r="FS47" s="476">
        <v>0</v>
      </c>
      <c r="FT47" s="476">
        <v>0</v>
      </c>
      <c r="FU47" s="476">
        <v>0</v>
      </c>
      <c r="FV47" s="476">
        <v>0</v>
      </c>
      <c r="FW47" s="476">
        <v>0</v>
      </c>
      <c r="FX47" s="476">
        <v>0</v>
      </c>
      <c r="FY47" s="476">
        <v>0</v>
      </c>
      <c r="FZ47" s="476">
        <v>0</v>
      </c>
      <c r="GA47" s="476">
        <v>0</v>
      </c>
      <c r="GB47" s="476">
        <v>0</v>
      </c>
      <c r="GC47" s="476">
        <v>0</v>
      </c>
      <c r="GD47" s="476">
        <v>0</v>
      </c>
      <c r="GE47" s="476">
        <v>0</v>
      </c>
      <c r="GF47" s="476">
        <v>0</v>
      </c>
      <c r="GG47" s="476">
        <v>0</v>
      </c>
      <c r="GH47" s="476">
        <v>0</v>
      </c>
      <c r="GI47" s="476">
        <v>0</v>
      </c>
      <c r="GJ47" s="476">
        <v>0</v>
      </c>
      <c r="GK47" s="476">
        <v>0</v>
      </c>
      <c r="GL47" s="476">
        <v>0</v>
      </c>
      <c r="GM47" s="476">
        <v>0</v>
      </c>
      <c r="GN47" s="476">
        <v>0</v>
      </c>
      <c r="GO47" s="476">
        <v>0</v>
      </c>
      <c r="GP47" s="476">
        <v>0</v>
      </c>
      <c r="GQ47" s="476">
        <v>2579881</v>
      </c>
      <c r="GR47" s="476">
        <v>0</v>
      </c>
      <c r="GS47" s="476">
        <v>0</v>
      </c>
      <c r="GT47" s="476">
        <v>0</v>
      </c>
      <c r="GU47" s="476">
        <v>0</v>
      </c>
      <c r="GV47" s="476">
        <v>0</v>
      </c>
      <c r="GW47" s="476">
        <v>0</v>
      </c>
      <c r="GX47" s="476">
        <v>0</v>
      </c>
      <c r="GY47" s="476">
        <v>0</v>
      </c>
      <c r="GZ47" s="476">
        <v>0</v>
      </c>
      <c r="HA47" s="476">
        <v>0</v>
      </c>
      <c r="HB47" s="476">
        <v>323396213</v>
      </c>
      <c r="HC47" s="476">
        <v>4.2206E-2</v>
      </c>
      <c r="HD47" s="476">
        <v>40638</v>
      </c>
      <c r="HE47" s="476">
        <v>0</v>
      </c>
      <c r="HF47" s="476">
        <v>257046</v>
      </c>
      <c r="HG47" s="476">
        <v>616</v>
      </c>
      <c r="HH47" s="476">
        <v>56038</v>
      </c>
      <c r="HI47" s="476">
        <v>0</v>
      </c>
      <c r="HJ47" s="476">
        <v>2407</v>
      </c>
      <c r="HK47" s="476">
        <v>0</v>
      </c>
      <c r="HL47" s="476">
        <v>0</v>
      </c>
      <c r="HM47" s="476">
        <v>0</v>
      </c>
      <c r="HN47" s="476">
        <v>0</v>
      </c>
      <c r="HO47" s="476">
        <v>0</v>
      </c>
      <c r="HP47" s="476">
        <v>0</v>
      </c>
      <c r="HQ47" s="476">
        <v>0</v>
      </c>
      <c r="HR47" s="476">
        <v>0</v>
      </c>
      <c r="HS47" s="476">
        <v>2228898</v>
      </c>
      <c r="HT47" s="476">
        <v>50228</v>
      </c>
      <c r="HU47" s="476">
        <v>0</v>
      </c>
      <c r="HV47" s="476">
        <v>0</v>
      </c>
      <c r="HW47" s="476">
        <v>0</v>
      </c>
      <c r="HX47" s="476">
        <v>4</v>
      </c>
      <c r="HY47" s="476">
        <v>22</v>
      </c>
      <c r="HZ47" s="476">
        <v>43</v>
      </c>
      <c r="IA47" s="476">
        <v>56</v>
      </c>
      <c r="IB47" s="476">
        <v>127</v>
      </c>
      <c r="IC47" s="476">
        <v>252</v>
      </c>
      <c r="ID47" s="476">
        <v>0</v>
      </c>
      <c r="IE47" s="476">
        <v>0</v>
      </c>
      <c r="IF47" s="476">
        <v>0</v>
      </c>
      <c r="IG47" s="476">
        <v>1</v>
      </c>
      <c r="IH47" s="476">
        <v>90.972999999999999</v>
      </c>
      <c r="II47" s="476">
        <v>0</v>
      </c>
      <c r="IJ47" s="476">
        <v>19.323</v>
      </c>
      <c r="IK47" s="476">
        <v>0</v>
      </c>
      <c r="IL47" s="476">
        <v>0</v>
      </c>
      <c r="IM47" s="476">
        <v>0</v>
      </c>
      <c r="IN47" s="476">
        <v>0</v>
      </c>
      <c r="IO47" s="476">
        <v>0</v>
      </c>
      <c r="IP47" s="476">
        <v>0</v>
      </c>
      <c r="IQ47" s="476">
        <v>19.323</v>
      </c>
      <c r="IR47" s="476">
        <v>11903</v>
      </c>
      <c r="IS47" s="476">
        <v>0</v>
      </c>
      <c r="IT47" s="476">
        <v>0</v>
      </c>
      <c r="IU47" s="476">
        <v>0</v>
      </c>
      <c r="IV47" s="476">
        <v>0</v>
      </c>
      <c r="IW47" s="476">
        <v>6160</v>
      </c>
      <c r="IX47" s="476">
        <v>0</v>
      </c>
      <c r="IY47" s="476">
        <v>0</v>
      </c>
      <c r="IZ47" s="476">
        <v>0</v>
      </c>
      <c r="JA47" s="476">
        <v>0</v>
      </c>
      <c r="JB47" s="476">
        <v>0</v>
      </c>
      <c r="JC47" s="476">
        <v>0</v>
      </c>
      <c r="JD47" s="476">
        <v>0</v>
      </c>
      <c r="JE47" s="476">
        <v>0</v>
      </c>
      <c r="JF47" s="476">
        <v>0</v>
      </c>
      <c r="JG47" s="476">
        <v>0</v>
      </c>
      <c r="JH47" s="476">
        <v>0</v>
      </c>
      <c r="JI47" s="476">
        <v>0</v>
      </c>
      <c r="JJ47" s="476">
        <v>0</v>
      </c>
      <c r="JK47" s="476">
        <v>0</v>
      </c>
      <c r="JL47" s="476">
        <v>0</v>
      </c>
      <c r="JM47" s="476">
        <v>0</v>
      </c>
      <c r="JN47" s="476">
        <v>32469</v>
      </c>
      <c r="JO47" s="476">
        <v>0</v>
      </c>
      <c r="JP47" s="476">
        <v>0</v>
      </c>
      <c r="JQ47" s="476">
        <v>0</v>
      </c>
      <c r="JR47" s="476">
        <v>0</v>
      </c>
      <c r="JS47" s="476">
        <v>0</v>
      </c>
      <c r="JT47" s="476">
        <v>0</v>
      </c>
      <c r="JU47" s="476">
        <v>0</v>
      </c>
      <c r="JV47" s="476">
        <v>0</v>
      </c>
      <c r="JW47" s="476">
        <v>0</v>
      </c>
      <c r="JX47" s="476">
        <v>0</v>
      </c>
      <c r="JY47" s="476">
        <v>0</v>
      </c>
      <c r="JZ47" s="476">
        <v>0</v>
      </c>
      <c r="KA47" s="476">
        <v>0</v>
      </c>
      <c r="KB47" s="476">
        <v>0</v>
      </c>
      <c r="KC47" s="476">
        <v>0</v>
      </c>
      <c r="KD47" s="476">
        <v>0</v>
      </c>
      <c r="KE47" s="476">
        <v>7262</v>
      </c>
      <c r="KF47" s="476">
        <v>0</v>
      </c>
      <c r="KG47" s="476">
        <v>0</v>
      </c>
      <c r="KH47" s="476">
        <v>2579881</v>
      </c>
      <c r="KI47" s="476">
        <v>0</v>
      </c>
      <c r="KJ47" s="476">
        <v>1</v>
      </c>
      <c r="KK47" s="476">
        <v>0</v>
      </c>
      <c r="KL47" s="476">
        <v>616</v>
      </c>
      <c r="KM47" s="476">
        <v>0</v>
      </c>
      <c r="KN47" s="476">
        <v>0</v>
      </c>
    </row>
    <row r="48" spans="1:300" x14ac:dyDescent="0.25">
      <c r="A48" s="476">
        <v>40976</v>
      </c>
      <c r="B48" s="476">
        <v>57813</v>
      </c>
      <c r="C48" s="476">
        <v>9</v>
      </c>
      <c r="D48" s="476">
        <v>2024</v>
      </c>
      <c r="E48" s="476">
        <v>6160</v>
      </c>
      <c r="F48" s="476">
        <v>0</v>
      </c>
      <c r="G48" s="476">
        <v>4074.1</v>
      </c>
      <c r="H48" s="476">
        <v>3938.5920000000001</v>
      </c>
      <c r="I48" s="476">
        <v>3938.5920000000001</v>
      </c>
      <c r="J48" s="476">
        <v>4074.1</v>
      </c>
      <c r="K48" s="476">
        <v>0</v>
      </c>
      <c r="L48" s="476">
        <v>6160</v>
      </c>
      <c r="M48" s="476">
        <v>0</v>
      </c>
      <c r="N48" s="476">
        <v>0</v>
      </c>
      <c r="O48" s="476">
        <v>0</v>
      </c>
      <c r="P48" s="476">
        <v>4074.1</v>
      </c>
      <c r="Q48" s="476">
        <v>0</v>
      </c>
      <c r="R48" s="476">
        <v>1690279</v>
      </c>
      <c r="S48" s="476">
        <v>414.88400000000001</v>
      </c>
      <c r="T48" s="476">
        <v>0</v>
      </c>
      <c r="U48" s="476">
        <v>0</v>
      </c>
      <c r="V48" s="476">
        <v>2254.7829999999999</v>
      </c>
      <c r="W48" s="476">
        <v>1388915</v>
      </c>
      <c r="X48" s="476">
        <v>1388915</v>
      </c>
      <c r="Y48" s="476">
        <v>0</v>
      </c>
      <c r="Z48" s="476">
        <v>0</v>
      </c>
      <c r="AA48" s="476">
        <v>0</v>
      </c>
      <c r="AB48" s="476">
        <v>0</v>
      </c>
      <c r="AC48" s="476">
        <v>0</v>
      </c>
      <c r="AD48" s="476" t="s">
        <v>314</v>
      </c>
      <c r="AE48" s="476">
        <v>0</v>
      </c>
      <c r="AF48" s="476">
        <v>0</v>
      </c>
      <c r="AG48" s="476">
        <v>0</v>
      </c>
      <c r="AH48" s="476">
        <v>0</v>
      </c>
      <c r="AI48" s="476">
        <v>0</v>
      </c>
      <c r="AJ48" s="476">
        <v>6160</v>
      </c>
      <c r="AK48" s="476" t="s">
        <v>651</v>
      </c>
      <c r="AL48" s="476" t="s">
        <v>21</v>
      </c>
      <c r="AM48" s="476">
        <v>0</v>
      </c>
      <c r="AN48" s="476">
        <v>0</v>
      </c>
      <c r="AO48" s="476">
        <v>0</v>
      </c>
      <c r="AP48" s="476">
        <v>0</v>
      </c>
      <c r="AQ48" s="476">
        <v>0</v>
      </c>
      <c r="AR48" s="476">
        <v>0</v>
      </c>
      <c r="AS48" s="476">
        <v>0</v>
      </c>
      <c r="AT48" s="476">
        <v>0</v>
      </c>
      <c r="AU48" s="476">
        <v>0</v>
      </c>
      <c r="AV48" s="476">
        <v>0</v>
      </c>
      <c r="AW48" s="476">
        <v>47136014</v>
      </c>
      <c r="AX48" s="476">
        <v>46460929</v>
      </c>
      <c r="AY48" s="476">
        <v>0</v>
      </c>
      <c r="AZ48" s="476">
        <v>1690279</v>
      </c>
      <c r="BA48" s="476">
        <v>143</v>
      </c>
      <c r="BB48" s="476">
        <v>0</v>
      </c>
      <c r="BC48" s="476">
        <v>0</v>
      </c>
      <c r="BD48" s="476">
        <v>0</v>
      </c>
      <c r="BE48" s="476">
        <v>0</v>
      </c>
      <c r="BF48" s="476">
        <v>41845802</v>
      </c>
      <c r="BG48" s="476">
        <v>0</v>
      </c>
      <c r="BH48" s="476">
        <v>0</v>
      </c>
      <c r="BI48" s="476">
        <v>0</v>
      </c>
      <c r="BJ48" s="476">
        <v>12</v>
      </c>
      <c r="BK48" s="476">
        <v>0</v>
      </c>
      <c r="BL48" s="476">
        <v>0</v>
      </c>
      <c r="BM48" s="476">
        <v>0</v>
      </c>
      <c r="BN48" s="476">
        <v>0</v>
      </c>
      <c r="BO48" s="476">
        <v>0</v>
      </c>
      <c r="BP48" s="476">
        <v>0</v>
      </c>
      <c r="BQ48" s="476">
        <v>163</v>
      </c>
      <c r="BR48" s="476">
        <v>0</v>
      </c>
      <c r="BS48" s="476">
        <v>0</v>
      </c>
      <c r="BT48" s="476">
        <v>0</v>
      </c>
      <c r="BU48" s="476">
        <v>0</v>
      </c>
      <c r="BV48" s="476">
        <v>0</v>
      </c>
      <c r="BW48" s="476">
        <v>0</v>
      </c>
      <c r="BX48" s="476">
        <v>0</v>
      </c>
      <c r="BY48" s="476">
        <v>0</v>
      </c>
      <c r="BZ48" s="476">
        <v>0</v>
      </c>
      <c r="CA48" s="476">
        <v>0</v>
      </c>
      <c r="CB48" s="476">
        <v>0</v>
      </c>
      <c r="CC48" s="476">
        <v>0</v>
      </c>
      <c r="CD48" s="476">
        <v>0</v>
      </c>
      <c r="CE48" s="476">
        <v>0</v>
      </c>
      <c r="CF48" s="476">
        <v>0</v>
      </c>
      <c r="CG48" s="476">
        <v>0</v>
      </c>
      <c r="CH48" s="476">
        <v>687811</v>
      </c>
      <c r="CI48" s="476">
        <v>0</v>
      </c>
      <c r="CJ48" s="476">
        <v>4</v>
      </c>
      <c r="CK48" s="476">
        <v>0</v>
      </c>
      <c r="CL48" s="476">
        <v>0</v>
      </c>
      <c r="CM48" s="476">
        <v>0</v>
      </c>
      <c r="CN48" s="476">
        <v>0</v>
      </c>
      <c r="CO48" s="476">
        <v>1</v>
      </c>
      <c r="CP48" s="476">
        <v>0</v>
      </c>
      <c r="CQ48" s="476">
        <v>17</v>
      </c>
      <c r="CR48" s="476">
        <v>4074.1</v>
      </c>
      <c r="CS48" s="476">
        <v>0</v>
      </c>
      <c r="CT48" s="476">
        <v>0</v>
      </c>
      <c r="CU48" s="476">
        <v>0</v>
      </c>
      <c r="CV48" s="476">
        <v>0</v>
      </c>
      <c r="CW48" s="476">
        <v>0</v>
      </c>
      <c r="CX48" s="476">
        <v>0</v>
      </c>
      <c r="CY48" s="476">
        <v>0</v>
      </c>
      <c r="CZ48" s="476">
        <v>0</v>
      </c>
      <c r="DA48" s="476">
        <v>0</v>
      </c>
      <c r="DB48" s="476">
        <v>24261176</v>
      </c>
      <c r="DC48" s="476">
        <v>0</v>
      </c>
      <c r="DD48" s="476">
        <v>0</v>
      </c>
      <c r="DE48" s="476">
        <v>6987976</v>
      </c>
      <c r="DF48" s="476">
        <v>6987976</v>
      </c>
      <c r="DG48" s="476">
        <v>1134.4380000000001</v>
      </c>
      <c r="DH48" s="476">
        <v>0</v>
      </c>
      <c r="DI48" s="476">
        <v>0</v>
      </c>
      <c r="DJ48" s="476">
        <v>0</v>
      </c>
      <c r="DK48" s="476">
        <v>0</v>
      </c>
      <c r="DL48" s="476">
        <v>0</v>
      </c>
      <c r="DM48" s="476">
        <v>3701458</v>
      </c>
      <c r="DN48" s="476">
        <v>12726</v>
      </c>
      <c r="DO48" s="476">
        <v>0</v>
      </c>
      <c r="DP48" s="476">
        <v>0</v>
      </c>
      <c r="DQ48" s="476">
        <v>0</v>
      </c>
      <c r="DR48" s="476">
        <v>0</v>
      </c>
      <c r="DS48" s="476">
        <v>0</v>
      </c>
      <c r="DT48" s="476">
        <v>0</v>
      </c>
      <c r="DU48" s="476">
        <v>0</v>
      </c>
      <c r="DV48" s="476">
        <v>0</v>
      </c>
      <c r="DW48" s="476">
        <v>0</v>
      </c>
      <c r="DX48" s="476">
        <v>0</v>
      </c>
      <c r="DY48" s="476">
        <v>0</v>
      </c>
      <c r="DZ48" s="476">
        <v>0</v>
      </c>
      <c r="EA48" s="476">
        <v>0.13800000000000001</v>
      </c>
      <c r="EB48" s="476">
        <v>0</v>
      </c>
      <c r="EC48" s="476">
        <v>148.81700000000001</v>
      </c>
      <c r="ED48" s="476">
        <v>1054196</v>
      </c>
      <c r="EE48" s="476">
        <v>0</v>
      </c>
      <c r="EF48" s="476">
        <v>0</v>
      </c>
      <c r="EG48" s="476">
        <v>0</v>
      </c>
      <c r="EH48" s="476">
        <v>2659988</v>
      </c>
      <c r="EI48" s="476">
        <v>0</v>
      </c>
      <c r="EJ48" s="476">
        <v>0</v>
      </c>
      <c r="EK48" s="476">
        <v>90.671000000000006</v>
      </c>
      <c r="EL48" s="476">
        <v>1.1990000000000001</v>
      </c>
      <c r="EM48" s="476">
        <v>32.186</v>
      </c>
      <c r="EN48" s="476">
        <v>12.513</v>
      </c>
      <c r="EO48" s="476">
        <v>0</v>
      </c>
      <c r="EP48" s="476">
        <v>0</v>
      </c>
      <c r="EQ48" s="476">
        <v>135.50800000000001</v>
      </c>
      <c r="ER48" s="476">
        <v>0</v>
      </c>
      <c r="ES48" s="476">
        <v>431.82600000000002</v>
      </c>
      <c r="ET48" s="476">
        <v>0</v>
      </c>
      <c r="EU48" s="476">
        <v>0</v>
      </c>
      <c r="EV48" s="476">
        <v>0</v>
      </c>
      <c r="EW48" s="476">
        <v>0</v>
      </c>
      <c r="EX48" s="476">
        <v>0</v>
      </c>
      <c r="EY48" s="476">
        <v>0</v>
      </c>
      <c r="EZ48" s="476">
        <v>40155523</v>
      </c>
      <c r="FA48" s="476">
        <v>0</v>
      </c>
      <c r="FB48" s="476">
        <v>41833076</v>
      </c>
      <c r="FC48" s="476">
        <v>0</v>
      </c>
      <c r="FD48" s="476">
        <v>0</v>
      </c>
      <c r="FE48" s="476">
        <v>5403056</v>
      </c>
      <c r="FF48" s="476">
        <v>902350</v>
      </c>
      <c r="FG48" s="476">
        <v>6.3017999999999991E-2</v>
      </c>
      <c r="FH48" s="476">
        <v>2.6953999999999999E-2</v>
      </c>
      <c r="FI48" s="476">
        <v>0</v>
      </c>
      <c r="FJ48" s="476">
        <v>0</v>
      </c>
      <c r="FK48" s="476">
        <v>6793.3040000000001</v>
      </c>
      <c r="FL48" s="476">
        <v>48826293</v>
      </c>
      <c r="FM48" s="476">
        <v>0</v>
      </c>
      <c r="FN48" s="476">
        <v>0</v>
      </c>
      <c r="FO48" s="476">
        <v>0</v>
      </c>
      <c r="FP48" s="476">
        <v>0</v>
      </c>
      <c r="FQ48" s="476">
        <v>0</v>
      </c>
      <c r="FR48" s="476">
        <v>0</v>
      </c>
      <c r="FS48" s="476">
        <v>0</v>
      </c>
      <c r="FT48" s="476">
        <v>0</v>
      </c>
      <c r="FU48" s="476">
        <v>0</v>
      </c>
      <c r="FV48" s="476">
        <v>0</v>
      </c>
      <c r="FW48" s="476">
        <v>0</v>
      </c>
      <c r="FX48" s="476">
        <v>0</v>
      </c>
      <c r="FY48" s="476">
        <v>0</v>
      </c>
      <c r="FZ48" s="476">
        <v>0</v>
      </c>
      <c r="GA48" s="476">
        <v>0</v>
      </c>
      <c r="GB48" s="476">
        <v>0</v>
      </c>
      <c r="GC48" s="476">
        <v>0</v>
      </c>
      <c r="GD48" s="476">
        <v>0</v>
      </c>
      <c r="GE48" s="476">
        <v>0</v>
      </c>
      <c r="GF48" s="476">
        <v>0</v>
      </c>
      <c r="GG48" s="476">
        <v>0</v>
      </c>
      <c r="GH48" s="476">
        <v>0</v>
      </c>
      <c r="GI48" s="476">
        <v>0</v>
      </c>
      <c r="GJ48" s="476">
        <v>0</v>
      </c>
      <c r="GK48" s="476">
        <v>0</v>
      </c>
      <c r="GL48" s="476">
        <v>0</v>
      </c>
      <c r="GM48" s="476">
        <v>0</v>
      </c>
      <c r="GN48" s="476">
        <v>0</v>
      </c>
      <c r="GO48" s="476">
        <v>0</v>
      </c>
      <c r="GP48" s="476">
        <v>0</v>
      </c>
      <c r="GQ48" s="476">
        <v>46448203</v>
      </c>
      <c r="GR48" s="476">
        <v>0</v>
      </c>
      <c r="GS48" s="476">
        <v>0</v>
      </c>
      <c r="GT48" s="476">
        <v>0</v>
      </c>
      <c r="GU48" s="476">
        <v>0</v>
      </c>
      <c r="GV48" s="476">
        <v>0</v>
      </c>
      <c r="GW48" s="476">
        <v>0</v>
      </c>
      <c r="GX48" s="476">
        <v>0</v>
      </c>
      <c r="GY48" s="476">
        <v>0</v>
      </c>
      <c r="GZ48" s="476">
        <v>0</v>
      </c>
      <c r="HA48" s="476">
        <v>0</v>
      </c>
      <c r="HB48" s="476">
        <v>323396213</v>
      </c>
      <c r="HC48" s="476">
        <v>4.2206E-2</v>
      </c>
      <c r="HD48" s="476">
        <v>687811</v>
      </c>
      <c r="HE48" s="476">
        <v>0</v>
      </c>
      <c r="HF48" s="476">
        <v>4340328</v>
      </c>
      <c r="HG48" s="476">
        <v>85622</v>
      </c>
      <c r="HH48" s="476">
        <v>994479</v>
      </c>
      <c r="HI48" s="476">
        <v>0</v>
      </c>
      <c r="HJ48" s="476">
        <v>40741</v>
      </c>
      <c r="HK48" s="476">
        <v>0</v>
      </c>
      <c r="HL48" s="476">
        <v>0</v>
      </c>
      <c r="HM48" s="476">
        <v>0</v>
      </c>
      <c r="HN48" s="476">
        <v>32381</v>
      </c>
      <c r="HO48" s="476">
        <v>0</v>
      </c>
      <c r="HP48" s="476">
        <v>0</v>
      </c>
      <c r="HQ48" s="476">
        <v>0</v>
      </c>
      <c r="HR48" s="476">
        <v>0</v>
      </c>
      <c r="HS48" s="476">
        <v>40142797</v>
      </c>
      <c r="HT48" s="476">
        <v>902350</v>
      </c>
      <c r="HU48" s="476">
        <v>0</v>
      </c>
      <c r="HV48" s="476">
        <v>0</v>
      </c>
      <c r="HW48" s="476">
        <v>0</v>
      </c>
      <c r="HX48" s="476">
        <v>139</v>
      </c>
      <c r="HY48" s="476">
        <v>348</v>
      </c>
      <c r="HZ48" s="476">
        <v>606</v>
      </c>
      <c r="IA48" s="476">
        <v>1341</v>
      </c>
      <c r="IB48" s="476">
        <v>1880</v>
      </c>
      <c r="IC48" s="476">
        <v>4314</v>
      </c>
      <c r="ID48" s="476">
        <v>0</v>
      </c>
      <c r="IE48" s="476">
        <v>0</v>
      </c>
      <c r="IF48" s="476">
        <v>0</v>
      </c>
      <c r="IG48" s="476">
        <v>139</v>
      </c>
      <c r="IH48" s="476">
        <v>1614.45</v>
      </c>
      <c r="II48" s="476">
        <v>0</v>
      </c>
      <c r="IJ48" s="476">
        <v>2254.7829999999999</v>
      </c>
      <c r="IK48" s="476">
        <v>0</v>
      </c>
      <c r="IL48" s="476">
        <v>0</v>
      </c>
      <c r="IM48" s="476">
        <v>0</v>
      </c>
      <c r="IN48" s="476">
        <v>0</v>
      </c>
      <c r="IO48" s="476">
        <v>0</v>
      </c>
      <c r="IP48" s="476">
        <v>0</v>
      </c>
      <c r="IQ48" s="476">
        <v>2254.7829999999999</v>
      </c>
      <c r="IR48" s="476">
        <v>1388915</v>
      </c>
      <c r="IS48" s="476">
        <v>0</v>
      </c>
      <c r="IT48" s="476">
        <v>0</v>
      </c>
      <c r="IU48" s="476">
        <v>0</v>
      </c>
      <c r="IV48" s="476">
        <v>0</v>
      </c>
      <c r="IW48" s="476">
        <v>6160</v>
      </c>
      <c r="IX48" s="476">
        <v>0</v>
      </c>
      <c r="IY48" s="476">
        <v>0</v>
      </c>
      <c r="IZ48" s="476">
        <v>0</v>
      </c>
      <c r="JA48" s="476">
        <v>0</v>
      </c>
      <c r="JB48" s="476">
        <v>1</v>
      </c>
      <c r="JC48" s="476">
        <v>25610</v>
      </c>
      <c r="JD48" s="476">
        <v>0</v>
      </c>
      <c r="JE48" s="476">
        <v>0</v>
      </c>
      <c r="JF48" s="476">
        <v>1</v>
      </c>
      <c r="JG48" s="476">
        <v>6771</v>
      </c>
      <c r="JH48" s="476">
        <v>0</v>
      </c>
      <c r="JI48" s="476">
        <v>0</v>
      </c>
      <c r="JJ48" s="476">
        <v>0</v>
      </c>
      <c r="JK48" s="476">
        <v>0</v>
      </c>
      <c r="JL48" s="476">
        <v>0</v>
      </c>
      <c r="JM48" s="476">
        <v>0</v>
      </c>
      <c r="JN48" s="476">
        <v>40091</v>
      </c>
      <c r="JO48" s="476">
        <v>0</v>
      </c>
      <c r="JP48" s="476">
        <v>0</v>
      </c>
      <c r="JQ48" s="476">
        <v>0</v>
      </c>
      <c r="JR48" s="476">
        <v>0</v>
      </c>
      <c r="JS48" s="476">
        <v>0</v>
      </c>
      <c r="JT48" s="476">
        <v>0</v>
      </c>
      <c r="JU48" s="476">
        <v>0</v>
      </c>
      <c r="JV48" s="476">
        <v>0</v>
      </c>
      <c r="JW48" s="476">
        <v>0</v>
      </c>
      <c r="JX48" s="476">
        <v>0</v>
      </c>
      <c r="JY48" s="476">
        <v>0</v>
      </c>
      <c r="JZ48" s="476">
        <v>0</v>
      </c>
      <c r="KA48" s="476">
        <v>0</v>
      </c>
      <c r="KB48" s="476">
        <v>0</v>
      </c>
      <c r="KC48" s="476">
        <v>0</v>
      </c>
      <c r="KD48" s="476">
        <v>0</v>
      </c>
      <c r="KE48" s="476">
        <v>7262</v>
      </c>
      <c r="KF48" s="476">
        <v>0</v>
      </c>
      <c r="KG48" s="476">
        <v>0</v>
      </c>
      <c r="KH48" s="476">
        <v>46448203</v>
      </c>
      <c r="KI48" s="476">
        <v>0</v>
      </c>
      <c r="KJ48" s="476">
        <v>79</v>
      </c>
      <c r="KK48" s="476">
        <v>60</v>
      </c>
      <c r="KL48" s="476">
        <v>48663</v>
      </c>
      <c r="KM48" s="476">
        <v>36959</v>
      </c>
      <c r="KN48" s="476">
        <v>0</v>
      </c>
    </row>
    <row r="49" spans="1:300" x14ac:dyDescent="0.25">
      <c r="A49" s="476">
        <v>40976</v>
      </c>
      <c r="B49" s="476">
        <v>57814</v>
      </c>
      <c r="C49" s="476">
        <v>9</v>
      </c>
      <c r="D49" s="476">
        <v>2024</v>
      </c>
      <c r="E49" s="476">
        <v>6160</v>
      </c>
      <c r="F49" s="476">
        <v>0</v>
      </c>
      <c r="G49" s="476">
        <v>332.548</v>
      </c>
      <c r="H49" s="476">
        <v>238.417</v>
      </c>
      <c r="I49" s="476">
        <v>238.417</v>
      </c>
      <c r="J49" s="476">
        <v>332.548</v>
      </c>
      <c r="K49" s="476">
        <v>0</v>
      </c>
      <c r="L49" s="476">
        <v>6160</v>
      </c>
      <c r="M49" s="476">
        <v>0</v>
      </c>
      <c r="N49" s="476">
        <v>0</v>
      </c>
      <c r="O49" s="476">
        <v>0</v>
      </c>
      <c r="P49" s="476">
        <v>336.58500000000004</v>
      </c>
      <c r="Q49" s="476">
        <v>0</v>
      </c>
      <c r="R49" s="476">
        <v>139644</v>
      </c>
      <c r="S49" s="476">
        <v>414.88400000000001</v>
      </c>
      <c r="T49" s="476">
        <v>0</v>
      </c>
      <c r="U49" s="476">
        <v>0</v>
      </c>
      <c r="V49" s="476">
        <v>53.688000000000002</v>
      </c>
      <c r="W49" s="476">
        <v>33071</v>
      </c>
      <c r="X49" s="476">
        <v>33071</v>
      </c>
      <c r="Y49" s="476">
        <v>0</v>
      </c>
      <c r="Z49" s="476">
        <v>0</v>
      </c>
      <c r="AA49" s="476">
        <v>0</v>
      </c>
      <c r="AB49" s="476">
        <v>0</v>
      </c>
      <c r="AC49" s="476">
        <v>0</v>
      </c>
      <c r="AD49" s="476" t="s">
        <v>314</v>
      </c>
      <c r="AE49" s="476">
        <v>0</v>
      </c>
      <c r="AF49" s="476">
        <v>0</v>
      </c>
      <c r="AG49" s="476">
        <v>0</v>
      </c>
      <c r="AH49" s="476">
        <v>0</v>
      </c>
      <c r="AI49" s="476">
        <v>0</v>
      </c>
      <c r="AJ49" s="476">
        <v>6160</v>
      </c>
      <c r="AK49" s="476" t="s">
        <v>651</v>
      </c>
      <c r="AL49" s="476" t="s">
        <v>326</v>
      </c>
      <c r="AM49" s="476">
        <v>0</v>
      </c>
      <c r="AN49" s="476">
        <v>0</v>
      </c>
      <c r="AO49" s="476">
        <v>0</v>
      </c>
      <c r="AP49" s="476">
        <v>0</v>
      </c>
      <c r="AQ49" s="476">
        <v>0</v>
      </c>
      <c r="AR49" s="476">
        <v>0</v>
      </c>
      <c r="AS49" s="476">
        <v>0</v>
      </c>
      <c r="AT49" s="476">
        <v>0</v>
      </c>
      <c r="AU49" s="476">
        <v>0</v>
      </c>
      <c r="AV49" s="476">
        <v>0</v>
      </c>
      <c r="AW49" s="476">
        <v>5087288</v>
      </c>
      <c r="AX49" s="476">
        <v>5037363</v>
      </c>
      <c r="AY49" s="476">
        <v>0</v>
      </c>
      <c r="AZ49" s="476">
        <v>139644</v>
      </c>
      <c r="BA49" s="476">
        <v>0</v>
      </c>
      <c r="BB49" s="476">
        <v>0</v>
      </c>
      <c r="BC49" s="476">
        <v>0</v>
      </c>
      <c r="BD49" s="476">
        <v>0</v>
      </c>
      <c r="BE49" s="476">
        <v>0</v>
      </c>
      <c r="BF49" s="476">
        <v>4364779</v>
      </c>
      <c r="BG49" s="476">
        <v>0</v>
      </c>
      <c r="BH49" s="476">
        <v>0</v>
      </c>
      <c r="BI49" s="476">
        <v>0</v>
      </c>
      <c r="BJ49" s="476">
        <v>12</v>
      </c>
      <c r="BK49" s="476">
        <v>0</v>
      </c>
      <c r="BL49" s="476">
        <v>0</v>
      </c>
      <c r="BM49" s="476">
        <v>0</v>
      </c>
      <c r="BN49" s="476">
        <v>0</v>
      </c>
      <c r="BO49" s="476">
        <v>0</v>
      </c>
      <c r="BP49" s="476">
        <v>0</v>
      </c>
      <c r="BQ49" s="476">
        <v>733</v>
      </c>
      <c r="BR49" s="476">
        <v>0</v>
      </c>
      <c r="BS49" s="476">
        <v>0</v>
      </c>
      <c r="BT49" s="476">
        <v>0</v>
      </c>
      <c r="BU49" s="476">
        <v>0</v>
      </c>
      <c r="BV49" s="476">
        <v>0</v>
      </c>
      <c r="BW49" s="476">
        <v>0</v>
      </c>
      <c r="BX49" s="476">
        <v>0</v>
      </c>
      <c r="BY49" s="476">
        <v>0</v>
      </c>
      <c r="BZ49" s="476">
        <v>0</v>
      </c>
      <c r="CA49" s="476">
        <v>0</v>
      </c>
      <c r="CB49" s="476">
        <v>0</v>
      </c>
      <c r="CC49" s="476">
        <v>0</v>
      </c>
      <c r="CD49" s="476">
        <v>0</v>
      </c>
      <c r="CE49" s="476">
        <v>0</v>
      </c>
      <c r="CF49" s="476">
        <v>0</v>
      </c>
      <c r="CG49" s="476">
        <v>0</v>
      </c>
      <c r="CH49" s="476">
        <v>56142</v>
      </c>
      <c r="CI49" s="476">
        <v>0</v>
      </c>
      <c r="CJ49" s="476">
        <v>4</v>
      </c>
      <c r="CK49" s="476">
        <v>0</v>
      </c>
      <c r="CL49" s="476">
        <v>0</v>
      </c>
      <c r="CM49" s="476">
        <v>0</v>
      </c>
      <c r="CN49" s="476">
        <v>0</v>
      </c>
      <c r="CO49" s="476">
        <v>1</v>
      </c>
      <c r="CP49" s="476">
        <v>0</v>
      </c>
      <c r="CQ49" s="476">
        <v>0</v>
      </c>
      <c r="CR49" s="476">
        <v>332.548</v>
      </c>
      <c r="CS49" s="476">
        <v>0</v>
      </c>
      <c r="CT49" s="476">
        <v>0</v>
      </c>
      <c r="CU49" s="476">
        <v>0</v>
      </c>
      <c r="CV49" s="476">
        <v>0</v>
      </c>
      <c r="CW49" s="476">
        <v>0</v>
      </c>
      <c r="CX49" s="476">
        <v>0</v>
      </c>
      <c r="CY49" s="476">
        <v>0</v>
      </c>
      <c r="CZ49" s="476">
        <v>0</v>
      </c>
      <c r="DA49" s="476">
        <v>0</v>
      </c>
      <c r="DB49" s="476">
        <v>1001266</v>
      </c>
      <c r="DC49" s="476">
        <v>0</v>
      </c>
      <c r="DD49" s="476">
        <v>0</v>
      </c>
      <c r="DE49" s="476">
        <v>605976</v>
      </c>
      <c r="DF49" s="476">
        <v>605976</v>
      </c>
      <c r="DG49" s="476">
        <v>98.375</v>
      </c>
      <c r="DH49" s="476">
        <v>0</v>
      </c>
      <c r="DI49" s="476">
        <v>0</v>
      </c>
      <c r="DJ49" s="476">
        <v>0</v>
      </c>
      <c r="DK49" s="476">
        <v>3355</v>
      </c>
      <c r="DL49" s="476">
        <v>0</v>
      </c>
      <c r="DM49" s="476">
        <v>2275751</v>
      </c>
      <c r="DN49" s="476">
        <v>6217</v>
      </c>
      <c r="DO49" s="476">
        <v>0</v>
      </c>
      <c r="DP49" s="476">
        <v>0</v>
      </c>
      <c r="DQ49" s="476">
        <v>0</v>
      </c>
      <c r="DR49" s="476">
        <v>0</v>
      </c>
      <c r="DS49" s="476">
        <v>0</v>
      </c>
      <c r="DT49" s="476">
        <v>0</v>
      </c>
      <c r="DU49" s="476">
        <v>0</v>
      </c>
      <c r="DV49" s="476">
        <v>0</v>
      </c>
      <c r="DW49" s="476">
        <v>0</v>
      </c>
      <c r="DX49" s="476">
        <v>0</v>
      </c>
      <c r="DY49" s="476">
        <v>0</v>
      </c>
      <c r="DZ49" s="476">
        <v>0</v>
      </c>
      <c r="EA49" s="476">
        <v>0</v>
      </c>
      <c r="EB49" s="476">
        <v>0</v>
      </c>
      <c r="EC49" s="476">
        <v>0.88500000000000001</v>
      </c>
      <c r="ED49" s="476">
        <v>6269</v>
      </c>
      <c r="EE49" s="476">
        <v>0</v>
      </c>
      <c r="EF49" s="476">
        <v>0</v>
      </c>
      <c r="EG49" s="476">
        <v>0</v>
      </c>
      <c r="EH49" s="476">
        <v>6369</v>
      </c>
      <c r="EI49" s="476">
        <v>1801981</v>
      </c>
      <c r="EJ49" s="476">
        <v>73.134</v>
      </c>
      <c r="EK49" s="476">
        <v>6.3E-2</v>
      </c>
      <c r="EL49" s="476">
        <v>0</v>
      </c>
      <c r="EM49" s="476">
        <v>0</v>
      </c>
      <c r="EN49" s="476">
        <v>0.16900000000000001</v>
      </c>
      <c r="EO49" s="476">
        <v>0</v>
      </c>
      <c r="EP49" s="476">
        <v>0</v>
      </c>
      <c r="EQ49" s="476">
        <v>73.366</v>
      </c>
      <c r="ER49" s="476">
        <v>0</v>
      </c>
      <c r="ES49" s="476">
        <v>1.034</v>
      </c>
      <c r="ET49" s="476">
        <v>0</v>
      </c>
      <c r="EU49" s="476">
        <v>0</v>
      </c>
      <c r="EV49" s="476">
        <v>0</v>
      </c>
      <c r="EW49" s="476">
        <v>0</v>
      </c>
      <c r="EX49" s="476">
        <v>0</v>
      </c>
      <c r="EY49" s="476">
        <v>0</v>
      </c>
      <c r="EZ49" s="476">
        <v>4379670</v>
      </c>
      <c r="FA49" s="476">
        <v>0</v>
      </c>
      <c r="FB49" s="476">
        <v>4513097</v>
      </c>
      <c r="FC49" s="476">
        <v>0</v>
      </c>
      <c r="FD49" s="476">
        <v>0</v>
      </c>
      <c r="FE49" s="476">
        <v>563572</v>
      </c>
      <c r="FF49" s="476">
        <v>94121</v>
      </c>
      <c r="FG49" s="476">
        <v>6.3017999999999991E-2</v>
      </c>
      <c r="FH49" s="476">
        <v>2.6953999999999999E-2</v>
      </c>
      <c r="FI49" s="476">
        <v>0</v>
      </c>
      <c r="FJ49" s="476">
        <v>0</v>
      </c>
      <c r="FK49" s="476">
        <v>708.58400000000006</v>
      </c>
      <c r="FL49" s="476">
        <v>5226932</v>
      </c>
      <c r="FM49" s="476">
        <v>0</v>
      </c>
      <c r="FN49" s="476">
        <v>0</v>
      </c>
      <c r="FO49" s="476">
        <v>630</v>
      </c>
      <c r="FP49" s="476">
        <v>0</v>
      </c>
      <c r="FQ49" s="476">
        <v>630</v>
      </c>
      <c r="FR49" s="476">
        <v>630</v>
      </c>
      <c r="FS49" s="476">
        <v>0</v>
      </c>
      <c r="FT49" s="476">
        <v>0</v>
      </c>
      <c r="FU49" s="476">
        <v>0</v>
      </c>
      <c r="FV49" s="476">
        <v>0</v>
      </c>
      <c r="FW49" s="476">
        <v>0</v>
      </c>
      <c r="FX49" s="476">
        <v>0</v>
      </c>
      <c r="FY49" s="476">
        <v>0</v>
      </c>
      <c r="FZ49" s="476">
        <v>0</v>
      </c>
      <c r="GA49" s="476">
        <v>0</v>
      </c>
      <c r="GB49" s="476">
        <v>176437</v>
      </c>
      <c r="GC49" s="476">
        <v>176437</v>
      </c>
      <c r="GD49" s="476">
        <v>20.765000000000001</v>
      </c>
      <c r="GE49" s="476">
        <v>0</v>
      </c>
      <c r="GF49" s="476">
        <v>0</v>
      </c>
      <c r="GG49" s="476">
        <v>0</v>
      </c>
      <c r="GH49" s="476">
        <v>0</v>
      </c>
      <c r="GI49" s="476">
        <v>0</v>
      </c>
      <c r="GJ49" s="476">
        <v>0</v>
      </c>
      <c r="GK49" s="476">
        <v>0</v>
      </c>
      <c r="GL49" s="476">
        <v>0</v>
      </c>
      <c r="GM49" s="476">
        <v>0</v>
      </c>
      <c r="GN49" s="476">
        <v>0</v>
      </c>
      <c r="GO49" s="476">
        <v>0</v>
      </c>
      <c r="GP49" s="476">
        <v>0</v>
      </c>
      <c r="GQ49" s="476">
        <v>5031146</v>
      </c>
      <c r="GR49" s="476">
        <v>0</v>
      </c>
      <c r="GS49" s="476">
        <v>0</v>
      </c>
      <c r="GT49" s="476">
        <v>0</v>
      </c>
      <c r="GU49" s="476">
        <v>0</v>
      </c>
      <c r="GV49" s="476">
        <v>0</v>
      </c>
      <c r="GW49" s="476">
        <v>0</v>
      </c>
      <c r="GX49" s="476">
        <v>0</v>
      </c>
      <c r="GY49" s="476">
        <v>0</v>
      </c>
      <c r="GZ49" s="476">
        <v>0</v>
      </c>
      <c r="HA49" s="476">
        <v>0</v>
      </c>
      <c r="HB49" s="476">
        <v>323396213</v>
      </c>
      <c r="HC49" s="476">
        <v>4.2206E-2</v>
      </c>
      <c r="HD49" s="476">
        <v>56142</v>
      </c>
      <c r="HE49" s="476">
        <v>0</v>
      </c>
      <c r="HF49" s="476">
        <v>262736</v>
      </c>
      <c r="HG49" s="476">
        <v>0</v>
      </c>
      <c r="HH49" s="476">
        <v>0</v>
      </c>
      <c r="HI49" s="476">
        <v>0</v>
      </c>
      <c r="HJ49" s="476">
        <v>3325</v>
      </c>
      <c r="HK49" s="476">
        <v>3339</v>
      </c>
      <c r="HL49" s="476">
        <v>22</v>
      </c>
      <c r="HM49" s="476">
        <v>0</v>
      </c>
      <c r="HN49" s="476">
        <v>0</v>
      </c>
      <c r="HO49" s="476">
        <v>0</v>
      </c>
      <c r="HP49" s="476">
        <v>127565</v>
      </c>
      <c r="HQ49" s="476">
        <v>0</v>
      </c>
      <c r="HR49" s="476">
        <v>0</v>
      </c>
      <c r="HS49" s="476">
        <v>4373453</v>
      </c>
      <c r="HT49" s="476">
        <v>94121</v>
      </c>
      <c r="HU49" s="476">
        <v>0</v>
      </c>
      <c r="HV49" s="476">
        <v>0</v>
      </c>
      <c r="HW49" s="476">
        <v>0</v>
      </c>
      <c r="HX49" s="476">
        <v>0</v>
      </c>
      <c r="HY49" s="476">
        <v>1</v>
      </c>
      <c r="HZ49" s="476">
        <v>0</v>
      </c>
      <c r="IA49" s="476">
        <v>3</v>
      </c>
      <c r="IB49" s="476">
        <v>354</v>
      </c>
      <c r="IC49" s="476">
        <v>358</v>
      </c>
      <c r="ID49" s="476">
        <v>0</v>
      </c>
      <c r="IE49" s="476">
        <v>0</v>
      </c>
      <c r="IF49" s="476">
        <v>0</v>
      </c>
      <c r="IG49" s="476">
        <v>0</v>
      </c>
      <c r="IH49" s="476">
        <v>0</v>
      </c>
      <c r="II49" s="476">
        <v>463.87400000000002</v>
      </c>
      <c r="IJ49" s="476">
        <v>53.688000000000002</v>
      </c>
      <c r="IK49" s="476">
        <v>83.56</v>
      </c>
      <c r="IL49" s="476">
        <v>0</v>
      </c>
      <c r="IM49" s="476">
        <v>0</v>
      </c>
      <c r="IN49" s="476">
        <v>0</v>
      </c>
      <c r="IO49" s="476">
        <v>0</v>
      </c>
      <c r="IP49" s="476">
        <v>547.43400000000008</v>
      </c>
      <c r="IQ49" s="476">
        <v>53.688000000000002</v>
      </c>
      <c r="IR49" s="476">
        <v>33071</v>
      </c>
      <c r="IS49" s="476">
        <v>22979</v>
      </c>
      <c r="IT49" s="476">
        <v>0</v>
      </c>
      <c r="IU49" s="476">
        <v>0</v>
      </c>
      <c r="IV49" s="476">
        <v>0</v>
      </c>
      <c r="IW49" s="476">
        <v>6160</v>
      </c>
      <c r="IX49" s="476">
        <v>0</v>
      </c>
      <c r="IY49" s="476">
        <v>0</v>
      </c>
      <c r="IZ49" s="476">
        <v>150544</v>
      </c>
      <c r="JA49" s="476">
        <v>0</v>
      </c>
      <c r="JB49" s="476">
        <v>0</v>
      </c>
      <c r="JC49" s="476">
        <v>0</v>
      </c>
      <c r="JD49" s="476">
        <v>0</v>
      </c>
      <c r="JE49" s="476">
        <v>0</v>
      </c>
      <c r="JF49" s="476">
        <v>0</v>
      </c>
      <c r="JG49" s="476">
        <v>0</v>
      </c>
      <c r="JH49" s="476">
        <v>0</v>
      </c>
      <c r="JI49" s="476">
        <v>0</v>
      </c>
      <c r="JJ49" s="476">
        <v>0</v>
      </c>
      <c r="JK49" s="476">
        <v>0</v>
      </c>
      <c r="JL49" s="476">
        <v>0</v>
      </c>
      <c r="JM49" s="476">
        <v>0</v>
      </c>
      <c r="JN49" s="476">
        <v>32469</v>
      </c>
      <c r="JO49" s="476">
        <v>12.685</v>
      </c>
      <c r="JP49" s="476">
        <v>8.08</v>
      </c>
      <c r="JQ49" s="476">
        <v>0</v>
      </c>
      <c r="JR49" s="476">
        <v>101330</v>
      </c>
      <c r="JS49" s="476">
        <v>75107</v>
      </c>
      <c r="JT49" s="476">
        <v>0</v>
      </c>
      <c r="JU49" s="476">
        <v>0</v>
      </c>
      <c r="JV49" s="476">
        <v>0</v>
      </c>
      <c r="JW49" s="476">
        <v>0</v>
      </c>
      <c r="JX49" s="476">
        <v>0</v>
      </c>
      <c r="JY49" s="476">
        <v>0</v>
      </c>
      <c r="JZ49" s="476">
        <v>0</v>
      </c>
      <c r="KA49" s="476">
        <v>0</v>
      </c>
      <c r="KB49" s="476">
        <v>0</v>
      </c>
      <c r="KC49" s="476">
        <v>0</v>
      </c>
      <c r="KD49" s="476">
        <v>0</v>
      </c>
      <c r="KE49" s="476">
        <v>7262</v>
      </c>
      <c r="KF49" s="476">
        <v>0</v>
      </c>
      <c r="KG49" s="476">
        <v>0</v>
      </c>
      <c r="KH49" s="476">
        <v>5031146</v>
      </c>
      <c r="KI49" s="476">
        <v>0</v>
      </c>
      <c r="KJ49" s="476">
        <v>0</v>
      </c>
      <c r="KK49" s="476">
        <v>0</v>
      </c>
      <c r="KL49" s="476">
        <v>0</v>
      </c>
      <c r="KM49" s="476">
        <v>0</v>
      </c>
      <c r="KN49" s="476">
        <v>0</v>
      </c>
    </row>
    <row r="50" spans="1:300" x14ac:dyDescent="0.25">
      <c r="A50" s="476">
        <v>40976</v>
      </c>
      <c r="B50" s="476">
        <v>57816</v>
      </c>
      <c r="C50" s="476">
        <v>9</v>
      </c>
      <c r="D50" s="476">
        <v>2024</v>
      </c>
      <c r="E50" s="476">
        <v>6160</v>
      </c>
      <c r="F50" s="476">
        <v>0</v>
      </c>
      <c r="G50" s="476">
        <v>762.58500000000004</v>
      </c>
      <c r="H50" s="476">
        <v>747.35300000000007</v>
      </c>
      <c r="I50" s="476">
        <v>747.35300000000007</v>
      </c>
      <c r="J50" s="476">
        <v>762.58500000000004</v>
      </c>
      <c r="K50" s="476">
        <v>0</v>
      </c>
      <c r="L50" s="476">
        <v>6160</v>
      </c>
      <c r="M50" s="476">
        <v>0</v>
      </c>
      <c r="N50" s="476">
        <v>0</v>
      </c>
      <c r="O50" s="476">
        <v>0</v>
      </c>
      <c r="P50" s="476">
        <v>764.74800000000005</v>
      </c>
      <c r="Q50" s="476">
        <v>0</v>
      </c>
      <c r="R50" s="476">
        <v>317282</v>
      </c>
      <c r="S50" s="476">
        <v>414.88400000000001</v>
      </c>
      <c r="T50" s="476">
        <v>0</v>
      </c>
      <c r="U50" s="476">
        <v>0</v>
      </c>
      <c r="V50" s="476">
        <v>4.8100000000000005</v>
      </c>
      <c r="W50" s="476">
        <v>2963</v>
      </c>
      <c r="X50" s="476">
        <v>2963</v>
      </c>
      <c r="Y50" s="476">
        <v>0</v>
      </c>
      <c r="Z50" s="476">
        <v>0</v>
      </c>
      <c r="AA50" s="476">
        <v>0</v>
      </c>
      <c r="AB50" s="476">
        <v>0</v>
      </c>
      <c r="AC50" s="476">
        <v>0</v>
      </c>
      <c r="AD50" s="476" t="s">
        <v>314</v>
      </c>
      <c r="AE50" s="476">
        <v>0</v>
      </c>
      <c r="AF50" s="476">
        <v>0</v>
      </c>
      <c r="AG50" s="476">
        <v>0</v>
      </c>
      <c r="AH50" s="476">
        <v>0</v>
      </c>
      <c r="AI50" s="476">
        <v>0</v>
      </c>
      <c r="AJ50" s="476">
        <v>6160</v>
      </c>
      <c r="AK50" s="476" t="s">
        <v>651</v>
      </c>
      <c r="AL50" s="476" t="s">
        <v>425</v>
      </c>
      <c r="AM50" s="476">
        <v>0</v>
      </c>
      <c r="AN50" s="476">
        <v>0</v>
      </c>
      <c r="AO50" s="476">
        <v>0</v>
      </c>
      <c r="AP50" s="476">
        <v>0</v>
      </c>
      <c r="AQ50" s="476">
        <v>0</v>
      </c>
      <c r="AR50" s="476">
        <v>0</v>
      </c>
      <c r="AS50" s="476">
        <v>0</v>
      </c>
      <c r="AT50" s="476">
        <v>0</v>
      </c>
      <c r="AU50" s="476">
        <v>0</v>
      </c>
      <c r="AV50" s="476">
        <v>0</v>
      </c>
      <c r="AW50" s="476">
        <v>8034287</v>
      </c>
      <c r="AX50" s="476">
        <v>7906737</v>
      </c>
      <c r="AY50" s="476">
        <v>0</v>
      </c>
      <c r="AZ50" s="476">
        <v>317282</v>
      </c>
      <c r="BA50" s="476">
        <v>95.582999999999998</v>
      </c>
      <c r="BB50" s="476">
        <v>0</v>
      </c>
      <c r="BC50" s="476">
        <v>0</v>
      </c>
      <c r="BD50" s="476">
        <v>0</v>
      </c>
      <c r="BE50" s="476">
        <v>0</v>
      </c>
      <c r="BF50" s="476">
        <v>7145206</v>
      </c>
      <c r="BG50" s="476">
        <v>0</v>
      </c>
      <c r="BH50" s="476">
        <v>0</v>
      </c>
      <c r="BI50" s="476">
        <v>0</v>
      </c>
      <c r="BJ50" s="476">
        <v>12</v>
      </c>
      <c r="BK50" s="476">
        <v>0</v>
      </c>
      <c r="BL50" s="476">
        <v>0</v>
      </c>
      <c r="BM50" s="476">
        <v>0</v>
      </c>
      <c r="BN50" s="476">
        <v>0</v>
      </c>
      <c r="BO50" s="476">
        <v>0</v>
      </c>
      <c r="BP50" s="476">
        <v>0</v>
      </c>
      <c r="BQ50" s="476">
        <v>655</v>
      </c>
      <c r="BR50" s="476">
        <v>0</v>
      </c>
      <c r="BS50" s="476">
        <v>0</v>
      </c>
      <c r="BT50" s="476">
        <v>0</v>
      </c>
      <c r="BU50" s="476">
        <v>0</v>
      </c>
      <c r="BV50" s="476">
        <v>0</v>
      </c>
      <c r="BW50" s="476">
        <v>0</v>
      </c>
      <c r="BX50" s="476">
        <v>0</v>
      </c>
      <c r="BY50" s="476">
        <v>0</v>
      </c>
      <c r="BZ50" s="476">
        <v>0</v>
      </c>
      <c r="CA50" s="476">
        <v>0</v>
      </c>
      <c r="CB50" s="476">
        <v>0</v>
      </c>
      <c r="CC50" s="476">
        <v>0</v>
      </c>
      <c r="CD50" s="476">
        <v>0</v>
      </c>
      <c r="CE50" s="476">
        <v>0</v>
      </c>
      <c r="CF50" s="476">
        <v>0</v>
      </c>
      <c r="CG50" s="476">
        <v>0</v>
      </c>
      <c r="CH50" s="476">
        <v>128744</v>
      </c>
      <c r="CI50" s="476">
        <v>0</v>
      </c>
      <c r="CJ50" s="476">
        <v>4</v>
      </c>
      <c r="CK50" s="476">
        <v>0</v>
      </c>
      <c r="CL50" s="476">
        <v>0</v>
      </c>
      <c r="CM50" s="476">
        <v>0</v>
      </c>
      <c r="CN50" s="476">
        <v>0</v>
      </c>
      <c r="CO50" s="476">
        <v>1</v>
      </c>
      <c r="CP50" s="476">
        <v>0</v>
      </c>
      <c r="CQ50" s="476">
        <v>3.4170000000000003</v>
      </c>
      <c r="CR50" s="476">
        <v>762.58500000000004</v>
      </c>
      <c r="CS50" s="476">
        <v>0</v>
      </c>
      <c r="CT50" s="476">
        <v>0</v>
      </c>
      <c r="CU50" s="476">
        <v>0</v>
      </c>
      <c r="CV50" s="476">
        <v>0</v>
      </c>
      <c r="CW50" s="476">
        <v>0</v>
      </c>
      <c r="CX50" s="476">
        <v>0</v>
      </c>
      <c r="CY50" s="476">
        <v>0</v>
      </c>
      <c r="CZ50" s="476">
        <v>0</v>
      </c>
      <c r="DA50" s="476">
        <v>0</v>
      </c>
      <c r="DB50" s="476">
        <v>4479950</v>
      </c>
      <c r="DC50" s="476">
        <v>0</v>
      </c>
      <c r="DD50" s="476">
        <v>0</v>
      </c>
      <c r="DE50" s="476">
        <v>1176687</v>
      </c>
      <c r="DF50" s="476">
        <v>1176687</v>
      </c>
      <c r="DG50" s="476">
        <v>191.02500000000001</v>
      </c>
      <c r="DH50" s="476">
        <v>0</v>
      </c>
      <c r="DI50" s="476">
        <v>0</v>
      </c>
      <c r="DJ50" s="476">
        <v>0</v>
      </c>
      <c r="DK50" s="476">
        <v>2101</v>
      </c>
      <c r="DL50" s="476">
        <v>0</v>
      </c>
      <c r="DM50" s="476">
        <v>471082</v>
      </c>
      <c r="DN50" s="476">
        <v>1194</v>
      </c>
      <c r="DO50" s="476">
        <v>0</v>
      </c>
      <c r="DP50" s="476">
        <v>0</v>
      </c>
      <c r="DQ50" s="476">
        <v>0</v>
      </c>
      <c r="DR50" s="476">
        <v>0</v>
      </c>
      <c r="DS50" s="476">
        <v>0</v>
      </c>
      <c r="DT50" s="476">
        <v>0</v>
      </c>
      <c r="DU50" s="476">
        <v>0</v>
      </c>
      <c r="DV50" s="476">
        <v>0</v>
      </c>
      <c r="DW50" s="476">
        <v>0</v>
      </c>
      <c r="DX50" s="476">
        <v>0</v>
      </c>
      <c r="DY50" s="476">
        <v>0</v>
      </c>
      <c r="DZ50" s="476">
        <v>0</v>
      </c>
      <c r="EA50" s="476">
        <v>0</v>
      </c>
      <c r="EB50" s="476">
        <v>0</v>
      </c>
      <c r="EC50" s="476">
        <v>7.6470000000000002</v>
      </c>
      <c r="ED50" s="476">
        <v>54170</v>
      </c>
      <c r="EE50" s="476">
        <v>0</v>
      </c>
      <c r="EF50" s="476">
        <v>0</v>
      </c>
      <c r="EG50" s="476">
        <v>0</v>
      </c>
      <c r="EH50" s="476">
        <v>294170</v>
      </c>
      <c r="EI50" s="476">
        <v>296</v>
      </c>
      <c r="EJ50" s="476">
        <v>1.2E-2</v>
      </c>
      <c r="EK50" s="476">
        <v>13.305000000000001</v>
      </c>
      <c r="EL50" s="476">
        <v>0</v>
      </c>
      <c r="EM50" s="476">
        <v>0.86699999999999999</v>
      </c>
      <c r="EN50" s="476">
        <v>1.048</v>
      </c>
      <c r="EO50" s="476">
        <v>0</v>
      </c>
      <c r="EP50" s="476">
        <v>0</v>
      </c>
      <c r="EQ50" s="476">
        <v>15.232000000000001</v>
      </c>
      <c r="ER50" s="476">
        <v>0</v>
      </c>
      <c r="ES50" s="476">
        <v>47.756</v>
      </c>
      <c r="ET50" s="476">
        <v>0</v>
      </c>
      <c r="EU50" s="476">
        <v>0</v>
      </c>
      <c r="EV50" s="476">
        <v>0</v>
      </c>
      <c r="EW50" s="476">
        <v>0</v>
      </c>
      <c r="EX50" s="476">
        <v>0</v>
      </c>
      <c r="EY50" s="476">
        <v>0</v>
      </c>
      <c r="EZ50" s="476">
        <v>6830084</v>
      </c>
      <c r="FA50" s="476">
        <v>0</v>
      </c>
      <c r="FB50" s="476">
        <v>7146172</v>
      </c>
      <c r="FC50" s="476">
        <v>0</v>
      </c>
      <c r="FD50" s="476">
        <v>0</v>
      </c>
      <c r="FE50" s="476">
        <v>922576</v>
      </c>
      <c r="FF50" s="476">
        <v>154077</v>
      </c>
      <c r="FG50" s="476">
        <v>6.3017999999999991E-2</v>
      </c>
      <c r="FH50" s="476">
        <v>2.6953999999999999E-2</v>
      </c>
      <c r="FI50" s="476">
        <v>0</v>
      </c>
      <c r="FJ50" s="476">
        <v>0</v>
      </c>
      <c r="FK50" s="476">
        <v>1159.962</v>
      </c>
      <c r="FL50" s="476">
        <v>8351569</v>
      </c>
      <c r="FM50" s="476">
        <v>0</v>
      </c>
      <c r="FN50" s="476">
        <v>0</v>
      </c>
      <c r="FO50" s="476">
        <v>2160</v>
      </c>
      <c r="FP50" s="476">
        <v>0</v>
      </c>
      <c r="FQ50" s="476">
        <v>2160</v>
      </c>
      <c r="FR50" s="476">
        <v>2160</v>
      </c>
      <c r="FS50" s="476">
        <v>0</v>
      </c>
      <c r="FT50" s="476">
        <v>0</v>
      </c>
      <c r="FU50" s="476">
        <v>0</v>
      </c>
      <c r="FV50" s="476">
        <v>0</v>
      </c>
      <c r="FW50" s="476">
        <v>0</v>
      </c>
      <c r="FX50" s="476">
        <v>0</v>
      </c>
      <c r="FY50" s="476">
        <v>0</v>
      </c>
      <c r="FZ50" s="476">
        <v>0</v>
      </c>
      <c r="GA50" s="476">
        <v>0</v>
      </c>
      <c r="GB50" s="476">
        <v>0</v>
      </c>
      <c r="GC50" s="476">
        <v>0</v>
      </c>
      <c r="GD50" s="476">
        <v>0</v>
      </c>
      <c r="GE50" s="476">
        <v>0</v>
      </c>
      <c r="GF50" s="476">
        <v>0</v>
      </c>
      <c r="GG50" s="476">
        <v>0</v>
      </c>
      <c r="GH50" s="476">
        <v>0</v>
      </c>
      <c r="GI50" s="476">
        <v>0</v>
      </c>
      <c r="GJ50" s="476">
        <v>0</v>
      </c>
      <c r="GK50" s="476">
        <v>0</v>
      </c>
      <c r="GL50" s="476">
        <v>0</v>
      </c>
      <c r="GM50" s="476">
        <v>0</v>
      </c>
      <c r="GN50" s="476">
        <v>0</v>
      </c>
      <c r="GO50" s="476">
        <v>0</v>
      </c>
      <c r="GP50" s="476">
        <v>0</v>
      </c>
      <c r="GQ50" s="476">
        <v>7905543</v>
      </c>
      <c r="GR50" s="476">
        <v>0</v>
      </c>
      <c r="GS50" s="476">
        <v>0</v>
      </c>
      <c r="GT50" s="476">
        <v>0</v>
      </c>
      <c r="GU50" s="476">
        <v>0</v>
      </c>
      <c r="GV50" s="476">
        <v>0</v>
      </c>
      <c r="GW50" s="476">
        <v>0</v>
      </c>
      <c r="GX50" s="476">
        <v>0</v>
      </c>
      <c r="GY50" s="476">
        <v>0</v>
      </c>
      <c r="GZ50" s="476">
        <v>0</v>
      </c>
      <c r="HA50" s="476">
        <v>0</v>
      </c>
      <c r="HB50" s="476">
        <v>323396213</v>
      </c>
      <c r="HC50" s="476">
        <v>4.2206E-2</v>
      </c>
      <c r="HD50" s="476">
        <v>128744</v>
      </c>
      <c r="HE50" s="476">
        <v>0</v>
      </c>
      <c r="HF50" s="476">
        <v>823583</v>
      </c>
      <c r="HG50" s="476">
        <v>14784</v>
      </c>
      <c r="HH50" s="476">
        <v>167337</v>
      </c>
      <c r="HI50" s="476">
        <v>0</v>
      </c>
      <c r="HJ50" s="476">
        <v>7626</v>
      </c>
      <c r="HK50" s="476">
        <v>0</v>
      </c>
      <c r="HL50" s="476">
        <v>0</v>
      </c>
      <c r="HM50" s="476">
        <v>0</v>
      </c>
      <c r="HN50" s="476">
        <v>0</v>
      </c>
      <c r="HO50" s="476">
        <v>0</v>
      </c>
      <c r="HP50" s="476">
        <v>0</v>
      </c>
      <c r="HQ50" s="476">
        <v>0</v>
      </c>
      <c r="HR50" s="476">
        <v>0</v>
      </c>
      <c r="HS50" s="476">
        <v>6828890</v>
      </c>
      <c r="HT50" s="476">
        <v>154077</v>
      </c>
      <c r="HU50" s="476">
        <v>0</v>
      </c>
      <c r="HV50" s="476">
        <v>0</v>
      </c>
      <c r="HW50" s="476">
        <v>0</v>
      </c>
      <c r="HX50" s="476">
        <v>47</v>
      </c>
      <c r="HY50" s="476">
        <v>100</v>
      </c>
      <c r="HZ50" s="476">
        <v>86</v>
      </c>
      <c r="IA50" s="476">
        <v>184</v>
      </c>
      <c r="IB50" s="476">
        <v>316</v>
      </c>
      <c r="IC50" s="476">
        <v>733</v>
      </c>
      <c r="ID50" s="476">
        <v>0</v>
      </c>
      <c r="IE50" s="476">
        <v>0</v>
      </c>
      <c r="IF50" s="476">
        <v>0</v>
      </c>
      <c r="IG50" s="476">
        <v>24</v>
      </c>
      <c r="IH50" s="476">
        <v>271.65700000000004</v>
      </c>
      <c r="II50" s="476">
        <v>0</v>
      </c>
      <c r="IJ50" s="476">
        <v>4.8100000000000005</v>
      </c>
      <c r="IK50" s="476">
        <v>0</v>
      </c>
      <c r="IL50" s="476">
        <v>0</v>
      </c>
      <c r="IM50" s="476">
        <v>0</v>
      </c>
      <c r="IN50" s="476">
        <v>0</v>
      </c>
      <c r="IO50" s="476">
        <v>0</v>
      </c>
      <c r="IP50" s="476">
        <v>0</v>
      </c>
      <c r="IQ50" s="476">
        <v>4.8100000000000005</v>
      </c>
      <c r="IR50" s="476">
        <v>2963</v>
      </c>
      <c r="IS50" s="476">
        <v>0</v>
      </c>
      <c r="IT50" s="476">
        <v>0</v>
      </c>
      <c r="IU50" s="476">
        <v>0</v>
      </c>
      <c r="IV50" s="476">
        <v>0</v>
      </c>
      <c r="IW50" s="476">
        <v>6160</v>
      </c>
      <c r="IX50" s="476">
        <v>0</v>
      </c>
      <c r="IY50" s="476">
        <v>0</v>
      </c>
      <c r="IZ50" s="476">
        <v>0</v>
      </c>
      <c r="JA50" s="476">
        <v>0</v>
      </c>
      <c r="JB50" s="476">
        <v>0</v>
      </c>
      <c r="JC50" s="476">
        <v>0</v>
      </c>
      <c r="JD50" s="476">
        <v>0</v>
      </c>
      <c r="JE50" s="476">
        <v>0</v>
      </c>
      <c r="JF50" s="476">
        <v>0</v>
      </c>
      <c r="JG50" s="476">
        <v>0</v>
      </c>
      <c r="JH50" s="476">
        <v>0</v>
      </c>
      <c r="JI50" s="476">
        <v>0</v>
      </c>
      <c r="JJ50" s="476">
        <v>0</v>
      </c>
      <c r="JK50" s="476">
        <v>0</v>
      </c>
      <c r="JL50" s="476">
        <v>0</v>
      </c>
      <c r="JM50" s="476">
        <v>0</v>
      </c>
      <c r="JN50" s="476">
        <v>32469</v>
      </c>
      <c r="JO50" s="476">
        <v>0</v>
      </c>
      <c r="JP50" s="476">
        <v>0</v>
      </c>
      <c r="JQ50" s="476">
        <v>0</v>
      </c>
      <c r="JR50" s="476">
        <v>0</v>
      </c>
      <c r="JS50" s="476">
        <v>0</v>
      </c>
      <c r="JT50" s="476">
        <v>0</v>
      </c>
      <c r="JU50" s="476">
        <v>0</v>
      </c>
      <c r="JV50" s="476">
        <v>0</v>
      </c>
      <c r="JW50" s="476">
        <v>0</v>
      </c>
      <c r="JX50" s="476">
        <v>0</v>
      </c>
      <c r="JY50" s="476">
        <v>0</v>
      </c>
      <c r="JZ50" s="476">
        <v>0</v>
      </c>
      <c r="KA50" s="476">
        <v>0</v>
      </c>
      <c r="KB50" s="476">
        <v>0</v>
      </c>
      <c r="KC50" s="476">
        <v>0</v>
      </c>
      <c r="KD50" s="476">
        <v>0</v>
      </c>
      <c r="KE50" s="476">
        <v>7262</v>
      </c>
      <c r="KF50" s="476">
        <v>0</v>
      </c>
      <c r="KG50" s="476">
        <v>0</v>
      </c>
      <c r="KH50" s="476">
        <v>7905543</v>
      </c>
      <c r="KI50" s="476">
        <v>0</v>
      </c>
      <c r="KJ50" s="476">
        <v>5</v>
      </c>
      <c r="KK50" s="476">
        <v>19</v>
      </c>
      <c r="KL50" s="476">
        <v>3080</v>
      </c>
      <c r="KM50" s="476">
        <v>11704</v>
      </c>
      <c r="KN50" s="476">
        <v>0</v>
      </c>
    </row>
    <row r="51" spans="1:300" x14ac:dyDescent="0.25">
      <c r="A51" s="476">
        <v>40976</v>
      </c>
      <c r="B51" s="476">
        <v>57819</v>
      </c>
      <c r="C51" s="476">
        <v>9</v>
      </c>
      <c r="D51" s="476">
        <v>2024</v>
      </c>
      <c r="E51" s="476">
        <v>6160</v>
      </c>
      <c r="F51" s="476">
        <v>0</v>
      </c>
      <c r="G51" s="476">
        <v>162.07500000000002</v>
      </c>
      <c r="H51" s="476">
        <v>152.023</v>
      </c>
      <c r="I51" s="476">
        <v>152.023</v>
      </c>
      <c r="J51" s="476">
        <v>162.07500000000002</v>
      </c>
      <c r="K51" s="476">
        <v>0</v>
      </c>
      <c r="L51" s="476">
        <v>6160</v>
      </c>
      <c r="M51" s="476">
        <v>0</v>
      </c>
      <c r="N51" s="476">
        <v>0</v>
      </c>
      <c r="O51" s="476">
        <v>0</v>
      </c>
      <c r="P51" s="476">
        <v>161.77800000000002</v>
      </c>
      <c r="Q51" s="476">
        <v>0</v>
      </c>
      <c r="R51" s="476">
        <v>67119</v>
      </c>
      <c r="S51" s="476">
        <v>414.88400000000001</v>
      </c>
      <c r="T51" s="476">
        <v>0</v>
      </c>
      <c r="U51" s="476">
        <v>0</v>
      </c>
      <c r="V51" s="476">
        <v>93.325000000000003</v>
      </c>
      <c r="W51" s="476">
        <v>57487</v>
      </c>
      <c r="X51" s="476">
        <v>57487</v>
      </c>
      <c r="Y51" s="476">
        <v>0</v>
      </c>
      <c r="Z51" s="476">
        <v>0</v>
      </c>
      <c r="AA51" s="476">
        <v>0</v>
      </c>
      <c r="AB51" s="476">
        <v>0</v>
      </c>
      <c r="AC51" s="476">
        <v>0</v>
      </c>
      <c r="AD51" s="476" t="s">
        <v>314</v>
      </c>
      <c r="AE51" s="476">
        <v>0</v>
      </c>
      <c r="AF51" s="476">
        <v>0</v>
      </c>
      <c r="AG51" s="476">
        <v>0</v>
      </c>
      <c r="AH51" s="476">
        <v>0</v>
      </c>
      <c r="AI51" s="476">
        <v>0</v>
      </c>
      <c r="AJ51" s="476">
        <v>6160</v>
      </c>
      <c r="AK51" s="476" t="s">
        <v>651</v>
      </c>
      <c r="AL51" s="476" t="s">
        <v>43</v>
      </c>
      <c r="AM51" s="476">
        <v>0</v>
      </c>
      <c r="AN51" s="476">
        <v>0</v>
      </c>
      <c r="AO51" s="476">
        <v>0</v>
      </c>
      <c r="AP51" s="476">
        <v>0</v>
      </c>
      <c r="AQ51" s="476">
        <v>0</v>
      </c>
      <c r="AR51" s="476">
        <v>0</v>
      </c>
      <c r="AS51" s="476">
        <v>0</v>
      </c>
      <c r="AT51" s="476">
        <v>0</v>
      </c>
      <c r="AU51" s="476">
        <v>0</v>
      </c>
      <c r="AV51" s="476">
        <v>0</v>
      </c>
      <c r="AW51" s="476">
        <v>1802932</v>
      </c>
      <c r="AX51" s="476">
        <v>1775764</v>
      </c>
      <c r="AY51" s="476">
        <v>0</v>
      </c>
      <c r="AZ51" s="476">
        <v>67119</v>
      </c>
      <c r="BA51" s="476">
        <v>9</v>
      </c>
      <c r="BB51" s="476">
        <v>0</v>
      </c>
      <c r="BC51" s="476">
        <v>0</v>
      </c>
      <c r="BD51" s="476">
        <v>0</v>
      </c>
      <c r="BE51" s="476">
        <v>0</v>
      </c>
      <c r="BF51" s="476">
        <v>1577183</v>
      </c>
      <c r="BG51" s="476">
        <v>0</v>
      </c>
      <c r="BH51" s="476">
        <v>0</v>
      </c>
      <c r="BI51" s="476">
        <v>0</v>
      </c>
      <c r="BJ51" s="476">
        <v>12</v>
      </c>
      <c r="BK51" s="476">
        <v>0</v>
      </c>
      <c r="BL51" s="476">
        <v>0</v>
      </c>
      <c r="BM51" s="476">
        <v>0</v>
      </c>
      <c r="BN51" s="476">
        <v>0</v>
      </c>
      <c r="BO51" s="476">
        <v>0</v>
      </c>
      <c r="BP51" s="476">
        <v>0</v>
      </c>
      <c r="BQ51" s="476">
        <v>747</v>
      </c>
      <c r="BR51" s="476">
        <v>0</v>
      </c>
      <c r="BS51" s="476">
        <v>0</v>
      </c>
      <c r="BT51" s="476">
        <v>0</v>
      </c>
      <c r="BU51" s="476">
        <v>0</v>
      </c>
      <c r="BV51" s="476">
        <v>0</v>
      </c>
      <c r="BW51" s="476">
        <v>0</v>
      </c>
      <c r="BX51" s="476">
        <v>0</v>
      </c>
      <c r="BY51" s="476">
        <v>0</v>
      </c>
      <c r="BZ51" s="476">
        <v>0</v>
      </c>
      <c r="CA51" s="476">
        <v>0</v>
      </c>
      <c r="CB51" s="476">
        <v>0</v>
      </c>
      <c r="CC51" s="476">
        <v>0</v>
      </c>
      <c r="CD51" s="476">
        <v>0</v>
      </c>
      <c r="CE51" s="476">
        <v>0</v>
      </c>
      <c r="CF51" s="476">
        <v>0</v>
      </c>
      <c r="CG51" s="476">
        <v>0</v>
      </c>
      <c r="CH51" s="476">
        <v>27362</v>
      </c>
      <c r="CI51" s="476">
        <v>0</v>
      </c>
      <c r="CJ51" s="476">
        <v>4</v>
      </c>
      <c r="CK51" s="476">
        <v>0</v>
      </c>
      <c r="CL51" s="476">
        <v>0</v>
      </c>
      <c r="CM51" s="476">
        <v>0</v>
      </c>
      <c r="CN51" s="476">
        <v>0</v>
      </c>
      <c r="CO51" s="476">
        <v>1</v>
      </c>
      <c r="CP51" s="476">
        <v>0</v>
      </c>
      <c r="CQ51" s="476">
        <v>1</v>
      </c>
      <c r="CR51" s="476">
        <v>162.07500000000002</v>
      </c>
      <c r="CS51" s="476">
        <v>0</v>
      </c>
      <c r="CT51" s="476">
        <v>0</v>
      </c>
      <c r="CU51" s="476">
        <v>0</v>
      </c>
      <c r="CV51" s="476">
        <v>0</v>
      </c>
      <c r="CW51" s="476">
        <v>0</v>
      </c>
      <c r="CX51" s="476">
        <v>0</v>
      </c>
      <c r="CY51" s="476">
        <v>0</v>
      </c>
      <c r="CZ51" s="476">
        <v>0</v>
      </c>
      <c r="DA51" s="476">
        <v>0</v>
      </c>
      <c r="DB51" s="476">
        <v>924257</v>
      </c>
      <c r="DC51" s="476">
        <v>0</v>
      </c>
      <c r="DD51" s="476">
        <v>0</v>
      </c>
      <c r="DE51" s="476">
        <v>226760</v>
      </c>
      <c r="DF51" s="476">
        <v>226760</v>
      </c>
      <c r="DG51" s="476">
        <v>36.813000000000002</v>
      </c>
      <c r="DH51" s="476">
        <v>0</v>
      </c>
      <c r="DI51" s="476">
        <v>0</v>
      </c>
      <c r="DJ51" s="476">
        <v>0</v>
      </c>
      <c r="DK51" s="476">
        <v>3568</v>
      </c>
      <c r="DL51" s="476">
        <v>0</v>
      </c>
      <c r="DM51" s="476">
        <v>68751</v>
      </c>
      <c r="DN51" s="476">
        <v>194</v>
      </c>
      <c r="DO51" s="476">
        <v>0</v>
      </c>
      <c r="DP51" s="476">
        <v>0</v>
      </c>
      <c r="DQ51" s="476">
        <v>0</v>
      </c>
      <c r="DR51" s="476">
        <v>0</v>
      </c>
      <c r="DS51" s="476">
        <v>0</v>
      </c>
      <c r="DT51" s="476">
        <v>0</v>
      </c>
      <c r="DU51" s="476">
        <v>0</v>
      </c>
      <c r="DV51" s="476">
        <v>0</v>
      </c>
      <c r="DW51" s="476">
        <v>0</v>
      </c>
      <c r="DX51" s="476">
        <v>0</v>
      </c>
      <c r="DY51" s="476">
        <v>0</v>
      </c>
      <c r="DZ51" s="476">
        <v>0</v>
      </c>
      <c r="EA51" s="476">
        <v>0</v>
      </c>
      <c r="EB51" s="476">
        <v>0</v>
      </c>
      <c r="EC51" s="476">
        <v>0.57200000000000006</v>
      </c>
      <c r="ED51" s="476">
        <v>4052</v>
      </c>
      <c r="EE51" s="476">
        <v>0</v>
      </c>
      <c r="EF51" s="476">
        <v>0</v>
      </c>
      <c r="EG51" s="476">
        <v>0</v>
      </c>
      <c r="EH51" s="476">
        <v>52710</v>
      </c>
      <c r="EI51" s="476">
        <v>0</v>
      </c>
      <c r="EJ51" s="476">
        <v>0</v>
      </c>
      <c r="EK51" s="476">
        <v>2.6890000000000001</v>
      </c>
      <c r="EL51" s="476">
        <v>0</v>
      </c>
      <c r="EM51" s="476">
        <v>0</v>
      </c>
      <c r="EN51" s="476">
        <v>9.8000000000000004E-2</v>
      </c>
      <c r="EO51" s="476">
        <v>0</v>
      </c>
      <c r="EP51" s="476">
        <v>0</v>
      </c>
      <c r="EQ51" s="476">
        <v>2.7869999999999999</v>
      </c>
      <c r="ER51" s="476">
        <v>0</v>
      </c>
      <c r="ES51" s="476">
        <v>8.5570000000000004</v>
      </c>
      <c r="ET51" s="476">
        <v>0</v>
      </c>
      <c r="EU51" s="476">
        <v>0</v>
      </c>
      <c r="EV51" s="476">
        <v>0</v>
      </c>
      <c r="EW51" s="476">
        <v>0</v>
      </c>
      <c r="EX51" s="476">
        <v>0</v>
      </c>
      <c r="EY51" s="476">
        <v>0</v>
      </c>
      <c r="EZ51" s="476">
        <v>1538111</v>
      </c>
      <c r="FA51" s="476">
        <v>0</v>
      </c>
      <c r="FB51" s="476">
        <v>1605036</v>
      </c>
      <c r="FC51" s="476">
        <v>0</v>
      </c>
      <c r="FD51" s="476">
        <v>0</v>
      </c>
      <c r="FE51" s="476">
        <v>203643</v>
      </c>
      <c r="FF51" s="476">
        <v>34010</v>
      </c>
      <c r="FG51" s="476">
        <v>6.3017999999999991E-2</v>
      </c>
      <c r="FH51" s="476">
        <v>2.6953999999999999E-2</v>
      </c>
      <c r="FI51" s="476">
        <v>0</v>
      </c>
      <c r="FJ51" s="476">
        <v>0</v>
      </c>
      <c r="FK51" s="476">
        <v>256.04200000000003</v>
      </c>
      <c r="FL51" s="476">
        <v>1870051</v>
      </c>
      <c r="FM51" s="476">
        <v>0</v>
      </c>
      <c r="FN51" s="476">
        <v>0</v>
      </c>
      <c r="FO51" s="476">
        <v>27475</v>
      </c>
      <c r="FP51" s="476">
        <v>0</v>
      </c>
      <c r="FQ51" s="476">
        <v>27475</v>
      </c>
      <c r="FR51" s="476">
        <v>27475</v>
      </c>
      <c r="FS51" s="476">
        <v>0</v>
      </c>
      <c r="FT51" s="476">
        <v>0</v>
      </c>
      <c r="FU51" s="476">
        <v>0</v>
      </c>
      <c r="FV51" s="476">
        <v>0</v>
      </c>
      <c r="FW51" s="476">
        <v>0</v>
      </c>
      <c r="FX51" s="476">
        <v>0</v>
      </c>
      <c r="FY51" s="476">
        <v>0</v>
      </c>
      <c r="FZ51" s="476">
        <v>0</v>
      </c>
      <c r="GA51" s="476">
        <v>0</v>
      </c>
      <c r="GB51" s="476">
        <v>69684</v>
      </c>
      <c r="GC51" s="476">
        <v>69684</v>
      </c>
      <c r="GD51" s="476">
        <v>7.2650000000000006</v>
      </c>
      <c r="GE51" s="476">
        <v>0</v>
      </c>
      <c r="GF51" s="476">
        <v>0</v>
      </c>
      <c r="GG51" s="476">
        <v>0</v>
      </c>
      <c r="GH51" s="476">
        <v>0</v>
      </c>
      <c r="GI51" s="476">
        <v>0</v>
      </c>
      <c r="GJ51" s="476">
        <v>0</v>
      </c>
      <c r="GK51" s="476">
        <v>0</v>
      </c>
      <c r="GL51" s="476">
        <v>0</v>
      </c>
      <c r="GM51" s="476">
        <v>0</v>
      </c>
      <c r="GN51" s="476">
        <v>0</v>
      </c>
      <c r="GO51" s="476">
        <v>0</v>
      </c>
      <c r="GP51" s="476">
        <v>0</v>
      </c>
      <c r="GQ51" s="476">
        <v>1775570</v>
      </c>
      <c r="GR51" s="476">
        <v>0</v>
      </c>
      <c r="GS51" s="476">
        <v>0</v>
      </c>
      <c r="GT51" s="476">
        <v>0</v>
      </c>
      <c r="GU51" s="476">
        <v>0</v>
      </c>
      <c r="GV51" s="476">
        <v>0</v>
      </c>
      <c r="GW51" s="476">
        <v>0</v>
      </c>
      <c r="GX51" s="476">
        <v>0</v>
      </c>
      <c r="GY51" s="476">
        <v>0</v>
      </c>
      <c r="GZ51" s="476">
        <v>0</v>
      </c>
      <c r="HA51" s="476">
        <v>0</v>
      </c>
      <c r="HB51" s="476">
        <v>323396213</v>
      </c>
      <c r="HC51" s="476">
        <v>4.2206E-2</v>
      </c>
      <c r="HD51" s="476">
        <v>27362</v>
      </c>
      <c r="HE51" s="476">
        <v>0</v>
      </c>
      <c r="HF51" s="476">
        <v>167529</v>
      </c>
      <c r="HG51" s="476">
        <v>0</v>
      </c>
      <c r="HH51" s="476">
        <v>57900</v>
      </c>
      <c r="HI51" s="476">
        <v>0</v>
      </c>
      <c r="HJ51" s="476">
        <v>1621</v>
      </c>
      <c r="HK51" s="476">
        <v>463</v>
      </c>
      <c r="HL51" s="476">
        <v>109</v>
      </c>
      <c r="HM51" s="476">
        <v>3000</v>
      </c>
      <c r="HN51" s="476">
        <v>0</v>
      </c>
      <c r="HO51" s="476">
        <v>0</v>
      </c>
      <c r="HP51" s="476">
        <v>0</v>
      </c>
      <c r="HQ51" s="476">
        <v>0</v>
      </c>
      <c r="HR51" s="476">
        <v>0</v>
      </c>
      <c r="HS51" s="476">
        <v>1537917</v>
      </c>
      <c r="HT51" s="476">
        <v>34010</v>
      </c>
      <c r="HU51" s="476">
        <v>0</v>
      </c>
      <c r="HV51" s="476">
        <v>0</v>
      </c>
      <c r="HW51" s="476">
        <v>0</v>
      </c>
      <c r="HX51" s="476">
        <v>20</v>
      </c>
      <c r="HY51" s="476">
        <v>7</v>
      </c>
      <c r="HZ51" s="476">
        <v>21</v>
      </c>
      <c r="IA51" s="476">
        <v>14</v>
      </c>
      <c r="IB51" s="476">
        <v>79</v>
      </c>
      <c r="IC51" s="476">
        <v>141</v>
      </c>
      <c r="ID51" s="476">
        <v>0</v>
      </c>
      <c r="IE51" s="476">
        <v>0</v>
      </c>
      <c r="IF51" s="476">
        <v>0</v>
      </c>
      <c r="IG51" s="476">
        <v>0</v>
      </c>
      <c r="IH51" s="476">
        <v>93.995000000000005</v>
      </c>
      <c r="II51" s="476">
        <v>0</v>
      </c>
      <c r="IJ51" s="476">
        <v>93.325000000000003</v>
      </c>
      <c r="IK51" s="476">
        <v>0</v>
      </c>
      <c r="IL51" s="476">
        <v>0</v>
      </c>
      <c r="IM51" s="476">
        <v>1</v>
      </c>
      <c r="IN51" s="476">
        <v>0</v>
      </c>
      <c r="IO51" s="476">
        <v>1</v>
      </c>
      <c r="IP51" s="476">
        <v>0</v>
      </c>
      <c r="IQ51" s="476">
        <v>93.325000000000003</v>
      </c>
      <c r="IR51" s="476">
        <v>57487</v>
      </c>
      <c r="IS51" s="476">
        <v>0</v>
      </c>
      <c r="IT51" s="476">
        <v>0</v>
      </c>
      <c r="IU51" s="476">
        <v>3000</v>
      </c>
      <c r="IV51" s="476">
        <v>0</v>
      </c>
      <c r="IW51" s="476">
        <v>6160</v>
      </c>
      <c r="IX51" s="476">
        <v>0</v>
      </c>
      <c r="IY51" s="476">
        <v>0</v>
      </c>
      <c r="IZ51" s="476">
        <v>0</v>
      </c>
      <c r="JA51" s="476">
        <v>0</v>
      </c>
      <c r="JB51" s="476">
        <v>0</v>
      </c>
      <c r="JC51" s="476">
        <v>0</v>
      </c>
      <c r="JD51" s="476">
        <v>0</v>
      </c>
      <c r="JE51" s="476">
        <v>0</v>
      </c>
      <c r="JF51" s="476">
        <v>0</v>
      </c>
      <c r="JG51" s="476">
        <v>0</v>
      </c>
      <c r="JH51" s="476">
        <v>0</v>
      </c>
      <c r="JI51" s="476">
        <v>0</v>
      </c>
      <c r="JJ51" s="476">
        <v>0</v>
      </c>
      <c r="JK51" s="476">
        <v>0</v>
      </c>
      <c r="JL51" s="476">
        <v>0</v>
      </c>
      <c r="JM51" s="476">
        <v>0</v>
      </c>
      <c r="JN51" s="476">
        <v>35572</v>
      </c>
      <c r="JO51" s="476">
        <v>0.39500000000000002</v>
      </c>
      <c r="JP51" s="476">
        <v>4.9350000000000005</v>
      </c>
      <c r="JQ51" s="476">
        <v>1.9350000000000001</v>
      </c>
      <c r="JR51" s="476">
        <v>3155</v>
      </c>
      <c r="JS51" s="476">
        <v>45873</v>
      </c>
      <c r="JT51" s="476">
        <v>20656</v>
      </c>
      <c r="JU51" s="476">
        <v>0</v>
      </c>
      <c r="JV51" s="476">
        <v>0</v>
      </c>
      <c r="JW51" s="476">
        <v>0</v>
      </c>
      <c r="JX51" s="476">
        <v>0</v>
      </c>
      <c r="JY51" s="476">
        <v>0</v>
      </c>
      <c r="JZ51" s="476">
        <v>0</v>
      </c>
      <c r="KA51" s="476">
        <v>0</v>
      </c>
      <c r="KB51" s="476">
        <v>0</v>
      </c>
      <c r="KC51" s="476">
        <v>0</v>
      </c>
      <c r="KD51" s="476">
        <v>0</v>
      </c>
      <c r="KE51" s="476">
        <v>7262</v>
      </c>
      <c r="KF51" s="476">
        <v>0</v>
      </c>
      <c r="KG51" s="476">
        <v>0</v>
      </c>
      <c r="KH51" s="476">
        <v>1775570</v>
      </c>
      <c r="KI51" s="476">
        <v>0</v>
      </c>
      <c r="KJ51" s="476">
        <v>0</v>
      </c>
      <c r="KK51" s="476">
        <v>0</v>
      </c>
      <c r="KL51" s="476">
        <v>0</v>
      </c>
      <c r="KM51" s="476">
        <v>0</v>
      </c>
      <c r="KN51" s="476">
        <v>0</v>
      </c>
    </row>
    <row r="52" spans="1:300" x14ac:dyDescent="0.25">
      <c r="A52" s="476">
        <v>40976</v>
      </c>
      <c r="B52" s="476">
        <v>57827</v>
      </c>
      <c r="C52" s="476">
        <v>9</v>
      </c>
      <c r="D52" s="476">
        <v>2024</v>
      </c>
      <c r="E52" s="476">
        <v>6160</v>
      </c>
      <c r="F52" s="476">
        <v>0</v>
      </c>
      <c r="G52" s="476">
        <v>410.69800000000004</v>
      </c>
      <c r="H52" s="476">
        <v>409.54700000000003</v>
      </c>
      <c r="I52" s="476">
        <v>409.54700000000003</v>
      </c>
      <c r="J52" s="476">
        <v>410.69800000000004</v>
      </c>
      <c r="K52" s="476">
        <v>0</v>
      </c>
      <c r="L52" s="476">
        <v>6160</v>
      </c>
      <c r="M52" s="476">
        <v>0</v>
      </c>
      <c r="N52" s="476">
        <v>0</v>
      </c>
      <c r="O52" s="476">
        <v>0</v>
      </c>
      <c r="P52" s="476">
        <v>411.53300000000002</v>
      </c>
      <c r="Q52" s="476">
        <v>0</v>
      </c>
      <c r="R52" s="476">
        <v>170738</v>
      </c>
      <c r="S52" s="476">
        <v>414.88400000000001</v>
      </c>
      <c r="T52" s="476">
        <v>0</v>
      </c>
      <c r="U52" s="476">
        <v>0</v>
      </c>
      <c r="V52" s="476">
        <v>121.197</v>
      </c>
      <c r="W52" s="476">
        <v>74656</v>
      </c>
      <c r="X52" s="476">
        <v>74656</v>
      </c>
      <c r="Y52" s="476">
        <v>0</v>
      </c>
      <c r="Z52" s="476">
        <v>0</v>
      </c>
      <c r="AA52" s="476">
        <v>0</v>
      </c>
      <c r="AB52" s="476">
        <v>0</v>
      </c>
      <c r="AC52" s="476">
        <v>0</v>
      </c>
      <c r="AD52" s="476" t="s">
        <v>314</v>
      </c>
      <c r="AE52" s="476">
        <v>0</v>
      </c>
      <c r="AF52" s="476">
        <v>0</v>
      </c>
      <c r="AG52" s="476">
        <v>0</v>
      </c>
      <c r="AH52" s="476">
        <v>0</v>
      </c>
      <c r="AI52" s="476">
        <v>0</v>
      </c>
      <c r="AJ52" s="476">
        <v>6160</v>
      </c>
      <c r="AK52" s="476" t="s">
        <v>651</v>
      </c>
      <c r="AL52" s="476" t="s">
        <v>456</v>
      </c>
      <c r="AM52" s="476">
        <v>0</v>
      </c>
      <c r="AN52" s="476">
        <v>0</v>
      </c>
      <c r="AO52" s="476">
        <v>0</v>
      </c>
      <c r="AP52" s="476">
        <v>0</v>
      </c>
      <c r="AQ52" s="476">
        <v>0</v>
      </c>
      <c r="AR52" s="476">
        <v>0</v>
      </c>
      <c r="AS52" s="476">
        <v>0</v>
      </c>
      <c r="AT52" s="476">
        <v>0</v>
      </c>
      <c r="AU52" s="476">
        <v>0</v>
      </c>
      <c r="AV52" s="476">
        <v>0</v>
      </c>
      <c r="AW52" s="476">
        <v>4518816</v>
      </c>
      <c r="AX52" s="476">
        <v>4449989</v>
      </c>
      <c r="AY52" s="476">
        <v>0</v>
      </c>
      <c r="AZ52" s="476">
        <v>170738</v>
      </c>
      <c r="BA52" s="476">
        <v>21.667000000000002</v>
      </c>
      <c r="BB52" s="476">
        <v>0</v>
      </c>
      <c r="BC52" s="476">
        <v>0</v>
      </c>
      <c r="BD52" s="476">
        <v>0</v>
      </c>
      <c r="BE52" s="476">
        <v>0</v>
      </c>
      <c r="BF52" s="476">
        <v>4015642</v>
      </c>
      <c r="BG52" s="476">
        <v>0</v>
      </c>
      <c r="BH52" s="476">
        <v>0</v>
      </c>
      <c r="BI52" s="476">
        <v>0</v>
      </c>
      <c r="BJ52" s="476">
        <v>12</v>
      </c>
      <c r="BK52" s="476">
        <v>0</v>
      </c>
      <c r="BL52" s="476">
        <v>0</v>
      </c>
      <c r="BM52" s="476">
        <v>0</v>
      </c>
      <c r="BN52" s="476">
        <v>0</v>
      </c>
      <c r="BO52" s="476">
        <v>0</v>
      </c>
      <c r="BP52" s="476">
        <v>0</v>
      </c>
      <c r="BQ52" s="476">
        <v>707</v>
      </c>
      <c r="BR52" s="476">
        <v>0</v>
      </c>
      <c r="BS52" s="476">
        <v>0</v>
      </c>
      <c r="BT52" s="476">
        <v>0</v>
      </c>
      <c r="BU52" s="476">
        <v>0</v>
      </c>
      <c r="BV52" s="476">
        <v>0</v>
      </c>
      <c r="BW52" s="476">
        <v>0</v>
      </c>
      <c r="BX52" s="476">
        <v>0</v>
      </c>
      <c r="BY52" s="476">
        <v>0</v>
      </c>
      <c r="BZ52" s="476">
        <v>0</v>
      </c>
      <c r="CA52" s="476">
        <v>0</v>
      </c>
      <c r="CB52" s="476">
        <v>0</v>
      </c>
      <c r="CC52" s="476">
        <v>0</v>
      </c>
      <c r="CD52" s="476">
        <v>0</v>
      </c>
      <c r="CE52" s="476">
        <v>0</v>
      </c>
      <c r="CF52" s="476">
        <v>0</v>
      </c>
      <c r="CG52" s="476">
        <v>0</v>
      </c>
      <c r="CH52" s="476">
        <v>69336</v>
      </c>
      <c r="CI52" s="476">
        <v>0</v>
      </c>
      <c r="CJ52" s="476">
        <v>4</v>
      </c>
      <c r="CK52" s="476">
        <v>0</v>
      </c>
      <c r="CL52" s="476">
        <v>0</v>
      </c>
      <c r="CM52" s="476">
        <v>0</v>
      </c>
      <c r="CN52" s="476">
        <v>0</v>
      </c>
      <c r="CO52" s="476">
        <v>1</v>
      </c>
      <c r="CP52" s="476">
        <v>0</v>
      </c>
      <c r="CQ52" s="476">
        <v>0.83300000000000007</v>
      </c>
      <c r="CR52" s="476">
        <v>410.69800000000004</v>
      </c>
      <c r="CS52" s="476">
        <v>0</v>
      </c>
      <c r="CT52" s="476">
        <v>0</v>
      </c>
      <c r="CU52" s="476">
        <v>0</v>
      </c>
      <c r="CV52" s="476">
        <v>0</v>
      </c>
      <c r="CW52" s="476">
        <v>0</v>
      </c>
      <c r="CX52" s="476">
        <v>0</v>
      </c>
      <c r="CY52" s="476">
        <v>0</v>
      </c>
      <c r="CZ52" s="476">
        <v>0</v>
      </c>
      <c r="DA52" s="476">
        <v>0</v>
      </c>
      <c r="DB52" s="476">
        <v>2487516</v>
      </c>
      <c r="DC52" s="476">
        <v>0</v>
      </c>
      <c r="DD52" s="476">
        <v>0</v>
      </c>
      <c r="DE52" s="476">
        <v>720088</v>
      </c>
      <c r="DF52" s="476">
        <v>720088</v>
      </c>
      <c r="DG52" s="476">
        <v>116.9</v>
      </c>
      <c r="DH52" s="476">
        <v>0</v>
      </c>
      <c r="DI52" s="476">
        <v>0</v>
      </c>
      <c r="DJ52" s="476">
        <v>0</v>
      </c>
      <c r="DK52" s="476">
        <v>2933</v>
      </c>
      <c r="DL52" s="476">
        <v>0</v>
      </c>
      <c r="DM52" s="476">
        <v>183409</v>
      </c>
      <c r="DN52" s="476">
        <v>509</v>
      </c>
      <c r="DO52" s="476">
        <v>0</v>
      </c>
      <c r="DP52" s="476">
        <v>0</v>
      </c>
      <c r="DQ52" s="476">
        <v>0</v>
      </c>
      <c r="DR52" s="476">
        <v>0</v>
      </c>
      <c r="DS52" s="476">
        <v>0</v>
      </c>
      <c r="DT52" s="476">
        <v>0</v>
      </c>
      <c r="DU52" s="476">
        <v>0</v>
      </c>
      <c r="DV52" s="476">
        <v>0</v>
      </c>
      <c r="DW52" s="476">
        <v>0</v>
      </c>
      <c r="DX52" s="476">
        <v>0</v>
      </c>
      <c r="DY52" s="476">
        <v>0</v>
      </c>
      <c r="DZ52" s="476">
        <v>0</v>
      </c>
      <c r="EA52" s="476">
        <v>0</v>
      </c>
      <c r="EB52" s="476">
        <v>0</v>
      </c>
      <c r="EC52" s="476">
        <v>17.555</v>
      </c>
      <c r="ED52" s="476">
        <v>124357</v>
      </c>
      <c r="EE52" s="476">
        <v>0</v>
      </c>
      <c r="EF52" s="476">
        <v>0</v>
      </c>
      <c r="EG52" s="476">
        <v>0</v>
      </c>
      <c r="EH52" s="476">
        <v>24325</v>
      </c>
      <c r="EI52" s="476">
        <v>0</v>
      </c>
      <c r="EJ52" s="476">
        <v>0</v>
      </c>
      <c r="EK52" s="476">
        <v>0.90300000000000002</v>
      </c>
      <c r="EL52" s="476">
        <v>0</v>
      </c>
      <c r="EM52" s="476">
        <v>0</v>
      </c>
      <c r="EN52" s="476">
        <v>0.248</v>
      </c>
      <c r="EO52" s="476">
        <v>0</v>
      </c>
      <c r="EP52" s="476">
        <v>0</v>
      </c>
      <c r="EQ52" s="476">
        <v>1.151</v>
      </c>
      <c r="ER52" s="476">
        <v>0</v>
      </c>
      <c r="ES52" s="476">
        <v>3.9490000000000003</v>
      </c>
      <c r="ET52" s="476">
        <v>0</v>
      </c>
      <c r="EU52" s="476">
        <v>0</v>
      </c>
      <c r="EV52" s="476">
        <v>0</v>
      </c>
      <c r="EW52" s="476">
        <v>0</v>
      </c>
      <c r="EX52" s="476">
        <v>0</v>
      </c>
      <c r="EY52" s="476">
        <v>0</v>
      </c>
      <c r="EZ52" s="476">
        <v>3844904</v>
      </c>
      <c r="FA52" s="476">
        <v>0</v>
      </c>
      <c r="FB52" s="476">
        <v>4015133</v>
      </c>
      <c r="FC52" s="476">
        <v>0</v>
      </c>
      <c r="FD52" s="476">
        <v>0</v>
      </c>
      <c r="FE52" s="476">
        <v>518493</v>
      </c>
      <c r="FF52" s="476">
        <v>86592</v>
      </c>
      <c r="FG52" s="476">
        <v>6.3017999999999991E-2</v>
      </c>
      <c r="FH52" s="476">
        <v>2.6953999999999999E-2</v>
      </c>
      <c r="FI52" s="476">
        <v>0</v>
      </c>
      <c r="FJ52" s="476">
        <v>0</v>
      </c>
      <c r="FK52" s="476">
        <v>651.90500000000009</v>
      </c>
      <c r="FL52" s="476">
        <v>4689554</v>
      </c>
      <c r="FM52" s="476">
        <v>0</v>
      </c>
      <c r="FN52" s="476">
        <v>0</v>
      </c>
      <c r="FO52" s="476">
        <v>0</v>
      </c>
      <c r="FP52" s="476">
        <v>0</v>
      </c>
      <c r="FQ52" s="476">
        <v>0</v>
      </c>
      <c r="FR52" s="476">
        <v>0</v>
      </c>
      <c r="FS52" s="476">
        <v>0</v>
      </c>
      <c r="FT52" s="476">
        <v>0</v>
      </c>
      <c r="FU52" s="476">
        <v>0</v>
      </c>
      <c r="FV52" s="476">
        <v>0</v>
      </c>
      <c r="FW52" s="476">
        <v>0</v>
      </c>
      <c r="FX52" s="476">
        <v>0</v>
      </c>
      <c r="FY52" s="476">
        <v>0</v>
      </c>
      <c r="FZ52" s="476">
        <v>0</v>
      </c>
      <c r="GA52" s="476">
        <v>0</v>
      </c>
      <c r="GB52" s="476">
        <v>0</v>
      </c>
      <c r="GC52" s="476">
        <v>0</v>
      </c>
      <c r="GD52" s="476">
        <v>0</v>
      </c>
      <c r="GE52" s="476">
        <v>0</v>
      </c>
      <c r="GF52" s="476">
        <v>0</v>
      </c>
      <c r="GG52" s="476">
        <v>0</v>
      </c>
      <c r="GH52" s="476">
        <v>0</v>
      </c>
      <c r="GI52" s="476">
        <v>0</v>
      </c>
      <c r="GJ52" s="476">
        <v>0</v>
      </c>
      <c r="GK52" s="476">
        <v>0</v>
      </c>
      <c r="GL52" s="476">
        <v>0</v>
      </c>
      <c r="GM52" s="476">
        <v>0</v>
      </c>
      <c r="GN52" s="476">
        <v>0</v>
      </c>
      <c r="GO52" s="476">
        <v>0</v>
      </c>
      <c r="GP52" s="476">
        <v>0</v>
      </c>
      <c r="GQ52" s="476">
        <v>4449480</v>
      </c>
      <c r="GR52" s="476">
        <v>0</v>
      </c>
      <c r="GS52" s="476">
        <v>0</v>
      </c>
      <c r="GT52" s="476">
        <v>0</v>
      </c>
      <c r="GU52" s="476">
        <v>0</v>
      </c>
      <c r="GV52" s="476">
        <v>0</v>
      </c>
      <c r="GW52" s="476">
        <v>0</v>
      </c>
      <c r="GX52" s="476">
        <v>0</v>
      </c>
      <c r="GY52" s="476">
        <v>0</v>
      </c>
      <c r="GZ52" s="476">
        <v>0</v>
      </c>
      <c r="HA52" s="476">
        <v>0</v>
      </c>
      <c r="HB52" s="476">
        <v>323396213</v>
      </c>
      <c r="HC52" s="476">
        <v>4.2206E-2</v>
      </c>
      <c r="HD52" s="476">
        <v>69336</v>
      </c>
      <c r="HE52" s="476">
        <v>0</v>
      </c>
      <c r="HF52" s="476">
        <v>451321</v>
      </c>
      <c r="HG52" s="476">
        <v>1848</v>
      </c>
      <c r="HH52" s="476">
        <v>92188</v>
      </c>
      <c r="HI52" s="476">
        <v>0</v>
      </c>
      <c r="HJ52" s="476">
        <v>4107</v>
      </c>
      <c r="HK52" s="476">
        <v>0</v>
      </c>
      <c r="HL52" s="476">
        <v>0</v>
      </c>
      <c r="HM52" s="476">
        <v>0</v>
      </c>
      <c r="HN52" s="476">
        <v>0</v>
      </c>
      <c r="HO52" s="476">
        <v>0</v>
      </c>
      <c r="HP52" s="476">
        <v>0</v>
      </c>
      <c r="HQ52" s="476">
        <v>0</v>
      </c>
      <c r="HR52" s="476">
        <v>0</v>
      </c>
      <c r="HS52" s="476">
        <v>3844395</v>
      </c>
      <c r="HT52" s="476">
        <v>86592</v>
      </c>
      <c r="HU52" s="476">
        <v>0</v>
      </c>
      <c r="HV52" s="476">
        <v>0</v>
      </c>
      <c r="HW52" s="476">
        <v>0</v>
      </c>
      <c r="HX52" s="476">
        <v>28</v>
      </c>
      <c r="HY52" s="476">
        <v>68</v>
      </c>
      <c r="HZ52" s="476">
        <v>100</v>
      </c>
      <c r="IA52" s="476">
        <v>98</v>
      </c>
      <c r="IB52" s="476">
        <v>159</v>
      </c>
      <c r="IC52" s="476">
        <v>453</v>
      </c>
      <c r="ID52" s="476">
        <v>0</v>
      </c>
      <c r="IE52" s="476">
        <v>0</v>
      </c>
      <c r="IF52" s="476">
        <v>0</v>
      </c>
      <c r="IG52" s="476">
        <v>3</v>
      </c>
      <c r="IH52" s="476">
        <v>149.66</v>
      </c>
      <c r="II52" s="476">
        <v>0</v>
      </c>
      <c r="IJ52" s="476">
        <v>121.197</v>
      </c>
      <c r="IK52" s="476">
        <v>0</v>
      </c>
      <c r="IL52" s="476">
        <v>0</v>
      </c>
      <c r="IM52" s="476">
        <v>0</v>
      </c>
      <c r="IN52" s="476">
        <v>0</v>
      </c>
      <c r="IO52" s="476">
        <v>0</v>
      </c>
      <c r="IP52" s="476">
        <v>0</v>
      </c>
      <c r="IQ52" s="476">
        <v>121.197</v>
      </c>
      <c r="IR52" s="476">
        <v>74656</v>
      </c>
      <c r="IS52" s="476">
        <v>0</v>
      </c>
      <c r="IT52" s="476">
        <v>0</v>
      </c>
      <c r="IU52" s="476">
        <v>0</v>
      </c>
      <c r="IV52" s="476">
        <v>0</v>
      </c>
      <c r="IW52" s="476">
        <v>6160</v>
      </c>
      <c r="IX52" s="476">
        <v>0</v>
      </c>
      <c r="IY52" s="476">
        <v>0</v>
      </c>
      <c r="IZ52" s="476">
        <v>0</v>
      </c>
      <c r="JA52" s="476">
        <v>0</v>
      </c>
      <c r="JB52" s="476">
        <v>0</v>
      </c>
      <c r="JC52" s="476">
        <v>0</v>
      </c>
      <c r="JD52" s="476">
        <v>0</v>
      </c>
      <c r="JE52" s="476">
        <v>0</v>
      </c>
      <c r="JF52" s="476">
        <v>0</v>
      </c>
      <c r="JG52" s="476">
        <v>0</v>
      </c>
      <c r="JH52" s="476">
        <v>0</v>
      </c>
      <c r="JI52" s="476">
        <v>0</v>
      </c>
      <c r="JJ52" s="476">
        <v>0</v>
      </c>
      <c r="JK52" s="476">
        <v>0</v>
      </c>
      <c r="JL52" s="476">
        <v>0</v>
      </c>
      <c r="JM52" s="476">
        <v>0</v>
      </c>
      <c r="JN52" s="476">
        <v>32469</v>
      </c>
      <c r="JO52" s="476">
        <v>0</v>
      </c>
      <c r="JP52" s="476">
        <v>0</v>
      </c>
      <c r="JQ52" s="476">
        <v>0</v>
      </c>
      <c r="JR52" s="476">
        <v>0</v>
      </c>
      <c r="JS52" s="476">
        <v>0</v>
      </c>
      <c r="JT52" s="476">
        <v>0</v>
      </c>
      <c r="JU52" s="476">
        <v>0</v>
      </c>
      <c r="JV52" s="476">
        <v>0</v>
      </c>
      <c r="JW52" s="476">
        <v>0</v>
      </c>
      <c r="JX52" s="476">
        <v>0</v>
      </c>
      <c r="JY52" s="476">
        <v>0</v>
      </c>
      <c r="JZ52" s="476">
        <v>0</v>
      </c>
      <c r="KA52" s="476">
        <v>0</v>
      </c>
      <c r="KB52" s="476">
        <v>0</v>
      </c>
      <c r="KC52" s="476">
        <v>0</v>
      </c>
      <c r="KD52" s="476">
        <v>0</v>
      </c>
      <c r="KE52" s="476">
        <v>7262</v>
      </c>
      <c r="KF52" s="476">
        <v>0</v>
      </c>
      <c r="KG52" s="476">
        <v>0</v>
      </c>
      <c r="KH52" s="476">
        <v>4449480</v>
      </c>
      <c r="KI52" s="476">
        <v>0</v>
      </c>
      <c r="KJ52" s="476">
        <v>0</v>
      </c>
      <c r="KK52" s="476">
        <v>3</v>
      </c>
      <c r="KL52" s="476">
        <v>0</v>
      </c>
      <c r="KM52" s="476">
        <v>1848</v>
      </c>
      <c r="KN52" s="476">
        <v>0</v>
      </c>
    </row>
    <row r="53" spans="1:300" x14ac:dyDescent="0.25">
      <c r="A53" s="476">
        <v>40976</v>
      </c>
      <c r="B53" s="476">
        <v>57828</v>
      </c>
      <c r="C53" s="476">
        <v>9</v>
      </c>
      <c r="D53" s="476">
        <v>2024</v>
      </c>
      <c r="E53" s="476">
        <v>6160</v>
      </c>
      <c r="F53" s="476">
        <v>0</v>
      </c>
      <c r="G53" s="476">
        <v>784.48300000000006</v>
      </c>
      <c r="H53" s="476">
        <v>674.33699999999999</v>
      </c>
      <c r="I53" s="476">
        <v>674.33699999999999</v>
      </c>
      <c r="J53" s="476">
        <v>784.48300000000006</v>
      </c>
      <c r="K53" s="476">
        <v>0</v>
      </c>
      <c r="L53" s="476">
        <v>6160</v>
      </c>
      <c r="M53" s="476">
        <v>0</v>
      </c>
      <c r="N53" s="476">
        <v>0</v>
      </c>
      <c r="O53" s="476">
        <v>0</v>
      </c>
      <c r="P53" s="476">
        <v>784.48300000000006</v>
      </c>
      <c r="Q53" s="476">
        <v>0</v>
      </c>
      <c r="R53" s="476">
        <v>325469</v>
      </c>
      <c r="S53" s="476">
        <v>414.88400000000001</v>
      </c>
      <c r="T53" s="476">
        <v>0</v>
      </c>
      <c r="U53" s="476">
        <v>0</v>
      </c>
      <c r="V53" s="476">
        <v>139.56700000000001</v>
      </c>
      <c r="W53" s="476">
        <v>85971</v>
      </c>
      <c r="X53" s="476">
        <v>85971</v>
      </c>
      <c r="Y53" s="476">
        <v>0</v>
      </c>
      <c r="Z53" s="476">
        <v>0</v>
      </c>
      <c r="AA53" s="476">
        <v>0</v>
      </c>
      <c r="AB53" s="476">
        <v>0</v>
      </c>
      <c r="AC53" s="476">
        <v>0</v>
      </c>
      <c r="AD53" s="476" t="s">
        <v>314</v>
      </c>
      <c r="AE53" s="476">
        <v>0</v>
      </c>
      <c r="AF53" s="476">
        <v>0</v>
      </c>
      <c r="AG53" s="476">
        <v>0</v>
      </c>
      <c r="AH53" s="476">
        <v>0</v>
      </c>
      <c r="AI53" s="476">
        <v>0</v>
      </c>
      <c r="AJ53" s="476">
        <v>6160</v>
      </c>
      <c r="AK53" s="476" t="s">
        <v>651</v>
      </c>
      <c r="AL53" s="476" t="s">
        <v>83</v>
      </c>
      <c r="AM53" s="476">
        <v>0</v>
      </c>
      <c r="AN53" s="476">
        <v>0</v>
      </c>
      <c r="AO53" s="476">
        <v>0</v>
      </c>
      <c r="AP53" s="476">
        <v>0</v>
      </c>
      <c r="AQ53" s="476">
        <v>0</v>
      </c>
      <c r="AR53" s="476">
        <v>0</v>
      </c>
      <c r="AS53" s="476">
        <v>0</v>
      </c>
      <c r="AT53" s="476">
        <v>0</v>
      </c>
      <c r="AU53" s="476">
        <v>0</v>
      </c>
      <c r="AV53" s="476">
        <v>0</v>
      </c>
      <c r="AW53" s="476">
        <v>8898813</v>
      </c>
      <c r="AX53" s="476">
        <v>8768942</v>
      </c>
      <c r="AY53" s="476">
        <v>0</v>
      </c>
      <c r="AZ53" s="476">
        <v>325469</v>
      </c>
      <c r="BA53" s="476">
        <v>0</v>
      </c>
      <c r="BB53" s="476">
        <v>0</v>
      </c>
      <c r="BC53" s="476">
        <v>0</v>
      </c>
      <c r="BD53" s="476">
        <v>0</v>
      </c>
      <c r="BE53" s="476">
        <v>0</v>
      </c>
      <c r="BF53" s="476">
        <v>7682014</v>
      </c>
      <c r="BG53" s="476">
        <v>0</v>
      </c>
      <c r="BH53" s="476">
        <v>0</v>
      </c>
      <c r="BI53" s="476">
        <v>0</v>
      </c>
      <c r="BJ53" s="476">
        <v>12</v>
      </c>
      <c r="BK53" s="476">
        <v>0</v>
      </c>
      <c r="BL53" s="476">
        <v>0</v>
      </c>
      <c r="BM53" s="476">
        <v>0</v>
      </c>
      <c r="BN53" s="476">
        <v>0</v>
      </c>
      <c r="BO53" s="476">
        <v>0</v>
      </c>
      <c r="BP53" s="476">
        <v>0</v>
      </c>
      <c r="BQ53" s="476">
        <v>666</v>
      </c>
      <c r="BR53" s="476">
        <v>0</v>
      </c>
      <c r="BS53" s="476">
        <v>0</v>
      </c>
      <c r="BT53" s="476">
        <v>0</v>
      </c>
      <c r="BU53" s="476">
        <v>0</v>
      </c>
      <c r="BV53" s="476">
        <v>0</v>
      </c>
      <c r="BW53" s="476">
        <v>0</v>
      </c>
      <c r="BX53" s="476">
        <v>0</v>
      </c>
      <c r="BY53" s="476">
        <v>0</v>
      </c>
      <c r="BZ53" s="476">
        <v>0</v>
      </c>
      <c r="CA53" s="476">
        <v>0</v>
      </c>
      <c r="CB53" s="476">
        <v>0</v>
      </c>
      <c r="CC53" s="476">
        <v>0</v>
      </c>
      <c r="CD53" s="476">
        <v>0</v>
      </c>
      <c r="CE53" s="476">
        <v>0</v>
      </c>
      <c r="CF53" s="476">
        <v>0</v>
      </c>
      <c r="CG53" s="476">
        <v>0</v>
      </c>
      <c r="CH53" s="476">
        <v>132441</v>
      </c>
      <c r="CI53" s="476">
        <v>0</v>
      </c>
      <c r="CJ53" s="476">
        <v>4</v>
      </c>
      <c r="CK53" s="476">
        <v>0</v>
      </c>
      <c r="CL53" s="476">
        <v>0</v>
      </c>
      <c r="CM53" s="476">
        <v>0</v>
      </c>
      <c r="CN53" s="476">
        <v>0</v>
      </c>
      <c r="CO53" s="476">
        <v>1</v>
      </c>
      <c r="CP53" s="476">
        <v>0</v>
      </c>
      <c r="CQ53" s="476">
        <v>0</v>
      </c>
      <c r="CR53" s="476">
        <v>784.48300000000006</v>
      </c>
      <c r="CS53" s="476">
        <v>0</v>
      </c>
      <c r="CT53" s="476">
        <v>0</v>
      </c>
      <c r="CU53" s="476">
        <v>0</v>
      </c>
      <c r="CV53" s="476">
        <v>0</v>
      </c>
      <c r="CW53" s="476">
        <v>0</v>
      </c>
      <c r="CX53" s="476">
        <v>0</v>
      </c>
      <c r="CY53" s="476">
        <v>0</v>
      </c>
      <c r="CZ53" s="476">
        <v>0</v>
      </c>
      <c r="DA53" s="476">
        <v>0</v>
      </c>
      <c r="DB53" s="476">
        <v>3937570</v>
      </c>
      <c r="DC53" s="476">
        <v>0</v>
      </c>
      <c r="DD53" s="476">
        <v>0</v>
      </c>
      <c r="DE53" s="476">
        <v>1013297</v>
      </c>
      <c r="DF53" s="476">
        <v>1013297</v>
      </c>
      <c r="DG53" s="476">
        <v>164.5</v>
      </c>
      <c r="DH53" s="476">
        <v>0</v>
      </c>
      <c r="DI53" s="476">
        <v>0</v>
      </c>
      <c r="DJ53" s="476">
        <v>0</v>
      </c>
      <c r="DK53" s="476">
        <v>2281</v>
      </c>
      <c r="DL53" s="476">
        <v>0</v>
      </c>
      <c r="DM53" s="476">
        <v>963615</v>
      </c>
      <c r="DN53" s="476">
        <v>2569</v>
      </c>
      <c r="DO53" s="476">
        <v>0</v>
      </c>
      <c r="DP53" s="476">
        <v>0</v>
      </c>
      <c r="DQ53" s="476">
        <v>0</v>
      </c>
      <c r="DR53" s="476">
        <v>0</v>
      </c>
      <c r="DS53" s="476">
        <v>0</v>
      </c>
      <c r="DT53" s="476">
        <v>0</v>
      </c>
      <c r="DU53" s="476">
        <v>0</v>
      </c>
      <c r="DV53" s="476">
        <v>0</v>
      </c>
      <c r="DW53" s="476">
        <v>0</v>
      </c>
      <c r="DX53" s="476">
        <v>0</v>
      </c>
      <c r="DY53" s="476">
        <v>0</v>
      </c>
      <c r="DZ53" s="476">
        <v>0</v>
      </c>
      <c r="EA53" s="476">
        <v>0</v>
      </c>
      <c r="EB53" s="476">
        <v>0</v>
      </c>
      <c r="EC53" s="476">
        <v>49.933</v>
      </c>
      <c r="ED53" s="476">
        <v>353717</v>
      </c>
      <c r="EE53" s="476">
        <v>0</v>
      </c>
      <c r="EF53" s="476">
        <v>0</v>
      </c>
      <c r="EG53" s="476">
        <v>0</v>
      </c>
      <c r="EH53" s="476">
        <v>396215</v>
      </c>
      <c r="EI53" s="476">
        <v>0</v>
      </c>
      <c r="EJ53" s="476">
        <v>0</v>
      </c>
      <c r="EK53" s="476">
        <v>20.849</v>
      </c>
      <c r="EL53" s="476">
        <v>0</v>
      </c>
      <c r="EM53" s="476">
        <v>0</v>
      </c>
      <c r="EN53" s="476">
        <v>0.35500000000000004</v>
      </c>
      <c r="EO53" s="476">
        <v>0</v>
      </c>
      <c r="EP53" s="476">
        <v>0</v>
      </c>
      <c r="EQ53" s="476">
        <v>21.204000000000001</v>
      </c>
      <c r="ER53" s="476">
        <v>0</v>
      </c>
      <c r="ES53" s="476">
        <v>64.322000000000003</v>
      </c>
      <c r="ET53" s="476">
        <v>0</v>
      </c>
      <c r="EU53" s="476">
        <v>0</v>
      </c>
      <c r="EV53" s="476">
        <v>0</v>
      </c>
      <c r="EW53" s="476">
        <v>0</v>
      </c>
      <c r="EX53" s="476">
        <v>0</v>
      </c>
      <c r="EY53" s="476">
        <v>0</v>
      </c>
      <c r="EZ53" s="476">
        <v>7611401</v>
      </c>
      <c r="FA53" s="476">
        <v>0</v>
      </c>
      <c r="FB53" s="476">
        <v>7934300</v>
      </c>
      <c r="FC53" s="476">
        <v>0</v>
      </c>
      <c r="FD53" s="476">
        <v>0</v>
      </c>
      <c r="FE53" s="476">
        <v>991888</v>
      </c>
      <c r="FF53" s="476">
        <v>165653</v>
      </c>
      <c r="FG53" s="476">
        <v>6.3017999999999991E-2</v>
      </c>
      <c r="FH53" s="476">
        <v>2.6953999999999999E-2</v>
      </c>
      <c r="FI53" s="476">
        <v>0</v>
      </c>
      <c r="FJ53" s="476">
        <v>0</v>
      </c>
      <c r="FK53" s="476">
        <v>1247.1090000000002</v>
      </c>
      <c r="FL53" s="476">
        <v>9224282</v>
      </c>
      <c r="FM53" s="476">
        <v>0</v>
      </c>
      <c r="FN53" s="476">
        <v>0</v>
      </c>
      <c r="FO53" s="476">
        <v>18457</v>
      </c>
      <c r="FP53" s="476">
        <v>0</v>
      </c>
      <c r="FQ53" s="476">
        <v>18457</v>
      </c>
      <c r="FR53" s="476">
        <v>18457</v>
      </c>
      <c r="FS53" s="476">
        <v>0</v>
      </c>
      <c r="FT53" s="476">
        <v>0</v>
      </c>
      <c r="FU53" s="476">
        <v>0</v>
      </c>
      <c r="FV53" s="476">
        <v>0</v>
      </c>
      <c r="FW53" s="476">
        <v>0</v>
      </c>
      <c r="FX53" s="476">
        <v>0</v>
      </c>
      <c r="FY53" s="476">
        <v>0</v>
      </c>
      <c r="FZ53" s="476">
        <v>0</v>
      </c>
      <c r="GA53" s="476">
        <v>0</v>
      </c>
      <c r="GB53" s="476">
        <v>817997</v>
      </c>
      <c r="GC53" s="476">
        <v>817997</v>
      </c>
      <c r="GD53" s="476">
        <v>88.942000000000007</v>
      </c>
      <c r="GE53" s="476">
        <v>0</v>
      </c>
      <c r="GF53" s="476">
        <v>0</v>
      </c>
      <c r="GG53" s="476">
        <v>0</v>
      </c>
      <c r="GH53" s="476">
        <v>0</v>
      </c>
      <c r="GI53" s="476">
        <v>0</v>
      </c>
      <c r="GJ53" s="476">
        <v>0</v>
      </c>
      <c r="GK53" s="476">
        <v>0</v>
      </c>
      <c r="GL53" s="476">
        <v>0</v>
      </c>
      <c r="GM53" s="476">
        <v>0</v>
      </c>
      <c r="GN53" s="476">
        <v>0</v>
      </c>
      <c r="GO53" s="476">
        <v>0</v>
      </c>
      <c r="GP53" s="476">
        <v>0</v>
      </c>
      <c r="GQ53" s="476">
        <v>8766372</v>
      </c>
      <c r="GR53" s="476">
        <v>0</v>
      </c>
      <c r="GS53" s="476">
        <v>0</v>
      </c>
      <c r="GT53" s="476">
        <v>0</v>
      </c>
      <c r="GU53" s="476">
        <v>0</v>
      </c>
      <c r="GV53" s="476">
        <v>0</v>
      </c>
      <c r="GW53" s="476">
        <v>0</v>
      </c>
      <c r="GX53" s="476">
        <v>0</v>
      </c>
      <c r="GY53" s="476">
        <v>0</v>
      </c>
      <c r="GZ53" s="476">
        <v>0</v>
      </c>
      <c r="HA53" s="476">
        <v>0</v>
      </c>
      <c r="HB53" s="476">
        <v>323396213</v>
      </c>
      <c r="HC53" s="476">
        <v>4.2206E-2</v>
      </c>
      <c r="HD53" s="476">
        <v>132441</v>
      </c>
      <c r="HE53" s="476">
        <v>0</v>
      </c>
      <c r="HF53" s="476">
        <v>743119</v>
      </c>
      <c r="HG53" s="476">
        <v>31415</v>
      </c>
      <c r="HH53" s="476">
        <v>0</v>
      </c>
      <c r="HI53" s="476">
        <v>0</v>
      </c>
      <c r="HJ53" s="476">
        <v>7845</v>
      </c>
      <c r="HK53" s="476">
        <v>11082</v>
      </c>
      <c r="HL53" s="476">
        <v>3855</v>
      </c>
      <c r="HM53" s="476">
        <v>0</v>
      </c>
      <c r="HN53" s="476">
        <v>78616</v>
      </c>
      <c r="HO53" s="476">
        <v>0</v>
      </c>
      <c r="HP53" s="476">
        <v>221462</v>
      </c>
      <c r="HQ53" s="476">
        <v>0</v>
      </c>
      <c r="HR53" s="476">
        <v>0</v>
      </c>
      <c r="HS53" s="476">
        <v>7608831</v>
      </c>
      <c r="HT53" s="476">
        <v>165653</v>
      </c>
      <c r="HU53" s="476">
        <v>0</v>
      </c>
      <c r="HV53" s="476">
        <v>0</v>
      </c>
      <c r="HW53" s="476">
        <v>0</v>
      </c>
      <c r="HX53" s="476">
        <v>104</v>
      </c>
      <c r="HY53" s="476">
        <v>145</v>
      </c>
      <c r="HZ53" s="476">
        <v>123</v>
      </c>
      <c r="IA53" s="476">
        <v>131</v>
      </c>
      <c r="IB53" s="476">
        <v>151</v>
      </c>
      <c r="IC53" s="476">
        <v>654</v>
      </c>
      <c r="ID53" s="476">
        <v>0</v>
      </c>
      <c r="IE53" s="476">
        <v>0</v>
      </c>
      <c r="IF53" s="476">
        <v>0</v>
      </c>
      <c r="IG53" s="476">
        <v>51</v>
      </c>
      <c r="IH53" s="476">
        <v>0</v>
      </c>
      <c r="II53" s="476">
        <v>805.31500000000005</v>
      </c>
      <c r="IJ53" s="476">
        <v>139.56700000000001</v>
      </c>
      <c r="IK53" s="476">
        <v>0</v>
      </c>
      <c r="IL53" s="476">
        <v>0</v>
      </c>
      <c r="IM53" s="476">
        <v>0</v>
      </c>
      <c r="IN53" s="476">
        <v>0</v>
      </c>
      <c r="IO53" s="476">
        <v>0</v>
      </c>
      <c r="IP53" s="476">
        <v>805.31500000000005</v>
      </c>
      <c r="IQ53" s="476">
        <v>139.56700000000001</v>
      </c>
      <c r="IR53" s="476">
        <v>85971</v>
      </c>
      <c r="IS53" s="476">
        <v>0</v>
      </c>
      <c r="IT53" s="476">
        <v>0</v>
      </c>
      <c r="IU53" s="476">
        <v>0</v>
      </c>
      <c r="IV53" s="476">
        <v>0</v>
      </c>
      <c r="IW53" s="476">
        <v>6160</v>
      </c>
      <c r="IX53" s="476">
        <v>0</v>
      </c>
      <c r="IY53" s="476">
        <v>0</v>
      </c>
      <c r="IZ53" s="476">
        <v>221462</v>
      </c>
      <c r="JA53" s="476">
        <v>0</v>
      </c>
      <c r="JB53" s="476">
        <v>0</v>
      </c>
      <c r="JC53" s="476">
        <v>0</v>
      </c>
      <c r="JD53" s="476">
        <v>3</v>
      </c>
      <c r="JE53" s="476">
        <v>28657</v>
      </c>
      <c r="JF53" s="476">
        <v>9</v>
      </c>
      <c r="JG53" s="476">
        <v>43959</v>
      </c>
      <c r="JH53" s="476">
        <v>6000</v>
      </c>
      <c r="JI53" s="476">
        <v>0</v>
      </c>
      <c r="JJ53" s="476">
        <v>0</v>
      </c>
      <c r="JK53" s="476">
        <v>0</v>
      </c>
      <c r="JL53" s="476">
        <v>0</v>
      </c>
      <c r="JM53" s="476">
        <v>0</v>
      </c>
      <c r="JN53" s="476">
        <v>32469</v>
      </c>
      <c r="JO53" s="476">
        <v>19.95</v>
      </c>
      <c r="JP53" s="476">
        <v>56.435000000000002</v>
      </c>
      <c r="JQ53" s="476">
        <v>12.557</v>
      </c>
      <c r="JR53" s="476">
        <v>159365</v>
      </c>
      <c r="JS53" s="476">
        <v>524584</v>
      </c>
      <c r="JT53" s="476">
        <v>134048</v>
      </c>
      <c r="JU53" s="476">
        <v>0</v>
      </c>
      <c r="JV53" s="476">
        <v>0</v>
      </c>
      <c r="JW53" s="476">
        <v>0</v>
      </c>
      <c r="JX53" s="476">
        <v>0</v>
      </c>
      <c r="JY53" s="476">
        <v>0</v>
      </c>
      <c r="JZ53" s="476">
        <v>0</v>
      </c>
      <c r="KA53" s="476">
        <v>0</v>
      </c>
      <c r="KB53" s="476">
        <v>0</v>
      </c>
      <c r="KC53" s="476">
        <v>0</v>
      </c>
      <c r="KD53" s="476">
        <v>0</v>
      </c>
      <c r="KE53" s="476">
        <v>7262</v>
      </c>
      <c r="KF53" s="476">
        <v>0</v>
      </c>
      <c r="KG53" s="476">
        <v>0</v>
      </c>
      <c r="KH53" s="476">
        <v>8766372</v>
      </c>
      <c r="KI53" s="476">
        <v>0</v>
      </c>
      <c r="KJ53" s="476">
        <v>13</v>
      </c>
      <c r="KK53" s="476">
        <v>38</v>
      </c>
      <c r="KL53" s="476">
        <v>8008</v>
      </c>
      <c r="KM53" s="476">
        <v>23407</v>
      </c>
      <c r="KN53" s="476">
        <v>0</v>
      </c>
    </row>
    <row r="54" spans="1:300" x14ac:dyDescent="0.25">
      <c r="A54" s="476">
        <v>40976</v>
      </c>
      <c r="B54" s="476">
        <v>57829</v>
      </c>
      <c r="C54" s="476">
        <v>9</v>
      </c>
      <c r="D54" s="476">
        <v>2024</v>
      </c>
      <c r="E54" s="476">
        <v>6160</v>
      </c>
      <c r="F54" s="476">
        <v>0</v>
      </c>
      <c r="G54" s="476">
        <v>1401.9930000000002</v>
      </c>
      <c r="H54" s="476">
        <v>1270.1870000000001</v>
      </c>
      <c r="I54" s="476">
        <v>1270.1870000000001</v>
      </c>
      <c r="J54" s="476">
        <v>1401.9930000000002</v>
      </c>
      <c r="K54" s="476">
        <v>0</v>
      </c>
      <c r="L54" s="476">
        <v>6160</v>
      </c>
      <c r="M54" s="476">
        <v>0</v>
      </c>
      <c r="N54" s="476">
        <v>0</v>
      </c>
      <c r="O54" s="476">
        <v>0</v>
      </c>
      <c r="P54" s="476">
        <v>1401.883</v>
      </c>
      <c r="Q54" s="476">
        <v>0</v>
      </c>
      <c r="R54" s="476">
        <v>581619</v>
      </c>
      <c r="S54" s="476">
        <v>414.88400000000001</v>
      </c>
      <c r="T54" s="476">
        <v>0</v>
      </c>
      <c r="U54" s="476">
        <v>0</v>
      </c>
      <c r="V54" s="476">
        <v>735.37300000000005</v>
      </c>
      <c r="W54" s="476">
        <v>453009</v>
      </c>
      <c r="X54" s="476">
        <v>453009</v>
      </c>
      <c r="Y54" s="476">
        <v>0</v>
      </c>
      <c r="Z54" s="476">
        <v>0</v>
      </c>
      <c r="AA54" s="476">
        <v>0</v>
      </c>
      <c r="AB54" s="476">
        <v>0</v>
      </c>
      <c r="AC54" s="476">
        <v>0</v>
      </c>
      <c r="AD54" s="476" t="s">
        <v>314</v>
      </c>
      <c r="AE54" s="476">
        <v>0</v>
      </c>
      <c r="AF54" s="476">
        <v>0</v>
      </c>
      <c r="AG54" s="476">
        <v>0</v>
      </c>
      <c r="AH54" s="476">
        <v>0</v>
      </c>
      <c r="AI54" s="476">
        <v>0</v>
      </c>
      <c r="AJ54" s="476">
        <v>6160</v>
      </c>
      <c r="AK54" s="476" t="s">
        <v>651</v>
      </c>
      <c r="AL54" s="476" t="s">
        <v>44</v>
      </c>
      <c r="AM54" s="476">
        <v>0</v>
      </c>
      <c r="AN54" s="476">
        <v>0</v>
      </c>
      <c r="AO54" s="476">
        <v>0</v>
      </c>
      <c r="AP54" s="476">
        <v>0</v>
      </c>
      <c r="AQ54" s="476">
        <v>0</v>
      </c>
      <c r="AR54" s="476">
        <v>0</v>
      </c>
      <c r="AS54" s="476">
        <v>0</v>
      </c>
      <c r="AT54" s="476">
        <v>0</v>
      </c>
      <c r="AU54" s="476">
        <v>0</v>
      </c>
      <c r="AV54" s="476">
        <v>0</v>
      </c>
      <c r="AW54" s="476">
        <v>16458911</v>
      </c>
      <c r="AX54" s="476">
        <v>16226570</v>
      </c>
      <c r="AY54" s="476">
        <v>0</v>
      </c>
      <c r="AZ54" s="476">
        <v>581619</v>
      </c>
      <c r="BA54" s="476">
        <v>82.332999999999998</v>
      </c>
      <c r="BB54" s="476">
        <v>29837</v>
      </c>
      <c r="BC54" s="476">
        <v>29647</v>
      </c>
      <c r="BD54" s="476">
        <v>70</v>
      </c>
      <c r="BE54" s="476">
        <v>190</v>
      </c>
      <c r="BF54" s="476">
        <v>14601304</v>
      </c>
      <c r="BG54" s="476">
        <v>0</v>
      </c>
      <c r="BH54" s="476">
        <v>0</v>
      </c>
      <c r="BI54" s="476">
        <v>0</v>
      </c>
      <c r="BJ54" s="476">
        <v>12</v>
      </c>
      <c r="BK54" s="476">
        <v>0</v>
      </c>
      <c r="BL54" s="476">
        <v>0</v>
      </c>
      <c r="BM54" s="476">
        <v>0</v>
      </c>
      <c r="BN54" s="476">
        <v>0</v>
      </c>
      <c r="BO54" s="476">
        <v>0</v>
      </c>
      <c r="BP54" s="476">
        <v>0</v>
      </c>
      <c r="BQ54" s="476">
        <v>574</v>
      </c>
      <c r="BR54" s="476">
        <v>0</v>
      </c>
      <c r="BS54" s="476">
        <v>0</v>
      </c>
      <c r="BT54" s="476">
        <v>0</v>
      </c>
      <c r="BU54" s="476">
        <v>0</v>
      </c>
      <c r="BV54" s="476">
        <v>0</v>
      </c>
      <c r="BW54" s="476">
        <v>0</v>
      </c>
      <c r="BX54" s="476">
        <v>0</v>
      </c>
      <c r="BY54" s="476">
        <v>0</v>
      </c>
      <c r="BZ54" s="476">
        <v>0</v>
      </c>
      <c r="CA54" s="476">
        <v>0</v>
      </c>
      <c r="CB54" s="476">
        <v>0</v>
      </c>
      <c r="CC54" s="476">
        <v>0</v>
      </c>
      <c r="CD54" s="476">
        <v>0</v>
      </c>
      <c r="CE54" s="476">
        <v>0</v>
      </c>
      <c r="CF54" s="476">
        <v>0</v>
      </c>
      <c r="CG54" s="476">
        <v>0</v>
      </c>
      <c r="CH54" s="476">
        <v>236692</v>
      </c>
      <c r="CI54" s="476">
        <v>0</v>
      </c>
      <c r="CJ54" s="476">
        <v>4</v>
      </c>
      <c r="CK54" s="476">
        <v>0</v>
      </c>
      <c r="CL54" s="476">
        <v>0</v>
      </c>
      <c r="CM54" s="476">
        <v>0</v>
      </c>
      <c r="CN54" s="476">
        <v>0</v>
      </c>
      <c r="CO54" s="476">
        <v>1</v>
      </c>
      <c r="CP54" s="476">
        <v>0</v>
      </c>
      <c r="CQ54" s="476">
        <v>10.083</v>
      </c>
      <c r="CR54" s="476">
        <v>1401.9930000000002</v>
      </c>
      <c r="CS54" s="476">
        <v>0</v>
      </c>
      <c r="CT54" s="476">
        <v>0</v>
      </c>
      <c r="CU54" s="476">
        <v>0</v>
      </c>
      <c r="CV54" s="476">
        <v>0</v>
      </c>
      <c r="CW54" s="476">
        <v>0</v>
      </c>
      <c r="CX54" s="476">
        <v>0</v>
      </c>
      <c r="CY54" s="476">
        <v>0</v>
      </c>
      <c r="CZ54" s="476">
        <v>0</v>
      </c>
      <c r="DA54" s="476">
        <v>0</v>
      </c>
      <c r="DB54" s="476">
        <v>7824174</v>
      </c>
      <c r="DC54" s="476">
        <v>0</v>
      </c>
      <c r="DD54" s="476">
        <v>0</v>
      </c>
      <c r="DE54" s="476">
        <v>2353606</v>
      </c>
      <c r="DF54" s="476">
        <v>2353606</v>
      </c>
      <c r="DG54" s="476">
        <v>382.08800000000002</v>
      </c>
      <c r="DH54" s="476">
        <v>0</v>
      </c>
      <c r="DI54" s="476">
        <v>0</v>
      </c>
      <c r="DJ54" s="476">
        <v>0</v>
      </c>
      <c r="DK54" s="476">
        <v>813</v>
      </c>
      <c r="DL54" s="476">
        <v>0</v>
      </c>
      <c r="DM54" s="476">
        <v>1210242</v>
      </c>
      <c r="DN54" s="476">
        <v>4161</v>
      </c>
      <c r="DO54" s="476">
        <v>0</v>
      </c>
      <c r="DP54" s="476">
        <v>0</v>
      </c>
      <c r="DQ54" s="476">
        <v>0</v>
      </c>
      <c r="DR54" s="476">
        <v>0</v>
      </c>
      <c r="DS54" s="476">
        <v>0</v>
      </c>
      <c r="DT54" s="476">
        <v>0</v>
      </c>
      <c r="DU54" s="476">
        <v>0</v>
      </c>
      <c r="DV54" s="476">
        <v>0</v>
      </c>
      <c r="DW54" s="476">
        <v>0</v>
      </c>
      <c r="DX54" s="476">
        <v>0</v>
      </c>
      <c r="DY54" s="476">
        <v>0</v>
      </c>
      <c r="DZ54" s="476">
        <v>0</v>
      </c>
      <c r="EA54" s="476">
        <v>7.6999999999999999E-2</v>
      </c>
      <c r="EB54" s="476">
        <v>0</v>
      </c>
      <c r="EC54" s="476">
        <v>63.665000000000006</v>
      </c>
      <c r="ED54" s="476">
        <v>450993</v>
      </c>
      <c r="EE54" s="476">
        <v>0</v>
      </c>
      <c r="EF54" s="476">
        <v>0</v>
      </c>
      <c r="EG54" s="476">
        <v>0</v>
      </c>
      <c r="EH54" s="476">
        <v>763410</v>
      </c>
      <c r="EI54" s="476">
        <v>0</v>
      </c>
      <c r="EJ54" s="476">
        <v>0</v>
      </c>
      <c r="EK54" s="476">
        <v>21.762</v>
      </c>
      <c r="EL54" s="476">
        <v>0</v>
      </c>
      <c r="EM54" s="476">
        <v>13.449</v>
      </c>
      <c r="EN54" s="476">
        <v>3.5830000000000002</v>
      </c>
      <c r="EO54" s="476">
        <v>0</v>
      </c>
      <c r="EP54" s="476">
        <v>0</v>
      </c>
      <c r="EQ54" s="476">
        <v>38.871000000000002</v>
      </c>
      <c r="ER54" s="476">
        <v>0</v>
      </c>
      <c r="ES54" s="476">
        <v>123.93300000000001</v>
      </c>
      <c r="ET54" s="476">
        <v>0</v>
      </c>
      <c r="EU54" s="476">
        <v>0</v>
      </c>
      <c r="EV54" s="476">
        <v>0</v>
      </c>
      <c r="EW54" s="476">
        <v>0</v>
      </c>
      <c r="EX54" s="476">
        <v>0</v>
      </c>
      <c r="EY54" s="476">
        <v>0</v>
      </c>
      <c r="EZ54" s="476">
        <v>14026418</v>
      </c>
      <c r="FA54" s="476">
        <v>0</v>
      </c>
      <c r="FB54" s="476">
        <v>14603686</v>
      </c>
      <c r="FC54" s="476">
        <v>0</v>
      </c>
      <c r="FD54" s="476">
        <v>0</v>
      </c>
      <c r="FE54" s="476">
        <v>1885294</v>
      </c>
      <c r="FF54" s="476">
        <v>314858</v>
      </c>
      <c r="FG54" s="476">
        <v>6.3017999999999991E-2</v>
      </c>
      <c r="FH54" s="476">
        <v>2.6953999999999999E-2</v>
      </c>
      <c r="FI54" s="476">
        <v>0</v>
      </c>
      <c r="FJ54" s="476">
        <v>0</v>
      </c>
      <c r="FK54" s="476">
        <v>2370.395</v>
      </c>
      <c r="FL54" s="476">
        <v>17040530</v>
      </c>
      <c r="FM54" s="476">
        <v>0</v>
      </c>
      <c r="FN54" s="476">
        <v>0</v>
      </c>
      <c r="FO54" s="476">
        <v>0</v>
      </c>
      <c r="FP54" s="476">
        <v>0</v>
      </c>
      <c r="FQ54" s="476">
        <v>0</v>
      </c>
      <c r="FR54" s="476">
        <v>0</v>
      </c>
      <c r="FS54" s="476">
        <v>0</v>
      </c>
      <c r="FT54" s="476">
        <v>0</v>
      </c>
      <c r="FU54" s="476">
        <v>0</v>
      </c>
      <c r="FV54" s="476">
        <v>0</v>
      </c>
      <c r="FW54" s="476">
        <v>0</v>
      </c>
      <c r="FX54" s="476">
        <v>0</v>
      </c>
      <c r="FY54" s="476">
        <v>0</v>
      </c>
      <c r="FZ54" s="476">
        <v>0</v>
      </c>
      <c r="GA54" s="476">
        <v>0</v>
      </c>
      <c r="GB54" s="476">
        <v>917922</v>
      </c>
      <c r="GC54" s="476">
        <v>917922</v>
      </c>
      <c r="GD54" s="476">
        <v>92.935000000000002</v>
      </c>
      <c r="GE54" s="476">
        <v>0</v>
      </c>
      <c r="GF54" s="476">
        <v>0</v>
      </c>
      <c r="GG54" s="476">
        <v>0</v>
      </c>
      <c r="GH54" s="476">
        <v>0</v>
      </c>
      <c r="GI54" s="476">
        <v>0</v>
      </c>
      <c r="GJ54" s="476">
        <v>0</v>
      </c>
      <c r="GK54" s="476">
        <v>0</v>
      </c>
      <c r="GL54" s="476">
        <v>0</v>
      </c>
      <c r="GM54" s="476">
        <v>0</v>
      </c>
      <c r="GN54" s="476">
        <v>0</v>
      </c>
      <c r="GO54" s="476">
        <v>0</v>
      </c>
      <c r="GP54" s="476">
        <v>0</v>
      </c>
      <c r="GQ54" s="476">
        <v>16222219</v>
      </c>
      <c r="GR54" s="476">
        <v>0</v>
      </c>
      <c r="GS54" s="476">
        <v>0</v>
      </c>
      <c r="GT54" s="476">
        <v>0</v>
      </c>
      <c r="GU54" s="476">
        <v>0</v>
      </c>
      <c r="GV54" s="476">
        <v>0</v>
      </c>
      <c r="GW54" s="476">
        <v>0</v>
      </c>
      <c r="GX54" s="476">
        <v>0</v>
      </c>
      <c r="GY54" s="476">
        <v>0</v>
      </c>
      <c r="GZ54" s="476">
        <v>0</v>
      </c>
      <c r="HA54" s="476">
        <v>0</v>
      </c>
      <c r="HB54" s="476">
        <v>323396213</v>
      </c>
      <c r="HC54" s="476">
        <v>4.2206E-2</v>
      </c>
      <c r="HD54" s="476">
        <v>236692</v>
      </c>
      <c r="HE54" s="476">
        <v>0</v>
      </c>
      <c r="HF54" s="476">
        <v>1399746</v>
      </c>
      <c r="HG54" s="476">
        <v>21560</v>
      </c>
      <c r="HH54" s="476">
        <v>335027</v>
      </c>
      <c r="HI54" s="476">
        <v>0</v>
      </c>
      <c r="HJ54" s="476">
        <v>14020</v>
      </c>
      <c r="HK54" s="476">
        <v>4893</v>
      </c>
      <c r="HL54" s="476">
        <v>1840</v>
      </c>
      <c r="HM54" s="476">
        <v>38000</v>
      </c>
      <c r="HN54" s="476">
        <v>0</v>
      </c>
      <c r="HO54" s="476">
        <v>0</v>
      </c>
      <c r="HP54" s="476">
        <v>0</v>
      </c>
      <c r="HQ54" s="476">
        <v>0</v>
      </c>
      <c r="HR54" s="476">
        <v>0</v>
      </c>
      <c r="HS54" s="476">
        <v>14022067</v>
      </c>
      <c r="HT54" s="476">
        <v>314858</v>
      </c>
      <c r="HU54" s="476">
        <v>0</v>
      </c>
      <c r="HV54" s="476">
        <v>0</v>
      </c>
      <c r="HW54" s="476">
        <v>0</v>
      </c>
      <c r="HX54" s="476">
        <v>22</v>
      </c>
      <c r="HY54" s="476">
        <v>226</v>
      </c>
      <c r="HZ54" s="476">
        <v>432</v>
      </c>
      <c r="IA54" s="476">
        <v>473</v>
      </c>
      <c r="IB54" s="476">
        <v>332</v>
      </c>
      <c r="IC54" s="476">
        <v>1485</v>
      </c>
      <c r="ID54" s="476">
        <v>0</v>
      </c>
      <c r="IE54" s="476">
        <v>3.2000000000000001E-2</v>
      </c>
      <c r="IF54" s="476">
        <v>0</v>
      </c>
      <c r="IG54" s="476">
        <v>35</v>
      </c>
      <c r="IH54" s="476">
        <v>543.88700000000006</v>
      </c>
      <c r="II54" s="476">
        <v>0</v>
      </c>
      <c r="IJ54" s="476">
        <v>735.40500000000009</v>
      </c>
      <c r="IK54" s="476">
        <v>0</v>
      </c>
      <c r="IL54" s="476">
        <v>7</v>
      </c>
      <c r="IM54" s="476">
        <v>1</v>
      </c>
      <c r="IN54" s="476">
        <v>0</v>
      </c>
      <c r="IO54" s="476">
        <v>8</v>
      </c>
      <c r="IP54" s="476">
        <v>0</v>
      </c>
      <c r="IQ54" s="476">
        <v>735.37300000000005</v>
      </c>
      <c r="IR54" s="476">
        <v>452979</v>
      </c>
      <c r="IS54" s="476">
        <v>0</v>
      </c>
      <c r="IT54" s="476">
        <v>35000</v>
      </c>
      <c r="IU54" s="476">
        <v>3000</v>
      </c>
      <c r="IV54" s="476">
        <v>0</v>
      </c>
      <c r="IW54" s="476">
        <v>6160</v>
      </c>
      <c r="IX54" s="476">
        <v>30</v>
      </c>
      <c r="IY54" s="476">
        <v>0</v>
      </c>
      <c r="IZ54" s="476">
        <v>0</v>
      </c>
      <c r="JA54" s="476">
        <v>0</v>
      </c>
      <c r="JB54" s="476">
        <v>0</v>
      </c>
      <c r="JC54" s="476">
        <v>0</v>
      </c>
      <c r="JD54" s="476">
        <v>0</v>
      </c>
      <c r="JE54" s="476">
        <v>0</v>
      </c>
      <c r="JF54" s="476">
        <v>0</v>
      </c>
      <c r="JG54" s="476">
        <v>0</v>
      </c>
      <c r="JH54" s="476">
        <v>0</v>
      </c>
      <c r="JI54" s="476">
        <v>0</v>
      </c>
      <c r="JJ54" s="476">
        <v>0</v>
      </c>
      <c r="JK54" s="476">
        <v>0</v>
      </c>
      <c r="JL54" s="476">
        <v>0</v>
      </c>
      <c r="JM54" s="476">
        <v>0</v>
      </c>
      <c r="JN54" s="476">
        <v>32469</v>
      </c>
      <c r="JO54" s="476">
        <v>0</v>
      </c>
      <c r="JP54" s="476">
        <v>53.757000000000005</v>
      </c>
      <c r="JQ54" s="476">
        <v>39.178000000000004</v>
      </c>
      <c r="JR54" s="476">
        <v>0</v>
      </c>
      <c r="JS54" s="476">
        <v>499691</v>
      </c>
      <c r="JT54" s="476">
        <v>418231</v>
      </c>
      <c r="JU54" s="476">
        <v>30183</v>
      </c>
      <c r="JV54" s="476">
        <v>0</v>
      </c>
      <c r="JW54" s="476">
        <v>0</v>
      </c>
      <c r="JX54" s="476">
        <v>0</v>
      </c>
      <c r="JY54" s="476">
        <v>0</v>
      </c>
      <c r="JZ54" s="476">
        <v>0</v>
      </c>
      <c r="KA54" s="476">
        <v>0</v>
      </c>
      <c r="KB54" s="476">
        <v>0</v>
      </c>
      <c r="KC54" s="476">
        <v>0</v>
      </c>
      <c r="KD54" s="476">
        <v>30183</v>
      </c>
      <c r="KE54" s="476">
        <v>7262</v>
      </c>
      <c r="KF54" s="476">
        <v>0</v>
      </c>
      <c r="KG54" s="476">
        <v>0</v>
      </c>
      <c r="KH54" s="476">
        <v>16222219</v>
      </c>
      <c r="KI54" s="476">
        <v>0</v>
      </c>
      <c r="KJ54" s="476">
        <v>23</v>
      </c>
      <c r="KK54" s="476">
        <v>12</v>
      </c>
      <c r="KL54" s="476">
        <v>14168</v>
      </c>
      <c r="KM54" s="476">
        <v>7392</v>
      </c>
      <c r="KN54" s="476">
        <v>0</v>
      </c>
    </row>
    <row r="55" spans="1:300" x14ac:dyDescent="0.25">
      <c r="A55" s="476">
        <v>40976</v>
      </c>
      <c r="B55" s="476">
        <v>57830</v>
      </c>
      <c r="C55" s="476">
        <v>9</v>
      </c>
      <c r="D55" s="476">
        <v>2024</v>
      </c>
      <c r="E55" s="476">
        <v>6160</v>
      </c>
      <c r="F55" s="476">
        <v>0</v>
      </c>
      <c r="G55" s="476">
        <v>1153.347</v>
      </c>
      <c r="H55" s="476">
        <v>1047.6590000000001</v>
      </c>
      <c r="I55" s="476">
        <v>1047.6590000000001</v>
      </c>
      <c r="J55" s="476">
        <v>1153.347</v>
      </c>
      <c r="K55" s="476">
        <v>0</v>
      </c>
      <c r="L55" s="476">
        <v>6160</v>
      </c>
      <c r="M55" s="476">
        <v>0</v>
      </c>
      <c r="N55" s="476">
        <v>0</v>
      </c>
      <c r="O55" s="476">
        <v>0</v>
      </c>
      <c r="P55" s="476">
        <v>1154.1000000000001</v>
      </c>
      <c r="Q55" s="476">
        <v>0</v>
      </c>
      <c r="R55" s="476">
        <v>478818</v>
      </c>
      <c r="S55" s="476">
        <v>414.88400000000001</v>
      </c>
      <c r="T55" s="476">
        <v>0</v>
      </c>
      <c r="U55" s="476">
        <v>0</v>
      </c>
      <c r="V55" s="476">
        <v>628.89800000000002</v>
      </c>
      <c r="W55" s="476">
        <v>387392</v>
      </c>
      <c r="X55" s="476">
        <v>387392</v>
      </c>
      <c r="Y55" s="476">
        <v>0</v>
      </c>
      <c r="Z55" s="476">
        <v>0</v>
      </c>
      <c r="AA55" s="476">
        <v>0</v>
      </c>
      <c r="AB55" s="476">
        <v>0</v>
      </c>
      <c r="AC55" s="476">
        <v>0</v>
      </c>
      <c r="AD55" s="476" t="s">
        <v>314</v>
      </c>
      <c r="AE55" s="476">
        <v>0</v>
      </c>
      <c r="AF55" s="476">
        <v>0</v>
      </c>
      <c r="AG55" s="476">
        <v>0</v>
      </c>
      <c r="AH55" s="476">
        <v>0</v>
      </c>
      <c r="AI55" s="476">
        <v>0</v>
      </c>
      <c r="AJ55" s="476">
        <v>6160</v>
      </c>
      <c r="AK55" s="476" t="s">
        <v>651</v>
      </c>
      <c r="AL55" s="476" t="s">
        <v>45</v>
      </c>
      <c r="AM55" s="476">
        <v>0</v>
      </c>
      <c r="AN55" s="476">
        <v>0</v>
      </c>
      <c r="AO55" s="476">
        <v>0</v>
      </c>
      <c r="AP55" s="476">
        <v>0</v>
      </c>
      <c r="AQ55" s="476">
        <v>0</v>
      </c>
      <c r="AR55" s="476">
        <v>0</v>
      </c>
      <c r="AS55" s="476">
        <v>0</v>
      </c>
      <c r="AT55" s="476">
        <v>0</v>
      </c>
      <c r="AU55" s="476">
        <v>0</v>
      </c>
      <c r="AV55" s="476">
        <v>0</v>
      </c>
      <c r="AW55" s="476">
        <v>13522268</v>
      </c>
      <c r="AX55" s="476">
        <v>13330707</v>
      </c>
      <c r="AY55" s="476">
        <v>0</v>
      </c>
      <c r="AZ55" s="476">
        <v>478818</v>
      </c>
      <c r="BA55" s="476">
        <v>85.417000000000002</v>
      </c>
      <c r="BB55" s="476">
        <v>22591</v>
      </c>
      <c r="BC55" s="476">
        <v>22447</v>
      </c>
      <c r="BD55" s="476">
        <v>53</v>
      </c>
      <c r="BE55" s="476">
        <v>144</v>
      </c>
      <c r="BF55" s="476">
        <v>11996328</v>
      </c>
      <c r="BG55" s="476">
        <v>0</v>
      </c>
      <c r="BH55" s="476">
        <v>0</v>
      </c>
      <c r="BI55" s="476">
        <v>0</v>
      </c>
      <c r="BJ55" s="476">
        <v>12</v>
      </c>
      <c r="BK55" s="476">
        <v>0</v>
      </c>
      <c r="BL55" s="476">
        <v>0</v>
      </c>
      <c r="BM55" s="476">
        <v>0</v>
      </c>
      <c r="BN55" s="476">
        <v>0</v>
      </c>
      <c r="BO55" s="476">
        <v>0</v>
      </c>
      <c r="BP55" s="476">
        <v>0</v>
      </c>
      <c r="BQ55" s="476">
        <v>609</v>
      </c>
      <c r="BR55" s="476">
        <v>0</v>
      </c>
      <c r="BS55" s="476">
        <v>0</v>
      </c>
      <c r="BT55" s="476">
        <v>0</v>
      </c>
      <c r="BU55" s="476">
        <v>0</v>
      </c>
      <c r="BV55" s="476">
        <v>0</v>
      </c>
      <c r="BW55" s="476">
        <v>0</v>
      </c>
      <c r="BX55" s="476">
        <v>0</v>
      </c>
      <c r="BY55" s="476">
        <v>0</v>
      </c>
      <c r="BZ55" s="476">
        <v>0</v>
      </c>
      <c r="CA55" s="476">
        <v>0</v>
      </c>
      <c r="CB55" s="476">
        <v>0</v>
      </c>
      <c r="CC55" s="476">
        <v>0</v>
      </c>
      <c r="CD55" s="476">
        <v>0</v>
      </c>
      <c r="CE55" s="476">
        <v>0</v>
      </c>
      <c r="CF55" s="476">
        <v>0</v>
      </c>
      <c r="CG55" s="476">
        <v>0</v>
      </c>
      <c r="CH55" s="476">
        <v>194714</v>
      </c>
      <c r="CI55" s="476">
        <v>0</v>
      </c>
      <c r="CJ55" s="476">
        <v>4</v>
      </c>
      <c r="CK55" s="476">
        <v>0</v>
      </c>
      <c r="CL55" s="476">
        <v>0</v>
      </c>
      <c r="CM55" s="476">
        <v>0</v>
      </c>
      <c r="CN55" s="476">
        <v>0</v>
      </c>
      <c r="CO55" s="476">
        <v>1</v>
      </c>
      <c r="CP55" s="476">
        <v>0</v>
      </c>
      <c r="CQ55" s="476">
        <v>9.5830000000000002</v>
      </c>
      <c r="CR55" s="476">
        <v>1153.347</v>
      </c>
      <c r="CS55" s="476">
        <v>0</v>
      </c>
      <c r="CT55" s="476">
        <v>0</v>
      </c>
      <c r="CU55" s="476">
        <v>0</v>
      </c>
      <c r="CV55" s="476">
        <v>0</v>
      </c>
      <c r="CW55" s="476">
        <v>0</v>
      </c>
      <c r="CX55" s="476">
        <v>0</v>
      </c>
      <c r="CY55" s="476">
        <v>0</v>
      </c>
      <c r="CZ55" s="476">
        <v>0</v>
      </c>
      <c r="DA55" s="476">
        <v>0</v>
      </c>
      <c r="DB55" s="476">
        <v>6453433</v>
      </c>
      <c r="DC55" s="476">
        <v>0</v>
      </c>
      <c r="DD55" s="476">
        <v>0</v>
      </c>
      <c r="DE55" s="476">
        <v>1911097</v>
      </c>
      <c r="DF55" s="476">
        <v>1911097</v>
      </c>
      <c r="DG55" s="476">
        <v>310.25</v>
      </c>
      <c r="DH55" s="476">
        <v>0</v>
      </c>
      <c r="DI55" s="476">
        <v>0</v>
      </c>
      <c r="DJ55" s="476">
        <v>0</v>
      </c>
      <c r="DK55" s="476">
        <v>1361</v>
      </c>
      <c r="DL55" s="476">
        <v>0</v>
      </c>
      <c r="DM55" s="476">
        <v>875109</v>
      </c>
      <c r="DN55" s="476">
        <v>3009</v>
      </c>
      <c r="DO55" s="476">
        <v>0</v>
      </c>
      <c r="DP55" s="476">
        <v>0</v>
      </c>
      <c r="DQ55" s="476">
        <v>0</v>
      </c>
      <c r="DR55" s="476">
        <v>0</v>
      </c>
      <c r="DS55" s="476">
        <v>0</v>
      </c>
      <c r="DT55" s="476">
        <v>0</v>
      </c>
      <c r="DU55" s="476">
        <v>0</v>
      </c>
      <c r="DV55" s="476">
        <v>0</v>
      </c>
      <c r="DW55" s="476">
        <v>0</v>
      </c>
      <c r="DX55" s="476">
        <v>0</v>
      </c>
      <c r="DY55" s="476">
        <v>0</v>
      </c>
      <c r="DZ55" s="476">
        <v>0</v>
      </c>
      <c r="EA55" s="476">
        <v>0</v>
      </c>
      <c r="EB55" s="476">
        <v>0</v>
      </c>
      <c r="EC55" s="476">
        <v>70.25200000000001</v>
      </c>
      <c r="ED55" s="476">
        <v>497654</v>
      </c>
      <c r="EE55" s="476">
        <v>0</v>
      </c>
      <c r="EF55" s="476">
        <v>0</v>
      </c>
      <c r="EG55" s="476">
        <v>0</v>
      </c>
      <c r="EH55" s="476">
        <v>380464</v>
      </c>
      <c r="EI55" s="476">
        <v>0</v>
      </c>
      <c r="EJ55" s="476">
        <v>0</v>
      </c>
      <c r="EK55" s="476">
        <v>12.434000000000001</v>
      </c>
      <c r="EL55" s="476">
        <v>0</v>
      </c>
      <c r="EM55" s="476">
        <v>4.0110000000000001</v>
      </c>
      <c r="EN55" s="476">
        <v>2.4860000000000002</v>
      </c>
      <c r="EO55" s="476">
        <v>0</v>
      </c>
      <c r="EP55" s="476">
        <v>0</v>
      </c>
      <c r="EQ55" s="476">
        <v>18.931000000000001</v>
      </c>
      <c r="ER55" s="476">
        <v>0</v>
      </c>
      <c r="ES55" s="476">
        <v>61.765000000000001</v>
      </c>
      <c r="ET55" s="476">
        <v>0</v>
      </c>
      <c r="EU55" s="476">
        <v>0</v>
      </c>
      <c r="EV55" s="476">
        <v>0</v>
      </c>
      <c r="EW55" s="476">
        <v>0</v>
      </c>
      <c r="EX55" s="476">
        <v>0</v>
      </c>
      <c r="EY55" s="476">
        <v>0</v>
      </c>
      <c r="EZ55" s="476">
        <v>11523078</v>
      </c>
      <c r="FA55" s="476">
        <v>0</v>
      </c>
      <c r="FB55" s="476">
        <v>11998743</v>
      </c>
      <c r="FC55" s="476">
        <v>0</v>
      </c>
      <c r="FD55" s="476">
        <v>0</v>
      </c>
      <c r="FE55" s="476">
        <v>1548944</v>
      </c>
      <c r="FF55" s="476">
        <v>258685</v>
      </c>
      <c r="FG55" s="476">
        <v>6.3017999999999991E-2</v>
      </c>
      <c r="FH55" s="476">
        <v>2.6953999999999999E-2</v>
      </c>
      <c r="FI55" s="476">
        <v>0</v>
      </c>
      <c r="FJ55" s="476">
        <v>0</v>
      </c>
      <c r="FK55" s="476">
        <v>1947.5</v>
      </c>
      <c r="FL55" s="476">
        <v>14001086</v>
      </c>
      <c r="FM55" s="476">
        <v>0</v>
      </c>
      <c r="FN55" s="476">
        <v>0</v>
      </c>
      <c r="FO55" s="476">
        <v>0</v>
      </c>
      <c r="FP55" s="476">
        <v>0</v>
      </c>
      <c r="FQ55" s="476">
        <v>0</v>
      </c>
      <c r="FR55" s="476">
        <v>0</v>
      </c>
      <c r="FS55" s="476">
        <v>0</v>
      </c>
      <c r="FT55" s="476">
        <v>0</v>
      </c>
      <c r="FU55" s="476">
        <v>0</v>
      </c>
      <c r="FV55" s="476">
        <v>0</v>
      </c>
      <c r="FW55" s="476">
        <v>0</v>
      </c>
      <c r="FX55" s="476">
        <v>0</v>
      </c>
      <c r="FY55" s="476">
        <v>0</v>
      </c>
      <c r="FZ55" s="476">
        <v>0</v>
      </c>
      <c r="GA55" s="476">
        <v>0</v>
      </c>
      <c r="GB55" s="476">
        <v>843485</v>
      </c>
      <c r="GC55" s="476">
        <v>843485</v>
      </c>
      <c r="GD55" s="476">
        <v>86.757000000000005</v>
      </c>
      <c r="GE55" s="476">
        <v>0</v>
      </c>
      <c r="GF55" s="476">
        <v>0</v>
      </c>
      <c r="GG55" s="476">
        <v>0</v>
      </c>
      <c r="GH55" s="476">
        <v>0</v>
      </c>
      <c r="GI55" s="476">
        <v>0</v>
      </c>
      <c r="GJ55" s="476">
        <v>0</v>
      </c>
      <c r="GK55" s="476">
        <v>0</v>
      </c>
      <c r="GL55" s="476">
        <v>0</v>
      </c>
      <c r="GM55" s="476">
        <v>0</v>
      </c>
      <c r="GN55" s="476">
        <v>0</v>
      </c>
      <c r="GO55" s="476">
        <v>0</v>
      </c>
      <c r="GP55" s="476">
        <v>0</v>
      </c>
      <c r="GQ55" s="476">
        <v>13327554</v>
      </c>
      <c r="GR55" s="476">
        <v>0</v>
      </c>
      <c r="GS55" s="476">
        <v>0</v>
      </c>
      <c r="GT55" s="476">
        <v>0</v>
      </c>
      <c r="GU55" s="476">
        <v>0</v>
      </c>
      <c r="GV55" s="476">
        <v>0</v>
      </c>
      <c r="GW55" s="476">
        <v>0</v>
      </c>
      <c r="GX55" s="476">
        <v>0</v>
      </c>
      <c r="GY55" s="476">
        <v>0</v>
      </c>
      <c r="GZ55" s="476">
        <v>0</v>
      </c>
      <c r="HA55" s="476">
        <v>0</v>
      </c>
      <c r="HB55" s="476">
        <v>323396213</v>
      </c>
      <c r="HC55" s="476">
        <v>4.2206E-2</v>
      </c>
      <c r="HD55" s="476">
        <v>194714</v>
      </c>
      <c r="HE55" s="476">
        <v>0</v>
      </c>
      <c r="HF55" s="476">
        <v>1154520</v>
      </c>
      <c r="HG55" s="476">
        <v>15400</v>
      </c>
      <c r="HH55" s="476">
        <v>318759</v>
      </c>
      <c r="HI55" s="476">
        <v>0</v>
      </c>
      <c r="HJ55" s="476">
        <v>11533</v>
      </c>
      <c r="HK55" s="476">
        <v>4033</v>
      </c>
      <c r="HL55" s="476">
        <v>1535</v>
      </c>
      <c r="HM55" s="476">
        <v>0</v>
      </c>
      <c r="HN55" s="476">
        <v>0</v>
      </c>
      <c r="HO55" s="476">
        <v>0</v>
      </c>
      <c r="HP55" s="476">
        <v>0</v>
      </c>
      <c r="HQ55" s="476">
        <v>0</v>
      </c>
      <c r="HR55" s="476">
        <v>0</v>
      </c>
      <c r="HS55" s="476">
        <v>11519925</v>
      </c>
      <c r="HT55" s="476">
        <v>258685</v>
      </c>
      <c r="HU55" s="476">
        <v>0</v>
      </c>
      <c r="HV55" s="476">
        <v>0</v>
      </c>
      <c r="HW55" s="476">
        <v>0</v>
      </c>
      <c r="HX55" s="476">
        <v>12</v>
      </c>
      <c r="HY55" s="476">
        <v>104</v>
      </c>
      <c r="HZ55" s="476">
        <v>227</v>
      </c>
      <c r="IA55" s="476">
        <v>524</v>
      </c>
      <c r="IB55" s="476">
        <v>322</v>
      </c>
      <c r="IC55" s="476">
        <v>1189</v>
      </c>
      <c r="ID55" s="476">
        <v>0</v>
      </c>
      <c r="IE55" s="476">
        <v>0</v>
      </c>
      <c r="IF55" s="476">
        <v>0</v>
      </c>
      <c r="IG55" s="476">
        <v>25</v>
      </c>
      <c r="IH55" s="476">
        <v>517.47699999999998</v>
      </c>
      <c r="II55" s="476">
        <v>0</v>
      </c>
      <c r="IJ55" s="476">
        <v>628.89800000000002</v>
      </c>
      <c r="IK55" s="476">
        <v>0</v>
      </c>
      <c r="IL55" s="476">
        <v>0</v>
      </c>
      <c r="IM55" s="476">
        <v>0</v>
      </c>
      <c r="IN55" s="476">
        <v>0</v>
      </c>
      <c r="IO55" s="476">
        <v>0</v>
      </c>
      <c r="IP55" s="476">
        <v>0</v>
      </c>
      <c r="IQ55" s="476">
        <v>628.89800000000002</v>
      </c>
      <c r="IR55" s="476">
        <v>387392</v>
      </c>
      <c r="IS55" s="476">
        <v>0</v>
      </c>
      <c r="IT55" s="476">
        <v>0</v>
      </c>
      <c r="IU55" s="476">
        <v>0</v>
      </c>
      <c r="IV55" s="476">
        <v>0</v>
      </c>
      <c r="IW55" s="476">
        <v>6160</v>
      </c>
      <c r="IX55" s="476">
        <v>0</v>
      </c>
      <c r="IY55" s="476">
        <v>0</v>
      </c>
      <c r="IZ55" s="476">
        <v>0</v>
      </c>
      <c r="JA55" s="476">
        <v>0</v>
      </c>
      <c r="JB55" s="476">
        <v>0</v>
      </c>
      <c r="JC55" s="476">
        <v>0</v>
      </c>
      <c r="JD55" s="476">
        <v>0</v>
      </c>
      <c r="JE55" s="476">
        <v>0</v>
      </c>
      <c r="JF55" s="476">
        <v>0</v>
      </c>
      <c r="JG55" s="476">
        <v>0</v>
      </c>
      <c r="JH55" s="476">
        <v>0</v>
      </c>
      <c r="JI55" s="476">
        <v>0</v>
      </c>
      <c r="JJ55" s="476">
        <v>0</v>
      </c>
      <c r="JK55" s="476">
        <v>0</v>
      </c>
      <c r="JL55" s="476">
        <v>0</v>
      </c>
      <c r="JM55" s="476">
        <v>0</v>
      </c>
      <c r="JN55" s="476">
        <v>32469</v>
      </c>
      <c r="JO55" s="476">
        <v>0</v>
      </c>
      <c r="JP55" s="476">
        <v>59.907000000000004</v>
      </c>
      <c r="JQ55" s="476">
        <v>26.85</v>
      </c>
      <c r="JR55" s="476">
        <v>0</v>
      </c>
      <c r="JS55" s="476">
        <v>556857</v>
      </c>
      <c r="JT55" s="476">
        <v>286628</v>
      </c>
      <c r="JU55" s="476">
        <v>22853</v>
      </c>
      <c r="JV55" s="476">
        <v>0</v>
      </c>
      <c r="JW55" s="476">
        <v>0</v>
      </c>
      <c r="JX55" s="476">
        <v>0</v>
      </c>
      <c r="JY55" s="476">
        <v>0</v>
      </c>
      <c r="JZ55" s="476">
        <v>0</v>
      </c>
      <c r="KA55" s="476">
        <v>0</v>
      </c>
      <c r="KB55" s="476">
        <v>0</v>
      </c>
      <c r="KC55" s="476">
        <v>0</v>
      </c>
      <c r="KD55" s="476">
        <v>22853</v>
      </c>
      <c r="KE55" s="476">
        <v>7262</v>
      </c>
      <c r="KF55" s="476">
        <v>0</v>
      </c>
      <c r="KG55" s="476">
        <v>0</v>
      </c>
      <c r="KH55" s="476">
        <v>13327554</v>
      </c>
      <c r="KI55" s="476">
        <v>0</v>
      </c>
      <c r="KJ55" s="476">
        <v>15</v>
      </c>
      <c r="KK55" s="476">
        <v>10</v>
      </c>
      <c r="KL55" s="476">
        <v>9240</v>
      </c>
      <c r="KM55" s="476">
        <v>6160</v>
      </c>
      <c r="KN55" s="476">
        <v>0</v>
      </c>
    </row>
    <row r="56" spans="1:300" x14ac:dyDescent="0.25">
      <c r="A56" s="476">
        <v>40976</v>
      </c>
      <c r="B56" s="476">
        <v>57831</v>
      </c>
      <c r="C56" s="476">
        <v>9</v>
      </c>
      <c r="D56" s="476">
        <v>2024</v>
      </c>
      <c r="E56" s="476">
        <v>6160</v>
      </c>
      <c r="F56" s="476">
        <v>0</v>
      </c>
      <c r="G56" s="476">
        <v>484.83300000000003</v>
      </c>
      <c r="H56" s="476">
        <v>458.93</v>
      </c>
      <c r="I56" s="476">
        <v>458.93</v>
      </c>
      <c r="J56" s="476">
        <v>484.83300000000003</v>
      </c>
      <c r="K56" s="476">
        <v>0</v>
      </c>
      <c r="L56" s="476">
        <v>6160</v>
      </c>
      <c r="M56" s="476">
        <v>0</v>
      </c>
      <c r="N56" s="476">
        <v>0</v>
      </c>
      <c r="O56" s="476">
        <v>0</v>
      </c>
      <c r="P56" s="476">
        <v>489.98700000000002</v>
      </c>
      <c r="Q56" s="476">
        <v>0</v>
      </c>
      <c r="R56" s="476">
        <v>203288</v>
      </c>
      <c r="S56" s="476">
        <v>414.88400000000001</v>
      </c>
      <c r="T56" s="476">
        <v>0</v>
      </c>
      <c r="U56" s="476">
        <v>0</v>
      </c>
      <c r="V56" s="476">
        <v>0</v>
      </c>
      <c r="W56" s="476">
        <v>0</v>
      </c>
      <c r="X56" s="476">
        <v>0</v>
      </c>
      <c r="Y56" s="476">
        <v>0</v>
      </c>
      <c r="Z56" s="476">
        <v>0</v>
      </c>
      <c r="AA56" s="476">
        <v>0</v>
      </c>
      <c r="AB56" s="476">
        <v>0</v>
      </c>
      <c r="AC56" s="476">
        <v>0</v>
      </c>
      <c r="AD56" s="476" t="s">
        <v>314</v>
      </c>
      <c r="AE56" s="476">
        <v>0</v>
      </c>
      <c r="AF56" s="476">
        <v>0</v>
      </c>
      <c r="AG56" s="476">
        <v>0</v>
      </c>
      <c r="AH56" s="476">
        <v>0</v>
      </c>
      <c r="AI56" s="476">
        <v>0</v>
      </c>
      <c r="AJ56" s="476">
        <v>6160</v>
      </c>
      <c r="AK56" s="476" t="s">
        <v>651</v>
      </c>
      <c r="AL56" s="476" t="s">
        <v>46</v>
      </c>
      <c r="AM56" s="476">
        <v>0</v>
      </c>
      <c r="AN56" s="476">
        <v>0</v>
      </c>
      <c r="AO56" s="476">
        <v>0</v>
      </c>
      <c r="AP56" s="476">
        <v>0</v>
      </c>
      <c r="AQ56" s="476">
        <v>0</v>
      </c>
      <c r="AR56" s="476">
        <v>0</v>
      </c>
      <c r="AS56" s="476">
        <v>0</v>
      </c>
      <c r="AT56" s="476">
        <v>0</v>
      </c>
      <c r="AU56" s="476">
        <v>0</v>
      </c>
      <c r="AV56" s="476">
        <v>0</v>
      </c>
      <c r="AW56" s="476">
        <v>5301476</v>
      </c>
      <c r="AX56" s="476">
        <v>5220192</v>
      </c>
      <c r="AY56" s="476">
        <v>0</v>
      </c>
      <c r="AZ56" s="476">
        <v>203288</v>
      </c>
      <c r="BA56" s="476">
        <v>34.082999999999998</v>
      </c>
      <c r="BB56" s="476">
        <v>852</v>
      </c>
      <c r="BC56" s="476">
        <v>847</v>
      </c>
      <c r="BD56" s="476">
        <v>2</v>
      </c>
      <c r="BE56" s="476">
        <v>5</v>
      </c>
      <c r="BF56" s="476">
        <v>4673405</v>
      </c>
      <c r="BG56" s="476">
        <v>0</v>
      </c>
      <c r="BH56" s="476">
        <v>0</v>
      </c>
      <c r="BI56" s="476">
        <v>0</v>
      </c>
      <c r="BJ56" s="476">
        <v>12</v>
      </c>
      <c r="BK56" s="476">
        <v>0</v>
      </c>
      <c r="BL56" s="476">
        <v>0</v>
      </c>
      <c r="BM56" s="476">
        <v>0</v>
      </c>
      <c r="BN56" s="476">
        <v>0</v>
      </c>
      <c r="BO56" s="476">
        <v>0</v>
      </c>
      <c r="BP56" s="476">
        <v>0</v>
      </c>
      <c r="BQ56" s="476">
        <v>699</v>
      </c>
      <c r="BR56" s="476">
        <v>0</v>
      </c>
      <c r="BS56" s="476">
        <v>0</v>
      </c>
      <c r="BT56" s="476">
        <v>0</v>
      </c>
      <c r="BU56" s="476">
        <v>0</v>
      </c>
      <c r="BV56" s="476">
        <v>0</v>
      </c>
      <c r="BW56" s="476">
        <v>0</v>
      </c>
      <c r="BX56" s="476">
        <v>0</v>
      </c>
      <c r="BY56" s="476">
        <v>0</v>
      </c>
      <c r="BZ56" s="476">
        <v>0</v>
      </c>
      <c r="CA56" s="476">
        <v>0</v>
      </c>
      <c r="CB56" s="476">
        <v>0</v>
      </c>
      <c r="CC56" s="476">
        <v>0</v>
      </c>
      <c r="CD56" s="476">
        <v>0</v>
      </c>
      <c r="CE56" s="476">
        <v>0</v>
      </c>
      <c r="CF56" s="476">
        <v>0</v>
      </c>
      <c r="CG56" s="476">
        <v>0</v>
      </c>
      <c r="CH56" s="476">
        <v>81852</v>
      </c>
      <c r="CI56" s="476">
        <v>0</v>
      </c>
      <c r="CJ56" s="476">
        <v>4</v>
      </c>
      <c r="CK56" s="476">
        <v>0</v>
      </c>
      <c r="CL56" s="476">
        <v>0</v>
      </c>
      <c r="CM56" s="476">
        <v>0</v>
      </c>
      <c r="CN56" s="476">
        <v>0</v>
      </c>
      <c r="CO56" s="476">
        <v>1</v>
      </c>
      <c r="CP56" s="476">
        <v>0</v>
      </c>
      <c r="CQ56" s="476">
        <v>0.66700000000000004</v>
      </c>
      <c r="CR56" s="476">
        <v>484.83300000000003</v>
      </c>
      <c r="CS56" s="476">
        <v>0</v>
      </c>
      <c r="CT56" s="476">
        <v>0</v>
      </c>
      <c r="CU56" s="476">
        <v>0</v>
      </c>
      <c r="CV56" s="476">
        <v>0</v>
      </c>
      <c r="CW56" s="476">
        <v>0</v>
      </c>
      <c r="CX56" s="476">
        <v>0</v>
      </c>
      <c r="CY56" s="476">
        <v>0</v>
      </c>
      <c r="CZ56" s="476">
        <v>0</v>
      </c>
      <c r="DA56" s="476">
        <v>0</v>
      </c>
      <c r="DB56" s="476">
        <v>2762095</v>
      </c>
      <c r="DC56" s="476">
        <v>0</v>
      </c>
      <c r="DD56" s="476">
        <v>0</v>
      </c>
      <c r="DE56" s="476">
        <v>826730</v>
      </c>
      <c r="DF56" s="476">
        <v>826730</v>
      </c>
      <c r="DG56" s="476">
        <v>134.21299999999999</v>
      </c>
      <c r="DH56" s="476">
        <v>0</v>
      </c>
      <c r="DI56" s="476">
        <v>0</v>
      </c>
      <c r="DJ56" s="476">
        <v>0</v>
      </c>
      <c r="DK56" s="476">
        <v>2812</v>
      </c>
      <c r="DL56" s="476">
        <v>0</v>
      </c>
      <c r="DM56" s="476">
        <v>228535</v>
      </c>
      <c r="DN56" s="476">
        <v>563</v>
      </c>
      <c r="DO56" s="476">
        <v>0</v>
      </c>
      <c r="DP56" s="476">
        <v>0</v>
      </c>
      <c r="DQ56" s="476">
        <v>0</v>
      </c>
      <c r="DR56" s="476">
        <v>0</v>
      </c>
      <c r="DS56" s="476">
        <v>0</v>
      </c>
      <c r="DT56" s="476">
        <v>0</v>
      </c>
      <c r="DU56" s="476">
        <v>0</v>
      </c>
      <c r="DV56" s="476">
        <v>0</v>
      </c>
      <c r="DW56" s="476">
        <v>0</v>
      </c>
      <c r="DX56" s="476">
        <v>0</v>
      </c>
      <c r="DY56" s="476">
        <v>0</v>
      </c>
      <c r="DZ56" s="476">
        <v>0</v>
      </c>
      <c r="EA56" s="476">
        <v>0</v>
      </c>
      <c r="EB56" s="476">
        <v>0</v>
      </c>
      <c r="EC56" s="476">
        <v>21.869</v>
      </c>
      <c r="ED56" s="476">
        <v>154916</v>
      </c>
      <c r="EE56" s="476">
        <v>0</v>
      </c>
      <c r="EF56" s="476">
        <v>0</v>
      </c>
      <c r="EG56" s="476">
        <v>0</v>
      </c>
      <c r="EH56" s="476">
        <v>9332</v>
      </c>
      <c r="EI56" s="476">
        <v>0</v>
      </c>
      <c r="EJ56" s="476">
        <v>0</v>
      </c>
      <c r="EK56" s="476">
        <v>0</v>
      </c>
      <c r="EL56" s="476">
        <v>0</v>
      </c>
      <c r="EM56" s="476">
        <v>0</v>
      </c>
      <c r="EN56" s="476">
        <v>0.30299999999999999</v>
      </c>
      <c r="EO56" s="476">
        <v>0</v>
      </c>
      <c r="EP56" s="476">
        <v>0</v>
      </c>
      <c r="EQ56" s="476">
        <v>0.30299999999999999</v>
      </c>
      <c r="ER56" s="476">
        <v>0</v>
      </c>
      <c r="ES56" s="476">
        <v>1.5150000000000001</v>
      </c>
      <c r="ET56" s="476">
        <v>0</v>
      </c>
      <c r="EU56" s="476">
        <v>0</v>
      </c>
      <c r="EV56" s="476">
        <v>0</v>
      </c>
      <c r="EW56" s="476">
        <v>0</v>
      </c>
      <c r="EX56" s="476">
        <v>0</v>
      </c>
      <c r="EY56" s="476">
        <v>0</v>
      </c>
      <c r="EZ56" s="476">
        <v>4515994</v>
      </c>
      <c r="FA56" s="476">
        <v>0</v>
      </c>
      <c r="FB56" s="476">
        <v>4718714</v>
      </c>
      <c r="FC56" s="476">
        <v>0</v>
      </c>
      <c r="FD56" s="476">
        <v>0</v>
      </c>
      <c r="FE56" s="476">
        <v>603422</v>
      </c>
      <c r="FF56" s="476">
        <v>100776</v>
      </c>
      <c r="FG56" s="476">
        <v>6.3017999999999991E-2</v>
      </c>
      <c r="FH56" s="476">
        <v>2.6953999999999999E-2</v>
      </c>
      <c r="FI56" s="476">
        <v>0</v>
      </c>
      <c r="FJ56" s="476">
        <v>0</v>
      </c>
      <c r="FK56" s="476">
        <v>758.68700000000001</v>
      </c>
      <c r="FL56" s="476">
        <v>5504764</v>
      </c>
      <c r="FM56" s="476">
        <v>0</v>
      </c>
      <c r="FN56" s="476">
        <v>0</v>
      </c>
      <c r="FO56" s="476">
        <v>42696</v>
      </c>
      <c r="FP56" s="476">
        <v>0</v>
      </c>
      <c r="FQ56" s="476">
        <v>42696</v>
      </c>
      <c r="FR56" s="476">
        <v>42696</v>
      </c>
      <c r="FS56" s="476">
        <v>0</v>
      </c>
      <c r="FT56" s="476">
        <v>0</v>
      </c>
      <c r="FU56" s="476">
        <v>0</v>
      </c>
      <c r="FV56" s="476">
        <v>0</v>
      </c>
      <c r="FW56" s="476">
        <v>0</v>
      </c>
      <c r="FX56" s="476">
        <v>0</v>
      </c>
      <c r="FY56" s="476">
        <v>0</v>
      </c>
      <c r="FZ56" s="476">
        <v>0</v>
      </c>
      <c r="GA56" s="476">
        <v>0</v>
      </c>
      <c r="GB56" s="476">
        <v>247191</v>
      </c>
      <c r="GC56" s="476">
        <v>247191</v>
      </c>
      <c r="GD56" s="476">
        <v>25.6</v>
      </c>
      <c r="GE56" s="476">
        <v>0</v>
      </c>
      <c r="GF56" s="476">
        <v>0</v>
      </c>
      <c r="GG56" s="476">
        <v>0</v>
      </c>
      <c r="GH56" s="476">
        <v>0</v>
      </c>
      <c r="GI56" s="476">
        <v>0</v>
      </c>
      <c r="GJ56" s="476">
        <v>0</v>
      </c>
      <c r="GK56" s="476">
        <v>0</v>
      </c>
      <c r="GL56" s="476">
        <v>0</v>
      </c>
      <c r="GM56" s="476">
        <v>0</v>
      </c>
      <c r="GN56" s="476">
        <v>0</v>
      </c>
      <c r="GO56" s="476">
        <v>0</v>
      </c>
      <c r="GP56" s="476">
        <v>0</v>
      </c>
      <c r="GQ56" s="476">
        <v>5219624</v>
      </c>
      <c r="GR56" s="476">
        <v>0</v>
      </c>
      <c r="GS56" s="476">
        <v>0</v>
      </c>
      <c r="GT56" s="476">
        <v>0</v>
      </c>
      <c r="GU56" s="476">
        <v>0</v>
      </c>
      <c r="GV56" s="476">
        <v>0</v>
      </c>
      <c r="GW56" s="476">
        <v>0</v>
      </c>
      <c r="GX56" s="476">
        <v>0</v>
      </c>
      <c r="GY56" s="476">
        <v>0</v>
      </c>
      <c r="GZ56" s="476">
        <v>0</v>
      </c>
      <c r="HA56" s="476">
        <v>0</v>
      </c>
      <c r="HB56" s="476">
        <v>323396213</v>
      </c>
      <c r="HC56" s="476">
        <v>4.2206E-2</v>
      </c>
      <c r="HD56" s="476">
        <v>81852</v>
      </c>
      <c r="HE56" s="476">
        <v>0</v>
      </c>
      <c r="HF56" s="476">
        <v>505741</v>
      </c>
      <c r="HG56" s="476">
        <v>616</v>
      </c>
      <c r="HH56" s="476">
        <v>96234</v>
      </c>
      <c r="HI56" s="476">
        <v>0</v>
      </c>
      <c r="HJ56" s="476">
        <v>4848</v>
      </c>
      <c r="HK56" s="476">
        <v>1711</v>
      </c>
      <c r="HL56" s="476">
        <v>1470</v>
      </c>
      <c r="HM56" s="476">
        <v>0</v>
      </c>
      <c r="HN56" s="476">
        <v>0</v>
      </c>
      <c r="HO56" s="476">
        <v>0</v>
      </c>
      <c r="HP56" s="476">
        <v>0</v>
      </c>
      <c r="HQ56" s="476">
        <v>0</v>
      </c>
      <c r="HR56" s="476">
        <v>0</v>
      </c>
      <c r="HS56" s="476">
        <v>4515426</v>
      </c>
      <c r="HT56" s="476">
        <v>100776</v>
      </c>
      <c r="HU56" s="476">
        <v>0</v>
      </c>
      <c r="HV56" s="476">
        <v>0</v>
      </c>
      <c r="HW56" s="476">
        <v>0</v>
      </c>
      <c r="HX56" s="476">
        <v>23</v>
      </c>
      <c r="HY56" s="476">
        <v>45</v>
      </c>
      <c r="HZ56" s="476">
        <v>76</v>
      </c>
      <c r="IA56" s="476">
        <v>170</v>
      </c>
      <c r="IB56" s="476">
        <v>199</v>
      </c>
      <c r="IC56" s="476">
        <v>513</v>
      </c>
      <c r="ID56" s="476">
        <v>0</v>
      </c>
      <c r="IE56" s="476">
        <v>0</v>
      </c>
      <c r="IF56" s="476">
        <v>0</v>
      </c>
      <c r="IG56" s="476">
        <v>1</v>
      </c>
      <c r="IH56" s="476">
        <v>156.227</v>
      </c>
      <c r="II56" s="476">
        <v>0</v>
      </c>
      <c r="IJ56" s="476">
        <v>0</v>
      </c>
      <c r="IK56" s="476">
        <v>0</v>
      </c>
      <c r="IL56" s="476">
        <v>0</v>
      </c>
      <c r="IM56" s="476">
        <v>0</v>
      </c>
      <c r="IN56" s="476">
        <v>0</v>
      </c>
      <c r="IO56" s="476">
        <v>0</v>
      </c>
      <c r="IP56" s="476">
        <v>0</v>
      </c>
      <c r="IQ56" s="476">
        <v>0</v>
      </c>
      <c r="IR56" s="476">
        <v>0</v>
      </c>
      <c r="IS56" s="476">
        <v>0</v>
      </c>
      <c r="IT56" s="476">
        <v>0</v>
      </c>
      <c r="IU56" s="476">
        <v>0</v>
      </c>
      <c r="IV56" s="476">
        <v>0</v>
      </c>
      <c r="IW56" s="476">
        <v>6160</v>
      </c>
      <c r="IX56" s="476">
        <v>0</v>
      </c>
      <c r="IY56" s="476">
        <v>0</v>
      </c>
      <c r="IZ56" s="476">
        <v>0</v>
      </c>
      <c r="JA56" s="476">
        <v>0</v>
      </c>
      <c r="JB56" s="476">
        <v>0</v>
      </c>
      <c r="JC56" s="476">
        <v>0</v>
      </c>
      <c r="JD56" s="476">
        <v>0</v>
      </c>
      <c r="JE56" s="476">
        <v>0</v>
      </c>
      <c r="JF56" s="476">
        <v>0</v>
      </c>
      <c r="JG56" s="476">
        <v>0</v>
      </c>
      <c r="JH56" s="476">
        <v>0</v>
      </c>
      <c r="JI56" s="476">
        <v>0</v>
      </c>
      <c r="JJ56" s="476">
        <v>0</v>
      </c>
      <c r="JK56" s="476">
        <v>0</v>
      </c>
      <c r="JL56" s="476">
        <v>0</v>
      </c>
      <c r="JM56" s="476">
        <v>0</v>
      </c>
      <c r="JN56" s="476">
        <v>32469</v>
      </c>
      <c r="JO56" s="476">
        <v>0</v>
      </c>
      <c r="JP56" s="476">
        <v>18.911000000000001</v>
      </c>
      <c r="JQ56" s="476">
        <v>6.6890000000000001</v>
      </c>
      <c r="JR56" s="476">
        <v>0</v>
      </c>
      <c r="JS56" s="476">
        <v>175785</v>
      </c>
      <c r="JT56" s="476">
        <v>71406</v>
      </c>
      <c r="JU56" s="476">
        <v>862</v>
      </c>
      <c r="JV56" s="476">
        <v>0</v>
      </c>
      <c r="JW56" s="476">
        <v>0</v>
      </c>
      <c r="JX56" s="476">
        <v>0</v>
      </c>
      <c r="JY56" s="476">
        <v>0</v>
      </c>
      <c r="JZ56" s="476">
        <v>0</v>
      </c>
      <c r="KA56" s="476">
        <v>0</v>
      </c>
      <c r="KB56" s="476">
        <v>0</v>
      </c>
      <c r="KC56" s="476">
        <v>0</v>
      </c>
      <c r="KD56" s="476">
        <v>862</v>
      </c>
      <c r="KE56" s="476">
        <v>7262</v>
      </c>
      <c r="KF56" s="476">
        <v>0</v>
      </c>
      <c r="KG56" s="476">
        <v>0</v>
      </c>
      <c r="KH56" s="476">
        <v>5219624</v>
      </c>
      <c r="KI56" s="476">
        <v>0</v>
      </c>
      <c r="KJ56" s="476">
        <v>1</v>
      </c>
      <c r="KK56" s="476">
        <v>0</v>
      </c>
      <c r="KL56" s="476">
        <v>616</v>
      </c>
      <c r="KM56" s="476">
        <v>0</v>
      </c>
      <c r="KN56" s="476">
        <v>0</v>
      </c>
    </row>
    <row r="57" spans="1:300" x14ac:dyDescent="0.25">
      <c r="A57" s="476">
        <v>40976</v>
      </c>
      <c r="B57" s="476">
        <v>57833</v>
      </c>
      <c r="C57" s="476">
        <v>9</v>
      </c>
      <c r="D57" s="476">
        <v>2024</v>
      </c>
      <c r="E57" s="476">
        <v>6160</v>
      </c>
      <c r="F57" s="476">
        <v>0</v>
      </c>
      <c r="G57" s="476">
        <v>370.26800000000003</v>
      </c>
      <c r="H57" s="476">
        <v>359.80700000000002</v>
      </c>
      <c r="I57" s="476">
        <v>359.80700000000002</v>
      </c>
      <c r="J57" s="476">
        <v>370.26800000000003</v>
      </c>
      <c r="K57" s="476">
        <v>0</v>
      </c>
      <c r="L57" s="476">
        <v>6160</v>
      </c>
      <c r="M57" s="476">
        <v>0</v>
      </c>
      <c r="N57" s="476">
        <v>0</v>
      </c>
      <c r="O57" s="476">
        <v>0</v>
      </c>
      <c r="P57" s="476">
        <v>370.68299999999999</v>
      </c>
      <c r="Q57" s="476">
        <v>0</v>
      </c>
      <c r="R57" s="476">
        <v>153790</v>
      </c>
      <c r="S57" s="476">
        <v>414.88400000000001</v>
      </c>
      <c r="T57" s="476">
        <v>0</v>
      </c>
      <c r="U57" s="476">
        <v>0</v>
      </c>
      <c r="V57" s="476">
        <v>23.445</v>
      </c>
      <c r="W57" s="476">
        <v>14442</v>
      </c>
      <c r="X57" s="476">
        <v>14442</v>
      </c>
      <c r="Y57" s="476">
        <v>0</v>
      </c>
      <c r="Z57" s="476">
        <v>0</v>
      </c>
      <c r="AA57" s="476">
        <v>0</v>
      </c>
      <c r="AB57" s="476">
        <v>0</v>
      </c>
      <c r="AC57" s="476">
        <v>0</v>
      </c>
      <c r="AD57" s="476" t="s">
        <v>314</v>
      </c>
      <c r="AE57" s="476">
        <v>0</v>
      </c>
      <c r="AF57" s="476">
        <v>0</v>
      </c>
      <c r="AG57" s="476">
        <v>0</v>
      </c>
      <c r="AH57" s="476">
        <v>0</v>
      </c>
      <c r="AI57" s="476">
        <v>0</v>
      </c>
      <c r="AJ57" s="476">
        <v>6160</v>
      </c>
      <c r="AK57" s="476" t="s">
        <v>651</v>
      </c>
      <c r="AL57" s="476" t="s">
        <v>47</v>
      </c>
      <c r="AM57" s="476">
        <v>0</v>
      </c>
      <c r="AN57" s="476">
        <v>0</v>
      </c>
      <c r="AO57" s="476">
        <v>0</v>
      </c>
      <c r="AP57" s="476">
        <v>0</v>
      </c>
      <c r="AQ57" s="476">
        <v>0</v>
      </c>
      <c r="AR57" s="476">
        <v>0</v>
      </c>
      <c r="AS57" s="476">
        <v>0</v>
      </c>
      <c r="AT57" s="476">
        <v>0</v>
      </c>
      <c r="AU57" s="476">
        <v>0</v>
      </c>
      <c r="AV57" s="476">
        <v>0</v>
      </c>
      <c r="AW57" s="476">
        <v>3766405</v>
      </c>
      <c r="AX57" s="476">
        <v>3704666</v>
      </c>
      <c r="AY57" s="476">
        <v>0</v>
      </c>
      <c r="AZ57" s="476">
        <v>153790</v>
      </c>
      <c r="BA57" s="476">
        <v>16</v>
      </c>
      <c r="BB57" s="476">
        <v>1705</v>
      </c>
      <c r="BC57" s="476">
        <v>1694</v>
      </c>
      <c r="BD57" s="476">
        <v>4</v>
      </c>
      <c r="BE57" s="476">
        <v>11</v>
      </c>
      <c r="BF57" s="476">
        <v>3353191</v>
      </c>
      <c r="BG57" s="476">
        <v>0</v>
      </c>
      <c r="BH57" s="476">
        <v>0</v>
      </c>
      <c r="BI57" s="476">
        <v>0</v>
      </c>
      <c r="BJ57" s="476">
        <v>12</v>
      </c>
      <c r="BK57" s="476">
        <v>0</v>
      </c>
      <c r="BL57" s="476">
        <v>0</v>
      </c>
      <c r="BM57" s="476">
        <v>0</v>
      </c>
      <c r="BN57" s="476">
        <v>0</v>
      </c>
      <c r="BO57" s="476">
        <v>0</v>
      </c>
      <c r="BP57" s="476">
        <v>0</v>
      </c>
      <c r="BQ57" s="476">
        <v>715</v>
      </c>
      <c r="BR57" s="476">
        <v>0</v>
      </c>
      <c r="BS57" s="476">
        <v>0</v>
      </c>
      <c r="BT57" s="476">
        <v>0</v>
      </c>
      <c r="BU57" s="476">
        <v>0</v>
      </c>
      <c r="BV57" s="476">
        <v>0</v>
      </c>
      <c r="BW57" s="476">
        <v>0</v>
      </c>
      <c r="BX57" s="476">
        <v>0</v>
      </c>
      <c r="BY57" s="476">
        <v>0</v>
      </c>
      <c r="BZ57" s="476">
        <v>0</v>
      </c>
      <c r="CA57" s="476">
        <v>0</v>
      </c>
      <c r="CB57" s="476">
        <v>0</v>
      </c>
      <c r="CC57" s="476">
        <v>0</v>
      </c>
      <c r="CD57" s="476">
        <v>0</v>
      </c>
      <c r="CE57" s="476">
        <v>0</v>
      </c>
      <c r="CF57" s="476">
        <v>0</v>
      </c>
      <c r="CG57" s="476">
        <v>0</v>
      </c>
      <c r="CH57" s="476">
        <v>62511</v>
      </c>
      <c r="CI57" s="476">
        <v>0</v>
      </c>
      <c r="CJ57" s="476">
        <v>4</v>
      </c>
      <c r="CK57" s="476">
        <v>0</v>
      </c>
      <c r="CL57" s="476">
        <v>0</v>
      </c>
      <c r="CM57" s="476">
        <v>0</v>
      </c>
      <c r="CN57" s="476">
        <v>0</v>
      </c>
      <c r="CO57" s="476">
        <v>1</v>
      </c>
      <c r="CP57" s="476">
        <v>0</v>
      </c>
      <c r="CQ57" s="476">
        <v>0</v>
      </c>
      <c r="CR57" s="476">
        <v>370.26800000000003</v>
      </c>
      <c r="CS57" s="476">
        <v>0</v>
      </c>
      <c r="CT57" s="476">
        <v>0</v>
      </c>
      <c r="CU57" s="476">
        <v>0</v>
      </c>
      <c r="CV57" s="476">
        <v>0</v>
      </c>
      <c r="CW57" s="476">
        <v>0</v>
      </c>
      <c r="CX57" s="476">
        <v>0</v>
      </c>
      <c r="CY57" s="476">
        <v>0</v>
      </c>
      <c r="CZ57" s="476">
        <v>0</v>
      </c>
      <c r="DA57" s="476">
        <v>0</v>
      </c>
      <c r="DB57" s="476">
        <v>2023321</v>
      </c>
      <c r="DC57" s="476">
        <v>0</v>
      </c>
      <c r="DD57" s="476">
        <v>0</v>
      </c>
      <c r="DE57" s="476">
        <v>375674</v>
      </c>
      <c r="DF57" s="476">
        <v>375674</v>
      </c>
      <c r="DG57" s="476">
        <v>60.988</v>
      </c>
      <c r="DH57" s="476">
        <v>0</v>
      </c>
      <c r="DI57" s="476">
        <v>0</v>
      </c>
      <c r="DJ57" s="476">
        <v>0</v>
      </c>
      <c r="DK57" s="476">
        <v>3056</v>
      </c>
      <c r="DL57" s="476">
        <v>0</v>
      </c>
      <c r="DM57" s="476">
        <v>414481</v>
      </c>
      <c r="DN57" s="476">
        <v>761</v>
      </c>
      <c r="DO57" s="476">
        <v>0</v>
      </c>
      <c r="DP57" s="476">
        <v>0</v>
      </c>
      <c r="DQ57" s="476">
        <v>0</v>
      </c>
      <c r="DR57" s="476">
        <v>0</v>
      </c>
      <c r="DS57" s="476">
        <v>0</v>
      </c>
      <c r="DT57" s="476">
        <v>0</v>
      </c>
      <c r="DU57" s="476">
        <v>0</v>
      </c>
      <c r="DV57" s="476">
        <v>0</v>
      </c>
      <c r="DW57" s="476">
        <v>0</v>
      </c>
      <c r="DX57" s="476">
        <v>0</v>
      </c>
      <c r="DY57" s="476">
        <v>0</v>
      </c>
      <c r="DZ57" s="476">
        <v>0</v>
      </c>
      <c r="EA57" s="476">
        <v>0</v>
      </c>
      <c r="EB57" s="476">
        <v>0</v>
      </c>
      <c r="EC57" s="476">
        <v>3.137</v>
      </c>
      <c r="ED57" s="476">
        <v>22222</v>
      </c>
      <c r="EE57" s="476">
        <v>0</v>
      </c>
      <c r="EF57" s="476">
        <v>0</v>
      </c>
      <c r="EG57" s="476">
        <v>0</v>
      </c>
      <c r="EH57" s="476">
        <v>199980</v>
      </c>
      <c r="EI57" s="476">
        <v>0</v>
      </c>
      <c r="EJ57" s="476">
        <v>0</v>
      </c>
      <c r="EK57" s="476">
        <v>9.92</v>
      </c>
      <c r="EL57" s="476">
        <v>0</v>
      </c>
      <c r="EM57" s="476">
        <v>0</v>
      </c>
      <c r="EN57" s="476">
        <v>0.54100000000000004</v>
      </c>
      <c r="EO57" s="476">
        <v>0</v>
      </c>
      <c r="EP57" s="476">
        <v>0</v>
      </c>
      <c r="EQ57" s="476">
        <v>10.461</v>
      </c>
      <c r="ER57" s="476">
        <v>0</v>
      </c>
      <c r="ES57" s="476">
        <v>32.465000000000003</v>
      </c>
      <c r="ET57" s="476">
        <v>0</v>
      </c>
      <c r="EU57" s="476">
        <v>0</v>
      </c>
      <c r="EV57" s="476">
        <v>0</v>
      </c>
      <c r="EW57" s="476">
        <v>0</v>
      </c>
      <c r="EX57" s="476">
        <v>0</v>
      </c>
      <c r="EY57" s="476">
        <v>0</v>
      </c>
      <c r="EZ57" s="476">
        <v>3199401</v>
      </c>
      <c r="FA57" s="476">
        <v>0</v>
      </c>
      <c r="FB57" s="476">
        <v>3352419</v>
      </c>
      <c r="FC57" s="476">
        <v>0</v>
      </c>
      <c r="FD57" s="476">
        <v>0</v>
      </c>
      <c r="FE57" s="476">
        <v>432958</v>
      </c>
      <c r="FF57" s="476">
        <v>72307</v>
      </c>
      <c r="FG57" s="476">
        <v>6.3017999999999991E-2</v>
      </c>
      <c r="FH57" s="476">
        <v>2.6953999999999999E-2</v>
      </c>
      <c r="FI57" s="476">
        <v>0</v>
      </c>
      <c r="FJ57" s="476">
        <v>0</v>
      </c>
      <c r="FK57" s="476">
        <v>544.36200000000008</v>
      </c>
      <c r="FL57" s="476">
        <v>3920195</v>
      </c>
      <c r="FM57" s="476">
        <v>0</v>
      </c>
      <c r="FN57" s="476">
        <v>0</v>
      </c>
      <c r="FO57" s="476">
        <v>0</v>
      </c>
      <c r="FP57" s="476">
        <v>0</v>
      </c>
      <c r="FQ57" s="476">
        <v>0</v>
      </c>
      <c r="FR57" s="476">
        <v>0</v>
      </c>
      <c r="FS57" s="476">
        <v>0</v>
      </c>
      <c r="FT57" s="476">
        <v>0</v>
      </c>
      <c r="FU57" s="476">
        <v>0</v>
      </c>
      <c r="FV57" s="476">
        <v>0</v>
      </c>
      <c r="FW57" s="476">
        <v>0</v>
      </c>
      <c r="FX57" s="476">
        <v>0</v>
      </c>
      <c r="FY57" s="476">
        <v>0</v>
      </c>
      <c r="FZ57" s="476">
        <v>0</v>
      </c>
      <c r="GA57" s="476">
        <v>0</v>
      </c>
      <c r="GB57" s="476">
        <v>0</v>
      </c>
      <c r="GC57" s="476">
        <v>0</v>
      </c>
      <c r="GD57" s="476">
        <v>0</v>
      </c>
      <c r="GE57" s="476">
        <v>0</v>
      </c>
      <c r="GF57" s="476">
        <v>0</v>
      </c>
      <c r="GG57" s="476">
        <v>0</v>
      </c>
      <c r="GH57" s="476">
        <v>0</v>
      </c>
      <c r="GI57" s="476">
        <v>0</v>
      </c>
      <c r="GJ57" s="476">
        <v>0</v>
      </c>
      <c r="GK57" s="476">
        <v>0</v>
      </c>
      <c r="GL57" s="476">
        <v>0</v>
      </c>
      <c r="GM57" s="476">
        <v>0</v>
      </c>
      <c r="GN57" s="476">
        <v>0</v>
      </c>
      <c r="GO57" s="476">
        <v>0</v>
      </c>
      <c r="GP57" s="476">
        <v>0</v>
      </c>
      <c r="GQ57" s="476">
        <v>3703894</v>
      </c>
      <c r="GR57" s="476">
        <v>0</v>
      </c>
      <c r="GS57" s="476">
        <v>0</v>
      </c>
      <c r="GT57" s="476">
        <v>0</v>
      </c>
      <c r="GU57" s="476">
        <v>0</v>
      </c>
      <c r="GV57" s="476">
        <v>0</v>
      </c>
      <c r="GW57" s="476">
        <v>0</v>
      </c>
      <c r="GX57" s="476">
        <v>0</v>
      </c>
      <c r="GY57" s="476">
        <v>0</v>
      </c>
      <c r="GZ57" s="476">
        <v>0</v>
      </c>
      <c r="HA57" s="476">
        <v>0</v>
      </c>
      <c r="HB57" s="476">
        <v>323396213</v>
      </c>
      <c r="HC57" s="476">
        <v>4.2206E-2</v>
      </c>
      <c r="HD57" s="476">
        <v>62511</v>
      </c>
      <c r="HE57" s="476">
        <v>0</v>
      </c>
      <c r="HF57" s="476">
        <v>396507</v>
      </c>
      <c r="HG57" s="476">
        <v>23407</v>
      </c>
      <c r="HH57" s="476">
        <v>99190</v>
      </c>
      <c r="HI57" s="476">
        <v>0</v>
      </c>
      <c r="HJ57" s="476">
        <v>3703</v>
      </c>
      <c r="HK57" s="476">
        <v>0</v>
      </c>
      <c r="HL57" s="476">
        <v>0</v>
      </c>
      <c r="HM57" s="476">
        <v>0</v>
      </c>
      <c r="HN57" s="476">
        <v>0</v>
      </c>
      <c r="HO57" s="476">
        <v>0</v>
      </c>
      <c r="HP57" s="476">
        <v>0</v>
      </c>
      <c r="HQ57" s="476">
        <v>0</v>
      </c>
      <c r="HR57" s="476">
        <v>0</v>
      </c>
      <c r="HS57" s="476">
        <v>3198629</v>
      </c>
      <c r="HT57" s="476">
        <v>72307</v>
      </c>
      <c r="HU57" s="476">
        <v>0</v>
      </c>
      <c r="HV57" s="476">
        <v>0</v>
      </c>
      <c r="HW57" s="476">
        <v>0</v>
      </c>
      <c r="HX57" s="476">
        <v>108</v>
      </c>
      <c r="HY57" s="476">
        <v>54</v>
      </c>
      <c r="HZ57" s="476">
        <v>27</v>
      </c>
      <c r="IA57" s="476">
        <v>39</v>
      </c>
      <c r="IB57" s="476">
        <v>25</v>
      </c>
      <c r="IC57" s="476">
        <v>253</v>
      </c>
      <c r="ID57" s="476">
        <v>0</v>
      </c>
      <c r="IE57" s="476">
        <v>0</v>
      </c>
      <c r="IF57" s="476">
        <v>0</v>
      </c>
      <c r="IG57" s="476">
        <v>38</v>
      </c>
      <c r="IH57" s="476">
        <v>161.02700000000002</v>
      </c>
      <c r="II57" s="476">
        <v>0</v>
      </c>
      <c r="IJ57" s="476">
        <v>23.445</v>
      </c>
      <c r="IK57" s="476">
        <v>0</v>
      </c>
      <c r="IL57" s="476">
        <v>0</v>
      </c>
      <c r="IM57" s="476">
        <v>0</v>
      </c>
      <c r="IN57" s="476">
        <v>0</v>
      </c>
      <c r="IO57" s="476">
        <v>0</v>
      </c>
      <c r="IP57" s="476">
        <v>0</v>
      </c>
      <c r="IQ57" s="476">
        <v>23.445</v>
      </c>
      <c r="IR57" s="476">
        <v>14442</v>
      </c>
      <c r="IS57" s="476">
        <v>0</v>
      </c>
      <c r="IT57" s="476">
        <v>0</v>
      </c>
      <c r="IU57" s="476">
        <v>0</v>
      </c>
      <c r="IV57" s="476">
        <v>0</v>
      </c>
      <c r="IW57" s="476">
        <v>6160</v>
      </c>
      <c r="IX57" s="476">
        <v>0</v>
      </c>
      <c r="IY57" s="476">
        <v>0</v>
      </c>
      <c r="IZ57" s="476">
        <v>0</v>
      </c>
      <c r="JA57" s="476">
        <v>0</v>
      </c>
      <c r="JB57" s="476">
        <v>0</v>
      </c>
      <c r="JC57" s="476">
        <v>0</v>
      </c>
      <c r="JD57" s="476">
        <v>0</v>
      </c>
      <c r="JE57" s="476">
        <v>0</v>
      </c>
      <c r="JF57" s="476">
        <v>0</v>
      </c>
      <c r="JG57" s="476">
        <v>0</v>
      </c>
      <c r="JH57" s="476">
        <v>0</v>
      </c>
      <c r="JI57" s="476">
        <v>0</v>
      </c>
      <c r="JJ57" s="476">
        <v>0</v>
      </c>
      <c r="JK57" s="476">
        <v>0</v>
      </c>
      <c r="JL57" s="476">
        <v>0</v>
      </c>
      <c r="JM57" s="476">
        <v>0</v>
      </c>
      <c r="JN57" s="476">
        <v>32469</v>
      </c>
      <c r="JO57" s="476">
        <v>0</v>
      </c>
      <c r="JP57" s="476">
        <v>0</v>
      </c>
      <c r="JQ57" s="476">
        <v>0</v>
      </c>
      <c r="JR57" s="476">
        <v>0</v>
      </c>
      <c r="JS57" s="476">
        <v>0</v>
      </c>
      <c r="JT57" s="476">
        <v>0</v>
      </c>
      <c r="JU57" s="476">
        <v>1725</v>
      </c>
      <c r="JV57" s="476">
        <v>0</v>
      </c>
      <c r="JW57" s="476">
        <v>0</v>
      </c>
      <c r="JX57" s="476">
        <v>0</v>
      </c>
      <c r="JY57" s="476">
        <v>0</v>
      </c>
      <c r="JZ57" s="476">
        <v>0</v>
      </c>
      <c r="KA57" s="476">
        <v>0</v>
      </c>
      <c r="KB57" s="476">
        <v>0</v>
      </c>
      <c r="KC57" s="476">
        <v>0</v>
      </c>
      <c r="KD57" s="476">
        <v>1725</v>
      </c>
      <c r="KE57" s="476">
        <v>7262</v>
      </c>
      <c r="KF57" s="476">
        <v>0</v>
      </c>
      <c r="KG57" s="476">
        <v>0</v>
      </c>
      <c r="KH57" s="476">
        <v>3703894</v>
      </c>
      <c r="KI57" s="476">
        <v>0</v>
      </c>
      <c r="KJ57" s="476">
        <v>13</v>
      </c>
      <c r="KK57" s="476">
        <v>25</v>
      </c>
      <c r="KL57" s="476">
        <v>8008</v>
      </c>
      <c r="KM57" s="476">
        <v>15400</v>
      </c>
      <c r="KN57" s="476">
        <v>0</v>
      </c>
    </row>
    <row r="58" spans="1:300" x14ac:dyDescent="0.25">
      <c r="A58" s="476">
        <v>40976</v>
      </c>
      <c r="B58" s="476">
        <v>57834</v>
      </c>
      <c r="C58" s="476">
        <v>9</v>
      </c>
      <c r="D58" s="476">
        <v>2024</v>
      </c>
      <c r="E58" s="476">
        <v>6160</v>
      </c>
      <c r="F58" s="476">
        <v>0</v>
      </c>
      <c r="G58" s="476">
        <v>440.03800000000001</v>
      </c>
      <c r="H58" s="476">
        <v>352.17600000000004</v>
      </c>
      <c r="I58" s="476">
        <v>352.17600000000004</v>
      </c>
      <c r="J58" s="476">
        <v>440.03800000000001</v>
      </c>
      <c r="K58" s="476">
        <v>0</v>
      </c>
      <c r="L58" s="476">
        <v>6160</v>
      </c>
      <c r="M58" s="476">
        <v>0</v>
      </c>
      <c r="N58" s="476">
        <v>0</v>
      </c>
      <c r="O58" s="476">
        <v>0</v>
      </c>
      <c r="P58" s="476">
        <v>438.73</v>
      </c>
      <c r="Q58" s="476">
        <v>0</v>
      </c>
      <c r="R58" s="476">
        <v>182022</v>
      </c>
      <c r="S58" s="476">
        <v>414.88400000000001</v>
      </c>
      <c r="T58" s="476">
        <v>0</v>
      </c>
      <c r="U58" s="476">
        <v>0</v>
      </c>
      <c r="V58" s="476">
        <v>62.15</v>
      </c>
      <c r="W58" s="476">
        <v>38284</v>
      </c>
      <c r="X58" s="476">
        <v>38284</v>
      </c>
      <c r="Y58" s="476">
        <v>0</v>
      </c>
      <c r="Z58" s="476">
        <v>0</v>
      </c>
      <c r="AA58" s="476">
        <v>0</v>
      </c>
      <c r="AB58" s="476">
        <v>0</v>
      </c>
      <c r="AC58" s="476">
        <v>0</v>
      </c>
      <c r="AD58" s="476" t="s">
        <v>314</v>
      </c>
      <c r="AE58" s="476">
        <v>0</v>
      </c>
      <c r="AF58" s="476">
        <v>0</v>
      </c>
      <c r="AG58" s="476">
        <v>0</v>
      </c>
      <c r="AH58" s="476">
        <v>0</v>
      </c>
      <c r="AI58" s="476">
        <v>0</v>
      </c>
      <c r="AJ58" s="476">
        <v>6160</v>
      </c>
      <c r="AK58" s="476" t="s">
        <v>651</v>
      </c>
      <c r="AL58" s="476" t="s">
        <v>327</v>
      </c>
      <c r="AM58" s="476">
        <v>0</v>
      </c>
      <c r="AN58" s="476">
        <v>0</v>
      </c>
      <c r="AO58" s="476">
        <v>0</v>
      </c>
      <c r="AP58" s="476">
        <v>0</v>
      </c>
      <c r="AQ58" s="476">
        <v>0</v>
      </c>
      <c r="AR58" s="476">
        <v>0</v>
      </c>
      <c r="AS58" s="476">
        <v>0</v>
      </c>
      <c r="AT58" s="476">
        <v>0</v>
      </c>
      <c r="AU58" s="476">
        <v>0</v>
      </c>
      <c r="AV58" s="476">
        <v>0</v>
      </c>
      <c r="AW58" s="476">
        <v>5350027</v>
      </c>
      <c r="AX58" s="476">
        <v>5277172</v>
      </c>
      <c r="AY58" s="476">
        <v>0</v>
      </c>
      <c r="AZ58" s="476">
        <v>182022</v>
      </c>
      <c r="BA58" s="476">
        <v>22.333000000000002</v>
      </c>
      <c r="BB58" s="476">
        <v>0</v>
      </c>
      <c r="BC58" s="476">
        <v>0</v>
      </c>
      <c r="BD58" s="476">
        <v>0</v>
      </c>
      <c r="BE58" s="476">
        <v>0</v>
      </c>
      <c r="BF58" s="476">
        <v>4589516</v>
      </c>
      <c r="BG58" s="476">
        <v>0</v>
      </c>
      <c r="BH58" s="476">
        <v>0</v>
      </c>
      <c r="BI58" s="476">
        <v>0</v>
      </c>
      <c r="BJ58" s="476">
        <v>12</v>
      </c>
      <c r="BK58" s="476">
        <v>0</v>
      </c>
      <c r="BL58" s="476">
        <v>0</v>
      </c>
      <c r="BM58" s="476">
        <v>0</v>
      </c>
      <c r="BN58" s="476">
        <v>0</v>
      </c>
      <c r="BO58" s="476">
        <v>0</v>
      </c>
      <c r="BP58" s="476">
        <v>0</v>
      </c>
      <c r="BQ58" s="476">
        <v>716</v>
      </c>
      <c r="BR58" s="476">
        <v>0</v>
      </c>
      <c r="BS58" s="476">
        <v>0</v>
      </c>
      <c r="BT58" s="476">
        <v>0</v>
      </c>
      <c r="BU58" s="476">
        <v>0</v>
      </c>
      <c r="BV58" s="476">
        <v>0</v>
      </c>
      <c r="BW58" s="476">
        <v>0</v>
      </c>
      <c r="BX58" s="476">
        <v>0</v>
      </c>
      <c r="BY58" s="476">
        <v>0</v>
      </c>
      <c r="BZ58" s="476">
        <v>0</v>
      </c>
      <c r="CA58" s="476">
        <v>0</v>
      </c>
      <c r="CB58" s="476">
        <v>0</v>
      </c>
      <c r="CC58" s="476">
        <v>0</v>
      </c>
      <c r="CD58" s="476">
        <v>0</v>
      </c>
      <c r="CE58" s="476">
        <v>0</v>
      </c>
      <c r="CF58" s="476">
        <v>0</v>
      </c>
      <c r="CG58" s="476">
        <v>0</v>
      </c>
      <c r="CH58" s="476">
        <v>74290</v>
      </c>
      <c r="CI58" s="476">
        <v>0</v>
      </c>
      <c r="CJ58" s="476">
        <v>4</v>
      </c>
      <c r="CK58" s="476">
        <v>0</v>
      </c>
      <c r="CL58" s="476">
        <v>0</v>
      </c>
      <c r="CM58" s="476">
        <v>0</v>
      </c>
      <c r="CN58" s="476">
        <v>0</v>
      </c>
      <c r="CO58" s="476">
        <v>1</v>
      </c>
      <c r="CP58" s="476">
        <v>1.601</v>
      </c>
      <c r="CQ58" s="476">
        <v>1</v>
      </c>
      <c r="CR58" s="476">
        <v>440.03800000000001</v>
      </c>
      <c r="CS58" s="476">
        <v>0</v>
      </c>
      <c r="CT58" s="476">
        <v>0</v>
      </c>
      <c r="CU58" s="476">
        <v>0</v>
      </c>
      <c r="CV58" s="476">
        <v>0</v>
      </c>
      <c r="CW58" s="476">
        <v>0</v>
      </c>
      <c r="CX58" s="476">
        <v>0</v>
      </c>
      <c r="CY58" s="476">
        <v>0</v>
      </c>
      <c r="CZ58" s="476">
        <v>0</v>
      </c>
      <c r="DA58" s="476">
        <v>0</v>
      </c>
      <c r="DB58" s="476">
        <v>2169355</v>
      </c>
      <c r="DC58" s="476">
        <v>0</v>
      </c>
      <c r="DD58" s="476">
        <v>0</v>
      </c>
      <c r="DE58" s="476">
        <v>719934</v>
      </c>
      <c r="DF58" s="476">
        <v>743701</v>
      </c>
      <c r="DG58" s="476">
        <v>116.875</v>
      </c>
      <c r="DH58" s="476">
        <v>0</v>
      </c>
      <c r="DI58" s="476">
        <v>23767</v>
      </c>
      <c r="DJ58" s="476">
        <v>0</v>
      </c>
      <c r="DK58" s="476">
        <v>3075</v>
      </c>
      <c r="DL58" s="476">
        <v>0</v>
      </c>
      <c r="DM58" s="476">
        <v>417278</v>
      </c>
      <c r="DN58" s="476">
        <v>1435</v>
      </c>
      <c r="DO58" s="476">
        <v>0</v>
      </c>
      <c r="DP58" s="476">
        <v>0</v>
      </c>
      <c r="DQ58" s="476">
        <v>0</v>
      </c>
      <c r="DR58" s="476">
        <v>0</v>
      </c>
      <c r="DS58" s="476">
        <v>0</v>
      </c>
      <c r="DT58" s="476">
        <v>0</v>
      </c>
      <c r="DU58" s="476">
        <v>0</v>
      </c>
      <c r="DV58" s="476">
        <v>0</v>
      </c>
      <c r="DW58" s="476">
        <v>0</v>
      </c>
      <c r="DX58" s="476">
        <v>0</v>
      </c>
      <c r="DY58" s="476">
        <v>0</v>
      </c>
      <c r="DZ58" s="476">
        <v>0</v>
      </c>
      <c r="EA58" s="476">
        <v>0</v>
      </c>
      <c r="EB58" s="476">
        <v>0</v>
      </c>
      <c r="EC58" s="476">
        <v>35.683</v>
      </c>
      <c r="ED58" s="476">
        <v>252773</v>
      </c>
      <c r="EE58" s="476">
        <v>0</v>
      </c>
      <c r="EF58" s="476">
        <v>0</v>
      </c>
      <c r="EG58" s="476">
        <v>0</v>
      </c>
      <c r="EH58" s="476">
        <v>165940</v>
      </c>
      <c r="EI58" s="476">
        <v>0</v>
      </c>
      <c r="EJ58" s="476">
        <v>0</v>
      </c>
      <c r="EK58" s="476">
        <v>8.7080000000000002</v>
      </c>
      <c r="EL58" s="476">
        <v>0</v>
      </c>
      <c r="EM58" s="476">
        <v>0</v>
      </c>
      <c r="EN58" s="476">
        <v>0.16300000000000001</v>
      </c>
      <c r="EO58" s="476">
        <v>0</v>
      </c>
      <c r="EP58" s="476">
        <v>0</v>
      </c>
      <c r="EQ58" s="476">
        <v>8.8710000000000004</v>
      </c>
      <c r="ER58" s="476">
        <v>0</v>
      </c>
      <c r="ES58" s="476">
        <v>26.939</v>
      </c>
      <c r="ET58" s="476">
        <v>0</v>
      </c>
      <c r="EU58" s="476">
        <v>0</v>
      </c>
      <c r="EV58" s="476">
        <v>0</v>
      </c>
      <c r="EW58" s="476">
        <v>0</v>
      </c>
      <c r="EX58" s="476">
        <v>0</v>
      </c>
      <c r="EY58" s="476">
        <v>0</v>
      </c>
      <c r="EZ58" s="476">
        <v>4585615</v>
      </c>
      <c r="FA58" s="476">
        <v>0</v>
      </c>
      <c r="FB58" s="476">
        <v>4766202</v>
      </c>
      <c r="FC58" s="476">
        <v>0</v>
      </c>
      <c r="FD58" s="476">
        <v>0</v>
      </c>
      <c r="FE58" s="476">
        <v>592590</v>
      </c>
      <c r="FF58" s="476">
        <v>98967</v>
      </c>
      <c r="FG58" s="476">
        <v>6.3017999999999991E-2</v>
      </c>
      <c r="FH58" s="476">
        <v>2.6953999999999999E-2</v>
      </c>
      <c r="FI58" s="476">
        <v>0</v>
      </c>
      <c r="FJ58" s="476">
        <v>0</v>
      </c>
      <c r="FK58" s="476">
        <v>745.06799999999998</v>
      </c>
      <c r="FL58" s="476">
        <v>5532049</v>
      </c>
      <c r="FM58" s="476">
        <v>0</v>
      </c>
      <c r="FN58" s="476">
        <v>0</v>
      </c>
      <c r="FO58" s="476">
        <v>30338</v>
      </c>
      <c r="FP58" s="476">
        <v>0</v>
      </c>
      <c r="FQ58" s="476">
        <v>30338</v>
      </c>
      <c r="FR58" s="476">
        <v>30338</v>
      </c>
      <c r="FS58" s="476">
        <v>0</v>
      </c>
      <c r="FT58" s="476">
        <v>0</v>
      </c>
      <c r="FU58" s="476">
        <v>0</v>
      </c>
      <c r="FV58" s="476">
        <v>0</v>
      </c>
      <c r="FW58" s="476">
        <v>0</v>
      </c>
      <c r="FX58" s="476">
        <v>0</v>
      </c>
      <c r="FY58" s="476">
        <v>0</v>
      </c>
      <c r="FZ58" s="476">
        <v>0</v>
      </c>
      <c r="GA58" s="476">
        <v>0</v>
      </c>
      <c r="GB58" s="476">
        <v>742050</v>
      </c>
      <c r="GC58" s="476">
        <v>742050</v>
      </c>
      <c r="GD58" s="476">
        <v>78.991</v>
      </c>
      <c r="GE58" s="476">
        <v>0</v>
      </c>
      <c r="GF58" s="476">
        <v>0</v>
      </c>
      <c r="GG58" s="476">
        <v>0</v>
      </c>
      <c r="GH58" s="476">
        <v>0</v>
      </c>
      <c r="GI58" s="476">
        <v>0</v>
      </c>
      <c r="GJ58" s="476">
        <v>0</v>
      </c>
      <c r="GK58" s="476">
        <v>0</v>
      </c>
      <c r="GL58" s="476">
        <v>0</v>
      </c>
      <c r="GM58" s="476">
        <v>0</v>
      </c>
      <c r="GN58" s="476">
        <v>0</v>
      </c>
      <c r="GO58" s="476">
        <v>0</v>
      </c>
      <c r="GP58" s="476">
        <v>0</v>
      </c>
      <c r="GQ58" s="476">
        <v>5275737</v>
      </c>
      <c r="GR58" s="476">
        <v>0</v>
      </c>
      <c r="GS58" s="476">
        <v>0</v>
      </c>
      <c r="GT58" s="476">
        <v>0</v>
      </c>
      <c r="GU58" s="476">
        <v>0</v>
      </c>
      <c r="GV58" s="476">
        <v>0</v>
      </c>
      <c r="GW58" s="476">
        <v>0</v>
      </c>
      <c r="GX58" s="476">
        <v>0</v>
      </c>
      <c r="GY58" s="476">
        <v>0</v>
      </c>
      <c r="GZ58" s="476">
        <v>0</v>
      </c>
      <c r="HA58" s="476">
        <v>0</v>
      </c>
      <c r="HB58" s="476">
        <v>323396213</v>
      </c>
      <c r="HC58" s="476">
        <v>4.2206E-2</v>
      </c>
      <c r="HD58" s="476">
        <v>74290</v>
      </c>
      <c r="HE58" s="476">
        <v>0</v>
      </c>
      <c r="HF58" s="476">
        <v>388098</v>
      </c>
      <c r="HG58" s="476">
        <v>616</v>
      </c>
      <c r="HH58" s="476">
        <v>0</v>
      </c>
      <c r="HI58" s="476">
        <v>0</v>
      </c>
      <c r="HJ58" s="476">
        <v>4400</v>
      </c>
      <c r="HK58" s="476">
        <v>8177</v>
      </c>
      <c r="HL58" s="476">
        <v>2646</v>
      </c>
      <c r="HM58" s="476">
        <v>0</v>
      </c>
      <c r="HN58" s="476">
        <v>84299</v>
      </c>
      <c r="HO58" s="476">
        <v>0</v>
      </c>
      <c r="HP58" s="476">
        <v>136960</v>
      </c>
      <c r="HQ58" s="476">
        <v>0</v>
      </c>
      <c r="HR58" s="476">
        <v>0</v>
      </c>
      <c r="HS58" s="476">
        <v>4584180</v>
      </c>
      <c r="HT58" s="476">
        <v>98967</v>
      </c>
      <c r="HU58" s="476">
        <v>0</v>
      </c>
      <c r="HV58" s="476">
        <v>0</v>
      </c>
      <c r="HW58" s="476">
        <v>0</v>
      </c>
      <c r="HX58" s="476">
        <v>75</v>
      </c>
      <c r="HY58" s="476">
        <v>75</v>
      </c>
      <c r="HZ58" s="476">
        <v>60</v>
      </c>
      <c r="IA58" s="476">
        <v>103</v>
      </c>
      <c r="IB58" s="476">
        <v>146</v>
      </c>
      <c r="IC58" s="476">
        <v>459</v>
      </c>
      <c r="ID58" s="476">
        <v>0</v>
      </c>
      <c r="IE58" s="476">
        <v>0</v>
      </c>
      <c r="IF58" s="476">
        <v>0</v>
      </c>
      <c r="IG58" s="476">
        <v>1</v>
      </c>
      <c r="IH58" s="476">
        <v>0</v>
      </c>
      <c r="II58" s="476">
        <v>498.03500000000003</v>
      </c>
      <c r="IJ58" s="476">
        <v>62.15</v>
      </c>
      <c r="IK58" s="476">
        <v>0</v>
      </c>
      <c r="IL58" s="476">
        <v>0</v>
      </c>
      <c r="IM58" s="476">
        <v>0</v>
      </c>
      <c r="IN58" s="476">
        <v>0</v>
      </c>
      <c r="IO58" s="476">
        <v>0</v>
      </c>
      <c r="IP58" s="476">
        <v>498.03500000000003</v>
      </c>
      <c r="IQ58" s="476">
        <v>62.15</v>
      </c>
      <c r="IR58" s="476">
        <v>38284</v>
      </c>
      <c r="IS58" s="476">
        <v>0</v>
      </c>
      <c r="IT58" s="476">
        <v>0</v>
      </c>
      <c r="IU58" s="476">
        <v>0</v>
      </c>
      <c r="IV58" s="476">
        <v>0</v>
      </c>
      <c r="IW58" s="476">
        <v>6160</v>
      </c>
      <c r="IX58" s="476">
        <v>0</v>
      </c>
      <c r="IY58" s="476">
        <v>0</v>
      </c>
      <c r="IZ58" s="476">
        <v>136960</v>
      </c>
      <c r="JA58" s="476">
        <v>0</v>
      </c>
      <c r="JB58" s="476">
        <v>2</v>
      </c>
      <c r="JC58" s="476">
        <v>43419</v>
      </c>
      <c r="JD58" s="476">
        <v>3</v>
      </c>
      <c r="JE58" s="476">
        <v>30832</v>
      </c>
      <c r="JF58" s="476">
        <v>2</v>
      </c>
      <c r="JG58" s="476">
        <v>10048</v>
      </c>
      <c r="JH58" s="476">
        <v>0</v>
      </c>
      <c r="JI58" s="476">
        <v>0</v>
      </c>
      <c r="JJ58" s="476">
        <v>0</v>
      </c>
      <c r="JK58" s="476">
        <v>0</v>
      </c>
      <c r="JL58" s="476">
        <v>0</v>
      </c>
      <c r="JM58" s="476">
        <v>0</v>
      </c>
      <c r="JN58" s="476">
        <v>32469</v>
      </c>
      <c r="JO58" s="476">
        <v>8.468</v>
      </c>
      <c r="JP58" s="476">
        <v>56.847000000000001</v>
      </c>
      <c r="JQ58" s="476">
        <v>13.676</v>
      </c>
      <c r="JR58" s="476">
        <v>67644</v>
      </c>
      <c r="JS58" s="476">
        <v>528413</v>
      </c>
      <c r="JT58" s="476">
        <v>145993</v>
      </c>
      <c r="JU58" s="476">
        <v>0</v>
      </c>
      <c r="JV58" s="476">
        <v>0</v>
      </c>
      <c r="JW58" s="476">
        <v>0</v>
      </c>
      <c r="JX58" s="476">
        <v>0</v>
      </c>
      <c r="JY58" s="476">
        <v>0</v>
      </c>
      <c r="JZ58" s="476">
        <v>0</v>
      </c>
      <c r="KA58" s="476">
        <v>0</v>
      </c>
      <c r="KB58" s="476">
        <v>0</v>
      </c>
      <c r="KC58" s="476">
        <v>0</v>
      </c>
      <c r="KD58" s="476">
        <v>0</v>
      </c>
      <c r="KE58" s="476">
        <v>7262</v>
      </c>
      <c r="KF58" s="476">
        <v>0</v>
      </c>
      <c r="KG58" s="476">
        <v>0</v>
      </c>
      <c r="KH58" s="476">
        <v>5275737</v>
      </c>
      <c r="KI58" s="476">
        <v>0</v>
      </c>
      <c r="KJ58" s="476">
        <v>0</v>
      </c>
      <c r="KK58" s="476">
        <v>1</v>
      </c>
      <c r="KL58" s="476">
        <v>0</v>
      </c>
      <c r="KM58" s="476">
        <v>616</v>
      </c>
      <c r="KN58" s="476">
        <v>0</v>
      </c>
    </row>
    <row r="59" spans="1:300" x14ac:dyDescent="0.25">
      <c r="A59" s="476">
        <v>40976</v>
      </c>
      <c r="B59" s="476">
        <v>57835</v>
      </c>
      <c r="C59" s="476">
        <v>9</v>
      </c>
      <c r="D59" s="476">
        <v>2024</v>
      </c>
      <c r="E59" s="476">
        <v>6160</v>
      </c>
      <c r="F59" s="476">
        <v>0</v>
      </c>
      <c r="G59" s="476">
        <v>1259.94</v>
      </c>
      <c r="H59" s="476">
        <v>1195.6880000000001</v>
      </c>
      <c r="I59" s="476">
        <v>1195.6880000000001</v>
      </c>
      <c r="J59" s="476">
        <v>1259.94</v>
      </c>
      <c r="K59" s="476">
        <v>0</v>
      </c>
      <c r="L59" s="476">
        <v>6160</v>
      </c>
      <c r="M59" s="476">
        <v>0</v>
      </c>
      <c r="N59" s="476">
        <v>0</v>
      </c>
      <c r="O59" s="476">
        <v>0</v>
      </c>
      <c r="P59" s="476">
        <v>1261.702</v>
      </c>
      <c r="Q59" s="476">
        <v>0</v>
      </c>
      <c r="R59" s="476">
        <v>523460</v>
      </c>
      <c r="S59" s="476">
        <v>414.88400000000001</v>
      </c>
      <c r="T59" s="476">
        <v>0</v>
      </c>
      <c r="U59" s="476">
        <v>0</v>
      </c>
      <c r="V59" s="476">
        <v>663.85700000000008</v>
      </c>
      <c r="W59" s="476">
        <v>409812</v>
      </c>
      <c r="X59" s="476">
        <v>409812</v>
      </c>
      <c r="Y59" s="476">
        <v>0</v>
      </c>
      <c r="Z59" s="476">
        <v>0</v>
      </c>
      <c r="AA59" s="476">
        <v>0</v>
      </c>
      <c r="AB59" s="476">
        <v>0</v>
      </c>
      <c r="AC59" s="476">
        <v>0</v>
      </c>
      <c r="AD59" s="476" t="s">
        <v>314</v>
      </c>
      <c r="AE59" s="476">
        <v>0</v>
      </c>
      <c r="AF59" s="476">
        <v>0</v>
      </c>
      <c r="AG59" s="476">
        <v>0</v>
      </c>
      <c r="AH59" s="476">
        <v>0</v>
      </c>
      <c r="AI59" s="476">
        <v>0</v>
      </c>
      <c r="AJ59" s="476">
        <v>6160</v>
      </c>
      <c r="AK59" s="476" t="s">
        <v>651</v>
      </c>
      <c r="AL59" s="476" t="s">
        <v>48</v>
      </c>
      <c r="AM59" s="476">
        <v>0</v>
      </c>
      <c r="AN59" s="476">
        <v>0</v>
      </c>
      <c r="AO59" s="476">
        <v>0</v>
      </c>
      <c r="AP59" s="476">
        <v>0</v>
      </c>
      <c r="AQ59" s="476">
        <v>0</v>
      </c>
      <c r="AR59" s="476">
        <v>0</v>
      </c>
      <c r="AS59" s="476">
        <v>0</v>
      </c>
      <c r="AT59" s="476">
        <v>0</v>
      </c>
      <c r="AU59" s="476">
        <v>0</v>
      </c>
      <c r="AV59" s="476">
        <v>0</v>
      </c>
      <c r="AW59" s="476">
        <v>14644112</v>
      </c>
      <c r="AX59" s="476">
        <v>14434754</v>
      </c>
      <c r="AY59" s="476">
        <v>0</v>
      </c>
      <c r="AZ59" s="476">
        <v>523460</v>
      </c>
      <c r="BA59" s="476">
        <v>0</v>
      </c>
      <c r="BB59" s="476">
        <v>5541</v>
      </c>
      <c r="BC59" s="476">
        <v>5505</v>
      </c>
      <c r="BD59" s="476">
        <v>13</v>
      </c>
      <c r="BE59" s="476">
        <v>35</v>
      </c>
      <c r="BF59" s="476">
        <v>12997758</v>
      </c>
      <c r="BG59" s="476">
        <v>0</v>
      </c>
      <c r="BH59" s="476">
        <v>0</v>
      </c>
      <c r="BI59" s="476">
        <v>0</v>
      </c>
      <c r="BJ59" s="476">
        <v>12</v>
      </c>
      <c r="BK59" s="476">
        <v>0</v>
      </c>
      <c r="BL59" s="476">
        <v>0</v>
      </c>
      <c r="BM59" s="476">
        <v>0</v>
      </c>
      <c r="BN59" s="476">
        <v>0</v>
      </c>
      <c r="BO59" s="476">
        <v>0</v>
      </c>
      <c r="BP59" s="476">
        <v>0</v>
      </c>
      <c r="BQ59" s="476">
        <v>586</v>
      </c>
      <c r="BR59" s="476">
        <v>0</v>
      </c>
      <c r="BS59" s="476">
        <v>0</v>
      </c>
      <c r="BT59" s="476">
        <v>0</v>
      </c>
      <c r="BU59" s="476">
        <v>0</v>
      </c>
      <c r="BV59" s="476">
        <v>0</v>
      </c>
      <c r="BW59" s="476">
        <v>0</v>
      </c>
      <c r="BX59" s="476">
        <v>0</v>
      </c>
      <c r="BY59" s="476">
        <v>0</v>
      </c>
      <c r="BZ59" s="476">
        <v>0</v>
      </c>
      <c r="CA59" s="476">
        <v>0</v>
      </c>
      <c r="CB59" s="476">
        <v>0</v>
      </c>
      <c r="CC59" s="476">
        <v>0</v>
      </c>
      <c r="CD59" s="476">
        <v>0</v>
      </c>
      <c r="CE59" s="476">
        <v>0</v>
      </c>
      <c r="CF59" s="476">
        <v>0</v>
      </c>
      <c r="CG59" s="476">
        <v>0</v>
      </c>
      <c r="CH59" s="476">
        <v>212710</v>
      </c>
      <c r="CI59" s="476">
        <v>0</v>
      </c>
      <c r="CJ59" s="476">
        <v>4</v>
      </c>
      <c r="CK59" s="476">
        <v>0</v>
      </c>
      <c r="CL59" s="476">
        <v>0</v>
      </c>
      <c r="CM59" s="476">
        <v>0</v>
      </c>
      <c r="CN59" s="476">
        <v>0</v>
      </c>
      <c r="CO59" s="476">
        <v>1</v>
      </c>
      <c r="CP59" s="476">
        <v>0</v>
      </c>
      <c r="CQ59" s="476">
        <v>0</v>
      </c>
      <c r="CR59" s="476">
        <v>1259.94</v>
      </c>
      <c r="CS59" s="476">
        <v>0</v>
      </c>
      <c r="CT59" s="476">
        <v>0</v>
      </c>
      <c r="CU59" s="476">
        <v>0</v>
      </c>
      <c r="CV59" s="476">
        <v>0</v>
      </c>
      <c r="CW59" s="476">
        <v>0</v>
      </c>
      <c r="CX59" s="476">
        <v>0</v>
      </c>
      <c r="CY59" s="476">
        <v>0</v>
      </c>
      <c r="CZ59" s="476">
        <v>0</v>
      </c>
      <c r="DA59" s="476">
        <v>0</v>
      </c>
      <c r="DB59" s="476">
        <v>7365271</v>
      </c>
      <c r="DC59" s="476">
        <v>0</v>
      </c>
      <c r="DD59" s="476">
        <v>0</v>
      </c>
      <c r="DE59" s="476">
        <v>2178050</v>
      </c>
      <c r="DF59" s="476">
        <v>2178050</v>
      </c>
      <c r="DG59" s="476">
        <v>353.58800000000002</v>
      </c>
      <c r="DH59" s="476">
        <v>0</v>
      </c>
      <c r="DI59" s="476">
        <v>0</v>
      </c>
      <c r="DJ59" s="476">
        <v>0</v>
      </c>
      <c r="DK59" s="476">
        <v>996</v>
      </c>
      <c r="DL59" s="476">
        <v>0</v>
      </c>
      <c r="DM59" s="476">
        <v>964498</v>
      </c>
      <c r="DN59" s="476">
        <v>3316</v>
      </c>
      <c r="DO59" s="476">
        <v>0</v>
      </c>
      <c r="DP59" s="476">
        <v>0</v>
      </c>
      <c r="DQ59" s="476">
        <v>0</v>
      </c>
      <c r="DR59" s="476">
        <v>0</v>
      </c>
      <c r="DS59" s="476">
        <v>0</v>
      </c>
      <c r="DT59" s="476">
        <v>0</v>
      </c>
      <c r="DU59" s="476">
        <v>0</v>
      </c>
      <c r="DV59" s="476">
        <v>0</v>
      </c>
      <c r="DW59" s="476">
        <v>0</v>
      </c>
      <c r="DX59" s="476">
        <v>0</v>
      </c>
      <c r="DY59" s="476">
        <v>0</v>
      </c>
      <c r="DZ59" s="476">
        <v>0</v>
      </c>
      <c r="EA59" s="476">
        <v>0</v>
      </c>
      <c r="EB59" s="476">
        <v>0</v>
      </c>
      <c r="EC59" s="476">
        <v>26.242000000000001</v>
      </c>
      <c r="ED59" s="476">
        <v>185894</v>
      </c>
      <c r="EE59" s="476">
        <v>0</v>
      </c>
      <c r="EF59" s="476">
        <v>0</v>
      </c>
      <c r="EG59" s="476">
        <v>0</v>
      </c>
      <c r="EH59" s="476">
        <v>781920</v>
      </c>
      <c r="EI59" s="476">
        <v>0</v>
      </c>
      <c r="EJ59" s="476">
        <v>0</v>
      </c>
      <c r="EK59" s="476">
        <v>34.686</v>
      </c>
      <c r="EL59" s="476">
        <v>0</v>
      </c>
      <c r="EM59" s="476">
        <v>4.3100000000000005</v>
      </c>
      <c r="EN59" s="476">
        <v>1.99</v>
      </c>
      <c r="EO59" s="476">
        <v>0</v>
      </c>
      <c r="EP59" s="476">
        <v>0</v>
      </c>
      <c r="EQ59" s="476">
        <v>40.986000000000004</v>
      </c>
      <c r="ER59" s="476">
        <v>0</v>
      </c>
      <c r="ES59" s="476">
        <v>126.938</v>
      </c>
      <c r="ET59" s="476">
        <v>0</v>
      </c>
      <c r="EU59" s="476">
        <v>0</v>
      </c>
      <c r="EV59" s="476">
        <v>0</v>
      </c>
      <c r="EW59" s="476">
        <v>0</v>
      </c>
      <c r="EX59" s="476">
        <v>0</v>
      </c>
      <c r="EY59" s="476">
        <v>0</v>
      </c>
      <c r="EZ59" s="476">
        <v>12476226</v>
      </c>
      <c r="FA59" s="476">
        <v>0</v>
      </c>
      <c r="FB59" s="476">
        <v>12996334</v>
      </c>
      <c r="FC59" s="476">
        <v>0</v>
      </c>
      <c r="FD59" s="476">
        <v>0</v>
      </c>
      <c r="FE59" s="476">
        <v>1678248</v>
      </c>
      <c r="FF59" s="476">
        <v>280280</v>
      </c>
      <c r="FG59" s="476">
        <v>6.3017999999999991E-2</v>
      </c>
      <c r="FH59" s="476">
        <v>2.6953999999999999E-2</v>
      </c>
      <c r="FI59" s="476">
        <v>0</v>
      </c>
      <c r="FJ59" s="476">
        <v>0</v>
      </c>
      <c r="FK59" s="476">
        <v>2110.0740000000001</v>
      </c>
      <c r="FL59" s="476">
        <v>15167572</v>
      </c>
      <c r="FM59" s="476">
        <v>0</v>
      </c>
      <c r="FN59" s="476">
        <v>0</v>
      </c>
      <c r="FO59" s="476">
        <v>0</v>
      </c>
      <c r="FP59" s="476">
        <v>0</v>
      </c>
      <c r="FQ59" s="476">
        <v>0</v>
      </c>
      <c r="FR59" s="476">
        <v>0</v>
      </c>
      <c r="FS59" s="476">
        <v>0</v>
      </c>
      <c r="FT59" s="476">
        <v>0</v>
      </c>
      <c r="FU59" s="476">
        <v>0</v>
      </c>
      <c r="FV59" s="476">
        <v>0</v>
      </c>
      <c r="FW59" s="476">
        <v>0</v>
      </c>
      <c r="FX59" s="476">
        <v>0</v>
      </c>
      <c r="FY59" s="476">
        <v>0</v>
      </c>
      <c r="FZ59" s="476">
        <v>0</v>
      </c>
      <c r="GA59" s="476">
        <v>0</v>
      </c>
      <c r="GB59" s="476">
        <v>216909</v>
      </c>
      <c r="GC59" s="476">
        <v>216909</v>
      </c>
      <c r="GD59" s="476">
        <v>23.266000000000002</v>
      </c>
      <c r="GE59" s="476">
        <v>0</v>
      </c>
      <c r="GF59" s="476">
        <v>0</v>
      </c>
      <c r="GG59" s="476">
        <v>0</v>
      </c>
      <c r="GH59" s="476">
        <v>0</v>
      </c>
      <c r="GI59" s="476">
        <v>0</v>
      </c>
      <c r="GJ59" s="476">
        <v>0</v>
      </c>
      <c r="GK59" s="476">
        <v>0</v>
      </c>
      <c r="GL59" s="476">
        <v>0</v>
      </c>
      <c r="GM59" s="476">
        <v>0</v>
      </c>
      <c r="GN59" s="476">
        <v>0</v>
      </c>
      <c r="GO59" s="476">
        <v>0</v>
      </c>
      <c r="GP59" s="476">
        <v>0</v>
      </c>
      <c r="GQ59" s="476">
        <v>14431402</v>
      </c>
      <c r="GR59" s="476">
        <v>0</v>
      </c>
      <c r="GS59" s="476">
        <v>0</v>
      </c>
      <c r="GT59" s="476">
        <v>0</v>
      </c>
      <c r="GU59" s="476">
        <v>0</v>
      </c>
      <c r="GV59" s="476">
        <v>0</v>
      </c>
      <c r="GW59" s="476">
        <v>0</v>
      </c>
      <c r="GX59" s="476">
        <v>0</v>
      </c>
      <c r="GY59" s="476">
        <v>0</v>
      </c>
      <c r="GZ59" s="476">
        <v>0</v>
      </c>
      <c r="HA59" s="476">
        <v>0</v>
      </c>
      <c r="HB59" s="476">
        <v>323396213</v>
      </c>
      <c r="HC59" s="476">
        <v>4.2206E-2</v>
      </c>
      <c r="HD59" s="476">
        <v>212710</v>
      </c>
      <c r="HE59" s="476">
        <v>0</v>
      </c>
      <c r="HF59" s="476">
        <v>1317648</v>
      </c>
      <c r="HG59" s="476">
        <v>3080</v>
      </c>
      <c r="HH59" s="476">
        <v>521034</v>
      </c>
      <c r="HI59" s="476">
        <v>0</v>
      </c>
      <c r="HJ59" s="476">
        <v>12599</v>
      </c>
      <c r="HK59" s="476">
        <v>1471</v>
      </c>
      <c r="HL59" s="476">
        <v>457</v>
      </c>
      <c r="HM59" s="476">
        <v>0</v>
      </c>
      <c r="HN59" s="476">
        <v>0</v>
      </c>
      <c r="HO59" s="476">
        <v>0</v>
      </c>
      <c r="HP59" s="476">
        <v>0</v>
      </c>
      <c r="HQ59" s="476">
        <v>0</v>
      </c>
      <c r="HR59" s="476">
        <v>0</v>
      </c>
      <c r="HS59" s="476">
        <v>12472874</v>
      </c>
      <c r="HT59" s="476">
        <v>280280</v>
      </c>
      <c r="HU59" s="476">
        <v>0</v>
      </c>
      <c r="HV59" s="476">
        <v>0</v>
      </c>
      <c r="HW59" s="476">
        <v>0</v>
      </c>
      <c r="HX59" s="476">
        <v>70</v>
      </c>
      <c r="HY59" s="476">
        <v>184</v>
      </c>
      <c r="HZ59" s="476">
        <v>318</v>
      </c>
      <c r="IA59" s="476">
        <v>429</v>
      </c>
      <c r="IB59" s="476">
        <v>371</v>
      </c>
      <c r="IC59" s="476">
        <v>1372</v>
      </c>
      <c r="ID59" s="476">
        <v>0</v>
      </c>
      <c r="IE59" s="476">
        <v>0.95800000000000007</v>
      </c>
      <c r="IF59" s="476">
        <v>0</v>
      </c>
      <c r="IG59" s="476">
        <v>5</v>
      </c>
      <c r="IH59" s="476">
        <v>845.85300000000007</v>
      </c>
      <c r="II59" s="476">
        <v>0</v>
      </c>
      <c r="IJ59" s="476">
        <v>664.81500000000005</v>
      </c>
      <c r="IK59" s="476">
        <v>0</v>
      </c>
      <c r="IL59" s="476">
        <v>0</v>
      </c>
      <c r="IM59" s="476">
        <v>0</v>
      </c>
      <c r="IN59" s="476">
        <v>0</v>
      </c>
      <c r="IO59" s="476">
        <v>0</v>
      </c>
      <c r="IP59" s="476">
        <v>0</v>
      </c>
      <c r="IQ59" s="476">
        <v>663.85700000000008</v>
      </c>
      <c r="IR59" s="476">
        <v>408927</v>
      </c>
      <c r="IS59" s="476">
        <v>0</v>
      </c>
      <c r="IT59" s="476">
        <v>0</v>
      </c>
      <c r="IU59" s="476">
        <v>0</v>
      </c>
      <c r="IV59" s="476">
        <v>0</v>
      </c>
      <c r="IW59" s="476">
        <v>6160</v>
      </c>
      <c r="IX59" s="476">
        <v>885</v>
      </c>
      <c r="IY59" s="476">
        <v>0</v>
      </c>
      <c r="IZ59" s="476">
        <v>0</v>
      </c>
      <c r="JA59" s="476">
        <v>0</v>
      </c>
      <c r="JB59" s="476">
        <v>0</v>
      </c>
      <c r="JC59" s="476">
        <v>0</v>
      </c>
      <c r="JD59" s="476">
        <v>0</v>
      </c>
      <c r="JE59" s="476">
        <v>0</v>
      </c>
      <c r="JF59" s="476">
        <v>0</v>
      </c>
      <c r="JG59" s="476">
        <v>0</v>
      </c>
      <c r="JH59" s="476">
        <v>0</v>
      </c>
      <c r="JI59" s="476">
        <v>0</v>
      </c>
      <c r="JJ59" s="476">
        <v>0</v>
      </c>
      <c r="JK59" s="476">
        <v>0</v>
      </c>
      <c r="JL59" s="476">
        <v>0</v>
      </c>
      <c r="JM59" s="476">
        <v>0</v>
      </c>
      <c r="JN59" s="476">
        <v>32469</v>
      </c>
      <c r="JO59" s="476">
        <v>1.673</v>
      </c>
      <c r="JP59" s="476">
        <v>19.542000000000002</v>
      </c>
      <c r="JQ59" s="476">
        <v>2.0510000000000002</v>
      </c>
      <c r="JR59" s="476">
        <v>13364</v>
      </c>
      <c r="JS59" s="476">
        <v>181650</v>
      </c>
      <c r="JT59" s="476">
        <v>21895</v>
      </c>
      <c r="JU59" s="476">
        <v>5605</v>
      </c>
      <c r="JV59" s="476">
        <v>0</v>
      </c>
      <c r="JW59" s="476">
        <v>0</v>
      </c>
      <c r="JX59" s="476">
        <v>0</v>
      </c>
      <c r="JY59" s="476">
        <v>0</v>
      </c>
      <c r="JZ59" s="476">
        <v>0</v>
      </c>
      <c r="KA59" s="476">
        <v>0</v>
      </c>
      <c r="KB59" s="476">
        <v>0</v>
      </c>
      <c r="KC59" s="476">
        <v>0</v>
      </c>
      <c r="KD59" s="476">
        <v>5605</v>
      </c>
      <c r="KE59" s="476">
        <v>7262</v>
      </c>
      <c r="KF59" s="476">
        <v>0</v>
      </c>
      <c r="KG59" s="476">
        <v>0</v>
      </c>
      <c r="KH59" s="476">
        <v>14431402</v>
      </c>
      <c r="KI59" s="476">
        <v>0</v>
      </c>
      <c r="KJ59" s="476">
        <v>5</v>
      </c>
      <c r="KK59" s="476">
        <v>0</v>
      </c>
      <c r="KL59" s="476">
        <v>3080</v>
      </c>
      <c r="KM59" s="476">
        <v>0</v>
      </c>
      <c r="KN59" s="476">
        <v>0</v>
      </c>
    </row>
    <row r="60" spans="1:300" x14ac:dyDescent="0.25">
      <c r="A60" s="476">
        <v>40976</v>
      </c>
      <c r="B60" s="476">
        <v>57836</v>
      </c>
      <c r="C60" s="476">
        <v>9</v>
      </c>
      <c r="D60" s="476">
        <v>2024</v>
      </c>
      <c r="E60" s="476">
        <v>6160</v>
      </c>
      <c r="F60" s="476">
        <v>0</v>
      </c>
      <c r="G60" s="476">
        <v>309.75</v>
      </c>
      <c r="H60" s="476">
        <v>298.95800000000003</v>
      </c>
      <c r="I60" s="476">
        <v>298.95800000000003</v>
      </c>
      <c r="J60" s="476">
        <v>309.75</v>
      </c>
      <c r="K60" s="476">
        <v>0</v>
      </c>
      <c r="L60" s="476">
        <v>6160</v>
      </c>
      <c r="M60" s="476">
        <v>0</v>
      </c>
      <c r="N60" s="476">
        <v>0</v>
      </c>
      <c r="O60" s="476">
        <v>0</v>
      </c>
      <c r="P60" s="476">
        <v>310.45800000000003</v>
      </c>
      <c r="Q60" s="476">
        <v>0</v>
      </c>
      <c r="R60" s="476">
        <v>128804</v>
      </c>
      <c r="S60" s="476">
        <v>414.88400000000001</v>
      </c>
      <c r="T60" s="476">
        <v>0</v>
      </c>
      <c r="U60" s="476">
        <v>0</v>
      </c>
      <c r="V60" s="476">
        <v>0</v>
      </c>
      <c r="W60" s="476">
        <v>0</v>
      </c>
      <c r="X60" s="476">
        <v>0</v>
      </c>
      <c r="Y60" s="476">
        <v>0</v>
      </c>
      <c r="Z60" s="476">
        <v>0</v>
      </c>
      <c r="AA60" s="476">
        <v>0</v>
      </c>
      <c r="AB60" s="476">
        <v>0</v>
      </c>
      <c r="AC60" s="476">
        <v>0</v>
      </c>
      <c r="AD60" s="476" t="s">
        <v>314</v>
      </c>
      <c r="AE60" s="476">
        <v>0</v>
      </c>
      <c r="AF60" s="476">
        <v>0</v>
      </c>
      <c r="AG60" s="476">
        <v>0</v>
      </c>
      <c r="AH60" s="476">
        <v>0</v>
      </c>
      <c r="AI60" s="476">
        <v>0</v>
      </c>
      <c r="AJ60" s="476">
        <v>6160</v>
      </c>
      <c r="AK60" s="476" t="s">
        <v>651</v>
      </c>
      <c r="AL60" s="476" t="s">
        <v>24</v>
      </c>
      <c r="AM60" s="476">
        <v>0</v>
      </c>
      <c r="AN60" s="476">
        <v>0</v>
      </c>
      <c r="AO60" s="476">
        <v>0</v>
      </c>
      <c r="AP60" s="476">
        <v>0</v>
      </c>
      <c r="AQ60" s="476">
        <v>0</v>
      </c>
      <c r="AR60" s="476">
        <v>0</v>
      </c>
      <c r="AS60" s="476">
        <v>0</v>
      </c>
      <c r="AT60" s="476">
        <v>0</v>
      </c>
      <c r="AU60" s="476">
        <v>0</v>
      </c>
      <c r="AV60" s="476">
        <v>0</v>
      </c>
      <c r="AW60" s="476">
        <v>3479309</v>
      </c>
      <c r="AX60" s="476">
        <v>3428128</v>
      </c>
      <c r="AY60" s="476">
        <v>0</v>
      </c>
      <c r="AZ60" s="476">
        <v>128804</v>
      </c>
      <c r="BA60" s="476">
        <v>14.083</v>
      </c>
      <c r="BB60" s="476">
        <v>5115</v>
      </c>
      <c r="BC60" s="476">
        <v>5082</v>
      </c>
      <c r="BD60" s="476">
        <v>12</v>
      </c>
      <c r="BE60" s="476">
        <v>33</v>
      </c>
      <c r="BF60" s="476">
        <v>3091151</v>
      </c>
      <c r="BG60" s="476">
        <v>0</v>
      </c>
      <c r="BH60" s="476">
        <v>0</v>
      </c>
      <c r="BI60" s="476">
        <v>0</v>
      </c>
      <c r="BJ60" s="476">
        <v>12</v>
      </c>
      <c r="BK60" s="476">
        <v>0</v>
      </c>
      <c r="BL60" s="476">
        <v>0</v>
      </c>
      <c r="BM60" s="476">
        <v>0</v>
      </c>
      <c r="BN60" s="476">
        <v>0</v>
      </c>
      <c r="BO60" s="476">
        <v>0</v>
      </c>
      <c r="BP60" s="476">
        <v>0</v>
      </c>
      <c r="BQ60" s="476">
        <v>724</v>
      </c>
      <c r="BR60" s="476">
        <v>0</v>
      </c>
      <c r="BS60" s="476">
        <v>0</v>
      </c>
      <c r="BT60" s="476">
        <v>0</v>
      </c>
      <c r="BU60" s="476">
        <v>0</v>
      </c>
      <c r="BV60" s="476">
        <v>0</v>
      </c>
      <c r="BW60" s="476">
        <v>0</v>
      </c>
      <c r="BX60" s="476">
        <v>0</v>
      </c>
      <c r="BY60" s="476">
        <v>0</v>
      </c>
      <c r="BZ60" s="476">
        <v>0</v>
      </c>
      <c r="CA60" s="476">
        <v>0</v>
      </c>
      <c r="CB60" s="476">
        <v>0</v>
      </c>
      <c r="CC60" s="476">
        <v>0</v>
      </c>
      <c r="CD60" s="476">
        <v>0</v>
      </c>
      <c r="CE60" s="476">
        <v>0</v>
      </c>
      <c r="CF60" s="476">
        <v>0</v>
      </c>
      <c r="CG60" s="476">
        <v>0</v>
      </c>
      <c r="CH60" s="476">
        <v>52294</v>
      </c>
      <c r="CI60" s="476">
        <v>0</v>
      </c>
      <c r="CJ60" s="476">
        <v>4</v>
      </c>
      <c r="CK60" s="476">
        <v>0</v>
      </c>
      <c r="CL60" s="476">
        <v>0</v>
      </c>
      <c r="CM60" s="476">
        <v>0</v>
      </c>
      <c r="CN60" s="476">
        <v>0</v>
      </c>
      <c r="CO60" s="476">
        <v>1</v>
      </c>
      <c r="CP60" s="476">
        <v>0</v>
      </c>
      <c r="CQ60" s="476">
        <v>0</v>
      </c>
      <c r="CR60" s="476">
        <v>309.75</v>
      </c>
      <c r="CS60" s="476">
        <v>0</v>
      </c>
      <c r="CT60" s="476">
        <v>0</v>
      </c>
      <c r="CU60" s="476">
        <v>0</v>
      </c>
      <c r="CV60" s="476">
        <v>0</v>
      </c>
      <c r="CW60" s="476">
        <v>0</v>
      </c>
      <c r="CX60" s="476">
        <v>0</v>
      </c>
      <c r="CY60" s="476">
        <v>0</v>
      </c>
      <c r="CZ60" s="476">
        <v>0</v>
      </c>
      <c r="DA60" s="476">
        <v>0</v>
      </c>
      <c r="DB60" s="476">
        <v>1841539</v>
      </c>
      <c r="DC60" s="476">
        <v>0</v>
      </c>
      <c r="DD60" s="476">
        <v>0</v>
      </c>
      <c r="DE60" s="476">
        <v>506802</v>
      </c>
      <c r="DF60" s="476">
        <v>506802</v>
      </c>
      <c r="DG60" s="476">
        <v>82.275000000000006</v>
      </c>
      <c r="DH60" s="476">
        <v>0</v>
      </c>
      <c r="DI60" s="476">
        <v>0</v>
      </c>
      <c r="DJ60" s="476">
        <v>0</v>
      </c>
      <c r="DK60" s="476">
        <v>3206</v>
      </c>
      <c r="DL60" s="476">
        <v>0</v>
      </c>
      <c r="DM60" s="476">
        <v>314066</v>
      </c>
      <c r="DN60" s="476">
        <v>1080</v>
      </c>
      <c r="DO60" s="476">
        <v>0</v>
      </c>
      <c r="DP60" s="476">
        <v>0</v>
      </c>
      <c r="DQ60" s="476">
        <v>0</v>
      </c>
      <c r="DR60" s="476">
        <v>0</v>
      </c>
      <c r="DS60" s="476">
        <v>0</v>
      </c>
      <c r="DT60" s="476">
        <v>0</v>
      </c>
      <c r="DU60" s="476">
        <v>0</v>
      </c>
      <c r="DV60" s="476">
        <v>0</v>
      </c>
      <c r="DW60" s="476">
        <v>0</v>
      </c>
      <c r="DX60" s="476">
        <v>0</v>
      </c>
      <c r="DY60" s="476">
        <v>0</v>
      </c>
      <c r="DZ60" s="476">
        <v>0</v>
      </c>
      <c r="EA60" s="476">
        <v>0</v>
      </c>
      <c r="EB60" s="476">
        <v>0</v>
      </c>
      <c r="EC60" s="476">
        <v>15.662000000000001</v>
      </c>
      <c r="ED60" s="476">
        <v>110947</v>
      </c>
      <c r="EE60" s="476">
        <v>0</v>
      </c>
      <c r="EF60" s="476">
        <v>0</v>
      </c>
      <c r="EG60" s="476">
        <v>0</v>
      </c>
      <c r="EH60" s="476">
        <v>204199</v>
      </c>
      <c r="EI60" s="476">
        <v>0</v>
      </c>
      <c r="EJ60" s="476">
        <v>0</v>
      </c>
      <c r="EK60" s="476">
        <v>9.093</v>
      </c>
      <c r="EL60" s="476">
        <v>0</v>
      </c>
      <c r="EM60" s="476">
        <v>1.3120000000000001</v>
      </c>
      <c r="EN60" s="476">
        <v>0.38700000000000001</v>
      </c>
      <c r="EO60" s="476">
        <v>0</v>
      </c>
      <c r="EP60" s="476">
        <v>0</v>
      </c>
      <c r="EQ60" s="476">
        <v>10.792</v>
      </c>
      <c r="ER60" s="476">
        <v>0</v>
      </c>
      <c r="ES60" s="476">
        <v>33.15</v>
      </c>
      <c r="ET60" s="476">
        <v>0</v>
      </c>
      <c r="EU60" s="476">
        <v>0</v>
      </c>
      <c r="EV60" s="476">
        <v>0</v>
      </c>
      <c r="EW60" s="476">
        <v>0</v>
      </c>
      <c r="EX60" s="476">
        <v>0</v>
      </c>
      <c r="EY60" s="476">
        <v>0</v>
      </c>
      <c r="EZ60" s="476">
        <v>2962347</v>
      </c>
      <c r="FA60" s="476">
        <v>0</v>
      </c>
      <c r="FB60" s="476">
        <v>3090038</v>
      </c>
      <c r="FC60" s="476">
        <v>0</v>
      </c>
      <c r="FD60" s="476">
        <v>0</v>
      </c>
      <c r="FE60" s="476">
        <v>399124</v>
      </c>
      <c r="FF60" s="476">
        <v>66657</v>
      </c>
      <c r="FG60" s="476">
        <v>6.3017999999999991E-2</v>
      </c>
      <c r="FH60" s="476">
        <v>2.6953999999999999E-2</v>
      </c>
      <c r="FI60" s="476">
        <v>0</v>
      </c>
      <c r="FJ60" s="476">
        <v>0</v>
      </c>
      <c r="FK60" s="476">
        <v>501.822</v>
      </c>
      <c r="FL60" s="476">
        <v>3608113</v>
      </c>
      <c r="FM60" s="476">
        <v>0</v>
      </c>
      <c r="FN60" s="476">
        <v>0</v>
      </c>
      <c r="FO60" s="476">
        <v>0</v>
      </c>
      <c r="FP60" s="476">
        <v>0</v>
      </c>
      <c r="FQ60" s="476">
        <v>0</v>
      </c>
      <c r="FR60" s="476">
        <v>0</v>
      </c>
      <c r="FS60" s="476">
        <v>0</v>
      </c>
      <c r="FT60" s="476">
        <v>0</v>
      </c>
      <c r="FU60" s="476">
        <v>0</v>
      </c>
      <c r="FV60" s="476">
        <v>0</v>
      </c>
      <c r="FW60" s="476">
        <v>0</v>
      </c>
      <c r="FX60" s="476">
        <v>0</v>
      </c>
      <c r="FY60" s="476">
        <v>0</v>
      </c>
      <c r="FZ60" s="476">
        <v>0</v>
      </c>
      <c r="GA60" s="476">
        <v>0</v>
      </c>
      <c r="GB60" s="476">
        <v>0</v>
      </c>
      <c r="GC60" s="476">
        <v>0</v>
      </c>
      <c r="GD60" s="476">
        <v>0</v>
      </c>
      <c r="GE60" s="476">
        <v>0</v>
      </c>
      <c r="GF60" s="476">
        <v>0</v>
      </c>
      <c r="GG60" s="476">
        <v>0</v>
      </c>
      <c r="GH60" s="476">
        <v>0</v>
      </c>
      <c r="GI60" s="476">
        <v>0</v>
      </c>
      <c r="GJ60" s="476">
        <v>0</v>
      </c>
      <c r="GK60" s="476">
        <v>0</v>
      </c>
      <c r="GL60" s="476">
        <v>0</v>
      </c>
      <c r="GM60" s="476">
        <v>0</v>
      </c>
      <c r="GN60" s="476">
        <v>0</v>
      </c>
      <c r="GO60" s="476">
        <v>0</v>
      </c>
      <c r="GP60" s="476">
        <v>0</v>
      </c>
      <c r="GQ60" s="476">
        <v>3427015</v>
      </c>
      <c r="GR60" s="476">
        <v>0</v>
      </c>
      <c r="GS60" s="476">
        <v>0</v>
      </c>
      <c r="GT60" s="476">
        <v>0</v>
      </c>
      <c r="GU60" s="476">
        <v>0</v>
      </c>
      <c r="GV60" s="476">
        <v>0</v>
      </c>
      <c r="GW60" s="476">
        <v>0</v>
      </c>
      <c r="GX60" s="476">
        <v>0</v>
      </c>
      <c r="GY60" s="476">
        <v>0</v>
      </c>
      <c r="GZ60" s="476">
        <v>0</v>
      </c>
      <c r="HA60" s="476">
        <v>0</v>
      </c>
      <c r="HB60" s="476">
        <v>323396213</v>
      </c>
      <c r="HC60" s="476">
        <v>4.2206E-2</v>
      </c>
      <c r="HD60" s="476">
        <v>52294</v>
      </c>
      <c r="HE60" s="476">
        <v>0</v>
      </c>
      <c r="HF60" s="476">
        <v>329452</v>
      </c>
      <c r="HG60" s="476">
        <v>3696</v>
      </c>
      <c r="HH60" s="476">
        <v>72970</v>
      </c>
      <c r="HI60" s="476">
        <v>0</v>
      </c>
      <c r="HJ60" s="476">
        <v>3098</v>
      </c>
      <c r="HK60" s="476">
        <v>0</v>
      </c>
      <c r="HL60" s="476">
        <v>0</v>
      </c>
      <c r="HM60" s="476">
        <v>0</v>
      </c>
      <c r="HN60" s="476">
        <v>13333</v>
      </c>
      <c r="HO60" s="476">
        <v>0</v>
      </c>
      <c r="HP60" s="476">
        <v>0</v>
      </c>
      <c r="HQ60" s="476">
        <v>0</v>
      </c>
      <c r="HR60" s="476">
        <v>0</v>
      </c>
      <c r="HS60" s="476">
        <v>2961234</v>
      </c>
      <c r="HT60" s="476">
        <v>66657</v>
      </c>
      <c r="HU60" s="476">
        <v>0</v>
      </c>
      <c r="HV60" s="476">
        <v>0</v>
      </c>
      <c r="HW60" s="476">
        <v>0</v>
      </c>
      <c r="HX60" s="476">
        <v>31</v>
      </c>
      <c r="HY60" s="476">
        <v>39</v>
      </c>
      <c r="HZ60" s="476">
        <v>33</v>
      </c>
      <c r="IA60" s="476">
        <v>85</v>
      </c>
      <c r="IB60" s="476">
        <v>129</v>
      </c>
      <c r="IC60" s="476">
        <v>317</v>
      </c>
      <c r="ID60" s="476">
        <v>0</v>
      </c>
      <c r="IE60" s="476">
        <v>0</v>
      </c>
      <c r="IF60" s="476">
        <v>0</v>
      </c>
      <c r="IG60" s="476">
        <v>6</v>
      </c>
      <c r="IH60" s="476">
        <v>118.46000000000001</v>
      </c>
      <c r="II60" s="476">
        <v>0</v>
      </c>
      <c r="IJ60" s="476">
        <v>0</v>
      </c>
      <c r="IK60" s="476">
        <v>0</v>
      </c>
      <c r="IL60" s="476">
        <v>0</v>
      </c>
      <c r="IM60" s="476">
        <v>0</v>
      </c>
      <c r="IN60" s="476">
        <v>0</v>
      </c>
      <c r="IO60" s="476">
        <v>0</v>
      </c>
      <c r="IP60" s="476">
        <v>0</v>
      </c>
      <c r="IQ60" s="476">
        <v>0</v>
      </c>
      <c r="IR60" s="476">
        <v>0</v>
      </c>
      <c r="IS60" s="476">
        <v>0</v>
      </c>
      <c r="IT60" s="476">
        <v>0</v>
      </c>
      <c r="IU60" s="476">
        <v>0</v>
      </c>
      <c r="IV60" s="476">
        <v>0</v>
      </c>
      <c r="IW60" s="476">
        <v>6160</v>
      </c>
      <c r="IX60" s="476">
        <v>0</v>
      </c>
      <c r="IY60" s="476">
        <v>0</v>
      </c>
      <c r="IZ60" s="476">
        <v>0</v>
      </c>
      <c r="JA60" s="476">
        <v>0</v>
      </c>
      <c r="JB60" s="476">
        <v>0</v>
      </c>
      <c r="JC60" s="476">
        <v>0</v>
      </c>
      <c r="JD60" s="476">
        <v>1</v>
      </c>
      <c r="JE60" s="476">
        <v>13333</v>
      </c>
      <c r="JF60" s="476">
        <v>0</v>
      </c>
      <c r="JG60" s="476">
        <v>0</v>
      </c>
      <c r="JH60" s="476">
        <v>0</v>
      </c>
      <c r="JI60" s="476">
        <v>0</v>
      </c>
      <c r="JJ60" s="476">
        <v>0</v>
      </c>
      <c r="JK60" s="476">
        <v>0</v>
      </c>
      <c r="JL60" s="476">
        <v>0</v>
      </c>
      <c r="JM60" s="476">
        <v>0</v>
      </c>
      <c r="JN60" s="476">
        <v>32469</v>
      </c>
      <c r="JO60" s="476">
        <v>0</v>
      </c>
      <c r="JP60" s="476">
        <v>0</v>
      </c>
      <c r="JQ60" s="476">
        <v>0</v>
      </c>
      <c r="JR60" s="476">
        <v>0</v>
      </c>
      <c r="JS60" s="476">
        <v>0</v>
      </c>
      <c r="JT60" s="476">
        <v>0</v>
      </c>
      <c r="JU60" s="476">
        <v>5174</v>
      </c>
      <c r="JV60" s="476">
        <v>0</v>
      </c>
      <c r="JW60" s="476">
        <v>0</v>
      </c>
      <c r="JX60" s="476">
        <v>0</v>
      </c>
      <c r="JY60" s="476">
        <v>0</v>
      </c>
      <c r="JZ60" s="476">
        <v>0</v>
      </c>
      <c r="KA60" s="476">
        <v>0</v>
      </c>
      <c r="KB60" s="476">
        <v>0</v>
      </c>
      <c r="KC60" s="476">
        <v>0</v>
      </c>
      <c r="KD60" s="476">
        <v>5174</v>
      </c>
      <c r="KE60" s="476">
        <v>7262</v>
      </c>
      <c r="KF60" s="476">
        <v>0</v>
      </c>
      <c r="KG60" s="476">
        <v>0</v>
      </c>
      <c r="KH60" s="476">
        <v>3427015</v>
      </c>
      <c r="KI60" s="476">
        <v>0</v>
      </c>
      <c r="KJ60" s="476">
        <v>1</v>
      </c>
      <c r="KK60" s="476">
        <v>5</v>
      </c>
      <c r="KL60" s="476">
        <v>616</v>
      </c>
      <c r="KM60" s="476">
        <v>3080</v>
      </c>
      <c r="KN60" s="476">
        <v>0</v>
      </c>
    </row>
    <row r="61" spans="1:300" x14ac:dyDescent="0.25">
      <c r="A61" s="476">
        <v>40976</v>
      </c>
      <c r="B61" s="476">
        <v>57839</v>
      </c>
      <c r="C61" s="476">
        <v>9</v>
      </c>
      <c r="D61" s="476">
        <v>2024</v>
      </c>
      <c r="E61" s="476">
        <v>6160</v>
      </c>
      <c r="F61" s="476">
        <v>0</v>
      </c>
      <c r="G61" s="476">
        <v>857.88300000000004</v>
      </c>
      <c r="H61" s="476">
        <v>852.17100000000005</v>
      </c>
      <c r="I61" s="476">
        <v>852.17100000000005</v>
      </c>
      <c r="J61" s="476">
        <v>857.88300000000004</v>
      </c>
      <c r="K61" s="476">
        <v>0</v>
      </c>
      <c r="L61" s="476">
        <v>6160</v>
      </c>
      <c r="M61" s="476">
        <v>0</v>
      </c>
      <c r="N61" s="476">
        <v>0</v>
      </c>
      <c r="O61" s="476">
        <v>0</v>
      </c>
      <c r="P61" s="476">
        <v>857.92200000000003</v>
      </c>
      <c r="Q61" s="476">
        <v>0</v>
      </c>
      <c r="R61" s="476">
        <v>355938</v>
      </c>
      <c r="S61" s="476">
        <v>414.88400000000001</v>
      </c>
      <c r="T61" s="476">
        <v>0</v>
      </c>
      <c r="U61" s="476">
        <v>0</v>
      </c>
      <c r="V61" s="476">
        <v>577.78</v>
      </c>
      <c r="W61" s="476">
        <v>355904</v>
      </c>
      <c r="X61" s="476">
        <v>355904</v>
      </c>
      <c r="Y61" s="476">
        <v>0</v>
      </c>
      <c r="Z61" s="476">
        <v>0</v>
      </c>
      <c r="AA61" s="476">
        <v>0</v>
      </c>
      <c r="AB61" s="476">
        <v>0</v>
      </c>
      <c r="AC61" s="476">
        <v>0</v>
      </c>
      <c r="AD61" s="476" t="s">
        <v>314</v>
      </c>
      <c r="AE61" s="476">
        <v>0</v>
      </c>
      <c r="AF61" s="476">
        <v>0</v>
      </c>
      <c r="AG61" s="476">
        <v>0</v>
      </c>
      <c r="AH61" s="476">
        <v>0</v>
      </c>
      <c r="AI61" s="476">
        <v>0</v>
      </c>
      <c r="AJ61" s="476">
        <v>6160</v>
      </c>
      <c r="AK61" s="476" t="s">
        <v>651</v>
      </c>
      <c r="AL61" s="476" t="s">
        <v>58</v>
      </c>
      <c r="AM61" s="476">
        <v>0</v>
      </c>
      <c r="AN61" s="476">
        <v>0</v>
      </c>
      <c r="AO61" s="476">
        <v>0</v>
      </c>
      <c r="AP61" s="476">
        <v>0</v>
      </c>
      <c r="AQ61" s="476">
        <v>0</v>
      </c>
      <c r="AR61" s="476">
        <v>0</v>
      </c>
      <c r="AS61" s="476">
        <v>0</v>
      </c>
      <c r="AT61" s="476">
        <v>0</v>
      </c>
      <c r="AU61" s="476">
        <v>0</v>
      </c>
      <c r="AV61" s="476">
        <v>0</v>
      </c>
      <c r="AW61" s="476">
        <v>10220574</v>
      </c>
      <c r="AX61" s="476">
        <v>10078224</v>
      </c>
      <c r="AY61" s="476">
        <v>0</v>
      </c>
      <c r="AZ61" s="476">
        <v>355938</v>
      </c>
      <c r="BA61" s="476">
        <v>0</v>
      </c>
      <c r="BB61" s="476">
        <v>9803</v>
      </c>
      <c r="BC61" s="476">
        <v>9741</v>
      </c>
      <c r="BD61" s="476">
        <v>23</v>
      </c>
      <c r="BE61" s="476">
        <v>62</v>
      </c>
      <c r="BF61" s="476">
        <v>9067808</v>
      </c>
      <c r="BG61" s="476">
        <v>0</v>
      </c>
      <c r="BH61" s="476">
        <v>0</v>
      </c>
      <c r="BI61" s="476">
        <v>0</v>
      </c>
      <c r="BJ61" s="476">
        <v>12</v>
      </c>
      <c r="BK61" s="476">
        <v>0</v>
      </c>
      <c r="BL61" s="476">
        <v>0</v>
      </c>
      <c r="BM61" s="476">
        <v>0</v>
      </c>
      <c r="BN61" s="476">
        <v>0</v>
      </c>
      <c r="BO61" s="476">
        <v>0</v>
      </c>
      <c r="BP61" s="476">
        <v>0</v>
      </c>
      <c r="BQ61" s="476">
        <v>639</v>
      </c>
      <c r="BR61" s="476">
        <v>0</v>
      </c>
      <c r="BS61" s="476">
        <v>0</v>
      </c>
      <c r="BT61" s="476">
        <v>0</v>
      </c>
      <c r="BU61" s="476">
        <v>0</v>
      </c>
      <c r="BV61" s="476">
        <v>0</v>
      </c>
      <c r="BW61" s="476">
        <v>0</v>
      </c>
      <c r="BX61" s="476">
        <v>0</v>
      </c>
      <c r="BY61" s="476">
        <v>0</v>
      </c>
      <c r="BZ61" s="476">
        <v>0</v>
      </c>
      <c r="CA61" s="476">
        <v>0</v>
      </c>
      <c r="CB61" s="476">
        <v>0</v>
      </c>
      <c r="CC61" s="476">
        <v>0</v>
      </c>
      <c r="CD61" s="476">
        <v>0</v>
      </c>
      <c r="CE61" s="476">
        <v>0</v>
      </c>
      <c r="CF61" s="476">
        <v>0</v>
      </c>
      <c r="CG61" s="476">
        <v>0</v>
      </c>
      <c r="CH61" s="476">
        <v>144832</v>
      </c>
      <c r="CI61" s="476">
        <v>0</v>
      </c>
      <c r="CJ61" s="476">
        <v>4</v>
      </c>
      <c r="CK61" s="476">
        <v>0</v>
      </c>
      <c r="CL61" s="476">
        <v>0</v>
      </c>
      <c r="CM61" s="476">
        <v>0</v>
      </c>
      <c r="CN61" s="476">
        <v>0</v>
      </c>
      <c r="CO61" s="476">
        <v>1</v>
      </c>
      <c r="CP61" s="476">
        <v>0</v>
      </c>
      <c r="CQ61" s="476">
        <v>0</v>
      </c>
      <c r="CR61" s="476">
        <v>857.88300000000004</v>
      </c>
      <c r="CS61" s="476">
        <v>0</v>
      </c>
      <c r="CT61" s="476">
        <v>0</v>
      </c>
      <c r="CU61" s="476">
        <v>0</v>
      </c>
      <c r="CV61" s="476">
        <v>0</v>
      </c>
      <c r="CW61" s="476">
        <v>0</v>
      </c>
      <c r="CX61" s="476">
        <v>0</v>
      </c>
      <c r="CY61" s="476">
        <v>0</v>
      </c>
      <c r="CZ61" s="476">
        <v>0</v>
      </c>
      <c r="DA61" s="476">
        <v>0</v>
      </c>
      <c r="DB61" s="476">
        <v>5249254</v>
      </c>
      <c r="DC61" s="476">
        <v>0</v>
      </c>
      <c r="DD61" s="476">
        <v>0</v>
      </c>
      <c r="DE61" s="476">
        <v>1421234</v>
      </c>
      <c r="DF61" s="476">
        <v>1421234</v>
      </c>
      <c r="DG61" s="476">
        <v>230.72500000000002</v>
      </c>
      <c r="DH61" s="476">
        <v>0</v>
      </c>
      <c r="DI61" s="476">
        <v>0</v>
      </c>
      <c r="DJ61" s="476">
        <v>0</v>
      </c>
      <c r="DK61" s="476">
        <v>1843</v>
      </c>
      <c r="DL61" s="476">
        <v>0</v>
      </c>
      <c r="DM61" s="476">
        <v>703789</v>
      </c>
      <c r="DN61" s="476">
        <v>2420</v>
      </c>
      <c r="DO61" s="476">
        <v>0</v>
      </c>
      <c r="DP61" s="476">
        <v>0</v>
      </c>
      <c r="DQ61" s="476">
        <v>0</v>
      </c>
      <c r="DR61" s="476">
        <v>0</v>
      </c>
      <c r="DS61" s="476">
        <v>0</v>
      </c>
      <c r="DT61" s="476">
        <v>0</v>
      </c>
      <c r="DU61" s="476">
        <v>0</v>
      </c>
      <c r="DV61" s="476">
        <v>0</v>
      </c>
      <c r="DW61" s="476">
        <v>0</v>
      </c>
      <c r="DX61" s="476">
        <v>0</v>
      </c>
      <c r="DY61" s="476">
        <v>0</v>
      </c>
      <c r="DZ61" s="476">
        <v>0</v>
      </c>
      <c r="EA61" s="476">
        <v>0</v>
      </c>
      <c r="EB61" s="476">
        <v>0</v>
      </c>
      <c r="EC61" s="476">
        <v>79.38</v>
      </c>
      <c r="ED61" s="476">
        <v>562315</v>
      </c>
      <c r="EE61" s="476">
        <v>0</v>
      </c>
      <c r="EF61" s="476">
        <v>0</v>
      </c>
      <c r="EG61" s="476">
        <v>0</v>
      </c>
      <c r="EH61" s="476">
        <v>143894</v>
      </c>
      <c r="EI61" s="476">
        <v>0</v>
      </c>
      <c r="EJ61" s="476">
        <v>0</v>
      </c>
      <c r="EK61" s="476">
        <v>2.6</v>
      </c>
      <c r="EL61" s="476">
        <v>0</v>
      </c>
      <c r="EM61" s="476">
        <v>0</v>
      </c>
      <c r="EN61" s="476">
        <v>3.1120000000000001</v>
      </c>
      <c r="EO61" s="476">
        <v>0</v>
      </c>
      <c r="EP61" s="476">
        <v>0</v>
      </c>
      <c r="EQ61" s="476">
        <v>5.7120000000000006</v>
      </c>
      <c r="ER61" s="476">
        <v>0</v>
      </c>
      <c r="ES61" s="476">
        <v>23.36</v>
      </c>
      <c r="ET61" s="476">
        <v>0</v>
      </c>
      <c r="EU61" s="476">
        <v>0</v>
      </c>
      <c r="EV61" s="476">
        <v>0</v>
      </c>
      <c r="EW61" s="476">
        <v>0</v>
      </c>
      <c r="EX61" s="476">
        <v>0</v>
      </c>
      <c r="EY61" s="476">
        <v>0</v>
      </c>
      <c r="EZ61" s="476">
        <v>8711870</v>
      </c>
      <c r="FA61" s="476">
        <v>0</v>
      </c>
      <c r="FB61" s="476">
        <v>9065326</v>
      </c>
      <c r="FC61" s="476">
        <v>0</v>
      </c>
      <c r="FD61" s="476">
        <v>0</v>
      </c>
      <c r="FE61" s="476">
        <v>1170819</v>
      </c>
      <c r="FF61" s="476">
        <v>195535</v>
      </c>
      <c r="FG61" s="476">
        <v>6.3017999999999991E-2</v>
      </c>
      <c r="FH61" s="476">
        <v>2.6953999999999999E-2</v>
      </c>
      <c r="FI61" s="476">
        <v>0</v>
      </c>
      <c r="FJ61" s="476">
        <v>0</v>
      </c>
      <c r="FK61" s="476">
        <v>1472.08</v>
      </c>
      <c r="FL61" s="476">
        <v>10576512</v>
      </c>
      <c r="FM61" s="476">
        <v>0</v>
      </c>
      <c r="FN61" s="476">
        <v>0</v>
      </c>
      <c r="FO61" s="476">
        <v>0</v>
      </c>
      <c r="FP61" s="476">
        <v>0</v>
      </c>
      <c r="FQ61" s="476">
        <v>0</v>
      </c>
      <c r="FR61" s="476">
        <v>0</v>
      </c>
      <c r="FS61" s="476">
        <v>0</v>
      </c>
      <c r="FT61" s="476">
        <v>0</v>
      </c>
      <c r="FU61" s="476">
        <v>0</v>
      </c>
      <c r="FV61" s="476">
        <v>0</v>
      </c>
      <c r="FW61" s="476">
        <v>0</v>
      </c>
      <c r="FX61" s="476">
        <v>0</v>
      </c>
      <c r="FY61" s="476">
        <v>0</v>
      </c>
      <c r="FZ61" s="476">
        <v>0</v>
      </c>
      <c r="GA61" s="476">
        <v>0</v>
      </c>
      <c r="GB61" s="476">
        <v>0</v>
      </c>
      <c r="GC61" s="476">
        <v>0</v>
      </c>
      <c r="GD61" s="476">
        <v>0</v>
      </c>
      <c r="GE61" s="476">
        <v>0</v>
      </c>
      <c r="GF61" s="476">
        <v>0</v>
      </c>
      <c r="GG61" s="476">
        <v>0</v>
      </c>
      <c r="GH61" s="476">
        <v>0</v>
      </c>
      <c r="GI61" s="476">
        <v>0</v>
      </c>
      <c r="GJ61" s="476">
        <v>0</v>
      </c>
      <c r="GK61" s="476">
        <v>0</v>
      </c>
      <c r="GL61" s="476">
        <v>0</v>
      </c>
      <c r="GM61" s="476">
        <v>0</v>
      </c>
      <c r="GN61" s="476">
        <v>0</v>
      </c>
      <c r="GO61" s="476">
        <v>0</v>
      </c>
      <c r="GP61" s="476">
        <v>0</v>
      </c>
      <c r="GQ61" s="476">
        <v>10075742</v>
      </c>
      <c r="GR61" s="476">
        <v>0</v>
      </c>
      <c r="GS61" s="476">
        <v>0</v>
      </c>
      <c r="GT61" s="476">
        <v>0</v>
      </c>
      <c r="GU61" s="476">
        <v>0</v>
      </c>
      <c r="GV61" s="476">
        <v>0</v>
      </c>
      <c r="GW61" s="476">
        <v>0</v>
      </c>
      <c r="GX61" s="476">
        <v>0</v>
      </c>
      <c r="GY61" s="476">
        <v>0</v>
      </c>
      <c r="GZ61" s="476">
        <v>0</v>
      </c>
      <c r="HA61" s="476">
        <v>0</v>
      </c>
      <c r="HB61" s="476">
        <v>323396213</v>
      </c>
      <c r="HC61" s="476">
        <v>4.2206E-2</v>
      </c>
      <c r="HD61" s="476">
        <v>144832</v>
      </c>
      <c r="HE61" s="476">
        <v>0</v>
      </c>
      <c r="HF61" s="476">
        <v>939092</v>
      </c>
      <c r="HG61" s="476">
        <v>1232</v>
      </c>
      <c r="HH61" s="476">
        <v>322345</v>
      </c>
      <c r="HI61" s="476">
        <v>0</v>
      </c>
      <c r="HJ61" s="476">
        <v>8579</v>
      </c>
      <c r="HK61" s="476">
        <v>0</v>
      </c>
      <c r="HL61" s="476">
        <v>0</v>
      </c>
      <c r="HM61" s="476">
        <v>0</v>
      </c>
      <c r="HN61" s="476">
        <v>54156</v>
      </c>
      <c r="HO61" s="476">
        <v>0</v>
      </c>
      <c r="HP61" s="476">
        <v>0</v>
      </c>
      <c r="HQ61" s="476">
        <v>0</v>
      </c>
      <c r="HR61" s="476">
        <v>0</v>
      </c>
      <c r="HS61" s="476">
        <v>8709388</v>
      </c>
      <c r="HT61" s="476">
        <v>195535</v>
      </c>
      <c r="HU61" s="476">
        <v>0</v>
      </c>
      <c r="HV61" s="476">
        <v>0</v>
      </c>
      <c r="HW61" s="476">
        <v>0</v>
      </c>
      <c r="HX61" s="476">
        <v>14</v>
      </c>
      <c r="HY61" s="476">
        <v>95</v>
      </c>
      <c r="HZ61" s="476">
        <v>177</v>
      </c>
      <c r="IA61" s="476">
        <v>317</v>
      </c>
      <c r="IB61" s="476">
        <v>282</v>
      </c>
      <c r="IC61" s="476">
        <v>885</v>
      </c>
      <c r="ID61" s="476">
        <v>0</v>
      </c>
      <c r="IE61" s="476">
        <v>0</v>
      </c>
      <c r="IF61" s="476">
        <v>0</v>
      </c>
      <c r="IG61" s="476">
        <v>2</v>
      </c>
      <c r="IH61" s="476">
        <v>523.29999999999995</v>
      </c>
      <c r="II61" s="476">
        <v>0</v>
      </c>
      <c r="IJ61" s="476">
        <v>577.78</v>
      </c>
      <c r="IK61" s="476">
        <v>0</v>
      </c>
      <c r="IL61" s="476">
        <v>0</v>
      </c>
      <c r="IM61" s="476">
        <v>0</v>
      </c>
      <c r="IN61" s="476">
        <v>0</v>
      </c>
      <c r="IO61" s="476">
        <v>0</v>
      </c>
      <c r="IP61" s="476">
        <v>0</v>
      </c>
      <c r="IQ61" s="476">
        <v>577.78</v>
      </c>
      <c r="IR61" s="476">
        <v>355904</v>
      </c>
      <c r="IS61" s="476">
        <v>0</v>
      </c>
      <c r="IT61" s="476">
        <v>0</v>
      </c>
      <c r="IU61" s="476">
        <v>0</v>
      </c>
      <c r="IV61" s="476">
        <v>0</v>
      </c>
      <c r="IW61" s="476">
        <v>6160</v>
      </c>
      <c r="IX61" s="476">
        <v>0</v>
      </c>
      <c r="IY61" s="476">
        <v>0</v>
      </c>
      <c r="IZ61" s="476">
        <v>0</v>
      </c>
      <c r="JA61" s="476">
        <v>0</v>
      </c>
      <c r="JB61" s="476">
        <v>0</v>
      </c>
      <c r="JC61" s="476">
        <v>0</v>
      </c>
      <c r="JD61" s="476">
        <v>2</v>
      </c>
      <c r="JE61" s="476">
        <v>27078</v>
      </c>
      <c r="JF61" s="476">
        <v>4</v>
      </c>
      <c r="JG61" s="476">
        <v>27078</v>
      </c>
      <c r="JH61" s="476">
        <v>0</v>
      </c>
      <c r="JI61" s="476">
        <v>0</v>
      </c>
      <c r="JJ61" s="476">
        <v>0</v>
      </c>
      <c r="JK61" s="476">
        <v>0</v>
      </c>
      <c r="JL61" s="476">
        <v>0</v>
      </c>
      <c r="JM61" s="476">
        <v>0</v>
      </c>
      <c r="JN61" s="476">
        <v>32469</v>
      </c>
      <c r="JO61" s="476">
        <v>0</v>
      </c>
      <c r="JP61" s="476">
        <v>0</v>
      </c>
      <c r="JQ61" s="476">
        <v>0</v>
      </c>
      <c r="JR61" s="476">
        <v>0</v>
      </c>
      <c r="JS61" s="476">
        <v>0</v>
      </c>
      <c r="JT61" s="476">
        <v>0</v>
      </c>
      <c r="JU61" s="476">
        <v>9917</v>
      </c>
      <c r="JV61" s="476">
        <v>0</v>
      </c>
      <c r="JW61" s="476">
        <v>0</v>
      </c>
      <c r="JX61" s="476">
        <v>0</v>
      </c>
      <c r="JY61" s="476">
        <v>0</v>
      </c>
      <c r="JZ61" s="476">
        <v>0</v>
      </c>
      <c r="KA61" s="476">
        <v>0</v>
      </c>
      <c r="KB61" s="476">
        <v>0</v>
      </c>
      <c r="KC61" s="476">
        <v>0</v>
      </c>
      <c r="KD61" s="476">
        <v>9917</v>
      </c>
      <c r="KE61" s="476">
        <v>7262</v>
      </c>
      <c r="KF61" s="476">
        <v>0</v>
      </c>
      <c r="KG61" s="476">
        <v>0</v>
      </c>
      <c r="KH61" s="476">
        <v>10075742</v>
      </c>
      <c r="KI61" s="476">
        <v>0</v>
      </c>
      <c r="KJ61" s="476">
        <v>1</v>
      </c>
      <c r="KK61" s="476">
        <v>1</v>
      </c>
      <c r="KL61" s="476">
        <v>616</v>
      </c>
      <c r="KM61" s="476">
        <v>616</v>
      </c>
      <c r="KN61" s="476">
        <v>0</v>
      </c>
    </row>
    <row r="62" spans="1:300" x14ac:dyDescent="0.25">
      <c r="A62" s="476">
        <v>40976</v>
      </c>
      <c r="B62" s="476">
        <v>57840</v>
      </c>
      <c r="C62" s="476">
        <v>9</v>
      </c>
      <c r="D62" s="476">
        <v>2024</v>
      </c>
      <c r="E62" s="476">
        <v>6160</v>
      </c>
      <c r="F62" s="476">
        <v>0</v>
      </c>
      <c r="G62" s="476">
        <v>256.55200000000002</v>
      </c>
      <c r="H62" s="476">
        <v>186.119</v>
      </c>
      <c r="I62" s="476">
        <v>186.119</v>
      </c>
      <c r="J62" s="476">
        <v>256.55200000000002</v>
      </c>
      <c r="K62" s="476">
        <v>0</v>
      </c>
      <c r="L62" s="476">
        <v>6160</v>
      </c>
      <c r="M62" s="476">
        <v>0</v>
      </c>
      <c r="N62" s="476">
        <v>0</v>
      </c>
      <c r="O62" s="476">
        <v>0</v>
      </c>
      <c r="P62" s="476">
        <v>256.55200000000002</v>
      </c>
      <c r="Q62" s="476">
        <v>0</v>
      </c>
      <c r="R62" s="476">
        <v>106439</v>
      </c>
      <c r="S62" s="476">
        <v>414.88400000000001</v>
      </c>
      <c r="T62" s="476">
        <v>0</v>
      </c>
      <c r="U62" s="476">
        <v>0</v>
      </c>
      <c r="V62" s="476">
        <v>15.417000000000002</v>
      </c>
      <c r="W62" s="476">
        <v>9497</v>
      </c>
      <c r="X62" s="476">
        <v>9497</v>
      </c>
      <c r="Y62" s="476">
        <v>0</v>
      </c>
      <c r="Z62" s="476">
        <v>0</v>
      </c>
      <c r="AA62" s="476">
        <v>0</v>
      </c>
      <c r="AB62" s="476">
        <v>0</v>
      </c>
      <c r="AC62" s="476">
        <v>0</v>
      </c>
      <c r="AD62" s="476" t="s">
        <v>314</v>
      </c>
      <c r="AE62" s="476">
        <v>0</v>
      </c>
      <c r="AF62" s="476">
        <v>0</v>
      </c>
      <c r="AG62" s="476">
        <v>0</v>
      </c>
      <c r="AH62" s="476">
        <v>0</v>
      </c>
      <c r="AI62" s="476">
        <v>0</v>
      </c>
      <c r="AJ62" s="476">
        <v>6160</v>
      </c>
      <c r="AK62" s="476" t="s">
        <v>651</v>
      </c>
      <c r="AL62" s="476" t="s">
        <v>328</v>
      </c>
      <c r="AM62" s="476">
        <v>0</v>
      </c>
      <c r="AN62" s="476">
        <v>0</v>
      </c>
      <c r="AO62" s="476">
        <v>0</v>
      </c>
      <c r="AP62" s="476">
        <v>0</v>
      </c>
      <c r="AQ62" s="476">
        <v>0</v>
      </c>
      <c r="AR62" s="476">
        <v>0</v>
      </c>
      <c r="AS62" s="476">
        <v>0</v>
      </c>
      <c r="AT62" s="476">
        <v>0</v>
      </c>
      <c r="AU62" s="476">
        <v>0</v>
      </c>
      <c r="AV62" s="476">
        <v>0</v>
      </c>
      <c r="AW62" s="476">
        <v>3057879</v>
      </c>
      <c r="AX62" s="476">
        <v>3014591</v>
      </c>
      <c r="AY62" s="476">
        <v>0</v>
      </c>
      <c r="AZ62" s="476">
        <v>106439</v>
      </c>
      <c r="BA62" s="476">
        <v>0</v>
      </c>
      <c r="BB62" s="476">
        <v>0</v>
      </c>
      <c r="BC62" s="476">
        <v>0</v>
      </c>
      <c r="BD62" s="476">
        <v>0</v>
      </c>
      <c r="BE62" s="476">
        <v>0</v>
      </c>
      <c r="BF62" s="476">
        <v>2709095</v>
      </c>
      <c r="BG62" s="476">
        <v>0</v>
      </c>
      <c r="BH62" s="476">
        <v>0</v>
      </c>
      <c r="BI62" s="476">
        <v>0</v>
      </c>
      <c r="BJ62" s="476">
        <v>12</v>
      </c>
      <c r="BK62" s="476">
        <v>0</v>
      </c>
      <c r="BL62" s="476">
        <v>0</v>
      </c>
      <c r="BM62" s="476">
        <v>0</v>
      </c>
      <c r="BN62" s="476">
        <v>0</v>
      </c>
      <c r="BO62" s="476">
        <v>0</v>
      </c>
      <c r="BP62" s="476">
        <v>0</v>
      </c>
      <c r="BQ62" s="476">
        <v>741</v>
      </c>
      <c r="BR62" s="476">
        <v>0</v>
      </c>
      <c r="BS62" s="476">
        <v>0</v>
      </c>
      <c r="BT62" s="476">
        <v>0</v>
      </c>
      <c r="BU62" s="476">
        <v>0</v>
      </c>
      <c r="BV62" s="476">
        <v>0</v>
      </c>
      <c r="BW62" s="476">
        <v>0</v>
      </c>
      <c r="BX62" s="476">
        <v>0</v>
      </c>
      <c r="BY62" s="476">
        <v>0</v>
      </c>
      <c r="BZ62" s="476">
        <v>0</v>
      </c>
      <c r="CA62" s="476">
        <v>0</v>
      </c>
      <c r="CB62" s="476">
        <v>0</v>
      </c>
      <c r="CC62" s="476">
        <v>0</v>
      </c>
      <c r="CD62" s="476">
        <v>0</v>
      </c>
      <c r="CE62" s="476">
        <v>0</v>
      </c>
      <c r="CF62" s="476">
        <v>0</v>
      </c>
      <c r="CG62" s="476">
        <v>0</v>
      </c>
      <c r="CH62" s="476">
        <v>43312</v>
      </c>
      <c r="CI62" s="476">
        <v>0</v>
      </c>
      <c r="CJ62" s="476">
        <v>4</v>
      </c>
      <c r="CK62" s="476">
        <v>0</v>
      </c>
      <c r="CL62" s="476">
        <v>0</v>
      </c>
      <c r="CM62" s="476">
        <v>0</v>
      </c>
      <c r="CN62" s="476">
        <v>0</v>
      </c>
      <c r="CO62" s="476">
        <v>1</v>
      </c>
      <c r="CP62" s="476">
        <v>0</v>
      </c>
      <c r="CQ62" s="476">
        <v>0</v>
      </c>
      <c r="CR62" s="476">
        <v>256.55200000000002</v>
      </c>
      <c r="CS62" s="476">
        <v>0</v>
      </c>
      <c r="CT62" s="476">
        <v>0</v>
      </c>
      <c r="CU62" s="476">
        <v>0</v>
      </c>
      <c r="CV62" s="476">
        <v>0</v>
      </c>
      <c r="CW62" s="476">
        <v>0</v>
      </c>
      <c r="CX62" s="476">
        <v>0</v>
      </c>
      <c r="CY62" s="476">
        <v>0</v>
      </c>
      <c r="CZ62" s="476">
        <v>0</v>
      </c>
      <c r="DA62" s="476">
        <v>0</v>
      </c>
      <c r="DB62" s="476">
        <v>1146467</v>
      </c>
      <c r="DC62" s="476">
        <v>0</v>
      </c>
      <c r="DD62" s="476">
        <v>0</v>
      </c>
      <c r="DE62" s="476">
        <v>81156</v>
      </c>
      <c r="DF62" s="476">
        <v>81156</v>
      </c>
      <c r="DG62" s="476">
        <v>13.175000000000001</v>
      </c>
      <c r="DH62" s="476">
        <v>0</v>
      </c>
      <c r="DI62" s="476">
        <v>0</v>
      </c>
      <c r="DJ62" s="476">
        <v>0</v>
      </c>
      <c r="DK62" s="476">
        <v>3484</v>
      </c>
      <c r="DL62" s="476">
        <v>0</v>
      </c>
      <c r="DM62" s="476">
        <v>7060</v>
      </c>
      <c r="DN62" s="476">
        <v>24</v>
      </c>
      <c r="DO62" s="476">
        <v>0</v>
      </c>
      <c r="DP62" s="476">
        <v>0</v>
      </c>
      <c r="DQ62" s="476">
        <v>0</v>
      </c>
      <c r="DR62" s="476">
        <v>0</v>
      </c>
      <c r="DS62" s="476">
        <v>0</v>
      </c>
      <c r="DT62" s="476">
        <v>0</v>
      </c>
      <c r="DU62" s="476">
        <v>0</v>
      </c>
      <c r="DV62" s="476">
        <v>0</v>
      </c>
      <c r="DW62" s="476">
        <v>0</v>
      </c>
      <c r="DX62" s="476">
        <v>0</v>
      </c>
      <c r="DY62" s="476">
        <v>0</v>
      </c>
      <c r="DZ62" s="476">
        <v>0</v>
      </c>
      <c r="EA62" s="476">
        <v>0</v>
      </c>
      <c r="EB62" s="476">
        <v>0</v>
      </c>
      <c r="EC62" s="476">
        <v>1</v>
      </c>
      <c r="ED62" s="476">
        <v>7084</v>
      </c>
      <c r="EE62" s="476">
        <v>0</v>
      </c>
      <c r="EF62" s="476">
        <v>0</v>
      </c>
      <c r="EG62" s="476">
        <v>0</v>
      </c>
      <c r="EH62" s="476">
        <v>0</v>
      </c>
      <c r="EI62" s="476">
        <v>0</v>
      </c>
      <c r="EJ62" s="476">
        <v>0</v>
      </c>
      <c r="EK62" s="476">
        <v>0</v>
      </c>
      <c r="EL62" s="476">
        <v>0</v>
      </c>
      <c r="EM62" s="476">
        <v>0</v>
      </c>
      <c r="EN62" s="476">
        <v>0</v>
      </c>
      <c r="EO62" s="476">
        <v>0</v>
      </c>
      <c r="EP62" s="476">
        <v>0</v>
      </c>
      <c r="EQ62" s="476">
        <v>0</v>
      </c>
      <c r="ER62" s="476">
        <v>0</v>
      </c>
      <c r="ES62" s="476">
        <v>0</v>
      </c>
      <c r="ET62" s="476">
        <v>0</v>
      </c>
      <c r="EU62" s="476">
        <v>0</v>
      </c>
      <c r="EV62" s="476">
        <v>0</v>
      </c>
      <c r="EW62" s="476">
        <v>0</v>
      </c>
      <c r="EX62" s="476">
        <v>0</v>
      </c>
      <c r="EY62" s="476">
        <v>0</v>
      </c>
      <c r="EZ62" s="476">
        <v>2606380</v>
      </c>
      <c r="FA62" s="476">
        <v>0</v>
      </c>
      <c r="FB62" s="476">
        <v>2712795</v>
      </c>
      <c r="FC62" s="476">
        <v>0</v>
      </c>
      <c r="FD62" s="476">
        <v>0</v>
      </c>
      <c r="FE62" s="476">
        <v>349793</v>
      </c>
      <c r="FF62" s="476">
        <v>58418</v>
      </c>
      <c r="FG62" s="476">
        <v>6.3017999999999991E-2</v>
      </c>
      <c r="FH62" s="476">
        <v>2.6953999999999999E-2</v>
      </c>
      <c r="FI62" s="476">
        <v>0</v>
      </c>
      <c r="FJ62" s="476">
        <v>0</v>
      </c>
      <c r="FK62" s="476">
        <v>439.798</v>
      </c>
      <c r="FL62" s="476">
        <v>3164318</v>
      </c>
      <c r="FM62" s="476">
        <v>0</v>
      </c>
      <c r="FN62" s="476">
        <v>0</v>
      </c>
      <c r="FO62" s="476">
        <v>0</v>
      </c>
      <c r="FP62" s="476">
        <v>0</v>
      </c>
      <c r="FQ62" s="476">
        <v>0</v>
      </c>
      <c r="FR62" s="476">
        <v>0</v>
      </c>
      <c r="FS62" s="476">
        <v>0</v>
      </c>
      <c r="FT62" s="476">
        <v>0</v>
      </c>
      <c r="FU62" s="476">
        <v>0</v>
      </c>
      <c r="FV62" s="476">
        <v>0</v>
      </c>
      <c r="FW62" s="476">
        <v>0</v>
      </c>
      <c r="FX62" s="476">
        <v>0</v>
      </c>
      <c r="FY62" s="476">
        <v>0</v>
      </c>
      <c r="FZ62" s="476">
        <v>0</v>
      </c>
      <c r="GA62" s="476">
        <v>0</v>
      </c>
      <c r="GB62" s="476">
        <v>730222</v>
      </c>
      <c r="GC62" s="476">
        <v>730222</v>
      </c>
      <c r="GD62" s="476">
        <v>70.433000000000007</v>
      </c>
      <c r="GE62" s="476">
        <v>0</v>
      </c>
      <c r="GF62" s="476">
        <v>0</v>
      </c>
      <c r="GG62" s="476">
        <v>0</v>
      </c>
      <c r="GH62" s="476">
        <v>0</v>
      </c>
      <c r="GI62" s="476">
        <v>0</v>
      </c>
      <c r="GJ62" s="476">
        <v>0</v>
      </c>
      <c r="GK62" s="476">
        <v>0</v>
      </c>
      <c r="GL62" s="476">
        <v>0</v>
      </c>
      <c r="GM62" s="476">
        <v>0</v>
      </c>
      <c r="GN62" s="476">
        <v>0</v>
      </c>
      <c r="GO62" s="476">
        <v>0</v>
      </c>
      <c r="GP62" s="476">
        <v>0</v>
      </c>
      <c r="GQ62" s="476">
        <v>3014567</v>
      </c>
      <c r="GR62" s="476">
        <v>0</v>
      </c>
      <c r="GS62" s="476">
        <v>0</v>
      </c>
      <c r="GT62" s="476">
        <v>0</v>
      </c>
      <c r="GU62" s="476">
        <v>0</v>
      </c>
      <c r="GV62" s="476">
        <v>0</v>
      </c>
      <c r="GW62" s="476">
        <v>0</v>
      </c>
      <c r="GX62" s="476">
        <v>0</v>
      </c>
      <c r="GY62" s="476">
        <v>0</v>
      </c>
      <c r="GZ62" s="476">
        <v>0</v>
      </c>
      <c r="HA62" s="476">
        <v>0</v>
      </c>
      <c r="HB62" s="476">
        <v>323396213</v>
      </c>
      <c r="HC62" s="476">
        <v>4.2206E-2</v>
      </c>
      <c r="HD62" s="476">
        <v>43312</v>
      </c>
      <c r="HE62" s="476">
        <v>0</v>
      </c>
      <c r="HF62" s="476">
        <v>205103</v>
      </c>
      <c r="HG62" s="476">
        <v>0</v>
      </c>
      <c r="HH62" s="476">
        <v>0</v>
      </c>
      <c r="HI62" s="476">
        <v>0</v>
      </c>
      <c r="HJ62" s="476">
        <v>2566</v>
      </c>
      <c r="HK62" s="476">
        <v>0</v>
      </c>
      <c r="HL62" s="476">
        <v>3724</v>
      </c>
      <c r="HM62" s="476">
        <v>527000</v>
      </c>
      <c r="HN62" s="476">
        <v>0</v>
      </c>
      <c r="HO62" s="476">
        <v>0</v>
      </c>
      <c r="HP62" s="476">
        <v>0</v>
      </c>
      <c r="HQ62" s="476">
        <v>0</v>
      </c>
      <c r="HR62" s="476">
        <v>0</v>
      </c>
      <c r="HS62" s="476">
        <v>2606356</v>
      </c>
      <c r="HT62" s="476">
        <v>58418</v>
      </c>
      <c r="HU62" s="476">
        <v>0</v>
      </c>
      <c r="HV62" s="476">
        <v>0</v>
      </c>
      <c r="HW62" s="476">
        <v>0</v>
      </c>
      <c r="HX62" s="476">
        <v>24</v>
      </c>
      <c r="HY62" s="476">
        <v>11</v>
      </c>
      <c r="HZ62" s="476">
        <v>11</v>
      </c>
      <c r="IA62" s="476">
        <v>5</v>
      </c>
      <c r="IB62" s="476">
        <v>4</v>
      </c>
      <c r="IC62" s="476">
        <v>55</v>
      </c>
      <c r="ID62" s="476">
        <v>0</v>
      </c>
      <c r="IE62" s="476">
        <v>0</v>
      </c>
      <c r="IF62" s="476">
        <v>0</v>
      </c>
      <c r="IG62" s="476">
        <v>0</v>
      </c>
      <c r="IH62" s="476">
        <v>0</v>
      </c>
      <c r="II62" s="476">
        <v>0</v>
      </c>
      <c r="IJ62" s="476">
        <v>15.417000000000002</v>
      </c>
      <c r="IK62" s="476">
        <v>0</v>
      </c>
      <c r="IL62" s="476">
        <v>28</v>
      </c>
      <c r="IM62" s="476">
        <v>129</v>
      </c>
      <c r="IN62" s="476">
        <v>0</v>
      </c>
      <c r="IO62" s="476">
        <v>157</v>
      </c>
      <c r="IP62" s="476">
        <v>0</v>
      </c>
      <c r="IQ62" s="476">
        <v>15.417000000000002</v>
      </c>
      <c r="IR62" s="476">
        <v>9497</v>
      </c>
      <c r="IS62" s="476">
        <v>0</v>
      </c>
      <c r="IT62" s="476">
        <v>140000</v>
      </c>
      <c r="IU62" s="476">
        <v>387000</v>
      </c>
      <c r="IV62" s="476">
        <v>0</v>
      </c>
      <c r="IW62" s="476">
        <v>6160</v>
      </c>
      <c r="IX62" s="476">
        <v>0</v>
      </c>
      <c r="IY62" s="476">
        <v>0</v>
      </c>
      <c r="IZ62" s="476">
        <v>0</v>
      </c>
      <c r="JA62" s="476">
        <v>0</v>
      </c>
      <c r="JB62" s="476">
        <v>0</v>
      </c>
      <c r="JC62" s="476">
        <v>0</v>
      </c>
      <c r="JD62" s="476">
        <v>0</v>
      </c>
      <c r="JE62" s="476">
        <v>0</v>
      </c>
      <c r="JF62" s="476">
        <v>0</v>
      </c>
      <c r="JG62" s="476">
        <v>0</v>
      </c>
      <c r="JH62" s="476">
        <v>0</v>
      </c>
      <c r="JI62" s="476">
        <v>0</v>
      </c>
      <c r="JJ62" s="476">
        <v>0</v>
      </c>
      <c r="JK62" s="476">
        <v>0</v>
      </c>
      <c r="JL62" s="476">
        <v>0</v>
      </c>
      <c r="JM62" s="476">
        <v>0</v>
      </c>
      <c r="JN62" s="476">
        <v>32469</v>
      </c>
      <c r="JO62" s="476">
        <v>1.905</v>
      </c>
      <c r="JP62" s="476">
        <v>11.989000000000001</v>
      </c>
      <c r="JQ62" s="476">
        <v>56.539000000000001</v>
      </c>
      <c r="JR62" s="476">
        <v>15218</v>
      </c>
      <c r="JS62" s="476">
        <v>111442</v>
      </c>
      <c r="JT62" s="476">
        <v>603562</v>
      </c>
      <c r="JU62" s="476">
        <v>0</v>
      </c>
      <c r="JV62" s="476">
        <v>0</v>
      </c>
      <c r="JW62" s="476">
        <v>0</v>
      </c>
      <c r="JX62" s="476">
        <v>0</v>
      </c>
      <c r="JY62" s="476">
        <v>0</v>
      </c>
      <c r="JZ62" s="476">
        <v>0</v>
      </c>
      <c r="KA62" s="476">
        <v>0</v>
      </c>
      <c r="KB62" s="476">
        <v>0</v>
      </c>
      <c r="KC62" s="476">
        <v>0</v>
      </c>
      <c r="KD62" s="476">
        <v>0</v>
      </c>
      <c r="KE62" s="476">
        <v>7262</v>
      </c>
      <c r="KF62" s="476">
        <v>0</v>
      </c>
      <c r="KG62" s="476">
        <v>0</v>
      </c>
      <c r="KH62" s="476">
        <v>3014567</v>
      </c>
      <c r="KI62" s="476">
        <v>0</v>
      </c>
      <c r="KJ62" s="476">
        <v>0</v>
      </c>
      <c r="KK62" s="476">
        <v>0</v>
      </c>
      <c r="KL62" s="476">
        <v>0</v>
      </c>
      <c r="KM62" s="476">
        <v>0</v>
      </c>
      <c r="KN62" s="476">
        <v>0</v>
      </c>
    </row>
    <row r="63" spans="1:300" x14ac:dyDescent="0.25">
      <c r="A63" s="476">
        <v>40976</v>
      </c>
      <c r="B63" s="476">
        <v>57841</v>
      </c>
      <c r="C63" s="476">
        <v>9</v>
      </c>
      <c r="D63" s="476">
        <v>2024</v>
      </c>
      <c r="E63" s="476">
        <v>6160</v>
      </c>
      <c r="F63" s="476">
        <v>0</v>
      </c>
      <c r="G63" s="476">
        <v>1031.817</v>
      </c>
      <c r="H63" s="476">
        <v>1016.894</v>
      </c>
      <c r="I63" s="476">
        <v>1016.894</v>
      </c>
      <c r="J63" s="476">
        <v>1031.817</v>
      </c>
      <c r="K63" s="476">
        <v>0</v>
      </c>
      <c r="L63" s="476">
        <v>6160</v>
      </c>
      <c r="M63" s="476">
        <v>0</v>
      </c>
      <c r="N63" s="476">
        <v>0</v>
      </c>
      <c r="O63" s="476">
        <v>0</v>
      </c>
      <c r="P63" s="476">
        <v>1031.817</v>
      </c>
      <c r="Q63" s="476">
        <v>0</v>
      </c>
      <c r="R63" s="476">
        <v>428084</v>
      </c>
      <c r="S63" s="476">
        <v>414.88400000000001</v>
      </c>
      <c r="T63" s="476">
        <v>0</v>
      </c>
      <c r="U63" s="476">
        <v>0</v>
      </c>
      <c r="V63" s="476">
        <v>569.5</v>
      </c>
      <c r="W63" s="476">
        <v>352077</v>
      </c>
      <c r="X63" s="476">
        <v>352077</v>
      </c>
      <c r="Y63" s="476">
        <v>0</v>
      </c>
      <c r="Z63" s="476">
        <v>0</v>
      </c>
      <c r="AA63" s="476">
        <v>0</v>
      </c>
      <c r="AB63" s="476">
        <v>0</v>
      </c>
      <c r="AC63" s="476">
        <v>0</v>
      </c>
      <c r="AD63" s="476" t="s">
        <v>314</v>
      </c>
      <c r="AE63" s="476">
        <v>0</v>
      </c>
      <c r="AF63" s="476">
        <v>0</v>
      </c>
      <c r="AG63" s="476">
        <v>0</v>
      </c>
      <c r="AH63" s="476">
        <v>0</v>
      </c>
      <c r="AI63" s="476">
        <v>0</v>
      </c>
      <c r="AJ63" s="476">
        <v>6160</v>
      </c>
      <c r="AK63" s="476" t="s">
        <v>651</v>
      </c>
      <c r="AL63" s="476" t="s">
        <v>329</v>
      </c>
      <c r="AM63" s="476">
        <v>0</v>
      </c>
      <c r="AN63" s="476">
        <v>0</v>
      </c>
      <c r="AO63" s="476">
        <v>0</v>
      </c>
      <c r="AP63" s="476">
        <v>0</v>
      </c>
      <c r="AQ63" s="476">
        <v>0</v>
      </c>
      <c r="AR63" s="476">
        <v>0</v>
      </c>
      <c r="AS63" s="476">
        <v>0</v>
      </c>
      <c r="AT63" s="476">
        <v>0</v>
      </c>
      <c r="AU63" s="476">
        <v>0</v>
      </c>
      <c r="AV63" s="476">
        <v>0</v>
      </c>
      <c r="AW63" s="476">
        <v>12164592</v>
      </c>
      <c r="AX63" s="476">
        <v>11992747</v>
      </c>
      <c r="AY63" s="476">
        <v>0</v>
      </c>
      <c r="AZ63" s="476">
        <v>428084</v>
      </c>
      <c r="BA63" s="476">
        <v>0</v>
      </c>
      <c r="BB63" s="476">
        <v>0</v>
      </c>
      <c r="BC63" s="476">
        <v>0</v>
      </c>
      <c r="BD63" s="476">
        <v>0</v>
      </c>
      <c r="BE63" s="476">
        <v>0</v>
      </c>
      <c r="BF63" s="476">
        <v>10794322</v>
      </c>
      <c r="BG63" s="476">
        <v>0</v>
      </c>
      <c r="BH63" s="476">
        <v>0</v>
      </c>
      <c r="BI63" s="476">
        <v>0</v>
      </c>
      <c r="BJ63" s="476">
        <v>12</v>
      </c>
      <c r="BK63" s="476">
        <v>0</v>
      </c>
      <c r="BL63" s="476">
        <v>0</v>
      </c>
      <c r="BM63" s="476">
        <v>0</v>
      </c>
      <c r="BN63" s="476">
        <v>0</v>
      </c>
      <c r="BO63" s="476">
        <v>0</v>
      </c>
      <c r="BP63" s="476">
        <v>0</v>
      </c>
      <c r="BQ63" s="476">
        <v>613</v>
      </c>
      <c r="BR63" s="476">
        <v>0</v>
      </c>
      <c r="BS63" s="476">
        <v>0</v>
      </c>
      <c r="BT63" s="476">
        <v>0</v>
      </c>
      <c r="BU63" s="476">
        <v>0</v>
      </c>
      <c r="BV63" s="476">
        <v>0</v>
      </c>
      <c r="BW63" s="476">
        <v>0</v>
      </c>
      <c r="BX63" s="476">
        <v>0</v>
      </c>
      <c r="BY63" s="476">
        <v>0</v>
      </c>
      <c r="BZ63" s="476">
        <v>0</v>
      </c>
      <c r="CA63" s="476">
        <v>0</v>
      </c>
      <c r="CB63" s="476">
        <v>0</v>
      </c>
      <c r="CC63" s="476">
        <v>0</v>
      </c>
      <c r="CD63" s="476">
        <v>0</v>
      </c>
      <c r="CE63" s="476">
        <v>0</v>
      </c>
      <c r="CF63" s="476">
        <v>0</v>
      </c>
      <c r="CG63" s="476">
        <v>0</v>
      </c>
      <c r="CH63" s="476">
        <v>174197</v>
      </c>
      <c r="CI63" s="476">
        <v>0</v>
      </c>
      <c r="CJ63" s="476">
        <v>4</v>
      </c>
      <c r="CK63" s="476">
        <v>0</v>
      </c>
      <c r="CL63" s="476">
        <v>0</v>
      </c>
      <c r="CM63" s="476">
        <v>0</v>
      </c>
      <c r="CN63" s="476">
        <v>0</v>
      </c>
      <c r="CO63" s="476">
        <v>1</v>
      </c>
      <c r="CP63" s="476">
        <v>0</v>
      </c>
      <c r="CQ63" s="476">
        <v>0</v>
      </c>
      <c r="CR63" s="476">
        <v>1031.817</v>
      </c>
      <c r="CS63" s="476">
        <v>0</v>
      </c>
      <c r="CT63" s="476">
        <v>0</v>
      </c>
      <c r="CU63" s="476">
        <v>0</v>
      </c>
      <c r="CV63" s="476">
        <v>0</v>
      </c>
      <c r="CW63" s="476">
        <v>0</v>
      </c>
      <c r="CX63" s="476">
        <v>0</v>
      </c>
      <c r="CY63" s="476">
        <v>0</v>
      </c>
      <c r="CZ63" s="476">
        <v>0</v>
      </c>
      <c r="DA63" s="476">
        <v>0</v>
      </c>
      <c r="DB63" s="476">
        <v>6263925</v>
      </c>
      <c r="DC63" s="476">
        <v>0</v>
      </c>
      <c r="DD63" s="476">
        <v>0</v>
      </c>
      <c r="DE63" s="476">
        <v>1858661</v>
      </c>
      <c r="DF63" s="476">
        <v>1858661</v>
      </c>
      <c r="DG63" s="476">
        <v>301.738</v>
      </c>
      <c r="DH63" s="476">
        <v>0</v>
      </c>
      <c r="DI63" s="476">
        <v>0</v>
      </c>
      <c r="DJ63" s="476">
        <v>0</v>
      </c>
      <c r="DK63" s="476">
        <v>1437</v>
      </c>
      <c r="DL63" s="476">
        <v>0</v>
      </c>
      <c r="DM63" s="476">
        <v>684091</v>
      </c>
      <c r="DN63" s="476">
        <v>2352</v>
      </c>
      <c r="DO63" s="476">
        <v>0</v>
      </c>
      <c r="DP63" s="476">
        <v>0</v>
      </c>
      <c r="DQ63" s="476">
        <v>0</v>
      </c>
      <c r="DR63" s="476">
        <v>0</v>
      </c>
      <c r="DS63" s="476">
        <v>0</v>
      </c>
      <c r="DT63" s="476">
        <v>0</v>
      </c>
      <c r="DU63" s="476">
        <v>0</v>
      </c>
      <c r="DV63" s="476">
        <v>0</v>
      </c>
      <c r="DW63" s="476">
        <v>0</v>
      </c>
      <c r="DX63" s="476">
        <v>0</v>
      </c>
      <c r="DY63" s="476">
        <v>0</v>
      </c>
      <c r="DZ63" s="476">
        <v>0</v>
      </c>
      <c r="EA63" s="476">
        <v>0</v>
      </c>
      <c r="EB63" s="476">
        <v>0</v>
      </c>
      <c r="EC63" s="476">
        <v>53.133000000000003</v>
      </c>
      <c r="ED63" s="476">
        <v>376386</v>
      </c>
      <c r="EE63" s="476">
        <v>0</v>
      </c>
      <c r="EF63" s="476">
        <v>0</v>
      </c>
      <c r="EG63" s="476">
        <v>0</v>
      </c>
      <c r="EH63" s="476">
        <v>310057</v>
      </c>
      <c r="EI63" s="476">
        <v>0</v>
      </c>
      <c r="EJ63" s="476">
        <v>0</v>
      </c>
      <c r="EK63" s="476">
        <v>12.14</v>
      </c>
      <c r="EL63" s="476">
        <v>0</v>
      </c>
      <c r="EM63" s="476">
        <v>0</v>
      </c>
      <c r="EN63" s="476">
        <v>2.7829999999999999</v>
      </c>
      <c r="EO63" s="476">
        <v>0</v>
      </c>
      <c r="EP63" s="476">
        <v>0</v>
      </c>
      <c r="EQ63" s="476">
        <v>14.923</v>
      </c>
      <c r="ER63" s="476">
        <v>0</v>
      </c>
      <c r="ES63" s="476">
        <v>50.335000000000001</v>
      </c>
      <c r="ET63" s="476">
        <v>0</v>
      </c>
      <c r="EU63" s="476">
        <v>0</v>
      </c>
      <c r="EV63" s="476">
        <v>0</v>
      </c>
      <c r="EW63" s="476">
        <v>0</v>
      </c>
      <c r="EX63" s="476">
        <v>0</v>
      </c>
      <c r="EY63" s="476">
        <v>0</v>
      </c>
      <c r="EZ63" s="476">
        <v>10366238</v>
      </c>
      <c r="FA63" s="476">
        <v>0</v>
      </c>
      <c r="FB63" s="476">
        <v>10791970</v>
      </c>
      <c r="FC63" s="476">
        <v>0</v>
      </c>
      <c r="FD63" s="476">
        <v>0</v>
      </c>
      <c r="FE63" s="476">
        <v>1393744</v>
      </c>
      <c r="FF63" s="476">
        <v>232765</v>
      </c>
      <c r="FG63" s="476">
        <v>6.3017999999999991E-2</v>
      </c>
      <c r="FH63" s="476">
        <v>2.6953999999999999E-2</v>
      </c>
      <c r="FI63" s="476">
        <v>0</v>
      </c>
      <c r="FJ63" s="476">
        <v>0</v>
      </c>
      <c r="FK63" s="476">
        <v>1752.365</v>
      </c>
      <c r="FL63" s="476">
        <v>12592676</v>
      </c>
      <c r="FM63" s="476">
        <v>0</v>
      </c>
      <c r="FN63" s="476">
        <v>0</v>
      </c>
      <c r="FO63" s="476">
        <v>0</v>
      </c>
      <c r="FP63" s="476">
        <v>0</v>
      </c>
      <c r="FQ63" s="476">
        <v>0</v>
      </c>
      <c r="FR63" s="476">
        <v>0</v>
      </c>
      <c r="FS63" s="476">
        <v>0</v>
      </c>
      <c r="FT63" s="476">
        <v>0</v>
      </c>
      <c r="FU63" s="476">
        <v>0</v>
      </c>
      <c r="FV63" s="476">
        <v>0</v>
      </c>
      <c r="FW63" s="476">
        <v>0</v>
      </c>
      <c r="FX63" s="476">
        <v>0</v>
      </c>
      <c r="FY63" s="476">
        <v>0</v>
      </c>
      <c r="FZ63" s="476">
        <v>0</v>
      </c>
      <c r="GA63" s="476">
        <v>0</v>
      </c>
      <c r="GB63" s="476">
        <v>0</v>
      </c>
      <c r="GC63" s="476">
        <v>0</v>
      </c>
      <c r="GD63" s="476">
        <v>0</v>
      </c>
      <c r="GE63" s="476">
        <v>0</v>
      </c>
      <c r="GF63" s="476">
        <v>0</v>
      </c>
      <c r="GG63" s="476">
        <v>0</v>
      </c>
      <c r="GH63" s="476">
        <v>0</v>
      </c>
      <c r="GI63" s="476">
        <v>0</v>
      </c>
      <c r="GJ63" s="476">
        <v>0</v>
      </c>
      <c r="GK63" s="476">
        <v>0</v>
      </c>
      <c r="GL63" s="476">
        <v>0</v>
      </c>
      <c r="GM63" s="476">
        <v>0</v>
      </c>
      <c r="GN63" s="476">
        <v>0</v>
      </c>
      <c r="GO63" s="476">
        <v>0</v>
      </c>
      <c r="GP63" s="476">
        <v>0</v>
      </c>
      <c r="GQ63" s="476">
        <v>11990395</v>
      </c>
      <c r="GR63" s="476">
        <v>0</v>
      </c>
      <c r="GS63" s="476">
        <v>0</v>
      </c>
      <c r="GT63" s="476">
        <v>0</v>
      </c>
      <c r="GU63" s="476">
        <v>0</v>
      </c>
      <c r="GV63" s="476">
        <v>0</v>
      </c>
      <c r="GW63" s="476">
        <v>0</v>
      </c>
      <c r="GX63" s="476">
        <v>0</v>
      </c>
      <c r="GY63" s="476">
        <v>0</v>
      </c>
      <c r="GZ63" s="476">
        <v>0</v>
      </c>
      <c r="HA63" s="476">
        <v>0</v>
      </c>
      <c r="HB63" s="476">
        <v>323396213</v>
      </c>
      <c r="HC63" s="476">
        <v>4.2206E-2</v>
      </c>
      <c r="HD63" s="476">
        <v>174197</v>
      </c>
      <c r="HE63" s="476">
        <v>0</v>
      </c>
      <c r="HF63" s="476">
        <v>1120617</v>
      </c>
      <c r="HG63" s="476">
        <v>27719</v>
      </c>
      <c r="HH63" s="476">
        <v>452945</v>
      </c>
      <c r="HI63" s="476">
        <v>0</v>
      </c>
      <c r="HJ63" s="476">
        <v>10318</v>
      </c>
      <c r="HK63" s="476">
        <v>0</v>
      </c>
      <c r="HL63" s="476">
        <v>0</v>
      </c>
      <c r="HM63" s="476">
        <v>0</v>
      </c>
      <c r="HN63" s="476">
        <v>21617</v>
      </c>
      <c r="HO63" s="476">
        <v>0</v>
      </c>
      <c r="HP63" s="476">
        <v>0</v>
      </c>
      <c r="HQ63" s="476">
        <v>0</v>
      </c>
      <c r="HR63" s="476">
        <v>0</v>
      </c>
      <c r="HS63" s="476">
        <v>10363886</v>
      </c>
      <c r="HT63" s="476">
        <v>232765</v>
      </c>
      <c r="HU63" s="476">
        <v>0</v>
      </c>
      <c r="HV63" s="476">
        <v>0</v>
      </c>
      <c r="HW63" s="476">
        <v>0</v>
      </c>
      <c r="HX63" s="476">
        <v>74</v>
      </c>
      <c r="HY63" s="476">
        <v>115</v>
      </c>
      <c r="HZ63" s="476">
        <v>213</v>
      </c>
      <c r="IA63" s="476">
        <v>446</v>
      </c>
      <c r="IB63" s="476">
        <v>318</v>
      </c>
      <c r="IC63" s="476">
        <v>1166</v>
      </c>
      <c r="ID63" s="476">
        <v>0</v>
      </c>
      <c r="IE63" s="476">
        <v>1.0669999999999999</v>
      </c>
      <c r="IF63" s="476">
        <v>0.93300000000000005</v>
      </c>
      <c r="IG63" s="476">
        <v>45</v>
      </c>
      <c r="IH63" s="476">
        <v>735.31700000000001</v>
      </c>
      <c r="II63" s="476">
        <v>0</v>
      </c>
      <c r="IJ63" s="476">
        <v>571.5</v>
      </c>
      <c r="IK63" s="476">
        <v>0</v>
      </c>
      <c r="IL63" s="476">
        <v>0</v>
      </c>
      <c r="IM63" s="476">
        <v>0</v>
      </c>
      <c r="IN63" s="476">
        <v>0</v>
      </c>
      <c r="IO63" s="476">
        <v>0</v>
      </c>
      <c r="IP63" s="476">
        <v>0</v>
      </c>
      <c r="IQ63" s="476">
        <v>569.5</v>
      </c>
      <c r="IR63" s="476">
        <v>350804</v>
      </c>
      <c r="IS63" s="476">
        <v>0</v>
      </c>
      <c r="IT63" s="476">
        <v>0</v>
      </c>
      <c r="IU63" s="476">
        <v>0</v>
      </c>
      <c r="IV63" s="476">
        <v>0</v>
      </c>
      <c r="IW63" s="476">
        <v>6160</v>
      </c>
      <c r="IX63" s="476">
        <v>986</v>
      </c>
      <c r="IY63" s="476">
        <v>287</v>
      </c>
      <c r="IZ63" s="476">
        <v>0</v>
      </c>
      <c r="JA63" s="476">
        <v>0</v>
      </c>
      <c r="JB63" s="476">
        <v>0</v>
      </c>
      <c r="JC63" s="476">
        <v>0</v>
      </c>
      <c r="JD63" s="476">
        <v>1</v>
      </c>
      <c r="JE63" s="476">
        <v>13764</v>
      </c>
      <c r="JF63" s="476">
        <v>1</v>
      </c>
      <c r="JG63" s="476">
        <v>6853</v>
      </c>
      <c r="JH63" s="476">
        <v>1000</v>
      </c>
      <c r="JI63" s="476">
        <v>0</v>
      </c>
      <c r="JJ63" s="476">
        <v>0</v>
      </c>
      <c r="JK63" s="476">
        <v>0</v>
      </c>
      <c r="JL63" s="476">
        <v>0</v>
      </c>
      <c r="JM63" s="476">
        <v>0</v>
      </c>
      <c r="JN63" s="476">
        <v>32469</v>
      </c>
      <c r="JO63" s="476">
        <v>0</v>
      </c>
      <c r="JP63" s="476">
        <v>0</v>
      </c>
      <c r="JQ63" s="476">
        <v>0</v>
      </c>
      <c r="JR63" s="476">
        <v>0</v>
      </c>
      <c r="JS63" s="476">
        <v>0</v>
      </c>
      <c r="JT63" s="476">
        <v>0</v>
      </c>
      <c r="JU63" s="476">
        <v>0</v>
      </c>
      <c r="JV63" s="476">
        <v>0</v>
      </c>
      <c r="JW63" s="476">
        <v>0</v>
      </c>
      <c r="JX63" s="476">
        <v>0</v>
      </c>
      <c r="JY63" s="476">
        <v>0</v>
      </c>
      <c r="JZ63" s="476">
        <v>0</v>
      </c>
      <c r="KA63" s="476">
        <v>0</v>
      </c>
      <c r="KB63" s="476">
        <v>0</v>
      </c>
      <c r="KC63" s="476">
        <v>0</v>
      </c>
      <c r="KD63" s="476">
        <v>0</v>
      </c>
      <c r="KE63" s="476">
        <v>7262</v>
      </c>
      <c r="KF63" s="476">
        <v>0</v>
      </c>
      <c r="KG63" s="476">
        <v>0</v>
      </c>
      <c r="KH63" s="476">
        <v>11990395</v>
      </c>
      <c r="KI63" s="476">
        <v>0</v>
      </c>
      <c r="KJ63" s="476">
        <v>38</v>
      </c>
      <c r="KK63" s="476">
        <v>7</v>
      </c>
      <c r="KL63" s="476">
        <v>23407</v>
      </c>
      <c r="KM63" s="476">
        <v>4312</v>
      </c>
      <c r="KN63" s="476">
        <v>0</v>
      </c>
    </row>
    <row r="64" spans="1:300" x14ac:dyDescent="0.25">
      <c r="A64" s="476">
        <v>40976</v>
      </c>
      <c r="B64" s="476">
        <v>57844</v>
      </c>
      <c r="C64" s="476">
        <v>9</v>
      </c>
      <c r="D64" s="476">
        <v>2024</v>
      </c>
      <c r="E64" s="476">
        <v>6160</v>
      </c>
      <c r="F64" s="476">
        <v>0</v>
      </c>
      <c r="G64" s="476">
        <v>463.87</v>
      </c>
      <c r="H64" s="476">
        <v>442.40200000000004</v>
      </c>
      <c r="I64" s="476">
        <v>442.40200000000004</v>
      </c>
      <c r="J64" s="476">
        <v>463.87</v>
      </c>
      <c r="K64" s="476">
        <v>0</v>
      </c>
      <c r="L64" s="476">
        <v>6160</v>
      </c>
      <c r="M64" s="476">
        <v>0</v>
      </c>
      <c r="N64" s="476">
        <v>0</v>
      </c>
      <c r="O64" s="476">
        <v>0</v>
      </c>
      <c r="P64" s="476">
        <v>463.95300000000003</v>
      </c>
      <c r="Q64" s="476">
        <v>0</v>
      </c>
      <c r="R64" s="476">
        <v>192487</v>
      </c>
      <c r="S64" s="476">
        <v>414.88400000000001</v>
      </c>
      <c r="T64" s="476">
        <v>0</v>
      </c>
      <c r="U64" s="476">
        <v>0</v>
      </c>
      <c r="V64" s="476">
        <v>250.36</v>
      </c>
      <c r="W64" s="476">
        <v>154218</v>
      </c>
      <c r="X64" s="476">
        <v>154218</v>
      </c>
      <c r="Y64" s="476">
        <v>0</v>
      </c>
      <c r="Z64" s="476">
        <v>0</v>
      </c>
      <c r="AA64" s="476">
        <v>0</v>
      </c>
      <c r="AB64" s="476">
        <v>0</v>
      </c>
      <c r="AC64" s="476">
        <v>0</v>
      </c>
      <c r="AD64" s="476" t="s">
        <v>314</v>
      </c>
      <c r="AE64" s="476">
        <v>0</v>
      </c>
      <c r="AF64" s="476">
        <v>0</v>
      </c>
      <c r="AG64" s="476">
        <v>0</v>
      </c>
      <c r="AH64" s="476">
        <v>0</v>
      </c>
      <c r="AI64" s="476">
        <v>0</v>
      </c>
      <c r="AJ64" s="476">
        <v>6160</v>
      </c>
      <c r="AK64" s="476" t="s">
        <v>651</v>
      </c>
      <c r="AL64" s="476" t="s">
        <v>330</v>
      </c>
      <c r="AM64" s="476">
        <v>0</v>
      </c>
      <c r="AN64" s="476">
        <v>0</v>
      </c>
      <c r="AO64" s="476">
        <v>0</v>
      </c>
      <c r="AP64" s="476">
        <v>0</v>
      </c>
      <c r="AQ64" s="476">
        <v>0</v>
      </c>
      <c r="AR64" s="476">
        <v>0</v>
      </c>
      <c r="AS64" s="476">
        <v>0</v>
      </c>
      <c r="AT64" s="476">
        <v>0</v>
      </c>
      <c r="AU64" s="476">
        <v>0</v>
      </c>
      <c r="AV64" s="476">
        <v>0</v>
      </c>
      <c r="AW64" s="476">
        <v>4857840</v>
      </c>
      <c r="AX64" s="476">
        <v>4780424</v>
      </c>
      <c r="AY64" s="476">
        <v>0</v>
      </c>
      <c r="AZ64" s="476">
        <v>192487</v>
      </c>
      <c r="BA64" s="476">
        <v>0</v>
      </c>
      <c r="BB64" s="476">
        <v>0</v>
      </c>
      <c r="BC64" s="476">
        <v>0</v>
      </c>
      <c r="BD64" s="476">
        <v>0</v>
      </c>
      <c r="BE64" s="476">
        <v>0</v>
      </c>
      <c r="BF64" s="476">
        <v>4276461</v>
      </c>
      <c r="BG64" s="476">
        <v>0</v>
      </c>
      <c r="BH64" s="476">
        <v>0</v>
      </c>
      <c r="BI64" s="476">
        <v>0</v>
      </c>
      <c r="BJ64" s="476">
        <v>12</v>
      </c>
      <c r="BK64" s="476">
        <v>0</v>
      </c>
      <c r="BL64" s="476">
        <v>0</v>
      </c>
      <c r="BM64" s="476">
        <v>0</v>
      </c>
      <c r="BN64" s="476">
        <v>0</v>
      </c>
      <c r="BO64" s="476">
        <v>0</v>
      </c>
      <c r="BP64" s="476">
        <v>0</v>
      </c>
      <c r="BQ64" s="476">
        <v>702</v>
      </c>
      <c r="BR64" s="476">
        <v>0</v>
      </c>
      <c r="BS64" s="476">
        <v>0</v>
      </c>
      <c r="BT64" s="476">
        <v>0</v>
      </c>
      <c r="BU64" s="476">
        <v>0</v>
      </c>
      <c r="BV64" s="476">
        <v>0</v>
      </c>
      <c r="BW64" s="476">
        <v>0</v>
      </c>
      <c r="BX64" s="476">
        <v>0</v>
      </c>
      <c r="BY64" s="476">
        <v>0</v>
      </c>
      <c r="BZ64" s="476">
        <v>0</v>
      </c>
      <c r="CA64" s="476">
        <v>0</v>
      </c>
      <c r="CB64" s="476">
        <v>0</v>
      </c>
      <c r="CC64" s="476">
        <v>0</v>
      </c>
      <c r="CD64" s="476">
        <v>0</v>
      </c>
      <c r="CE64" s="476">
        <v>0</v>
      </c>
      <c r="CF64" s="476">
        <v>0</v>
      </c>
      <c r="CG64" s="476">
        <v>0</v>
      </c>
      <c r="CH64" s="476">
        <v>78313</v>
      </c>
      <c r="CI64" s="476">
        <v>0</v>
      </c>
      <c r="CJ64" s="476">
        <v>4</v>
      </c>
      <c r="CK64" s="476">
        <v>0</v>
      </c>
      <c r="CL64" s="476">
        <v>0</v>
      </c>
      <c r="CM64" s="476">
        <v>0</v>
      </c>
      <c r="CN64" s="476">
        <v>0</v>
      </c>
      <c r="CO64" s="476">
        <v>1</v>
      </c>
      <c r="CP64" s="476">
        <v>0</v>
      </c>
      <c r="CQ64" s="476">
        <v>0</v>
      </c>
      <c r="CR64" s="476">
        <v>463.87</v>
      </c>
      <c r="CS64" s="476">
        <v>0</v>
      </c>
      <c r="CT64" s="476">
        <v>0</v>
      </c>
      <c r="CU64" s="476">
        <v>0</v>
      </c>
      <c r="CV64" s="476">
        <v>0</v>
      </c>
      <c r="CW64" s="476">
        <v>0</v>
      </c>
      <c r="CX64" s="476">
        <v>0</v>
      </c>
      <c r="CY64" s="476">
        <v>0</v>
      </c>
      <c r="CZ64" s="476">
        <v>0</v>
      </c>
      <c r="DA64" s="476">
        <v>0</v>
      </c>
      <c r="DB64" s="476">
        <v>2552428</v>
      </c>
      <c r="DC64" s="476">
        <v>0</v>
      </c>
      <c r="DD64" s="476">
        <v>0</v>
      </c>
      <c r="DE64" s="476">
        <v>430112</v>
      </c>
      <c r="DF64" s="476">
        <v>430112</v>
      </c>
      <c r="DG64" s="476">
        <v>69.825000000000003</v>
      </c>
      <c r="DH64" s="476">
        <v>0</v>
      </c>
      <c r="DI64" s="476">
        <v>0</v>
      </c>
      <c r="DJ64" s="476">
        <v>0</v>
      </c>
      <c r="DK64" s="476">
        <v>2852</v>
      </c>
      <c r="DL64" s="476">
        <v>0</v>
      </c>
      <c r="DM64" s="476">
        <v>433598</v>
      </c>
      <c r="DN64" s="476">
        <v>897</v>
      </c>
      <c r="DO64" s="476">
        <v>0</v>
      </c>
      <c r="DP64" s="476">
        <v>0</v>
      </c>
      <c r="DQ64" s="476">
        <v>0</v>
      </c>
      <c r="DR64" s="476">
        <v>0</v>
      </c>
      <c r="DS64" s="476">
        <v>0</v>
      </c>
      <c r="DT64" s="476">
        <v>0</v>
      </c>
      <c r="DU64" s="476">
        <v>0</v>
      </c>
      <c r="DV64" s="476">
        <v>0</v>
      </c>
      <c r="DW64" s="476">
        <v>0</v>
      </c>
      <c r="DX64" s="476">
        <v>0</v>
      </c>
      <c r="DY64" s="476">
        <v>0</v>
      </c>
      <c r="DZ64" s="476">
        <v>0</v>
      </c>
      <c r="EA64" s="476">
        <v>2.8000000000000001E-2</v>
      </c>
      <c r="EB64" s="476">
        <v>0</v>
      </c>
      <c r="EC64" s="476">
        <v>0.81500000000000006</v>
      </c>
      <c r="ED64" s="476">
        <v>5773</v>
      </c>
      <c r="EE64" s="476">
        <v>0</v>
      </c>
      <c r="EF64" s="476">
        <v>0</v>
      </c>
      <c r="EG64" s="476">
        <v>0</v>
      </c>
      <c r="EH64" s="476">
        <v>256016</v>
      </c>
      <c r="EI64" s="476">
        <v>0</v>
      </c>
      <c r="EJ64" s="476">
        <v>0</v>
      </c>
      <c r="EK64" s="476">
        <v>7.4620000000000006</v>
      </c>
      <c r="EL64" s="476">
        <v>0</v>
      </c>
      <c r="EM64" s="476">
        <v>5.3820000000000006</v>
      </c>
      <c r="EN64" s="476">
        <v>0.57800000000000007</v>
      </c>
      <c r="EO64" s="476">
        <v>0</v>
      </c>
      <c r="EP64" s="476">
        <v>0</v>
      </c>
      <c r="EQ64" s="476">
        <v>13.450000000000001</v>
      </c>
      <c r="ER64" s="476">
        <v>0</v>
      </c>
      <c r="ES64" s="476">
        <v>41.562000000000005</v>
      </c>
      <c r="ET64" s="476">
        <v>0</v>
      </c>
      <c r="EU64" s="476">
        <v>0</v>
      </c>
      <c r="EV64" s="476">
        <v>0</v>
      </c>
      <c r="EW64" s="476">
        <v>0</v>
      </c>
      <c r="EX64" s="476">
        <v>0</v>
      </c>
      <c r="EY64" s="476">
        <v>0</v>
      </c>
      <c r="EZ64" s="476">
        <v>4136039</v>
      </c>
      <c r="FA64" s="476">
        <v>0</v>
      </c>
      <c r="FB64" s="476">
        <v>4327629</v>
      </c>
      <c r="FC64" s="476">
        <v>0</v>
      </c>
      <c r="FD64" s="476">
        <v>0</v>
      </c>
      <c r="FE64" s="476">
        <v>552169</v>
      </c>
      <c r="FF64" s="476">
        <v>92216</v>
      </c>
      <c r="FG64" s="476">
        <v>6.3017999999999991E-2</v>
      </c>
      <c r="FH64" s="476">
        <v>2.6953999999999999E-2</v>
      </c>
      <c r="FI64" s="476">
        <v>0</v>
      </c>
      <c r="FJ64" s="476">
        <v>0</v>
      </c>
      <c r="FK64" s="476">
        <v>694.24599999999998</v>
      </c>
      <c r="FL64" s="476">
        <v>5050327</v>
      </c>
      <c r="FM64" s="476">
        <v>0</v>
      </c>
      <c r="FN64" s="476">
        <v>0</v>
      </c>
      <c r="FO64" s="476">
        <v>50925</v>
      </c>
      <c r="FP64" s="476">
        <v>0</v>
      </c>
      <c r="FQ64" s="476">
        <v>50925</v>
      </c>
      <c r="FR64" s="476">
        <v>50925</v>
      </c>
      <c r="FS64" s="476">
        <v>0</v>
      </c>
      <c r="FT64" s="476">
        <v>0</v>
      </c>
      <c r="FU64" s="476">
        <v>0</v>
      </c>
      <c r="FV64" s="476">
        <v>0</v>
      </c>
      <c r="FW64" s="476">
        <v>0</v>
      </c>
      <c r="FX64" s="476">
        <v>0</v>
      </c>
      <c r="FY64" s="476">
        <v>0</v>
      </c>
      <c r="FZ64" s="476">
        <v>0</v>
      </c>
      <c r="GA64" s="476">
        <v>0</v>
      </c>
      <c r="GB64" s="476">
        <v>76894</v>
      </c>
      <c r="GC64" s="476">
        <v>76894</v>
      </c>
      <c r="GD64" s="476">
        <v>8.0180000000000007</v>
      </c>
      <c r="GE64" s="476">
        <v>0</v>
      </c>
      <c r="GF64" s="476">
        <v>0</v>
      </c>
      <c r="GG64" s="476">
        <v>0</v>
      </c>
      <c r="GH64" s="476">
        <v>0</v>
      </c>
      <c r="GI64" s="476">
        <v>0</v>
      </c>
      <c r="GJ64" s="476">
        <v>0</v>
      </c>
      <c r="GK64" s="476">
        <v>0</v>
      </c>
      <c r="GL64" s="476">
        <v>0</v>
      </c>
      <c r="GM64" s="476">
        <v>0</v>
      </c>
      <c r="GN64" s="476">
        <v>0</v>
      </c>
      <c r="GO64" s="476">
        <v>0</v>
      </c>
      <c r="GP64" s="476">
        <v>0</v>
      </c>
      <c r="GQ64" s="476">
        <v>4779527</v>
      </c>
      <c r="GR64" s="476">
        <v>0</v>
      </c>
      <c r="GS64" s="476">
        <v>0</v>
      </c>
      <c r="GT64" s="476">
        <v>0</v>
      </c>
      <c r="GU64" s="476">
        <v>0</v>
      </c>
      <c r="GV64" s="476">
        <v>0</v>
      </c>
      <c r="GW64" s="476">
        <v>0</v>
      </c>
      <c r="GX64" s="476">
        <v>0</v>
      </c>
      <c r="GY64" s="476">
        <v>0</v>
      </c>
      <c r="GZ64" s="476">
        <v>0</v>
      </c>
      <c r="HA64" s="476">
        <v>0</v>
      </c>
      <c r="HB64" s="476">
        <v>323396213</v>
      </c>
      <c r="HC64" s="476">
        <v>4.2206E-2</v>
      </c>
      <c r="HD64" s="476">
        <v>78313</v>
      </c>
      <c r="HE64" s="476">
        <v>0</v>
      </c>
      <c r="HF64" s="476">
        <v>487527</v>
      </c>
      <c r="HG64" s="476">
        <v>3696</v>
      </c>
      <c r="HH64" s="476">
        <v>119452</v>
      </c>
      <c r="HI64" s="476">
        <v>0</v>
      </c>
      <c r="HJ64" s="476">
        <v>4639</v>
      </c>
      <c r="HK64" s="476">
        <v>944</v>
      </c>
      <c r="HL64" s="476">
        <v>196</v>
      </c>
      <c r="HM64" s="476">
        <v>13000</v>
      </c>
      <c r="HN64" s="476">
        <v>0</v>
      </c>
      <c r="HO64" s="476">
        <v>0</v>
      </c>
      <c r="HP64" s="476">
        <v>0</v>
      </c>
      <c r="HQ64" s="476">
        <v>0</v>
      </c>
      <c r="HR64" s="476">
        <v>0</v>
      </c>
      <c r="HS64" s="476">
        <v>4135142</v>
      </c>
      <c r="HT64" s="476">
        <v>92216</v>
      </c>
      <c r="HU64" s="476">
        <v>0</v>
      </c>
      <c r="HV64" s="476">
        <v>0</v>
      </c>
      <c r="HW64" s="476">
        <v>0</v>
      </c>
      <c r="HX64" s="476">
        <v>57</v>
      </c>
      <c r="HY64" s="476">
        <v>99</v>
      </c>
      <c r="HZ64" s="476">
        <v>40</v>
      </c>
      <c r="IA64" s="476">
        <v>57</v>
      </c>
      <c r="IB64" s="476">
        <v>31</v>
      </c>
      <c r="IC64" s="476">
        <v>284</v>
      </c>
      <c r="ID64" s="476">
        <v>0</v>
      </c>
      <c r="IE64" s="476">
        <v>0</v>
      </c>
      <c r="IF64" s="476">
        <v>0</v>
      </c>
      <c r="IG64" s="476">
        <v>6</v>
      </c>
      <c r="IH64" s="476">
        <v>193.92000000000002</v>
      </c>
      <c r="II64" s="476">
        <v>0</v>
      </c>
      <c r="IJ64" s="476">
        <v>250.36</v>
      </c>
      <c r="IK64" s="476">
        <v>0</v>
      </c>
      <c r="IL64" s="476">
        <v>1</v>
      </c>
      <c r="IM64" s="476">
        <v>2</v>
      </c>
      <c r="IN64" s="476">
        <v>1</v>
      </c>
      <c r="IO64" s="476">
        <v>4</v>
      </c>
      <c r="IP64" s="476">
        <v>0</v>
      </c>
      <c r="IQ64" s="476">
        <v>250.36</v>
      </c>
      <c r="IR64" s="476">
        <v>154218</v>
      </c>
      <c r="IS64" s="476">
        <v>0</v>
      </c>
      <c r="IT64" s="476">
        <v>5000</v>
      </c>
      <c r="IU64" s="476">
        <v>6000</v>
      </c>
      <c r="IV64" s="476">
        <v>2000</v>
      </c>
      <c r="IW64" s="476">
        <v>6160</v>
      </c>
      <c r="IX64" s="476">
        <v>0</v>
      </c>
      <c r="IY64" s="476">
        <v>0</v>
      </c>
      <c r="IZ64" s="476">
        <v>0</v>
      </c>
      <c r="JA64" s="476">
        <v>0</v>
      </c>
      <c r="JB64" s="476">
        <v>0</v>
      </c>
      <c r="JC64" s="476">
        <v>0</v>
      </c>
      <c r="JD64" s="476">
        <v>0</v>
      </c>
      <c r="JE64" s="476">
        <v>0</v>
      </c>
      <c r="JF64" s="476">
        <v>0</v>
      </c>
      <c r="JG64" s="476">
        <v>0</v>
      </c>
      <c r="JH64" s="476">
        <v>0</v>
      </c>
      <c r="JI64" s="476">
        <v>0</v>
      </c>
      <c r="JJ64" s="476">
        <v>0</v>
      </c>
      <c r="JK64" s="476">
        <v>0</v>
      </c>
      <c r="JL64" s="476">
        <v>0</v>
      </c>
      <c r="JM64" s="476">
        <v>0</v>
      </c>
      <c r="JN64" s="476">
        <v>32469</v>
      </c>
      <c r="JO64" s="476">
        <v>0</v>
      </c>
      <c r="JP64" s="476">
        <v>6.3050000000000006</v>
      </c>
      <c r="JQ64" s="476">
        <v>1.7130000000000001</v>
      </c>
      <c r="JR64" s="476">
        <v>0</v>
      </c>
      <c r="JS64" s="476">
        <v>58607</v>
      </c>
      <c r="JT64" s="476">
        <v>18287</v>
      </c>
      <c r="JU64" s="476">
        <v>0</v>
      </c>
      <c r="JV64" s="476">
        <v>0</v>
      </c>
      <c r="JW64" s="476">
        <v>0</v>
      </c>
      <c r="JX64" s="476">
        <v>0</v>
      </c>
      <c r="JY64" s="476">
        <v>0</v>
      </c>
      <c r="JZ64" s="476">
        <v>0</v>
      </c>
      <c r="KA64" s="476">
        <v>0</v>
      </c>
      <c r="KB64" s="476">
        <v>0</v>
      </c>
      <c r="KC64" s="476">
        <v>0</v>
      </c>
      <c r="KD64" s="476">
        <v>0</v>
      </c>
      <c r="KE64" s="476">
        <v>7262</v>
      </c>
      <c r="KF64" s="476">
        <v>0</v>
      </c>
      <c r="KG64" s="476">
        <v>0</v>
      </c>
      <c r="KH64" s="476">
        <v>4779527</v>
      </c>
      <c r="KI64" s="476">
        <v>0</v>
      </c>
      <c r="KJ64" s="476">
        <v>0</v>
      </c>
      <c r="KK64" s="476">
        <v>6</v>
      </c>
      <c r="KL64" s="476">
        <v>0</v>
      </c>
      <c r="KM64" s="476">
        <v>3696</v>
      </c>
      <c r="KN64" s="476">
        <v>0</v>
      </c>
    </row>
    <row r="65" spans="1:300" x14ac:dyDescent="0.25">
      <c r="A65" s="476">
        <v>40976</v>
      </c>
      <c r="B65" s="476">
        <v>57845</v>
      </c>
      <c r="C65" s="476">
        <v>9</v>
      </c>
      <c r="D65" s="476">
        <v>2024</v>
      </c>
      <c r="E65" s="476">
        <v>6160</v>
      </c>
      <c r="F65" s="476">
        <v>0</v>
      </c>
      <c r="G65" s="476">
        <v>1412.633</v>
      </c>
      <c r="H65" s="476">
        <v>1347.2160000000001</v>
      </c>
      <c r="I65" s="476">
        <v>1347.2160000000001</v>
      </c>
      <c r="J65" s="476">
        <v>1412.633</v>
      </c>
      <c r="K65" s="476">
        <v>0</v>
      </c>
      <c r="L65" s="476">
        <v>6160</v>
      </c>
      <c r="M65" s="476">
        <v>0</v>
      </c>
      <c r="N65" s="476">
        <v>0</v>
      </c>
      <c r="O65" s="476">
        <v>0</v>
      </c>
      <c r="P65" s="476">
        <v>1412.633</v>
      </c>
      <c r="Q65" s="476">
        <v>0</v>
      </c>
      <c r="R65" s="476">
        <v>586079</v>
      </c>
      <c r="S65" s="476">
        <v>414.88400000000001</v>
      </c>
      <c r="T65" s="476">
        <v>0</v>
      </c>
      <c r="U65" s="476">
        <v>0</v>
      </c>
      <c r="V65" s="476">
        <v>133.96700000000001</v>
      </c>
      <c r="W65" s="476">
        <v>205889</v>
      </c>
      <c r="X65" s="476">
        <v>205889</v>
      </c>
      <c r="Y65" s="476">
        <v>0</v>
      </c>
      <c r="Z65" s="476">
        <v>0</v>
      </c>
      <c r="AA65" s="476">
        <v>0</v>
      </c>
      <c r="AB65" s="476">
        <v>0</v>
      </c>
      <c r="AC65" s="476">
        <v>0</v>
      </c>
      <c r="AD65" s="476" t="s">
        <v>314</v>
      </c>
      <c r="AE65" s="476">
        <v>0</v>
      </c>
      <c r="AF65" s="476">
        <v>0</v>
      </c>
      <c r="AG65" s="476">
        <v>0</v>
      </c>
      <c r="AH65" s="476">
        <v>0</v>
      </c>
      <c r="AI65" s="476">
        <v>0</v>
      </c>
      <c r="AJ65" s="476">
        <v>6160</v>
      </c>
      <c r="AK65" s="476" t="s">
        <v>651</v>
      </c>
      <c r="AL65" s="476" t="s">
        <v>114</v>
      </c>
      <c r="AM65" s="476">
        <v>0</v>
      </c>
      <c r="AN65" s="476">
        <v>0</v>
      </c>
      <c r="AO65" s="476">
        <v>0</v>
      </c>
      <c r="AP65" s="476">
        <v>0</v>
      </c>
      <c r="AQ65" s="476">
        <v>0</v>
      </c>
      <c r="AR65" s="476">
        <v>0</v>
      </c>
      <c r="AS65" s="476">
        <v>0</v>
      </c>
      <c r="AT65" s="476">
        <v>0</v>
      </c>
      <c r="AU65" s="476">
        <v>0</v>
      </c>
      <c r="AV65" s="476">
        <v>0</v>
      </c>
      <c r="AW65" s="476">
        <v>13838119</v>
      </c>
      <c r="AX65" s="476">
        <v>13602265</v>
      </c>
      <c r="AY65" s="476">
        <v>0</v>
      </c>
      <c r="AZ65" s="476">
        <v>586079</v>
      </c>
      <c r="BA65" s="476">
        <v>0</v>
      </c>
      <c r="BB65" s="476">
        <v>0</v>
      </c>
      <c r="BC65" s="476">
        <v>0</v>
      </c>
      <c r="BD65" s="476">
        <v>0</v>
      </c>
      <c r="BE65" s="476">
        <v>0</v>
      </c>
      <c r="BF65" s="476">
        <v>12326046</v>
      </c>
      <c r="BG65" s="476">
        <v>0</v>
      </c>
      <c r="BH65" s="476">
        <v>0</v>
      </c>
      <c r="BI65" s="476">
        <v>0</v>
      </c>
      <c r="BJ65" s="476">
        <v>12</v>
      </c>
      <c r="BK65" s="476">
        <v>0</v>
      </c>
      <c r="BL65" s="476">
        <v>0</v>
      </c>
      <c r="BM65" s="476">
        <v>0</v>
      </c>
      <c r="BN65" s="476">
        <v>0</v>
      </c>
      <c r="BO65" s="476">
        <v>0</v>
      </c>
      <c r="BP65" s="476">
        <v>0</v>
      </c>
      <c r="BQ65" s="476">
        <v>563</v>
      </c>
      <c r="BR65" s="476">
        <v>0</v>
      </c>
      <c r="BS65" s="476">
        <v>0</v>
      </c>
      <c r="BT65" s="476">
        <v>0</v>
      </c>
      <c r="BU65" s="476">
        <v>0</v>
      </c>
      <c r="BV65" s="476">
        <v>0</v>
      </c>
      <c r="BW65" s="476">
        <v>0</v>
      </c>
      <c r="BX65" s="476">
        <v>0</v>
      </c>
      <c r="BY65" s="476">
        <v>0</v>
      </c>
      <c r="BZ65" s="476">
        <v>0</v>
      </c>
      <c r="CA65" s="476">
        <v>0</v>
      </c>
      <c r="CB65" s="476">
        <v>0</v>
      </c>
      <c r="CC65" s="476">
        <v>0</v>
      </c>
      <c r="CD65" s="476">
        <v>0</v>
      </c>
      <c r="CE65" s="476">
        <v>0</v>
      </c>
      <c r="CF65" s="476">
        <v>0</v>
      </c>
      <c r="CG65" s="476">
        <v>0</v>
      </c>
      <c r="CH65" s="476">
        <v>238488</v>
      </c>
      <c r="CI65" s="476">
        <v>0</v>
      </c>
      <c r="CJ65" s="476">
        <v>4</v>
      </c>
      <c r="CK65" s="476">
        <v>0</v>
      </c>
      <c r="CL65" s="476">
        <v>0</v>
      </c>
      <c r="CM65" s="476">
        <v>0</v>
      </c>
      <c r="CN65" s="476">
        <v>0</v>
      </c>
      <c r="CO65" s="476">
        <v>1</v>
      </c>
      <c r="CP65" s="476">
        <v>0</v>
      </c>
      <c r="CQ65" s="476">
        <v>0</v>
      </c>
      <c r="CR65" s="476">
        <v>1412.633</v>
      </c>
      <c r="CS65" s="476">
        <v>0</v>
      </c>
      <c r="CT65" s="476">
        <v>0</v>
      </c>
      <c r="CU65" s="476">
        <v>0</v>
      </c>
      <c r="CV65" s="476">
        <v>0</v>
      </c>
      <c r="CW65" s="476">
        <v>0</v>
      </c>
      <c r="CX65" s="476">
        <v>0</v>
      </c>
      <c r="CY65" s="476">
        <v>0</v>
      </c>
      <c r="CZ65" s="476">
        <v>0</v>
      </c>
      <c r="DA65" s="476">
        <v>0</v>
      </c>
      <c r="DB65" s="476">
        <v>8298662</v>
      </c>
      <c r="DC65" s="476">
        <v>0</v>
      </c>
      <c r="DD65" s="476">
        <v>0</v>
      </c>
      <c r="DE65" s="476">
        <v>1019457</v>
      </c>
      <c r="DF65" s="476">
        <v>1019457</v>
      </c>
      <c r="DG65" s="476">
        <v>165.5</v>
      </c>
      <c r="DH65" s="476">
        <v>0</v>
      </c>
      <c r="DI65" s="476">
        <v>0</v>
      </c>
      <c r="DJ65" s="476">
        <v>0</v>
      </c>
      <c r="DK65" s="476">
        <v>623</v>
      </c>
      <c r="DL65" s="476">
        <v>0</v>
      </c>
      <c r="DM65" s="476">
        <v>766153</v>
      </c>
      <c r="DN65" s="476">
        <v>2634</v>
      </c>
      <c r="DO65" s="476">
        <v>0</v>
      </c>
      <c r="DP65" s="476">
        <v>0</v>
      </c>
      <c r="DQ65" s="476">
        <v>0</v>
      </c>
      <c r="DR65" s="476">
        <v>0</v>
      </c>
      <c r="DS65" s="476">
        <v>0</v>
      </c>
      <c r="DT65" s="476">
        <v>0</v>
      </c>
      <c r="DU65" s="476">
        <v>0</v>
      </c>
      <c r="DV65" s="476">
        <v>0</v>
      </c>
      <c r="DW65" s="476">
        <v>0</v>
      </c>
      <c r="DX65" s="476">
        <v>0</v>
      </c>
      <c r="DY65" s="476">
        <v>0</v>
      </c>
      <c r="DZ65" s="476">
        <v>0</v>
      </c>
      <c r="EA65" s="476">
        <v>0</v>
      </c>
      <c r="EB65" s="476">
        <v>0</v>
      </c>
      <c r="EC65" s="476">
        <v>6.3</v>
      </c>
      <c r="ED65" s="476">
        <v>44628</v>
      </c>
      <c r="EE65" s="476">
        <v>0</v>
      </c>
      <c r="EF65" s="476">
        <v>0</v>
      </c>
      <c r="EG65" s="476">
        <v>0</v>
      </c>
      <c r="EH65" s="476">
        <v>724159</v>
      </c>
      <c r="EI65" s="476">
        <v>0</v>
      </c>
      <c r="EJ65" s="476">
        <v>0</v>
      </c>
      <c r="EK65" s="476">
        <v>35.112000000000002</v>
      </c>
      <c r="EL65" s="476">
        <v>0</v>
      </c>
      <c r="EM65" s="476">
        <v>0</v>
      </c>
      <c r="EN65" s="476">
        <v>2.4450000000000003</v>
      </c>
      <c r="EO65" s="476">
        <v>0</v>
      </c>
      <c r="EP65" s="476">
        <v>0</v>
      </c>
      <c r="EQ65" s="476">
        <v>37.557000000000002</v>
      </c>
      <c r="ER65" s="476">
        <v>0</v>
      </c>
      <c r="ES65" s="476">
        <v>117.56100000000001</v>
      </c>
      <c r="ET65" s="476">
        <v>0</v>
      </c>
      <c r="EU65" s="476">
        <v>0</v>
      </c>
      <c r="EV65" s="476">
        <v>0</v>
      </c>
      <c r="EW65" s="476">
        <v>0</v>
      </c>
      <c r="EX65" s="476">
        <v>0</v>
      </c>
      <c r="EY65" s="476">
        <v>0</v>
      </c>
      <c r="EZ65" s="476">
        <v>11744953</v>
      </c>
      <c r="FA65" s="476">
        <v>0</v>
      </c>
      <c r="FB65" s="476">
        <v>12328398</v>
      </c>
      <c r="FC65" s="476">
        <v>0</v>
      </c>
      <c r="FD65" s="476">
        <v>0</v>
      </c>
      <c r="FE65" s="476">
        <v>1591517</v>
      </c>
      <c r="FF65" s="476">
        <v>265795</v>
      </c>
      <c r="FG65" s="476">
        <v>6.3017999999999991E-2</v>
      </c>
      <c r="FH65" s="476">
        <v>2.6953999999999999E-2</v>
      </c>
      <c r="FI65" s="476">
        <v>0</v>
      </c>
      <c r="FJ65" s="476">
        <v>0</v>
      </c>
      <c r="FK65" s="476">
        <v>2001.027</v>
      </c>
      <c r="FL65" s="476">
        <v>14424198</v>
      </c>
      <c r="FM65" s="476">
        <v>0</v>
      </c>
      <c r="FN65" s="476">
        <v>0</v>
      </c>
      <c r="FO65" s="476">
        <v>0</v>
      </c>
      <c r="FP65" s="476">
        <v>0</v>
      </c>
      <c r="FQ65" s="476">
        <v>0</v>
      </c>
      <c r="FR65" s="476">
        <v>0</v>
      </c>
      <c r="FS65" s="476">
        <v>0</v>
      </c>
      <c r="FT65" s="476">
        <v>0</v>
      </c>
      <c r="FU65" s="476">
        <v>0</v>
      </c>
      <c r="FV65" s="476">
        <v>0</v>
      </c>
      <c r="FW65" s="476">
        <v>0</v>
      </c>
      <c r="FX65" s="476">
        <v>0</v>
      </c>
      <c r="FY65" s="476">
        <v>0</v>
      </c>
      <c r="FZ65" s="476">
        <v>0</v>
      </c>
      <c r="GA65" s="476">
        <v>0</v>
      </c>
      <c r="GB65" s="476">
        <v>277387</v>
      </c>
      <c r="GC65" s="476">
        <v>277387</v>
      </c>
      <c r="GD65" s="476">
        <v>27.86</v>
      </c>
      <c r="GE65" s="476">
        <v>0</v>
      </c>
      <c r="GF65" s="476">
        <v>0</v>
      </c>
      <c r="GG65" s="476">
        <v>0</v>
      </c>
      <c r="GH65" s="476">
        <v>0</v>
      </c>
      <c r="GI65" s="476">
        <v>0</v>
      </c>
      <c r="GJ65" s="476">
        <v>0</v>
      </c>
      <c r="GK65" s="476">
        <v>0</v>
      </c>
      <c r="GL65" s="476">
        <v>0</v>
      </c>
      <c r="GM65" s="476">
        <v>0</v>
      </c>
      <c r="GN65" s="476">
        <v>0</v>
      </c>
      <c r="GO65" s="476">
        <v>0</v>
      </c>
      <c r="GP65" s="476">
        <v>0</v>
      </c>
      <c r="GQ65" s="476">
        <v>13599631</v>
      </c>
      <c r="GR65" s="476">
        <v>0</v>
      </c>
      <c r="GS65" s="476">
        <v>0</v>
      </c>
      <c r="GT65" s="476">
        <v>0</v>
      </c>
      <c r="GU65" s="476">
        <v>0</v>
      </c>
      <c r="GV65" s="476">
        <v>0</v>
      </c>
      <c r="GW65" s="476">
        <v>0</v>
      </c>
      <c r="GX65" s="476">
        <v>0</v>
      </c>
      <c r="GY65" s="476">
        <v>0</v>
      </c>
      <c r="GZ65" s="476">
        <v>0</v>
      </c>
      <c r="HA65" s="476">
        <v>0</v>
      </c>
      <c r="HB65" s="476">
        <v>323396213</v>
      </c>
      <c r="HC65" s="476">
        <v>4.2206E-2</v>
      </c>
      <c r="HD65" s="476">
        <v>238488</v>
      </c>
      <c r="HE65" s="476">
        <v>0</v>
      </c>
      <c r="HF65" s="476">
        <v>1484632</v>
      </c>
      <c r="HG65" s="476">
        <v>52359</v>
      </c>
      <c r="HH65" s="476">
        <v>171747</v>
      </c>
      <c r="HI65" s="476">
        <v>0</v>
      </c>
      <c r="HJ65" s="476">
        <v>14126</v>
      </c>
      <c r="HK65" s="476">
        <v>4126</v>
      </c>
      <c r="HL65" s="476">
        <v>860</v>
      </c>
      <c r="HM65" s="476">
        <v>33000</v>
      </c>
      <c r="HN65" s="476">
        <v>0</v>
      </c>
      <c r="HO65" s="476">
        <v>0</v>
      </c>
      <c r="HP65" s="476">
        <v>0</v>
      </c>
      <c r="HQ65" s="476">
        <v>0</v>
      </c>
      <c r="HR65" s="476">
        <v>0</v>
      </c>
      <c r="HS65" s="476">
        <v>11742319</v>
      </c>
      <c r="HT65" s="476">
        <v>265795</v>
      </c>
      <c r="HU65" s="476">
        <v>0</v>
      </c>
      <c r="HV65" s="476">
        <v>0</v>
      </c>
      <c r="HW65" s="476">
        <v>0</v>
      </c>
      <c r="HX65" s="476">
        <v>116</v>
      </c>
      <c r="HY65" s="476">
        <v>174</v>
      </c>
      <c r="HZ65" s="476">
        <v>116</v>
      </c>
      <c r="IA65" s="476">
        <v>150</v>
      </c>
      <c r="IB65" s="476">
        <v>108</v>
      </c>
      <c r="IC65" s="476">
        <v>664</v>
      </c>
      <c r="ID65" s="476">
        <v>0</v>
      </c>
      <c r="IE65" s="476">
        <v>133.517</v>
      </c>
      <c r="IF65" s="476">
        <v>0</v>
      </c>
      <c r="IG65" s="476">
        <v>85</v>
      </c>
      <c r="IH65" s="476">
        <v>278.81700000000001</v>
      </c>
      <c r="II65" s="476">
        <v>0</v>
      </c>
      <c r="IJ65" s="476">
        <v>267.48400000000004</v>
      </c>
      <c r="IK65" s="476">
        <v>0</v>
      </c>
      <c r="IL65" s="476">
        <v>3</v>
      </c>
      <c r="IM65" s="476">
        <v>6</v>
      </c>
      <c r="IN65" s="476">
        <v>0</v>
      </c>
      <c r="IO65" s="476">
        <v>9</v>
      </c>
      <c r="IP65" s="476">
        <v>0</v>
      </c>
      <c r="IQ65" s="476">
        <v>133.96700000000001</v>
      </c>
      <c r="IR65" s="476">
        <v>82522</v>
      </c>
      <c r="IS65" s="476">
        <v>0</v>
      </c>
      <c r="IT65" s="476">
        <v>15000</v>
      </c>
      <c r="IU65" s="476">
        <v>18000</v>
      </c>
      <c r="IV65" s="476">
        <v>0</v>
      </c>
      <c r="IW65" s="476">
        <v>6160</v>
      </c>
      <c r="IX65" s="476">
        <v>123367</v>
      </c>
      <c r="IY65" s="476">
        <v>0</v>
      </c>
      <c r="IZ65" s="476">
        <v>0</v>
      </c>
      <c r="JA65" s="476">
        <v>0</v>
      </c>
      <c r="JB65" s="476">
        <v>0</v>
      </c>
      <c r="JC65" s="476">
        <v>0</v>
      </c>
      <c r="JD65" s="476">
        <v>0</v>
      </c>
      <c r="JE65" s="476">
        <v>0</v>
      </c>
      <c r="JF65" s="476">
        <v>0</v>
      </c>
      <c r="JG65" s="476">
        <v>0</v>
      </c>
      <c r="JH65" s="476">
        <v>0</v>
      </c>
      <c r="JI65" s="476">
        <v>0</v>
      </c>
      <c r="JJ65" s="476">
        <v>0</v>
      </c>
      <c r="JK65" s="476">
        <v>0</v>
      </c>
      <c r="JL65" s="476">
        <v>0</v>
      </c>
      <c r="JM65" s="476">
        <v>0</v>
      </c>
      <c r="JN65" s="476">
        <v>32469</v>
      </c>
      <c r="JO65" s="476">
        <v>0</v>
      </c>
      <c r="JP65" s="476">
        <v>14.511000000000001</v>
      </c>
      <c r="JQ65" s="476">
        <v>13.349</v>
      </c>
      <c r="JR65" s="476">
        <v>0</v>
      </c>
      <c r="JS65" s="476">
        <v>134885</v>
      </c>
      <c r="JT65" s="476">
        <v>142502</v>
      </c>
      <c r="JU65" s="476">
        <v>0</v>
      </c>
      <c r="JV65" s="476">
        <v>0</v>
      </c>
      <c r="JW65" s="476">
        <v>0</v>
      </c>
      <c r="JX65" s="476">
        <v>0</v>
      </c>
      <c r="JY65" s="476">
        <v>0</v>
      </c>
      <c r="JZ65" s="476">
        <v>0</v>
      </c>
      <c r="KA65" s="476">
        <v>0</v>
      </c>
      <c r="KB65" s="476">
        <v>0</v>
      </c>
      <c r="KC65" s="476">
        <v>0</v>
      </c>
      <c r="KD65" s="476">
        <v>0</v>
      </c>
      <c r="KE65" s="476">
        <v>7262</v>
      </c>
      <c r="KF65" s="476">
        <v>0</v>
      </c>
      <c r="KG65" s="476">
        <v>0</v>
      </c>
      <c r="KH65" s="476">
        <v>13599631</v>
      </c>
      <c r="KI65" s="476">
        <v>0</v>
      </c>
      <c r="KJ65" s="476">
        <v>29</v>
      </c>
      <c r="KK65" s="476">
        <v>56</v>
      </c>
      <c r="KL65" s="476">
        <v>17864</v>
      </c>
      <c r="KM65" s="476">
        <v>34495</v>
      </c>
      <c r="KN65" s="476">
        <v>0</v>
      </c>
    </row>
    <row r="66" spans="1:300" x14ac:dyDescent="0.25">
      <c r="A66" s="476">
        <v>40976</v>
      </c>
      <c r="B66" s="476">
        <v>57846</v>
      </c>
      <c r="C66" s="476">
        <v>9</v>
      </c>
      <c r="D66" s="476">
        <v>2024</v>
      </c>
      <c r="E66" s="476">
        <v>6160</v>
      </c>
      <c r="F66" s="476">
        <v>0</v>
      </c>
      <c r="G66" s="476">
        <v>1291.0830000000001</v>
      </c>
      <c r="H66" s="476">
        <v>1167.4260000000002</v>
      </c>
      <c r="I66" s="476">
        <v>1167.4260000000002</v>
      </c>
      <c r="J66" s="476">
        <v>1291.0830000000001</v>
      </c>
      <c r="K66" s="476">
        <v>0</v>
      </c>
      <c r="L66" s="476">
        <v>6160</v>
      </c>
      <c r="M66" s="476">
        <v>0</v>
      </c>
      <c r="N66" s="476">
        <v>0</v>
      </c>
      <c r="O66" s="476">
        <v>0</v>
      </c>
      <c r="P66" s="476">
        <v>1291.0830000000001</v>
      </c>
      <c r="Q66" s="476">
        <v>0</v>
      </c>
      <c r="R66" s="476">
        <v>535650</v>
      </c>
      <c r="S66" s="476">
        <v>414.88400000000001</v>
      </c>
      <c r="T66" s="476">
        <v>0</v>
      </c>
      <c r="U66" s="476">
        <v>0</v>
      </c>
      <c r="V66" s="476">
        <v>489.56700000000001</v>
      </c>
      <c r="W66" s="476">
        <v>389324</v>
      </c>
      <c r="X66" s="476">
        <v>389324</v>
      </c>
      <c r="Y66" s="476">
        <v>0</v>
      </c>
      <c r="Z66" s="476">
        <v>0</v>
      </c>
      <c r="AA66" s="476">
        <v>0</v>
      </c>
      <c r="AB66" s="476">
        <v>0</v>
      </c>
      <c r="AC66" s="476">
        <v>0</v>
      </c>
      <c r="AD66" s="476" t="s">
        <v>314</v>
      </c>
      <c r="AE66" s="476">
        <v>0</v>
      </c>
      <c r="AF66" s="476">
        <v>0</v>
      </c>
      <c r="AG66" s="476">
        <v>0</v>
      </c>
      <c r="AH66" s="476">
        <v>0</v>
      </c>
      <c r="AI66" s="476">
        <v>0</v>
      </c>
      <c r="AJ66" s="476">
        <v>6160</v>
      </c>
      <c r="AK66" s="476" t="s">
        <v>651</v>
      </c>
      <c r="AL66" s="476" t="s">
        <v>115</v>
      </c>
      <c r="AM66" s="476">
        <v>0</v>
      </c>
      <c r="AN66" s="476">
        <v>0</v>
      </c>
      <c r="AO66" s="476">
        <v>0</v>
      </c>
      <c r="AP66" s="476">
        <v>0</v>
      </c>
      <c r="AQ66" s="476">
        <v>0</v>
      </c>
      <c r="AR66" s="476">
        <v>0</v>
      </c>
      <c r="AS66" s="476">
        <v>0</v>
      </c>
      <c r="AT66" s="476">
        <v>0</v>
      </c>
      <c r="AU66" s="476">
        <v>0</v>
      </c>
      <c r="AV66" s="476">
        <v>0</v>
      </c>
      <c r="AW66" s="476">
        <v>14142528</v>
      </c>
      <c r="AX66" s="476">
        <v>13927190</v>
      </c>
      <c r="AY66" s="476">
        <v>0</v>
      </c>
      <c r="AZ66" s="476">
        <v>535650</v>
      </c>
      <c r="BA66" s="476">
        <v>0</v>
      </c>
      <c r="BB66" s="476">
        <v>26001</v>
      </c>
      <c r="BC66" s="476">
        <v>25836</v>
      </c>
      <c r="BD66" s="476">
        <v>61</v>
      </c>
      <c r="BE66" s="476">
        <v>166</v>
      </c>
      <c r="BF66" s="476">
        <v>12562726</v>
      </c>
      <c r="BG66" s="476">
        <v>0</v>
      </c>
      <c r="BH66" s="476">
        <v>0</v>
      </c>
      <c r="BI66" s="476">
        <v>0</v>
      </c>
      <c r="BJ66" s="476">
        <v>12</v>
      </c>
      <c r="BK66" s="476">
        <v>0</v>
      </c>
      <c r="BL66" s="476">
        <v>0</v>
      </c>
      <c r="BM66" s="476">
        <v>0</v>
      </c>
      <c r="BN66" s="476">
        <v>0</v>
      </c>
      <c r="BO66" s="476">
        <v>0</v>
      </c>
      <c r="BP66" s="476">
        <v>0</v>
      </c>
      <c r="BQ66" s="476">
        <v>590</v>
      </c>
      <c r="BR66" s="476">
        <v>0</v>
      </c>
      <c r="BS66" s="476">
        <v>0</v>
      </c>
      <c r="BT66" s="476">
        <v>0</v>
      </c>
      <c r="BU66" s="476">
        <v>0</v>
      </c>
      <c r="BV66" s="476">
        <v>0</v>
      </c>
      <c r="BW66" s="476">
        <v>0</v>
      </c>
      <c r="BX66" s="476">
        <v>0</v>
      </c>
      <c r="BY66" s="476">
        <v>0</v>
      </c>
      <c r="BZ66" s="476">
        <v>0</v>
      </c>
      <c r="CA66" s="476">
        <v>0</v>
      </c>
      <c r="CB66" s="476">
        <v>0</v>
      </c>
      <c r="CC66" s="476">
        <v>0</v>
      </c>
      <c r="CD66" s="476">
        <v>0</v>
      </c>
      <c r="CE66" s="476">
        <v>0</v>
      </c>
      <c r="CF66" s="476">
        <v>0</v>
      </c>
      <c r="CG66" s="476">
        <v>0</v>
      </c>
      <c r="CH66" s="476">
        <v>217967</v>
      </c>
      <c r="CI66" s="476">
        <v>0</v>
      </c>
      <c r="CJ66" s="476">
        <v>4</v>
      </c>
      <c r="CK66" s="476">
        <v>0</v>
      </c>
      <c r="CL66" s="476">
        <v>0</v>
      </c>
      <c r="CM66" s="476">
        <v>0</v>
      </c>
      <c r="CN66" s="476">
        <v>0</v>
      </c>
      <c r="CO66" s="476">
        <v>1</v>
      </c>
      <c r="CP66" s="476">
        <v>0</v>
      </c>
      <c r="CQ66" s="476">
        <v>0</v>
      </c>
      <c r="CR66" s="476">
        <v>1291.0830000000001</v>
      </c>
      <c r="CS66" s="476">
        <v>0</v>
      </c>
      <c r="CT66" s="476">
        <v>0</v>
      </c>
      <c r="CU66" s="476">
        <v>0</v>
      </c>
      <c r="CV66" s="476">
        <v>0</v>
      </c>
      <c r="CW66" s="476">
        <v>0</v>
      </c>
      <c r="CX66" s="476">
        <v>0</v>
      </c>
      <c r="CY66" s="476">
        <v>0</v>
      </c>
      <c r="CZ66" s="476">
        <v>0</v>
      </c>
      <c r="DA66" s="476">
        <v>0</v>
      </c>
      <c r="DB66" s="476">
        <v>7023379</v>
      </c>
      <c r="DC66" s="476">
        <v>0</v>
      </c>
      <c r="DD66" s="476">
        <v>0</v>
      </c>
      <c r="DE66" s="476">
        <v>1592401</v>
      </c>
      <c r="DF66" s="476">
        <v>1592401</v>
      </c>
      <c r="DG66" s="476">
        <v>258.51300000000003</v>
      </c>
      <c r="DH66" s="476">
        <v>0</v>
      </c>
      <c r="DI66" s="476">
        <v>0</v>
      </c>
      <c r="DJ66" s="476">
        <v>0</v>
      </c>
      <c r="DK66" s="476">
        <v>1066</v>
      </c>
      <c r="DL66" s="476">
        <v>0</v>
      </c>
      <c r="DM66" s="476">
        <v>884356</v>
      </c>
      <c r="DN66" s="476">
        <v>2464</v>
      </c>
      <c r="DO66" s="476">
        <v>0</v>
      </c>
      <c r="DP66" s="476">
        <v>0</v>
      </c>
      <c r="DQ66" s="476">
        <v>0</v>
      </c>
      <c r="DR66" s="476">
        <v>0</v>
      </c>
      <c r="DS66" s="476">
        <v>0</v>
      </c>
      <c r="DT66" s="476">
        <v>0</v>
      </c>
      <c r="DU66" s="476">
        <v>0</v>
      </c>
      <c r="DV66" s="476">
        <v>0</v>
      </c>
      <c r="DW66" s="476">
        <v>0</v>
      </c>
      <c r="DX66" s="476">
        <v>0</v>
      </c>
      <c r="DY66" s="476">
        <v>0</v>
      </c>
      <c r="DZ66" s="476">
        <v>0</v>
      </c>
      <c r="EA66" s="476">
        <v>0</v>
      </c>
      <c r="EB66" s="476">
        <v>0</v>
      </c>
      <c r="EC66" s="476">
        <v>41.283000000000001</v>
      </c>
      <c r="ED66" s="476">
        <v>292442</v>
      </c>
      <c r="EE66" s="476">
        <v>0</v>
      </c>
      <c r="EF66" s="476">
        <v>0</v>
      </c>
      <c r="EG66" s="476">
        <v>0</v>
      </c>
      <c r="EH66" s="476">
        <v>426576</v>
      </c>
      <c r="EI66" s="476">
        <v>0</v>
      </c>
      <c r="EJ66" s="476">
        <v>0</v>
      </c>
      <c r="EK66" s="476">
        <v>19.831</v>
      </c>
      <c r="EL66" s="476">
        <v>0</v>
      </c>
      <c r="EM66" s="476">
        <v>0.436</v>
      </c>
      <c r="EN66" s="476">
        <v>1.69</v>
      </c>
      <c r="EO66" s="476">
        <v>0</v>
      </c>
      <c r="EP66" s="476">
        <v>0</v>
      </c>
      <c r="EQ66" s="476">
        <v>21.957000000000001</v>
      </c>
      <c r="ER66" s="476">
        <v>0</v>
      </c>
      <c r="ES66" s="476">
        <v>69.251000000000005</v>
      </c>
      <c r="ET66" s="476">
        <v>0</v>
      </c>
      <c r="EU66" s="476">
        <v>0</v>
      </c>
      <c r="EV66" s="476">
        <v>0</v>
      </c>
      <c r="EW66" s="476">
        <v>0</v>
      </c>
      <c r="EX66" s="476">
        <v>0</v>
      </c>
      <c r="EY66" s="476">
        <v>0</v>
      </c>
      <c r="EZ66" s="476">
        <v>12034214</v>
      </c>
      <c r="FA66" s="476">
        <v>0</v>
      </c>
      <c r="FB66" s="476">
        <v>12567235</v>
      </c>
      <c r="FC66" s="476">
        <v>0</v>
      </c>
      <c r="FD66" s="476">
        <v>0</v>
      </c>
      <c r="FE66" s="476">
        <v>1622077</v>
      </c>
      <c r="FF66" s="476">
        <v>270899</v>
      </c>
      <c r="FG66" s="476">
        <v>6.3017999999999991E-2</v>
      </c>
      <c r="FH66" s="476">
        <v>2.6953999999999999E-2</v>
      </c>
      <c r="FI66" s="476">
        <v>0</v>
      </c>
      <c r="FJ66" s="476">
        <v>0</v>
      </c>
      <c r="FK66" s="476">
        <v>2039.45</v>
      </c>
      <c r="FL66" s="476">
        <v>14678178</v>
      </c>
      <c r="FM66" s="476">
        <v>0</v>
      </c>
      <c r="FN66" s="476">
        <v>0</v>
      </c>
      <c r="FO66" s="476">
        <v>0</v>
      </c>
      <c r="FP66" s="476">
        <v>0</v>
      </c>
      <c r="FQ66" s="476">
        <v>0</v>
      </c>
      <c r="FR66" s="476">
        <v>0</v>
      </c>
      <c r="FS66" s="476">
        <v>0</v>
      </c>
      <c r="FT66" s="476">
        <v>0</v>
      </c>
      <c r="FU66" s="476">
        <v>0</v>
      </c>
      <c r="FV66" s="476">
        <v>0</v>
      </c>
      <c r="FW66" s="476">
        <v>0</v>
      </c>
      <c r="FX66" s="476">
        <v>0</v>
      </c>
      <c r="FY66" s="476">
        <v>0</v>
      </c>
      <c r="FZ66" s="476">
        <v>0</v>
      </c>
      <c r="GA66" s="476">
        <v>0</v>
      </c>
      <c r="GB66" s="476">
        <v>1024435</v>
      </c>
      <c r="GC66" s="476">
        <v>1024435</v>
      </c>
      <c r="GD66" s="476">
        <v>101.7</v>
      </c>
      <c r="GE66" s="476">
        <v>0</v>
      </c>
      <c r="GF66" s="476">
        <v>0</v>
      </c>
      <c r="GG66" s="476">
        <v>0</v>
      </c>
      <c r="GH66" s="476">
        <v>0</v>
      </c>
      <c r="GI66" s="476">
        <v>0</v>
      </c>
      <c r="GJ66" s="476">
        <v>0</v>
      </c>
      <c r="GK66" s="476">
        <v>0</v>
      </c>
      <c r="GL66" s="476">
        <v>0</v>
      </c>
      <c r="GM66" s="476">
        <v>0</v>
      </c>
      <c r="GN66" s="476">
        <v>0</v>
      </c>
      <c r="GO66" s="476">
        <v>0</v>
      </c>
      <c r="GP66" s="476">
        <v>0</v>
      </c>
      <c r="GQ66" s="476">
        <v>13924561</v>
      </c>
      <c r="GR66" s="476">
        <v>0</v>
      </c>
      <c r="GS66" s="476">
        <v>0</v>
      </c>
      <c r="GT66" s="476">
        <v>0</v>
      </c>
      <c r="GU66" s="476">
        <v>0</v>
      </c>
      <c r="GV66" s="476">
        <v>0</v>
      </c>
      <c r="GW66" s="476">
        <v>0</v>
      </c>
      <c r="GX66" s="476">
        <v>0</v>
      </c>
      <c r="GY66" s="476">
        <v>0</v>
      </c>
      <c r="GZ66" s="476">
        <v>0</v>
      </c>
      <c r="HA66" s="476">
        <v>0</v>
      </c>
      <c r="HB66" s="476">
        <v>323396213</v>
      </c>
      <c r="HC66" s="476">
        <v>4.2206E-2</v>
      </c>
      <c r="HD66" s="476">
        <v>217967</v>
      </c>
      <c r="HE66" s="476">
        <v>0</v>
      </c>
      <c r="HF66" s="476">
        <v>1286503</v>
      </c>
      <c r="HG66" s="476">
        <v>27719</v>
      </c>
      <c r="HH66" s="476">
        <v>280407</v>
      </c>
      <c r="HI66" s="476">
        <v>0</v>
      </c>
      <c r="HJ66" s="476">
        <v>12911</v>
      </c>
      <c r="HK66" s="476">
        <v>4579</v>
      </c>
      <c r="HL66" s="476">
        <v>2559</v>
      </c>
      <c r="HM66" s="476">
        <v>0</v>
      </c>
      <c r="HN66" s="476">
        <v>12826</v>
      </c>
      <c r="HO66" s="476">
        <v>0</v>
      </c>
      <c r="HP66" s="476">
        <v>0</v>
      </c>
      <c r="HQ66" s="476">
        <v>0</v>
      </c>
      <c r="HR66" s="476">
        <v>0</v>
      </c>
      <c r="HS66" s="476">
        <v>12031585</v>
      </c>
      <c r="HT66" s="476">
        <v>270899</v>
      </c>
      <c r="HU66" s="476">
        <v>0</v>
      </c>
      <c r="HV66" s="476">
        <v>0</v>
      </c>
      <c r="HW66" s="476">
        <v>0</v>
      </c>
      <c r="HX66" s="476">
        <v>85</v>
      </c>
      <c r="HY66" s="476">
        <v>123</v>
      </c>
      <c r="HZ66" s="476">
        <v>209</v>
      </c>
      <c r="IA66" s="476">
        <v>324</v>
      </c>
      <c r="IB66" s="476">
        <v>265</v>
      </c>
      <c r="IC66" s="476">
        <v>1006</v>
      </c>
      <c r="ID66" s="476">
        <v>0</v>
      </c>
      <c r="IE66" s="476">
        <v>94.867000000000004</v>
      </c>
      <c r="IF66" s="476">
        <v>0.33300000000000002</v>
      </c>
      <c r="IG66" s="476">
        <v>45</v>
      </c>
      <c r="IH66" s="476">
        <v>455.21700000000004</v>
      </c>
      <c r="II66" s="476">
        <v>0</v>
      </c>
      <c r="IJ66" s="476">
        <v>584.76700000000005</v>
      </c>
      <c r="IK66" s="476">
        <v>0</v>
      </c>
      <c r="IL66" s="476">
        <v>0</v>
      </c>
      <c r="IM66" s="476">
        <v>0</v>
      </c>
      <c r="IN66" s="476">
        <v>0</v>
      </c>
      <c r="IO66" s="476">
        <v>0</v>
      </c>
      <c r="IP66" s="476">
        <v>0</v>
      </c>
      <c r="IQ66" s="476">
        <v>489.56700000000001</v>
      </c>
      <c r="IR66" s="476">
        <v>301566</v>
      </c>
      <c r="IS66" s="476">
        <v>0</v>
      </c>
      <c r="IT66" s="476">
        <v>0</v>
      </c>
      <c r="IU66" s="476">
        <v>0</v>
      </c>
      <c r="IV66" s="476">
        <v>0</v>
      </c>
      <c r="IW66" s="476">
        <v>6160</v>
      </c>
      <c r="IX66" s="476">
        <v>87655</v>
      </c>
      <c r="IY66" s="476">
        <v>103</v>
      </c>
      <c r="IZ66" s="476">
        <v>0</v>
      </c>
      <c r="JA66" s="476">
        <v>0</v>
      </c>
      <c r="JB66" s="476">
        <v>0</v>
      </c>
      <c r="JC66" s="476">
        <v>0</v>
      </c>
      <c r="JD66" s="476">
        <v>0</v>
      </c>
      <c r="JE66" s="476">
        <v>0</v>
      </c>
      <c r="JF66" s="476">
        <v>2</v>
      </c>
      <c r="JG66" s="476">
        <v>11326</v>
      </c>
      <c r="JH66" s="476">
        <v>1500</v>
      </c>
      <c r="JI66" s="476">
        <v>0</v>
      </c>
      <c r="JJ66" s="476">
        <v>0</v>
      </c>
      <c r="JK66" s="476">
        <v>0</v>
      </c>
      <c r="JL66" s="476">
        <v>0</v>
      </c>
      <c r="JM66" s="476">
        <v>0</v>
      </c>
      <c r="JN66" s="476">
        <v>32469</v>
      </c>
      <c r="JO66" s="476">
        <v>0</v>
      </c>
      <c r="JP66" s="476">
        <v>44.374000000000002</v>
      </c>
      <c r="JQ66" s="476">
        <v>57.326000000000001</v>
      </c>
      <c r="JR66" s="476">
        <v>0</v>
      </c>
      <c r="JS66" s="476">
        <v>412472</v>
      </c>
      <c r="JT66" s="476">
        <v>611963</v>
      </c>
      <c r="JU66" s="476">
        <v>26303</v>
      </c>
      <c r="JV66" s="476">
        <v>0</v>
      </c>
      <c r="JW66" s="476">
        <v>0</v>
      </c>
      <c r="JX66" s="476">
        <v>0</v>
      </c>
      <c r="JY66" s="476">
        <v>0</v>
      </c>
      <c r="JZ66" s="476">
        <v>0</v>
      </c>
      <c r="KA66" s="476">
        <v>0</v>
      </c>
      <c r="KB66" s="476">
        <v>0</v>
      </c>
      <c r="KC66" s="476">
        <v>0</v>
      </c>
      <c r="KD66" s="476">
        <v>26303</v>
      </c>
      <c r="KE66" s="476">
        <v>7262</v>
      </c>
      <c r="KF66" s="476">
        <v>0</v>
      </c>
      <c r="KG66" s="476">
        <v>0</v>
      </c>
      <c r="KH66" s="476">
        <v>13924561</v>
      </c>
      <c r="KI66" s="476">
        <v>0</v>
      </c>
      <c r="KJ66" s="476">
        <v>25</v>
      </c>
      <c r="KK66" s="476">
        <v>20</v>
      </c>
      <c r="KL66" s="476">
        <v>15400</v>
      </c>
      <c r="KM66" s="476">
        <v>12320</v>
      </c>
      <c r="KN66" s="476">
        <v>0</v>
      </c>
    </row>
    <row r="67" spans="1:300" x14ac:dyDescent="0.25">
      <c r="A67" s="476">
        <v>40976</v>
      </c>
      <c r="B67" s="476">
        <v>57847</v>
      </c>
      <c r="C67" s="476">
        <v>9</v>
      </c>
      <c r="D67" s="476">
        <v>2024</v>
      </c>
      <c r="E67" s="476">
        <v>6160</v>
      </c>
      <c r="F67" s="476">
        <v>0</v>
      </c>
      <c r="G67" s="476">
        <v>1180.6500000000001</v>
      </c>
      <c r="H67" s="476">
        <v>964.202</v>
      </c>
      <c r="I67" s="476">
        <v>964.202</v>
      </c>
      <c r="J67" s="476">
        <v>1180.6500000000001</v>
      </c>
      <c r="K67" s="476">
        <v>0</v>
      </c>
      <c r="L67" s="476">
        <v>6160</v>
      </c>
      <c r="M67" s="476">
        <v>0</v>
      </c>
      <c r="N67" s="476">
        <v>0</v>
      </c>
      <c r="O67" s="476">
        <v>0</v>
      </c>
      <c r="P67" s="476">
        <v>1178.4670000000001</v>
      </c>
      <c r="Q67" s="476">
        <v>0</v>
      </c>
      <c r="R67" s="476">
        <v>488927</v>
      </c>
      <c r="S67" s="476">
        <v>414.88400000000001</v>
      </c>
      <c r="T67" s="476">
        <v>0</v>
      </c>
      <c r="U67" s="476">
        <v>0</v>
      </c>
      <c r="V67" s="476">
        <v>29.133000000000003</v>
      </c>
      <c r="W67" s="476">
        <v>17946</v>
      </c>
      <c r="X67" s="476">
        <v>17946</v>
      </c>
      <c r="Y67" s="476">
        <v>0</v>
      </c>
      <c r="Z67" s="476">
        <v>0</v>
      </c>
      <c r="AA67" s="476">
        <v>0</v>
      </c>
      <c r="AB67" s="476">
        <v>0</v>
      </c>
      <c r="AC67" s="476">
        <v>0</v>
      </c>
      <c r="AD67" s="476" t="s">
        <v>314</v>
      </c>
      <c r="AE67" s="476">
        <v>0</v>
      </c>
      <c r="AF67" s="476">
        <v>0</v>
      </c>
      <c r="AG67" s="476">
        <v>0</v>
      </c>
      <c r="AH67" s="476">
        <v>0</v>
      </c>
      <c r="AI67" s="476">
        <v>0</v>
      </c>
      <c r="AJ67" s="476">
        <v>6160</v>
      </c>
      <c r="AK67" s="476" t="s">
        <v>651</v>
      </c>
      <c r="AL67" s="476" t="s">
        <v>331</v>
      </c>
      <c r="AM67" s="476">
        <v>0</v>
      </c>
      <c r="AN67" s="476">
        <v>0</v>
      </c>
      <c r="AO67" s="476">
        <v>0</v>
      </c>
      <c r="AP67" s="476">
        <v>0</v>
      </c>
      <c r="AQ67" s="476">
        <v>0</v>
      </c>
      <c r="AR67" s="476">
        <v>0</v>
      </c>
      <c r="AS67" s="476">
        <v>0</v>
      </c>
      <c r="AT67" s="476">
        <v>0</v>
      </c>
      <c r="AU67" s="476">
        <v>0</v>
      </c>
      <c r="AV67" s="476">
        <v>0</v>
      </c>
      <c r="AW67" s="476">
        <v>12450476</v>
      </c>
      <c r="AX67" s="476">
        <v>12253696</v>
      </c>
      <c r="AY67" s="476">
        <v>0</v>
      </c>
      <c r="AZ67" s="476">
        <v>488927</v>
      </c>
      <c r="BA67" s="476">
        <v>0</v>
      </c>
      <c r="BB67" s="476">
        <v>0</v>
      </c>
      <c r="BC67" s="476">
        <v>0</v>
      </c>
      <c r="BD67" s="476">
        <v>0</v>
      </c>
      <c r="BE67" s="476">
        <v>0</v>
      </c>
      <c r="BF67" s="476">
        <v>11070729</v>
      </c>
      <c r="BG67" s="476">
        <v>0</v>
      </c>
      <c r="BH67" s="476">
        <v>0</v>
      </c>
      <c r="BI67" s="476">
        <v>0</v>
      </c>
      <c r="BJ67" s="476">
        <v>12</v>
      </c>
      <c r="BK67" s="476">
        <v>0</v>
      </c>
      <c r="BL67" s="476">
        <v>0</v>
      </c>
      <c r="BM67" s="476">
        <v>0</v>
      </c>
      <c r="BN67" s="476">
        <v>0</v>
      </c>
      <c r="BO67" s="476">
        <v>0</v>
      </c>
      <c r="BP67" s="476">
        <v>0</v>
      </c>
      <c r="BQ67" s="476">
        <v>622</v>
      </c>
      <c r="BR67" s="476">
        <v>0</v>
      </c>
      <c r="BS67" s="476">
        <v>0</v>
      </c>
      <c r="BT67" s="476">
        <v>0</v>
      </c>
      <c r="BU67" s="476">
        <v>0</v>
      </c>
      <c r="BV67" s="476">
        <v>0</v>
      </c>
      <c r="BW67" s="476">
        <v>0</v>
      </c>
      <c r="BX67" s="476">
        <v>0</v>
      </c>
      <c r="BY67" s="476">
        <v>0</v>
      </c>
      <c r="BZ67" s="476">
        <v>0</v>
      </c>
      <c r="CA67" s="476">
        <v>0</v>
      </c>
      <c r="CB67" s="476">
        <v>0</v>
      </c>
      <c r="CC67" s="476">
        <v>0</v>
      </c>
      <c r="CD67" s="476">
        <v>0</v>
      </c>
      <c r="CE67" s="476">
        <v>0</v>
      </c>
      <c r="CF67" s="476">
        <v>0</v>
      </c>
      <c r="CG67" s="476">
        <v>0</v>
      </c>
      <c r="CH67" s="476">
        <v>199324</v>
      </c>
      <c r="CI67" s="476">
        <v>0</v>
      </c>
      <c r="CJ67" s="476">
        <v>4</v>
      </c>
      <c r="CK67" s="476">
        <v>0</v>
      </c>
      <c r="CL67" s="476">
        <v>0</v>
      </c>
      <c r="CM67" s="476">
        <v>0</v>
      </c>
      <c r="CN67" s="476">
        <v>0</v>
      </c>
      <c r="CO67" s="476">
        <v>1</v>
      </c>
      <c r="CP67" s="476">
        <v>0</v>
      </c>
      <c r="CQ67" s="476">
        <v>0</v>
      </c>
      <c r="CR67" s="476">
        <v>1180.6500000000001</v>
      </c>
      <c r="CS67" s="476">
        <v>0</v>
      </c>
      <c r="CT67" s="476">
        <v>0</v>
      </c>
      <c r="CU67" s="476">
        <v>0</v>
      </c>
      <c r="CV67" s="476">
        <v>0</v>
      </c>
      <c r="CW67" s="476">
        <v>0</v>
      </c>
      <c r="CX67" s="476">
        <v>0</v>
      </c>
      <c r="CY67" s="476">
        <v>0</v>
      </c>
      <c r="CZ67" s="476">
        <v>0</v>
      </c>
      <c r="DA67" s="476">
        <v>0</v>
      </c>
      <c r="DB67" s="476">
        <v>5939349</v>
      </c>
      <c r="DC67" s="476">
        <v>0</v>
      </c>
      <c r="DD67" s="476">
        <v>0</v>
      </c>
      <c r="DE67" s="476">
        <v>1062268</v>
      </c>
      <c r="DF67" s="476">
        <v>1062268</v>
      </c>
      <c r="DG67" s="476">
        <v>172.45000000000002</v>
      </c>
      <c r="DH67" s="476">
        <v>0</v>
      </c>
      <c r="DI67" s="476">
        <v>0</v>
      </c>
      <c r="DJ67" s="476">
        <v>0</v>
      </c>
      <c r="DK67" s="476">
        <v>1567</v>
      </c>
      <c r="DL67" s="476">
        <v>0</v>
      </c>
      <c r="DM67" s="476">
        <v>739886</v>
      </c>
      <c r="DN67" s="476">
        <v>2544</v>
      </c>
      <c r="DO67" s="476">
        <v>0</v>
      </c>
      <c r="DP67" s="476">
        <v>0</v>
      </c>
      <c r="DQ67" s="476">
        <v>0</v>
      </c>
      <c r="DR67" s="476">
        <v>0</v>
      </c>
      <c r="DS67" s="476">
        <v>0</v>
      </c>
      <c r="DT67" s="476">
        <v>0</v>
      </c>
      <c r="DU67" s="476">
        <v>0</v>
      </c>
      <c r="DV67" s="476">
        <v>0</v>
      </c>
      <c r="DW67" s="476">
        <v>0</v>
      </c>
      <c r="DX67" s="476">
        <v>0</v>
      </c>
      <c r="DY67" s="476">
        <v>0</v>
      </c>
      <c r="DZ67" s="476">
        <v>0</v>
      </c>
      <c r="EA67" s="476">
        <v>0</v>
      </c>
      <c r="EB67" s="476">
        <v>0</v>
      </c>
      <c r="EC67" s="476">
        <v>52.667000000000002</v>
      </c>
      <c r="ED67" s="476">
        <v>373085</v>
      </c>
      <c r="EE67" s="476">
        <v>0</v>
      </c>
      <c r="EF67" s="476">
        <v>0</v>
      </c>
      <c r="EG67" s="476">
        <v>0</v>
      </c>
      <c r="EH67" s="476">
        <v>369345</v>
      </c>
      <c r="EI67" s="476">
        <v>0</v>
      </c>
      <c r="EJ67" s="476">
        <v>0</v>
      </c>
      <c r="EK67" s="476">
        <v>14.187000000000001</v>
      </c>
      <c r="EL67" s="476">
        <v>0</v>
      </c>
      <c r="EM67" s="476">
        <v>2.7230000000000003</v>
      </c>
      <c r="EN67" s="476">
        <v>1.8460000000000001</v>
      </c>
      <c r="EO67" s="476">
        <v>0</v>
      </c>
      <c r="EP67" s="476">
        <v>0</v>
      </c>
      <c r="EQ67" s="476">
        <v>18.756</v>
      </c>
      <c r="ER67" s="476">
        <v>0</v>
      </c>
      <c r="ES67" s="476">
        <v>59.96</v>
      </c>
      <c r="ET67" s="476">
        <v>0</v>
      </c>
      <c r="EU67" s="476">
        <v>0</v>
      </c>
      <c r="EV67" s="476">
        <v>0</v>
      </c>
      <c r="EW67" s="476">
        <v>0</v>
      </c>
      <c r="EX67" s="476">
        <v>0</v>
      </c>
      <c r="EY67" s="476">
        <v>0</v>
      </c>
      <c r="EZ67" s="476">
        <v>10585537</v>
      </c>
      <c r="FA67" s="476">
        <v>0</v>
      </c>
      <c r="FB67" s="476">
        <v>11071920</v>
      </c>
      <c r="FC67" s="476">
        <v>0</v>
      </c>
      <c r="FD67" s="476">
        <v>0</v>
      </c>
      <c r="FE67" s="476">
        <v>1429433</v>
      </c>
      <c r="FF67" s="476">
        <v>238726</v>
      </c>
      <c r="FG67" s="476">
        <v>6.3017999999999991E-2</v>
      </c>
      <c r="FH67" s="476">
        <v>2.6953999999999999E-2</v>
      </c>
      <c r="FI67" s="476">
        <v>0</v>
      </c>
      <c r="FJ67" s="476">
        <v>0</v>
      </c>
      <c r="FK67" s="476">
        <v>1797.2370000000001</v>
      </c>
      <c r="FL67" s="476">
        <v>12939403</v>
      </c>
      <c r="FM67" s="476">
        <v>0</v>
      </c>
      <c r="FN67" s="476">
        <v>0</v>
      </c>
      <c r="FO67" s="476">
        <v>0</v>
      </c>
      <c r="FP67" s="476">
        <v>0</v>
      </c>
      <c r="FQ67" s="476">
        <v>0</v>
      </c>
      <c r="FR67" s="476">
        <v>0</v>
      </c>
      <c r="FS67" s="476">
        <v>0</v>
      </c>
      <c r="FT67" s="476">
        <v>0</v>
      </c>
      <c r="FU67" s="476">
        <v>0</v>
      </c>
      <c r="FV67" s="476">
        <v>0</v>
      </c>
      <c r="FW67" s="476">
        <v>0</v>
      </c>
      <c r="FX67" s="476">
        <v>0</v>
      </c>
      <c r="FY67" s="476">
        <v>0</v>
      </c>
      <c r="FZ67" s="476">
        <v>0</v>
      </c>
      <c r="GA67" s="476">
        <v>0</v>
      </c>
      <c r="GB67" s="476">
        <v>2022362</v>
      </c>
      <c r="GC67" s="476">
        <v>2022362</v>
      </c>
      <c r="GD67" s="476">
        <v>197.69200000000001</v>
      </c>
      <c r="GE67" s="476">
        <v>0</v>
      </c>
      <c r="GF67" s="476">
        <v>0</v>
      </c>
      <c r="GG67" s="476">
        <v>0</v>
      </c>
      <c r="GH67" s="476">
        <v>0</v>
      </c>
      <c r="GI67" s="476">
        <v>0</v>
      </c>
      <c r="GJ67" s="476">
        <v>0</v>
      </c>
      <c r="GK67" s="476">
        <v>0</v>
      </c>
      <c r="GL67" s="476">
        <v>0</v>
      </c>
      <c r="GM67" s="476">
        <v>0</v>
      </c>
      <c r="GN67" s="476">
        <v>0</v>
      </c>
      <c r="GO67" s="476">
        <v>0</v>
      </c>
      <c r="GP67" s="476">
        <v>0</v>
      </c>
      <c r="GQ67" s="476">
        <v>12251152</v>
      </c>
      <c r="GR67" s="476">
        <v>0</v>
      </c>
      <c r="GS67" s="476">
        <v>0</v>
      </c>
      <c r="GT67" s="476">
        <v>0</v>
      </c>
      <c r="GU67" s="476">
        <v>0</v>
      </c>
      <c r="GV67" s="476">
        <v>0</v>
      </c>
      <c r="GW67" s="476">
        <v>0</v>
      </c>
      <c r="GX67" s="476">
        <v>0</v>
      </c>
      <c r="GY67" s="476">
        <v>0</v>
      </c>
      <c r="GZ67" s="476">
        <v>0</v>
      </c>
      <c r="HA67" s="476">
        <v>0</v>
      </c>
      <c r="HB67" s="476">
        <v>323396213</v>
      </c>
      <c r="HC67" s="476">
        <v>4.2206E-2</v>
      </c>
      <c r="HD67" s="476">
        <v>199324</v>
      </c>
      <c r="HE67" s="476">
        <v>0</v>
      </c>
      <c r="HF67" s="476">
        <v>1062551</v>
      </c>
      <c r="HG67" s="476">
        <v>36343</v>
      </c>
      <c r="HH67" s="476">
        <v>137673</v>
      </c>
      <c r="HI67" s="476">
        <v>0</v>
      </c>
      <c r="HJ67" s="476">
        <v>11807</v>
      </c>
      <c r="HK67" s="476">
        <v>2766</v>
      </c>
      <c r="HL67" s="476">
        <v>969</v>
      </c>
      <c r="HM67" s="476">
        <v>38000</v>
      </c>
      <c r="HN67" s="476">
        <v>0</v>
      </c>
      <c r="HO67" s="476">
        <v>0</v>
      </c>
      <c r="HP67" s="476">
        <v>0</v>
      </c>
      <c r="HQ67" s="476">
        <v>0</v>
      </c>
      <c r="HR67" s="476">
        <v>0</v>
      </c>
      <c r="HS67" s="476">
        <v>10582993</v>
      </c>
      <c r="HT67" s="476">
        <v>238726</v>
      </c>
      <c r="HU67" s="476">
        <v>0</v>
      </c>
      <c r="HV67" s="476">
        <v>0</v>
      </c>
      <c r="HW67" s="476">
        <v>0</v>
      </c>
      <c r="HX67" s="476">
        <v>178</v>
      </c>
      <c r="HY67" s="476">
        <v>197</v>
      </c>
      <c r="HZ67" s="476">
        <v>138</v>
      </c>
      <c r="IA67" s="476">
        <v>135</v>
      </c>
      <c r="IB67" s="476">
        <v>57</v>
      </c>
      <c r="IC67" s="476">
        <v>705</v>
      </c>
      <c r="ID67" s="476">
        <v>0</v>
      </c>
      <c r="IE67" s="476">
        <v>0</v>
      </c>
      <c r="IF67" s="476">
        <v>0</v>
      </c>
      <c r="IG67" s="476">
        <v>59</v>
      </c>
      <c r="IH67" s="476">
        <v>223.5</v>
      </c>
      <c r="II67" s="476">
        <v>0</v>
      </c>
      <c r="IJ67" s="476">
        <v>29.133000000000003</v>
      </c>
      <c r="IK67" s="476">
        <v>0</v>
      </c>
      <c r="IL67" s="476">
        <v>3</v>
      </c>
      <c r="IM67" s="476">
        <v>7</v>
      </c>
      <c r="IN67" s="476">
        <v>1</v>
      </c>
      <c r="IO67" s="476">
        <v>11</v>
      </c>
      <c r="IP67" s="476">
        <v>0</v>
      </c>
      <c r="IQ67" s="476">
        <v>29.133000000000003</v>
      </c>
      <c r="IR67" s="476">
        <v>17946</v>
      </c>
      <c r="IS67" s="476">
        <v>0</v>
      </c>
      <c r="IT67" s="476">
        <v>15000</v>
      </c>
      <c r="IU67" s="476">
        <v>21000</v>
      </c>
      <c r="IV67" s="476">
        <v>2000</v>
      </c>
      <c r="IW67" s="476">
        <v>6160</v>
      </c>
      <c r="IX67" s="476">
        <v>0</v>
      </c>
      <c r="IY67" s="476">
        <v>0</v>
      </c>
      <c r="IZ67" s="476">
        <v>0</v>
      </c>
      <c r="JA67" s="476">
        <v>0</v>
      </c>
      <c r="JB67" s="476">
        <v>0</v>
      </c>
      <c r="JC67" s="476">
        <v>0</v>
      </c>
      <c r="JD67" s="476">
        <v>0</v>
      </c>
      <c r="JE67" s="476">
        <v>0</v>
      </c>
      <c r="JF67" s="476">
        <v>0</v>
      </c>
      <c r="JG67" s="476">
        <v>0</v>
      </c>
      <c r="JH67" s="476">
        <v>0</v>
      </c>
      <c r="JI67" s="476">
        <v>0</v>
      </c>
      <c r="JJ67" s="476">
        <v>0</v>
      </c>
      <c r="JK67" s="476">
        <v>0</v>
      </c>
      <c r="JL67" s="476">
        <v>0</v>
      </c>
      <c r="JM67" s="476">
        <v>0</v>
      </c>
      <c r="JN67" s="476">
        <v>32469</v>
      </c>
      <c r="JO67" s="476">
        <v>0</v>
      </c>
      <c r="JP67" s="476">
        <v>63.798000000000002</v>
      </c>
      <c r="JQ67" s="476">
        <v>133.89400000000001</v>
      </c>
      <c r="JR67" s="476">
        <v>0</v>
      </c>
      <c r="JS67" s="476">
        <v>593025</v>
      </c>
      <c r="JT67" s="476">
        <v>1429337</v>
      </c>
      <c r="JU67" s="476">
        <v>0</v>
      </c>
      <c r="JV67" s="476">
        <v>0</v>
      </c>
      <c r="JW67" s="476">
        <v>0</v>
      </c>
      <c r="JX67" s="476">
        <v>0</v>
      </c>
      <c r="JY67" s="476">
        <v>0</v>
      </c>
      <c r="JZ67" s="476">
        <v>0</v>
      </c>
      <c r="KA67" s="476">
        <v>0</v>
      </c>
      <c r="KB67" s="476">
        <v>0</v>
      </c>
      <c r="KC67" s="476">
        <v>0</v>
      </c>
      <c r="KD67" s="476">
        <v>0</v>
      </c>
      <c r="KE67" s="476">
        <v>7262</v>
      </c>
      <c r="KF67" s="476">
        <v>0</v>
      </c>
      <c r="KG67" s="476">
        <v>0</v>
      </c>
      <c r="KH67" s="476">
        <v>12251152</v>
      </c>
      <c r="KI67" s="476">
        <v>0</v>
      </c>
      <c r="KJ67" s="476">
        <v>22</v>
      </c>
      <c r="KK67" s="476">
        <v>37</v>
      </c>
      <c r="KL67" s="476">
        <v>13552</v>
      </c>
      <c r="KM67" s="476">
        <v>22791</v>
      </c>
      <c r="KN67" s="476">
        <v>0</v>
      </c>
    </row>
    <row r="68" spans="1:300" x14ac:dyDescent="0.25">
      <c r="A68" s="476">
        <v>40976</v>
      </c>
      <c r="B68" s="476">
        <v>57848</v>
      </c>
      <c r="C68" s="476">
        <v>9</v>
      </c>
      <c r="D68" s="476">
        <v>2024</v>
      </c>
      <c r="E68" s="476">
        <v>6160</v>
      </c>
      <c r="F68" s="476">
        <v>0</v>
      </c>
      <c r="G68" s="476">
        <v>20561</v>
      </c>
      <c r="H68" s="476">
        <v>19061.715</v>
      </c>
      <c r="I68" s="476">
        <v>19061.715</v>
      </c>
      <c r="J68" s="476">
        <v>20561</v>
      </c>
      <c r="K68" s="476">
        <v>0</v>
      </c>
      <c r="L68" s="476">
        <v>6160</v>
      </c>
      <c r="M68" s="476">
        <v>0</v>
      </c>
      <c r="N68" s="476">
        <v>0</v>
      </c>
      <c r="O68" s="476">
        <v>0</v>
      </c>
      <c r="P68" s="476">
        <v>20608.017</v>
      </c>
      <c r="Q68" s="476">
        <v>0</v>
      </c>
      <c r="R68" s="476">
        <v>8549937</v>
      </c>
      <c r="S68" s="476">
        <v>414.88400000000001</v>
      </c>
      <c r="T68" s="476">
        <v>0</v>
      </c>
      <c r="U68" s="476">
        <v>0</v>
      </c>
      <c r="V68" s="476">
        <v>8136.3330000000005</v>
      </c>
      <c r="W68" s="476">
        <v>5087253</v>
      </c>
      <c r="X68" s="476">
        <v>5087253</v>
      </c>
      <c r="Y68" s="476">
        <v>0</v>
      </c>
      <c r="Z68" s="476">
        <v>0</v>
      </c>
      <c r="AA68" s="476">
        <v>0</v>
      </c>
      <c r="AB68" s="476">
        <v>0</v>
      </c>
      <c r="AC68" s="476">
        <v>0</v>
      </c>
      <c r="AD68" s="476" t="s">
        <v>314</v>
      </c>
      <c r="AE68" s="476">
        <v>0</v>
      </c>
      <c r="AF68" s="476">
        <v>0</v>
      </c>
      <c r="AG68" s="476">
        <v>0</v>
      </c>
      <c r="AH68" s="476">
        <v>0</v>
      </c>
      <c r="AI68" s="476">
        <v>0</v>
      </c>
      <c r="AJ68" s="476">
        <v>6160</v>
      </c>
      <c r="AK68" s="476" t="s">
        <v>651</v>
      </c>
      <c r="AL68" s="476" t="s">
        <v>457</v>
      </c>
      <c r="AM68" s="476">
        <v>0</v>
      </c>
      <c r="AN68" s="476">
        <v>0</v>
      </c>
      <c r="AO68" s="476">
        <v>0</v>
      </c>
      <c r="AP68" s="476">
        <v>0</v>
      </c>
      <c r="AQ68" s="476">
        <v>0</v>
      </c>
      <c r="AR68" s="476">
        <v>0</v>
      </c>
      <c r="AS68" s="476">
        <v>0</v>
      </c>
      <c r="AT68" s="476">
        <v>0</v>
      </c>
      <c r="AU68" s="476">
        <v>0</v>
      </c>
      <c r="AV68" s="476">
        <v>0</v>
      </c>
      <c r="AW68" s="476">
        <v>219071268</v>
      </c>
      <c r="AX68" s="476">
        <v>215636426</v>
      </c>
      <c r="AY68" s="476">
        <v>0</v>
      </c>
      <c r="AZ68" s="476">
        <v>8549937</v>
      </c>
      <c r="BA68" s="476">
        <v>0</v>
      </c>
      <c r="BB68" s="476">
        <v>438182</v>
      </c>
      <c r="BC68" s="476">
        <v>435388</v>
      </c>
      <c r="BD68" s="476">
        <v>1028</v>
      </c>
      <c r="BE68" s="476">
        <v>2793</v>
      </c>
      <c r="BF68" s="476">
        <v>194764027</v>
      </c>
      <c r="BG68" s="476">
        <v>0</v>
      </c>
      <c r="BH68" s="476">
        <v>0</v>
      </c>
      <c r="BI68" s="476">
        <v>0</v>
      </c>
      <c r="BJ68" s="476">
        <v>12</v>
      </c>
      <c r="BK68" s="476">
        <v>0</v>
      </c>
      <c r="BL68" s="476">
        <v>0</v>
      </c>
      <c r="BM68" s="476">
        <v>0</v>
      </c>
      <c r="BN68" s="476">
        <v>0</v>
      </c>
      <c r="BO68" s="476">
        <v>0</v>
      </c>
      <c r="BP68" s="476">
        <v>0</v>
      </c>
      <c r="BQ68" s="476">
        <v>0</v>
      </c>
      <c r="BR68" s="476">
        <v>0</v>
      </c>
      <c r="BS68" s="476">
        <v>0</v>
      </c>
      <c r="BT68" s="476">
        <v>0</v>
      </c>
      <c r="BU68" s="476">
        <v>0</v>
      </c>
      <c r="BV68" s="476">
        <v>0</v>
      </c>
      <c r="BW68" s="476">
        <v>0</v>
      </c>
      <c r="BX68" s="476">
        <v>0</v>
      </c>
      <c r="BY68" s="476">
        <v>0</v>
      </c>
      <c r="BZ68" s="476">
        <v>0</v>
      </c>
      <c r="CA68" s="476">
        <v>0</v>
      </c>
      <c r="CB68" s="476">
        <v>0</v>
      </c>
      <c r="CC68" s="476">
        <v>0</v>
      </c>
      <c r="CD68" s="476">
        <v>0</v>
      </c>
      <c r="CE68" s="476">
        <v>0</v>
      </c>
      <c r="CF68" s="476">
        <v>0</v>
      </c>
      <c r="CG68" s="476">
        <v>0</v>
      </c>
      <c r="CH68" s="476">
        <v>3471216</v>
      </c>
      <c r="CI68" s="476">
        <v>0</v>
      </c>
      <c r="CJ68" s="476">
        <v>4</v>
      </c>
      <c r="CK68" s="476">
        <v>0</v>
      </c>
      <c r="CL68" s="476">
        <v>0</v>
      </c>
      <c r="CM68" s="476">
        <v>0</v>
      </c>
      <c r="CN68" s="476">
        <v>0</v>
      </c>
      <c r="CO68" s="476">
        <v>1</v>
      </c>
      <c r="CP68" s="476">
        <v>0.71400000000000008</v>
      </c>
      <c r="CQ68" s="476">
        <v>0</v>
      </c>
      <c r="CR68" s="476">
        <v>20561</v>
      </c>
      <c r="CS68" s="476">
        <v>0</v>
      </c>
      <c r="CT68" s="476">
        <v>0</v>
      </c>
      <c r="CU68" s="476">
        <v>0</v>
      </c>
      <c r="CV68" s="476">
        <v>0</v>
      </c>
      <c r="CW68" s="476">
        <v>0</v>
      </c>
      <c r="CX68" s="476">
        <v>0</v>
      </c>
      <c r="CY68" s="476">
        <v>0</v>
      </c>
      <c r="CZ68" s="476">
        <v>0</v>
      </c>
      <c r="DA68" s="476">
        <v>0</v>
      </c>
      <c r="DB68" s="476">
        <v>117417499</v>
      </c>
      <c r="DC68" s="476">
        <v>0</v>
      </c>
      <c r="DD68" s="476">
        <v>0</v>
      </c>
      <c r="DE68" s="476">
        <v>24448331</v>
      </c>
      <c r="DF68" s="476">
        <v>24458931</v>
      </c>
      <c r="DG68" s="476">
        <v>3968.9750000000004</v>
      </c>
      <c r="DH68" s="476">
        <v>0</v>
      </c>
      <c r="DI68" s="476">
        <v>10600</v>
      </c>
      <c r="DJ68" s="476">
        <v>0</v>
      </c>
      <c r="DK68" s="476">
        <v>0</v>
      </c>
      <c r="DL68" s="476">
        <v>0</v>
      </c>
      <c r="DM68" s="476">
        <v>9767413</v>
      </c>
      <c r="DN68" s="476">
        <v>33580</v>
      </c>
      <c r="DO68" s="476">
        <v>0</v>
      </c>
      <c r="DP68" s="476">
        <v>0</v>
      </c>
      <c r="DQ68" s="476">
        <v>0</v>
      </c>
      <c r="DR68" s="476">
        <v>0</v>
      </c>
      <c r="DS68" s="476">
        <v>0</v>
      </c>
      <c r="DT68" s="476">
        <v>0</v>
      </c>
      <c r="DU68" s="476">
        <v>0</v>
      </c>
      <c r="DV68" s="476">
        <v>0</v>
      </c>
      <c r="DW68" s="476">
        <v>0</v>
      </c>
      <c r="DX68" s="476">
        <v>0</v>
      </c>
      <c r="DY68" s="476">
        <v>0</v>
      </c>
      <c r="DZ68" s="476">
        <v>0</v>
      </c>
      <c r="EA68" s="476">
        <v>0.24200000000000002</v>
      </c>
      <c r="EB68" s="476">
        <v>0</v>
      </c>
      <c r="EC68" s="476">
        <v>365.21700000000004</v>
      </c>
      <c r="ED68" s="476">
        <v>2587138</v>
      </c>
      <c r="EE68" s="476">
        <v>0</v>
      </c>
      <c r="EF68" s="476">
        <v>0</v>
      </c>
      <c r="EG68" s="476">
        <v>0</v>
      </c>
      <c r="EH68" s="476">
        <v>7213855</v>
      </c>
      <c r="EI68" s="476">
        <v>0</v>
      </c>
      <c r="EJ68" s="476">
        <v>0</v>
      </c>
      <c r="EK68" s="476">
        <v>285.11700000000002</v>
      </c>
      <c r="EL68" s="476">
        <v>0</v>
      </c>
      <c r="EM68" s="476">
        <v>53.047000000000004</v>
      </c>
      <c r="EN68" s="476">
        <v>31.081000000000003</v>
      </c>
      <c r="EO68" s="476">
        <v>0</v>
      </c>
      <c r="EP68" s="476">
        <v>0</v>
      </c>
      <c r="EQ68" s="476">
        <v>369.48700000000002</v>
      </c>
      <c r="ER68" s="476">
        <v>0</v>
      </c>
      <c r="ES68" s="476">
        <v>1171.107</v>
      </c>
      <c r="ET68" s="476">
        <v>0</v>
      </c>
      <c r="EU68" s="476">
        <v>0</v>
      </c>
      <c r="EV68" s="476">
        <v>0</v>
      </c>
      <c r="EW68" s="476">
        <v>0</v>
      </c>
      <c r="EX68" s="476">
        <v>0</v>
      </c>
      <c r="EY68" s="476">
        <v>0</v>
      </c>
      <c r="EZ68" s="476">
        <v>186289010</v>
      </c>
      <c r="FA68" s="476">
        <v>0</v>
      </c>
      <c r="FB68" s="476">
        <v>194802573</v>
      </c>
      <c r="FC68" s="476">
        <v>0</v>
      </c>
      <c r="FD68" s="476">
        <v>0</v>
      </c>
      <c r="FE68" s="476">
        <v>25147585</v>
      </c>
      <c r="FF68" s="476">
        <v>4199831</v>
      </c>
      <c r="FG68" s="476">
        <v>6.3017999999999991E-2</v>
      </c>
      <c r="FH68" s="476">
        <v>2.6953999999999999E-2</v>
      </c>
      <c r="FI68" s="476">
        <v>0</v>
      </c>
      <c r="FJ68" s="476">
        <v>0</v>
      </c>
      <c r="FK68" s="476">
        <v>31618.255000000001</v>
      </c>
      <c r="FL68" s="476">
        <v>227621205</v>
      </c>
      <c r="FM68" s="476">
        <v>0</v>
      </c>
      <c r="FN68" s="476">
        <v>0</v>
      </c>
      <c r="FO68" s="476">
        <v>7464</v>
      </c>
      <c r="FP68" s="476">
        <v>0</v>
      </c>
      <c r="FQ68" s="476">
        <v>7464</v>
      </c>
      <c r="FR68" s="476">
        <v>7464</v>
      </c>
      <c r="FS68" s="476">
        <v>0</v>
      </c>
      <c r="FT68" s="476">
        <v>0</v>
      </c>
      <c r="FU68" s="476">
        <v>0</v>
      </c>
      <c r="FV68" s="476">
        <v>0</v>
      </c>
      <c r="FW68" s="476">
        <v>0</v>
      </c>
      <c r="FX68" s="476">
        <v>0</v>
      </c>
      <c r="FY68" s="476">
        <v>0</v>
      </c>
      <c r="FZ68" s="476">
        <v>0</v>
      </c>
      <c r="GA68" s="476">
        <v>0</v>
      </c>
      <c r="GB68" s="476">
        <v>10849437</v>
      </c>
      <c r="GC68" s="476">
        <v>10849437</v>
      </c>
      <c r="GD68" s="476">
        <v>1129.798</v>
      </c>
      <c r="GE68" s="476">
        <v>0</v>
      </c>
      <c r="GF68" s="476">
        <v>0</v>
      </c>
      <c r="GG68" s="476">
        <v>0</v>
      </c>
      <c r="GH68" s="476">
        <v>0</v>
      </c>
      <c r="GI68" s="476">
        <v>0</v>
      </c>
      <c r="GJ68" s="476">
        <v>0</v>
      </c>
      <c r="GK68" s="476">
        <v>0</v>
      </c>
      <c r="GL68" s="476">
        <v>0</v>
      </c>
      <c r="GM68" s="476">
        <v>0</v>
      </c>
      <c r="GN68" s="476">
        <v>0</v>
      </c>
      <c r="GO68" s="476">
        <v>0</v>
      </c>
      <c r="GP68" s="476">
        <v>0</v>
      </c>
      <c r="GQ68" s="476">
        <v>215600052</v>
      </c>
      <c r="GR68" s="476">
        <v>0</v>
      </c>
      <c r="GS68" s="476">
        <v>0</v>
      </c>
      <c r="GT68" s="476">
        <v>0</v>
      </c>
      <c r="GU68" s="476">
        <v>0</v>
      </c>
      <c r="GV68" s="476">
        <v>0</v>
      </c>
      <c r="GW68" s="476">
        <v>0</v>
      </c>
      <c r="GX68" s="476">
        <v>0</v>
      </c>
      <c r="GY68" s="476">
        <v>0</v>
      </c>
      <c r="GZ68" s="476">
        <v>0</v>
      </c>
      <c r="HA68" s="476">
        <v>0</v>
      </c>
      <c r="HB68" s="476">
        <v>323396213</v>
      </c>
      <c r="HC68" s="476">
        <v>4.2206E-2</v>
      </c>
      <c r="HD68" s="476">
        <v>3471216</v>
      </c>
      <c r="HE68" s="476">
        <v>0</v>
      </c>
      <c r="HF68" s="476">
        <v>21006010</v>
      </c>
      <c r="HG68" s="476">
        <v>153997</v>
      </c>
      <c r="HH68" s="476">
        <v>4878270</v>
      </c>
      <c r="HI68" s="476">
        <v>0</v>
      </c>
      <c r="HJ68" s="476">
        <v>205610</v>
      </c>
      <c r="HK68" s="476">
        <v>45066</v>
      </c>
      <c r="HL68" s="476">
        <v>22390</v>
      </c>
      <c r="HM68" s="476">
        <v>260000</v>
      </c>
      <c r="HN68" s="476">
        <v>207845</v>
      </c>
      <c r="HO68" s="476">
        <v>0</v>
      </c>
      <c r="HP68" s="476">
        <v>0</v>
      </c>
      <c r="HQ68" s="476">
        <v>0</v>
      </c>
      <c r="HR68" s="476">
        <v>0</v>
      </c>
      <c r="HS68" s="476">
        <v>186252636</v>
      </c>
      <c r="HT68" s="476">
        <v>4199831</v>
      </c>
      <c r="HU68" s="476">
        <v>0</v>
      </c>
      <c r="HV68" s="476">
        <v>0</v>
      </c>
      <c r="HW68" s="476">
        <v>0</v>
      </c>
      <c r="HX68" s="476">
        <v>2885</v>
      </c>
      <c r="HY68" s="476">
        <v>3297</v>
      </c>
      <c r="HZ68" s="476">
        <v>4034</v>
      </c>
      <c r="IA68" s="476">
        <v>2959</v>
      </c>
      <c r="IB68" s="476">
        <v>2733</v>
      </c>
      <c r="IC68" s="476">
        <v>15908</v>
      </c>
      <c r="ID68" s="476">
        <v>0</v>
      </c>
      <c r="IE68" s="476">
        <v>37.983000000000004</v>
      </c>
      <c r="IF68" s="476">
        <v>130.81700000000001</v>
      </c>
      <c r="IG68" s="476">
        <v>250</v>
      </c>
      <c r="IH68" s="476">
        <v>7919.45</v>
      </c>
      <c r="II68" s="476">
        <v>0</v>
      </c>
      <c r="IJ68" s="476">
        <v>8305.1329999999998</v>
      </c>
      <c r="IK68" s="476">
        <v>0</v>
      </c>
      <c r="IL68" s="476">
        <v>39</v>
      </c>
      <c r="IM68" s="476">
        <v>21</v>
      </c>
      <c r="IN68" s="476">
        <v>1</v>
      </c>
      <c r="IO68" s="476">
        <v>61</v>
      </c>
      <c r="IP68" s="476">
        <v>0</v>
      </c>
      <c r="IQ68" s="476">
        <v>8136.3330000000005</v>
      </c>
      <c r="IR68" s="476">
        <v>5011867</v>
      </c>
      <c r="IS68" s="476">
        <v>0</v>
      </c>
      <c r="IT68" s="476">
        <v>195000</v>
      </c>
      <c r="IU68" s="476">
        <v>63000</v>
      </c>
      <c r="IV68" s="476">
        <v>2000</v>
      </c>
      <c r="IW68" s="476">
        <v>6160</v>
      </c>
      <c r="IX68" s="476">
        <v>35095</v>
      </c>
      <c r="IY68" s="476">
        <v>40291</v>
      </c>
      <c r="IZ68" s="476">
        <v>0</v>
      </c>
      <c r="JA68" s="476">
        <v>0</v>
      </c>
      <c r="JB68" s="476">
        <v>8</v>
      </c>
      <c r="JC68" s="476">
        <v>136584</v>
      </c>
      <c r="JD68" s="476">
        <v>6</v>
      </c>
      <c r="JE68" s="476">
        <v>54120</v>
      </c>
      <c r="JF68" s="476">
        <v>4</v>
      </c>
      <c r="JG68" s="476">
        <v>17141</v>
      </c>
      <c r="JH68" s="476">
        <v>0</v>
      </c>
      <c r="JI68" s="476">
        <v>0</v>
      </c>
      <c r="JJ68" s="476">
        <v>0</v>
      </c>
      <c r="JK68" s="476">
        <v>0</v>
      </c>
      <c r="JL68" s="476">
        <v>0</v>
      </c>
      <c r="JM68" s="476">
        <v>0</v>
      </c>
      <c r="JN68" s="476">
        <v>39895</v>
      </c>
      <c r="JO68" s="476">
        <v>85.109000000000009</v>
      </c>
      <c r="JP68" s="476">
        <v>712.16600000000005</v>
      </c>
      <c r="JQ68" s="476">
        <v>332.52300000000002</v>
      </c>
      <c r="JR68" s="476">
        <v>679868</v>
      </c>
      <c r="JS68" s="476">
        <v>6619839</v>
      </c>
      <c r="JT68" s="476">
        <v>3549730</v>
      </c>
      <c r="JU68" s="476">
        <v>443264</v>
      </c>
      <c r="JV68" s="476">
        <v>0</v>
      </c>
      <c r="JW68" s="476">
        <v>0</v>
      </c>
      <c r="JX68" s="476">
        <v>0</v>
      </c>
      <c r="JY68" s="476">
        <v>0</v>
      </c>
      <c r="JZ68" s="476">
        <v>0</v>
      </c>
      <c r="KA68" s="476">
        <v>0</v>
      </c>
      <c r="KB68" s="476">
        <v>0</v>
      </c>
      <c r="KC68" s="476">
        <v>0</v>
      </c>
      <c r="KD68" s="476">
        <v>443264</v>
      </c>
      <c r="KE68" s="476">
        <v>7262</v>
      </c>
      <c r="KF68" s="476">
        <v>0</v>
      </c>
      <c r="KG68" s="476">
        <v>0</v>
      </c>
      <c r="KH68" s="476">
        <v>215600052</v>
      </c>
      <c r="KI68" s="476">
        <v>0</v>
      </c>
      <c r="KJ68" s="476">
        <v>104</v>
      </c>
      <c r="KK68" s="476">
        <v>146</v>
      </c>
      <c r="KL68" s="476">
        <v>64063</v>
      </c>
      <c r="KM68" s="476">
        <v>89934</v>
      </c>
      <c r="KN68" s="476">
        <v>0</v>
      </c>
    </row>
    <row r="69" spans="1:300" x14ac:dyDescent="0.25">
      <c r="A69" s="476">
        <v>40976</v>
      </c>
      <c r="B69" s="476">
        <v>57850</v>
      </c>
      <c r="C69" s="476">
        <v>9</v>
      </c>
      <c r="D69" s="476">
        <v>2024</v>
      </c>
      <c r="E69" s="476">
        <v>6160</v>
      </c>
      <c r="F69" s="476">
        <v>0</v>
      </c>
      <c r="G69" s="476">
        <v>2316.85</v>
      </c>
      <c r="H69" s="476">
        <v>2137.8989999999999</v>
      </c>
      <c r="I69" s="476">
        <v>2137.8989999999999</v>
      </c>
      <c r="J69" s="476">
        <v>2316.85</v>
      </c>
      <c r="K69" s="476">
        <v>0</v>
      </c>
      <c r="L69" s="476">
        <v>6160</v>
      </c>
      <c r="M69" s="476">
        <v>0</v>
      </c>
      <c r="N69" s="476">
        <v>0</v>
      </c>
      <c r="O69" s="476">
        <v>0</v>
      </c>
      <c r="P69" s="476">
        <v>2316.85</v>
      </c>
      <c r="Q69" s="476">
        <v>0</v>
      </c>
      <c r="R69" s="476">
        <v>961224</v>
      </c>
      <c r="S69" s="476">
        <v>414.88400000000001</v>
      </c>
      <c r="T69" s="476">
        <v>0</v>
      </c>
      <c r="U69" s="476">
        <v>0</v>
      </c>
      <c r="V69" s="476">
        <v>368.13300000000004</v>
      </c>
      <c r="W69" s="476">
        <v>226765</v>
      </c>
      <c r="X69" s="476">
        <v>226765</v>
      </c>
      <c r="Y69" s="476">
        <v>0</v>
      </c>
      <c r="Z69" s="476">
        <v>0</v>
      </c>
      <c r="AA69" s="476">
        <v>0</v>
      </c>
      <c r="AB69" s="476">
        <v>0</v>
      </c>
      <c r="AC69" s="476">
        <v>0</v>
      </c>
      <c r="AD69" s="476" t="s">
        <v>314</v>
      </c>
      <c r="AE69" s="476">
        <v>0</v>
      </c>
      <c r="AF69" s="476">
        <v>0</v>
      </c>
      <c r="AG69" s="476">
        <v>0</v>
      </c>
      <c r="AH69" s="476">
        <v>0</v>
      </c>
      <c r="AI69" s="476">
        <v>0</v>
      </c>
      <c r="AJ69" s="476">
        <v>6160</v>
      </c>
      <c r="AK69" s="476" t="s">
        <v>651</v>
      </c>
      <c r="AL69" s="476" t="s">
        <v>383</v>
      </c>
      <c r="AM69" s="476">
        <v>0</v>
      </c>
      <c r="AN69" s="476">
        <v>0</v>
      </c>
      <c r="AO69" s="476">
        <v>0</v>
      </c>
      <c r="AP69" s="476">
        <v>0</v>
      </c>
      <c r="AQ69" s="476">
        <v>0</v>
      </c>
      <c r="AR69" s="476">
        <v>0</v>
      </c>
      <c r="AS69" s="476">
        <v>0</v>
      </c>
      <c r="AT69" s="476">
        <v>0</v>
      </c>
      <c r="AU69" s="476">
        <v>0</v>
      </c>
      <c r="AV69" s="476">
        <v>0</v>
      </c>
      <c r="AW69" s="476">
        <v>22463366</v>
      </c>
      <c r="AX69" s="476">
        <v>22076210</v>
      </c>
      <c r="AY69" s="476">
        <v>0</v>
      </c>
      <c r="AZ69" s="476">
        <v>961224</v>
      </c>
      <c r="BA69" s="476">
        <v>0</v>
      </c>
      <c r="BB69" s="476">
        <v>48165</v>
      </c>
      <c r="BC69" s="476">
        <v>47858</v>
      </c>
      <c r="BD69" s="476">
        <v>113</v>
      </c>
      <c r="BE69" s="476">
        <v>307</v>
      </c>
      <c r="BF69" s="476">
        <v>20013976</v>
      </c>
      <c r="BG69" s="476">
        <v>0</v>
      </c>
      <c r="BH69" s="476">
        <v>0</v>
      </c>
      <c r="BI69" s="476">
        <v>0</v>
      </c>
      <c r="BJ69" s="476">
        <v>12</v>
      </c>
      <c r="BK69" s="476">
        <v>0</v>
      </c>
      <c r="BL69" s="476">
        <v>0</v>
      </c>
      <c r="BM69" s="476">
        <v>0</v>
      </c>
      <c r="BN69" s="476">
        <v>0</v>
      </c>
      <c r="BO69" s="476">
        <v>0</v>
      </c>
      <c r="BP69" s="476">
        <v>0</v>
      </c>
      <c r="BQ69" s="476">
        <v>441</v>
      </c>
      <c r="BR69" s="476">
        <v>0</v>
      </c>
      <c r="BS69" s="476">
        <v>0</v>
      </c>
      <c r="BT69" s="476">
        <v>0</v>
      </c>
      <c r="BU69" s="476">
        <v>0</v>
      </c>
      <c r="BV69" s="476">
        <v>0</v>
      </c>
      <c r="BW69" s="476">
        <v>0</v>
      </c>
      <c r="BX69" s="476">
        <v>0</v>
      </c>
      <c r="BY69" s="476">
        <v>0</v>
      </c>
      <c r="BZ69" s="476">
        <v>0</v>
      </c>
      <c r="CA69" s="476">
        <v>0</v>
      </c>
      <c r="CB69" s="476">
        <v>0</v>
      </c>
      <c r="CC69" s="476">
        <v>0</v>
      </c>
      <c r="CD69" s="476">
        <v>0</v>
      </c>
      <c r="CE69" s="476">
        <v>0</v>
      </c>
      <c r="CF69" s="476">
        <v>0</v>
      </c>
      <c r="CG69" s="476">
        <v>0</v>
      </c>
      <c r="CH69" s="476">
        <v>391143</v>
      </c>
      <c r="CI69" s="476">
        <v>0</v>
      </c>
      <c r="CJ69" s="476">
        <v>4</v>
      </c>
      <c r="CK69" s="476">
        <v>0</v>
      </c>
      <c r="CL69" s="476">
        <v>0</v>
      </c>
      <c r="CM69" s="476">
        <v>0</v>
      </c>
      <c r="CN69" s="476">
        <v>0</v>
      </c>
      <c r="CO69" s="476">
        <v>1</v>
      </c>
      <c r="CP69" s="476">
        <v>8.8000000000000009E-2</v>
      </c>
      <c r="CQ69" s="476">
        <v>0</v>
      </c>
      <c r="CR69" s="476">
        <v>2316.85</v>
      </c>
      <c r="CS69" s="476">
        <v>0</v>
      </c>
      <c r="CT69" s="476">
        <v>0</v>
      </c>
      <c r="CU69" s="476">
        <v>0</v>
      </c>
      <c r="CV69" s="476">
        <v>0</v>
      </c>
      <c r="CW69" s="476">
        <v>0</v>
      </c>
      <c r="CX69" s="476">
        <v>0</v>
      </c>
      <c r="CY69" s="476">
        <v>0</v>
      </c>
      <c r="CZ69" s="476">
        <v>0</v>
      </c>
      <c r="DA69" s="476">
        <v>0</v>
      </c>
      <c r="DB69" s="476">
        <v>13169159</v>
      </c>
      <c r="DC69" s="476">
        <v>0</v>
      </c>
      <c r="DD69" s="476">
        <v>0</v>
      </c>
      <c r="DE69" s="476">
        <v>1468434</v>
      </c>
      <c r="DF69" s="476">
        <v>1469740</v>
      </c>
      <c r="DG69" s="476">
        <v>238.38800000000001</v>
      </c>
      <c r="DH69" s="476">
        <v>0</v>
      </c>
      <c r="DI69" s="476">
        <v>1306</v>
      </c>
      <c r="DJ69" s="476">
        <v>0</v>
      </c>
      <c r="DK69" s="476">
        <v>0</v>
      </c>
      <c r="DL69" s="476">
        <v>0</v>
      </c>
      <c r="DM69" s="476">
        <v>1070614</v>
      </c>
      <c r="DN69" s="476">
        <v>3681</v>
      </c>
      <c r="DO69" s="476">
        <v>0</v>
      </c>
      <c r="DP69" s="476">
        <v>0</v>
      </c>
      <c r="DQ69" s="476">
        <v>0</v>
      </c>
      <c r="DR69" s="476">
        <v>0</v>
      </c>
      <c r="DS69" s="476">
        <v>0</v>
      </c>
      <c r="DT69" s="476">
        <v>0</v>
      </c>
      <c r="DU69" s="476">
        <v>0</v>
      </c>
      <c r="DV69" s="476">
        <v>0</v>
      </c>
      <c r="DW69" s="476">
        <v>0</v>
      </c>
      <c r="DX69" s="476">
        <v>0</v>
      </c>
      <c r="DY69" s="476">
        <v>0</v>
      </c>
      <c r="DZ69" s="476">
        <v>0</v>
      </c>
      <c r="EA69" s="476">
        <v>0</v>
      </c>
      <c r="EB69" s="476">
        <v>0</v>
      </c>
      <c r="EC69" s="476">
        <v>108.38300000000001</v>
      </c>
      <c r="ED69" s="476">
        <v>767768</v>
      </c>
      <c r="EE69" s="476">
        <v>0</v>
      </c>
      <c r="EF69" s="476">
        <v>0</v>
      </c>
      <c r="EG69" s="476">
        <v>0</v>
      </c>
      <c r="EH69" s="476">
        <v>306527</v>
      </c>
      <c r="EI69" s="476">
        <v>0</v>
      </c>
      <c r="EJ69" s="476">
        <v>0</v>
      </c>
      <c r="EK69" s="476">
        <v>11.499000000000001</v>
      </c>
      <c r="EL69" s="476">
        <v>0</v>
      </c>
      <c r="EM69" s="476">
        <v>0.54</v>
      </c>
      <c r="EN69" s="476">
        <v>2.7290000000000001</v>
      </c>
      <c r="EO69" s="476">
        <v>0</v>
      </c>
      <c r="EP69" s="476">
        <v>0</v>
      </c>
      <c r="EQ69" s="476">
        <v>14.768000000000001</v>
      </c>
      <c r="ER69" s="476">
        <v>0</v>
      </c>
      <c r="ES69" s="476">
        <v>49.762</v>
      </c>
      <c r="ET69" s="476">
        <v>0</v>
      </c>
      <c r="EU69" s="476">
        <v>0</v>
      </c>
      <c r="EV69" s="476">
        <v>0</v>
      </c>
      <c r="EW69" s="476">
        <v>0</v>
      </c>
      <c r="EX69" s="476">
        <v>0</v>
      </c>
      <c r="EY69" s="476">
        <v>0</v>
      </c>
      <c r="EZ69" s="476">
        <v>19060466</v>
      </c>
      <c r="FA69" s="476">
        <v>0</v>
      </c>
      <c r="FB69" s="476">
        <v>20017703</v>
      </c>
      <c r="FC69" s="476">
        <v>0</v>
      </c>
      <c r="FD69" s="476">
        <v>0</v>
      </c>
      <c r="FE69" s="476">
        <v>2584169</v>
      </c>
      <c r="FF69" s="476">
        <v>431575</v>
      </c>
      <c r="FG69" s="476">
        <v>6.3017999999999991E-2</v>
      </c>
      <c r="FH69" s="476">
        <v>2.6953999999999999E-2</v>
      </c>
      <c r="FI69" s="476">
        <v>0</v>
      </c>
      <c r="FJ69" s="476">
        <v>0</v>
      </c>
      <c r="FK69" s="476">
        <v>3249.096</v>
      </c>
      <c r="FL69" s="476">
        <v>23424590</v>
      </c>
      <c r="FM69" s="476">
        <v>0</v>
      </c>
      <c r="FN69" s="476">
        <v>0</v>
      </c>
      <c r="FO69" s="476">
        <v>0</v>
      </c>
      <c r="FP69" s="476">
        <v>0</v>
      </c>
      <c r="FQ69" s="476">
        <v>0</v>
      </c>
      <c r="FR69" s="476">
        <v>0</v>
      </c>
      <c r="FS69" s="476">
        <v>0</v>
      </c>
      <c r="FT69" s="476">
        <v>0</v>
      </c>
      <c r="FU69" s="476">
        <v>0</v>
      </c>
      <c r="FV69" s="476">
        <v>0</v>
      </c>
      <c r="FW69" s="476">
        <v>0</v>
      </c>
      <c r="FX69" s="476">
        <v>0</v>
      </c>
      <c r="FY69" s="476">
        <v>0</v>
      </c>
      <c r="FZ69" s="476">
        <v>0</v>
      </c>
      <c r="GA69" s="476">
        <v>0</v>
      </c>
      <c r="GB69" s="476">
        <v>1496981</v>
      </c>
      <c r="GC69" s="476">
        <v>1496981</v>
      </c>
      <c r="GD69" s="476">
        <v>164.18300000000002</v>
      </c>
      <c r="GE69" s="476">
        <v>0</v>
      </c>
      <c r="GF69" s="476">
        <v>0</v>
      </c>
      <c r="GG69" s="476">
        <v>0</v>
      </c>
      <c r="GH69" s="476">
        <v>0</v>
      </c>
      <c r="GI69" s="476">
        <v>0</v>
      </c>
      <c r="GJ69" s="476">
        <v>0</v>
      </c>
      <c r="GK69" s="476">
        <v>0</v>
      </c>
      <c r="GL69" s="476">
        <v>0</v>
      </c>
      <c r="GM69" s="476">
        <v>0</v>
      </c>
      <c r="GN69" s="476">
        <v>0</v>
      </c>
      <c r="GO69" s="476">
        <v>0</v>
      </c>
      <c r="GP69" s="476">
        <v>0</v>
      </c>
      <c r="GQ69" s="476">
        <v>22072223</v>
      </c>
      <c r="GR69" s="476">
        <v>0</v>
      </c>
      <c r="GS69" s="476">
        <v>0</v>
      </c>
      <c r="GT69" s="476">
        <v>0</v>
      </c>
      <c r="GU69" s="476">
        <v>0</v>
      </c>
      <c r="GV69" s="476">
        <v>0</v>
      </c>
      <c r="GW69" s="476">
        <v>0</v>
      </c>
      <c r="GX69" s="476">
        <v>0</v>
      </c>
      <c r="GY69" s="476">
        <v>0</v>
      </c>
      <c r="GZ69" s="476">
        <v>0</v>
      </c>
      <c r="HA69" s="476">
        <v>0</v>
      </c>
      <c r="HB69" s="476">
        <v>323396213</v>
      </c>
      <c r="HC69" s="476">
        <v>4.2206E-2</v>
      </c>
      <c r="HD69" s="476">
        <v>391143</v>
      </c>
      <c r="HE69" s="476">
        <v>0</v>
      </c>
      <c r="HF69" s="476">
        <v>2355965</v>
      </c>
      <c r="HG69" s="476">
        <v>52359</v>
      </c>
      <c r="HH69" s="476">
        <v>92378</v>
      </c>
      <c r="HI69" s="476">
        <v>0</v>
      </c>
      <c r="HJ69" s="476">
        <v>23169</v>
      </c>
      <c r="HK69" s="476">
        <v>5754</v>
      </c>
      <c r="HL69" s="476">
        <v>1960</v>
      </c>
      <c r="HM69" s="476">
        <v>5000</v>
      </c>
      <c r="HN69" s="476">
        <v>0</v>
      </c>
      <c r="HO69" s="476">
        <v>0</v>
      </c>
      <c r="HP69" s="476">
        <v>0</v>
      </c>
      <c r="HQ69" s="476">
        <v>0</v>
      </c>
      <c r="HR69" s="476">
        <v>0</v>
      </c>
      <c r="HS69" s="476">
        <v>19056479</v>
      </c>
      <c r="HT69" s="476">
        <v>431575</v>
      </c>
      <c r="HU69" s="476">
        <v>0</v>
      </c>
      <c r="HV69" s="476">
        <v>0</v>
      </c>
      <c r="HW69" s="476">
        <v>0</v>
      </c>
      <c r="HX69" s="476">
        <v>227</v>
      </c>
      <c r="HY69" s="476">
        <v>201</v>
      </c>
      <c r="HZ69" s="476">
        <v>207</v>
      </c>
      <c r="IA69" s="476">
        <v>146</v>
      </c>
      <c r="IB69" s="476">
        <v>180</v>
      </c>
      <c r="IC69" s="476">
        <v>961</v>
      </c>
      <c r="ID69" s="476">
        <v>0</v>
      </c>
      <c r="IE69" s="476">
        <v>0</v>
      </c>
      <c r="IF69" s="476">
        <v>0</v>
      </c>
      <c r="IG69" s="476">
        <v>85</v>
      </c>
      <c r="IH69" s="476">
        <v>149.96700000000001</v>
      </c>
      <c r="II69" s="476">
        <v>0</v>
      </c>
      <c r="IJ69" s="476">
        <v>368.13300000000004</v>
      </c>
      <c r="IK69" s="476">
        <v>0</v>
      </c>
      <c r="IL69" s="476">
        <v>1</v>
      </c>
      <c r="IM69" s="476">
        <v>0</v>
      </c>
      <c r="IN69" s="476">
        <v>0</v>
      </c>
      <c r="IO69" s="476">
        <v>1</v>
      </c>
      <c r="IP69" s="476">
        <v>0</v>
      </c>
      <c r="IQ69" s="476">
        <v>368.13300000000004</v>
      </c>
      <c r="IR69" s="476">
        <v>226765</v>
      </c>
      <c r="IS69" s="476">
        <v>0</v>
      </c>
      <c r="IT69" s="476">
        <v>5000</v>
      </c>
      <c r="IU69" s="476">
        <v>0</v>
      </c>
      <c r="IV69" s="476">
        <v>0</v>
      </c>
      <c r="IW69" s="476">
        <v>6160</v>
      </c>
      <c r="IX69" s="476">
        <v>0</v>
      </c>
      <c r="IY69" s="476">
        <v>0</v>
      </c>
      <c r="IZ69" s="476">
        <v>0</v>
      </c>
      <c r="JA69" s="476">
        <v>0</v>
      </c>
      <c r="JB69" s="476">
        <v>0</v>
      </c>
      <c r="JC69" s="476">
        <v>0</v>
      </c>
      <c r="JD69" s="476">
        <v>0</v>
      </c>
      <c r="JE69" s="476">
        <v>0</v>
      </c>
      <c r="JF69" s="476">
        <v>0</v>
      </c>
      <c r="JG69" s="476">
        <v>0</v>
      </c>
      <c r="JH69" s="476">
        <v>0</v>
      </c>
      <c r="JI69" s="476">
        <v>0</v>
      </c>
      <c r="JJ69" s="476">
        <v>0</v>
      </c>
      <c r="JK69" s="476">
        <v>0</v>
      </c>
      <c r="JL69" s="476">
        <v>0</v>
      </c>
      <c r="JM69" s="476">
        <v>0</v>
      </c>
      <c r="JN69" s="476">
        <v>32469</v>
      </c>
      <c r="JO69" s="476">
        <v>67.972999999999999</v>
      </c>
      <c r="JP69" s="476">
        <v>52.948</v>
      </c>
      <c r="JQ69" s="476">
        <v>43.262</v>
      </c>
      <c r="JR69" s="476">
        <v>542982</v>
      </c>
      <c r="JS69" s="476">
        <v>492171</v>
      </c>
      <c r="JT69" s="476">
        <v>461828</v>
      </c>
      <c r="JU69" s="476">
        <v>48724</v>
      </c>
      <c r="JV69" s="476">
        <v>0</v>
      </c>
      <c r="JW69" s="476">
        <v>0</v>
      </c>
      <c r="JX69" s="476">
        <v>0</v>
      </c>
      <c r="JY69" s="476">
        <v>0</v>
      </c>
      <c r="JZ69" s="476">
        <v>0</v>
      </c>
      <c r="KA69" s="476">
        <v>0</v>
      </c>
      <c r="KB69" s="476">
        <v>0</v>
      </c>
      <c r="KC69" s="476">
        <v>0</v>
      </c>
      <c r="KD69" s="476">
        <v>48724</v>
      </c>
      <c r="KE69" s="476">
        <v>7262</v>
      </c>
      <c r="KF69" s="476">
        <v>0</v>
      </c>
      <c r="KG69" s="476">
        <v>0</v>
      </c>
      <c r="KH69" s="476">
        <v>22072223</v>
      </c>
      <c r="KI69" s="476">
        <v>0</v>
      </c>
      <c r="KJ69" s="476">
        <v>32</v>
      </c>
      <c r="KK69" s="476">
        <v>53</v>
      </c>
      <c r="KL69" s="476">
        <v>19712</v>
      </c>
      <c r="KM69" s="476">
        <v>32647</v>
      </c>
      <c r="KN69" s="476">
        <v>0</v>
      </c>
    </row>
    <row r="70" spans="1:300" x14ac:dyDescent="0.25">
      <c r="A70" s="476">
        <v>40976</v>
      </c>
      <c r="B70" s="476">
        <v>57851</v>
      </c>
      <c r="C70" s="476">
        <v>9</v>
      </c>
      <c r="D70" s="476">
        <v>2024</v>
      </c>
      <c r="E70" s="476">
        <v>6160</v>
      </c>
      <c r="F70" s="476">
        <v>0</v>
      </c>
      <c r="G70" s="476">
        <v>78.972999999999999</v>
      </c>
      <c r="H70" s="476">
        <v>74.478000000000009</v>
      </c>
      <c r="I70" s="476">
        <v>74.478000000000009</v>
      </c>
      <c r="J70" s="476">
        <v>78.972999999999999</v>
      </c>
      <c r="K70" s="476">
        <v>0</v>
      </c>
      <c r="L70" s="476">
        <v>6160</v>
      </c>
      <c r="M70" s="476">
        <v>0</v>
      </c>
      <c r="N70" s="476">
        <v>0</v>
      </c>
      <c r="O70" s="476">
        <v>0</v>
      </c>
      <c r="P70" s="476">
        <v>78.972999999999999</v>
      </c>
      <c r="Q70" s="476">
        <v>0</v>
      </c>
      <c r="R70" s="476">
        <v>32765</v>
      </c>
      <c r="S70" s="476">
        <v>414.88400000000001</v>
      </c>
      <c r="T70" s="476">
        <v>0</v>
      </c>
      <c r="U70" s="476">
        <v>0</v>
      </c>
      <c r="V70" s="476">
        <v>21.978000000000002</v>
      </c>
      <c r="W70" s="476">
        <v>13538</v>
      </c>
      <c r="X70" s="476">
        <v>13538</v>
      </c>
      <c r="Y70" s="476">
        <v>0</v>
      </c>
      <c r="Z70" s="476">
        <v>0</v>
      </c>
      <c r="AA70" s="476">
        <v>0</v>
      </c>
      <c r="AB70" s="476">
        <v>0</v>
      </c>
      <c r="AC70" s="476">
        <v>0</v>
      </c>
      <c r="AD70" s="476" t="s">
        <v>314</v>
      </c>
      <c r="AE70" s="476">
        <v>0</v>
      </c>
      <c r="AF70" s="476">
        <v>0</v>
      </c>
      <c r="AG70" s="476">
        <v>0</v>
      </c>
      <c r="AH70" s="476">
        <v>0</v>
      </c>
      <c r="AI70" s="476">
        <v>0</v>
      </c>
      <c r="AJ70" s="476">
        <v>6160</v>
      </c>
      <c r="AK70" s="476" t="s">
        <v>651</v>
      </c>
      <c r="AL70" s="476" t="s">
        <v>436</v>
      </c>
      <c r="AM70" s="476">
        <v>0</v>
      </c>
      <c r="AN70" s="476">
        <v>0</v>
      </c>
      <c r="AO70" s="476">
        <v>0</v>
      </c>
      <c r="AP70" s="476">
        <v>0</v>
      </c>
      <c r="AQ70" s="476">
        <v>0</v>
      </c>
      <c r="AR70" s="476">
        <v>0</v>
      </c>
      <c r="AS70" s="476">
        <v>0</v>
      </c>
      <c r="AT70" s="476">
        <v>0</v>
      </c>
      <c r="AU70" s="476">
        <v>0</v>
      </c>
      <c r="AV70" s="476">
        <v>0</v>
      </c>
      <c r="AW70" s="476">
        <v>903106</v>
      </c>
      <c r="AX70" s="476">
        <v>890069</v>
      </c>
      <c r="AY70" s="476">
        <v>0</v>
      </c>
      <c r="AZ70" s="476">
        <v>32765</v>
      </c>
      <c r="BA70" s="476">
        <v>0</v>
      </c>
      <c r="BB70" s="476">
        <v>0</v>
      </c>
      <c r="BC70" s="476">
        <v>0</v>
      </c>
      <c r="BD70" s="476">
        <v>0</v>
      </c>
      <c r="BE70" s="476">
        <v>0</v>
      </c>
      <c r="BF70" s="476">
        <v>801989</v>
      </c>
      <c r="BG70" s="476">
        <v>0</v>
      </c>
      <c r="BH70" s="476">
        <v>0</v>
      </c>
      <c r="BI70" s="476">
        <v>0</v>
      </c>
      <c r="BJ70" s="476">
        <v>12</v>
      </c>
      <c r="BK70" s="476">
        <v>0</v>
      </c>
      <c r="BL70" s="476">
        <v>0</v>
      </c>
      <c r="BM70" s="476">
        <v>0</v>
      </c>
      <c r="BN70" s="476">
        <v>0</v>
      </c>
      <c r="BO70" s="476">
        <v>0</v>
      </c>
      <c r="BP70" s="476">
        <v>0</v>
      </c>
      <c r="BQ70" s="476">
        <v>759</v>
      </c>
      <c r="BR70" s="476">
        <v>0</v>
      </c>
      <c r="BS70" s="476">
        <v>0</v>
      </c>
      <c r="BT70" s="476">
        <v>0</v>
      </c>
      <c r="BU70" s="476">
        <v>0</v>
      </c>
      <c r="BV70" s="476">
        <v>0</v>
      </c>
      <c r="BW70" s="476">
        <v>0</v>
      </c>
      <c r="BX70" s="476">
        <v>0</v>
      </c>
      <c r="BY70" s="476">
        <v>0</v>
      </c>
      <c r="BZ70" s="476">
        <v>0</v>
      </c>
      <c r="CA70" s="476">
        <v>0</v>
      </c>
      <c r="CB70" s="476">
        <v>0</v>
      </c>
      <c r="CC70" s="476">
        <v>0</v>
      </c>
      <c r="CD70" s="476">
        <v>0</v>
      </c>
      <c r="CE70" s="476">
        <v>0</v>
      </c>
      <c r="CF70" s="476">
        <v>0</v>
      </c>
      <c r="CG70" s="476">
        <v>0</v>
      </c>
      <c r="CH70" s="476">
        <v>13333</v>
      </c>
      <c r="CI70" s="476">
        <v>0</v>
      </c>
      <c r="CJ70" s="476">
        <v>4</v>
      </c>
      <c r="CK70" s="476">
        <v>0</v>
      </c>
      <c r="CL70" s="476">
        <v>0</v>
      </c>
      <c r="CM70" s="476">
        <v>0</v>
      </c>
      <c r="CN70" s="476">
        <v>0</v>
      </c>
      <c r="CO70" s="476">
        <v>1</v>
      </c>
      <c r="CP70" s="476">
        <v>0</v>
      </c>
      <c r="CQ70" s="476">
        <v>0</v>
      </c>
      <c r="CR70" s="476">
        <v>78.972999999999999</v>
      </c>
      <c r="CS70" s="476">
        <v>0</v>
      </c>
      <c r="CT70" s="476">
        <v>0</v>
      </c>
      <c r="CU70" s="476">
        <v>0</v>
      </c>
      <c r="CV70" s="476">
        <v>0</v>
      </c>
      <c r="CW70" s="476">
        <v>0</v>
      </c>
      <c r="CX70" s="476">
        <v>0</v>
      </c>
      <c r="CY70" s="476">
        <v>0</v>
      </c>
      <c r="CZ70" s="476">
        <v>0</v>
      </c>
      <c r="DA70" s="476">
        <v>0</v>
      </c>
      <c r="DB70" s="476">
        <v>434268</v>
      </c>
      <c r="DC70" s="476">
        <v>0</v>
      </c>
      <c r="DD70" s="476">
        <v>0</v>
      </c>
      <c r="DE70" s="476">
        <v>123967</v>
      </c>
      <c r="DF70" s="476">
        <v>123967</v>
      </c>
      <c r="DG70" s="476">
        <v>20.125</v>
      </c>
      <c r="DH70" s="476">
        <v>0</v>
      </c>
      <c r="DI70" s="476">
        <v>0</v>
      </c>
      <c r="DJ70" s="476">
        <v>0</v>
      </c>
      <c r="DK70" s="476">
        <v>3759</v>
      </c>
      <c r="DL70" s="476">
        <v>0</v>
      </c>
      <c r="DM70" s="476">
        <v>110738</v>
      </c>
      <c r="DN70" s="476">
        <v>296</v>
      </c>
      <c r="DO70" s="476">
        <v>0</v>
      </c>
      <c r="DP70" s="476">
        <v>0</v>
      </c>
      <c r="DQ70" s="476">
        <v>0</v>
      </c>
      <c r="DR70" s="476">
        <v>0</v>
      </c>
      <c r="DS70" s="476">
        <v>0</v>
      </c>
      <c r="DT70" s="476">
        <v>0</v>
      </c>
      <c r="DU70" s="476">
        <v>0</v>
      </c>
      <c r="DV70" s="476">
        <v>0</v>
      </c>
      <c r="DW70" s="476">
        <v>0</v>
      </c>
      <c r="DX70" s="476">
        <v>0</v>
      </c>
      <c r="DY70" s="476">
        <v>0</v>
      </c>
      <c r="DZ70" s="476">
        <v>0</v>
      </c>
      <c r="EA70" s="476">
        <v>0</v>
      </c>
      <c r="EB70" s="476">
        <v>0</v>
      </c>
      <c r="EC70" s="476">
        <v>0</v>
      </c>
      <c r="ED70" s="476">
        <v>0</v>
      </c>
      <c r="EE70" s="476">
        <v>0</v>
      </c>
      <c r="EF70" s="476">
        <v>0</v>
      </c>
      <c r="EG70" s="476">
        <v>0</v>
      </c>
      <c r="EH70" s="476">
        <v>86528</v>
      </c>
      <c r="EI70" s="476">
        <v>0</v>
      </c>
      <c r="EJ70" s="476">
        <v>0</v>
      </c>
      <c r="EK70" s="476">
        <v>4.2140000000000004</v>
      </c>
      <c r="EL70" s="476">
        <v>0</v>
      </c>
      <c r="EM70" s="476">
        <v>0</v>
      </c>
      <c r="EN70" s="476">
        <v>0.28100000000000003</v>
      </c>
      <c r="EO70" s="476">
        <v>0</v>
      </c>
      <c r="EP70" s="476">
        <v>0</v>
      </c>
      <c r="EQ70" s="476">
        <v>4.4950000000000001</v>
      </c>
      <c r="ER70" s="476">
        <v>0</v>
      </c>
      <c r="ES70" s="476">
        <v>14.047000000000001</v>
      </c>
      <c r="ET70" s="476">
        <v>0</v>
      </c>
      <c r="EU70" s="476">
        <v>0</v>
      </c>
      <c r="EV70" s="476">
        <v>0</v>
      </c>
      <c r="EW70" s="476">
        <v>0</v>
      </c>
      <c r="EX70" s="476">
        <v>0</v>
      </c>
      <c r="EY70" s="476">
        <v>0</v>
      </c>
      <c r="EZ70" s="476">
        <v>769224</v>
      </c>
      <c r="FA70" s="476">
        <v>0</v>
      </c>
      <c r="FB70" s="476">
        <v>801693</v>
      </c>
      <c r="FC70" s="476">
        <v>0</v>
      </c>
      <c r="FD70" s="476">
        <v>0</v>
      </c>
      <c r="FE70" s="476">
        <v>103551</v>
      </c>
      <c r="FF70" s="476">
        <v>17294</v>
      </c>
      <c r="FG70" s="476">
        <v>6.3017999999999991E-2</v>
      </c>
      <c r="FH70" s="476">
        <v>2.6953999999999999E-2</v>
      </c>
      <c r="FI70" s="476">
        <v>0</v>
      </c>
      <c r="FJ70" s="476">
        <v>0</v>
      </c>
      <c r="FK70" s="476">
        <v>130.196</v>
      </c>
      <c r="FL70" s="476">
        <v>935871</v>
      </c>
      <c r="FM70" s="476">
        <v>0</v>
      </c>
      <c r="FN70" s="476">
        <v>0</v>
      </c>
      <c r="FO70" s="476">
        <v>0</v>
      </c>
      <c r="FP70" s="476">
        <v>0</v>
      </c>
      <c r="FQ70" s="476">
        <v>0</v>
      </c>
      <c r="FR70" s="476">
        <v>0</v>
      </c>
      <c r="FS70" s="476">
        <v>0</v>
      </c>
      <c r="FT70" s="476">
        <v>0</v>
      </c>
      <c r="FU70" s="476">
        <v>0</v>
      </c>
      <c r="FV70" s="476">
        <v>0</v>
      </c>
      <c r="FW70" s="476">
        <v>0</v>
      </c>
      <c r="FX70" s="476">
        <v>0</v>
      </c>
      <c r="FY70" s="476">
        <v>0</v>
      </c>
      <c r="FZ70" s="476">
        <v>0</v>
      </c>
      <c r="GA70" s="476">
        <v>0</v>
      </c>
      <c r="GB70" s="476">
        <v>0</v>
      </c>
      <c r="GC70" s="476">
        <v>0</v>
      </c>
      <c r="GD70" s="476">
        <v>0</v>
      </c>
      <c r="GE70" s="476">
        <v>0</v>
      </c>
      <c r="GF70" s="476">
        <v>0</v>
      </c>
      <c r="GG70" s="476">
        <v>0</v>
      </c>
      <c r="GH70" s="476">
        <v>0</v>
      </c>
      <c r="GI70" s="476">
        <v>0</v>
      </c>
      <c r="GJ70" s="476">
        <v>0</v>
      </c>
      <c r="GK70" s="476">
        <v>0</v>
      </c>
      <c r="GL70" s="476">
        <v>0</v>
      </c>
      <c r="GM70" s="476">
        <v>0</v>
      </c>
      <c r="GN70" s="476">
        <v>0</v>
      </c>
      <c r="GO70" s="476">
        <v>0</v>
      </c>
      <c r="GP70" s="476">
        <v>0</v>
      </c>
      <c r="GQ70" s="476">
        <v>889773</v>
      </c>
      <c r="GR70" s="476">
        <v>0</v>
      </c>
      <c r="GS70" s="476">
        <v>0</v>
      </c>
      <c r="GT70" s="476">
        <v>0</v>
      </c>
      <c r="GU70" s="476">
        <v>0</v>
      </c>
      <c r="GV70" s="476">
        <v>0</v>
      </c>
      <c r="GW70" s="476">
        <v>0</v>
      </c>
      <c r="GX70" s="476">
        <v>0</v>
      </c>
      <c r="GY70" s="476">
        <v>0</v>
      </c>
      <c r="GZ70" s="476">
        <v>0</v>
      </c>
      <c r="HA70" s="476">
        <v>0</v>
      </c>
      <c r="HB70" s="476">
        <v>323396213</v>
      </c>
      <c r="HC70" s="476">
        <v>4.2206E-2</v>
      </c>
      <c r="HD70" s="476">
        <v>13333</v>
      </c>
      <c r="HE70" s="476">
        <v>0</v>
      </c>
      <c r="HF70" s="476">
        <v>82075</v>
      </c>
      <c r="HG70" s="476">
        <v>3080</v>
      </c>
      <c r="HH70" s="476">
        <v>33237</v>
      </c>
      <c r="HI70" s="476">
        <v>0</v>
      </c>
      <c r="HJ70" s="476">
        <v>790</v>
      </c>
      <c r="HK70" s="476">
        <v>0</v>
      </c>
      <c r="HL70" s="476">
        <v>0</v>
      </c>
      <c r="HM70" s="476">
        <v>0</v>
      </c>
      <c r="HN70" s="476">
        <v>0</v>
      </c>
      <c r="HO70" s="476">
        <v>0</v>
      </c>
      <c r="HP70" s="476">
        <v>0</v>
      </c>
      <c r="HQ70" s="476">
        <v>0</v>
      </c>
      <c r="HR70" s="476">
        <v>0</v>
      </c>
      <c r="HS70" s="476">
        <v>768928</v>
      </c>
      <c r="HT70" s="476">
        <v>17294</v>
      </c>
      <c r="HU70" s="476">
        <v>0</v>
      </c>
      <c r="HV70" s="476">
        <v>0</v>
      </c>
      <c r="HW70" s="476">
        <v>0</v>
      </c>
      <c r="HX70" s="476">
        <v>19</v>
      </c>
      <c r="HY70" s="476">
        <v>19</v>
      </c>
      <c r="HZ70" s="476">
        <v>13</v>
      </c>
      <c r="IA70" s="476">
        <v>13</v>
      </c>
      <c r="IB70" s="476">
        <v>17</v>
      </c>
      <c r="IC70" s="476">
        <v>81</v>
      </c>
      <c r="ID70" s="476">
        <v>0</v>
      </c>
      <c r="IE70" s="476">
        <v>0</v>
      </c>
      <c r="IF70" s="476">
        <v>0</v>
      </c>
      <c r="IG70" s="476">
        <v>5</v>
      </c>
      <c r="IH70" s="476">
        <v>53.957000000000001</v>
      </c>
      <c r="II70" s="476">
        <v>0</v>
      </c>
      <c r="IJ70" s="476">
        <v>21.978000000000002</v>
      </c>
      <c r="IK70" s="476">
        <v>0</v>
      </c>
      <c r="IL70" s="476">
        <v>0</v>
      </c>
      <c r="IM70" s="476">
        <v>0</v>
      </c>
      <c r="IN70" s="476">
        <v>0</v>
      </c>
      <c r="IO70" s="476">
        <v>0</v>
      </c>
      <c r="IP70" s="476">
        <v>0</v>
      </c>
      <c r="IQ70" s="476">
        <v>21.978000000000002</v>
      </c>
      <c r="IR70" s="476">
        <v>13538</v>
      </c>
      <c r="IS70" s="476">
        <v>0</v>
      </c>
      <c r="IT70" s="476">
        <v>0</v>
      </c>
      <c r="IU70" s="476">
        <v>0</v>
      </c>
      <c r="IV70" s="476">
        <v>0</v>
      </c>
      <c r="IW70" s="476">
        <v>6160</v>
      </c>
      <c r="IX70" s="476">
        <v>0</v>
      </c>
      <c r="IY70" s="476">
        <v>0</v>
      </c>
      <c r="IZ70" s="476">
        <v>0</v>
      </c>
      <c r="JA70" s="476">
        <v>0</v>
      </c>
      <c r="JB70" s="476">
        <v>0</v>
      </c>
      <c r="JC70" s="476">
        <v>0</v>
      </c>
      <c r="JD70" s="476">
        <v>0</v>
      </c>
      <c r="JE70" s="476">
        <v>0</v>
      </c>
      <c r="JF70" s="476">
        <v>0</v>
      </c>
      <c r="JG70" s="476">
        <v>0</v>
      </c>
      <c r="JH70" s="476">
        <v>0</v>
      </c>
      <c r="JI70" s="476">
        <v>0</v>
      </c>
      <c r="JJ70" s="476">
        <v>0</v>
      </c>
      <c r="JK70" s="476">
        <v>0</v>
      </c>
      <c r="JL70" s="476">
        <v>0</v>
      </c>
      <c r="JM70" s="476">
        <v>0</v>
      </c>
      <c r="JN70" s="476">
        <v>32469</v>
      </c>
      <c r="JO70" s="476">
        <v>0</v>
      </c>
      <c r="JP70" s="476">
        <v>0</v>
      </c>
      <c r="JQ70" s="476">
        <v>0</v>
      </c>
      <c r="JR70" s="476">
        <v>0</v>
      </c>
      <c r="JS70" s="476">
        <v>0</v>
      </c>
      <c r="JT70" s="476">
        <v>0</v>
      </c>
      <c r="JU70" s="476">
        <v>0</v>
      </c>
      <c r="JV70" s="476">
        <v>0</v>
      </c>
      <c r="JW70" s="476">
        <v>0</v>
      </c>
      <c r="JX70" s="476">
        <v>0</v>
      </c>
      <c r="JY70" s="476">
        <v>0</v>
      </c>
      <c r="JZ70" s="476">
        <v>0</v>
      </c>
      <c r="KA70" s="476">
        <v>0</v>
      </c>
      <c r="KB70" s="476">
        <v>0</v>
      </c>
      <c r="KC70" s="476">
        <v>0</v>
      </c>
      <c r="KD70" s="476">
        <v>0</v>
      </c>
      <c r="KE70" s="476">
        <v>7262</v>
      </c>
      <c r="KF70" s="476">
        <v>0</v>
      </c>
      <c r="KG70" s="476">
        <v>0</v>
      </c>
      <c r="KH70" s="476">
        <v>889773</v>
      </c>
      <c r="KI70" s="476">
        <v>0</v>
      </c>
      <c r="KJ70" s="476">
        <v>3</v>
      </c>
      <c r="KK70" s="476">
        <v>2</v>
      </c>
      <c r="KL70" s="476">
        <v>1848</v>
      </c>
      <c r="KM70" s="476">
        <v>1232</v>
      </c>
      <c r="KN70" s="476">
        <v>0</v>
      </c>
    </row>
    <row r="71" spans="1:300" x14ac:dyDescent="0.25">
      <c r="A71" s="476">
        <v>40976</v>
      </c>
      <c r="B71" s="476">
        <v>61802</v>
      </c>
      <c r="C71" s="476">
        <v>9</v>
      </c>
      <c r="D71" s="476">
        <v>2024</v>
      </c>
      <c r="E71" s="476">
        <v>6160</v>
      </c>
      <c r="F71" s="476">
        <v>0</v>
      </c>
      <c r="G71" s="476">
        <v>656.553</v>
      </c>
      <c r="H71" s="476">
        <v>638.11</v>
      </c>
      <c r="I71" s="476">
        <v>638.11</v>
      </c>
      <c r="J71" s="476">
        <v>656.553</v>
      </c>
      <c r="K71" s="476">
        <v>0</v>
      </c>
      <c r="L71" s="476">
        <v>6160</v>
      </c>
      <c r="M71" s="476">
        <v>0</v>
      </c>
      <c r="N71" s="476">
        <v>0</v>
      </c>
      <c r="O71" s="476">
        <v>0</v>
      </c>
      <c r="P71" s="476">
        <v>656.553</v>
      </c>
      <c r="Q71" s="476">
        <v>0</v>
      </c>
      <c r="R71" s="476">
        <v>272393</v>
      </c>
      <c r="S71" s="476">
        <v>414.88400000000001</v>
      </c>
      <c r="T71" s="476">
        <v>0</v>
      </c>
      <c r="U71" s="476">
        <v>0</v>
      </c>
      <c r="V71" s="476">
        <v>242.405</v>
      </c>
      <c r="W71" s="476">
        <v>149318</v>
      </c>
      <c r="X71" s="476">
        <v>149318</v>
      </c>
      <c r="Y71" s="476">
        <v>0</v>
      </c>
      <c r="Z71" s="476">
        <v>0</v>
      </c>
      <c r="AA71" s="476">
        <v>0</v>
      </c>
      <c r="AB71" s="476">
        <v>0</v>
      </c>
      <c r="AC71" s="476">
        <v>0</v>
      </c>
      <c r="AD71" s="476" t="s">
        <v>314</v>
      </c>
      <c r="AE71" s="476">
        <v>0</v>
      </c>
      <c r="AF71" s="476">
        <v>0</v>
      </c>
      <c r="AG71" s="476">
        <v>0</v>
      </c>
      <c r="AH71" s="476">
        <v>0</v>
      </c>
      <c r="AI71" s="476">
        <v>0</v>
      </c>
      <c r="AJ71" s="476">
        <v>6160</v>
      </c>
      <c r="AK71" s="476" t="s">
        <v>651</v>
      </c>
      <c r="AL71" s="476" t="s">
        <v>333</v>
      </c>
      <c r="AM71" s="476">
        <v>0</v>
      </c>
      <c r="AN71" s="476">
        <v>0</v>
      </c>
      <c r="AO71" s="476">
        <v>0</v>
      </c>
      <c r="AP71" s="476">
        <v>0</v>
      </c>
      <c r="AQ71" s="476">
        <v>0</v>
      </c>
      <c r="AR71" s="476">
        <v>0</v>
      </c>
      <c r="AS71" s="476">
        <v>0</v>
      </c>
      <c r="AT71" s="476">
        <v>0</v>
      </c>
      <c r="AU71" s="476">
        <v>0</v>
      </c>
      <c r="AV71" s="476">
        <v>0</v>
      </c>
      <c r="AW71" s="476">
        <v>7510035</v>
      </c>
      <c r="AX71" s="476">
        <v>7400466</v>
      </c>
      <c r="AY71" s="476">
        <v>0</v>
      </c>
      <c r="AZ71" s="476">
        <v>272393</v>
      </c>
      <c r="BA71" s="476">
        <v>11.333</v>
      </c>
      <c r="BB71" s="476">
        <v>0</v>
      </c>
      <c r="BC71" s="476">
        <v>0</v>
      </c>
      <c r="BD71" s="476">
        <v>0</v>
      </c>
      <c r="BE71" s="476">
        <v>0</v>
      </c>
      <c r="BF71" s="476">
        <v>6592736</v>
      </c>
      <c r="BG71" s="476">
        <v>0</v>
      </c>
      <c r="BH71" s="476">
        <v>0</v>
      </c>
      <c r="BI71" s="476">
        <v>0</v>
      </c>
      <c r="BJ71" s="476">
        <v>12</v>
      </c>
      <c r="BK71" s="476">
        <v>0</v>
      </c>
      <c r="BL71" s="476">
        <v>0</v>
      </c>
      <c r="BM71" s="476">
        <v>0</v>
      </c>
      <c r="BN71" s="476">
        <v>0</v>
      </c>
      <c r="BO71" s="476">
        <v>0</v>
      </c>
      <c r="BP71" s="476">
        <v>0</v>
      </c>
      <c r="BQ71" s="476">
        <v>672</v>
      </c>
      <c r="BR71" s="476">
        <v>0</v>
      </c>
      <c r="BS71" s="476">
        <v>0</v>
      </c>
      <c r="BT71" s="476">
        <v>0</v>
      </c>
      <c r="BU71" s="476">
        <v>0</v>
      </c>
      <c r="BV71" s="476">
        <v>0</v>
      </c>
      <c r="BW71" s="476">
        <v>0</v>
      </c>
      <c r="BX71" s="476">
        <v>0</v>
      </c>
      <c r="BY71" s="476">
        <v>0</v>
      </c>
      <c r="BZ71" s="476">
        <v>0</v>
      </c>
      <c r="CA71" s="476">
        <v>0</v>
      </c>
      <c r="CB71" s="476">
        <v>0</v>
      </c>
      <c r="CC71" s="476">
        <v>0</v>
      </c>
      <c r="CD71" s="476">
        <v>0</v>
      </c>
      <c r="CE71" s="476">
        <v>0</v>
      </c>
      <c r="CF71" s="476">
        <v>0</v>
      </c>
      <c r="CG71" s="476">
        <v>0</v>
      </c>
      <c r="CH71" s="476">
        <v>110843</v>
      </c>
      <c r="CI71" s="476">
        <v>0</v>
      </c>
      <c r="CJ71" s="476">
        <v>4</v>
      </c>
      <c r="CK71" s="476">
        <v>0</v>
      </c>
      <c r="CL71" s="476">
        <v>0</v>
      </c>
      <c r="CM71" s="476">
        <v>0</v>
      </c>
      <c r="CN71" s="476">
        <v>0</v>
      </c>
      <c r="CO71" s="476">
        <v>1</v>
      </c>
      <c r="CP71" s="476">
        <v>0</v>
      </c>
      <c r="CQ71" s="476">
        <v>1.5</v>
      </c>
      <c r="CR71" s="476">
        <v>656.553</v>
      </c>
      <c r="CS71" s="476">
        <v>0</v>
      </c>
      <c r="CT71" s="476">
        <v>0</v>
      </c>
      <c r="CU71" s="476">
        <v>0</v>
      </c>
      <c r="CV71" s="476">
        <v>0</v>
      </c>
      <c r="CW71" s="476">
        <v>0</v>
      </c>
      <c r="CX71" s="476">
        <v>0</v>
      </c>
      <c r="CY71" s="476">
        <v>0</v>
      </c>
      <c r="CZ71" s="476">
        <v>0</v>
      </c>
      <c r="DA71" s="476">
        <v>0</v>
      </c>
      <c r="DB71" s="476">
        <v>3886052</v>
      </c>
      <c r="DC71" s="476">
        <v>0</v>
      </c>
      <c r="DD71" s="476">
        <v>0</v>
      </c>
      <c r="DE71" s="476">
        <v>1132259</v>
      </c>
      <c r="DF71" s="476">
        <v>1132259</v>
      </c>
      <c r="DG71" s="476">
        <v>183.81300000000002</v>
      </c>
      <c r="DH71" s="476">
        <v>0</v>
      </c>
      <c r="DI71" s="476">
        <v>0</v>
      </c>
      <c r="DJ71" s="476">
        <v>0</v>
      </c>
      <c r="DK71" s="476">
        <v>2370</v>
      </c>
      <c r="DL71" s="476">
        <v>0</v>
      </c>
      <c r="DM71" s="476">
        <v>415143</v>
      </c>
      <c r="DN71" s="476">
        <v>1274</v>
      </c>
      <c r="DO71" s="476">
        <v>0</v>
      </c>
      <c r="DP71" s="476">
        <v>0</v>
      </c>
      <c r="DQ71" s="476">
        <v>0</v>
      </c>
      <c r="DR71" s="476">
        <v>0</v>
      </c>
      <c r="DS71" s="476">
        <v>0</v>
      </c>
      <c r="DT71" s="476">
        <v>0</v>
      </c>
      <c r="DU71" s="476">
        <v>0</v>
      </c>
      <c r="DV71" s="476">
        <v>0</v>
      </c>
      <c r="DW71" s="476">
        <v>0</v>
      </c>
      <c r="DX71" s="476">
        <v>0</v>
      </c>
      <c r="DY71" s="476">
        <v>0</v>
      </c>
      <c r="DZ71" s="476">
        <v>0</v>
      </c>
      <c r="EA71" s="476">
        <v>0</v>
      </c>
      <c r="EB71" s="476">
        <v>0</v>
      </c>
      <c r="EC71" s="476">
        <v>1.238</v>
      </c>
      <c r="ED71" s="476">
        <v>8770</v>
      </c>
      <c r="EE71" s="476">
        <v>0</v>
      </c>
      <c r="EF71" s="476">
        <v>0</v>
      </c>
      <c r="EG71" s="476">
        <v>0</v>
      </c>
      <c r="EH71" s="476">
        <v>363031</v>
      </c>
      <c r="EI71" s="476">
        <v>0</v>
      </c>
      <c r="EJ71" s="476">
        <v>0</v>
      </c>
      <c r="EK71" s="476">
        <v>16.64</v>
      </c>
      <c r="EL71" s="476">
        <v>0</v>
      </c>
      <c r="EM71" s="476">
        <v>0</v>
      </c>
      <c r="EN71" s="476">
        <v>1.8030000000000002</v>
      </c>
      <c r="EO71" s="476">
        <v>0</v>
      </c>
      <c r="EP71" s="476">
        <v>0</v>
      </c>
      <c r="EQ71" s="476">
        <v>18.443000000000001</v>
      </c>
      <c r="ER71" s="476">
        <v>0</v>
      </c>
      <c r="ES71" s="476">
        <v>58.935000000000002</v>
      </c>
      <c r="ET71" s="476">
        <v>0</v>
      </c>
      <c r="EU71" s="476">
        <v>0</v>
      </c>
      <c r="EV71" s="476">
        <v>0</v>
      </c>
      <c r="EW71" s="476">
        <v>0</v>
      </c>
      <c r="EX71" s="476">
        <v>0</v>
      </c>
      <c r="EY71" s="476">
        <v>0</v>
      </c>
      <c r="EZ71" s="476">
        <v>6407059</v>
      </c>
      <c r="FA71" s="476">
        <v>0</v>
      </c>
      <c r="FB71" s="476">
        <v>6678178</v>
      </c>
      <c r="FC71" s="476">
        <v>0</v>
      </c>
      <c r="FD71" s="476">
        <v>0</v>
      </c>
      <c r="FE71" s="476">
        <v>851243</v>
      </c>
      <c r="FF71" s="476">
        <v>142164</v>
      </c>
      <c r="FG71" s="476">
        <v>6.3017999999999991E-2</v>
      </c>
      <c r="FH71" s="476">
        <v>2.6953999999999999E-2</v>
      </c>
      <c r="FI71" s="476">
        <v>0</v>
      </c>
      <c r="FJ71" s="476">
        <v>0</v>
      </c>
      <c r="FK71" s="476">
        <v>1070.2740000000001</v>
      </c>
      <c r="FL71" s="476">
        <v>7782428</v>
      </c>
      <c r="FM71" s="476">
        <v>0</v>
      </c>
      <c r="FN71" s="476">
        <v>0</v>
      </c>
      <c r="FO71" s="476">
        <v>86716</v>
      </c>
      <c r="FP71" s="476">
        <v>0</v>
      </c>
      <c r="FQ71" s="476">
        <v>86716</v>
      </c>
      <c r="FR71" s="476">
        <v>86716</v>
      </c>
      <c r="FS71" s="476">
        <v>0</v>
      </c>
      <c r="FT71" s="476">
        <v>0</v>
      </c>
      <c r="FU71" s="476">
        <v>0</v>
      </c>
      <c r="FV71" s="476">
        <v>0</v>
      </c>
      <c r="FW71" s="476">
        <v>0</v>
      </c>
      <c r="FX71" s="476">
        <v>0</v>
      </c>
      <c r="FY71" s="476">
        <v>0</v>
      </c>
      <c r="FZ71" s="476">
        <v>0</v>
      </c>
      <c r="GA71" s="476">
        <v>0</v>
      </c>
      <c r="GB71" s="476">
        <v>0</v>
      </c>
      <c r="GC71" s="476">
        <v>0</v>
      </c>
      <c r="GD71" s="476">
        <v>0</v>
      </c>
      <c r="GE71" s="476">
        <v>0</v>
      </c>
      <c r="GF71" s="476">
        <v>0</v>
      </c>
      <c r="GG71" s="476">
        <v>0</v>
      </c>
      <c r="GH71" s="476">
        <v>0</v>
      </c>
      <c r="GI71" s="476">
        <v>0</v>
      </c>
      <c r="GJ71" s="476">
        <v>0</v>
      </c>
      <c r="GK71" s="476">
        <v>0</v>
      </c>
      <c r="GL71" s="476">
        <v>0</v>
      </c>
      <c r="GM71" s="476">
        <v>0</v>
      </c>
      <c r="GN71" s="476">
        <v>0</v>
      </c>
      <c r="GO71" s="476">
        <v>0</v>
      </c>
      <c r="GP71" s="476">
        <v>0</v>
      </c>
      <c r="GQ71" s="476">
        <v>7399192</v>
      </c>
      <c r="GR71" s="476">
        <v>0</v>
      </c>
      <c r="GS71" s="476">
        <v>0</v>
      </c>
      <c r="GT71" s="476">
        <v>0</v>
      </c>
      <c r="GU71" s="476">
        <v>0</v>
      </c>
      <c r="GV71" s="476">
        <v>0</v>
      </c>
      <c r="GW71" s="476">
        <v>0</v>
      </c>
      <c r="GX71" s="476">
        <v>0</v>
      </c>
      <c r="GY71" s="476">
        <v>0</v>
      </c>
      <c r="GZ71" s="476">
        <v>0</v>
      </c>
      <c r="HA71" s="476">
        <v>0</v>
      </c>
      <c r="HB71" s="476">
        <v>323396213</v>
      </c>
      <c r="HC71" s="476">
        <v>4.2206E-2</v>
      </c>
      <c r="HD71" s="476">
        <v>110843</v>
      </c>
      <c r="HE71" s="476">
        <v>0</v>
      </c>
      <c r="HF71" s="476">
        <v>703197</v>
      </c>
      <c r="HG71" s="476">
        <v>0</v>
      </c>
      <c r="HH71" s="476">
        <v>203986</v>
      </c>
      <c r="HI71" s="476">
        <v>0</v>
      </c>
      <c r="HJ71" s="476">
        <v>6566</v>
      </c>
      <c r="HK71" s="476">
        <v>0</v>
      </c>
      <c r="HL71" s="476">
        <v>0</v>
      </c>
      <c r="HM71" s="476">
        <v>0</v>
      </c>
      <c r="HN71" s="476">
        <v>94941</v>
      </c>
      <c r="HO71" s="476">
        <v>0</v>
      </c>
      <c r="HP71" s="476">
        <v>0</v>
      </c>
      <c r="HQ71" s="476">
        <v>0</v>
      </c>
      <c r="HR71" s="476">
        <v>0</v>
      </c>
      <c r="HS71" s="476">
        <v>6405785</v>
      </c>
      <c r="HT71" s="476">
        <v>142164</v>
      </c>
      <c r="HU71" s="476">
        <v>0</v>
      </c>
      <c r="HV71" s="476">
        <v>0</v>
      </c>
      <c r="HW71" s="476">
        <v>0</v>
      </c>
      <c r="HX71" s="476">
        <v>194</v>
      </c>
      <c r="HY71" s="476">
        <v>94</v>
      </c>
      <c r="HZ71" s="476">
        <v>122</v>
      </c>
      <c r="IA71" s="476">
        <v>97</v>
      </c>
      <c r="IB71" s="476">
        <v>225</v>
      </c>
      <c r="IC71" s="476">
        <v>732</v>
      </c>
      <c r="ID71" s="476">
        <v>0</v>
      </c>
      <c r="IE71" s="476">
        <v>0</v>
      </c>
      <c r="IF71" s="476">
        <v>0</v>
      </c>
      <c r="IG71" s="476">
        <v>0</v>
      </c>
      <c r="IH71" s="476">
        <v>331.15300000000002</v>
      </c>
      <c r="II71" s="476">
        <v>0</v>
      </c>
      <c r="IJ71" s="476">
        <v>242.405</v>
      </c>
      <c r="IK71" s="476">
        <v>0</v>
      </c>
      <c r="IL71" s="476">
        <v>0</v>
      </c>
      <c r="IM71" s="476">
        <v>0</v>
      </c>
      <c r="IN71" s="476">
        <v>0</v>
      </c>
      <c r="IO71" s="476">
        <v>0</v>
      </c>
      <c r="IP71" s="476">
        <v>0</v>
      </c>
      <c r="IQ71" s="476">
        <v>242.405</v>
      </c>
      <c r="IR71" s="476">
        <v>149318</v>
      </c>
      <c r="IS71" s="476">
        <v>0</v>
      </c>
      <c r="IT71" s="476">
        <v>0</v>
      </c>
      <c r="IU71" s="476">
        <v>0</v>
      </c>
      <c r="IV71" s="476">
        <v>0</v>
      </c>
      <c r="IW71" s="476">
        <v>6160</v>
      </c>
      <c r="IX71" s="476">
        <v>0</v>
      </c>
      <c r="IY71" s="476">
        <v>0</v>
      </c>
      <c r="IZ71" s="476">
        <v>0</v>
      </c>
      <c r="JA71" s="476">
        <v>0</v>
      </c>
      <c r="JB71" s="476">
        <v>3</v>
      </c>
      <c r="JC71" s="476">
        <v>76908</v>
      </c>
      <c r="JD71" s="476">
        <v>1</v>
      </c>
      <c r="JE71" s="476">
        <v>16033</v>
      </c>
      <c r="JF71" s="476">
        <v>0</v>
      </c>
      <c r="JG71" s="476">
        <v>0</v>
      </c>
      <c r="JH71" s="476">
        <v>2000</v>
      </c>
      <c r="JI71" s="476">
        <v>0</v>
      </c>
      <c r="JJ71" s="476">
        <v>0</v>
      </c>
      <c r="JK71" s="476">
        <v>0</v>
      </c>
      <c r="JL71" s="476">
        <v>0</v>
      </c>
      <c r="JM71" s="476">
        <v>0</v>
      </c>
      <c r="JN71" s="476">
        <v>32469</v>
      </c>
      <c r="JO71" s="476">
        <v>0</v>
      </c>
      <c r="JP71" s="476">
        <v>0</v>
      </c>
      <c r="JQ71" s="476">
        <v>0</v>
      </c>
      <c r="JR71" s="476">
        <v>0</v>
      </c>
      <c r="JS71" s="476">
        <v>0</v>
      </c>
      <c r="JT71" s="476">
        <v>0</v>
      </c>
      <c r="JU71" s="476">
        <v>0</v>
      </c>
      <c r="JV71" s="476">
        <v>0</v>
      </c>
      <c r="JW71" s="476">
        <v>0</v>
      </c>
      <c r="JX71" s="476">
        <v>0</v>
      </c>
      <c r="JY71" s="476">
        <v>0</v>
      </c>
      <c r="JZ71" s="476">
        <v>0</v>
      </c>
      <c r="KA71" s="476">
        <v>0</v>
      </c>
      <c r="KB71" s="476">
        <v>0</v>
      </c>
      <c r="KC71" s="476">
        <v>0</v>
      </c>
      <c r="KD71" s="476">
        <v>0</v>
      </c>
      <c r="KE71" s="476">
        <v>7262</v>
      </c>
      <c r="KF71" s="476">
        <v>0</v>
      </c>
      <c r="KG71" s="476">
        <v>0</v>
      </c>
      <c r="KH71" s="476">
        <v>7399192</v>
      </c>
      <c r="KI71" s="476">
        <v>0</v>
      </c>
      <c r="KJ71" s="476">
        <v>0</v>
      </c>
      <c r="KK71" s="476">
        <v>0</v>
      </c>
      <c r="KL71" s="476">
        <v>0</v>
      </c>
      <c r="KM71" s="476">
        <v>0</v>
      </c>
      <c r="KN71" s="476">
        <v>0</v>
      </c>
    </row>
    <row r="72" spans="1:300" x14ac:dyDescent="0.25">
      <c r="A72" s="476">
        <v>40976</v>
      </c>
      <c r="B72" s="476">
        <v>61804</v>
      </c>
      <c r="C72" s="476">
        <v>9</v>
      </c>
      <c r="D72" s="476">
        <v>2024</v>
      </c>
      <c r="E72" s="476">
        <v>6160</v>
      </c>
      <c r="F72" s="476">
        <v>0</v>
      </c>
      <c r="G72" s="476">
        <v>1281.5550000000001</v>
      </c>
      <c r="H72" s="476">
        <v>1143.673</v>
      </c>
      <c r="I72" s="476">
        <v>1143.673</v>
      </c>
      <c r="J72" s="476">
        <v>1281.5550000000001</v>
      </c>
      <c r="K72" s="476">
        <v>0</v>
      </c>
      <c r="L72" s="476">
        <v>6160</v>
      </c>
      <c r="M72" s="476">
        <v>0</v>
      </c>
      <c r="N72" s="476">
        <v>0</v>
      </c>
      <c r="O72" s="476">
        <v>0</v>
      </c>
      <c r="P72" s="476">
        <v>1281.5550000000001</v>
      </c>
      <c r="Q72" s="476">
        <v>0</v>
      </c>
      <c r="R72" s="476">
        <v>531697</v>
      </c>
      <c r="S72" s="476">
        <v>414.88400000000001</v>
      </c>
      <c r="T72" s="476">
        <v>0</v>
      </c>
      <c r="U72" s="476">
        <v>0</v>
      </c>
      <c r="V72" s="476">
        <v>91.625</v>
      </c>
      <c r="W72" s="476">
        <v>56440</v>
      </c>
      <c r="X72" s="476">
        <v>56440</v>
      </c>
      <c r="Y72" s="476">
        <v>0</v>
      </c>
      <c r="Z72" s="476">
        <v>0</v>
      </c>
      <c r="AA72" s="476">
        <v>0</v>
      </c>
      <c r="AB72" s="476">
        <v>0</v>
      </c>
      <c r="AC72" s="476">
        <v>0</v>
      </c>
      <c r="AD72" s="476" t="s">
        <v>314</v>
      </c>
      <c r="AE72" s="476">
        <v>0</v>
      </c>
      <c r="AF72" s="476">
        <v>0</v>
      </c>
      <c r="AG72" s="476">
        <v>0</v>
      </c>
      <c r="AH72" s="476">
        <v>0</v>
      </c>
      <c r="AI72" s="476">
        <v>0</v>
      </c>
      <c r="AJ72" s="476">
        <v>6160</v>
      </c>
      <c r="AK72" s="476" t="s">
        <v>651</v>
      </c>
      <c r="AL72" s="476" t="s">
        <v>334</v>
      </c>
      <c r="AM72" s="476">
        <v>0</v>
      </c>
      <c r="AN72" s="476">
        <v>0</v>
      </c>
      <c r="AO72" s="476">
        <v>0</v>
      </c>
      <c r="AP72" s="476">
        <v>0</v>
      </c>
      <c r="AQ72" s="476">
        <v>0</v>
      </c>
      <c r="AR72" s="476">
        <v>0</v>
      </c>
      <c r="AS72" s="476">
        <v>0</v>
      </c>
      <c r="AT72" s="476">
        <v>0</v>
      </c>
      <c r="AU72" s="476">
        <v>0</v>
      </c>
      <c r="AV72" s="476">
        <v>0</v>
      </c>
      <c r="AW72" s="476">
        <v>11734635</v>
      </c>
      <c r="AX72" s="476">
        <v>11520969</v>
      </c>
      <c r="AY72" s="476">
        <v>0</v>
      </c>
      <c r="AZ72" s="476">
        <v>531697</v>
      </c>
      <c r="BA72" s="476">
        <v>0</v>
      </c>
      <c r="BB72" s="476">
        <v>27280</v>
      </c>
      <c r="BC72" s="476">
        <v>27106</v>
      </c>
      <c r="BD72" s="476">
        <v>64</v>
      </c>
      <c r="BE72" s="476">
        <v>174</v>
      </c>
      <c r="BF72" s="476">
        <v>10470227</v>
      </c>
      <c r="BG72" s="476">
        <v>0</v>
      </c>
      <c r="BH72" s="476">
        <v>0</v>
      </c>
      <c r="BI72" s="476">
        <v>0</v>
      </c>
      <c r="BJ72" s="476">
        <v>12</v>
      </c>
      <c r="BK72" s="476">
        <v>0</v>
      </c>
      <c r="BL72" s="476">
        <v>0</v>
      </c>
      <c r="BM72" s="476">
        <v>0</v>
      </c>
      <c r="BN72" s="476">
        <v>0</v>
      </c>
      <c r="BO72" s="476">
        <v>0</v>
      </c>
      <c r="BP72" s="476">
        <v>0</v>
      </c>
      <c r="BQ72" s="476">
        <v>594</v>
      </c>
      <c r="BR72" s="476">
        <v>0</v>
      </c>
      <c r="BS72" s="476">
        <v>0</v>
      </c>
      <c r="BT72" s="476">
        <v>0</v>
      </c>
      <c r="BU72" s="476">
        <v>0</v>
      </c>
      <c r="BV72" s="476">
        <v>0</v>
      </c>
      <c r="BW72" s="476">
        <v>0</v>
      </c>
      <c r="BX72" s="476">
        <v>0</v>
      </c>
      <c r="BY72" s="476">
        <v>0</v>
      </c>
      <c r="BZ72" s="476">
        <v>0</v>
      </c>
      <c r="CA72" s="476">
        <v>0</v>
      </c>
      <c r="CB72" s="476">
        <v>0</v>
      </c>
      <c r="CC72" s="476">
        <v>0</v>
      </c>
      <c r="CD72" s="476">
        <v>0</v>
      </c>
      <c r="CE72" s="476">
        <v>0</v>
      </c>
      <c r="CF72" s="476">
        <v>0</v>
      </c>
      <c r="CG72" s="476">
        <v>0</v>
      </c>
      <c r="CH72" s="476">
        <v>216359</v>
      </c>
      <c r="CI72" s="476">
        <v>0</v>
      </c>
      <c r="CJ72" s="476">
        <v>4</v>
      </c>
      <c r="CK72" s="476">
        <v>0</v>
      </c>
      <c r="CL72" s="476">
        <v>0</v>
      </c>
      <c r="CM72" s="476">
        <v>0</v>
      </c>
      <c r="CN72" s="476">
        <v>0</v>
      </c>
      <c r="CO72" s="476">
        <v>1</v>
      </c>
      <c r="CP72" s="476">
        <v>0</v>
      </c>
      <c r="CQ72" s="476">
        <v>0</v>
      </c>
      <c r="CR72" s="476">
        <v>1281.5550000000001</v>
      </c>
      <c r="CS72" s="476">
        <v>0</v>
      </c>
      <c r="CT72" s="476">
        <v>0</v>
      </c>
      <c r="CU72" s="476">
        <v>0</v>
      </c>
      <c r="CV72" s="476">
        <v>0</v>
      </c>
      <c r="CW72" s="476">
        <v>0</v>
      </c>
      <c r="CX72" s="476">
        <v>0</v>
      </c>
      <c r="CY72" s="476">
        <v>0</v>
      </c>
      <c r="CZ72" s="476">
        <v>0</v>
      </c>
      <c r="DA72" s="476">
        <v>0</v>
      </c>
      <c r="DB72" s="476">
        <v>7044866</v>
      </c>
      <c r="DC72" s="476">
        <v>0</v>
      </c>
      <c r="DD72" s="476">
        <v>0</v>
      </c>
      <c r="DE72" s="476">
        <v>53976</v>
      </c>
      <c r="DF72" s="476">
        <v>53976</v>
      </c>
      <c r="DG72" s="476">
        <v>8.7629999999999999</v>
      </c>
      <c r="DH72" s="476">
        <v>0</v>
      </c>
      <c r="DI72" s="476">
        <v>0</v>
      </c>
      <c r="DJ72" s="476">
        <v>0</v>
      </c>
      <c r="DK72" s="476">
        <v>1124</v>
      </c>
      <c r="DL72" s="476">
        <v>0</v>
      </c>
      <c r="DM72" s="476">
        <v>732719</v>
      </c>
      <c r="DN72" s="476">
        <v>2519</v>
      </c>
      <c r="DO72" s="476">
        <v>0</v>
      </c>
      <c r="DP72" s="476">
        <v>0</v>
      </c>
      <c r="DQ72" s="476">
        <v>0</v>
      </c>
      <c r="DR72" s="476">
        <v>0</v>
      </c>
      <c r="DS72" s="476">
        <v>0</v>
      </c>
      <c r="DT72" s="476">
        <v>0</v>
      </c>
      <c r="DU72" s="476">
        <v>0</v>
      </c>
      <c r="DV72" s="476">
        <v>0</v>
      </c>
      <c r="DW72" s="476">
        <v>0</v>
      </c>
      <c r="DX72" s="476">
        <v>0</v>
      </c>
      <c r="DY72" s="476">
        <v>0</v>
      </c>
      <c r="DZ72" s="476">
        <v>0</v>
      </c>
      <c r="EA72" s="476">
        <v>0</v>
      </c>
      <c r="EB72" s="476">
        <v>0</v>
      </c>
      <c r="EC72" s="476">
        <v>60.017000000000003</v>
      </c>
      <c r="ED72" s="476">
        <v>425151</v>
      </c>
      <c r="EE72" s="476">
        <v>0</v>
      </c>
      <c r="EF72" s="476">
        <v>0</v>
      </c>
      <c r="EG72" s="476">
        <v>0</v>
      </c>
      <c r="EH72" s="476">
        <v>310087</v>
      </c>
      <c r="EI72" s="476">
        <v>0</v>
      </c>
      <c r="EJ72" s="476">
        <v>0</v>
      </c>
      <c r="EK72" s="476">
        <v>10.732000000000001</v>
      </c>
      <c r="EL72" s="476">
        <v>0</v>
      </c>
      <c r="EM72" s="476">
        <v>1.8130000000000002</v>
      </c>
      <c r="EN72" s="476">
        <v>2.5409999999999999</v>
      </c>
      <c r="EO72" s="476">
        <v>0</v>
      </c>
      <c r="EP72" s="476">
        <v>0</v>
      </c>
      <c r="EQ72" s="476">
        <v>15.086</v>
      </c>
      <c r="ER72" s="476">
        <v>0</v>
      </c>
      <c r="ES72" s="476">
        <v>50.34</v>
      </c>
      <c r="ET72" s="476">
        <v>0</v>
      </c>
      <c r="EU72" s="476">
        <v>0</v>
      </c>
      <c r="EV72" s="476">
        <v>0</v>
      </c>
      <c r="EW72" s="476">
        <v>0</v>
      </c>
      <c r="EX72" s="476">
        <v>0</v>
      </c>
      <c r="EY72" s="476">
        <v>0</v>
      </c>
      <c r="EZ72" s="476">
        <v>9943295</v>
      </c>
      <c r="FA72" s="476">
        <v>0</v>
      </c>
      <c r="FB72" s="476">
        <v>10472299</v>
      </c>
      <c r="FC72" s="476">
        <v>0</v>
      </c>
      <c r="FD72" s="476">
        <v>0</v>
      </c>
      <c r="FE72" s="476">
        <v>1351897</v>
      </c>
      <c r="FF72" s="476">
        <v>225777</v>
      </c>
      <c r="FG72" s="476">
        <v>6.3017999999999991E-2</v>
      </c>
      <c r="FH72" s="476">
        <v>2.6953999999999999E-2</v>
      </c>
      <c r="FI72" s="476">
        <v>0</v>
      </c>
      <c r="FJ72" s="476">
        <v>0</v>
      </c>
      <c r="FK72" s="476">
        <v>1699.751</v>
      </c>
      <c r="FL72" s="476">
        <v>12266332</v>
      </c>
      <c r="FM72" s="476">
        <v>0</v>
      </c>
      <c r="FN72" s="476">
        <v>0</v>
      </c>
      <c r="FO72" s="476">
        <v>0</v>
      </c>
      <c r="FP72" s="476">
        <v>0</v>
      </c>
      <c r="FQ72" s="476">
        <v>0</v>
      </c>
      <c r="FR72" s="476">
        <v>0</v>
      </c>
      <c r="FS72" s="476">
        <v>0</v>
      </c>
      <c r="FT72" s="476">
        <v>0</v>
      </c>
      <c r="FU72" s="476">
        <v>0</v>
      </c>
      <c r="FV72" s="476">
        <v>0</v>
      </c>
      <c r="FW72" s="476">
        <v>0</v>
      </c>
      <c r="FX72" s="476">
        <v>0</v>
      </c>
      <c r="FY72" s="476">
        <v>0</v>
      </c>
      <c r="FZ72" s="476">
        <v>0</v>
      </c>
      <c r="GA72" s="476">
        <v>0</v>
      </c>
      <c r="GB72" s="476">
        <v>1154652</v>
      </c>
      <c r="GC72" s="476">
        <v>1154652</v>
      </c>
      <c r="GD72" s="476">
        <v>122.79600000000001</v>
      </c>
      <c r="GE72" s="476">
        <v>0</v>
      </c>
      <c r="GF72" s="476">
        <v>0</v>
      </c>
      <c r="GG72" s="476">
        <v>0</v>
      </c>
      <c r="GH72" s="476">
        <v>0</v>
      </c>
      <c r="GI72" s="476">
        <v>0</v>
      </c>
      <c r="GJ72" s="476">
        <v>0</v>
      </c>
      <c r="GK72" s="476">
        <v>0</v>
      </c>
      <c r="GL72" s="476">
        <v>0</v>
      </c>
      <c r="GM72" s="476">
        <v>0</v>
      </c>
      <c r="GN72" s="476">
        <v>0</v>
      </c>
      <c r="GO72" s="476">
        <v>0</v>
      </c>
      <c r="GP72" s="476">
        <v>0</v>
      </c>
      <c r="GQ72" s="476">
        <v>11518276</v>
      </c>
      <c r="GR72" s="476">
        <v>0</v>
      </c>
      <c r="GS72" s="476">
        <v>0</v>
      </c>
      <c r="GT72" s="476">
        <v>0</v>
      </c>
      <c r="GU72" s="476">
        <v>0</v>
      </c>
      <c r="GV72" s="476">
        <v>0</v>
      </c>
      <c r="GW72" s="476">
        <v>0</v>
      </c>
      <c r="GX72" s="476">
        <v>0</v>
      </c>
      <c r="GY72" s="476">
        <v>0</v>
      </c>
      <c r="GZ72" s="476">
        <v>0</v>
      </c>
      <c r="HA72" s="476">
        <v>0</v>
      </c>
      <c r="HB72" s="476">
        <v>323396213</v>
      </c>
      <c r="HC72" s="476">
        <v>4.2206E-2</v>
      </c>
      <c r="HD72" s="476">
        <v>216359</v>
      </c>
      <c r="HE72" s="476">
        <v>0</v>
      </c>
      <c r="HF72" s="476">
        <v>1260328</v>
      </c>
      <c r="HG72" s="476">
        <v>3696</v>
      </c>
      <c r="HH72" s="476">
        <v>29134</v>
      </c>
      <c r="HI72" s="476">
        <v>0</v>
      </c>
      <c r="HJ72" s="476">
        <v>12816</v>
      </c>
      <c r="HK72" s="476">
        <v>3774</v>
      </c>
      <c r="HL72" s="476">
        <v>991</v>
      </c>
      <c r="HM72" s="476">
        <v>36000</v>
      </c>
      <c r="HN72" s="476">
        <v>55801</v>
      </c>
      <c r="HO72" s="476">
        <v>0</v>
      </c>
      <c r="HP72" s="476">
        <v>0</v>
      </c>
      <c r="HQ72" s="476">
        <v>0</v>
      </c>
      <c r="HR72" s="476">
        <v>0</v>
      </c>
      <c r="HS72" s="476">
        <v>9940602</v>
      </c>
      <c r="HT72" s="476">
        <v>225777</v>
      </c>
      <c r="HU72" s="476">
        <v>0</v>
      </c>
      <c r="HV72" s="476">
        <v>0</v>
      </c>
      <c r="HW72" s="476">
        <v>0</v>
      </c>
      <c r="HX72" s="476">
        <v>25</v>
      </c>
      <c r="HY72" s="476">
        <v>4</v>
      </c>
      <c r="HZ72" s="476">
        <v>0</v>
      </c>
      <c r="IA72" s="476">
        <v>1</v>
      </c>
      <c r="IB72" s="476">
        <v>7</v>
      </c>
      <c r="IC72" s="476">
        <v>37</v>
      </c>
      <c r="ID72" s="476">
        <v>0</v>
      </c>
      <c r="IE72" s="476">
        <v>0</v>
      </c>
      <c r="IF72" s="476">
        <v>0</v>
      </c>
      <c r="IG72" s="476">
        <v>6</v>
      </c>
      <c r="IH72" s="476">
        <v>47.297000000000004</v>
      </c>
      <c r="II72" s="476">
        <v>0</v>
      </c>
      <c r="IJ72" s="476">
        <v>91.625</v>
      </c>
      <c r="IK72" s="476">
        <v>0</v>
      </c>
      <c r="IL72" s="476">
        <v>0</v>
      </c>
      <c r="IM72" s="476">
        <v>12</v>
      </c>
      <c r="IN72" s="476">
        <v>0</v>
      </c>
      <c r="IO72" s="476">
        <v>12</v>
      </c>
      <c r="IP72" s="476">
        <v>0</v>
      </c>
      <c r="IQ72" s="476">
        <v>91.625</v>
      </c>
      <c r="IR72" s="476">
        <v>56440</v>
      </c>
      <c r="IS72" s="476">
        <v>0</v>
      </c>
      <c r="IT72" s="476">
        <v>0</v>
      </c>
      <c r="IU72" s="476">
        <v>36000</v>
      </c>
      <c r="IV72" s="476">
        <v>0</v>
      </c>
      <c r="IW72" s="476">
        <v>6160</v>
      </c>
      <c r="IX72" s="476">
        <v>0</v>
      </c>
      <c r="IY72" s="476">
        <v>0</v>
      </c>
      <c r="IZ72" s="476">
        <v>0</v>
      </c>
      <c r="JA72" s="476">
        <v>0</v>
      </c>
      <c r="JB72" s="476">
        <v>2</v>
      </c>
      <c r="JC72" s="476">
        <v>24496</v>
      </c>
      <c r="JD72" s="476">
        <v>3</v>
      </c>
      <c r="JE72" s="476">
        <v>18203</v>
      </c>
      <c r="JF72" s="476">
        <v>3</v>
      </c>
      <c r="JG72" s="476">
        <v>9102</v>
      </c>
      <c r="JH72" s="476">
        <v>4000</v>
      </c>
      <c r="JI72" s="476">
        <v>0</v>
      </c>
      <c r="JJ72" s="476">
        <v>0</v>
      </c>
      <c r="JK72" s="476">
        <v>0</v>
      </c>
      <c r="JL72" s="476">
        <v>0</v>
      </c>
      <c r="JM72" s="476">
        <v>0</v>
      </c>
      <c r="JN72" s="476">
        <v>32469</v>
      </c>
      <c r="JO72" s="476">
        <v>13.005000000000001</v>
      </c>
      <c r="JP72" s="476">
        <v>87.89</v>
      </c>
      <c r="JQ72" s="476">
        <v>21.901</v>
      </c>
      <c r="JR72" s="476">
        <v>103887</v>
      </c>
      <c r="JS72" s="476">
        <v>816969</v>
      </c>
      <c r="JT72" s="476">
        <v>233796</v>
      </c>
      <c r="JU72" s="476">
        <v>27596</v>
      </c>
      <c r="JV72" s="476">
        <v>0</v>
      </c>
      <c r="JW72" s="476">
        <v>0</v>
      </c>
      <c r="JX72" s="476">
        <v>0</v>
      </c>
      <c r="JY72" s="476">
        <v>0</v>
      </c>
      <c r="JZ72" s="476">
        <v>0</v>
      </c>
      <c r="KA72" s="476">
        <v>0</v>
      </c>
      <c r="KB72" s="476">
        <v>0</v>
      </c>
      <c r="KC72" s="476">
        <v>0</v>
      </c>
      <c r="KD72" s="476">
        <v>27596</v>
      </c>
      <c r="KE72" s="476">
        <v>7262</v>
      </c>
      <c r="KF72" s="476">
        <v>0</v>
      </c>
      <c r="KG72" s="476">
        <v>0</v>
      </c>
      <c r="KH72" s="476">
        <v>11518276</v>
      </c>
      <c r="KI72" s="476">
        <v>0</v>
      </c>
      <c r="KJ72" s="476">
        <v>2</v>
      </c>
      <c r="KK72" s="476">
        <v>4</v>
      </c>
      <c r="KL72" s="476">
        <v>1232</v>
      </c>
      <c r="KM72" s="476">
        <v>2464</v>
      </c>
      <c r="KN72" s="476">
        <v>0</v>
      </c>
    </row>
    <row r="73" spans="1:300" x14ac:dyDescent="0.25">
      <c r="A73" s="476">
        <v>40976</v>
      </c>
      <c r="B73" s="476">
        <v>61805</v>
      </c>
      <c r="C73" s="476">
        <v>9</v>
      </c>
      <c r="D73" s="476">
        <v>2024</v>
      </c>
      <c r="E73" s="476">
        <v>6160</v>
      </c>
      <c r="F73" s="476">
        <v>0</v>
      </c>
      <c r="G73" s="476">
        <v>596.73</v>
      </c>
      <c r="H73" s="476">
        <v>571.81200000000001</v>
      </c>
      <c r="I73" s="476">
        <v>571.81200000000001</v>
      </c>
      <c r="J73" s="476">
        <v>596.73</v>
      </c>
      <c r="K73" s="476">
        <v>0</v>
      </c>
      <c r="L73" s="476">
        <v>6160</v>
      </c>
      <c r="M73" s="476">
        <v>0</v>
      </c>
      <c r="N73" s="476">
        <v>0</v>
      </c>
      <c r="O73" s="476">
        <v>0</v>
      </c>
      <c r="P73" s="476">
        <v>596.86300000000006</v>
      </c>
      <c r="Q73" s="476">
        <v>0</v>
      </c>
      <c r="R73" s="476">
        <v>247629</v>
      </c>
      <c r="S73" s="476">
        <v>414.88400000000001</v>
      </c>
      <c r="T73" s="476">
        <v>0</v>
      </c>
      <c r="U73" s="476">
        <v>0</v>
      </c>
      <c r="V73" s="476">
        <v>48.127000000000002</v>
      </c>
      <c r="W73" s="476">
        <v>29646</v>
      </c>
      <c r="X73" s="476">
        <v>29646</v>
      </c>
      <c r="Y73" s="476">
        <v>0</v>
      </c>
      <c r="Z73" s="476">
        <v>0</v>
      </c>
      <c r="AA73" s="476">
        <v>0</v>
      </c>
      <c r="AB73" s="476">
        <v>0</v>
      </c>
      <c r="AC73" s="476">
        <v>0</v>
      </c>
      <c r="AD73" s="476" t="s">
        <v>314</v>
      </c>
      <c r="AE73" s="476">
        <v>0</v>
      </c>
      <c r="AF73" s="476">
        <v>0</v>
      </c>
      <c r="AG73" s="476">
        <v>0</v>
      </c>
      <c r="AH73" s="476">
        <v>0</v>
      </c>
      <c r="AI73" s="476">
        <v>0</v>
      </c>
      <c r="AJ73" s="476">
        <v>6160</v>
      </c>
      <c r="AK73" s="476" t="s">
        <v>651</v>
      </c>
      <c r="AL73" s="476" t="s">
        <v>384</v>
      </c>
      <c r="AM73" s="476">
        <v>0</v>
      </c>
      <c r="AN73" s="476">
        <v>0</v>
      </c>
      <c r="AO73" s="476">
        <v>0</v>
      </c>
      <c r="AP73" s="476">
        <v>0</v>
      </c>
      <c r="AQ73" s="476">
        <v>0</v>
      </c>
      <c r="AR73" s="476">
        <v>0</v>
      </c>
      <c r="AS73" s="476">
        <v>0</v>
      </c>
      <c r="AT73" s="476">
        <v>0</v>
      </c>
      <c r="AU73" s="476">
        <v>0</v>
      </c>
      <c r="AV73" s="476">
        <v>0</v>
      </c>
      <c r="AW73" s="476">
        <v>5414346</v>
      </c>
      <c r="AX73" s="476">
        <v>5315321</v>
      </c>
      <c r="AY73" s="476">
        <v>0</v>
      </c>
      <c r="AZ73" s="476">
        <v>247629</v>
      </c>
      <c r="BA73" s="476">
        <v>0</v>
      </c>
      <c r="BB73" s="476">
        <v>12717</v>
      </c>
      <c r="BC73" s="476">
        <v>12636</v>
      </c>
      <c r="BD73" s="476">
        <v>29.837</v>
      </c>
      <c r="BE73" s="476">
        <v>81</v>
      </c>
      <c r="BF73" s="476">
        <v>4833862</v>
      </c>
      <c r="BG73" s="476">
        <v>0</v>
      </c>
      <c r="BH73" s="476">
        <v>0</v>
      </c>
      <c r="BI73" s="476">
        <v>0</v>
      </c>
      <c r="BJ73" s="476">
        <v>12</v>
      </c>
      <c r="BK73" s="476">
        <v>0</v>
      </c>
      <c r="BL73" s="476">
        <v>0</v>
      </c>
      <c r="BM73" s="476">
        <v>0</v>
      </c>
      <c r="BN73" s="476">
        <v>0</v>
      </c>
      <c r="BO73" s="476">
        <v>0</v>
      </c>
      <c r="BP73" s="476">
        <v>0</v>
      </c>
      <c r="BQ73" s="476">
        <v>682</v>
      </c>
      <c r="BR73" s="476">
        <v>0</v>
      </c>
      <c r="BS73" s="476">
        <v>0</v>
      </c>
      <c r="BT73" s="476">
        <v>0</v>
      </c>
      <c r="BU73" s="476">
        <v>0</v>
      </c>
      <c r="BV73" s="476">
        <v>0</v>
      </c>
      <c r="BW73" s="476">
        <v>0</v>
      </c>
      <c r="BX73" s="476">
        <v>0</v>
      </c>
      <c r="BY73" s="476">
        <v>0</v>
      </c>
      <c r="BZ73" s="476">
        <v>0</v>
      </c>
      <c r="CA73" s="476">
        <v>0</v>
      </c>
      <c r="CB73" s="476">
        <v>0</v>
      </c>
      <c r="CC73" s="476">
        <v>0</v>
      </c>
      <c r="CD73" s="476">
        <v>0</v>
      </c>
      <c r="CE73" s="476">
        <v>0</v>
      </c>
      <c r="CF73" s="476">
        <v>0</v>
      </c>
      <c r="CG73" s="476">
        <v>0</v>
      </c>
      <c r="CH73" s="476">
        <v>100743</v>
      </c>
      <c r="CI73" s="476">
        <v>0</v>
      </c>
      <c r="CJ73" s="476">
        <v>4</v>
      </c>
      <c r="CK73" s="476">
        <v>0</v>
      </c>
      <c r="CL73" s="476">
        <v>0</v>
      </c>
      <c r="CM73" s="476">
        <v>0</v>
      </c>
      <c r="CN73" s="476">
        <v>0</v>
      </c>
      <c r="CO73" s="476">
        <v>1</v>
      </c>
      <c r="CP73" s="476">
        <v>0</v>
      </c>
      <c r="CQ73" s="476">
        <v>0</v>
      </c>
      <c r="CR73" s="476">
        <v>596.73</v>
      </c>
      <c r="CS73" s="476">
        <v>0</v>
      </c>
      <c r="CT73" s="476">
        <v>0</v>
      </c>
      <c r="CU73" s="476">
        <v>0</v>
      </c>
      <c r="CV73" s="476">
        <v>0</v>
      </c>
      <c r="CW73" s="476">
        <v>0</v>
      </c>
      <c r="CX73" s="476">
        <v>0</v>
      </c>
      <c r="CY73" s="476">
        <v>0</v>
      </c>
      <c r="CZ73" s="476">
        <v>0</v>
      </c>
      <c r="DA73" s="476">
        <v>0</v>
      </c>
      <c r="DB73" s="476">
        <v>3522282</v>
      </c>
      <c r="DC73" s="476">
        <v>0</v>
      </c>
      <c r="DD73" s="476">
        <v>0</v>
      </c>
      <c r="DE73" s="476">
        <v>33417</v>
      </c>
      <c r="DF73" s="476">
        <v>33417</v>
      </c>
      <c r="DG73" s="476">
        <v>5.4249999999999998</v>
      </c>
      <c r="DH73" s="476">
        <v>0</v>
      </c>
      <c r="DI73" s="476">
        <v>0</v>
      </c>
      <c r="DJ73" s="476">
        <v>0</v>
      </c>
      <c r="DK73" s="476">
        <v>2533</v>
      </c>
      <c r="DL73" s="476">
        <v>0</v>
      </c>
      <c r="DM73" s="476">
        <v>476372</v>
      </c>
      <c r="DN73" s="476">
        <v>1638</v>
      </c>
      <c r="DO73" s="476">
        <v>0</v>
      </c>
      <c r="DP73" s="476">
        <v>0</v>
      </c>
      <c r="DQ73" s="476">
        <v>0</v>
      </c>
      <c r="DR73" s="476">
        <v>0</v>
      </c>
      <c r="DS73" s="476">
        <v>0</v>
      </c>
      <c r="DT73" s="476">
        <v>0</v>
      </c>
      <c r="DU73" s="476">
        <v>0</v>
      </c>
      <c r="DV73" s="476">
        <v>0</v>
      </c>
      <c r="DW73" s="476">
        <v>0</v>
      </c>
      <c r="DX73" s="476">
        <v>0</v>
      </c>
      <c r="DY73" s="476">
        <v>0</v>
      </c>
      <c r="DZ73" s="476">
        <v>0</v>
      </c>
      <c r="EA73" s="476">
        <v>4.2000000000000003E-2</v>
      </c>
      <c r="EB73" s="476">
        <v>0</v>
      </c>
      <c r="EC73" s="476">
        <v>22.984999999999999</v>
      </c>
      <c r="ED73" s="476">
        <v>162822</v>
      </c>
      <c r="EE73" s="476">
        <v>0</v>
      </c>
      <c r="EF73" s="476">
        <v>0</v>
      </c>
      <c r="EG73" s="476">
        <v>0</v>
      </c>
      <c r="EH73" s="476">
        <v>315188</v>
      </c>
      <c r="EI73" s="476">
        <v>0</v>
      </c>
      <c r="EJ73" s="476">
        <v>0</v>
      </c>
      <c r="EK73" s="476">
        <v>15.541</v>
      </c>
      <c r="EL73" s="476">
        <v>0</v>
      </c>
      <c r="EM73" s="476">
        <v>0</v>
      </c>
      <c r="EN73" s="476">
        <v>0.86699999999999999</v>
      </c>
      <c r="EO73" s="476">
        <v>0</v>
      </c>
      <c r="EP73" s="476">
        <v>0</v>
      </c>
      <c r="EQ73" s="476">
        <v>16.45</v>
      </c>
      <c r="ER73" s="476">
        <v>0</v>
      </c>
      <c r="ES73" s="476">
        <v>51.167999999999999</v>
      </c>
      <c r="ET73" s="476">
        <v>0</v>
      </c>
      <c r="EU73" s="476">
        <v>0</v>
      </c>
      <c r="EV73" s="476">
        <v>0</v>
      </c>
      <c r="EW73" s="476">
        <v>0</v>
      </c>
      <c r="EX73" s="476">
        <v>0</v>
      </c>
      <c r="EY73" s="476">
        <v>0</v>
      </c>
      <c r="EZ73" s="476">
        <v>4586945</v>
      </c>
      <c r="FA73" s="476">
        <v>0</v>
      </c>
      <c r="FB73" s="476">
        <v>4832856</v>
      </c>
      <c r="FC73" s="476">
        <v>0</v>
      </c>
      <c r="FD73" s="476">
        <v>0</v>
      </c>
      <c r="FE73" s="476">
        <v>624140</v>
      </c>
      <c r="FF73" s="476">
        <v>104236</v>
      </c>
      <c r="FG73" s="476">
        <v>6.3017999999999991E-2</v>
      </c>
      <c r="FH73" s="476">
        <v>2.6953999999999999E-2</v>
      </c>
      <c r="FI73" s="476">
        <v>0</v>
      </c>
      <c r="FJ73" s="476">
        <v>0</v>
      </c>
      <c r="FK73" s="476">
        <v>784.73599999999999</v>
      </c>
      <c r="FL73" s="476">
        <v>5661975</v>
      </c>
      <c r="FM73" s="476">
        <v>0</v>
      </c>
      <c r="FN73" s="476">
        <v>0</v>
      </c>
      <c r="FO73" s="476">
        <v>0</v>
      </c>
      <c r="FP73" s="476">
        <v>0</v>
      </c>
      <c r="FQ73" s="476">
        <v>0</v>
      </c>
      <c r="FR73" s="476">
        <v>0</v>
      </c>
      <c r="FS73" s="476">
        <v>0</v>
      </c>
      <c r="FT73" s="476">
        <v>0</v>
      </c>
      <c r="FU73" s="476">
        <v>0</v>
      </c>
      <c r="FV73" s="476">
        <v>0</v>
      </c>
      <c r="FW73" s="476">
        <v>0</v>
      </c>
      <c r="FX73" s="476">
        <v>0</v>
      </c>
      <c r="FY73" s="476">
        <v>0</v>
      </c>
      <c r="FZ73" s="476">
        <v>0</v>
      </c>
      <c r="GA73" s="476">
        <v>0</v>
      </c>
      <c r="GB73" s="476">
        <v>78713</v>
      </c>
      <c r="GC73" s="476">
        <v>78713</v>
      </c>
      <c r="GD73" s="476">
        <v>8.468</v>
      </c>
      <c r="GE73" s="476">
        <v>0</v>
      </c>
      <c r="GF73" s="476">
        <v>0</v>
      </c>
      <c r="GG73" s="476">
        <v>0</v>
      </c>
      <c r="GH73" s="476">
        <v>0</v>
      </c>
      <c r="GI73" s="476">
        <v>0</v>
      </c>
      <c r="GJ73" s="476">
        <v>0</v>
      </c>
      <c r="GK73" s="476">
        <v>0</v>
      </c>
      <c r="GL73" s="476">
        <v>0</v>
      </c>
      <c r="GM73" s="476">
        <v>0</v>
      </c>
      <c r="GN73" s="476">
        <v>0</v>
      </c>
      <c r="GO73" s="476">
        <v>0</v>
      </c>
      <c r="GP73" s="476">
        <v>0</v>
      </c>
      <c r="GQ73" s="476">
        <v>5313603</v>
      </c>
      <c r="GR73" s="476">
        <v>0</v>
      </c>
      <c r="GS73" s="476">
        <v>0</v>
      </c>
      <c r="GT73" s="476">
        <v>0</v>
      </c>
      <c r="GU73" s="476">
        <v>0</v>
      </c>
      <c r="GV73" s="476">
        <v>0</v>
      </c>
      <c r="GW73" s="476">
        <v>0</v>
      </c>
      <c r="GX73" s="476">
        <v>0</v>
      </c>
      <c r="GY73" s="476">
        <v>0</v>
      </c>
      <c r="GZ73" s="476">
        <v>0</v>
      </c>
      <c r="HA73" s="476">
        <v>0</v>
      </c>
      <c r="HB73" s="476">
        <v>323396213</v>
      </c>
      <c r="HC73" s="476">
        <v>4.2206E-2</v>
      </c>
      <c r="HD73" s="476">
        <v>100743</v>
      </c>
      <c r="HE73" s="476">
        <v>0</v>
      </c>
      <c r="HF73" s="476">
        <v>630137</v>
      </c>
      <c r="HG73" s="476">
        <v>24023</v>
      </c>
      <c r="HH73" s="476">
        <v>18950</v>
      </c>
      <c r="HI73" s="476">
        <v>0</v>
      </c>
      <c r="HJ73" s="476">
        <v>5967</v>
      </c>
      <c r="HK73" s="476">
        <v>712</v>
      </c>
      <c r="HL73" s="476">
        <v>0</v>
      </c>
      <c r="HM73" s="476">
        <v>0</v>
      </c>
      <c r="HN73" s="476">
        <v>0</v>
      </c>
      <c r="HO73" s="476">
        <v>0</v>
      </c>
      <c r="HP73" s="476">
        <v>0</v>
      </c>
      <c r="HQ73" s="476">
        <v>0</v>
      </c>
      <c r="HR73" s="476">
        <v>0</v>
      </c>
      <c r="HS73" s="476">
        <v>4585227</v>
      </c>
      <c r="HT73" s="476">
        <v>104236</v>
      </c>
      <c r="HU73" s="476">
        <v>0</v>
      </c>
      <c r="HV73" s="476">
        <v>0</v>
      </c>
      <c r="HW73" s="476">
        <v>0</v>
      </c>
      <c r="HX73" s="476">
        <v>12</v>
      </c>
      <c r="HY73" s="476">
        <v>6</v>
      </c>
      <c r="HZ73" s="476">
        <v>1</v>
      </c>
      <c r="IA73" s="476">
        <v>4</v>
      </c>
      <c r="IB73" s="476">
        <v>0</v>
      </c>
      <c r="IC73" s="476">
        <v>23</v>
      </c>
      <c r="ID73" s="476">
        <v>0</v>
      </c>
      <c r="IE73" s="476">
        <v>0</v>
      </c>
      <c r="IF73" s="476">
        <v>0</v>
      </c>
      <c r="IG73" s="476">
        <v>39</v>
      </c>
      <c r="IH73" s="476">
        <v>30.763000000000002</v>
      </c>
      <c r="II73" s="476">
        <v>0</v>
      </c>
      <c r="IJ73" s="476">
        <v>48.127000000000002</v>
      </c>
      <c r="IK73" s="476">
        <v>0</v>
      </c>
      <c r="IL73" s="476">
        <v>0</v>
      </c>
      <c r="IM73" s="476">
        <v>0</v>
      </c>
      <c r="IN73" s="476">
        <v>0</v>
      </c>
      <c r="IO73" s="476">
        <v>0</v>
      </c>
      <c r="IP73" s="476">
        <v>0</v>
      </c>
      <c r="IQ73" s="476">
        <v>48.127000000000002</v>
      </c>
      <c r="IR73" s="476">
        <v>29646</v>
      </c>
      <c r="IS73" s="476">
        <v>0</v>
      </c>
      <c r="IT73" s="476">
        <v>0</v>
      </c>
      <c r="IU73" s="476">
        <v>0</v>
      </c>
      <c r="IV73" s="476">
        <v>0</v>
      </c>
      <c r="IW73" s="476">
        <v>6160</v>
      </c>
      <c r="IX73" s="476">
        <v>0</v>
      </c>
      <c r="IY73" s="476">
        <v>0</v>
      </c>
      <c r="IZ73" s="476">
        <v>0</v>
      </c>
      <c r="JA73" s="476">
        <v>0</v>
      </c>
      <c r="JB73" s="476">
        <v>0</v>
      </c>
      <c r="JC73" s="476">
        <v>0</v>
      </c>
      <c r="JD73" s="476">
        <v>0</v>
      </c>
      <c r="JE73" s="476">
        <v>0</v>
      </c>
      <c r="JF73" s="476">
        <v>0</v>
      </c>
      <c r="JG73" s="476">
        <v>0</v>
      </c>
      <c r="JH73" s="476">
        <v>0</v>
      </c>
      <c r="JI73" s="476">
        <v>0</v>
      </c>
      <c r="JJ73" s="476">
        <v>0</v>
      </c>
      <c r="JK73" s="476">
        <v>0</v>
      </c>
      <c r="JL73" s="476">
        <v>0</v>
      </c>
      <c r="JM73" s="476">
        <v>0</v>
      </c>
      <c r="JN73" s="476">
        <v>32469</v>
      </c>
      <c r="JO73" s="476">
        <v>0</v>
      </c>
      <c r="JP73" s="476">
        <v>8.468</v>
      </c>
      <c r="JQ73" s="476">
        <v>0</v>
      </c>
      <c r="JR73" s="476">
        <v>0</v>
      </c>
      <c r="JS73" s="476">
        <v>78713</v>
      </c>
      <c r="JT73" s="476">
        <v>0</v>
      </c>
      <c r="JU73" s="476">
        <v>12865</v>
      </c>
      <c r="JV73" s="476">
        <v>0</v>
      </c>
      <c r="JW73" s="476">
        <v>0</v>
      </c>
      <c r="JX73" s="476">
        <v>0</v>
      </c>
      <c r="JY73" s="476">
        <v>0</v>
      </c>
      <c r="JZ73" s="476">
        <v>0</v>
      </c>
      <c r="KA73" s="476">
        <v>0</v>
      </c>
      <c r="KB73" s="476">
        <v>0</v>
      </c>
      <c r="KC73" s="476">
        <v>0</v>
      </c>
      <c r="KD73" s="476">
        <v>12936</v>
      </c>
      <c r="KE73" s="476">
        <v>7262</v>
      </c>
      <c r="KF73" s="476">
        <v>0</v>
      </c>
      <c r="KG73" s="476">
        <v>0</v>
      </c>
      <c r="KH73" s="476">
        <v>5313603</v>
      </c>
      <c r="KI73" s="476">
        <v>0</v>
      </c>
      <c r="KJ73" s="476">
        <v>22</v>
      </c>
      <c r="KK73" s="476">
        <v>17</v>
      </c>
      <c r="KL73" s="476">
        <v>13552</v>
      </c>
      <c r="KM73" s="476">
        <v>10472</v>
      </c>
      <c r="KN73" s="476">
        <v>0</v>
      </c>
    </row>
    <row r="74" spans="1:300" x14ac:dyDescent="0.25">
      <c r="A74" s="476">
        <v>40976</v>
      </c>
      <c r="B74" s="476">
        <v>68802</v>
      </c>
      <c r="C74" s="476">
        <v>9</v>
      </c>
      <c r="D74" s="476">
        <v>2024</v>
      </c>
      <c r="E74" s="476">
        <v>6160</v>
      </c>
      <c r="F74" s="476">
        <v>0</v>
      </c>
      <c r="G74" s="476">
        <v>1331.537</v>
      </c>
      <c r="H74" s="476">
        <v>1298.213</v>
      </c>
      <c r="I74" s="476">
        <v>1298.213</v>
      </c>
      <c r="J74" s="476">
        <v>1331.537</v>
      </c>
      <c r="K74" s="476">
        <v>0</v>
      </c>
      <c r="L74" s="476">
        <v>6160</v>
      </c>
      <c r="M74" s="476">
        <v>0</v>
      </c>
      <c r="N74" s="476">
        <v>0</v>
      </c>
      <c r="O74" s="476">
        <v>0</v>
      </c>
      <c r="P74" s="476">
        <v>1331.2170000000001</v>
      </c>
      <c r="Q74" s="476">
        <v>0</v>
      </c>
      <c r="R74" s="476">
        <v>552301</v>
      </c>
      <c r="S74" s="476">
        <v>414.88400000000001</v>
      </c>
      <c r="T74" s="476">
        <v>0</v>
      </c>
      <c r="U74" s="476">
        <v>0</v>
      </c>
      <c r="V74" s="476">
        <v>2.7930000000000001</v>
      </c>
      <c r="W74" s="476">
        <v>1720</v>
      </c>
      <c r="X74" s="476">
        <v>1720</v>
      </c>
      <c r="Y74" s="476">
        <v>0</v>
      </c>
      <c r="Z74" s="476">
        <v>0</v>
      </c>
      <c r="AA74" s="476">
        <v>0</v>
      </c>
      <c r="AB74" s="476">
        <v>0</v>
      </c>
      <c r="AC74" s="476">
        <v>0</v>
      </c>
      <c r="AD74" s="476" t="s">
        <v>314</v>
      </c>
      <c r="AE74" s="476">
        <v>0</v>
      </c>
      <c r="AF74" s="476">
        <v>0</v>
      </c>
      <c r="AG74" s="476">
        <v>0</v>
      </c>
      <c r="AH74" s="476">
        <v>0</v>
      </c>
      <c r="AI74" s="476">
        <v>0</v>
      </c>
      <c r="AJ74" s="476">
        <v>6160</v>
      </c>
      <c r="AK74" s="476" t="s">
        <v>651</v>
      </c>
      <c r="AL74" s="476" t="s">
        <v>335</v>
      </c>
      <c r="AM74" s="476">
        <v>0</v>
      </c>
      <c r="AN74" s="476">
        <v>0</v>
      </c>
      <c r="AO74" s="476">
        <v>0</v>
      </c>
      <c r="AP74" s="476">
        <v>0</v>
      </c>
      <c r="AQ74" s="476">
        <v>0</v>
      </c>
      <c r="AR74" s="476">
        <v>0</v>
      </c>
      <c r="AS74" s="476">
        <v>0</v>
      </c>
      <c r="AT74" s="476">
        <v>0</v>
      </c>
      <c r="AU74" s="476">
        <v>0</v>
      </c>
      <c r="AV74" s="476">
        <v>0</v>
      </c>
      <c r="AW74" s="476">
        <v>11729322</v>
      </c>
      <c r="AX74" s="476">
        <v>11507545</v>
      </c>
      <c r="AY74" s="476">
        <v>0</v>
      </c>
      <c r="AZ74" s="476">
        <v>552301</v>
      </c>
      <c r="BA74" s="476">
        <v>0</v>
      </c>
      <c r="BB74" s="476">
        <v>2557</v>
      </c>
      <c r="BC74" s="476">
        <v>2541</v>
      </c>
      <c r="BD74" s="476">
        <v>6</v>
      </c>
      <c r="BE74" s="476">
        <v>16</v>
      </c>
      <c r="BF74" s="476">
        <v>10477415</v>
      </c>
      <c r="BG74" s="476">
        <v>0</v>
      </c>
      <c r="BH74" s="476">
        <v>0</v>
      </c>
      <c r="BI74" s="476">
        <v>0</v>
      </c>
      <c r="BJ74" s="476">
        <v>12</v>
      </c>
      <c r="BK74" s="476">
        <v>0</v>
      </c>
      <c r="BL74" s="476">
        <v>0</v>
      </c>
      <c r="BM74" s="476">
        <v>0</v>
      </c>
      <c r="BN74" s="476">
        <v>0</v>
      </c>
      <c r="BO74" s="476">
        <v>0</v>
      </c>
      <c r="BP74" s="476">
        <v>0</v>
      </c>
      <c r="BQ74" s="476">
        <v>570</v>
      </c>
      <c r="BR74" s="476">
        <v>0</v>
      </c>
      <c r="BS74" s="476">
        <v>0</v>
      </c>
      <c r="BT74" s="476">
        <v>0</v>
      </c>
      <c r="BU74" s="476">
        <v>0</v>
      </c>
      <c r="BV74" s="476">
        <v>0</v>
      </c>
      <c r="BW74" s="476">
        <v>0</v>
      </c>
      <c r="BX74" s="476">
        <v>0</v>
      </c>
      <c r="BY74" s="476">
        <v>0</v>
      </c>
      <c r="BZ74" s="476">
        <v>0</v>
      </c>
      <c r="CA74" s="476">
        <v>0</v>
      </c>
      <c r="CB74" s="476">
        <v>0</v>
      </c>
      <c r="CC74" s="476">
        <v>0</v>
      </c>
      <c r="CD74" s="476">
        <v>0</v>
      </c>
      <c r="CE74" s="476">
        <v>0</v>
      </c>
      <c r="CF74" s="476">
        <v>0</v>
      </c>
      <c r="CG74" s="476">
        <v>0</v>
      </c>
      <c r="CH74" s="476">
        <v>224797</v>
      </c>
      <c r="CI74" s="476">
        <v>0</v>
      </c>
      <c r="CJ74" s="476">
        <v>4</v>
      </c>
      <c r="CK74" s="476">
        <v>0</v>
      </c>
      <c r="CL74" s="476">
        <v>0</v>
      </c>
      <c r="CM74" s="476">
        <v>0</v>
      </c>
      <c r="CN74" s="476">
        <v>0</v>
      </c>
      <c r="CO74" s="476">
        <v>1</v>
      </c>
      <c r="CP74" s="476">
        <v>0</v>
      </c>
      <c r="CQ74" s="476">
        <v>0</v>
      </c>
      <c r="CR74" s="476">
        <v>1331.537</v>
      </c>
      <c r="CS74" s="476">
        <v>0</v>
      </c>
      <c r="CT74" s="476">
        <v>0</v>
      </c>
      <c r="CU74" s="476">
        <v>0</v>
      </c>
      <c r="CV74" s="476">
        <v>0</v>
      </c>
      <c r="CW74" s="476">
        <v>0</v>
      </c>
      <c r="CX74" s="476">
        <v>0</v>
      </c>
      <c r="CY74" s="476">
        <v>0</v>
      </c>
      <c r="CZ74" s="476">
        <v>0</v>
      </c>
      <c r="DA74" s="476">
        <v>0</v>
      </c>
      <c r="DB74" s="476">
        <v>7996811</v>
      </c>
      <c r="DC74" s="476">
        <v>0</v>
      </c>
      <c r="DD74" s="476">
        <v>0</v>
      </c>
      <c r="DE74" s="476">
        <v>137057</v>
      </c>
      <c r="DF74" s="476">
        <v>137057</v>
      </c>
      <c r="DG74" s="476">
        <v>22.25</v>
      </c>
      <c r="DH74" s="476">
        <v>0</v>
      </c>
      <c r="DI74" s="476">
        <v>0</v>
      </c>
      <c r="DJ74" s="476">
        <v>0</v>
      </c>
      <c r="DK74" s="476">
        <v>744</v>
      </c>
      <c r="DL74" s="476">
        <v>0</v>
      </c>
      <c r="DM74" s="476">
        <v>873700</v>
      </c>
      <c r="DN74" s="476">
        <v>3004</v>
      </c>
      <c r="DO74" s="476">
        <v>0</v>
      </c>
      <c r="DP74" s="476">
        <v>0</v>
      </c>
      <c r="DQ74" s="476">
        <v>0</v>
      </c>
      <c r="DR74" s="476">
        <v>0</v>
      </c>
      <c r="DS74" s="476">
        <v>0</v>
      </c>
      <c r="DT74" s="476">
        <v>0</v>
      </c>
      <c r="DU74" s="476">
        <v>0</v>
      </c>
      <c r="DV74" s="476">
        <v>0</v>
      </c>
      <c r="DW74" s="476">
        <v>0</v>
      </c>
      <c r="DX74" s="476">
        <v>0</v>
      </c>
      <c r="DY74" s="476">
        <v>0</v>
      </c>
      <c r="DZ74" s="476">
        <v>0</v>
      </c>
      <c r="EA74" s="476">
        <v>0</v>
      </c>
      <c r="EB74" s="476">
        <v>0</v>
      </c>
      <c r="EC74" s="476">
        <v>32.783000000000001</v>
      </c>
      <c r="ED74" s="476">
        <v>232230</v>
      </c>
      <c r="EE74" s="476">
        <v>0</v>
      </c>
      <c r="EF74" s="476">
        <v>0</v>
      </c>
      <c r="EG74" s="476">
        <v>0.151</v>
      </c>
      <c r="EH74" s="476">
        <v>644474</v>
      </c>
      <c r="EI74" s="476">
        <v>0</v>
      </c>
      <c r="EJ74" s="476">
        <v>0</v>
      </c>
      <c r="EK74" s="476">
        <v>30.824000000000002</v>
      </c>
      <c r="EL74" s="476">
        <v>0</v>
      </c>
      <c r="EM74" s="476">
        <v>0</v>
      </c>
      <c r="EN74" s="476">
        <v>2.3490000000000002</v>
      </c>
      <c r="EO74" s="476">
        <v>0</v>
      </c>
      <c r="EP74" s="476">
        <v>0</v>
      </c>
      <c r="EQ74" s="476">
        <v>33.323999999999998</v>
      </c>
      <c r="ER74" s="476">
        <v>0</v>
      </c>
      <c r="ES74" s="476">
        <v>104.625</v>
      </c>
      <c r="ET74" s="476">
        <v>0</v>
      </c>
      <c r="EU74" s="476">
        <v>0</v>
      </c>
      <c r="EV74" s="476">
        <v>0</v>
      </c>
      <c r="EW74" s="476">
        <v>0</v>
      </c>
      <c r="EX74" s="476">
        <v>0</v>
      </c>
      <c r="EY74" s="476">
        <v>0</v>
      </c>
      <c r="EZ74" s="476">
        <v>9928788</v>
      </c>
      <c r="FA74" s="476">
        <v>0</v>
      </c>
      <c r="FB74" s="476">
        <v>10478069</v>
      </c>
      <c r="FC74" s="476">
        <v>0</v>
      </c>
      <c r="FD74" s="476">
        <v>0</v>
      </c>
      <c r="FE74" s="476">
        <v>1352825</v>
      </c>
      <c r="FF74" s="476">
        <v>225932</v>
      </c>
      <c r="FG74" s="476">
        <v>6.3017999999999991E-2</v>
      </c>
      <c r="FH74" s="476">
        <v>2.6953999999999999E-2</v>
      </c>
      <c r="FI74" s="476">
        <v>0</v>
      </c>
      <c r="FJ74" s="476">
        <v>0</v>
      </c>
      <c r="FK74" s="476">
        <v>1700.9180000000001</v>
      </c>
      <c r="FL74" s="476">
        <v>12281623</v>
      </c>
      <c r="FM74" s="476">
        <v>0</v>
      </c>
      <c r="FN74" s="476">
        <v>0</v>
      </c>
      <c r="FO74" s="476">
        <v>0</v>
      </c>
      <c r="FP74" s="476">
        <v>0</v>
      </c>
      <c r="FQ74" s="476">
        <v>0</v>
      </c>
      <c r="FR74" s="476">
        <v>0</v>
      </c>
      <c r="FS74" s="476">
        <v>0</v>
      </c>
      <c r="FT74" s="476">
        <v>0</v>
      </c>
      <c r="FU74" s="476">
        <v>0</v>
      </c>
      <c r="FV74" s="476">
        <v>0</v>
      </c>
      <c r="FW74" s="476">
        <v>0</v>
      </c>
      <c r="FX74" s="476">
        <v>0</v>
      </c>
      <c r="FY74" s="476">
        <v>0</v>
      </c>
      <c r="FZ74" s="476">
        <v>0</v>
      </c>
      <c r="GA74" s="476">
        <v>0</v>
      </c>
      <c r="GB74" s="476">
        <v>0</v>
      </c>
      <c r="GC74" s="476">
        <v>0</v>
      </c>
      <c r="GD74" s="476">
        <v>0</v>
      </c>
      <c r="GE74" s="476">
        <v>0</v>
      </c>
      <c r="GF74" s="476">
        <v>0</v>
      </c>
      <c r="GG74" s="476">
        <v>0</v>
      </c>
      <c r="GH74" s="476">
        <v>0</v>
      </c>
      <c r="GI74" s="476">
        <v>0</v>
      </c>
      <c r="GJ74" s="476">
        <v>0</v>
      </c>
      <c r="GK74" s="476">
        <v>0</v>
      </c>
      <c r="GL74" s="476">
        <v>0</v>
      </c>
      <c r="GM74" s="476">
        <v>0</v>
      </c>
      <c r="GN74" s="476">
        <v>0</v>
      </c>
      <c r="GO74" s="476">
        <v>0</v>
      </c>
      <c r="GP74" s="476">
        <v>0</v>
      </c>
      <c r="GQ74" s="476">
        <v>11504525</v>
      </c>
      <c r="GR74" s="476">
        <v>0</v>
      </c>
      <c r="GS74" s="476">
        <v>0</v>
      </c>
      <c r="GT74" s="476">
        <v>0</v>
      </c>
      <c r="GU74" s="476">
        <v>0</v>
      </c>
      <c r="GV74" s="476">
        <v>0</v>
      </c>
      <c r="GW74" s="476">
        <v>0</v>
      </c>
      <c r="GX74" s="476">
        <v>0</v>
      </c>
      <c r="GY74" s="476">
        <v>0</v>
      </c>
      <c r="GZ74" s="476">
        <v>0</v>
      </c>
      <c r="HA74" s="476">
        <v>0</v>
      </c>
      <c r="HB74" s="476">
        <v>323396213</v>
      </c>
      <c r="HC74" s="476">
        <v>4.2206E-2</v>
      </c>
      <c r="HD74" s="476">
        <v>224797</v>
      </c>
      <c r="HE74" s="476">
        <v>0</v>
      </c>
      <c r="HF74" s="476">
        <v>1430631</v>
      </c>
      <c r="HG74" s="476">
        <v>15400</v>
      </c>
      <c r="HH74" s="476">
        <v>3220</v>
      </c>
      <c r="HI74" s="476">
        <v>0</v>
      </c>
      <c r="HJ74" s="476">
        <v>13315</v>
      </c>
      <c r="HK74" s="476">
        <v>3663</v>
      </c>
      <c r="HL74" s="476">
        <v>11</v>
      </c>
      <c r="HM74" s="476">
        <v>0</v>
      </c>
      <c r="HN74" s="476">
        <v>0</v>
      </c>
      <c r="HO74" s="476">
        <v>0</v>
      </c>
      <c r="HP74" s="476">
        <v>0</v>
      </c>
      <c r="HQ74" s="476">
        <v>0</v>
      </c>
      <c r="HR74" s="476">
        <v>0</v>
      </c>
      <c r="HS74" s="476">
        <v>9925768</v>
      </c>
      <c r="HT74" s="476">
        <v>225932</v>
      </c>
      <c r="HU74" s="476">
        <v>0</v>
      </c>
      <c r="HV74" s="476">
        <v>0</v>
      </c>
      <c r="HW74" s="476">
        <v>0</v>
      </c>
      <c r="HX74" s="476">
        <v>22</v>
      </c>
      <c r="HY74" s="476">
        <v>33</v>
      </c>
      <c r="HZ74" s="476">
        <v>24</v>
      </c>
      <c r="IA74" s="476">
        <v>9</v>
      </c>
      <c r="IB74" s="476">
        <v>4</v>
      </c>
      <c r="IC74" s="476">
        <v>92</v>
      </c>
      <c r="ID74" s="476">
        <v>0</v>
      </c>
      <c r="IE74" s="476">
        <v>0</v>
      </c>
      <c r="IF74" s="476">
        <v>0</v>
      </c>
      <c r="IG74" s="476">
        <v>25</v>
      </c>
      <c r="IH74" s="476">
        <v>5.2270000000000003</v>
      </c>
      <c r="II74" s="476">
        <v>0</v>
      </c>
      <c r="IJ74" s="476">
        <v>2.7930000000000001</v>
      </c>
      <c r="IK74" s="476">
        <v>0</v>
      </c>
      <c r="IL74" s="476">
        <v>0</v>
      </c>
      <c r="IM74" s="476">
        <v>0</v>
      </c>
      <c r="IN74" s="476">
        <v>0</v>
      </c>
      <c r="IO74" s="476">
        <v>0</v>
      </c>
      <c r="IP74" s="476">
        <v>0</v>
      </c>
      <c r="IQ74" s="476">
        <v>2.7930000000000001</v>
      </c>
      <c r="IR74" s="476">
        <v>1720</v>
      </c>
      <c r="IS74" s="476">
        <v>0</v>
      </c>
      <c r="IT74" s="476">
        <v>0</v>
      </c>
      <c r="IU74" s="476">
        <v>0</v>
      </c>
      <c r="IV74" s="476">
        <v>0</v>
      </c>
      <c r="IW74" s="476">
        <v>6160</v>
      </c>
      <c r="IX74" s="476">
        <v>0</v>
      </c>
      <c r="IY74" s="476">
        <v>0</v>
      </c>
      <c r="IZ74" s="476">
        <v>0</v>
      </c>
      <c r="JA74" s="476">
        <v>0</v>
      </c>
      <c r="JB74" s="476">
        <v>0</v>
      </c>
      <c r="JC74" s="476">
        <v>0</v>
      </c>
      <c r="JD74" s="476">
        <v>0</v>
      </c>
      <c r="JE74" s="476">
        <v>0</v>
      </c>
      <c r="JF74" s="476">
        <v>0</v>
      </c>
      <c r="JG74" s="476">
        <v>0</v>
      </c>
      <c r="JH74" s="476">
        <v>0</v>
      </c>
      <c r="JI74" s="476">
        <v>0</v>
      </c>
      <c r="JJ74" s="476">
        <v>0</v>
      </c>
      <c r="JK74" s="476">
        <v>0</v>
      </c>
      <c r="JL74" s="476">
        <v>0</v>
      </c>
      <c r="JM74" s="476">
        <v>0</v>
      </c>
      <c r="JN74" s="476">
        <v>32469</v>
      </c>
      <c r="JO74" s="476">
        <v>0</v>
      </c>
      <c r="JP74" s="476">
        <v>0</v>
      </c>
      <c r="JQ74" s="476">
        <v>0</v>
      </c>
      <c r="JR74" s="476">
        <v>0</v>
      </c>
      <c r="JS74" s="476">
        <v>0</v>
      </c>
      <c r="JT74" s="476">
        <v>0</v>
      </c>
      <c r="JU74" s="476">
        <v>2587</v>
      </c>
      <c r="JV74" s="476">
        <v>0</v>
      </c>
      <c r="JW74" s="476">
        <v>0</v>
      </c>
      <c r="JX74" s="476">
        <v>0</v>
      </c>
      <c r="JY74" s="476">
        <v>0</v>
      </c>
      <c r="JZ74" s="476">
        <v>0</v>
      </c>
      <c r="KA74" s="476">
        <v>0</v>
      </c>
      <c r="KB74" s="476">
        <v>0</v>
      </c>
      <c r="KC74" s="476">
        <v>0</v>
      </c>
      <c r="KD74" s="476">
        <v>2587</v>
      </c>
      <c r="KE74" s="476">
        <v>7262</v>
      </c>
      <c r="KF74" s="476">
        <v>0</v>
      </c>
      <c r="KG74" s="476">
        <v>0</v>
      </c>
      <c r="KH74" s="476">
        <v>11504525</v>
      </c>
      <c r="KI74" s="476">
        <v>0</v>
      </c>
      <c r="KJ74" s="476">
        <v>6</v>
      </c>
      <c r="KK74" s="476">
        <v>19</v>
      </c>
      <c r="KL74" s="476">
        <v>3696</v>
      </c>
      <c r="KM74" s="476">
        <v>11704</v>
      </c>
      <c r="KN74" s="476">
        <v>0</v>
      </c>
    </row>
    <row r="75" spans="1:300" x14ac:dyDescent="0.25">
      <c r="A75" s="476">
        <v>40976</v>
      </c>
      <c r="B75" s="476">
        <v>68803</v>
      </c>
      <c r="C75" s="476">
        <v>9</v>
      </c>
      <c r="D75" s="476">
        <v>2024</v>
      </c>
      <c r="E75" s="476">
        <v>6160</v>
      </c>
      <c r="F75" s="476">
        <v>0</v>
      </c>
      <c r="G75" s="476">
        <v>0</v>
      </c>
      <c r="H75" s="476">
        <v>0</v>
      </c>
      <c r="I75" s="476">
        <v>0</v>
      </c>
      <c r="J75" s="476">
        <v>0</v>
      </c>
      <c r="K75" s="476">
        <v>0</v>
      </c>
      <c r="L75" s="476">
        <v>6160</v>
      </c>
      <c r="M75" s="476">
        <v>0</v>
      </c>
      <c r="N75" s="476">
        <v>0</v>
      </c>
      <c r="O75" s="476">
        <v>0</v>
      </c>
      <c r="P75" s="476">
        <v>0</v>
      </c>
      <c r="Q75" s="476">
        <v>0</v>
      </c>
      <c r="R75" s="476">
        <v>0</v>
      </c>
      <c r="S75" s="476">
        <v>414.88400000000001</v>
      </c>
      <c r="T75" s="476">
        <v>0</v>
      </c>
      <c r="U75" s="476">
        <v>0</v>
      </c>
      <c r="V75" s="476">
        <v>0</v>
      </c>
      <c r="W75" s="476">
        <v>0</v>
      </c>
      <c r="X75" s="476">
        <v>0</v>
      </c>
      <c r="Y75" s="476">
        <v>0</v>
      </c>
      <c r="Z75" s="476">
        <v>0</v>
      </c>
      <c r="AA75" s="476">
        <v>0</v>
      </c>
      <c r="AB75" s="476">
        <v>0</v>
      </c>
      <c r="AC75" s="476">
        <v>0</v>
      </c>
      <c r="AD75" s="476" t="s">
        <v>314</v>
      </c>
      <c r="AE75" s="476">
        <v>0</v>
      </c>
      <c r="AF75" s="476">
        <v>0</v>
      </c>
      <c r="AG75" s="476">
        <v>0</v>
      </c>
      <c r="AH75" s="476">
        <v>0</v>
      </c>
      <c r="AI75" s="476">
        <v>0</v>
      </c>
      <c r="AJ75" s="476">
        <v>6160</v>
      </c>
      <c r="AK75" s="476" t="s">
        <v>651</v>
      </c>
      <c r="AL75" s="476" t="s">
        <v>336</v>
      </c>
      <c r="AM75" s="476">
        <v>0</v>
      </c>
      <c r="AN75" s="476">
        <v>0</v>
      </c>
      <c r="AO75" s="476">
        <v>0</v>
      </c>
      <c r="AP75" s="476">
        <v>0</v>
      </c>
      <c r="AQ75" s="476">
        <v>0</v>
      </c>
      <c r="AR75" s="476">
        <v>0</v>
      </c>
      <c r="AS75" s="476">
        <v>0</v>
      </c>
      <c r="AT75" s="476">
        <v>0</v>
      </c>
      <c r="AU75" s="476">
        <v>0</v>
      </c>
      <c r="AV75" s="476">
        <v>0</v>
      </c>
      <c r="AW75" s="476">
        <v>0</v>
      </c>
      <c r="AX75" s="476">
        <v>0</v>
      </c>
      <c r="AY75" s="476">
        <v>0</v>
      </c>
      <c r="AZ75" s="476">
        <v>0</v>
      </c>
      <c r="BA75" s="476">
        <v>0</v>
      </c>
      <c r="BB75" s="476">
        <v>0</v>
      </c>
      <c r="BC75" s="476">
        <v>0</v>
      </c>
      <c r="BD75" s="476">
        <v>0</v>
      </c>
      <c r="BE75" s="476">
        <v>0</v>
      </c>
      <c r="BF75" s="476">
        <v>0</v>
      </c>
      <c r="BG75" s="476">
        <v>0</v>
      </c>
      <c r="BH75" s="476">
        <v>0</v>
      </c>
      <c r="BI75" s="476">
        <v>0</v>
      </c>
      <c r="BJ75" s="476">
        <v>12</v>
      </c>
      <c r="BK75" s="476">
        <v>0</v>
      </c>
      <c r="BL75" s="476">
        <v>0</v>
      </c>
      <c r="BM75" s="476">
        <v>0</v>
      </c>
      <c r="BN75" s="476">
        <v>0</v>
      </c>
      <c r="BO75" s="476">
        <v>0</v>
      </c>
      <c r="BP75" s="476">
        <v>0</v>
      </c>
      <c r="BQ75" s="476">
        <v>770</v>
      </c>
      <c r="BR75" s="476">
        <v>0</v>
      </c>
      <c r="BS75" s="476">
        <v>0</v>
      </c>
      <c r="BT75" s="476">
        <v>0</v>
      </c>
      <c r="BU75" s="476">
        <v>0</v>
      </c>
      <c r="BV75" s="476">
        <v>0</v>
      </c>
      <c r="BW75" s="476">
        <v>0</v>
      </c>
      <c r="BX75" s="476">
        <v>0</v>
      </c>
      <c r="BY75" s="476">
        <v>0</v>
      </c>
      <c r="BZ75" s="476">
        <v>0</v>
      </c>
      <c r="CA75" s="476">
        <v>0</v>
      </c>
      <c r="CB75" s="476">
        <v>0</v>
      </c>
      <c r="CC75" s="476">
        <v>0</v>
      </c>
      <c r="CD75" s="476">
        <v>0</v>
      </c>
      <c r="CE75" s="476">
        <v>0</v>
      </c>
      <c r="CF75" s="476">
        <v>0</v>
      </c>
      <c r="CG75" s="476">
        <v>0</v>
      </c>
      <c r="CH75" s="476">
        <v>0</v>
      </c>
      <c r="CI75" s="476">
        <v>0</v>
      </c>
      <c r="CJ75" s="476">
        <v>4</v>
      </c>
      <c r="CK75" s="476">
        <v>0</v>
      </c>
      <c r="CL75" s="476">
        <v>0</v>
      </c>
      <c r="CM75" s="476">
        <v>0</v>
      </c>
      <c r="CN75" s="476">
        <v>0</v>
      </c>
      <c r="CO75" s="476">
        <v>0</v>
      </c>
      <c r="CP75" s="476">
        <v>0</v>
      </c>
      <c r="CQ75" s="476">
        <v>0</v>
      </c>
      <c r="CR75" s="476">
        <v>0</v>
      </c>
      <c r="CS75" s="476">
        <v>0</v>
      </c>
      <c r="CT75" s="476">
        <v>0</v>
      </c>
      <c r="CU75" s="476">
        <v>0</v>
      </c>
      <c r="CV75" s="476">
        <v>0</v>
      </c>
      <c r="CW75" s="476">
        <v>0</v>
      </c>
      <c r="CX75" s="476">
        <v>0</v>
      </c>
      <c r="CY75" s="476">
        <v>0</v>
      </c>
      <c r="CZ75" s="476">
        <v>0</v>
      </c>
      <c r="DA75" s="476">
        <v>0</v>
      </c>
      <c r="DB75" s="476">
        <v>0</v>
      </c>
      <c r="DC75" s="476">
        <v>0</v>
      </c>
      <c r="DD75" s="476">
        <v>0</v>
      </c>
      <c r="DE75" s="476">
        <v>0</v>
      </c>
      <c r="DF75" s="476">
        <v>0</v>
      </c>
      <c r="DG75" s="476">
        <v>0</v>
      </c>
      <c r="DH75" s="476">
        <v>0</v>
      </c>
      <c r="DI75" s="476">
        <v>0</v>
      </c>
      <c r="DJ75" s="476">
        <v>0</v>
      </c>
      <c r="DK75" s="476">
        <v>3942</v>
      </c>
      <c r="DL75" s="476">
        <v>0</v>
      </c>
      <c r="DM75" s="476">
        <v>0</v>
      </c>
      <c r="DN75" s="476">
        <v>0</v>
      </c>
      <c r="DO75" s="476">
        <v>0</v>
      </c>
      <c r="DP75" s="476">
        <v>0</v>
      </c>
      <c r="DQ75" s="476">
        <v>0</v>
      </c>
      <c r="DR75" s="476">
        <v>0</v>
      </c>
      <c r="DS75" s="476">
        <v>0</v>
      </c>
      <c r="DT75" s="476">
        <v>0</v>
      </c>
      <c r="DU75" s="476">
        <v>0</v>
      </c>
      <c r="DV75" s="476">
        <v>0</v>
      </c>
      <c r="DW75" s="476">
        <v>0</v>
      </c>
      <c r="DX75" s="476">
        <v>0</v>
      </c>
      <c r="DY75" s="476">
        <v>0</v>
      </c>
      <c r="DZ75" s="476">
        <v>0</v>
      </c>
      <c r="EA75" s="476">
        <v>0</v>
      </c>
      <c r="EB75" s="476">
        <v>0</v>
      </c>
      <c r="EC75" s="476">
        <v>0</v>
      </c>
      <c r="ED75" s="476">
        <v>0</v>
      </c>
      <c r="EE75" s="476">
        <v>0</v>
      </c>
      <c r="EF75" s="476">
        <v>0</v>
      </c>
      <c r="EG75" s="476">
        <v>0</v>
      </c>
      <c r="EH75" s="476">
        <v>0</v>
      </c>
      <c r="EI75" s="476">
        <v>0</v>
      </c>
      <c r="EJ75" s="476">
        <v>0</v>
      </c>
      <c r="EK75" s="476">
        <v>0</v>
      </c>
      <c r="EL75" s="476">
        <v>0</v>
      </c>
      <c r="EM75" s="476">
        <v>0</v>
      </c>
      <c r="EN75" s="476">
        <v>0</v>
      </c>
      <c r="EO75" s="476">
        <v>0</v>
      </c>
      <c r="EP75" s="476">
        <v>0</v>
      </c>
      <c r="EQ75" s="476">
        <v>0</v>
      </c>
      <c r="ER75" s="476">
        <v>0</v>
      </c>
      <c r="ES75" s="476">
        <v>0</v>
      </c>
      <c r="ET75" s="476">
        <v>0</v>
      </c>
      <c r="EU75" s="476">
        <v>0</v>
      </c>
      <c r="EV75" s="476">
        <v>0</v>
      </c>
      <c r="EW75" s="476">
        <v>0</v>
      </c>
      <c r="EX75" s="476">
        <v>0</v>
      </c>
      <c r="EY75" s="476">
        <v>0</v>
      </c>
      <c r="EZ75" s="476">
        <v>0</v>
      </c>
      <c r="FA75" s="476">
        <v>0</v>
      </c>
      <c r="FB75" s="476">
        <v>0</v>
      </c>
      <c r="FC75" s="476">
        <v>0</v>
      </c>
      <c r="FD75" s="476">
        <v>0</v>
      </c>
      <c r="FE75" s="476">
        <v>0</v>
      </c>
      <c r="FF75" s="476">
        <v>0</v>
      </c>
      <c r="FG75" s="476">
        <v>6.3017999999999991E-2</v>
      </c>
      <c r="FH75" s="476">
        <v>2.6953999999999999E-2</v>
      </c>
      <c r="FI75" s="476">
        <v>0</v>
      </c>
      <c r="FJ75" s="476">
        <v>0</v>
      </c>
      <c r="FK75" s="476">
        <v>0</v>
      </c>
      <c r="FL75" s="476">
        <v>0</v>
      </c>
      <c r="FM75" s="476">
        <v>0</v>
      </c>
      <c r="FN75" s="476">
        <v>0</v>
      </c>
      <c r="FO75" s="476">
        <v>0</v>
      </c>
      <c r="FP75" s="476">
        <v>0</v>
      </c>
      <c r="FQ75" s="476">
        <v>0</v>
      </c>
      <c r="FR75" s="476">
        <v>0</v>
      </c>
      <c r="FS75" s="476">
        <v>0</v>
      </c>
      <c r="FT75" s="476">
        <v>0</v>
      </c>
      <c r="FU75" s="476">
        <v>0</v>
      </c>
      <c r="FV75" s="476">
        <v>0</v>
      </c>
      <c r="FW75" s="476">
        <v>0</v>
      </c>
      <c r="FX75" s="476">
        <v>0</v>
      </c>
      <c r="FY75" s="476">
        <v>0</v>
      </c>
      <c r="FZ75" s="476">
        <v>0</v>
      </c>
      <c r="GA75" s="476">
        <v>0</v>
      </c>
      <c r="GB75" s="476">
        <v>0</v>
      </c>
      <c r="GC75" s="476">
        <v>0</v>
      </c>
      <c r="GD75" s="476">
        <v>0</v>
      </c>
      <c r="GE75" s="476">
        <v>0</v>
      </c>
      <c r="GF75" s="476">
        <v>0</v>
      </c>
      <c r="GG75" s="476">
        <v>0</v>
      </c>
      <c r="GH75" s="476">
        <v>0</v>
      </c>
      <c r="GI75" s="476">
        <v>0</v>
      </c>
      <c r="GJ75" s="476">
        <v>0</v>
      </c>
      <c r="GK75" s="476">
        <v>0</v>
      </c>
      <c r="GL75" s="476">
        <v>0</v>
      </c>
      <c r="GM75" s="476">
        <v>0</v>
      </c>
      <c r="GN75" s="476">
        <v>0</v>
      </c>
      <c r="GO75" s="476">
        <v>0</v>
      </c>
      <c r="GP75" s="476">
        <v>0</v>
      </c>
      <c r="GQ75" s="476">
        <v>0</v>
      </c>
      <c r="GR75" s="476">
        <v>0</v>
      </c>
      <c r="GS75" s="476">
        <v>0</v>
      </c>
      <c r="GT75" s="476">
        <v>0</v>
      </c>
      <c r="GU75" s="476">
        <v>0</v>
      </c>
      <c r="GV75" s="476">
        <v>0</v>
      </c>
      <c r="GW75" s="476">
        <v>0</v>
      </c>
      <c r="GX75" s="476">
        <v>0</v>
      </c>
      <c r="GY75" s="476">
        <v>0</v>
      </c>
      <c r="GZ75" s="476">
        <v>0</v>
      </c>
      <c r="HA75" s="476">
        <v>0</v>
      </c>
      <c r="HB75" s="476">
        <v>0</v>
      </c>
      <c r="HC75" s="476">
        <v>4.2206E-2</v>
      </c>
      <c r="HD75" s="476">
        <v>0</v>
      </c>
      <c r="HE75" s="476">
        <v>0</v>
      </c>
      <c r="HF75" s="476">
        <v>0</v>
      </c>
      <c r="HG75" s="476">
        <v>0</v>
      </c>
      <c r="HH75" s="476">
        <v>0</v>
      </c>
      <c r="HI75" s="476">
        <v>0</v>
      </c>
      <c r="HJ75" s="476">
        <v>0</v>
      </c>
      <c r="HK75" s="476">
        <v>0</v>
      </c>
      <c r="HL75" s="476">
        <v>0</v>
      </c>
      <c r="HM75" s="476">
        <v>0</v>
      </c>
      <c r="HN75" s="476">
        <v>0</v>
      </c>
      <c r="HO75" s="476">
        <v>0</v>
      </c>
      <c r="HP75" s="476">
        <v>0</v>
      </c>
      <c r="HQ75" s="476">
        <v>0</v>
      </c>
      <c r="HR75" s="476">
        <v>0</v>
      </c>
      <c r="HS75" s="476">
        <v>0</v>
      </c>
      <c r="HT75" s="476">
        <v>0</v>
      </c>
      <c r="HU75" s="476">
        <v>0</v>
      </c>
      <c r="HV75" s="476">
        <v>0</v>
      </c>
      <c r="HW75" s="476">
        <v>0</v>
      </c>
      <c r="HX75" s="476">
        <v>0</v>
      </c>
      <c r="HY75" s="476">
        <v>0</v>
      </c>
      <c r="HZ75" s="476">
        <v>0</v>
      </c>
      <c r="IA75" s="476">
        <v>0</v>
      </c>
      <c r="IB75" s="476">
        <v>0</v>
      </c>
      <c r="IC75" s="476">
        <v>0</v>
      </c>
      <c r="ID75" s="476">
        <v>0</v>
      </c>
      <c r="IE75" s="476">
        <v>0</v>
      </c>
      <c r="IF75" s="476">
        <v>0</v>
      </c>
      <c r="IG75" s="476">
        <v>0</v>
      </c>
      <c r="IH75" s="476">
        <v>0</v>
      </c>
      <c r="II75" s="476">
        <v>0</v>
      </c>
      <c r="IJ75" s="476">
        <v>0</v>
      </c>
      <c r="IK75" s="476">
        <v>0</v>
      </c>
      <c r="IL75" s="476">
        <v>0</v>
      </c>
      <c r="IM75" s="476">
        <v>0</v>
      </c>
      <c r="IN75" s="476">
        <v>0</v>
      </c>
      <c r="IO75" s="476">
        <v>0</v>
      </c>
      <c r="IP75" s="476">
        <v>0</v>
      </c>
      <c r="IQ75" s="476">
        <v>0</v>
      </c>
      <c r="IR75" s="476">
        <v>0</v>
      </c>
      <c r="IS75" s="476">
        <v>0</v>
      </c>
      <c r="IT75" s="476">
        <v>0</v>
      </c>
      <c r="IU75" s="476">
        <v>0</v>
      </c>
      <c r="IV75" s="476">
        <v>0</v>
      </c>
      <c r="IW75" s="476">
        <v>6160</v>
      </c>
      <c r="IX75" s="476">
        <v>0</v>
      </c>
      <c r="IY75" s="476">
        <v>0</v>
      </c>
      <c r="IZ75" s="476">
        <v>0</v>
      </c>
      <c r="JA75" s="476">
        <v>0</v>
      </c>
      <c r="JB75" s="476">
        <v>0</v>
      </c>
      <c r="JC75" s="476">
        <v>0</v>
      </c>
      <c r="JD75" s="476">
        <v>0</v>
      </c>
      <c r="JE75" s="476">
        <v>0</v>
      </c>
      <c r="JF75" s="476">
        <v>0</v>
      </c>
      <c r="JG75" s="476">
        <v>0</v>
      </c>
      <c r="JH75" s="476">
        <v>0</v>
      </c>
      <c r="JI75" s="476">
        <v>0</v>
      </c>
      <c r="JJ75" s="476">
        <v>0</v>
      </c>
      <c r="JK75" s="476">
        <v>0</v>
      </c>
      <c r="JL75" s="476">
        <v>0</v>
      </c>
      <c r="JM75" s="476">
        <v>0</v>
      </c>
      <c r="JN75" s="476">
        <v>32469</v>
      </c>
      <c r="JO75" s="476">
        <v>0</v>
      </c>
      <c r="JP75" s="476">
        <v>0</v>
      </c>
      <c r="JQ75" s="476">
        <v>0</v>
      </c>
      <c r="JR75" s="476">
        <v>0</v>
      </c>
      <c r="JS75" s="476">
        <v>0</v>
      </c>
      <c r="JT75" s="476">
        <v>0</v>
      </c>
      <c r="JU75" s="476">
        <v>0</v>
      </c>
      <c r="JV75" s="476">
        <v>0</v>
      </c>
      <c r="JW75" s="476">
        <v>0</v>
      </c>
      <c r="JX75" s="476">
        <v>0</v>
      </c>
      <c r="JY75" s="476">
        <v>0</v>
      </c>
      <c r="JZ75" s="476">
        <v>0</v>
      </c>
      <c r="KA75" s="476">
        <v>0</v>
      </c>
      <c r="KB75" s="476">
        <v>0</v>
      </c>
      <c r="KC75" s="476">
        <v>0</v>
      </c>
      <c r="KD75" s="476">
        <v>0</v>
      </c>
      <c r="KE75" s="476">
        <v>7262</v>
      </c>
      <c r="KF75" s="476">
        <v>0</v>
      </c>
      <c r="KG75" s="476">
        <v>0</v>
      </c>
      <c r="KH75" s="476">
        <v>0</v>
      </c>
      <c r="KI75" s="476">
        <v>0</v>
      </c>
      <c r="KJ75" s="476">
        <v>0</v>
      </c>
      <c r="KK75" s="476">
        <v>0</v>
      </c>
      <c r="KL75" s="476">
        <v>0</v>
      </c>
      <c r="KM75" s="476">
        <v>0</v>
      </c>
      <c r="KN75" s="476">
        <v>0</v>
      </c>
    </row>
    <row r="76" spans="1:300" x14ac:dyDescent="0.25">
      <c r="A76" s="476">
        <v>40976</v>
      </c>
      <c r="B76" s="476">
        <v>70801</v>
      </c>
      <c r="C76" s="476">
        <v>9</v>
      </c>
      <c r="D76" s="476">
        <v>2024</v>
      </c>
      <c r="E76" s="476">
        <v>6160</v>
      </c>
      <c r="F76" s="476">
        <v>0</v>
      </c>
      <c r="G76" s="476">
        <v>2450.125</v>
      </c>
      <c r="H76" s="476">
        <v>2267.0720000000001</v>
      </c>
      <c r="I76" s="476">
        <v>2267.0720000000001</v>
      </c>
      <c r="J76" s="476">
        <v>2450.125</v>
      </c>
      <c r="K76" s="476">
        <v>0</v>
      </c>
      <c r="L76" s="476">
        <v>6160</v>
      </c>
      <c r="M76" s="476">
        <v>0</v>
      </c>
      <c r="N76" s="476">
        <v>0</v>
      </c>
      <c r="O76" s="476">
        <v>0</v>
      </c>
      <c r="P76" s="476">
        <v>2448.7670000000003</v>
      </c>
      <c r="Q76" s="476">
        <v>0</v>
      </c>
      <c r="R76" s="476">
        <v>1015954</v>
      </c>
      <c r="S76" s="476">
        <v>414.88400000000001</v>
      </c>
      <c r="T76" s="476">
        <v>0</v>
      </c>
      <c r="U76" s="476">
        <v>0</v>
      </c>
      <c r="V76" s="476">
        <v>1492.383</v>
      </c>
      <c r="W76" s="476">
        <v>1431589</v>
      </c>
      <c r="X76" s="476">
        <v>1431589</v>
      </c>
      <c r="Y76" s="476">
        <v>0</v>
      </c>
      <c r="Z76" s="476">
        <v>0</v>
      </c>
      <c r="AA76" s="476">
        <v>0</v>
      </c>
      <c r="AB76" s="476">
        <v>0</v>
      </c>
      <c r="AC76" s="476">
        <v>0</v>
      </c>
      <c r="AD76" s="476" t="s">
        <v>314</v>
      </c>
      <c r="AE76" s="476">
        <v>0</v>
      </c>
      <c r="AF76" s="476">
        <v>0</v>
      </c>
      <c r="AG76" s="476">
        <v>0</v>
      </c>
      <c r="AH76" s="476">
        <v>0</v>
      </c>
      <c r="AI76" s="476">
        <v>0</v>
      </c>
      <c r="AJ76" s="476">
        <v>6160</v>
      </c>
      <c r="AK76" s="476" t="s">
        <v>651</v>
      </c>
      <c r="AL76" s="476" t="s">
        <v>49</v>
      </c>
      <c r="AM76" s="476">
        <v>0</v>
      </c>
      <c r="AN76" s="476">
        <v>0</v>
      </c>
      <c r="AO76" s="476">
        <v>0</v>
      </c>
      <c r="AP76" s="476">
        <v>0</v>
      </c>
      <c r="AQ76" s="476">
        <v>0</v>
      </c>
      <c r="AR76" s="476">
        <v>0</v>
      </c>
      <c r="AS76" s="476">
        <v>0</v>
      </c>
      <c r="AT76" s="476">
        <v>0</v>
      </c>
      <c r="AU76" s="476">
        <v>0</v>
      </c>
      <c r="AV76" s="476">
        <v>0</v>
      </c>
      <c r="AW76" s="476">
        <v>27747420</v>
      </c>
      <c r="AX76" s="476">
        <v>27340866</v>
      </c>
      <c r="AY76" s="476">
        <v>0</v>
      </c>
      <c r="AZ76" s="476">
        <v>1015954</v>
      </c>
      <c r="BA76" s="476">
        <v>150.083</v>
      </c>
      <c r="BB76" s="476">
        <v>38362</v>
      </c>
      <c r="BC76" s="476">
        <v>38117</v>
      </c>
      <c r="BD76" s="476">
        <v>90</v>
      </c>
      <c r="BE76" s="476">
        <v>245</v>
      </c>
      <c r="BF76" s="476">
        <v>24634442</v>
      </c>
      <c r="BG76" s="476">
        <v>0</v>
      </c>
      <c r="BH76" s="476">
        <v>0</v>
      </c>
      <c r="BI76" s="476">
        <v>0</v>
      </c>
      <c r="BJ76" s="476">
        <v>12</v>
      </c>
      <c r="BK76" s="476">
        <v>0</v>
      </c>
      <c r="BL76" s="476">
        <v>0</v>
      </c>
      <c r="BM76" s="476">
        <v>0</v>
      </c>
      <c r="BN76" s="476">
        <v>0</v>
      </c>
      <c r="BO76" s="476">
        <v>0</v>
      </c>
      <c r="BP76" s="476">
        <v>0</v>
      </c>
      <c r="BQ76" s="476">
        <v>421</v>
      </c>
      <c r="BR76" s="476">
        <v>0</v>
      </c>
      <c r="BS76" s="476">
        <v>0</v>
      </c>
      <c r="BT76" s="476">
        <v>0</v>
      </c>
      <c r="BU76" s="476">
        <v>0</v>
      </c>
      <c r="BV76" s="476">
        <v>0</v>
      </c>
      <c r="BW76" s="476">
        <v>0</v>
      </c>
      <c r="BX76" s="476">
        <v>0</v>
      </c>
      <c r="BY76" s="476">
        <v>0</v>
      </c>
      <c r="BZ76" s="476">
        <v>0</v>
      </c>
      <c r="CA76" s="476">
        <v>0</v>
      </c>
      <c r="CB76" s="476">
        <v>0</v>
      </c>
      <c r="CC76" s="476">
        <v>0</v>
      </c>
      <c r="CD76" s="476">
        <v>0</v>
      </c>
      <c r="CE76" s="476">
        <v>0</v>
      </c>
      <c r="CF76" s="476">
        <v>0</v>
      </c>
      <c r="CG76" s="476">
        <v>0</v>
      </c>
      <c r="CH76" s="476">
        <v>413643</v>
      </c>
      <c r="CI76" s="476">
        <v>0</v>
      </c>
      <c r="CJ76" s="476">
        <v>4</v>
      </c>
      <c r="CK76" s="476">
        <v>0</v>
      </c>
      <c r="CL76" s="476">
        <v>0</v>
      </c>
      <c r="CM76" s="476">
        <v>0</v>
      </c>
      <c r="CN76" s="476">
        <v>0</v>
      </c>
      <c r="CO76" s="476">
        <v>1</v>
      </c>
      <c r="CP76" s="476">
        <v>0</v>
      </c>
      <c r="CQ76" s="476">
        <v>5.4170000000000007</v>
      </c>
      <c r="CR76" s="476">
        <v>2450.125</v>
      </c>
      <c r="CS76" s="476">
        <v>0</v>
      </c>
      <c r="CT76" s="476">
        <v>0</v>
      </c>
      <c r="CU76" s="476">
        <v>0</v>
      </c>
      <c r="CV76" s="476">
        <v>0</v>
      </c>
      <c r="CW76" s="476">
        <v>0</v>
      </c>
      <c r="CX76" s="476">
        <v>0</v>
      </c>
      <c r="CY76" s="476">
        <v>0</v>
      </c>
      <c r="CZ76" s="476">
        <v>0</v>
      </c>
      <c r="DA76" s="476">
        <v>0</v>
      </c>
      <c r="DB76" s="476">
        <v>13964846</v>
      </c>
      <c r="DC76" s="476">
        <v>0</v>
      </c>
      <c r="DD76" s="476">
        <v>0</v>
      </c>
      <c r="DE76" s="476">
        <v>3384612</v>
      </c>
      <c r="DF76" s="476">
        <v>3384612</v>
      </c>
      <c r="DG76" s="476">
        <v>549.46300000000008</v>
      </c>
      <c r="DH76" s="476">
        <v>0</v>
      </c>
      <c r="DI76" s="476">
        <v>0</v>
      </c>
      <c r="DJ76" s="476">
        <v>0</v>
      </c>
      <c r="DK76" s="476">
        <v>0</v>
      </c>
      <c r="DL76" s="476">
        <v>0</v>
      </c>
      <c r="DM76" s="476">
        <v>1990772</v>
      </c>
      <c r="DN76" s="476">
        <v>6844</v>
      </c>
      <c r="DO76" s="476">
        <v>0</v>
      </c>
      <c r="DP76" s="476">
        <v>0</v>
      </c>
      <c r="DQ76" s="476">
        <v>0</v>
      </c>
      <c r="DR76" s="476">
        <v>0</v>
      </c>
      <c r="DS76" s="476">
        <v>0</v>
      </c>
      <c r="DT76" s="476">
        <v>0</v>
      </c>
      <c r="DU76" s="476">
        <v>0</v>
      </c>
      <c r="DV76" s="476">
        <v>0</v>
      </c>
      <c r="DW76" s="476">
        <v>0</v>
      </c>
      <c r="DX76" s="476">
        <v>0</v>
      </c>
      <c r="DY76" s="476">
        <v>0</v>
      </c>
      <c r="DZ76" s="476">
        <v>0</v>
      </c>
      <c r="EA76" s="476">
        <v>0</v>
      </c>
      <c r="EB76" s="476">
        <v>0</v>
      </c>
      <c r="EC76" s="476">
        <v>46.318000000000005</v>
      </c>
      <c r="ED76" s="476">
        <v>328109</v>
      </c>
      <c r="EE76" s="476">
        <v>0</v>
      </c>
      <c r="EF76" s="476">
        <v>0</v>
      </c>
      <c r="EG76" s="476">
        <v>0</v>
      </c>
      <c r="EH76" s="476">
        <v>1669507</v>
      </c>
      <c r="EI76" s="476">
        <v>0</v>
      </c>
      <c r="EJ76" s="476">
        <v>0</v>
      </c>
      <c r="EK76" s="476">
        <v>83.05</v>
      </c>
      <c r="EL76" s="476">
        <v>0</v>
      </c>
      <c r="EM76" s="476">
        <v>0.08</v>
      </c>
      <c r="EN76" s="476">
        <v>4.282</v>
      </c>
      <c r="EO76" s="476">
        <v>0</v>
      </c>
      <c r="EP76" s="476">
        <v>0</v>
      </c>
      <c r="EQ76" s="476">
        <v>87.512</v>
      </c>
      <c r="ER76" s="476">
        <v>0.1</v>
      </c>
      <c r="ES76" s="476">
        <v>271.03000000000003</v>
      </c>
      <c r="ET76" s="476">
        <v>0</v>
      </c>
      <c r="EU76" s="476">
        <v>0</v>
      </c>
      <c r="EV76" s="476">
        <v>0</v>
      </c>
      <c r="EW76" s="476">
        <v>0</v>
      </c>
      <c r="EX76" s="476">
        <v>0</v>
      </c>
      <c r="EY76" s="476">
        <v>0</v>
      </c>
      <c r="EZ76" s="476">
        <v>23628900</v>
      </c>
      <c r="FA76" s="476">
        <v>0</v>
      </c>
      <c r="FB76" s="476">
        <v>24637765</v>
      </c>
      <c r="FC76" s="476">
        <v>0</v>
      </c>
      <c r="FD76" s="476">
        <v>0</v>
      </c>
      <c r="FE76" s="476">
        <v>3180756</v>
      </c>
      <c r="FF76" s="476">
        <v>531210</v>
      </c>
      <c r="FG76" s="476">
        <v>6.3017999999999991E-2</v>
      </c>
      <c r="FH76" s="476">
        <v>2.6953999999999999E-2</v>
      </c>
      <c r="FI76" s="476">
        <v>0</v>
      </c>
      <c r="FJ76" s="476">
        <v>0</v>
      </c>
      <c r="FK76" s="476">
        <v>3999.1890000000003</v>
      </c>
      <c r="FL76" s="476">
        <v>28763374</v>
      </c>
      <c r="FM76" s="476">
        <v>0</v>
      </c>
      <c r="FN76" s="476">
        <v>0</v>
      </c>
      <c r="FO76" s="476">
        <v>0</v>
      </c>
      <c r="FP76" s="476">
        <v>0</v>
      </c>
      <c r="FQ76" s="476">
        <v>0</v>
      </c>
      <c r="FR76" s="476">
        <v>0</v>
      </c>
      <c r="FS76" s="476">
        <v>0</v>
      </c>
      <c r="FT76" s="476">
        <v>0</v>
      </c>
      <c r="FU76" s="476">
        <v>0</v>
      </c>
      <c r="FV76" s="476">
        <v>0</v>
      </c>
      <c r="FW76" s="476">
        <v>0</v>
      </c>
      <c r="FX76" s="476">
        <v>0</v>
      </c>
      <c r="FY76" s="476">
        <v>0</v>
      </c>
      <c r="FZ76" s="476">
        <v>0</v>
      </c>
      <c r="GA76" s="476">
        <v>0</v>
      </c>
      <c r="GB76" s="476">
        <v>938254</v>
      </c>
      <c r="GC76" s="476">
        <v>938254</v>
      </c>
      <c r="GD76" s="476">
        <v>95.541000000000011</v>
      </c>
      <c r="GE76" s="476">
        <v>0</v>
      </c>
      <c r="GF76" s="476">
        <v>0</v>
      </c>
      <c r="GG76" s="476">
        <v>0</v>
      </c>
      <c r="GH76" s="476">
        <v>0</v>
      </c>
      <c r="GI76" s="476">
        <v>0</v>
      </c>
      <c r="GJ76" s="476">
        <v>0</v>
      </c>
      <c r="GK76" s="476">
        <v>0</v>
      </c>
      <c r="GL76" s="476">
        <v>0</v>
      </c>
      <c r="GM76" s="476">
        <v>0</v>
      </c>
      <c r="GN76" s="476">
        <v>0</v>
      </c>
      <c r="GO76" s="476">
        <v>0</v>
      </c>
      <c r="GP76" s="476">
        <v>0</v>
      </c>
      <c r="GQ76" s="476">
        <v>27333777</v>
      </c>
      <c r="GR76" s="476">
        <v>0</v>
      </c>
      <c r="GS76" s="476">
        <v>0</v>
      </c>
      <c r="GT76" s="476">
        <v>0</v>
      </c>
      <c r="GU76" s="476">
        <v>0</v>
      </c>
      <c r="GV76" s="476">
        <v>0</v>
      </c>
      <c r="GW76" s="476">
        <v>0</v>
      </c>
      <c r="GX76" s="476">
        <v>0</v>
      </c>
      <c r="GY76" s="476">
        <v>0</v>
      </c>
      <c r="GZ76" s="476">
        <v>0</v>
      </c>
      <c r="HA76" s="476">
        <v>0</v>
      </c>
      <c r="HB76" s="476">
        <v>323396213</v>
      </c>
      <c r="HC76" s="476">
        <v>4.2206E-2</v>
      </c>
      <c r="HD76" s="476">
        <v>413643</v>
      </c>
      <c r="HE76" s="476">
        <v>0</v>
      </c>
      <c r="HF76" s="476">
        <v>2498313</v>
      </c>
      <c r="HG76" s="476">
        <v>46199</v>
      </c>
      <c r="HH76" s="476">
        <v>310150</v>
      </c>
      <c r="HI76" s="476">
        <v>0</v>
      </c>
      <c r="HJ76" s="476">
        <v>24501</v>
      </c>
      <c r="HK76" s="476">
        <v>7668</v>
      </c>
      <c r="HL76" s="476">
        <v>2744</v>
      </c>
      <c r="HM76" s="476">
        <v>0</v>
      </c>
      <c r="HN76" s="476">
        <v>0</v>
      </c>
      <c r="HO76" s="476">
        <v>0</v>
      </c>
      <c r="HP76" s="476">
        <v>0</v>
      </c>
      <c r="HQ76" s="476">
        <v>0</v>
      </c>
      <c r="HR76" s="476">
        <v>0</v>
      </c>
      <c r="HS76" s="476">
        <v>23621811</v>
      </c>
      <c r="HT76" s="476">
        <v>531210</v>
      </c>
      <c r="HU76" s="476">
        <v>0</v>
      </c>
      <c r="HV76" s="476">
        <v>0</v>
      </c>
      <c r="HW76" s="476">
        <v>0</v>
      </c>
      <c r="HX76" s="476">
        <v>101</v>
      </c>
      <c r="HY76" s="476">
        <v>164</v>
      </c>
      <c r="HZ76" s="476">
        <v>209</v>
      </c>
      <c r="IA76" s="476">
        <v>467</v>
      </c>
      <c r="IB76" s="476">
        <v>1138</v>
      </c>
      <c r="IC76" s="476">
        <v>2079</v>
      </c>
      <c r="ID76" s="476">
        <v>0</v>
      </c>
      <c r="IE76" s="476">
        <v>529.66700000000003</v>
      </c>
      <c r="IF76" s="476">
        <v>74.355000000000004</v>
      </c>
      <c r="IG76" s="476">
        <v>75</v>
      </c>
      <c r="IH76" s="476">
        <v>503.50200000000001</v>
      </c>
      <c r="II76" s="476">
        <v>0</v>
      </c>
      <c r="IJ76" s="476">
        <v>2096.4050000000002</v>
      </c>
      <c r="IK76" s="476">
        <v>0</v>
      </c>
      <c r="IL76" s="476">
        <v>0</v>
      </c>
      <c r="IM76" s="476">
        <v>0</v>
      </c>
      <c r="IN76" s="476">
        <v>0</v>
      </c>
      <c r="IO76" s="476">
        <v>0</v>
      </c>
      <c r="IP76" s="476">
        <v>0</v>
      </c>
      <c r="IQ76" s="476">
        <v>1492.383</v>
      </c>
      <c r="IR76" s="476">
        <v>919287</v>
      </c>
      <c r="IS76" s="476">
        <v>0</v>
      </c>
      <c r="IT76" s="476">
        <v>0</v>
      </c>
      <c r="IU76" s="476">
        <v>0</v>
      </c>
      <c r="IV76" s="476">
        <v>0</v>
      </c>
      <c r="IW76" s="476">
        <v>6160</v>
      </c>
      <c r="IX76" s="476">
        <v>489401</v>
      </c>
      <c r="IY76" s="476">
        <v>22901</v>
      </c>
      <c r="IZ76" s="476">
        <v>0</v>
      </c>
      <c r="JA76" s="476">
        <v>0</v>
      </c>
      <c r="JB76" s="476">
        <v>0</v>
      </c>
      <c r="JC76" s="476">
        <v>0</v>
      </c>
      <c r="JD76" s="476">
        <v>0</v>
      </c>
      <c r="JE76" s="476">
        <v>0</v>
      </c>
      <c r="JF76" s="476">
        <v>0</v>
      </c>
      <c r="JG76" s="476">
        <v>0</v>
      </c>
      <c r="JH76" s="476">
        <v>0</v>
      </c>
      <c r="JI76" s="476">
        <v>0</v>
      </c>
      <c r="JJ76" s="476">
        <v>0</v>
      </c>
      <c r="JK76" s="476">
        <v>0</v>
      </c>
      <c r="JL76" s="476">
        <v>0</v>
      </c>
      <c r="JM76" s="476">
        <v>0</v>
      </c>
      <c r="JN76" s="476">
        <v>32469</v>
      </c>
      <c r="JO76" s="476">
        <v>0</v>
      </c>
      <c r="JP76" s="476">
        <v>59.183</v>
      </c>
      <c r="JQ76" s="476">
        <v>36.358000000000004</v>
      </c>
      <c r="JR76" s="476">
        <v>0</v>
      </c>
      <c r="JS76" s="476">
        <v>550127</v>
      </c>
      <c r="JT76" s="476">
        <v>388127</v>
      </c>
      <c r="JU76" s="476">
        <v>38807</v>
      </c>
      <c r="JV76" s="476">
        <v>0</v>
      </c>
      <c r="JW76" s="476">
        <v>0</v>
      </c>
      <c r="JX76" s="476">
        <v>0</v>
      </c>
      <c r="JY76" s="476">
        <v>0</v>
      </c>
      <c r="JZ76" s="476">
        <v>0</v>
      </c>
      <c r="KA76" s="476">
        <v>0</v>
      </c>
      <c r="KB76" s="476">
        <v>0</v>
      </c>
      <c r="KC76" s="476">
        <v>0</v>
      </c>
      <c r="KD76" s="476">
        <v>38807</v>
      </c>
      <c r="KE76" s="476">
        <v>7262</v>
      </c>
      <c r="KF76" s="476">
        <v>0</v>
      </c>
      <c r="KG76" s="476">
        <v>0</v>
      </c>
      <c r="KH76" s="476">
        <v>27333777</v>
      </c>
      <c r="KI76" s="476">
        <v>0</v>
      </c>
      <c r="KJ76" s="476">
        <v>58</v>
      </c>
      <c r="KK76" s="476">
        <v>17</v>
      </c>
      <c r="KL76" s="476">
        <v>35727</v>
      </c>
      <c r="KM76" s="476">
        <v>10472</v>
      </c>
      <c r="KN76" s="476">
        <v>0</v>
      </c>
    </row>
    <row r="77" spans="1:300" x14ac:dyDescent="0.25">
      <c r="A77" s="476">
        <v>40976</v>
      </c>
      <c r="B77" s="476">
        <v>71801</v>
      </c>
      <c r="C77" s="476">
        <v>9</v>
      </c>
      <c r="D77" s="476">
        <v>2024</v>
      </c>
      <c r="E77" s="476">
        <v>6160</v>
      </c>
      <c r="F77" s="476">
        <v>0</v>
      </c>
      <c r="G77" s="476">
        <v>1168.1780000000001</v>
      </c>
      <c r="H77" s="476">
        <v>1080.5070000000001</v>
      </c>
      <c r="I77" s="476">
        <v>1080.5070000000001</v>
      </c>
      <c r="J77" s="476">
        <v>1168.1780000000001</v>
      </c>
      <c r="K77" s="476">
        <v>0</v>
      </c>
      <c r="L77" s="476">
        <v>6160</v>
      </c>
      <c r="M77" s="476">
        <v>0</v>
      </c>
      <c r="N77" s="476">
        <v>0</v>
      </c>
      <c r="O77" s="476">
        <v>0</v>
      </c>
      <c r="P77" s="476">
        <v>1160.453</v>
      </c>
      <c r="Q77" s="476">
        <v>0</v>
      </c>
      <c r="R77" s="476">
        <v>481453</v>
      </c>
      <c r="S77" s="476">
        <v>414.88400000000001</v>
      </c>
      <c r="T77" s="476">
        <v>0</v>
      </c>
      <c r="U77" s="476">
        <v>0</v>
      </c>
      <c r="V77" s="476">
        <v>448.05200000000002</v>
      </c>
      <c r="W77" s="476">
        <v>416483</v>
      </c>
      <c r="X77" s="476">
        <v>416483</v>
      </c>
      <c r="Y77" s="476">
        <v>0</v>
      </c>
      <c r="Z77" s="476">
        <v>0</v>
      </c>
      <c r="AA77" s="476">
        <v>0</v>
      </c>
      <c r="AB77" s="476">
        <v>0</v>
      </c>
      <c r="AC77" s="476">
        <v>0</v>
      </c>
      <c r="AD77" s="476" t="s">
        <v>314</v>
      </c>
      <c r="AE77" s="476">
        <v>0</v>
      </c>
      <c r="AF77" s="476">
        <v>0</v>
      </c>
      <c r="AG77" s="476">
        <v>0</v>
      </c>
      <c r="AH77" s="476">
        <v>0</v>
      </c>
      <c r="AI77" s="476">
        <v>0</v>
      </c>
      <c r="AJ77" s="476">
        <v>6160</v>
      </c>
      <c r="AK77" s="476" t="s">
        <v>651</v>
      </c>
      <c r="AL77" s="476" t="s">
        <v>84</v>
      </c>
      <c r="AM77" s="476">
        <v>0</v>
      </c>
      <c r="AN77" s="476">
        <v>0</v>
      </c>
      <c r="AO77" s="476">
        <v>0</v>
      </c>
      <c r="AP77" s="476">
        <v>0</v>
      </c>
      <c r="AQ77" s="476">
        <v>0</v>
      </c>
      <c r="AR77" s="476">
        <v>0</v>
      </c>
      <c r="AS77" s="476">
        <v>0</v>
      </c>
      <c r="AT77" s="476">
        <v>0</v>
      </c>
      <c r="AU77" s="476">
        <v>0</v>
      </c>
      <c r="AV77" s="476">
        <v>0</v>
      </c>
      <c r="AW77" s="476">
        <v>12194331</v>
      </c>
      <c r="AX77" s="476">
        <v>11997995</v>
      </c>
      <c r="AY77" s="476">
        <v>0</v>
      </c>
      <c r="AZ77" s="476">
        <v>481453</v>
      </c>
      <c r="BA77" s="476">
        <v>21.5</v>
      </c>
      <c r="BB77" s="476">
        <v>0</v>
      </c>
      <c r="BC77" s="476">
        <v>0</v>
      </c>
      <c r="BD77" s="476">
        <v>0</v>
      </c>
      <c r="BE77" s="476">
        <v>0</v>
      </c>
      <c r="BF77" s="476">
        <v>10838610</v>
      </c>
      <c r="BG77" s="476">
        <v>0</v>
      </c>
      <c r="BH77" s="476">
        <v>0</v>
      </c>
      <c r="BI77" s="476">
        <v>0</v>
      </c>
      <c r="BJ77" s="476">
        <v>12</v>
      </c>
      <c r="BK77" s="476">
        <v>0</v>
      </c>
      <c r="BL77" s="476">
        <v>0</v>
      </c>
      <c r="BM77" s="476">
        <v>0</v>
      </c>
      <c r="BN77" s="476">
        <v>0</v>
      </c>
      <c r="BO77" s="476">
        <v>0</v>
      </c>
      <c r="BP77" s="476">
        <v>0</v>
      </c>
      <c r="BQ77" s="476">
        <v>604</v>
      </c>
      <c r="BR77" s="476">
        <v>0</v>
      </c>
      <c r="BS77" s="476">
        <v>0</v>
      </c>
      <c r="BT77" s="476">
        <v>0</v>
      </c>
      <c r="BU77" s="476">
        <v>0</v>
      </c>
      <c r="BV77" s="476">
        <v>0</v>
      </c>
      <c r="BW77" s="476">
        <v>0</v>
      </c>
      <c r="BX77" s="476">
        <v>0</v>
      </c>
      <c r="BY77" s="476">
        <v>0</v>
      </c>
      <c r="BZ77" s="476">
        <v>0</v>
      </c>
      <c r="CA77" s="476">
        <v>0</v>
      </c>
      <c r="CB77" s="476">
        <v>0</v>
      </c>
      <c r="CC77" s="476">
        <v>0</v>
      </c>
      <c r="CD77" s="476">
        <v>0</v>
      </c>
      <c r="CE77" s="476">
        <v>0</v>
      </c>
      <c r="CF77" s="476">
        <v>0</v>
      </c>
      <c r="CG77" s="476">
        <v>0</v>
      </c>
      <c r="CH77" s="476">
        <v>197218</v>
      </c>
      <c r="CI77" s="476">
        <v>0</v>
      </c>
      <c r="CJ77" s="476">
        <v>4</v>
      </c>
      <c r="CK77" s="476">
        <v>0</v>
      </c>
      <c r="CL77" s="476">
        <v>0</v>
      </c>
      <c r="CM77" s="476">
        <v>0</v>
      </c>
      <c r="CN77" s="476">
        <v>0</v>
      </c>
      <c r="CO77" s="476">
        <v>1</v>
      </c>
      <c r="CP77" s="476">
        <v>0</v>
      </c>
      <c r="CQ77" s="476">
        <v>0</v>
      </c>
      <c r="CR77" s="476">
        <v>1168.1780000000001</v>
      </c>
      <c r="CS77" s="476">
        <v>0</v>
      </c>
      <c r="CT77" s="476">
        <v>0</v>
      </c>
      <c r="CU77" s="476">
        <v>0</v>
      </c>
      <c r="CV77" s="476">
        <v>0</v>
      </c>
      <c r="CW77" s="476">
        <v>0</v>
      </c>
      <c r="CX77" s="476">
        <v>0</v>
      </c>
      <c r="CY77" s="476">
        <v>0</v>
      </c>
      <c r="CZ77" s="476">
        <v>0</v>
      </c>
      <c r="DA77" s="476">
        <v>0</v>
      </c>
      <c r="DB77" s="476">
        <v>6581113</v>
      </c>
      <c r="DC77" s="476">
        <v>0</v>
      </c>
      <c r="DD77" s="476">
        <v>0</v>
      </c>
      <c r="DE77" s="476">
        <v>1317979</v>
      </c>
      <c r="DF77" s="476">
        <v>1317979</v>
      </c>
      <c r="DG77" s="476">
        <v>213.96300000000002</v>
      </c>
      <c r="DH77" s="476">
        <v>0</v>
      </c>
      <c r="DI77" s="476">
        <v>0</v>
      </c>
      <c r="DJ77" s="476">
        <v>0</v>
      </c>
      <c r="DK77" s="476">
        <v>1280</v>
      </c>
      <c r="DL77" s="476">
        <v>0</v>
      </c>
      <c r="DM77" s="476">
        <v>331332</v>
      </c>
      <c r="DN77" s="476">
        <v>882</v>
      </c>
      <c r="DO77" s="476">
        <v>0</v>
      </c>
      <c r="DP77" s="476">
        <v>0</v>
      </c>
      <c r="DQ77" s="476">
        <v>0</v>
      </c>
      <c r="DR77" s="476">
        <v>0</v>
      </c>
      <c r="DS77" s="476">
        <v>0</v>
      </c>
      <c r="DT77" s="476">
        <v>0</v>
      </c>
      <c r="DU77" s="476">
        <v>0</v>
      </c>
      <c r="DV77" s="476">
        <v>0</v>
      </c>
      <c r="DW77" s="476">
        <v>0</v>
      </c>
      <c r="DX77" s="476">
        <v>0</v>
      </c>
      <c r="DY77" s="476">
        <v>0</v>
      </c>
      <c r="DZ77" s="476">
        <v>0</v>
      </c>
      <c r="EA77" s="476">
        <v>7.3000000000000009E-2</v>
      </c>
      <c r="EB77" s="476">
        <v>0</v>
      </c>
      <c r="EC77" s="476">
        <v>21.592000000000002</v>
      </c>
      <c r="ED77" s="476">
        <v>152954</v>
      </c>
      <c r="EE77" s="476">
        <v>0</v>
      </c>
      <c r="EF77" s="476">
        <v>0</v>
      </c>
      <c r="EG77" s="476">
        <v>0</v>
      </c>
      <c r="EH77" s="476">
        <v>104601</v>
      </c>
      <c r="EI77" s="476">
        <v>0</v>
      </c>
      <c r="EJ77" s="476">
        <v>0</v>
      </c>
      <c r="EK77" s="476">
        <v>3.907</v>
      </c>
      <c r="EL77" s="476">
        <v>0</v>
      </c>
      <c r="EM77" s="476">
        <v>0</v>
      </c>
      <c r="EN77" s="476">
        <v>0.97900000000000009</v>
      </c>
      <c r="EO77" s="476">
        <v>0</v>
      </c>
      <c r="EP77" s="476">
        <v>0</v>
      </c>
      <c r="EQ77" s="476">
        <v>4.9590000000000005</v>
      </c>
      <c r="ER77" s="476">
        <v>0</v>
      </c>
      <c r="ES77" s="476">
        <v>16.981000000000002</v>
      </c>
      <c r="ET77" s="476">
        <v>0</v>
      </c>
      <c r="EU77" s="476">
        <v>0</v>
      </c>
      <c r="EV77" s="476">
        <v>0</v>
      </c>
      <c r="EW77" s="476">
        <v>0</v>
      </c>
      <c r="EX77" s="476">
        <v>0</v>
      </c>
      <c r="EY77" s="476">
        <v>0</v>
      </c>
      <c r="EZ77" s="476">
        <v>10364813</v>
      </c>
      <c r="FA77" s="476">
        <v>0</v>
      </c>
      <c r="FB77" s="476">
        <v>10845384</v>
      </c>
      <c r="FC77" s="476">
        <v>0</v>
      </c>
      <c r="FD77" s="476">
        <v>0</v>
      </c>
      <c r="FE77" s="476">
        <v>1399462</v>
      </c>
      <c r="FF77" s="476">
        <v>233720</v>
      </c>
      <c r="FG77" s="476">
        <v>6.3017999999999991E-2</v>
      </c>
      <c r="FH77" s="476">
        <v>2.6953999999999999E-2</v>
      </c>
      <c r="FI77" s="476">
        <v>0</v>
      </c>
      <c r="FJ77" s="476">
        <v>0</v>
      </c>
      <c r="FK77" s="476">
        <v>1759.5550000000001</v>
      </c>
      <c r="FL77" s="476">
        <v>12675784</v>
      </c>
      <c r="FM77" s="476">
        <v>0</v>
      </c>
      <c r="FN77" s="476">
        <v>0</v>
      </c>
      <c r="FO77" s="476">
        <v>0</v>
      </c>
      <c r="FP77" s="476">
        <v>0</v>
      </c>
      <c r="FQ77" s="476">
        <v>0</v>
      </c>
      <c r="FR77" s="476">
        <v>0</v>
      </c>
      <c r="FS77" s="476">
        <v>0</v>
      </c>
      <c r="FT77" s="476">
        <v>0</v>
      </c>
      <c r="FU77" s="476">
        <v>0</v>
      </c>
      <c r="FV77" s="476">
        <v>0</v>
      </c>
      <c r="FW77" s="476">
        <v>0</v>
      </c>
      <c r="FX77" s="476">
        <v>0</v>
      </c>
      <c r="FY77" s="476">
        <v>0</v>
      </c>
      <c r="FZ77" s="476">
        <v>0</v>
      </c>
      <c r="GA77" s="476">
        <v>0</v>
      </c>
      <c r="GB77" s="476">
        <v>825669</v>
      </c>
      <c r="GC77" s="476">
        <v>825669</v>
      </c>
      <c r="GD77" s="476">
        <v>82.712000000000003</v>
      </c>
      <c r="GE77" s="476">
        <v>0</v>
      </c>
      <c r="GF77" s="476">
        <v>0</v>
      </c>
      <c r="GG77" s="476">
        <v>0</v>
      </c>
      <c r="GH77" s="476">
        <v>0</v>
      </c>
      <c r="GI77" s="476">
        <v>0</v>
      </c>
      <c r="GJ77" s="476">
        <v>0</v>
      </c>
      <c r="GK77" s="476">
        <v>0</v>
      </c>
      <c r="GL77" s="476">
        <v>0</v>
      </c>
      <c r="GM77" s="476">
        <v>0</v>
      </c>
      <c r="GN77" s="476">
        <v>0</v>
      </c>
      <c r="GO77" s="476">
        <v>0</v>
      </c>
      <c r="GP77" s="476">
        <v>0</v>
      </c>
      <c r="GQ77" s="476">
        <v>11997113</v>
      </c>
      <c r="GR77" s="476">
        <v>0</v>
      </c>
      <c r="GS77" s="476">
        <v>0</v>
      </c>
      <c r="GT77" s="476">
        <v>0</v>
      </c>
      <c r="GU77" s="476">
        <v>0</v>
      </c>
      <c r="GV77" s="476">
        <v>0</v>
      </c>
      <c r="GW77" s="476">
        <v>0</v>
      </c>
      <c r="GX77" s="476">
        <v>0</v>
      </c>
      <c r="GY77" s="476">
        <v>0</v>
      </c>
      <c r="GZ77" s="476">
        <v>0</v>
      </c>
      <c r="HA77" s="476">
        <v>0</v>
      </c>
      <c r="HB77" s="476">
        <v>323396213</v>
      </c>
      <c r="HC77" s="476">
        <v>4.2206E-2</v>
      </c>
      <c r="HD77" s="476">
        <v>197218</v>
      </c>
      <c r="HE77" s="476">
        <v>0</v>
      </c>
      <c r="HF77" s="476">
        <v>1190719</v>
      </c>
      <c r="HG77" s="476">
        <v>14168</v>
      </c>
      <c r="HH77" s="476">
        <v>148583</v>
      </c>
      <c r="HI77" s="476">
        <v>0</v>
      </c>
      <c r="HJ77" s="476">
        <v>11682</v>
      </c>
      <c r="HK77" s="476">
        <v>5707</v>
      </c>
      <c r="HL77" s="476">
        <v>1949</v>
      </c>
      <c r="HM77" s="476">
        <v>0</v>
      </c>
      <c r="HN77" s="476">
        <v>0</v>
      </c>
      <c r="HO77" s="476">
        <v>0</v>
      </c>
      <c r="HP77" s="476">
        <v>0</v>
      </c>
      <c r="HQ77" s="476">
        <v>0</v>
      </c>
      <c r="HR77" s="476">
        <v>0</v>
      </c>
      <c r="HS77" s="476">
        <v>10363931</v>
      </c>
      <c r="HT77" s="476">
        <v>233720</v>
      </c>
      <c r="HU77" s="476">
        <v>0</v>
      </c>
      <c r="HV77" s="476">
        <v>0</v>
      </c>
      <c r="HW77" s="476">
        <v>0</v>
      </c>
      <c r="HX77" s="476">
        <v>316</v>
      </c>
      <c r="HY77" s="476">
        <v>186</v>
      </c>
      <c r="HZ77" s="476">
        <v>145</v>
      </c>
      <c r="IA77" s="476">
        <v>131</v>
      </c>
      <c r="IB77" s="476">
        <v>102</v>
      </c>
      <c r="IC77" s="476">
        <v>880</v>
      </c>
      <c r="ID77" s="476">
        <v>0</v>
      </c>
      <c r="IE77" s="476">
        <v>119.197</v>
      </c>
      <c r="IF77" s="476">
        <v>98.552000000000007</v>
      </c>
      <c r="IG77" s="476">
        <v>23</v>
      </c>
      <c r="IH77" s="476">
        <v>241.21200000000002</v>
      </c>
      <c r="II77" s="476">
        <v>0</v>
      </c>
      <c r="IJ77" s="476">
        <v>665.80100000000004</v>
      </c>
      <c r="IK77" s="476">
        <v>0</v>
      </c>
      <c r="IL77" s="476">
        <v>0</v>
      </c>
      <c r="IM77" s="476">
        <v>0</v>
      </c>
      <c r="IN77" s="476">
        <v>0</v>
      </c>
      <c r="IO77" s="476">
        <v>0</v>
      </c>
      <c r="IP77" s="476">
        <v>0</v>
      </c>
      <c r="IQ77" s="476">
        <v>448.05200000000002</v>
      </c>
      <c r="IR77" s="476">
        <v>275994</v>
      </c>
      <c r="IS77" s="476">
        <v>0</v>
      </c>
      <c r="IT77" s="476">
        <v>0</v>
      </c>
      <c r="IU77" s="476">
        <v>0</v>
      </c>
      <c r="IV77" s="476">
        <v>0</v>
      </c>
      <c r="IW77" s="476">
        <v>6160</v>
      </c>
      <c r="IX77" s="476">
        <v>110136</v>
      </c>
      <c r="IY77" s="476">
        <v>30353</v>
      </c>
      <c r="IZ77" s="476">
        <v>0</v>
      </c>
      <c r="JA77" s="476">
        <v>0</v>
      </c>
      <c r="JB77" s="476">
        <v>0</v>
      </c>
      <c r="JC77" s="476">
        <v>0</v>
      </c>
      <c r="JD77" s="476">
        <v>0</v>
      </c>
      <c r="JE77" s="476">
        <v>0</v>
      </c>
      <c r="JF77" s="476">
        <v>0</v>
      </c>
      <c r="JG77" s="476">
        <v>0</v>
      </c>
      <c r="JH77" s="476">
        <v>0</v>
      </c>
      <c r="JI77" s="476">
        <v>0</v>
      </c>
      <c r="JJ77" s="476">
        <v>0</v>
      </c>
      <c r="JK77" s="476">
        <v>0</v>
      </c>
      <c r="JL77" s="476">
        <v>0</v>
      </c>
      <c r="JM77" s="476">
        <v>0</v>
      </c>
      <c r="JN77" s="476">
        <v>32469</v>
      </c>
      <c r="JO77" s="476">
        <v>0</v>
      </c>
      <c r="JP77" s="476">
        <v>41.523000000000003</v>
      </c>
      <c r="JQ77" s="476">
        <v>41.189</v>
      </c>
      <c r="JR77" s="476">
        <v>0</v>
      </c>
      <c r="JS77" s="476">
        <v>385971</v>
      </c>
      <c r="JT77" s="476">
        <v>439698</v>
      </c>
      <c r="JU77" s="476">
        <v>0</v>
      </c>
      <c r="JV77" s="476">
        <v>0</v>
      </c>
      <c r="JW77" s="476">
        <v>0</v>
      </c>
      <c r="JX77" s="476">
        <v>0</v>
      </c>
      <c r="JY77" s="476">
        <v>0</v>
      </c>
      <c r="JZ77" s="476">
        <v>0</v>
      </c>
      <c r="KA77" s="476">
        <v>0</v>
      </c>
      <c r="KB77" s="476">
        <v>0</v>
      </c>
      <c r="KC77" s="476">
        <v>0</v>
      </c>
      <c r="KD77" s="476">
        <v>0</v>
      </c>
      <c r="KE77" s="476">
        <v>7262</v>
      </c>
      <c r="KF77" s="476">
        <v>0</v>
      </c>
      <c r="KG77" s="476">
        <v>0</v>
      </c>
      <c r="KH77" s="476">
        <v>11997113</v>
      </c>
      <c r="KI77" s="476">
        <v>0</v>
      </c>
      <c r="KJ77" s="476">
        <v>10</v>
      </c>
      <c r="KK77" s="476">
        <v>13</v>
      </c>
      <c r="KL77" s="476">
        <v>6160</v>
      </c>
      <c r="KM77" s="476">
        <v>8008</v>
      </c>
      <c r="KN77" s="476">
        <v>0</v>
      </c>
    </row>
    <row r="78" spans="1:300" x14ac:dyDescent="0.25">
      <c r="A78" s="476">
        <v>40976</v>
      </c>
      <c r="B78" s="476">
        <v>71803</v>
      </c>
      <c r="C78" s="476">
        <v>9</v>
      </c>
      <c r="D78" s="476">
        <v>2024</v>
      </c>
      <c r="E78" s="476">
        <v>6160</v>
      </c>
      <c r="F78" s="476">
        <v>0</v>
      </c>
      <c r="G78" s="476">
        <v>180.58200000000002</v>
      </c>
      <c r="H78" s="476">
        <v>170.203</v>
      </c>
      <c r="I78" s="476">
        <v>170.203</v>
      </c>
      <c r="J78" s="476">
        <v>180.58200000000002</v>
      </c>
      <c r="K78" s="476">
        <v>0</v>
      </c>
      <c r="L78" s="476">
        <v>6160</v>
      </c>
      <c r="M78" s="476">
        <v>0</v>
      </c>
      <c r="N78" s="476">
        <v>0</v>
      </c>
      <c r="O78" s="476">
        <v>0</v>
      </c>
      <c r="P78" s="476">
        <v>180.58200000000002</v>
      </c>
      <c r="Q78" s="476">
        <v>0</v>
      </c>
      <c r="R78" s="476">
        <v>74921</v>
      </c>
      <c r="S78" s="476">
        <v>414.88400000000001</v>
      </c>
      <c r="T78" s="476">
        <v>0</v>
      </c>
      <c r="U78" s="476">
        <v>0</v>
      </c>
      <c r="V78" s="476">
        <v>59.767000000000003</v>
      </c>
      <c r="W78" s="476">
        <v>36816</v>
      </c>
      <c r="X78" s="476">
        <v>36816</v>
      </c>
      <c r="Y78" s="476">
        <v>0</v>
      </c>
      <c r="Z78" s="476">
        <v>0</v>
      </c>
      <c r="AA78" s="476">
        <v>0</v>
      </c>
      <c r="AB78" s="476">
        <v>0</v>
      </c>
      <c r="AC78" s="476">
        <v>0</v>
      </c>
      <c r="AD78" s="476" t="s">
        <v>314</v>
      </c>
      <c r="AE78" s="476">
        <v>0</v>
      </c>
      <c r="AF78" s="476">
        <v>0</v>
      </c>
      <c r="AG78" s="476">
        <v>0</v>
      </c>
      <c r="AH78" s="476">
        <v>0</v>
      </c>
      <c r="AI78" s="476">
        <v>0</v>
      </c>
      <c r="AJ78" s="476">
        <v>6160</v>
      </c>
      <c r="AK78" s="476" t="s">
        <v>651</v>
      </c>
      <c r="AL78" s="476" t="s">
        <v>465</v>
      </c>
      <c r="AM78" s="476">
        <v>0</v>
      </c>
      <c r="AN78" s="476">
        <v>0</v>
      </c>
      <c r="AO78" s="476">
        <v>0</v>
      </c>
      <c r="AP78" s="476">
        <v>0</v>
      </c>
      <c r="AQ78" s="476">
        <v>0</v>
      </c>
      <c r="AR78" s="476">
        <v>0</v>
      </c>
      <c r="AS78" s="476">
        <v>0</v>
      </c>
      <c r="AT78" s="476">
        <v>0</v>
      </c>
      <c r="AU78" s="476">
        <v>0</v>
      </c>
      <c r="AV78" s="476">
        <v>0</v>
      </c>
      <c r="AW78" s="476">
        <v>2042335</v>
      </c>
      <c r="AX78" s="476">
        <v>2012292</v>
      </c>
      <c r="AY78" s="476">
        <v>0</v>
      </c>
      <c r="AZ78" s="476">
        <v>74921</v>
      </c>
      <c r="BA78" s="476">
        <v>7.75</v>
      </c>
      <c r="BB78" s="476">
        <v>0</v>
      </c>
      <c r="BC78" s="476">
        <v>0</v>
      </c>
      <c r="BD78" s="476">
        <v>0</v>
      </c>
      <c r="BE78" s="476">
        <v>0</v>
      </c>
      <c r="BF78" s="476">
        <v>1764210</v>
      </c>
      <c r="BG78" s="476">
        <v>0</v>
      </c>
      <c r="BH78" s="476">
        <v>0</v>
      </c>
      <c r="BI78" s="476">
        <v>0</v>
      </c>
      <c r="BJ78" s="476">
        <v>12</v>
      </c>
      <c r="BK78" s="476">
        <v>0</v>
      </c>
      <c r="BL78" s="476">
        <v>0</v>
      </c>
      <c r="BM78" s="476">
        <v>0</v>
      </c>
      <c r="BN78" s="476">
        <v>0</v>
      </c>
      <c r="BO78" s="476">
        <v>0</v>
      </c>
      <c r="BP78" s="476">
        <v>0</v>
      </c>
      <c r="BQ78" s="476">
        <v>744</v>
      </c>
      <c r="BR78" s="476">
        <v>0</v>
      </c>
      <c r="BS78" s="476">
        <v>0</v>
      </c>
      <c r="BT78" s="476">
        <v>0</v>
      </c>
      <c r="BU78" s="476">
        <v>0</v>
      </c>
      <c r="BV78" s="476">
        <v>0</v>
      </c>
      <c r="BW78" s="476">
        <v>0</v>
      </c>
      <c r="BX78" s="476">
        <v>0</v>
      </c>
      <c r="BY78" s="476">
        <v>0</v>
      </c>
      <c r="BZ78" s="476">
        <v>0</v>
      </c>
      <c r="CA78" s="476">
        <v>0</v>
      </c>
      <c r="CB78" s="476">
        <v>0</v>
      </c>
      <c r="CC78" s="476">
        <v>0</v>
      </c>
      <c r="CD78" s="476">
        <v>0</v>
      </c>
      <c r="CE78" s="476">
        <v>0</v>
      </c>
      <c r="CF78" s="476">
        <v>0</v>
      </c>
      <c r="CG78" s="476">
        <v>0</v>
      </c>
      <c r="CH78" s="476">
        <v>30487</v>
      </c>
      <c r="CI78" s="476">
        <v>0</v>
      </c>
      <c r="CJ78" s="476">
        <v>4</v>
      </c>
      <c r="CK78" s="476">
        <v>0</v>
      </c>
      <c r="CL78" s="476">
        <v>0</v>
      </c>
      <c r="CM78" s="476">
        <v>0</v>
      </c>
      <c r="CN78" s="476">
        <v>0</v>
      </c>
      <c r="CO78" s="476">
        <v>1</v>
      </c>
      <c r="CP78" s="476">
        <v>0.70300000000000007</v>
      </c>
      <c r="CQ78" s="476">
        <v>11.667</v>
      </c>
      <c r="CR78" s="476">
        <v>180.58200000000002</v>
      </c>
      <c r="CS78" s="476">
        <v>0</v>
      </c>
      <c r="CT78" s="476">
        <v>0</v>
      </c>
      <c r="CU78" s="476">
        <v>0</v>
      </c>
      <c r="CV78" s="476">
        <v>0</v>
      </c>
      <c r="CW78" s="476">
        <v>0</v>
      </c>
      <c r="CX78" s="476">
        <v>0</v>
      </c>
      <c r="CY78" s="476">
        <v>0</v>
      </c>
      <c r="CZ78" s="476">
        <v>0</v>
      </c>
      <c r="DA78" s="476">
        <v>0</v>
      </c>
      <c r="DB78" s="476">
        <v>1048427</v>
      </c>
      <c r="DC78" s="476">
        <v>0</v>
      </c>
      <c r="DD78" s="476">
        <v>0</v>
      </c>
      <c r="DE78" s="476">
        <v>260870</v>
      </c>
      <c r="DF78" s="476">
        <v>271306</v>
      </c>
      <c r="DG78" s="476">
        <v>42.35</v>
      </c>
      <c r="DH78" s="476">
        <v>0</v>
      </c>
      <c r="DI78" s="476">
        <v>10436</v>
      </c>
      <c r="DJ78" s="476">
        <v>0</v>
      </c>
      <c r="DK78" s="476">
        <v>3523</v>
      </c>
      <c r="DL78" s="476">
        <v>0</v>
      </c>
      <c r="DM78" s="476">
        <v>128907</v>
      </c>
      <c r="DN78" s="476">
        <v>443</v>
      </c>
      <c r="DO78" s="476">
        <v>0</v>
      </c>
      <c r="DP78" s="476">
        <v>0</v>
      </c>
      <c r="DQ78" s="476">
        <v>0</v>
      </c>
      <c r="DR78" s="476">
        <v>0</v>
      </c>
      <c r="DS78" s="476">
        <v>0</v>
      </c>
      <c r="DT78" s="476">
        <v>0</v>
      </c>
      <c r="DU78" s="476">
        <v>0</v>
      </c>
      <c r="DV78" s="476">
        <v>0</v>
      </c>
      <c r="DW78" s="476">
        <v>0</v>
      </c>
      <c r="DX78" s="476">
        <v>0</v>
      </c>
      <c r="DY78" s="476">
        <v>0</v>
      </c>
      <c r="DZ78" s="476">
        <v>0</v>
      </c>
      <c r="EA78" s="476">
        <v>0</v>
      </c>
      <c r="EB78" s="476">
        <v>0</v>
      </c>
      <c r="EC78" s="476">
        <v>14.705</v>
      </c>
      <c r="ED78" s="476">
        <v>104168</v>
      </c>
      <c r="EE78" s="476">
        <v>0</v>
      </c>
      <c r="EF78" s="476">
        <v>0</v>
      </c>
      <c r="EG78" s="476">
        <v>0</v>
      </c>
      <c r="EH78" s="476">
        <v>25182</v>
      </c>
      <c r="EI78" s="476">
        <v>0</v>
      </c>
      <c r="EJ78" s="476">
        <v>0</v>
      </c>
      <c r="EK78" s="476">
        <v>1.1760000000000002</v>
      </c>
      <c r="EL78" s="476">
        <v>0</v>
      </c>
      <c r="EM78" s="476">
        <v>0</v>
      </c>
      <c r="EN78" s="476">
        <v>0.112</v>
      </c>
      <c r="EO78" s="476">
        <v>0</v>
      </c>
      <c r="EP78" s="476">
        <v>0</v>
      </c>
      <c r="EQ78" s="476">
        <v>1.288</v>
      </c>
      <c r="ER78" s="476">
        <v>0</v>
      </c>
      <c r="ES78" s="476">
        <v>4.0880000000000001</v>
      </c>
      <c r="ET78" s="476">
        <v>0</v>
      </c>
      <c r="EU78" s="476">
        <v>0</v>
      </c>
      <c r="EV78" s="476">
        <v>0</v>
      </c>
      <c r="EW78" s="476">
        <v>0</v>
      </c>
      <c r="EX78" s="476">
        <v>0</v>
      </c>
      <c r="EY78" s="476">
        <v>0</v>
      </c>
      <c r="EZ78" s="476">
        <v>1746458</v>
      </c>
      <c r="FA78" s="476">
        <v>0</v>
      </c>
      <c r="FB78" s="476">
        <v>1820935</v>
      </c>
      <c r="FC78" s="476">
        <v>0</v>
      </c>
      <c r="FD78" s="476">
        <v>0</v>
      </c>
      <c r="FE78" s="476">
        <v>227791</v>
      </c>
      <c r="FF78" s="476">
        <v>38043</v>
      </c>
      <c r="FG78" s="476">
        <v>6.3017999999999991E-2</v>
      </c>
      <c r="FH78" s="476">
        <v>2.6953999999999999E-2</v>
      </c>
      <c r="FI78" s="476">
        <v>0</v>
      </c>
      <c r="FJ78" s="476">
        <v>0</v>
      </c>
      <c r="FK78" s="476">
        <v>286.404</v>
      </c>
      <c r="FL78" s="476">
        <v>2117256</v>
      </c>
      <c r="FM78" s="476">
        <v>0</v>
      </c>
      <c r="FN78" s="476">
        <v>0</v>
      </c>
      <c r="FO78" s="476">
        <v>0</v>
      </c>
      <c r="FP78" s="476">
        <v>0</v>
      </c>
      <c r="FQ78" s="476">
        <v>0</v>
      </c>
      <c r="FR78" s="476">
        <v>0</v>
      </c>
      <c r="FS78" s="476">
        <v>0</v>
      </c>
      <c r="FT78" s="476">
        <v>0</v>
      </c>
      <c r="FU78" s="476">
        <v>0</v>
      </c>
      <c r="FV78" s="476">
        <v>0</v>
      </c>
      <c r="FW78" s="476">
        <v>0</v>
      </c>
      <c r="FX78" s="476">
        <v>0</v>
      </c>
      <c r="FY78" s="476">
        <v>0</v>
      </c>
      <c r="FZ78" s="476">
        <v>0</v>
      </c>
      <c r="GA78" s="476">
        <v>0</v>
      </c>
      <c r="GB78" s="476">
        <v>88941</v>
      </c>
      <c r="GC78" s="476">
        <v>88941</v>
      </c>
      <c r="GD78" s="476">
        <v>9.0910000000000011</v>
      </c>
      <c r="GE78" s="476">
        <v>0</v>
      </c>
      <c r="GF78" s="476">
        <v>0</v>
      </c>
      <c r="GG78" s="476">
        <v>0</v>
      </c>
      <c r="GH78" s="476">
        <v>0</v>
      </c>
      <c r="GI78" s="476">
        <v>0</v>
      </c>
      <c r="GJ78" s="476">
        <v>0</v>
      </c>
      <c r="GK78" s="476">
        <v>0</v>
      </c>
      <c r="GL78" s="476">
        <v>0</v>
      </c>
      <c r="GM78" s="476">
        <v>0</v>
      </c>
      <c r="GN78" s="476">
        <v>0</v>
      </c>
      <c r="GO78" s="476">
        <v>0</v>
      </c>
      <c r="GP78" s="476">
        <v>0</v>
      </c>
      <c r="GQ78" s="476">
        <v>2011848</v>
      </c>
      <c r="GR78" s="476">
        <v>0</v>
      </c>
      <c r="GS78" s="476">
        <v>0</v>
      </c>
      <c r="GT78" s="476">
        <v>0</v>
      </c>
      <c r="GU78" s="476">
        <v>0</v>
      </c>
      <c r="GV78" s="476">
        <v>0</v>
      </c>
      <c r="GW78" s="476">
        <v>0</v>
      </c>
      <c r="GX78" s="476">
        <v>0</v>
      </c>
      <c r="GY78" s="476">
        <v>0</v>
      </c>
      <c r="GZ78" s="476">
        <v>0</v>
      </c>
      <c r="HA78" s="476">
        <v>0</v>
      </c>
      <c r="HB78" s="476">
        <v>323396213</v>
      </c>
      <c r="HC78" s="476">
        <v>4.2206E-2</v>
      </c>
      <c r="HD78" s="476">
        <v>30487</v>
      </c>
      <c r="HE78" s="476">
        <v>0</v>
      </c>
      <c r="HF78" s="476">
        <v>187564</v>
      </c>
      <c r="HG78" s="476">
        <v>0</v>
      </c>
      <c r="HH78" s="476">
        <v>0</v>
      </c>
      <c r="HI78" s="476">
        <v>0</v>
      </c>
      <c r="HJ78" s="476">
        <v>1806</v>
      </c>
      <c r="HK78" s="476">
        <v>2562</v>
      </c>
      <c r="HL78" s="476">
        <v>348</v>
      </c>
      <c r="HM78" s="476">
        <v>0</v>
      </c>
      <c r="HN78" s="476">
        <v>0</v>
      </c>
      <c r="HO78" s="476">
        <v>0</v>
      </c>
      <c r="HP78" s="476">
        <v>54259</v>
      </c>
      <c r="HQ78" s="476">
        <v>0</v>
      </c>
      <c r="HR78" s="476">
        <v>0</v>
      </c>
      <c r="HS78" s="476">
        <v>1746014</v>
      </c>
      <c r="HT78" s="476">
        <v>38043</v>
      </c>
      <c r="HU78" s="476">
        <v>0</v>
      </c>
      <c r="HV78" s="476">
        <v>0</v>
      </c>
      <c r="HW78" s="476">
        <v>0</v>
      </c>
      <c r="HX78" s="476">
        <v>15</v>
      </c>
      <c r="HY78" s="476">
        <v>22</v>
      </c>
      <c r="HZ78" s="476">
        <v>31</v>
      </c>
      <c r="IA78" s="476">
        <v>32</v>
      </c>
      <c r="IB78" s="476">
        <v>64</v>
      </c>
      <c r="IC78" s="476">
        <v>164</v>
      </c>
      <c r="ID78" s="476">
        <v>0</v>
      </c>
      <c r="IE78" s="476">
        <v>0</v>
      </c>
      <c r="IF78" s="476">
        <v>0</v>
      </c>
      <c r="IG78" s="476">
        <v>0</v>
      </c>
      <c r="IH78" s="476">
        <v>0</v>
      </c>
      <c r="II78" s="476">
        <v>197.304</v>
      </c>
      <c r="IJ78" s="476">
        <v>59.767000000000003</v>
      </c>
      <c r="IK78" s="476">
        <v>0</v>
      </c>
      <c r="IL78" s="476">
        <v>0</v>
      </c>
      <c r="IM78" s="476">
        <v>0</v>
      </c>
      <c r="IN78" s="476">
        <v>0</v>
      </c>
      <c r="IO78" s="476">
        <v>0</v>
      </c>
      <c r="IP78" s="476">
        <v>197.304</v>
      </c>
      <c r="IQ78" s="476">
        <v>59.767000000000003</v>
      </c>
      <c r="IR78" s="476">
        <v>36816</v>
      </c>
      <c r="IS78" s="476">
        <v>0</v>
      </c>
      <c r="IT78" s="476">
        <v>0</v>
      </c>
      <c r="IU78" s="476">
        <v>0</v>
      </c>
      <c r="IV78" s="476">
        <v>0</v>
      </c>
      <c r="IW78" s="476">
        <v>6160</v>
      </c>
      <c r="IX78" s="476">
        <v>0</v>
      </c>
      <c r="IY78" s="476">
        <v>0</v>
      </c>
      <c r="IZ78" s="476">
        <v>54259</v>
      </c>
      <c r="JA78" s="476">
        <v>0</v>
      </c>
      <c r="JB78" s="476">
        <v>0</v>
      </c>
      <c r="JC78" s="476">
        <v>0</v>
      </c>
      <c r="JD78" s="476">
        <v>0</v>
      </c>
      <c r="JE78" s="476">
        <v>0</v>
      </c>
      <c r="JF78" s="476">
        <v>0</v>
      </c>
      <c r="JG78" s="476">
        <v>0</v>
      </c>
      <c r="JH78" s="476">
        <v>0</v>
      </c>
      <c r="JI78" s="476">
        <v>0</v>
      </c>
      <c r="JJ78" s="476">
        <v>0</v>
      </c>
      <c r="JK78" s="476">
        <v>0</v>
      </c>
      <c r="JL78" s="476">
        <v>0</v>
      </c>
      <c r="JM78" s="476">
        <v>0</v>
      </c>
      <c r="JN78" s="476">
        <v>32469</v>
      </c>
      <c r="JO78" s="476">
        <v>0</v>
      </c>
      <c r="JP78" s="476">
        <v>5.875</v>
      </c>
      <c r="JQ78" s="476">
        <v>3.2160000000000002</v>
      </c>
      <c r="JR78" s="476">
        <v>0</v>
      </c>
      <c r="JS78" s="476">
        <v>54610</v>
      </c>
      <c r="JT78" s="476">
        <v>34331</v>
      </c>
      <c r="JU78" s="476">
        <v>0</v>
      </c>
      <c r="JV78" s="476">
        <v>0</v>
      </c>
      <c r="JW78" s="476">
        <v>0</v>
      </c>
      <c r="JX78" s="476">
        <v>0</v>
      </c>
      <c r="JY78" s="476">
        <v>0</v>
      </c>
      <c r="JZ78" s="476">
        <v>0</v>
      </c>
      <c r="KA78" s="476">
        <v>0</v>
      </c>
      <c r="KB78" s="476">
        <v>0</v>
      </c>
      <c r="KC78" s="476">
        <v>0</v>
      </c>
      <c r="KD78" s="476">
        <v>0</v>
      </c>
      <c r="KE78" s="476">
        <v>7262</v>
      </c>
      <c r="KF78" s="476">
        <v>0</v>
      </c>
      <c r="KG78" s="476">
        <v>0</v>
      </c>
      <c r="KH78" s="476">
        <v>2011848</v>
      </c>
      <c r="KI78" s="476">
        <v>0</v>
      </c>
      <c r="KJ78" s="476">
        <v>0</v>
      </c>
      <c r="KK78" s="476">
        <v>0</v>
      </c>
      <c r="KL78" s="476">
        <v>0</v>
      </c>
      <c r="KM78" s="476">
        <v>0</v>
      </c>
      <c r="KN78" s="476">
        <v>0</v>
      </c>
    </row>
    <row r="79" spans="1:300" x14ac:dyDescent="0.25">
      <c r="A79" s="476">
        <v>40976</v>
      </c>
      <c r="B79" s="476">
        <v>71804</v>
      </c>
      <c r="C79" s="476">
        <v>9</v>
      </c>
      <c r="D79" s="476">
        <v>2024</v>
      </c>
      <c r="E79" s="476">
        <v>6160</v>
      </c>
      <c r="F79" s="476">
        <v>0</v>
      </c>
      <c r="G79" s="476">
        <v>320.928</v>
      </c>
      <c r="H79" s="476">
        <v>298.50100000000003</v>
      </c>
      <c r="I79" s="476">
        <v>298.50100000000003</v>
      </c>
      <c r="J79" s="476">
        <v>320.928</v>
      </c>
      <c r="K79" s="476">
        <v>0</v>
      </c>
      <c r="L79" s="476">
        <v>6160</v>
      </c>
      <c r="M79" s="476">
        <v>0</v>
      </c>
      <c r="N79" s="476">
        <v>0</v>
      </c>
      <c r="O79" s="476">
        <v>0</v>
      </c>
      <c r="P79" s="476">
        <v>320.928</v>
      </c>
      <c r="Q79" s="476">
        <v>0</v>
      </c>
      <c r="R79" s="476">
        <v>133148</v>
      </c>
      <c r="S79" s="476">
        <v>414.88400000000001</v>
      </c>
      <c r="T79" s="476">
        <v>0</v>
      </c>
      <c r="U79" s="476">
        <v>0</v>
      </c>
      <c r="V79" s="476">
        <v>47.192</v>
      </c>
      <c r="W79" s="476">
        <v>29070</v>
      </c>
      <c r="X79" s="476">
        <v>29070</v>
      </c>
      <c r="Y79" s="476">
        <v>0</v>
      </c>
      <c r="Z79" s="476">
        <v>0</v>
      </c>
      <c r="AA79" s="476">
        <v>0</v>
      </c>
      <c r="AB79" s="476">
        <v>0</v>
      </c>
      <c r="AC79" s="476">
        <v>0</v>
      </c>
      <c r="AD79" s="476" t="s">
        <v>314</v>
      </c>
      <c r="AE79" s="476">
        <v>0</v>
      </c>
      <c r="AF79" s="476">
        <v>0</v>
      </c>
      <c r="AG79" s="476">
        <v>0</v>
      </c>
      <c r="AH79" s="476">
        <v>0</v>
      </c>
      <c r="AI79" s="476">
        <v>0</v>
      </c>
      <c r="AJ79" s="476">
        <v>6160</v>
      </c>
      <c r="AK79" s="476" t="s">
        <v>651</v>
      </c>
      <c r="AL79" s="476" t="s">
        <v>25</v>
      </c>
      <c r="AM79" s="476">
        <v>0</v>
      </c>
      <c r="AN79" s="476">
        <v>0</v>
      </c>
      <c r="AO79" s="476">
        <v>0</v>
      </c>
      <c r="AP79" s="476">
        <v>0</v>
      </c>
      <c r="AQ79" s="476">
        <v>0</v>
      </c>
      <c r="AR79" s="476">
        <v>0</v>
      </c>
      <c r="AS79" s="476">
        <v>0</v>
      </c>
      <c r="AT79" s="476">
        <v>0</v>
      </c>
      <c r="AU79" s="476">
        <v>0</v>
      </c>
      <c r="AV79" s="476">
        <v>0</v>
      </c>
      <c r="AW79" s="476">
        <v>3417281</v>
      </c>
      <c r="AX79" s="476">
        <v>3363885</v>
      </c>
      <c r="AY79" s="476">
        <v>0</v>
      </c>
      <c r="AZ79" s="476">
        <v>133148</v>
      </c>
      <c r="BA79" s="476">
        <v>12.167</v>
      </c>
      <c r="BB79" s="476">
        <v>0</v>
      </c>
      <c r="BC79" s="476">
        <v>0</v>
      </c>
      <c r="BD79" s="476">
        <v>0</v>
      </c>
      <c r="BE79" s="476">
        <v>0</v>
      </c>
      <c r="BF79" s="476">
        <v>2966512</v>
      </c>
      <c r="BG79" s="476">
        <v>0</v>
      </c>
      <c r="BH79" s="476">
        <v>0</v>
      </c>
      <c r="BI79" s="476">
        <v>0</v>
      </c>
      <c r="BJ79" s="476">
        <v>12</v>
      </c>
      <c r="BK79" s="476">
        <v>0</v>
      </c>
      <c r="BL79" s="476">
        <v>0</v>
      </c>
      <c r="BM79" s="476">
        <v>0</v>
      </c>
      <c r="BN79" s="476">
        <v>0</v>
      </c>
      <c r="BO79" s="476">
        <v>0</v>
      </c>
      <c r="BP79" s="476">
        <v>0</v>
      </c>
      <c r="BQ79" s="476">
        <v>724</v>
      </c>
      <c r="BR79" s="476">
        <v>0</v>
      </c>
      <c r="BS79" s="476">
        <v>0</v>
      </c>
      <c r="BT79" s="476">
        <v>0</v>
      </c>
      <c r="BU79" s="476">
        <v>0</v>
      </c>
      <c r="BV79" s="476">
        <v>0</v>
      </c>
      <c r="BW79" s="476">
        <v>0</v>
      </c>
      <c r="BX79" s="476">
        <v>0</v>
      </c>
      <c r="BY79" s="476">
        <v>0</v>
      </c>
      <c r="BZ79" s="476">
        <v>0</v>
      </c>
      <c r="CA79" s="476">
        <v>0</v>
      </c>
      <c r="CB79" s="476">
        <v>0</v>
      </c>
      <c r="CC79" s="476">
        <v>0</v>
      </c>
      <c r="CD79" s="476">
        <v>0</v>
      </c>
      <c r="CE79" s="476">
        <v>0</v>
      </c>
      <c r="CF79" s="476">
        <v>0</v>
      </c>
      <c r="CG79" s="476">
        <v>0</v>
      </c>
      <c r="CH79" s="476">
        <v>54181</v>
      </c>
      <c r="CI79" s="476">
        <v>0</v>
      </c>
      <c r="CJ79" s="476">
        <v>4</v>
      </c>
      <c r="CK79" s="476">
        <v>0</v>
      </c>
      <c r="CL79" s="476">
        <v>0</v>
      </c>
      <c r="CM79" s="476">
        <v>0</v>
      </c>
      <c r="CN79" s="476">
        <v>0</v>
      </c>
      <c r="CO79" s="476">
        <v>1</v>
      </c>
      <c r="CP79" s="476">
        <v>0.34600000000000003</v>
      </c>
      <c r="CQ79" s="476">
        <v>0</v>
      </c>
      <c r="CR79" s="476">
        <v>320.928</v>
      </c>
      <c r="CS79" s="476">
        <v>0</v>
      </c>
      <c r="CT79" s="476">
        <v>0</v>
      </c>
      <c r="CU79" s="476">
        <v>0</v>
      </c>
      <c r="CV79" s="476">
        <v>0</v>
      </c>
      <c r="CW79" s="476">
        <v>0</v>
      </c>
      <c r="CX79" s="476">
        <v>0</v>
      </c>
      <c r="CY79" s="476">
        <v>0</v>
      </c>
      <c r="CZ79" s="476">
        <v>0</v>
      </c>
      <c r="DA79" s="476">
        <v>0</v>
      </c>
      <c r="DB79" s="476">
        <v>1838724</v>
      </c>
      <c r="DC79" s="476">
        <v>0</v>
      </c>
      <c r="DD79" s="476">
        <v>0</v>
      </c>
      <c r="DE79" s="476">
        <v>385376</v>
      </c>
      <c r="DF79" s="476">
        <v>390512</v>
      </c>
      <c r="DG79" s="476">
        <v>62.563000000000002</v>
      </c>
      <c r="DH79" s="476">
        <v>0</v>
      </c>
      <c r="DI79" s="476">
        <v>5136</v>
      </c>
      <c r="DJ79" s="476">
        <v>0</v>
      </c>
      <c r="DK79" s="476">
        <v>3207</v>
      </c>
      <c r="DL79" s="476">
        <v>0</v>
      </c>
      <c r="DM79" s="476">
        <v>228142</v>
      </c>
      <c r="DN79" s="476">
        <v>784</v>
      </c>
      <c r="DO79" s="476">
        <v>0</v>
      </c>
      <c r="DP79" s="476">
        <v>0</v>
      </c>
      <c r="DQ79" s="476">
        <v>0</v>
      </c>
      <c r="DR79" s="476">
        <v>0</v>
      </c>
      <c r="DS79" s="476">
        <v>0</v>
      </c>
      <c r="DT79" s="476">
        <v>0</v>
      </c>
      <c r="DU79" s="476">
        <v>0</v>
      </c>
      <c r="DV79" s="476">
        <v>0</v>
      </c>
      <c r="DW79" s="476">
        <v>0</v>
      </c>
      <c r="DX79" s="476">
        <v>0</v>
      </c>
      <c r="DY79" s="476">
        <v>0</v>
      </c>
      <c r="DZ79" s="476">
        <v>0</v>
      </c>
      <c r="EA79" s="476">
        <v>0.11700000000000001</v>
      </c>
      <c r="EB79" s="476">
        <v>0</v>
      </c>
      <c r="EC79" s="476">
        <v>20.435000000000002</v>
      </c>
      <c r="ED79" s="476">
        <v>144758</v>
      </c>
      <c r="EE79" s="476">
        <v>0</v>
      </c>
      <c r="EF79" s="476">
        <v>0</v>
      </c>
      <c r="EG79" s="476">
        <v>0</v>
      </c>
      <c r="EH79" s="476">
        <v>84168</v>
      </c>
      <c r="EI79" s="476">
        <v>0</v>
      </c>
      <c r="EJ79" s="476">
        <v>0</v>
      </c>
      <c r="EK79" s="476">
        <v>4.2030000000000003</v>
      </c>
      <c r="EL79" s="476">
        <v>0</v>
      </c>
      <c r="EM79" s="476">
        <v>0</v>
      </c>
      <c r="EN79" s="476">
        <v>9.4E-2</v>
      </c>
      <c r="EO79" s="476">
        <v>0</v>
      </c>
      <c r="EP79" s="476">
        <v>0</v>
      </c>
      <c r="EQ79" s="476">
        <v>4.4140000000000006</v>
      </c>
      <c r="ER79" s="476">
        <v>0</v>
      </c>
      <c r="ES79" s="476">
        <v>13.664000000000001</v>
      </c>
      <c r="ET79" s="476">
        <v>0</v>
      </c>
      <c r="EU79" s="476">
        <v>0</v>
      </c>
      <c r="EV79" s="476">
        <v>0</v>
      </c>
      <c r="EW79" s="476">
        <v>0</v>
      </c>
      <c r="EX79" s="476">
        <v>0</v>
      </c>
      <c r="EY79" s="476">
        <v>0</v>
      </c>
      <c r="EZ79" s="476">
        <v>2916885</v>
      </c>
      <c r="FA79" s="476">
        <v>0</v>
      </c>
      <c r="FB79" s="476">
        <v>3049248</v>
      </c>
      <c r="FC79" s="476">
        <v>0</v>
      </c>
      <c r="FD79" s="476">
        <v>0</v>
      </c>
      <c r="FE79" s="476">
        <v>383031</v>
      </c>
      <c r="FF79" s="476">
        <v>63969</v>
      </c>
      <c r="FG79" s="476">
        <v>6.3017999999999991E-2</v>
      </c>
      <c r="FH79" s="476">
        <v>2.6953999999999999E-2</v>
      </c>
      <c r="FI79" s="476">
        <v>0</v>
      </c>
      <c r="FJ79" s="476">
        <v>0</v>
      </c>
      <c r="FK79" s="476">
        <v>481.58800000000002</v>
      </c>
      <c r="FL79" s="476">
        <v>3550429</v>
      </c>
      <c r="FM79" s="476">
        <v>0</v>
      </c>
      <c r="FN79" s="476">
        <v>0</v>
      </c>
      <c r="FO79" s="476">
        <v>0</v>
      </c>
      <c r="FP79" s="476">
        <v>0</v>
      </c>
      <c r="FQ79" s="476">
        <v>0</v>
      </c>
      <c r="FR79" s="476">
        <v>0</v>
      </c>
      <c r="FS79" s="476">
        <v>0</v>
      </c>
      <c r="FT79" s="476">
        <v>0</v>
      </c>
      <c r="FU79" s="476">
        <v>0</v>
      </c>
      <c r="FV79" s="476">
        <v>0</v>
      </c>
      <c r="FW79" s="476">
        <v>0</v>
      </c>
      <c r="FX79" s="476">
        <v>0</v>
      </c>
      <c r="FY79" s="476">
        <v>0</v>
      </c>
      <c r="FZ79" s="476">
        <v>0</v>
      </c>
      <c r="GA79" s="476">
        <v>0</v>
      </c>
      <c r="GB79" s="476">
        <v>143891</v>
      </c>
      <c r="GC79" s="476">
        <v>143891</v>
      </c>
      <c r="GD79" s="476">
        <v>18.013000000000002</v>
      </c>
      <c r="GE79" s="476">
        <v>0</v>
      </c>
      <c r="GF79" s="476">
        <v>0</v>
      </c>
      <c r="GG79" s="476">
        <v>0</v>
      </c>
      <c r="GH79" s="476">
        <v>0</v>
      </c>
      <c r="GI79" s="476">
        <v>0</v>
      </c>
      <c r="GJ79" s="476">
        <v>0</v>
      </c>
      <c r="GK79" s="476">
        <v>0</v>
      </c>
      <c r="GL79" s="476">
        <v>0</v>
      </c>
      <c r="GM79" s="476">
        <v>0</v>
      </c>
      <c r="GN79" s="476">
        <v>0</v>
      </c>
      <c r="GO79" s="476">
        <v>0</v>
      </c>
      <c r="GP79" s="476">
        <v>0</v>
      </c>
      <c r="GQ79" s="476">
        <v>3363100</v>
      </c>
      <c r="GR79" s="476">
        <v>0</v>
      </c>
      <c r="GS79" s="476">
        <v>0</v>
      </c>
      <c r="GT79" s="476">
        <v>0</v>
      </c>
      <c r="GU79" s="476">
        <v>0</v>
      </c>
      <c r="GV79" s="476">
        <v>0</v>
      </c>
      <c r="GW79" s="476">
        <v>0</v>
      </c>
      <c r="GX79" s="476">
        <v>0</v>
      </c>
      <c r="GY79" s="476">
        <v>0</v>
      </c>
      <c r="GZ79" s="476">
        <v>0</v>
      </c>
      <c r="HA79" s="476">
        <v>0</v>
      </c>
      <c r="HB79" s="476">
        <v>323396213</v>
      </c>
      <c r="HC79" s="476">
        <v>4.2206E-2</v>
      </c>
      <c r="HD79" s="476">
        <v>54181</v>
      </c>
      <c r="HE79" s="476">
        <v>0</v>
      </c>
      <c r="HF79" s="476">
        <v>328948</v>
      </c>
      <c r="HG79" s="476">
        <v>1232</v>
      </c>
      <c r="HH79" s="476">
        <v>0</v>
      </c>
      <c r="HI79" s="476">
        <v>0</v>
      </c>
      <c r="HJ79" s="476">
        <v>3209</v>
      </c>
      <c r="HK79" s="476">
        <v>4385</v>
      </c>
      <c r="HL79" s="476">
        <v>479</v>
      </c>
      <c r="HM79" s="476">
        <v>2000</v>
      </c>
      <c r="HN79" s="476">
        <v>0</v>
      </c>
      <c r="HO79" s="476">
        <v>0</v>
      </c>
      <c r="HP79" s="476">
        <v>78657</v>
      </c>
      <c r="HQ79" s="476">
        <v>0</v>
      </c>
      <c r="HR79" s="476">
        <v>0</v>
      </c>
      <c r="HS79" s="476">
        <v>2916100</v>
      </c>
      <c r="HT79" s="476">
        <v>63969</v>
      </c>
      <c r="HU79" s="476">
        <v>0</v>
      </c>
      <c r="HV79" s="476">
        <v>0</v>
      </c>
      <c r="HW79" s="476">
        <v>0</v>
      </c>
      <c r="HX79" s="476">
        <v>48</v>
      </c>
      <c r="HY79" s="476">
        <v>42</v>
      </c>
      <c r="HZ79" s="476">
        <v>44</v>
      </c>
      <c r="IA79" s="476">
        <v>45</v>
      </c>
      <c r="IB79" s="476">
        <v>69</v>
      </c>
      <c r="IC79" s="476">
        <v>248</v>
      </c>
      <c r="ID79" s="476">
        <v>0</v>
      </c>
      <c r="IE79" s="476">
        <v>0</v>
      </c>
      <c r="IF79" s="476">
        <v>0</v>
      </c>
      <c r="IG79" s="476">
        <v>2</v>
      </c>
      <c r="IH79" s="476">
        <v>0</v>
      </c>
      <c r="II79" s="476">
        <v>286.024</v>
      </c>
      <c r="IJ79" s="476">
        <v>47.192</v>
      </c>
      <c r="IK79" s="476">
        <v>0</v>
      </c>
      <c r="IL79" s="476">
        <v>0</v>
      </c>
      <c r="IM79" s="476">
        <v>0</v>
      </c>
      <c r="IN79" s="476">
        <v>1</v>
      </c>
      <c r="IO79" s="476">
        <v>1</v>
      </c>
      <c r="IP79" s="476">
        <v>286.024</v>
      </c>
      <c r="IQ79" s="476">
        <v>47.192</v>
      </c>
      <c r="IR79" s="476">
        <v>29070</v>
      </c>
      <c r="IS79" s="476">
        <v>0</v>
      </c>
      <c r="IT79" s="476">
        <v>0</v>
      </c>
      <c r="IU79" s="476">
        <v>0</v>
      </c>
      <c r="IV79" s="476">
        <v>2000</v>
      </c>
      <c r="IW79" s="476">
        <v>6160</v>
      </c>
      <c r="IX79" s="476">
        <v>0</v>
      </c>
      <c r="IY79" s="476">
        <v>0</v>
      </c>
      <c r="IZ79" s="476">
        <v>78657</v>
      </c>
      <c r="JA79" s="476">
        <v>0</v>
      </c>
      <c r="JB79" s="476">
        <v>0</v>
      </c>
      <c r="JC79" s="476">
        <v>0</v>
      </c>
      <c r="JD79" s="476">
        <v>0</v>
      </c>
      <c r="JE79" s="476">
        <v>0</v>
      </c>
      <c r="JF79" s="476">
        <v>0</v>
      </c>
      <c r="JG79" s="476">
        <v>0</v>
      </c>
      <c r="JH79" s="476">
        <v>0</v>
      </c>
      <c r="JI79" s="476">
        <v>0</v>
      </c>
      <c r="JJ79" s="476">
        <v>0</v>
      </c>
      <c r="JK79" s="476">
        <v>0</v>
      </c>
      <c r="JL79" s="476">
        <v>0</v>
      </c>
      <c r="JM79" s="476">
        <v>0</v>
      </c>
      <c r="JN79" s="476">
        <v>32469</v>
      </c>
      <c r="JO79" s="476">
        <v>18.013000000000002</v>
      </c>
      <c r="JP79" s="476">
        <v>0</v>
      </c>
      <c r="JQ79" s="476">
        <v>0</v>
      </c>
      <c r="JR79" s="476">
        <v>143891</v>
      </c>
      <c r="JS79" s="476">
        <v>0</v>
      </c>
      <c r="JT79" s="476">
        <v>0</v>
      </c>
      <c r="JU79" s="476">
        <v>0</v>
      </c>
      <c r="JV79" s="476">
        <v>0</v>
      </c>
      <c r="JW79" s="476">
        <v>0</v>
      </c>
      <c r="JX79" s="476">
        <v>0</v>
      </c>
      <c r="JY79" s="476">
        <v>0</v>
      </c>
      <c r="JZ79" s="476">
        <v>0</v>
      </c>
      <c r="KA79" s="476">
        <v>0</v>
      </c>
      <c r="KB79" s="476">
        <v>0</v>
      </c>
      <c r="KC79" s="476">
        <v>0</v>
      </c>
      <c r="KD79" s="476">
        <v>0</v>
      </c>
      <c r="KE79" s="476">
        <v>7262</v>
      </c>
      <c r="KF79" s="476">
        <v>0</v>
      </c>
      <c r="KG79" s="476">
        <v>0</v>
      </c>
      <c r="KH79" s="476">
        <v>3363100</v>
      </c>
      <c r="KI79" s="476">
        <v>0</v>
      </c>
      <c r="KJ79" s="476">
        <v>0</v>
      </c>
      <c r="KK79" s="476">
        <v>2</v>
      </c>
      <c r="KL79" s="476">
        <v>0</v>
      </c>
      <c r="KM79" s="476">
        <v>1232</v>
      </c>
      <c r="KN79" s="476">
        <v>0</v>
      </c>
    </row>
    <row r="80" spans="1:300" x14ac:dyDescent="0.25">
      <c r="A80" s="476">
        <v>40976</v>
      </c>
      <c r="B80" s="476">
        <v>71806</v>
      </c>
      <c r="C80" s="476">
        <v>9</v>
      </c>
      <c r="D80" s="476">
        <v>2024</v>
      </c>
      <c r="E80" s="476">
        <v>6160</v>
      </c>
      <c r="F80" s="476">
        <v>0</v>
      </c>
      <c r="G80" s="476">
        <v>4525.0950000000003</v>
      </c>
      <c r="H80" s="476">
        <v>4225.2889999999998</v>
      </c>
      <c r="I80" s="476">
        <v>4225.2889999999998</v>
      </c>
      <c r="J80" s="476">
        <v>4525.0950000000003</v>
      </c>
      <c r="K80" s="476">
        <v>0</v>
      </c>
      <c r="L80" s="476">
        <v>6160</v>
      </c>
      <c r="M80" s="476">
        <v>0</v>
      </c>
      <c r="N80" s="476">
        <v>0</v>
      </c>
      <c r="O80" s="476">
        <v>0</v>
      </c>
      <c r="P80" s="476">
        <v>4530.259</v>
      </c>
      <c r="Q80" s="476">
        <v>0</v>
      </c>
      <c r="R80" s="476">
        <v>1879532</v>
      </c>
      <c r="S80" s="476">
        <v>414.88400000000001</v>
      </c>
      <c r="T80" s="476">
        <v>0</v>
      </c>
      <c r="U80" s="476">
        <v>0</v>
      </c>
      <c r="V80" s="476">
        <v>1261.877</v>
      </c>
      <c r="W80" s="476">
        <v>777299</v>
      </c>
      <c r="X80" s="476">
        <v>777299</v>
      </c>
      <c r="Y80" s="476">
        <v>0</v>
      </c>
      <c r="Z80" s="476">
        <v>0</v>
      </c>
      <c r="AA80" s="476">
        <v>0</v>
      </c>
      <c r="AB80" s="476">
        <v>0</v>
      </c>
      <c r="AC80" s="476">
        <v>0</v>
      </c>
      <c r="AD80" s="476" t="s">
        <v>314</v>
      </c>
      <c r="AE80" s="476">
        <v>0</v>
      </c>
      <c r="AF80" s="476">
        <v>0</v>
      </c>
      <c r="AG80" s="476">
        <v>0</v>
      </c>
      <c r="AH80" s="476">
        <v>0</v>
      </c>
      <c r="AI80" s="476">
        <v>0</v>
      </c>
      <c r="AJ80" s="476">
        <v>6160</v>
      </c>
      <c r="AK80" s="476" t="s">
        <v>651</v>
      </c>
      <c r="AL80" s="476" t="s">
        <v>758</v>
      </c>
      <c r="AM80" s="476">
        <v>0</v>
      </c>
      <c r="AN80" s="476">
        <v>0</v>
      </c>
      <c r="AO80" s="476">
        <v>0</v>
      </c>
      <c r="AP80" s="476">
        <v>0</v>
      </c>
      <c r="AQ80" s="476">
        <v>0</v>
      </c>
      <c r="AR80" s="476">
        <v>0</v>
      </c>
      <c r="AS80" s="476">
        <v>0</v>
      </c>
      <c r="AT80" s="476">
        <v>0</v>
      </c>
      <c r="AU80" s="476">
        <v>0</v>
      </c>
      <c r="AV80" s="476">
        <v>0</v>
      </c>
      <c r="AW80" s="476">
        <v>48867344</v>
      </c>
      <c r="AX80" s="476">
        <v>48113620</v>
      </c>
      <c r="AY80" s="476">
        <v>0</v>
      </c>
      <c r="AZ80" s="476">
        <v>1879532</v>
      </c>
      <c r="BA80" s="476">
        <v>85.667000000000002</v>
      </c>
      <c r="BB80" s="476">
        <v>96332</v>
      </c>
      <c r="BC80" s="476">
        <v>95718</v>
      </c>
      <c r="BD80" s="476">
        <v>226</v>
      </c>
      <c r="BE80" s="476">
        <v>614</v>
      </c>
      <c r="BF80" s="476">
        <v>43435447</v>
      </c>
      <c r="BG80" s="476">
        <v>0</v>
      </c>
      <c r="BH80" s="476">
        <v>0</v>
      </c>
      <c r="BI80" s="476">
        <v>0</v>
      </c>
      <c r="BJ80" s="476">
        <v>12</v>
      </c>
      <c r="BK80" s="476">
        <v>0</v>
      </c>
      <c r="BL80" s="476">
        <v>0</v>
      </c>
      <c r="BM80" s="476">
        <v>0</v>
      </c>
      <c r="BN80" s="476">
        <v>0</v>
      </c>
      <c r="BO80" s="476">
        <v>0</v>
      </c>
      <c r="BP80" s="476">
        <v>0</v>
      </c>
      <c r="BQ80" s="476">
        <v>119</v>
      </c>
      <c r="BR80" s="476">
        <v>0</v>
      </c>
      <c r="BS80" s="476">
        <v>0</v>
      </c>
      <c r="BT80" s="476">
        <v>0</v>
      </c>
      <c r="BU80" s="476">
        <v>0</v>
      </c>
      <c r="BV80" s="476">
        <v>0</v>
      </c>
      <c r="BW80" s="476">
        <v>0</v>
      </c>
      <c r="BX80" s="476">
        <v>0</v>
      </c>
      <c r="BY80" s="476">
        <v>0</v>
      </c>
      <c r="BZ80" s="476">
        <v>0</v>
      </c>
      <c r="CA80" s="476">
        <v>0</v>
      </c>
      <c r="CB80" s="476">
        <v>0</v>
      </c>
      <c r="CC80" s="476">
        <v>0</v>
      </c>
      <c r="CD80" s="476">
        <v>0</v>
      </c>
      <c r="CE80" s="476">
        <v>0</v>
      </c>
      <c r="CF80" s="476">
        <v>0</v>
      </c>
      <c r="CG80" s="476">
        <v>0</v>
      </c>
      <c r="CH80" s="476">
        <v>763950</v>
      </c>
      <c r="CI80" s="476">
        <v>0</v>
      </c>
      <c r="CJ80" s="476">
        <v>4</v>
      </c>
      <c r="CK80" s="476">
        <v>0</v>
      </c>
      <c r="CL80" s="476">
        <v>0</v>
      </c>
      <c r="CM80" s="476">
        <v>0</v>
      </c>
      <c r="CN80" s="476">
        <v>0</v>
      </c>
      <c r="CO80" s="476">
        <v>1</v>
      </c>
      <c r="CP80" s="476">
        <v>0</v>
      </c>
      <c r="CQ80" s="476">
        <v>0</v>
      </c>
      <c r="CR80" s="476">
        <v>4525.0950000000003</v>
      </c>
      <c r="CS80" s="476">
        <v>0</v>
      </c>
      <c r="CT80" s="476">
        <v>0</v>
      </c>
      <c r="CU80" s="476">
        <v>0</v>
      </c>
      <c r="CV80" s="476">
        <v>0</v>
      </c>
      <c r="CW80" s="476">
        <v>0</v>
      </c>
      <c r="CX80" s="476">
        <v>0</v>
      </c>
      <c r="CY80" s="476">
        <v>0</v>
      </c>
      <c r="CZ80" s="476">
        <v>0</v>
      </c>
      <c r="DA80" s="476">
        <v>0</v>
      </c>
      <c r="DB80" s="476">
        <v>26027189</v>
      </c>
      <c r="DC80" s="476">
        <v>0</v>
      </c>
      <c r="DD80" s="476">
        <v>0</v>
      </c>
      <c r="DE80" s="476">
        <v>5679699</v>
      </c>
      <c r="DF80" s="476">
        <v>5679699</v>
      </c>
      <c r="DG80" s="476">
        <v>922.05000000000007</v>
      </c>
      <c r="DH80" s="476">
        <v>0</v>
      </c>
      <c r="DI80" s="476">
        <v>0</v>
      </c>
      <c r="DJ80" s="476">
        <v>0</v>
      </c>
      <c r="DK80" s="476">
        <v>0</v>
      </c>
      <c r="DL80" s="476">
        <v>0</v>
      </c>
      <c r="DM80" s="476">
        <v>2795664</v>
      </c>
      <c r="DN80" s="476">
        <v>9611</v>
      </c>
      <c r="DO80" s="476">
        <v>0</v>
      </c>
      <c r="DP80" s="476">
        <v>0</v>
      </c>
      <c r="DQ80" s="476">
        <v>0</v>
      </c>
      <c r="DR80" s="476">
        <v>0</v>
      </c>
      <c r="DS80" s="476">
        <v>0</v>
      </c>
      <c r="DT80" s="476">
        <v>0</v>
      </c>
      <c r="DU80" s="476">
        <v>0</v>
      </c>
      <c r="DV80" s="476">
        <v>0</v>
      </c>
      <c r="DW80" s="476">
        <v>0</v>
      </c>
      <c r="DX80" s="476">
        <v>0</v>
      </c>
      <c r="DY80" s="476">
        <v>0</v>
      </c>
      <c r="DZ80" s="476">
        <v>0</v>
      </c>
      <c r="EA80" s="476">
        <v>0</v>
      </c>
      <c r="EB80" s="476">
        <v>0</v>
      </c>
      <c r="EC80" s="476">
        <v>72.36</v>
      </c>
      <c r="ED80" s="476">
        <v>512587</v>
      </c>
      <c r="EE80" s="476">
        <v>0</v>
      </c>
      <c r="EF80" s="476">
        <v>0</v>
      </c>
      <c r="EG80" s="476">
        <v>0</v>
      </c>
      <c r="EH80" s="476">
        <v>2292688</v>
      </c>
      <c r="EI80" s="476">
        <v>0</v>
      </c>
      <c r="EJ80" s="476">
        <v>0</v>
      </c>
      <c r="EK80" s="476">
        <v>93.38</v>
      </c>
      <c r="EL80" s="476">
        <v>0</v>
      </c>
      <c r="EM80" s="476">
        <v>15.171000000000001</v>
      </c>
      <c r="EN80" s="476">
        <v>9.3090000000000011</v>
      </c>
      <c r="EO80" s="476">
        <v>0</v>
      </c>
      <c r="EP80" s="476">
        <v>0</v>
      </c>
      <c r="EQ80" s="476">
        <v>117.86</v>
      </c>
      <c r="ER80" s="476">
        <v>0</v>
      </c>
      <c r="ES80" s="476">
        <v>372.19800000000004</v>
      </c>
      <c r="ET80" s="476">
        <v>0</v>
      </c>
      <c r="EU80" s="476">
        <v>0</v>
      </c>
      <c r="EV80" s="476">
        <v>0</v>
      </c>
      <c r="EW80" s="476">
        <v>0</v>
      </c>
      <c r="EX80" s="476">
        <v>0</v>
      </c>
      <c r="EY80" s="476">
        <v>0</v>
      </c>
      <c r="EZ80" s="476">
        <v>41568684</v>
      </c>
      <c r="FA80" s="476">
        <v>0</v>
      </c>
      <c r="FB80" s="476">
        <v>43437990</v>
      </c>
      <c r="FC80" s="476">
        <v>0</v>
      </c>
      <c r="FD80" s="476">
        <v>0</v>
      </c>
      <c r="FE80" s="476">
        <v>5608308</v>
      </c>
      <c r="FF80" s="476">
        <v>936628</v>
      </c>
      <c r="FG80" s="476">
        <v>6.3017999999999991E-2</v>
      </c>
      <c r="FH80" s="476">
        <v>2.6953999999999999E-2</v>
      </c>
      <c r="FI80" s="476">
        <v>0</v>
      </c>
      <c r="FJ80" s="476">
        <v>0</v>
      </c>
      <c r="FK80" s="476">
        <v>7051.3690000000006</v>
      </c>
      <c r="FL80" s="476">
        <v>50746876</v>
      </c>
      <c r="FM80" s="476">
        <v>0</v>
      </c>
      <c r="FN80" s="476">
        <v>0</v>
      </c>
      <c r="FO80" s="476">
        <v>0</v>
      </c>
      <c r="FP80" s="476">
        <v>0</v>
      </c>
      <c r="FQ80" s="476">
        <v>0</v>
      </c>
      <c r="FR80" s="476">
        <v>0</v>
      </c>
      <c r="FS80" s="476">
        <v>0</v>
      </c>
      <c r="FT80" s="476">
        <v>0</v>
      </c>
      <c r="FU80" s="476">
        <v>0</v>
      </c>
      <c r="FV80" s="476">
        <v>0</v>
      </c>
      <c r="FW80" s="476">
        <v>0</v>
      </c>
      <c r="FX80" s="476">
        <v>0</v>
      </c>
      <c r="FY80" s="476">
        <v>0</v>
      </c>
      <c r="FZ80" s="476">
        <v>0</v>
      </c>
      <c r="GA80" s="476">
        <v>0</v>
      </c>
      <c r="GB80" s="476">
        <v>1763282</v>
      </c>
      <c r="GC80" s="476">
        <v>1763282</v>
      </c>
      <c r="GD80" s="476">
        <v>181.946</v>
      </c>
      <c r="GE80" s="476">
        <v>0</v>
      </c>
      <c r="GF80" s="476">
        <v>0</v>
      </c>
      <c r="GG80" s="476">
        <v>0</v>
      </c>
      <c r="GH80" s="476">
        <v>0</v>
      </c>
      <c r="GI80" s="476">
        <v>0</v>
      </c>
      <c r="GJ80" s="476">
        <v>0</v>
      </c>
      <c r="GK80" s="476">
        <v>0</v>
      </c>
      <c r="GL80" s="476">
        <v>0</v>
      </c>
      <c r="GM80" s="476">
        <v>0</v>
      </c>
      <c r="GN80" s="476">
        <v>0</v>
      </c>
      <c r="GO80" s="476">
        <v>0</v>
      </c>
      <c r="GP80" s="476">
        <v>0</v>
      </c>
      <c r="GQ80" s="476">
        <v>48103394</v>
      </c>
      <c r="GR80" s="476">
        <v>0</v>
      </c>
      <c r="GS80" s="476">
        <v>0</v>
      </c>
      <c r="GT80" s="476">
        <v>0</v>
      </c>
      <c r="GU80" s="476">
        <v>0</v>
      </c>
      <c r="GV80" s="476">
        <v>0</v>
      </c>
      <c r="GW80" s="476">
        <v>0</v>
      </c>
      <c r="GX80" s="476">
        <v>0</v>
      </c>
      <c r="GY80" s="476">
        <v>0</v>
      </c>
      <c r="GZ80" s="476">
        <v>0</v>
      </c>
      <c r="HA80" s="476">
        <v>0</v>
      </c>
      <c r="HB80" s="476">
        <v>323396213</v>
      </c>
      <c r="HC80" s="476">
        <v>4.2206E-2</v>
      </c>
      <c r="HD80" s="476">
        <v>763950</v>
      </c>
      <c r="HE80" s="476">
        <v>0</v>
      </c>
      <c r="HF80" s="476">
        <v>4656268</v>
      </c>
      <c r="HG80" s="476">
        <v>48663</v>
      </c>
      <c r="HH80" s="476">
        <v>986654</v>
      </c>
      <c r="HI80" s="476">
        <v>0</v>
      </c>
      <c r="HJ80" s="476">
        <v>45251</v>
      </c>
      <c r="HK80" s="476">
        <v>9056</v>
      </c>
      <c r="HL80" s="476">
        <v>3713</v>
      </c>
      <c r="HM80" s="476">
        <v>253000</v>
      </c>
      <c r="HN80" s="476">
        <v>296535</v>
      </c>
      <c r="HO80" s="476">
        <v>0</v>
      </c>
      <c r="HP80" s="476">
        <v>0</v>
      </c>
      <c r="HQ80" s="476">
        <v>0</v>
      </c>
      <c r="HR80" s="476">
        <v>0</v>
      </c>
      <c r="HS80" s="476">
        <v>41558458</v>
      </c>
      <c r="HT80" s="476">
        <v>936628</v>
      </c>
      <c r="HU80" s="476">
        <v>0</v>
      </c>
      <c r="HV80" s="476">
        <v>0</v>
      </c>
      <c r="HW80" s="476">
        <v>0</v>
      </c>
      <c r="HX80" s="476">
        <v>566</v>
      </c>
      <c r="HY80" s="476">
        <v>893</v>
      </c>
      <c r="HZ80" s="476">
        <v>945</v>
      </c>
      <c r="IA80" s="476">
        <v>693</v>
      </c>
      <c r="IB80" s="476">
        <v>598</v>
      </c>
      <c r="IC80" s="476">
        <v>3695</v>
      </c>
      <c r="ID80" s="476">
        <v>0</v>
      </c>
      <c r="IE80" s="476">
        <v>0</v>
      </c>
      <c r="IF80" s="476">
        <v>0</v>
      </c>
      <c r="IG80" s="476">
        <v>79</v>
      </c>
      <c r="IH80" s="476">
        <v>1601.7470000000001</v>
      </c>
      <c r="II80" s="476">
        <v>0</v>
      </c>
      <c r="IJ80" s="476">
        <v>1261.877</v>
      </c>
      <c r="IK80" s="476">
        <v>0</v>
      </c>
      <c r="IL80" s="476">
        <v>38</v>
      </c>
      <c r="IM80" s="476">
        <v>19</v>
      </c>
      <c r="IN80" s="476">
        <v>3</v>
      </c>
      <c r="IO80" s="476">
        <v>60</v>
      </c>
      <c r="IP80" s="476">
        <v>0</v>
      </c>
      <c r="IQ80" s="476">
        <v>1261.877</v>
      </c>
      <c r="IR80" s="476">
        <v>777299</v>
      </c>
      <c r="IS80" s="476">
        <v>0</v>
      </c>
      <c r="IT80" s="476">
        <v>190000</v>
      </c>
      <c r="IU80" s="476">
        <v>57000</v>
      </c>
      <c r="IV80" s="476">
        <v>6000</v>
      </c>
      <c r="IW80" s="476">
        <v>6160</v>
      </c>
      <c r="IX80" s="476">
        <v>0</v>
      </c>
      <c r="IY80" s="476">
        <v>0</v>
      </c>
      <c r="IZ80" s="476">
        <v>0</v>
      </c>
      <c r="JA80" s="476">
        <v>0</v>
      </c>
      <c r="JB80" s="476">
        <v>1</v>
      </c>
      <c r="JC80" s="476">
        <v>23826</v>
      </c>
      <c r="JD80" s="476">
        <v>10</v>
      </c>
      <c r="JE80" s="476">
        <v>117737</v>
      </c>
      <c r="JF80" s="476">
        <v>29</v>
      </c>
      <c r="JG80" s="476">
        <v>154972</v>
      </c>
      <c r="JH80" s="476">
        <v>0</v>
      </c>
      <c r="JI80" s="476">
        <v>0</v>
      </c>
      <c r="JJ80" s="476">
        <v>0</v>
      </c>
      <c r="JK80" s="476">
        <v>0</v>
      </c>
      <c r="JL80" s="476">
        <v>0</v>
      </c>
      <c r="JM80" s="476">
        <v>0</v>
      </c>
      <c r="JN80" s="476">
        <v>32469</v>
      </c>
      <c r="JO80" s="476">
        <v>26.162000000000003</v>
      </c>
      <c r="JP80" s="476">
        <v>78.796000000000006</v>
      </c>
      <c r="JQ80" s="476">
        <v>76.988</v>
      </c>
      <c r="JR80" s="476">
        <v>208987</v>
      </c>
      <c r="JS80" s="476">
        <v>732437</v>
      </c>
      <c r="JT80" s="476">
        <v>821858</v>
      </c>
      <c r="JU80" s="476">
        <v>97449</v>
      </c>
      <c r="JV80" s="476">
        <v>0</v>
      </c>
      <c r="JW80" s="476">
        <v>0</v>
      </c>
      <c r="JX80" s="476">
        <v>0</v>
      </c>
      <c r="JY80" s="476">
        <v>0</v>
      </c>
      <c r="JZ80" s="476">
        <v>0</v>
      </c>
      <c r="KA80" s="476">
        <v>0</v>
      </c>
      <c r="KB80" s="476">
        <v>0</v>
      </c>
      <c r="KC80" s="476">
        <v>0</v>
      </c>
      <c r="KD80" s="476">
        <v>97449</v>
      </c>
      <c r="KE80" s="476">
        <v>7262</v>
      </c>
      <c r="KF80" s="476">
        <v>0</v>
      </c>
      <c r="KG80" s="476">
        <v>0</v>
      </c>
      <c r="KH80" s="476">
        <v>48103394</v>
      </c>
      <c r="KI80" s="476">
        <v>0</v>
      </c>
      <c r="KJ80" s="476">
        <v>38</v>
      </c>
      <c r="KK80" s="476">
        <v>41</v>
      </c>
      <c r="KL80" s="476">
        <v>23407</v>
      </c>
      <c r="KM80" s="476">
        <v>25255</v>
      </c>
      <c r="KN80" s="476">
        <v>0</v>
      </c>
    </row>
    <row r="81" spans="1:300" x14ac:dyDescent="0.25">
      <c r="A81" s="476">
        <v>40976</v>
      </c>
      <c r="B81" s="476">
        <v>71807</v>
      </c>
      <c r="C81" s="476">
        <v>9</v>
      </c>
      <c r="D81" s="476">
        <v>2024</v>
      </c>
      <c r="E81" s="476">
        <v>6160</v>
      </c>
      <c r="F81" s="476">
        <v>0</v>
      </c>
      <c r="G81" s="476">
        <v>160.227</v>
      </c>
      <c r="H81" s="476">
        <v>157.393</v>
      </c>
      <c r="I81" s="476">
        <v>157.393</v>
      </c>
      <c r="J81" s="476">
        <v>160.227</v>
      </c>
      <c r="K81" s="476">
        <v>0</v>
      </c>
      <c r="L81" s="476">
        <v>6160</v>
      </c>
      <c r="M81" s="476">
        <v>0</v>
      </c>
      <c r="N81" s="476">
        <v>0</v>
      </c>
      <c r="O81" s="476">
        <v>0</v>
      </c>
      <c r="P81" s="476">
        <v>160.227</v>
      </c>
      <c r="Q81" s="476">
        <v>0</v>
      </c>
      <c r="R81" s="476">
        <v>66476</v>
      </c>
      <c r="S81" s="476">
        <v>414.88400000000001</v>
      </c>
      <c r="T81" s="476">
        <v>0</v>
      </c>
      <c r="U81" s="476">
        <v>0</v>
      </c>
      <c r="V81" s="476">
        <v>132.06800000000001</v>
      </c>
      <c r="W81" s="476">
        <v>86487</v>
      </c>
      <c r="X81" s="476">
        <v>86487</v>
      </c>
      <c r="Y81" s="476">
        <v>0</v>
      </c>
      <c r="Z81" s="476">
        <v>0</v>
      </c>
      <c r="AA81" s="476">
        <v>0</v>
      </c>
      <c r="AB81" s="476">
        <v>0</v>
      </c>
      <c r="AC81" s="476">
        <v>0</v>
      </c>
      <c r="AD81" s="476" t="s">
        <v>314</v>
      </c>
      <c r="AE81" s="476">
        <v>0</v>
      </c>
      <c r="AF81" s="476">
        <v>0</v>
      </c>
      <c r="AG81" s="476">
        <v>0</v>
      </c>
      <c r="AH81" s="476">
        <v>0</v>
      </c>
      <c r="AI81" s="476">
        <v>0</v>
      </c>
      <c r="AJ81" s="476">
        <v>6160</v>
      </c>
      <c r="AK81" s="476" t="s">
        <v>651</v>
      </c>
      <c r="AL81" s="476" t="s">
        <v>63</v>
      </c>
      <c r="AM81" s="476">
        <v>0</v>
      </c>
      <c r="AN81" s="476">
        <v>0</v>
      </c>
      <c r="AO81" s="476">
        <v>0</v>
      </c>
      <c r="AP81" s="476">
        <v>0</v>
      </c>
      <c r="AQ81" s="476">
        <v>0</v>
      </c>
      <c r="AR81" s="476">
        <v>0</v>
      </c>
      <c r="AS81" s="476">
        <v>0</v>
      </c>
      <c r="AT81" s="476">
        <v>0</v>
      </c>
      <c r="AU81" s="476">
        <v>0</v>
      </c>
      <c r="AV81" s="476">
        <v>0</v>
      </c>
      <c r="AW81" s="476">
        <v>1856740</v>
      </c>
      <c r="AX81" s="476">
        <v>1829881</v>
      </c>
      <c r="AY81" s="476">
        <v>0</v>
      </c>
      <c r="AZ81" s="476">
        <v>66476</v>
      </c>
      <c r="BA81" s="476">
        <v>0</v>
      </c>
      <c r="BB81" s="476">
        <v>0</v>
      </c>
      <c r="BC81" s="476">
        <v>0</v>
      </c>
      <c r="BD81" s="476">
        <v>0</v>
      </c>
      <c r="BE81" s="476">
        <v>0</v>
      </c>
      <c r="BF81" s="476">
        <v>1648029</v>
      </c>
      <c r="BG81" s="476">
        <v>0</v>
      </c>
      <c r="BH81" s="476">
        <v>0</v>
      </c>
      <c r="BI81" s="476">
        <v>0</v>
      </c>
      <c r="BJ81" s="476">
        <v>12</v>
      </c>
      <c r="BK81" s="476">
        <v>0</v>
      </c>
      <c r="BL81" s="476">
        <v>0</v>
      </c>
      <c r="BM81" s="476">
        <v>0</v>
      </c>
      <c r="BN81" s="476">
        <v>0</v>
      </c>
      <c r="BO81" s="476">
        <v>0</v>
      </c>
      <c r="BP81" s="476">
        <v>0</v>
      </c>
      <c r="BQ81" s="476">
        <v>746</v>
      </c>
      <c r="BR81" s="476">
        <v>0</v>
      </c>
      <c r="BS81" s="476">
        <v>0</v>
      </c>
      <c r="BT81" s="476">
        <v>0</v>
      </c>
      <c r="BU81" s="476">
        <v>0</v>
      </c>
      <c r="BV81" s="476">
        <v>0</v>
      </c>
      <c r="BW81" s="476">
        <v>0</v>
      </c>
      <c r="BX81" s="476">
        <v>0</v>
      </c>
      <c r="BY81" s="476">
        <v>0</v>
      </c>
      <c r="BZ81" s="476">
        <v>0</v>
      </c>
      <c r="CA81" s="476">
        <v>0</v>
      </c>
      <c r="CB81" s="476">
        <v>0</v>
      </c>
      <c r="CC81" s="476">
        <v>0</v>
      </c>
      <c r="CD81" s="476">
        <v>0</v>
      </c>
      <c r="CE81" s="476">
        <v>0</v>
      </c>
      <c r="CF81" s="476">
        <v>0</v>
      </c>
      <c r="CG81" s="476">
        <v>0</v>
      </c>
      <c r="CH81" s="476">
        <v>27050</v>
      </c>
      <c r="CI81" s="476">
        <v>0</v>
      </c>
      <c r="CJ81" s="476">
        <v>4</v>
      </c>
      <c r="CK81" s="476">
        <v>0</v>
      </c>
      <c r="CL81" s="476">
        <v>0</v>
      </c>
      <c r="CM81" s="476">
        <v>0</v>
      </c>
      <c r="CN81" s="476">
        <v>0</v>
      </c>
      <c r="CO81" s="476">
        <v>1</v>
      </c>
      <c r="CP81" s="476">
        <v>0</v>
      </c>
      <c r="CQ81" s="476">
        <v>0</v>
      </c>
      <c r="CR81" s="476">
        <v>160.227</v>
      </c>
      <c r="CS81" s="476">
        <v>0</v>
      </c>
      <c r="CT81" s="476">
        <v>0</v>
      </c>
      <c r="CU81" s="476">
        <v>0</v>
      </c>
      <c r="CV81" s="476">
        <v>0</v>
      </c>
      <c r="CW81" s="476">
        <v>0</v>
      </c>
      <c r="CX81" s="476">
        <v>0</v>
      </c>
      <c r="CY81" s="476">
        <v>0</v>
      </c>
      <c r="CZ81" s="476">
        <v>0</v>
      </c>
      <c r="DA81" s="476">
        <v>0</v>
      </c>
      <c r="DB81" s="476">
        <v>969519</v>
      </c>
      <c r="DC81" s="476">
        <v>0</v>
      </c>
      <c r="DD81" s="476">
        <v>0</v>
      </c>
      <c r="DE81" s="476">
        <v>305144</v>
      </c>
      <c r="DF81" s="476">
        <v>305144</v>
      </c>
      <c r="DG81" s="476">
        <v>49.538000000000004</v>
      </c>
      <c r="DH81" s="476">
        <v>0</v>
      </c>
      <c r="DI81" s="476">
        <v>0</v>
      </c>
      <c r="DJ81" s="476">
        <v>0</v>
      </c>
      <c r="DK81" s="476">
        <v>3555</v>
      </c>
      <c r="DL81" s="476">
        <v>0</v>
      </c>
      <c r="DM81" s="476">
        <v>55679</v>
      </c>
      <c r="DN81" s="476">
        <v>191</v>
      </c>
      <c r="DO81" s="476">
        <v>0</v>
      </c>
      <c r="DP81" s="476">
        <v>0</v>
      </c>
      <c r="DQ81" s="476">
        <v>0</v>
      </c>
      <c r="DR81" s="476">
        <v>0</v>
      </c>
      <c r="DS81" s="476">
        <v>0</v>
      </c>
      <c r="DT81" s="476">
        <v>0</v>
      </c>
      <c r="DU81" s="476">
        <v>0</v>
      </c>
      <c r="DV81" s="476">
        <v>0</v>
      </c>
      <c r="DW81" s="476">
        <v>0</v>
      </c>
      <c r="DX81" s="476">
        <v>0</v>
      </c>
      <c r="DY81" s="476">
        <v>0</v>
      </c>
      <c r="DZ81" s="476">
        <v>0</v>
      </c>
      <c r="EA81" s="476">
        <v>0</v>
      </c>
      <c r="EB81" s="476">
        <v>0</v>
      </c>
      <c r="EC81" s="476">
        <v>0</v>
      </c>
      <c r="ED81" s="476">
        <v>0</v>
      </c>
      <c r="EE81" s="476">
        <v>0</v>
      </c>
      <c r="EF81" s="476">
        <v>0</v>
      </c>
      <c r="EG81" s="476">
        <v>0</v>
      </c>
      <c r="EH81" s="476">
        <v>55870</v>
      </c>
      <c r="EI81" s="476">
        <v>0</v>
      </c>
      <c r="EJ81" s="476">
        <v>0</v>
      </c>
      <c r="EK81" s="476">
        <v>2.5500000000000003</v>
      </c>
      <c r="EL81" s="476">
        <v>0</v>
      </c>
      <c r="EM81" s="476">
        <v>0</v>
      </c>
      <c r="EN81" s="476">
        <v>0.28400000000000003</v>
      </c>
      <c r="EO81" s="476">
        <v>0</v>
      </c>
      <c r="EP81" s="476">
        <v>0</v>
      </c>
      <c r="EQ81" s="476">
        <v>2.8340000000000001</v>
      </c>
      <c r="ER81" s="476">
        <v>0</v>
      </c>
      <c r="ES81" s="476">
        <v>9.07</v>
      </c>
      <c r="ET81" s="476">
        <v>0</v>
      </c>
      <c r="EU81" s="476">
        <v>0</v>
      </c>
      <c r="EV81" s="476">
        <v>0</v>
      </c>
      <c r="EW81" s="476">
        <v>0</v>
      </c>
      <c r="EX81" s="476">
        <v>0</v>
      </c>
      <c r="EY81" s="476">
        <v>0</v>
      </c>
      <c r="EZ81" s="476">
        <v>1581553</v>
      </c>
      <c r="FA81" s="476">
        <v>0</v>
      </c>
      <c r="FB81" s="476">
        <v>1647838</v>
      </c>
      <c r="FC81" s="476">
        <v>0</v>
      </c>
      <c r="FD81" s="476">
        <v>0</v>
      </c>
      <c r="FE81" s="476">
        <v>212790</v>
      </c>
      <c r="FF81" s="476">
        <v>35538</v>
      </c>
      <c r="FG81" s="476">
        <v>6.3017999999999991E-2</v>
      </c>
      <c r="FH81" s="476">
        <v>2.6953999999999999E-2</v>
      </c>
      <c r="FI81" s="476">
        <v>0</v>
      </c>
      <c r="FJ81" s="476">
        <v>0</v>
      </c>
      <c r="FK81" s="476">
        <v>267.54300000000001</v>
      </c>
      <c r="FL81" s="476">
        <v>1923216</v>
      </c>
      <c r="FM81" s="476">
        <v>0</v>
      </c>
      <c r="FN81" s="476">
        <v>0</v>
      </c>
      <c r="FO81" s="476">
        <v>0</v>
      </c>
      <c r="FP81" s="476">
        <v>0</v>
      </c>
      <c r="FQ81" s="476">
        <v>0</v>
      </c>
      <c r="FR81" s="476">
        <v>0</v>
      </c>
      <c r="FS81" s="476">
        <v>0</v>
      </c>
      <c r="FT81" s="476">
        <v>0</v>
      </c>
      <c r="FU81" s="476">
        <v>0</v>
      </c>
      <c r="FV81" s="476">
        <v>0</v>
      </c>
      <c r="FW81" s="476">
        <v>0</v>
      </c>
      <c r="FX81" s="476">
        <v>0</v>
      </c>
      <c r="FY81" s="476">
        <v>0</v>
      </c>
      <c r="FZ81" s="476">
        <v>0</v>
      </c>
      <c r="GA81" s="476">
        <v>0</v>
      </c>
      <c r="GB81" s="476">
        <v>0</v>
      </c>
      <c r="GC81" s="476">
        <v>0</v>
      </c>
      <c r="GD81" s="476">
        <v>0</v>
      </c>
      <c r="GE81" s="476">
        <v>0</v>
      </c>
      <c r="GF81" s="476">
        <v>0</v>
      </c>
      <c r="GG81" s="476">
        <v>0</v>
      </c>
      <c r="GH81" s="476">
        <v>0</v>
      </c>
      <c r="GI81" s="476">
        <v>0</v>
      </c>
      <c r="GJ81" s="476">
        <v>0</v>
      </c>
      <c r="GK81" s="476">
        <v>0</v>
      </c>
      <c r="GL81" s="476">
        <v>0</v>
      </c>
      <c r="GM81" s="476">
        <v>0</v>
      </c>
      <c r="GN81" s="476">
        <v>0</v>
      </c>
      <c r="GO81" s="476">
        <v>0</v>
      </c>
      <c r="GP81" s="476">
        <v>0</v>
      </c>
      <c r="GQ81" s="476">
        <v>1829690</v>
      </c>
      <c r="GR81" s="476">
        <v>0</v>
      </c>
      <c r="GS81" s="476">
        <v>0</v>
      </c>
      <c r="GT81" s="476">
        <v>0</v>
      </c>
      <c r="GU81" s="476">
        <v>0</v>
      </c>
      <c r="GV81" s="476">
        <v>0</v>
      </c>
      <c r="GW81" s="476">
        <v>0</v>
      </c>
      <c r="GX81" s="476">
        <v>0</v>
      </c>
      <c r="GY81" s="476">
        <v>0</v>
      </c>
      <c r="GZ81" s="476">
        <v>0</v>
      </c>
      <c r="HA81" s="476">
        <v>0</v>
      </c>
      <c r="HB81" s="476">
        <v>323396213</v>
      </c>
      <c r="HC81" s="476">
        <v>4.2206E-2</v>
      </c>
      <c r="HD81" s="476">
        <v>27050</v>
      </c>
      <c r="HE81" s="476">
        <v>0</v>
      </c>
      <c r="HF81" s="476">
        <v>173447</v>
      </c>
      <c r="HG81" s="476">
        <v>0</v>
      </c>
      <c r="HH81" s="476">
        <v>55960</v>
      </c>
      <c r="HI81" s="476">
        <v>0</v>
      </c>
      <c r="HJ81" s="476">
        <v>1602</v>
      </c>
      <c r="HK81" s="476">
        <v>0</v>
      </c>
      <c r="HL81" s="476">
        <v>0</v>
      </c>
      <c r="HM81" s="476">
        <v>0</v>
      </c>
      <c r="HN81" s="476">
        <v>0</v>
      </c>
      <c r="HO81" s="476">
        <v>0</v>
      </c>
      <c r="HP81" s="476">
        <v>0</v>
      </c>
      <c r="HQ81" s="476">
        <v>0</v>
      </c>
      <c r="HR81" s="476">
        <v>0</v>
      </c>
      <c r="HS81" s="476">
        <v>1581362</v>
      </c>
      <c r="HT81" s="476">
        <v>35538</v>
      </c>
      <c r="HU81" s="476">
        <v>0</v>
      </c>
      <c r="HV81" s="476">
        <v>0</v>
      </c>
      <c r="HW81" s="476">
        <v>0</v>
      </c>
      <c r="HX81" s="476">
        <v>2</v>
      </c>
      <c r="HY81" s="476">
        <v>10</v>
      </c>
      <c r="HZ81" s="476">
        <v>17</v>
      </c>
      <c r="IA81" s="476">
        <v>13</v>
      </c>
      <c r="IB81" s="476">
        <v>142</v>
      </c>
      <c r="IC81" s="476">
        <v>184</v>
      </c>
      <c r="ID81" s="476">
        <v>0</v>
      </c>
      <c r="IE81" s="476">
        <v>5.5579999999999998</v>
      </c>
      <c r="IF81" s="476">
        <v>0</v>
      </c>
      <c r="IG81" s="476">
        <v>0</v>
      </c>
      <c r="IH81" s="476">
        <v>90.847000000000008</v>
      </c>
      <c r="II81" s="476">
        <v>0</v>
      </c>
      <c r="IJ81" s="476">
        <v>137.626</v>
      </c>
      <c r="IK81" s="476">
        <v>0</v>
      </c>
      <c r="IL81" s="476">
        <v>0</v>
      </c>
      <c r="IM81" s="476">
        <v>0</v>
      </c>
      <c r="IN81" s="476">
        <v>0</v>
      </c>
      <c r="IO81" s="476">
        <v>0</v>
      </c>
      <c r="IP81" s="476">
        <v>0</v>
      </c>
      <c r="IQ81" s="476">
        <v>132.06800000000001</v>
      </c>
      <c r="IR81" s="476">
        <v>81352</v>
      </c>
      <c r="IS81" s="476">
        <v>0</v>
      </c>
      <c r="IT81" s="476">
        <v>0</v>
      </c>
      <c r="IU81" s="476">
        <v>0</v>
      </c>
      <c r="IV81" s="476">
        <v>0</v>
      </c>
      <c r="IW81" s="476">
        <v>6160</v>
      </c>
      <c r="IX81" s="476">
        <v>5135</v>
      </c>
      <c r="IY81" s="476">
        <v>0</v>
      </c>
      <c r="IZ81" s="476">
        <v>0</v>
      </c>
      <c r="JA81" s="476">
        <v>0</v>
      </c>
      <c r="JB81" s="476">
        <v>0</v>
      </c>
      <c r="JC81" s="476">
        <v>0</v>
      </c>
      <c r="JD81" s="476">
        <v>0</v>
      </c>
      <c r="JE81" s="476">
        <v>0</v>
      </c>
      <c r="JF81" s="476">
        <v>0</v>
      </c>
      <c r="JG81" s="476">
        <v>0</v>
      </c>
      <c r="JH81" s="476">
        <v>0</v>
      </c>
      <c r="JI81" s="476">
        <v>0</v>
      </c>
      <c r="JJ81" s="476">
        <v>0</v>
      </c>
      <c r="JK81" s="476">
        <v>0</v>
      </c>
      <c r="JL81" s="476">
        <v>0</v>
      </c>
      <c r="JM81" s="476">
        <v>0</v>
      </c>
      <c r="JN81" s="476">
        <v>32469</v>
      </c>
      <c r="JO81" s="476">
        <v>0</v>
      </c>
      <c r="JP81" s="476">
        <v>0</v>
      </c>
      <c r="JQ81" s="476">
        <v>0</v>
      </c>
      <c r="JR81" s="476">
        <v>0</v>
      </c>
      <c r="JS81" s="476">
        <v>0</v>
      </c>
      <c r="JT81" s="476">
        <v>0</v>
      </c>
      <c r="JU81" s="476">
        <v>0</v>
      </c>
      <c r="JV81" s="476">
        <v>0</v>
      </c>
      <c r="JW81" s="476">
        <v>0</v>
      </c>
      <c r="JX81" s="476">
        <v>0</v>
      </c>
      <c r="JY81" s="476">
        <v>0</v>
      </c>
      <c r="JZ81" s="476">
        <v>0</v>
      </c>
      <c r="KA81" s="476">
        <v>0</v>
      </c>
      <c r="KB81" s="476">
        <v>0</v>
      </c>
      <c r="KC81" s="476">
        <v>0</v>
      </c>
      <c r="KD81" s="476">
        <v>0</v>
      </c>
      <c r="KE81" s="476">
        <v>7262</v>
      </c>
      <c r="KF81" s="476">
        <v>0</v>
      </c>
      <c r="KG81" s="476">
        <v>0</v>
      </c>
      <c r="KH81" s="476">
        <v>1829690</v>
      </c>
      <c r="KI81" s="476">
        <v>0</v>
      </c>
      <c r="KJ81" s="476">
        <v>0</v>
      </c>
      <c r="KK81" s="476">
        <v>0</v>
      </c>
      <c r="KL81" s="476">
        <v>0</v>
      </c>
      <c r="KM81" s="476">
        <v>0</v>
      </c>
      <c r="KN81" s="476">
        <v>0</v>
      </c>
    </row>
    <row r="82" spans="1:300" x14ac:dyDescent="0.25">
      <c r="A82" s="476">
        <v>40976</v>
      </c>
      <c r="B82" s="476">
        <v>71809</v>
      </c>
      <c r="C82" s="476">
        <v>9</v>
      </c>
      <c r="D82" s="476">
        <v>2024</v>
      </c>
      <c r="E82" s="476">
        <v>6160</v>
      </c>
      <c r="F82" s="476">
        <v>0</v>
      </c>
      <c r="G82" s="476">
        <v>260.03800000000001</v>
      </c>
      <c r="H82" s="476">
        <v>259.08800000000002</v>
      </c>
      <c r="I82" s="476">
        <v>259.08800000000002</v>
      </c>
      <c r="J82" s="476">
        <v>260.03800000000001</v>
      </c>
      <c r="K82" s="476">
        <v>0</v>
      </c>
      <c r="L82" s="476">
        <v>6160</v>
      </c>
      <c r="M82" s="476">
        <v>0</v>
      </c>
      <c r="N82" s="476">
        <v>0</v>
      </c>
      <c r="O82" s="476">
        <v>0</v>
      </c>
      <c r="P82" s="476">
        <v>260.28700000000003</v>
      </c>
      <c r="Q82" s="476">
        <v>0</v>
      </c>
      <c r="R82" s="476">
        <v>107989</v>
      </c>
      <c r="S82" s="476">
        <v>414.88400000000001</v>
      </c>
      <c r="T82" s="476">
        <v>0</v>
      </c>
      <c r="U82" s="476">
        <v>0</v>
      </c>
      <c r="V82" s="476">
        <v>98.872</v>
      </c>
      <c r="W82" s="476">
        <v>61823</v>
      </c>
      <c r="X82" s="476">
        <v>61823</v>
      </c>
      <c r="Y82" s="476">
        <v>0</v>
      </c>
      <c r="Z82" s="476">
        <v>0</v>
      </c>
      <c r="AA82" s="476">
        <v>0</v>
      </c>
      <c r="AB82" s="476">
        <v>0</v>
      </c>
      <c r="AC82" s="476">
        <v>0</v>
      </c>
      <c r="AD82" s="476" t="s">
        <v>314</v>
      </c>
      <c r="AE82" s="476">
        <v>0</v>
      </c>
      <c r="AF82" s="476">
        <v>0</v>
      </c>
      <c r="AG82" s="476">
        <v>0</v>
      </c>
      <c r="AH82" s="476">
        <v>0</v>
      </c>
      <c r="AI82" s="476">
        <v>0</v>
      </c>
      <c r="AJ82" s="476">
        <v>6160</v>
      </c>
      <c r="AK82" s="476" t="s">
        <v>651</v>
      </c>
      <c r="AL82" s="476" t="s">
        <v>338</v>
      </c>
      <c r="AM82" s="476">
        <v>0</v>
      </c>
      <c r="AN82" s="476">
        <v>0</v>
      </c>
      <c r="AO82" s="476">
        <v>0</v>
      </c>
      <c r="AP82" s="476">
        <v>0</v>
      </c>
      <c r="AQ82" s="476">
        <v>0</v>
      </c>
      <c r="AR82" s="476">
        <v>0</v>
      </c>
      <c r="AS82" s="476">
        <v>0</v>
      </c>
      <c r="AT82" s="476">
        <v>0</v>
      </c>
      <c r="AU82" s="476">
        <v>0</v>
      </c>
      <c r="AV82" s="476">
        <v>0</v>
      </c>
      <c r="AW82" s="476">
        <v>2643877</v>
      </c>
      <c r="AX82" s="476">
        <v>2600187</v>
      </c>
      <c r="AY82" s="476">
        <v>0</v>
      </c>
      <c r="AZ82" s="476">
        <v>107989</v>
      </c>
      <c r="BA82" s="476">
        <v>10.5</v>
      </c>
      <c r="BB82" s="476">
        <v>0</v>
      </c>
      <c r="BC82" s="476">
        <v>0</v>
      </c>
      <c r="BD82" s="476">
        <v>0</v>
      </c>
      <c r="BE82" s="476">
        <v>0</v>
      </c>
      <c r="BF82" s="476">
        <v>2353540</v>
      </c>
      <c r="BG82" s="476">
        <v>0</v>
      </c>
      <c r="BH82" s="476">
        <v>0</v>
      </c>
      <c r="BI82" s="476">
        <v>0</v>
      </c>
      <c r="BJ82" s="476">
        <v>12</v>
      </c>
      <c r="BK82" s="476">
        <v>0</v>
      </c>
      <c r="BL82" s="476">
        <v>0</v>
      </c>
      <c r="BM82" s="476">
        <v>0</v>
      </c>
      <c r="BN82" s="476">
        <v>0</v>
      </c>
      <c r="BO82" s="476">
        <v>0</v>
      </c>
      <c r="BP82" s="476">
        <v>0</v>
      </c>
      <c r="BQ82" s="476">
        <v>730</v>
      </c>
      <c r="BR82" s="476">
        <v>0</v>
      </c>
      <c r="BS82" s="476">
        <v>0</v>
      </c>
      <c r="BT82" s="476">
        <v>0</v>
      </c>
      <c r="BU82" s="476">
        <v>0</v>
      </c>
      <c r="BV82" s="476">
        <v>0</v>
      </c>
      <c r="BW82" s="476">
        <v>0</v>
      </c>
      <c r="BX82" s="476">
        <v>0</v>
      </c>
      <c r="BY82" s="476">
        <v>0</v>
      </c>
      <c r="BZ82" s="476">
        <v>0</v>
      </c>
      <c r="CA82" s="476">
        <v>0</v>
      </c>
      <c r="CB82" s="476">
        <v>0</v>
      </c>
      <c r="CC82" s="476">
        <v>0</v>
      </c>
      <c r="CD82" s="476">
        <v>0</v>
      </c>
      <c r="CE82" s="476">
        <v>0</v>
      </c>
      <c r="CF82" s="476">
        <v>0</v>
      </c>
      <c r="CG82" s="476">
        <v>0</v>
      </c>
      <c r="CH82" s="476">
        <v>43901</v>
      </c>
      <c r="CI82" s="476">
        <v>0</v>
      </c>
      <c r="CJ82" s="476">
        <v>4</v>
      </c>
      <c r="CK82" s="476">
        <v>0</v>
      </c>
      <c r="CL82" s="476">
        <v>0</v>
      </c>
      <c r="CM82" s="476">
        <v>0</v>
      </c>
      <c r="CN82" s="476">
        <v>0</v>
      </c>
      <c r="CO82" s="476">
        <v>1</v>
      </c>
      <c r="CP82" s="476">
        <v>0</v>
      </c>
      <c r="CQ82" s="476">
        <v>0</v>
      </c>
      <c r="CR82" s="476">
        <v>260.03800000000001</v>
      </c>
      <c r="CS82" s="476">
        <v>0</v>
      </c>
      <c r="CT82" s="476">
        <v>0</v>
      </c>
      <c r="CU82" s="476">
        <v>0</v>
      </c>
      <c r="CV82" s="476">
        <v>0</v>
      </c>
      <c r="CW82" s="476">
        <v>0</v>
      </c>
      <c r="CX82" s="476">
        <v>0</v>
      </c>
      <c r="CY82" s="476">
        <v>0</v>
      </c>
      <c r="CZ82" s="476">
        <v>0</v>
      </c>
      <c r="DA82" s="476">
        <v>0</v>
      </c>
      <c r="DB82" s="476">
        <v>1595946</v>
      </c>
      <c r="DC82" s="476">
        <v>0</v>
      </c>
      <c r="DD82" s="476">
        <v>0</v>
      </c>
      <c r="DE82" s="476">
        <v>275500</v>
      </c>
      <c r="DF82" s="476">
        <v>275500</v>
      </c>
      <c r="DG82" s="476">
        <v>44.725000000000001</v>
      </c>
      <c r="DH82" s="476">
        <v>0</v>
      </c>
      <c r="DI82" s="476">
        <v>0</v>
      </c>
      <c r="DJ82" s="476">
        <v>0</v>
      </c>
      <c r="DK82" s="476">
        <v>3304</v>
      </c>
      <c r="DL82" s="476">
        <v>0</v>
      </c>
      <c r="DM82" s="476">
        <v>61430</v>
      </c>
      <c r="DN82" s="476">
        <v>211</v>
      </c>
      <c r="DO82" s="476">
        <v>0</v>
      </c>
      <c r="DP82" s="476">
        <v>0</v>
      </c>
      <c r="DQ82" s="476">
        <v>0</v>
      </c>
      <c r="DR82" s="476">
        <v>0</v>
      </c>
      <c r="DS82" s="476">
        <v>0</v>
      </c>
      <c r="DT82" s="476">
        <v>0</v>
      </c>
      <c r="DU82" s="476">
        <v>0</v>
      </c>
      <c r="DV82" s="476">
        <v>0</v>
      </c>
      <c r="DW82" s="476">
        <v>0</v>
      </c>
      <c r="DX82" s="476">
        <v>0</v>
      </c>
      <c r="DY82" s="476">
        <v>0</v>
      </c>
      <c r="DZ82" s="476">
        <v>0</v>
      </c>
      <c r="EA82" s="476">
        <v>0</v>
      </c>
      <c r="EB82" s="476">
        <v>0</v>
      </c>
      <c r="EC82" s="476">
        <v>5.3520000000000003</v>
      </c>
      <c r="ED82" s="476">
        <v>37913</v>
      </c>
      <c r="EE82" s="476">
        <v>0</v>
      </c>
      <c r="EF82" s="476">
        <v>0</v>
      </c>
      <c r="EG82" s="476">
        <v>0</v>
      </c>
      <c r="EH82" s="476">
        <v>23728</v>
      </c>
      <c r="EI82" s="476">
        <v>0</v>
      </c>
      <c r="EJ82" s="476">
        <v>0</v>
      </c>
      <c r="EK82" s="476">
        <v>0.44900000000000001</v>
      </c>
      <c r="EL82" s="476">
        <v>0</v>
      </c>
      <c r="EM82" s="476">
        <v>0</v>
      </c>
      <c r="EN82" s="476">
        <v>0.501</v>
      </c>
      <c r="EO82" s="476">
        <v>0</v>
      </c>
      <c r="EP82" s="476">
        <v>0</v>
      </c>
      <c r="EQ82" s="476">
        <v>0.95000000000000007</v>
      </c>
      <c r="ER82" s="476">
        <v>0</v>
      </c>
      <c r="ES82" s="476">
        <v>3.8520000000000003</v>
      </c>
      <c r="ET82" s="476">
        <v>0</v>
      </c>
      <c r="EU82" s="476">
        <v>0</v>
      </c>
      <c r="EV82" s="476">
        <v>0</v>
      </c>
      <c r="EW82" s="476">
        <v>0</v>
      </c>
      <c r="EX82" s="476">
        <v>0</v>
      </c>
      <c r="EY82" s="476">
        <v>0</v>
      </c>
      <c r="EZ82" s="476">
        <v>2245551</v>
      </c>
      <c r="FA82" s="476">
        <v>0</v>
      </c>
      <c r="FB82" s="476">
        <v>2353329</v>
      </c>
      <c r="FC82" s="476">
        <v>0</v>
      </c>
      <c r="FD82" s="476">
        <v>0</v>
      </c>
      <c r="FE82" s="476">
        <v>303885</v>
      </c>
      <c r="FF82" s="476">
        <v>50751</v>
      </c>
      <c r="FG82" s="476">
        <v>6.3017999999999991E-2</v>
      </c>
      <c r="FH82" s="476">
        <v>2.6953999999999999E-2</v>
      </c>
      <c r="FI82" s="476">
        <v>0</v>
      </c>
      <c r="FJ82" s="476">
        <v>0</v>
      </c>
      <c r="FK82" s="476">
        <v>382.077</v>
      </c>
      <c r="FL82" s="476">
        <v>2751866</v>
      </c>
      <c r="FM82" s="476">
        <v>0</v>
      </c>
      <c r="FN82" s="476">
        <v>0</v>
      </c>
      <c r="FO82" s="476">
        <v>0</v>
      </c>
      <c r="FP82" s="476">
        <v>0</v>
      </c>
      <c r="FQ82" s="476">
        <v>0</v>
      </c>
      <c r="FR82" s="476">
        <v>0</v>
      </c>
      <c r="FS82" s="476">
        <v>0</v>
      </c>
      <c r="FT82" s="476">
        <v>0</v>
      </c>
      <c r="FU82" s="476">
        <v>0</v>
      </c>
      <c r="FV82" s="476">
        <v>0</v>
      </c>
      <c r="FW82" s="476">
        <v>0</v>
      </c>
      <c r="FX82" s="476">
        <v>0</v>
      </c>
      <c r="FY82" s="476">
        <v>0</v>
      </c>
      <c r="FZ82" s="476">
        <v>0</v>
      </c>
      <c r="GA82" s="476">
        <v>0</v>
      </c>
      <c r="GB82" s="476">
        <v>0</v>
      </c>
      <c r="GC82" s="476">
        <v>0</v>
      </c>
      <c r="GD82" s="476">
        <v>0</v>
      </c>
      <c r="GE82" s="476">
        <v>0</v>
      </c>
      <c r="GF82" s="476">
        <v>0</v>
      </c>
      <c r="GG82" s="476">
        <v>0</v>
      </c>
      <c r="GH82" s="476">
        <v>0</v>
      </c>
      <c r="GI82" s="476">
        <v>0</v>
      </c>
      <c r="GJ82" s="476">
        <v>0</v>
      </c>
      <c r="GK82" s="476">
        <v>0</v>
      </c>
      <c r="GL82" s="476">
        <v>0</v>
      </c>
      <c r="GM82" s="476">
        <v>0</v>
      </c>
      <c r="GN82" s="476">
        <v>0</v>
      </c>
      <c r="GO82" s="476">
        <v>0</v>
      </c>
      <c r="GP82" s="476">
        <v>0</v>
      </c>
      <c r="GQ82" s="476">
        <v>2599976</v>
      </c>
      <c r="GR82" s="476">
        <v>0</v>
      </c>
      <c r="GS82" s="476">
        <v>0</v>
      </c>
      <c r="GT82" s="476">
        <v>0</v>
      </c>
      <c r="GU82" s="476">
        <v>0</v>
      </c>
      <c r="GV82" s="476">
        <v>0</v>
      </c>
      <c r="GW82" s="476">
        <v>0</v>
      </c>
      <c r="GX82" s="476">
        <v>0</v>
      </c>
      <c r="GY82" s="476">
        <v>0</v>
      </c>
      <c r="GZ82" s="476">
        <v>0</v>
      </c>
      <c r="HA82" s="476">
        <v>0</v>
      </c>
      <c r="HB82" s="476">
        <v>323396213</v>
      </c>
      <c r="HC82" s="476">
        <v>4.2206E-2</v>
      </c>
      <c r="HD82" s="476">
        <v>43901</v>
      </c>
      <c r="HE82" s="476">
        <v>0</v>
      </c>
      <c r="HF82" s="476">
        <v>285515</v>
      </c>
      <c r="HG82" s="476">
        <v>616</v>
      </c>
      <c r="HH82" s="476">
        <v>69899</v>
      </c>
      <c r="HI82" s="476">
        <v>0</v>
      </c>
      <c r="HJ82" s="476">
        <v>2600</v>
      </c>
      <c r="HK82" s="476">
        <v>0</v>
      </c>
      <c r="HL82" s="476">
        <v>0</v>
      </c>
      <c r="HM82" s="476">
        <v>0</v>
      </c>
      <c r="HN82" s="476">
        <v>0</v>
      </c>
      <c r="HO82" s="476">
        <v>0</v>
      </c>
      <c r="HP82" s="476">
        <v>0</v>
      </c>
      <c r="HQ82" s="476">
        <v>0</v>
      </c>
      <c r="HR82" s="476">
        <v>0</v>
      </c>
      <c r="HS82" s="476">
        <v>2245340</v>
      </c>
      <c r="HT82" s="476">
        <v>50751</v>
      </c>
      <c r="HU82" s="476">
        <v>0</v>
      </c>
      <c r="HV82" s="476">
        <v>0</v>
      </c>
      <c r="HW82" s="476">
        <v>0</v>
      </c>
      <c r="HX82" s="476">
        <v>31</v>
      </c>
      <c r="HY82" s="476">
        <v>65</v>
      </c>
      <c r="HZ82" s="476">
        <v>52</v>
      </c>
      <c r="IA82" s="476">
        <v>25</v>
      </c>
      <c r="IB82" s="476">
        <v>10</v>
      </c>
      <c r="IC82" s="476">
        <v>183</v>
      </c>
      <c r="ID82" s="476">
        <v>0</v>
      </c>
      <c r="IE82" s="476">
        <v>0.995</v>
      </c>
      <c r="IF82" s="476">
        <v>0</v>
      </c>
      <c r="IG82" s="476">
        <v>1</v>
      </c>
      <c r="IH82" s="476">
        <v>113.47500000000001</v>
      </c>
      <c r="II82" s="476">
        <v>0</v>
      </c>
      <c r="IJ82" s="476">
        <v>99.867000000000004</v>
      </c>
      <c r="IK82" s="476">
        <v>0</v>
      </c>
      <c r="IL82" s="476">
        <v>0</v>
      </c>
      <c r="IM82" s="476">
        <v>0</v>
      </c>
      <c r="IN82" s="476">
        <v>0</v>
      </c>
      <c r="IO82" s="476">
        <v>0</v>
      </c>
      <c r="IP82" s="476">
        <v>0</v>
      </c>
      <c r="IQ82" s="476">
        <v>98.872</v>
      </c>
      <c r="IR82" s="476">
        <v>60904</v>
      </c>
      <c r="IS82" s="476">
        <v>0</v>
      </c>
      <c r="IT82" s="476">
        <v>0</v>
      </c>
      <c r="IU82" s="476">
        <v>0</v>
      </c>
      <c r="IV82" s="476">
        <v>0</v>
      </c>
      <c r="IW82" s="476">
        <v>6160</v>
      </c>
      <c r="IX82" s="476">
        <v>919</v>
      </c>
      <c r="IY82" s="476">
        <v>0</v>
      </c>
      <c r="IZ82" s="476">
        <v>0</v>
      </c>
      <c r="JA82" s="476">
        <v>0</v>
      </c>
      <c r="JB82" s="476">
        <v>0</v>
      </c>
      <c r="JC82" s="476">
        <v>0</v>
      </c>
      <c r="JD82" s="476">
        <v>0</v>
      </c>
      <c r="JE82" s="476">
        <v>0</v>
      </c>
      <c r="JF82" s="476">
        <v>0</v>
      </c>
      <c r="JG82" s="476">
        <v>0</v>
      </c>
      <c r="JH82" s="476">
        <v>0</v>
      </c>
      <c r="JI82" s="476">
        <v>0</v>
      </c>
      <c r="JJ82" s="476">
        <v>0</v>
      </c>
      <c r="JK82" s="476">
        <v>0</v>
      </c>
      <c r="JL82" s="476">
        <v>0</v>
      </c>
      <c r="JM82" s="476">
        <v>0</v>
      </c>
      <c r="JN82" s="476">
        <v>32469</v>
      </c>
      <c r="JO82" s="476">
        <v>0</v>
      </c>
      <c r="JP82" s="476">
        <v>0</v>
      </c>
      <c r="JQ82" s="476">
        <v>0</v>
      </c>
      <c r="JR82" s="476">
        <v>0</v>
      </c>
      <c r="JS82" s="476">
        <v>0</v>
      </c>
      <c r="JT82" s="476">
        <v>0</v>
      </c>
      <c r="JU82" s="476">
        <v>0</v>
      </c>
      <c r="JV82" s="476">
        <v>0</v>
      </c>
      <c r="JW82" s="476">
        <v>0</v>
      </c>
      <c r="JX82" s="476">
        <v>0</v>
      </c>
      <c r="JY82" s="476">
        <v>0</v>
      </c>
      <c r="JZ82" s="476">
        <v>0</v>
      </c>
      <c r="KA82" s="476">
        <v>0</v>
      </c>
      <c r="KB82" s="476">
        <v>0</v>
      </c>
      <c r="KC82" s="476">
        <v>0</v>
      </c>
      <c r="KD82" s="476">
        <v>0</v>
      </c>
      <c r="KE82" s="476">
        <v>7262</v>
      </c>
      <c r="KF82" s="476">
        <v>0</v>
      </c>
      <c r="KG82" s="476">
        <v>0</v>
      </c>
      <c r="KH82" s="476">
        <v>2599976</v>
      </c>
      <c r="KI82" s="476">
        <v>0</v>
      </c>
      <c r="KJ82" s="476">
        <v>1</v>
      </c>
      <c r="KK82" s="476">
        <v>0</v>
      </c>
      <c r="KL82" s="476">
        <v>616</v>
      </c>
      <c r="KM82" s="476">
        <v>0</v>
      </c>
      <c r="KN82" s="476">
        <v>0</v>
      </c>
    </row>
    <row r="83" spans="1:300" x14ac:dyDescent="0.25">
      <c r="A83" s="476">
        <v>40976</v>
      </c>
      <c r="B83" s="476">
        <v>71810</v>
      </c>
      <c r="C83" s="476">
        <v>9</v>
      </c>
      <c r="D83" s="476">
        <v>2024</v>
      </c>
      <c r="E83" s="476">
        <v>6160</v>
      </c>
      <c r="F83" s="476">
        <v>0</v>
      </c>
      <c r="G83" s="476">
        <v>549.02700000000004</v>
      </c>
      <c r="H83" s="476">
        <v>542.96100000000001</v>
      </c>
      <c r="I83" s="476">
        <v>542.96100000000001</v>
      </c>
      <c r="J83" s="476">
        <v>549.02700000000004</v>
      </c>
      <c r="K83" s="476">
        <v>0</v>
      </c>
      <c r="L83" s="476">
        <v>6160</v>
      </c>
      <c r="M83" s="476">
        <v>0</v>
      </c>
      <c r="N83" s="476">
        <v>0</v>
      </c>
      <c r="O83" s="476">
        <v>0</v>
      </c>
      <c r="P83" s="476">
        <v>549.02700000000004</v>
      </c>
      <c r="Q83" s="476">
        <v>0</v>
      </c>
      <c r="R83" s="476">
        <v>227783</v>
      </c>
      <c r="S83" s="476">
        <v>414.88400000000001</v>
      </c>
      <c r="T83" s="476">
        <v>0</v>
      </c>
      <c r="U83" s="476">
        <v>0</v>
      </c>
      <c r="V83" s="476">
        <v>273.52500000000003</v>
      </c>
      <c r="W83" s="476">
        <v>168488</v>
      </c>
      <c r="X83" s="476">
        <v>168488</v>
      </c>
      <c r="Y83" s="476">
        <v>0</v>
      </c>
      <c r="Z83" s="476">
        <v>0</v>
      </c>
      <c r="AA83" s="476">
        <v>0</v>
      </c>
      <c r="AB83" s="476">
        <v>0</v>
      </c>
      <c r="AC83" s="476">
        <v>0</v>
      </c>
      <c r="AD83" s="476" t="s">
        <v>314</v>
      </c>
      <c r="AE83" s="476">
        <v>0</v>
      </c>
      <c r="AF83" s="476">
        <v>0</v>
      </c>
      <c r="AG83" s="476">
        <v>0</v>
      </c>
      <c r="AH83" s="476">
        <v>0</v>
      </c>
      <c r="AI83" s="476">
        <v>0</v>
      </c>
      <c r="AJ83" s="476">
        <v>6160</v>
      </c>
      <c r="AK83" s="476" t="s">
        <v>651</v>
      </c>
      <c r="AL83" s="476" t="s">
        <v>339</v>
      </c>
      <c r="AM83" s="476">
        <v>0</v>
      </c>
      <c r="AN83" s="476">
        <v>0</v>
      </c>
      <c r="AO83" s="476">
        <v>0</v>
      </c>
      <c r="AP83" s="476">
        <v>0</v>
      </c>
      <c r="AQ83" s="476">
        <v>0</v>
      </c>
      <c r="AR83" s="476">
        <v>0</v>
      </c>
      <c r="AS83" s="476">
        <v>0</v>
      </c>
      <c r="AT83" s="476">
        <v>0</v>
      </c>
      <c r="AU83" s="476">
        <v>0</v>
      </c>
      <c r="AV83" s="476">
        <v>0</v>
      </c>
      <c r="AW83" s="476">
        <v>5891667</v>
      </c>
      <c r="AX83" s="476">
        <v>5892670</v>
      </c>
      <c r="AY83" s="476">
        <v>0</v>
      </c>
      <c r="AZ83" s="476">
        <v>227783</v>
      </c>
      <c r="BA83" s="476">
        <v>0</v>
      </c>
      <c r="BB83" s="476">
        <v>2557</v>
      </c>
      <c r="BC83" s="476">
        <v>2541</v>
      </c>
      <c r="BD83" s="476">
        <v>6</v>
      </c>
      <c r="BE83" s="476">
        <v>16</v>
      </c>
      <c r="BF83" s="476">
        <v>5311747</v>
      </c>
      <c r="BG83" s="476">
        <v>0</v>
      </c>
      <c r="BH83" s="476">
        <v>0</v>
      </c>
      <c r="BI83" s="476">
        <v>0</v>
      </c>
      <c r="BJ83" s="476">
        <v>12</v>
      </c>
      <c r="BK83" s="476">
        <v>0</v>
      </c>
      <c r="BL83" s="476">
        <v>0</v>
      </c>
      <c r="BM83" s="476">
        <v>0</v>
      </c>
      <c r="BN83" s="476">
        <v>0</v>
      </c>
      <c r="BO83" s="476">
        <v>0</v>
      </c>
      <c r="BP83" s="476">
        <v>0</v>
      </c>
      <c r="BQ83" s="476">
        <v>686</v>
      </c>
      <c r="BR83" s="476">
        <v>0</v>
      </c>
      <c r="BS83" s="476">
        <v>0</v>
      </c>
      <c r="BT83" s="476">
        <v>0</v>
      </c>
      <c r="BU83" s="476">
        <v>0</v>
      </c>
      <c r="BV83" s="476">
        <v>0</v>
      </c>
      <c r="BW83" s="476">
        <v>0</v>
      </c>
      <c r="BX83" s="476">
        <v>0</v>
      </c>
      <c r="BY83" s="476">
        <v>0</v>
      </c>
      <c r="BZ83" s="476">
        <v>0</v>
      </c>
      <c r="CA83" s="476">
        <v>0</v>
      </c>
      <c r="CB83" s="476">
        <v>0</v>
      </c>
      <c r="CC83" s="476">
        <v>0</v>
      </c>
      <c r="CD83" s="476">
        <v>0</v>
      </c>
      <c r="CE83" s="476">
        <v>0</v>
      </c>
      <c r="CF83" s="476">
        <v>0</v>
      </c>
      <c r="CG83" s="476">
        <v>0</v>
      </c>
      <c r="CH83" s="476">
        <v>0</v>
      </c>
      <c r="CI83" s="476">
        <v>0</v>
      </c>
      <c r="CJ83" s="476">
        <v>5</v>
      </c>
      <c r="CK83" s="476">
        <v>0</v>
      </c>
      <c r="CL83" s="476">
        <v>0</v>
      </c>
      <c r="CM83" s="476">
        <v>0</v>
      </c>
      <c r="CN83" s="476">
        <v>0</v>
      </c>
      <c r="CO83" s="476">
        <v>1</v>
      </c>
      <c r="CP83" s="476">
        <v>0</v>
      </c>
      <c r="CQ83" s="476">
        <v>0</v>
      </c>
      <c r="CR83" s="476">
        <v>549.02700000000004</v>
      </c>
      <c r="CS83" s="476">
        <v>0</v>
      </c>
      <c r="CT83" s="476">
        <v>0</v>
      </c>
      <c r="CU83" s="476">
        <v>0</v>
      </c>
      <c r="CV83" s="476">
        <v>0</v>
      </c>
      <c r="CW83" s="476">
        <v>0</v>
      </c>
      <c r="CX83" s="476">
        <v>0</v>
      </c>
      <c r="CY83" s="476">
        <v>0</v>
      </c>
      <c r="CZ83" s="476">
        <v>0</v>
      </c>
      <c r="DA83" s="476">
        <v>0</v>
      </c>
      <c r="DB83" s="476">
        <v>3344564</v>
      </c>
      <c r="DC83" s="476">
        <v>0</v>
      </c>
      <c r="DD83" s="476">
        <v>0</v>
      </c>
      <c r="DE83" s="476">
        <v>847058</v>
      </c>
      <c r="DF83" s="476">
        <v>847058</v>
      </c>
      <c r="DG83" s="476">
        <v>137.51300000000001</v>
      </c>
      <c r="DH83" s="476">
        <v>0</v>
      </c>
      <c r="DI83" s="476">
        <v>0</v>
      </c>
      <c r="DJ83" s="476">
        <v>0</v>
      </c>
      <c r="DK83" s="476">
        <v>2605</v>
      </c>
      <c r="DL83" s="476">
        <v>0</v>
      </c>
      <c r="DM83" s="476">
        <v>287048</v>
      </c>
      <c r="DN83" s="476">
        <v>987</v>
      </c>
      <c r="DO83" s="476">
        <v>0</v>
      </c>
      <c r="DP83" s="476">
        <v>0</v>
      </c>
      <c r="DQ83" s="476">
        <v>0</v>
      </c>
      <c r="DR83" s="476">
        <v>0</v>
      </c>
      <c r="DS83" s="476">
        <v>0</v>
      </c>
      <c r="DT83" s="476">
        <v>0</v>
      </c>
      <c r="DU83" s="476">
        <v>0</v>
      </c>
      <c r="DV83" s="476">
        <v>0</v>
      </c>
      <c r="DW83" s="476">
        <v>0</v>
      </c>
      <c r="DX83" s="476">
        <v>0</v>
      </c>
      <c r="DY83" s="476">
        <v>0</v>
      </c>
      <c r="DZ83" s="476">
        <v>0</v>
      </c>
      <c r="EA83" s="476">
        <v>0.02</v>
      </c>
      <c r="EB83" s="476">
        <v>0</v>
      </c>
      <c r="EC83" s="476">
        <v>23.952999999999999</v>
      </c>
      <c r="ED83" s="476">
        <v>169679</v>
      </c>
      <c r="EE83" s="476">
        <v>0</v>
      </c>
      <c r="EF83" s="476">
        <v>0</v>
      </c>
      <c r="EG83" s="476">
        <v>0</v>
      </c>
      <c r="EH83" s="476">
        <v>118356</v>
      </c>
      <c r="EI83" s="476">
        <v>0</v>
      </c>
      <c r="EJ83" s="476">
        <v>0</v>
      </c>
      <c r="EK83" s="476">
        <v>5.3330000000000002</v>
      </c>
      <c r="EL83" s="476">
        <v>0</v>
      </c>
      <c r="EM83" s="476">
        <v>0.22500000000000001</v>
      </c>
      <c r="EN83" s="476">
        <v>0.48800000000000004</v>
      </c>
      <c r="EO83" s="476">
        <v>0</v>
      </c>
      <c r="EP83" s="476">
        <v>0</v>
      </c>
      <c r="EQ83" s="476">
        <v>6.0660000000000007</v>
      </c>
      <c r="ER83" s="476">
        <v>0</v>
      </c>
      <c r="ES83" s="476">
        <v>19.214000000000002</v>
      </c>
      <c r="ET83" s="476">
        <v>0</v>
      </c>
      <c r="EU83" s="476">
        <v>0</v>
      </c>
      <c r="EV83" s="476">
        <v>0</v>
      </c>
      <c r="EW83" s="476">
        <v>0</v>
      </c>
      <c r="EX83" s="476">
        <v>0</v>
      </c>
      <c r="EY83" s="476">
        <v>0</v>
      </c>
      <c r="EZ83" s="476">
        <v>5092286</v>
      </c>
      <c r="FA83" s="476">
        <v>0</v>
      </c>
      <c r="FB83" s="476">
        <v>5319066</v>
      </c>
      <c r="FC83" s="476">
        <v>0</v>
      </c>
      <c r="FD83" s="476">
        <v>0</v>
      </c>
      <c r="FE83" s="476">
        <v>685843</v>
      </c>
      <c r="FF83" s="476">
        <v>114541</v>
      </c>
      <c r="FG83" s="476">
        <v>6.3017999999999991E-2</v>
      </c>
      <c r="FH83" s="476">
        <v>2.6953999999999999E-2</v>
      </c>
      <c r="FI83" s="476">
        <v>0</v>
      </c>
      <c r="FJ83" s="476">
        <v>0</v>
      </c>
      <c r="FK83" s="476">
        <v>862.31600000000003</v>
      </c>
      <c r="FL83" s="476">
        <v>6119450</v>
      </c>
      <c r="FM83" s="476">
        <v>0</v>
      </c>
      <c r="FN83" s="476">
        <v>0</v>
      </c>
      <c r="FO83" s="476">
        <v>8322</v>
      </c>
      <c r="FP83" s="476">
        <v>0</v>
      </c>
      <c r="FQ83" s="476">
        <v>8322</v>
      </c>
      <c r="FR83" s="476">
        <v>8322</v>
      </c>
      <c r="FS83" s="476">
        <v>0</v>
      </c>
      <c r="FT83" s="476">
        <v>0</v>
      </c>
      <c r="FU83" s="476">
        <v>0</v>
      </c>
      <c r="FV83" s="476">
        <v>0</v>
      </c>
      <c r="FW83" s="476">
        <v>0</v>
      </c>
      <c r="FX83" s="476">
        <v>0</v>
      </c>
      <c r="FY83" s="476">
        <v>0</v>
      </c>
      <c r="FZ83" s="476">
        <v>0</v>
      </c>
      <c r="GA83" s="476">
        <v>0</v>
      </c>
      <c r="GB83" s="476">
        <v>0</v>
      </c>
      <c r="GC83" s="476">
        <v>0</v>
      </c>
      <c r="GD83" s="476">
        <v>0</v>
      </c>
      <c r="GE83" s="476">
        <v>0</v>
      </c>
      <c r="GF83" s="476">
        <v>0</v>
      </c>
      <c r="GG83" s="476">
        <v>0</v>
      </c>
      <c r="GH83" s="476">
        <v>0</v>
      </c>
      <c r="GI83" s="476">
        <v>0</v>
      </c>
      <c r="GJ83" s="476">
        <v>0</v>
      </c>
      <c r="GK83" s="476">
        <v>0</v>
      </c>
      <c r="GL83" s="476">
        <v>0</v>
      </c>
      <c r="GM83" s="476">
        <v>0</v>
      </c>
      <c r="GN83" s="476">
        <v>0</v>
      </c>
      <c r="GO83" s="476">
        <v>0</v>
      </c>
      <c r="GP83" s="476">
        <v>0</v>
      </c>
      <c r="GQ83" s="476">
        <v>5891667</v>
      </c>
      <c r="GR83" s="476">
        <v>0</v>
      </c>
      <c r="GS83" s="476">
        <v>0</v>
      </c>
      <c r="GT83" s="476">
        <v>0</v>
      </c>
      <c r="GU83" s="476">
        <v>0</v>
      </c>
      <c r="GV83" s="476">
        <v>0</v>
      </c>
      <c r="GW83" s="476">
        <v>0</v>
      </c>
      <c r="GX83" s="476">
        <v>0</v>
      </c>
      <c r="GY83" s="476">
        <v>0</v>
      </c>
      <c r="GZ83" s="476">
        <v>0</v>
      </c>
      <c r="HA83" s="476">
        <v>0</v>
      </c>
      <c r="HB83" s="476">
        <v>0</v>
      </c>
      <c r="HC83" s="476">
        <v>4.2206E-2</v>
      </c>
      <c r="HD83" s="476">
        <v>0</v>
      </c>
      <c r="HE83" s="476">
        <v>0</v>
      </c>
      <c r="HF83" s="476">
        <v>598343</v>
      </c>
      <c r="HG83" s="476">
        <v>19712</v>
      </c>
      <c r="HH83" s="476">
        <v>0</v>
      </c>
      <c r="HI83" s="476">
        <v>0</v>
      </c>
      <c r="HJ83" s="476">
        <v>5490</v>
      </c>
      <c r="HK83" s="476">
        <v>0</v>
      </c>
      <c r="HL83" s="476">
        <v>0</v>
      </c>
      <c r="HM83" s="476">
        <v>0</v>
      </c>
      <c r="HN83" s="476">
        <v>0</v>
      </c>
      <c r="HO83" s="476">
        <v>37500</v>
      </c>
      <c r="HP83" s="476">
        <v>0</v>
      </c>
      <c r="HQ83" s="476">
        <v>0</v>
      </c>
      <c r="HR83" s="476">
        <v>0</v>
      </c>
      <c r="HS83" s="476">
        <v>5091283</v>
      </c>
      <c r="HT83" s="476">
        <v>114541</v>
      </c>
      <c r="HU83" s="476">
        <v>0</v>
      </c>
      <c r="HV83" s="476">
        <v>0</v>
      </c>
      <c r="HW83" s="476">
        <v>0</v>
      </c>
      <c r="HX83" s="476">
        <v>81</v>
      </c>
      <c r="HY83" s="476">
        <v>102</v>
      </c>
      <c r="HZ83" s="476">
        <v>70</v>
      </c>
      <c r="IA83" s="476">
        <v>109</v>
      </c>
      <c r="IB83" s="476">
        <v>178</v>
      </c>
      <c r="IC83" s="476">
        <v>540</v>
      </c>
      <c r="ID83" s="476">
        <v>0</v>
      </c>
      <c r="IE83" s="476">
        <v>0</v>
      </c>
      <c r="IF83" s="476">
        <v>0</v>
      </c>
      <c r="IG83" s="476">
        <v>32</v>
      </c>
      <c r="IH83" s="476">
        <v>0</v>
      </c>
      <c r="II83" s="476">
        <v>0</v>
      </c>
      <c r="IJ83" s="476">
        <v>273.52500000000003</v>
      </c>
      <c r="IK83" s="476">
        <v>0</v>
      </c>
      <c r="IL83" s="476">
        <v>0</v>
      </c>
      <c r="IM83" s="476">
        <v>0</v>
      </c>
      <c r="IN83" s="476">
        <v>0</v>
      </c>
      <c r="IO83" s="476">
        <v>0</v>
      </c>
      <c r="IP83" s="476">
        <v>0</v>
      </c>
      <c r="IQ83" s="476">
        <v>273.52500000000003</v>
      </c>
      <c r="IR83" s="476">
        <v>168488</v>
      </c>
      <c r="IS83" s="476">
        <v>0</v>
      </c>
      <c r="IT83" s="476">
        <v>0</v>
      </c>
      <c r="IU83" s="476">
        <v>0</v>
      </c>
      <c r="IV83" s="476">
        <v>0</v>
      </c>
      <c r="IW83" s="476">
        <v>6160</v>
      </c>
      <c r="IX83" s="476">
        <v>0</v>
      </c>
      <c r="IY83" s="476">
        <v>0</v>
      </c>
      <c r="IZ83" s="476">
        <v>0</v>
      </c>
      <c r="JA83" s="476">
        <v>0</v>
      </c>
      <c r="JB83" s="476">
        <v>0</v>
      </c>
      <c r="JC83" s="476">
        <v>0</v>
      </c>
      <c r="JD83" s="476">
        <v>0</v>
      </c>
      <c r="JE83" s="476">
        <v>0</v>
      </c>
      <c r="JF83" s="476">
        <v>0</v>
      </c>
      <c r="JG83" s="476">
        <v>0</v>
      </c>
      <c r="JH83" s="476">
        <v>0</v>
      </c>
      <c r="JI83" s="476">
        <v>0</v>
      </c>
      <c r="JJ83" s="476">
        <v>0</v>
      </c>
      <c r="JK83" s="476">
        <v>0</v>
      </c>
      <c r="JL83" s="476">
        <v>0</v>
      </c>
      <c r="JM83" s="476">
        <v>0</v>
      </c>
      <c r="JN83" s="476">
        <v>32469</v>
      </c>
      <c r="JO83" s="476">
        <v>0</v>
      </c>
      <c r="JP83" s="476">
        <v>0</v>
      </c>
      <c r="JQ83" s="476">
        <v>0</v>
      </c>
      <c r="JR83" s="476">
        <v>0</v>
      </c>
      <c r="JS83" s="476">
        <v>0</v>
      </c>
      <c r="JT83" s="476">
        <v>0</v>
      </c>
      <c r="JU83" s="476">
        <v>2587</v>
      </c>
      <c r="JV83" s="476">
        <v>0</v>
      </c>
      <c r="JW83" s="476">
        <v>0</v>
      </c>
      <c r="JX83" s="476">
        <v>0</v>
      </c>
      <c r="JY83" s="476">
        <v>0</v>
      </c>
      <c r="JZ83" s="476">
        <v>0</v>
      </c>
      <c r="KA83" s="476">
        <v>0</v>
      </c>
      <c r="KB83" s="476">
        <v>0</v>
      </c>
      <c r="KC83" s="476">
        <v>0</v>
      </c>
      <c r="KD83" s="476">
        <v>2587</v>
      </c>
      <c r="KE83" s="476">
        <v>7262</v>
      </c>
      <c r="KF83" s="476">
        <v>0</v>
      </c>
      <c r="KG83" s="476">
        <v>0</v>
      </c>
      <c r="KH83" s="476">
        <v>5891667</v>
      </c>
      <c r="KI83" s="476">
        <v>0</v>
      </c>
      <c r="KJ83" s="476">
        <v>11</v>
      </c>
      <c r="KK83" s="476">
        <v>21</v>
      </c>
      <c r="KL83" s="476">
        <v>6776</v>
      </c>
      <c r="KM83" s="476">
        <v>12936</v>
      </c>
      <c r="KN83" s="476">
        <v>0</v>
      </c>
    </row>
    <row r="84" spans="1:300" x14ac:dyDescent="0.25">
      <c r="A84" s="476">
        <v>40976</v>
      </c>
      <c r="B84" s="476">
        <v>72801</v>
      </c>
      <c r="C84" s="476">
        <v>9</v>
      </c>
      <c r="D84" s="476">
        <v>2024</v>
      </c>
      <c r="E84" s="476">
        <v>6160</v>
      </c>
      <c r="F84" s="476">
        <v>0</v>
      </c>
      <c r="G84" s="476">
        <v>5436.4589999999998</v>
      </c>
      <c r="H84" s="476">
        <v>5061.0120000000006</v>
      </c>
      <c r="I84" s="476">
        <v>5061.0120000000006</v>
      </c>
      <c r="J84" s="476">
        <v>5436.4589999999998</v>
      </c>
      <c r="K84" s="476">
        <v>0</v>
      </c>
      <c r="L84" s="476">
        <v>6160</v>
      </c>
      <c r="M84" s="476">
        <v>0</v>
      </c>
      <c r="N84" s="476">
        <v>0</v>
      </c>
      <c r="O84" s="476">
        <v>0</v>
      </c>
      <c r="P84" s="476">
        <v>5436.4589999999998</v>
      </c>
      <c r="Q84" s="476">
        <v>0</v>
      </c>
      <c r="R84" s="476">
        <v>2255500</v>
      </c>
      <c r="S84" s="476">
        <v>414.88400000000001</v>
      </c>
      <c r="T84" s="476">
        <v>0</v>
      </c>
      <c r="U84" s="476">
        <v>0</v>
      </c>
      <c r="V84" s="476">
        <v>569.68000000000006</v>
      </c>
      <c r="W84" s="476">
        <v>350915</v>
      </c>
      <c r="X84" s="476">
        <v>350915</v>
      </c>
      <c r="Y84" s="476">
        <v>0</v>
      </c>
      <c r="Z84" s="476">
        <v>0</v>
      </c>
      <c r="AA84" s="476">
        <v>0</v>
      </c>
      <c r="AB84" s="476">
        <v>0</v>
      </c>
      <c r="AC84" s="476">
        <v>0</v>
      </c>
      <c r="AD84" s="476" t="s">
        <v>314</v>
      </c>
      <c r="AE84" s="476">
        <v>0</v>
      </c>
      <c r="AF84" s="476">
        <v>0</v>
      </c>
      <c r="AG84" s="476">
        <v>0</v>
      </c>
      <c r="AH84" s="476">
        <v>0</v>
      </c>
      <c r="AI84" s="476">
        <v>0</v>
      </c>
      <c r="AJ84" s="476">
        <v>6160</v>
      </c>
      <c r="AK84" s="476" t="s">
        <v>651</v>
      </c>
      <c r="AL84" s="476" t="s">
        <v>97</v>
      </c>
      <c r="AM84" s="476">
        <v>0</v>
      </c>
      <c r="AN84" s="476">
        <v>0</v>
      </c>
      <c r="AO84" s="476">
        <v>0</v>
      </c>
      <c r="AP84" s="476">
        <v>0</v>
      </c>
      <c r="AQ84" s="476">
        <v>0</v>
      </c>
      <c r="AR84" s="476">
        <v>0</v>
      </c>
      <c r="AS84" s="476">
        <v>0</v>
      </c>
      <c r="AT84" s="476">
        <v>0</v>
      </c>
      <c r="AU84" s="476">
        <v>0</v>
      </c>
      <c r="AV84" s="476">
        <v>0</v>
      </c>
      <c r="AW84" s="476">
        <v>60414778</v>
      </c>
      <c r="AX84" s="476">
        <v>59518297</v>
      </c>
      <c r="AY84" s="476">
        <v>0</v>
      </c>
      <c r="AZ84" s="476">
        <v>2255500</v>
      </c>
      <c r="BA84" s="476">
        <v>124.167</v>
      </c>
      <c r="BB84" s="476">
        <v>0</v>
      </c>
      <c r="BC84" s="476">
        <v>0</v>
      </c>
      <c r="BD84" s="476">
        <v>0</v>
      </c>
      <c r="BE84" s="476">
        <v>0</v>
      </c>
      <c r="BF84" s="476">
        <v>52189367</v>
      </c>
      <c r="BG84" s="476">
        <v>0</v>
      </c>
      <c r="BH84" s="476">
        <v>0</v>
      </c>
      <c r="BI84" s="476">
        <v>0</v>
      </c>
      <c r="BJ84" s="476">
        <v>12</v>
      </c>
      <c r="BK84" s="476">
        <v>0</v>
      </c>
      <c r="BL84" s="476">
        <v>0</v>
      </c>
      <c r="BM84" s="476">
        <v>0</v>
      </c>
      <c r="BN84" s="476">
        <v>0</v>
      </c>
      <c r="BO84" s="476">
        <v>0</v>
      </c>
      <c r="BP84" s="476">
        <v>0</v>
      </c>
      <c r="BQ84" s="476">
        <v>0</v>
      </c>
      <c r="BR84" s="476">
        <v>0</v>
      </c>
      <c r="BS84" s="476">
        <v>0</v>
      </c>
      <c r="BT84" s="476">
        <v>0</v>
      </c>
      <c r="BU84" s="476">
        <v>0</v>
      </c>
      <c r="BV84" s="476">
        <v>0</v>
      </c>
      <c r="BW84" s="476">
        <v>0</v>
      </c>
      <c r="BX84" s="476">
        <v>0</v>
      </c>
      <c r="BY84" s="476">
        <v>0</v>
      </c>
      <c r="BZ84" s="476">
        <v>0</v>
      </c>
      <c r="CA84" s="476">
        <v>0</v>
      </c>
      <c r="CB84" s="476">
        <v>0</v>
      </c>
      <c r="CC84" s="476">
        <v>0</v>
      </c>
      <c r="CD84" s="476">
        <v>0</v>
      </c>
      <c r="CE84" s="476">
        <v>0</v>
      </c>
      <c r="CF84" s="476">
        <v>0</v>
      </c>
      <c r="CG84" s="476">
        <v>0</v>
      </c>
      <c r="CH84" s="476">
        <v>917811</v>
      </c>
      <c r="CI84" s="476">
        <v>0</v>
      </c>
      <c r="CJ84" s="476">
        <v>4</v>
      </c>
      <c r="CK84" s="476">
        <v>0</v>
      </c>
      <c r="CL84" s="476">
        <v>0</v>
      </c>
      <c r="CM84" s="476">
        <v>0</v>
      </c>
      <c r="CN84" s="476">
        <v>0</v>
      </c>
      <c r="CO84" s="476">
        <v>1</v>
      </c>
      <c r="CP84" s="476">
        <v>0</v>
      </c>
      <c r="CQ84" s="476">
        <v>16.917000000000002</v>
      </c>
      <c r="CR84" s="476">
        <v>5436.4589999999998</v>
      </c>
      <c r="CS84" s="476">
        <v>0</v>
      </c>
      <c r="CT84" s="476">
        <v>0</v>
      </c>
      <c r="CU84" s="476">
        <v>0</v>
      </c>
      <c r="CV84" s="476">
        <v>0</v>
      </c>
      <c r="CW84" s="476">
        <v>0</v>
      </c>
      <c r="CX84" s="476">
        <v>0</v>
      </c>
      <c r="CY84" s="476">
        <v>0</v>
      </c>
      <c r="CZ84" s="476">
        <v>0</v>
      </c>
      <c r="DA84" s="476">
        <v>0</v>
      </c>
      <c r="DB84" s="476">
        <v>31175126</v>
      </c>
      <c r="DC84" s="476">
        <v>0</v>
      </c>
      <c r="DD84" s="476">
        <v>0</v>
      </c>
      <c r="DE84" s="476">
        <v>6246714</v>
      </c>
      <c r="DF84" s="476">
        <v>6246714</v>
      </c>
      <c r="DG84" s="476">
        <v>1014.1</v>
      </c>
      <c r="DH84" s="476">
        <v>0</v>
      </c>
      <c r="DI84" s="476">
        <v>0</v>
      </c>
      <c r="DJ84" s="476">
        <v>0</v>
      </c>
      <c r="DK84" s="476">
        <v>0</v>
      </c>
      <c r="DL84" s="476">
        <v>0</v>
      </c>
      <c r="DM84" s="476">
        <v>6204362</v>
      </c>
      <c r="DN84" s="476">
        <v>21331</v>
      </c>
      <c r="DO84" s="476">
        <v>0</v>
      </c>
      <c r="DP84" s="476">
        <v>0</v>
      </c>
      <c r="DQ84" s="476">
        <v>0</v>
      </c>
      <c r="DR84" s="476">
        <v>0</v>
      </c>
      <c r="DS84" s="476">
        <v>0</v>
      </c>
      <c r="DT84" s="476">
        <v>0</v>
      </c>
      <c r="DU84" s="476">
        <v>0</v>
      </c>
      <c r="DV84" s="476">
        <v>0</v>
      </c>
      <c r="DW84" s="476">
        <v>0</v>
      </c>
      <c r="DX84" s="476">
        <v>0</v>
      </c>
      <c r="DY84" s="476">
        <v>0</v>
      </c>
      <c r="DZ84" s="476">
        <v>0</v>
      </c>
      <c r="EA84" s="476">
        <v>3.7000000000000005E-2</v>
      </c>
      <c r="EB84" s="476">
        <v>1.1320000000000001</v>
      </c>
      <c r="EC84" s="476">
        <v>515.60300000000007</v>
      </c>
      <c r="ED84" s="476">
        <v>3652449</v>
      </c>
      <c r="EE84" s="476">
        <v>0</v>
      </c>
      <c r="EF84" s="476">
        <v>0</v>
      </c>
      <c r="EG84" s="476">
        <v>0</v>
      </c>
      <c r="EH84" s="476">
        <v>2569376</v>
      </c>
      <c r="EI84" s="476">
        <v>3868</v>
      </c>
      <c r="EJ84" s="476">
        <v>0.157</v>
      </c>
      <c r="EK84" s="476">
        <v>115.15300000000001</v>
      </c>
      <c r="EL84" s="476">
        <v>9.1850000000000005</v>
      </c>
      <c r="EM84" s="476">
        <v>17.862000000000002</v>
      </c>
      <c r="EN84" s="476">
        <v>2.8980000000000001</v>
      </c>
      <c r="EO84" s="476">
        <v>0</v>
      </c>
      <c r="EP84" s="476">
        <v>0</v>
      </c>
      <c r="EQ84" s="476">
        <v>137.239</v>
      </c>
      <c r="ER84" s="476">
        <v>0</v>
      </c>
      <c r="ES84" s="476">
        <v>417.11600000000004</v>
      </c>
      <c r="ET84" s="476">
        <v>0</v>
      </c>
      <c r="EU84" s="476">
        <v>0</v>
      </c>
      <c r="EV84" s="476">
        <v>0</v>
      </c>
      <c r="EW84" s="476">
        <v>0</v>
      </c>
      <c r="EX84" s="476">
        <v>0</v>
      </c>
      <c r="EY84" s="476">
        <v>0</v>
      </c>
      <c r="EZ84" s="476">
        <v>51654304</v>
      </c>
      <c r="FA84" s="476">
        <v>0</v>
      </c>
      <c r="FB84" s="476">
        <v>53888474</v>
      </c>
      <c r="FC84" s="476">
        <v>0</v>
      </c>
      <c r="FD84" s="476">
        <v>0</v>
      </c>
      <c r="FE84" s="476">
        <v>6738598</v>
      </c>
      <c r="FF84" s="476">
        <v>1125395</v>
      </c>
      <c r="FG84" s="476">
        <v>6.3017999999999991E-2</v>
      </c>
      <c r="FH84" s="476">
        <v>2.6953999999999999E-2</v>
      </c>
      <c r="FI84" s="476">
        <v>0</v>
      </c>
      <c r="FJ84" s="476">
        <v>0</v>
      </c>
      <c r="FK84" s="476">
        <v>8472.4920000000002</v>
      </c>
      <c r="FL84" s="476">
        <v>62670278</v>
      </c>
      <c r="FM84" s="476">
        <v>0</v>
      </c>
      <c r="FN84" s="476">
        <v>0</v>
      </c>
      <c r="FO84" s="476">
        <v>20013</v>
      </c>
      <c r="FP84" s="476">
        <v>0</v>
      </c>
      <c r="FQ84" s="476">
        <v>20013</v>
      </c>
      <c r="FR84" s="476">
        <v>20013</v>
      </c>
      <c r="FS84" s="476">
        <v>0</v>
      </c>
      <c r="FT84" s="476">
        <v>0</v>
      </c>
      <c r="FU84" s="476">
        <v>1</v>
      </c>
      <c r="FV84" s="476">
        <v>0</v>
      </c>
      <c r="FW84" s="476">
        <v>0</v>
      </c>
      <c r="FX84" s="476">
        <v>0</v>
      </c>
      <c r="FY84" s="476">
        <v>0</v>
      </c>
      <c r="FZ84" s="476">
        <v>0</v>
      </c>
      <c r="GA84" s="476">
        <v>0</v>
      </c>
      <c r="GB84" s="476">
        <v>2283848</v>
      </c>
      <c r="GC84" s="476">
        <v>2283848</v>
      </c>
      <c r="GD84" s="476">
        <v>238.208</v>
      </c>
      <c r="GE84" s="476">
        <v>0</v>
      </c>
      <c r="GF84" s="476">
        <v>0</v>
      </c>
      <c r="GG84" s="476">
        <v>0</v>
      </c>
      <c r="GH84" s="476">
        <v>0</v>
      </c>
      <c r="GI84" s="476">
        <v>0</v>
      </c>
      <c r="GJ84" s="476">
        <v>0</v>
      </c>
      <c r="GK84" s="476">
        <v>0</v>
      </c>
      <c r="GL84" s="476">
        <v>0</v>
      </c>
      <c r="GM84" s="476">
        <v>0</v>
      </c>
      <c r="GN84" s="476">
        <v>0</v>
      </c>
      <c r="GO84" s="476">
        <v>0</v>
      </c>
      <c r="GP84" s="476">
        <v>0</v>
      </c>
      <c r="GQ84" s="476">
        <v>59496967</v>
      </c>
      <c r="GR84" s="476">
        <v>0</v>
      </c>
      <c r="GS84" s="476">
        <v>0</v>
      </c>
      <c r="GT84" s="476">
        <v>0</v>
      </c>
      <c r="GU84" s="476">
        <v>0</v>
      </c>
      <c r="GV84" s="476">
        <v>0</v>
      </c>
      <c r="GW84" s="476">
        <v>0</v>
      </c>
      <c r="GX84" s="476">
        <v>0</v>
      </c>
      <c r="GY84" s="476">
        <v>0</v>
      </c>
      <c r="GZ84" s="476">
        <v>0</v>
      </c>
      <c r="HA84" s="476">
        <v>0</v>
      </c>
      <c r="HB84" s="476">
        <v>323396213</v>
      </c>
      <c r="HC84" s="476">
        <v>4.2206E-2</v>
      </c>
      <c r="HD84" s="476">
        <v>917811</v>
      </c>
      <c r="HE84" s="476">
        <v>0</v>
      </c>
      <c r="HF84" s="476">
        <v>5577235</v>
      </c>
      <c r="HG84" s="476">
        <v>200195</v>
      </c>
      <c r="HH84" s="476">
        <v>9069</v>
      </c>
      <c r="HI84" s="476">
        <v>0</v>
      </c>
      <c r="HJ84" s="476">
        <v>54365</v>
      </c>
      <c r="HK84" s="476">
        <v>81086</v>
      </c>
      <c r="HL84" s="476">
        <v>23555</v>
      </c>
      <c r="HM84" s="476">
        <v>8000</v>
      </c>
      <c r="HN84" s="476">
        <v>58207</v>
      </c>
      <c r="HO84" s="476">
        <v>0</v>
      </c>
      <c r="HP84" s="476">
        <v>1595302</v>
      </c>
      <c r="HQ84" s="476">
        <v>0</v>
      </c>
      <c r="HR84" s="476">
        <v>0</v>
      </c>
      <c r="HS84" s="476">
        <v>51632974</v>
      </c>
      <c r="HT84" s="476">
        <v>1125395</v>
      </c>
      <c r="HU84" s="476">
        <v>0</v>
      </c>
      <c r="HV84" s="476">
        <v>0</v>
      </c>
      <c r="HW84" s="476">
        <v>0</v>
      </c>
      <c r="HX84" s="476">
        <v>668</v>
      </c>
      <c r="HY84" s="476">
        <v>738</v>
      </c>
      <c r="HZ84" s="476">
        <v>822</v>
      </c>
      <c r="IA84" s="476">
        <v>914</v>
      </c>
      <c r="IB84" s="476">
        <v>884</v>
      </c>
      <c r="IC84" s="476">
        <v>4026</v>
      </c>
      <c r="ID84" s="476">
        <v>0</v>
      </c>
      <c r="IE84" s="476">
        <v>0</v>
      </c>
      <c r="IF84" s="476">
        <v>0</v>
      </c>
      <c r="IG84" s="476">
        <v>325</v>
      </c>
      <c r="IH84" s="476">
        <v>14.722000000000001</v>
      </c>
      <c r="II84" s="476">
        <v>5801.098</v>
      </c>
      <c r="IJ84" s="476">
        <v>569.68000000000006</v>
      </c>
      <c r="IK84" s="476">
        <v>1.75</v>
      </c>
      <c r="IL84" s="476">
        <v>0</v>
      </c>
      <c r="IM84" s="476">
        <v>0</v>
      </c>
      <c r="IN84" s="476">
        <v>4</v>
      </c>
      <c r="IO84" s="476">
        <v>4</v>
      </c>
      <c r="IP84" s="476">
        <v>5802.848</v>
      </c>
      <c r="IQ84" s="476">
        <v>569.68000000000006</v>
      </c>
      <c r="IR84" s="476">
        <v>350915</v>
      </c>
      <c r="IS84" s="476">
        <v>481</v>
      </c>
      <c r="IT84" s="476">
        <v>0</v>
      </c>
      <c r="IU84" s="476">
        <v>0</v>
      </c>
      <c r="IV84" s="476">
        <v>8000</v>
      </c>
      <c r="IW84" s="476">
        <v>6160</v>
      </c>
      <c r="IX84" s="476">
        <v>0</v>
      </c>
      <c r="IY84" s="476">
        <v>0</v>
      </c>
      <c r="IZ84" s="476">
        <v>1595783</v>
      </c>
      <c r="JA84" s="476">
        <v>0</v>
      </c>
      <c r="JB84" s="476">
        <v>0</v>
      </c>
      <c r="JC84" s="476">
        <v>0</v>
      </c>
      <c r="JD84" s="476">
        <v>2</v>
      </c>
      <c r="JE84" s="476">
        <v>21683</v>
      </c>
      <c r="JF84" s="476">
        <v>7</v>
      </c>
      <c r="JG84" s="476">
        <v>32524</v>
      </c>
      <c r="JH84" s="476">
        <v>4000</v>
      </c>
      <c r="JI84" s="476">
        <v>0</v>
      </c>
      <c r="JJ84" s="476">
        <v>0</v>
      </c>
      <c r="JK84" s="476">
        <v>0</v>
      </c>
      <c r="JL84" s="476">
        <v>0</v>
      </c>
      <c r="JM84" s="476">
        <v>0</v>
      </c>
      <c r="JN84" s="476">
        <v>32469</v>
      </c>
      <c r="JO84" s="476">
        <v>1.347</v>
      </c>
      <c r="JP84" s="476">
        <v>185.12800000000001</v>
      </c>
      <c r="JQ84" s="476">
        <v>51.733000000000004</v>
      </c>
      <c r="JR84" s="476">
        <v>10760</v>
      </c>
      <c r="JS84" s="476">
        <v>1720831</v>
      </c>
      <c r="JT84" s="476">
        <v>552257</v>
      </c>
      <c r="JU84" s="476">
        <v>0</v>
      </c>
      <c r="JV84" s="476">
        <v>0</v>
      </c>
      <c r="JW84" s="476">
        <v>0</v>
      </c>
      <c r="JX84" s="476">
        <v>0</v>
      </c>
      <c r="JY84" s="476">
        <v>0</v>
      </c>
      <c r="JZ84" s="476">
        <v>0</v>
      </c>
      <c r="KA84" s="476">
        <v>0</v>
      </c>
      <c r="KB84" s="476">
        <v>0</v>
      </c>
      <c r="KC84" s="476">
        <v>0</v>
      </c>
      <c r="KD84" s="476">
        <v>0</v>
      </c>
      <c r="KE84" s="476">
        <v>7262</v>
      </c>
      <c r="KF84" s="476">
        <v>0</v>
      </c>
      <c r="KG84" s="476">
        <v>0</v>
      </c>
      <c r="KH84" s="476">
        <v>59496967</v>
      </c>
      <c r="KI84" s="476">
        <v>0</v>
      </c>
      <c r="KJ84" s="476">
        <v>83</v>
      </c>
      <c r="KK84" s="476">
        <v>242</v>
      </c>
      <c r="KL84" s="476">
        <v>51127</v>
      </c>
      <c r="KM84" s="476">
        <v>149069</v>
      </c>
      <c r="KN84" s="476">
        <v>0</v>
      </c>
    </row>
    <row r="85" spans="1:300" x14ac:dyDescent="0.25">
      <c r="A85" s="476">
        <v>40976</v>
      </c>
      <c r="B85" s="476">
        <v>72802</v>
      </c>
      <c r="C85" s="476">
        <v>9</v>
      </c>
      <c r="D85" s="476">
        <v>2024</v>
      </c>
      <c r="E85" s="476">
        <v>6160</v>
      </c>
      <c r="F85" s="476">
        <v>0</v>
      </c>
      <c r="G85" s="476">
        <v>97</v>
      </c>
      <c r="H85" s="476">
        <v>80.244</v>
      </c>
      <c r="I85" s="476">
        <v>80.244</v>
      </c>
      <c r="J85" s="476">
        <v>97</v>
      </c>
      <c r="K85" s="476">
        <v>0</v>
      </c>
      <c r="L85" s="476">
        <v>6160</v>
      </c>
      <c r="M85" s="476">
        <v>0</v>
      </c>
      <c r="N85" s="476">
        <v>0</v>
      </c>
      <c r="O85" s="476">
        <v>0</v>
      </c>
      <c r="P85" s="476">
        <v>96.8</v>
      </c>
      <c r="Q85" s="476">
        <v>0</v>
      </c>
      <c r="R85" s="476">
        <v>40161</v>
      </c>
      <c r="S85" s="476">
        <v>414.88400000000001</v>
      </c>
      <c r="T85" s="476">
        <v>0</v>
      </c>
      <c r="U85" s="476">
        <v>0</v>
      </c>
      <c r="V85" s="476">
        <v>3.45</v>
      </c>
      <c r="W85" s="476">
        <v>2125</v>
      </c>
      <c r="X85" s="476">
        <v>2125</v>
      </c>
      <c r="Y85" s="476">
        <v>0</v>
      </c>
      <c r="Z85" s="476">
        <v>0</v>
      </c>
      <c r="AA85" s="476">
        <v>0</v>
      </c>
      <c r="AB85" s="476">
        <v>0</v>
      </c>
      <c r="AC85" s="476">
        <v>0</v>
      </c>
      <c r="AD85" s="476" t="s">
        <v>314</v>
      </c>
      <c r="AE85" s="476">
        <v>0</v>
      </c>
      <c r="AF85" s="476">
        <v>0</v>
      </c>
      <c r="AG85" s="476">
        <v>0</v>
      </c>
      <c r="AH85" s="476">
        <v>0</v>
      </c>
      <c r="AI85" s="476">
        <v>0</v>
      </c>
      <c r="AJ85" s="476">
        <v>6160</v>
      </c>
      <c r="AK85" s="476" t="s">
        <v>651</v>
      </c>
      <c r="AL85" s="476" t="s">
        <v>340</v>
      </c>
      <c r="AM85" s="476">
        <v>0</v>
      </c>
      <c r="AN85" s="476">
        <v>0</v>
      </c>
      <c r="AO85" s="476">
        <v>0</v>
      </c>
      <c r="AP85" s="476">
        <v>0</v>
      </c>
      <c r="AQ85" s="476">
        <v>0</v>
      </c>
      <c r="AR85" s="476">
        <v>0</v>
      </c>
      <c r="AS85" s="476">
        <v>0</v>
      </c>
      <c r="AT85" s="476">
        <v>0</v>
      </c>
      <c r="AU85" s="476">
        <v>0</v>
      </c>
      <c r="AV85" s="476">
        <v>0</v>
      </c>
      <c r="AW85" s="476">
        <v>1185588</v>
      </c>
      <c r="AX85" s="476">
        <v>1169928</v>
      </c>
      <c r="AY85" s="476">
        <v>0</v>
      </c>
      <c r="AZ85" s="476">
        <v>40161</v>
      </c>
      <c r="BA85" s="476">
        <v>5</v>
      </c>
      <c r="BB85" s="476">
        <v>0</v>
      </c>
      <c r="BC85" s="476">
        <v>0</v>
      </c>
      <c r="BD85" s="476">
        <v>0</v>
      </c>
      <c r="BE85" s="476">
        <v>0</v>
      </c>
      <c r="BF85" s="476">
        <v>1036571</v>
      </c>
      <c r="BG85" s="476">
        <v>0</v>
      </c>
      <c r="BH85" s="476">
        <v>0</v>
      </c>
      <c r="BI85" s="476">
        <v>0</v>
      </c>
      <c r="BJ85" s="476">
        <v>12</v>
      </c>
      <c r="BK85" s="476">
        <v>0</v>
      </c>
      <c r="BL85" s="476">
        <v>0</v>
      </c>
      <c r="BM85" s="476">
        <v>0</v>
      </c>
      <c r="BN85" s="476">
        <v>0</v>
      </c>
      <c r="BO85" s="476">
        <v>0</v>
      </c>
      <c r="BP85" s="476">
        <v>0</v>
      </c>
      <c r="BQ85" s="476">
        <v>758</v>
      </c>
      <c r="BR85" s="476">
        <v>0</v>
      </c>
      <c r="BS85" s="476">
        <v>0</v>
      </c>
      <c r="BT85" s="476">
        <v>0</v>
      </c>
      <c r="BU85" s="476">
        <v>0</v>
      </c>
      <c r="BV85" s="476">
        <v>0</v>
      </c>
      <c r="BW85" s="476">
        <v>0</v>
      </c>
      <c r="BX85" s="476">
        <v>0</v>
      </c>
      <c r="BY85" s="476">
        <v>0</v>
      </c>
      <c r="BZ85" s="476">
        <v>0</v>
      </c>
      <c r="CA85" s="476">
        <v>0</v>
      </c>
      <c r="CB85" s="476">
        <v>0</v>
      </c>
      <c r="CC85" s="476">
        <v>0</v>
      </c>
      <c r="CD85" s="476">
        <v>0</v>
      </c>
      <c r="CE85" s="476">
        <v>0</v>
      </c>
      <c r="CF85" s="476">
        <v>0</v>
      </c>
      <c r="CG85" s="476">
        <v>0</v>
      </c>
      <c r="CH85" s="476">
        <v>16376</v>
      </c>
      <c r="CI85" s="476">
        <v>0</v>
      </c>
      <c r="CJ85" s="476">
        <v>4</v>
      </c>
      <c r="CK85" s="476">
        <v>0</v>
      </c>
      <c r="CL85" s="476">
        <v>0</v>
      </c>
      <c r="CM85" s="476">
        <v>0</v>
      </c>
      <c r="CN85" s="476">
        <v>0</v>
      </c>
      <c r="CO85" s="476">
        <v>1</v>
      </c>
      <c r="CP85" s="476">
        <v>0.32</v>
      </c>
      <c r="CQ85" s="476">
        <v>0</v>
      </c>
      <c r="CR85" s="476">
        <v>97</v>
      </c>
      <c r="CS85" s="476">
        <v>0</v>
      </c>
      <c r="CT85" s="476">
        <v>0</v>
      </c>
      <c r="CU85" s="476">
        <v>0</v>
      </c>
      <c r="CV85" s="476">
        <v>0</v>
      </c>
      <c r="CW85" s="476">
        <v>0</v>
      </c>
      <c r="CX85" s="476">
        <v>0</v>
      </c>
      <c r="CY85" s="476">
        <v>0</v>
      </c>
      <c r="CZ85" s="476">
        <v>0</v>
      </c>
      <c r="DA85" s="476">
        <v>0</v>
      </c>
      <c r="DB85" s="476">
        <v>494292</v>
      </c>
      <c r="DC85" s="476">
        <v>0</v>
      </c>
      <c r="DD85" s="476">
        <v>0</v>
      </c>
      <c r="DE85" s="476">
        <v>151841</v>
      </c>
      <c r="DF85" s="476">
        <v>156591</v>
      </c>
      <c r="DG85" s="476">
        <v>24.650000000000002</v>
      </c>
      <c r="DH85" s="476">
        <v>0</v>
      </c>
      <c r="DI85" s="476">
        <v>4750</v>
      </c>
      <c r="DJ85" s="476">
        <v>0</v>
      </c>
      <c r="DK85" s="476">
        <v>3745</v>
      </c>
      <c r="DL85" s="476">
        <v>0</v>
      </c>
      <c r="DM85" s="476">
        <v>208024</v>
      </c>
      <c r="DN85" s="476">
        <v>715</v>
      </c>
      <c r="DO85" s="476">
        <v>0</v>
      </c>
      <c r="DP85" s="476">
        <v>0</v>
      </c>
      <c r="DQ85" s="476">
        <v>0</v>
      </c>
      <c r="DR85" s="476">
        <v>0</v>
      </c>
      <c r="DS85" s="476">
        <v>0</v>
      </c>
      <c r="DT85" s="476">
        <v>0</v>
      </c>
      <c r="DU85" s="476">
        <v>0</v>
      </c>
      <c r="DV85" s="476">
        <v>0</v>
      </c>
      <c r="DW85" s="476">
        <v>0</v>
      </c>
      <c r="DX85" s="476">
        <v>0</v>
      </c>
      <c r="DY85" s="476">
        <v>0</v>
      </c>
      <c r="DZ85" s="476">
        <v>0</v>
      </c>
      <c r="EA85" s="476">
        <v>0</v>
      </c>
      <c r="EB85" s="476">
        <v>0</v>
      </c>
      <c r="EC85" s="476">
        <v>1.7330000000000001</v>
      </c>
      <c r="ED85" s="476">
        <v>12276</v>
      </c>
      <c r="EE85" s="476">
        <v>0</v>
      </c>
      <c r="EF85" s="476">
        <v>0</v>
      </c>
      <c r="EG85" s="476">
        <v>0</v>
      </c>
      <c r="EH85" s="476">
        <v>7158</v>
      </c>
      <c r="EI85" s="476">
        <v>189305</v>
      </c>
      <c r="EJ85" s="476">
        <v>7.6830000000000007</v>
      </c>
      <c r="EK85" s="476">
        <v>0.33900000000000002</v>
      </c>
      <c r="EL85" s="476">
        <v>0</v>
      </c>
      <c r="EM85" s="476">
        <v>0</v>
      </c>
      <c r="EN85" s="476">
        <v>2.9000000000000001E-2</v>
      </c>
      <c r="EO85" s="476">
        <v>0</v>
      </c>
      <c r="EP85" s="476">
        <v>0</v>
      </c>
      <c r="EQ85" s="476">
        <v>8.0510000000000002</v>
      </c>
      <c r="ER85" s="476">
        <v>0</v>
      </c>
      <c r="ES85" s="476">
        <v>1.1620000000000001</v>
      </c>
      <c r="ET85" s="476">
        <v>0</v>
      </c>
      <c r="EU85" s="476">
        <v>0</v>
      </c>
      <c r="EV85" s="476">
        <v>0</v>
      </c>
      <c r="EW85" s="476">
        <v>0</v>
      </c>
      <c r="EX85" s="476">
        <v>0</v>
      </c>
      <c r="EY85" s="476">
        <v>0</v>
      </c>
      <c r="EZ85" s="476">
        <v>1013736</v>
      </c>
      <c r="FA85" s="476">
        <v>0</v>
      </c>
      <c r="FB85" s="476">
        <v>1053181</v>
      </c>
      <c r="FC85" s="476">
        <v>0</v>
      </c>
      <c r="FD85" s="476">
        <v>0</v>
      </c>
      <c r="FE85" s="476">
        <v>133840</v>
      </c>
      <c r="FF85" s="476">
        <v>22352</v>
      </c>
      <c r="FG85" s="476">
        <v>6.3017999999999991E-2</v>
      </c>
      <c r="FH85" s="476">
        <v>2.6953999999999999E-2</v>
      </c>
      <c r="FI85" s="476">
        <v>0</v>
      </c>
      <c r="FJ85" s="476">
        <v>0</v>
      </c>
      <c r="FK85" s="476">
        <v>168.27800000000002</v>
      </c>
      <c r="FL85" s="476">
        <v>1225749</v>
      </c>
      <c r="FM85" s="476">
        <v>0</v>
      </c>
      <c r="FN85" s="476">
        <v>0</v>
      </c>
      <c r="FO85" s="476">
        <v>0</v>
      </c>
      <c r="FP85" s="476">
        <v>0</v>
      </c>
      <c r="FQ85" s="476">
        <v>0</v>
      </c>
      <c r="FR85" s="476">
        <v>0</v>
      </c>
      <c r="FS85" s="476">
        <v>0</v>
      </c>
      <c r="FT85" s="476">
        <v>0</v>
      </c>
      <c r="FU85" s="476">
        <v>0</v>
      </c>
      <c r="FV85" s="476">
        <v>0</v>
      </c>
      <c r="FW85" s="476">
        <v>0</v>
      </c>
      <c r="FX85" s="476">
        <v>0</v>
      </c>
      <c r="FY85" s="476">
        <v>0</v>
      </c>
      <c r="FZ85" s="476">
        <v>0</v>
      </c>
      <c r="GA85" s="476">
        <v>0</v>
      </c>
      <c r="GB85" s="476">
        <v>81729</v>
      </c>
      <c r="GC85" s="476">
        <v>81729</v>
      </c>
      <c r="GD85" s="476">
        <v>8.7050000000000001</v>
      </c>
      <c r="GE85" s="476">
        <v>0</v>
      </c>
      <c r="GF85" s="476">
        <v>0</v>
      </c>
      <c r="GG85" s="476">
        <v>0</v>
      </c>
      <c r="GH85" s="476">
        <v>0</v>
      </c>
      <c r="GI85" s="476">
        <v>0</v>
      </c>
      <c r="GJ85" s="476">
        <v>0</v>
      </c>
      <c r="GK85" s="476">
        <v>0</v>
      </c>
      <c r="GL85" s="476">
        <v>0</v>
      </c>
      <c r="GM85" s="476">
        <v>0</v>
      </c>
      <c r="GN85" s="476">
        <v>0</v>
      </c>
      <c r="GO85" s="476">
        <v>0</v>
      </c>
      <c r="GP85" s="476">
        <v>0</v>
      </c>
      <c r="GQ85" s="476">
        <v>1169212</v>
      </c>
      <c r="GR85" s="476">
        <v>0</v>
      </c>
      <c r="GS85" s="476">
        <v>0</v>
      </c>
      <c r="GT85" s="476">
        <v>0</v>
      </c>
      <c r="GU85" s="476">
        <v>0</v>
      </c>
      <c r="GV85" s="476">
        <v>0</v>
      </c>
      <c r="GW85" s="476">
        <v>0</v>
      </c>
      <c r="GX85" s="476">
        <v>0</v>
      </c>
      <c r="GY85" s="476">
        <v>0</v>
      </c>
      <c r="GZ85" s="476">
        <v>0</v>
      </c>
      <c r="HA85" s="476">
        <v>0</v>
      </c>
      <c r="HB85" s="476">
        <v>323396213</v>
      </c>
      <c r="HC85" s="476">
        <v>4.2206E-2</v>
      </c>
      <c r="HD85" s="476">
        <v>16376</v>
      </c>
      <c r="HE85" s="476">
        <v>0</v>
      </c>
      <c r="HF85" s="476">
        <v>88429</v>
      </c>
      <c r="HG85" s="476">
        <v>3696</v>
      </c>
      <c r="HH85" s="476">
        <v>0</v>
      </c>
      <c r="HI85" s="476">
        <v>0</v>
      </c>
      <c r="HJ85" s="476">
        <v>970</v>
      </c>
      <c r="HK85" s="476">
        <v>1166</v>
      </c>
      <c r="HL85" s="476">
        <v>479</v>
      </c>
      <c r="HM85" s="476">
        <v>0</v>
      </c>
      <c r="HN85" s="476">
        <v>0</v>
      </c>
      <c r="HO85" s="476">
        <v>0</v>
      </c>
      <c r="HP85" s="476">
        <v>12761</v>
      </c>
      <c r="HQ85" s="476">
        <v>0</v>
      </c>
      <c r="HR85" s="476">
        <v>0</v>
      </c>
      <c r="HS85" s="476">
        <v>1013020</v>
      </c>
      <c r="HT85" s="476">
        <v>22352</v>
      </c>
      <c r="HU85" s="476">
        <v>0</v>
      </c>
      <c r="HV85" s="476">
        <v>0</v>
      </c>
      <c r="HW85" s="476">
        <v>0</v>
      </c>
      <c r="HX85" s="476">
        <v>13</v>
      </c>
      <c r="HY85" s="476">
        <v>6</v>
      </c>
      <c r="HZ85" s="476">
        <v>9</v>
      </c>
      <c r="IA85" s="476">
        <v>8</v>
      </c>
      <c r="IB85" s="476">
        <v>58</v>
      </c>
      <c r="IC85" s="476">
        <v>94</v>
      </c>
      <c r="ID85" s="476">
        <v>0</v>
      </c>
      <c r="IE85" s="476">
        <v>0</v>
      </c>
      <c r="IF85" s="476">
        <v>0</v>
      </c>
      <c r="IG85" s="476">
        <v>6</v>
      </c>
      <c r="IH85" s="476">
        <v>0</v>
      </c>
      <c r="II85" s="476">
        <v>46.402999999999999</v>
      </c>
      <c r="IJ85" s="476">
        <v>3.45</v>
      </c>
      <c r="IK85" s="476">
        <v>10.617000000000001</v>
      </c>
      <c r="IL85" s="476">
        <v>0</v>
      </c>
      <c r="IM85" s="476">
        <v>0</v>
      </c>
      <c r="IN85" s="476">
        <v>0</v>
      </c>
      <c r="IO85" s="476">
        <v>0</v>
      </c>
      <c r="IP85" s="476">
        <v>57.02</v>
      </c>
      <c r="IQ85" s="476">
        <v>3.45</v>
      </c>
      <c r="IR85" s="476">
        <v>2125</v>
      </c>
      <c r="IS85" s="476">
        <v>2920</v>
      </c>
      <c r="IT85" s="476">
        <v>0</v>
      </c>
      <c r="IU85" s="476">
        <v>0</v>
      </c>
      <c r="IV85" s="476">
        <v>0</v>
      </c>
      <c r="IW85" s="476">
        <v>6160</v>
      </c>
      <c r="IX85" s="476">
        <v>0</v>
      </c>
      <c r="IY85" s="476">
        <v>0</v>
      </c>
      <c r="IZ85" s="476">
        <v>15681</v>
      </c>
      <c r="JA85" s="476">
        <v>0</v>
      </c>
      <c r="JB85" s="476">
        <v>0</v>
      </c>
      <c r="JC85" s="476">
        <v>0</v>
      </c>
      <c r="JD85" s="476">
        <v>0</v>
      </c>
      <c r="JE85" s="476">
        <v>0</v>
      </c>
      <c r="JF85" s="476">
        <v>0</v>
      </c>
      <c r="JG85" s="476">
        <v>0</v>
      </c>
      <c r="JH85" s="476">
        <v>0</v>
      </c>
      <c r="JI85" s="476">
        <v>0</v>
      </c>
      <c r="JJ85" s="476">
        <v>0</v>
      </c>
      <c r="JK85" s="476">
        <v>0</v>
      </c>
      <c r="JL85" s="476">
        <v>0</v>
      </c>
      <c r="JM85" s="476">
        <v>0</v>
      </c>
      <c r="JN85" s="476">
        <v>32469</v>
      </c>
      <c r="JO85" s="476">
        <v>0</v>
      </c>
      <c r="JP85" s="476">
        <v>8.1159999999999997</v>
      </c>
      <c r="JQ85" s="476">
        <v>0.58900000000000008</v>
      </c>
      <c r="JR85" s="476">
        <v>0</v>
      </c>
      <c r="JS85" s="476">
        <v>75441</v>
      </c>
      <c r="JT85" s="476">
        <v>6288</v>
      </c>
      <c r="JU85" s="476">
        <v>0</v>
      </c>
      <c r="JV85" s="476">
        <v>0</v>
      </c>
      <c r="JW85" s="476">
        <v>0</v>
      </c>
      <c r="JX85" s="476">
        <v>0</v>
      </c>
      <c r="JY85" s="476">
        <v>0</v>
      </c>
      <c r="JZ85" s="476">
        <v>0</v>
      </c>
      <c r="KA85" s="476">
        <v>0</v>
      </c>
      <c r="KB85" s="476">
        <v>0</v>
      </c>
      <c r="KC85" s="476">
        <v>0</v>
      </c>
      <c r="KD85" s="476">
        <v>0</v>
      </c>
      <c r="KE85" s="476">
        <v>7262</v>
      </c>
      <c r="KF85" s="476">
        <v>0</v>
      </c>
      <c r="KG85" s="476">
        <v>0</v>
      </c>
      <c r="KH85" s="476">
        <v>1169212</v>
      </c>
      <c r="KI85" s="476">
        <v>0</v>
      </c>
      <c r="KJ85" s="476">
        <v>1</v>
      </c>
      <c r="KK85" s="476">
        <v>5</v>
      </c>
      <c r="KL85" s="476">
        <v>616</v>
      </c>
      <c r="KM85" s="476">
        <v>3080</v>
      </c>
      <c r="KN85" s="476">
        <v>0</v>
      </c>
    </row>
    <row r="86" spans="1:300" x14ac:dyDescent="0.25">
      <c r="A86" s="476">
        <v>40976</v>
      </c>
      <c r="B86" s="476">
        <v>84802</v>
      </c>
      <c r="C86" s="476">
        <v>9</v>
      </c>
      <c r="D86" s="476">
        <v>2024</v>
      </c>
      <c r="E86" s="476">
        <v>6160</v>
      </c>
      <c r="F86" s="476">
        <v>0</v>
      </c>
      <c r="G86" s="476">
        <v>1335.0830000000001</v>
      </c>
      <c r="H86" s="476">
        <v>1230.3690000000001</v>
      </c>
      <c r="I86" s="476">
        <v>1230.3690000000001</v>
      </c>
      <c r="J86" s="476">
        <v>1335.0830000000001</v>
      </c>
      <c r="K86" s="476">
        <v>0</v>
      </c>
      <c r="L86" s="476">
        <v>6160</v>
      </c>
      <c r="M86" s="476">
        <v>0</v>
      </c>
      <c r="N86" s="476">
        <v>0</v>
      </c>
      <c r="O86" s="476">
        <v>0</v>
      </c>
      <c r="P86" s="476">
        <v>1338.3970000000002</v>
      </c>
      <c r="Q86" s="476">
        <v>0</v>
      </c>
      <c r="R86" s="476">
        <v>555280</v>
      </c>
      <c r="S86" s="476">
        <v>414.88400000000001</v>
      </c>
      <c r="T86" s="476">
        <v>0</v>
      </c>
      <c r="U86" s="476">
        <v>0</v>
      </c>
      <c r="V86" s="476">
        <v>269.87700000000001</v>
      </c>
      <c r="W86" s="476">
        <v>166240</v>
      </c>
      <c r="X86" s="476">
        <v>166240</v>
      </c>
      <c r="Y86" s="476">
        <v>0</v>
      </c>
      <c r="Z86" s="476">
        <v>0</v>
      </c>
      <c r="AA86" s="476">
        <v>0</v>
      </c>
      <c r="AB86" s="476">
        <v>0</v>
      </c>
      <c r="AC86" s="476">
        <v>0</v>
      </c>
      <c r="AD86" s="476" t="s">
        <v>314</v>
      </c>
      <c r="AE86" s="476">
        <v>0</v>
      </c>
      <c r="AF86" s="476">
        <v>0</v>
      </c>
      <c r="AG86" s="476">
        <v>0</v>
      </c>
      <c r="AH86" s="476">
        <v>0</v>
      </c>
      <c r="AI86" s="476">
        <v>0</v>
      </c>
      <c r="AJ86" s="476">
        <v>6160</v>
      </c>
      <c r="AK86" s="476" t="s">
        <v>651</v>
      </c>
      <c r="AL86" s="476" t="s">
        <v>341</v>
      </c>
      <c r="AM86" s="476">
        <v>0</v>
      </c>
      <c r="AN86" s="476">
        <v>0</v>
      </c>
      <c r="AO86" s="476">
        <v>0</v>
      </c>
      <c r="AP86" s="476">
        <v>0</v>
      </c>
      <c r="AQ86" s="476">
        <v>0</v>
      </c>
      <c r="AR86" s="476">
        <v>0</v>
      </c>
      <c r="AS86" s="476">
        <v>0</v>
      </c>
      <c r="AT86" s="476">
        <v>0</v>
      </c>
      <c r="AU86" s="476">
        <v>0</v>
      </c>
      <c r="AV86" s="476">
        <v>0</v>
      </c>
      <c r="AW86" s="476">
        <v>14899381</v>
      </c>
      <c r="AX86" s="476">
        <v>14678576</v>
      </c>
      <c r="AY86" s="476">
        <v>0</v>
      </c>
      <c r="AZ86" s="476">
        <v>555280</v>
      </c>
      <c r="BA86" s="476">
        <v>24.583000000000002</v>
      </c>
      <c r="BB86" s="476">
        <v>28133</v>
      </c>
      <c r="BC86" s="476">
        <v>27953</v>
      </c>
      <c r="BD86" s="476">
        <v>66</v>
      </c>
      <c r="BE86" s="476">
        <v>179</v>
      </c>
      <c r="BF86" s="476">
        <v>13236469</v>
      </c>
      <c r="BG86" s="476">
        <v>0</v>
      </c>
      <c r="BH86" s="476">
        <v>0</v>
      </c>
      <c r="BI86" s="476">
        <v>0</v>
      </c>
      <c r="BJ86" s="476">
        <v>12</v>
      </c>
      <c r="BK86" s="476">
        <v>0</v>
      </c>
      <c r="BL86" s="476">
        <v>0</v>
      </c>
      <c r="BM86" s="476">
        <v>0</v>
      </c>
      <c r="BN86" s="476">
        <v>0</v>
      </c>
      <c r="BO86" s="476">
        <v>0</v>
      </c>
      <c r="BP86" s="476">
        <v>0</v>
      </c>
      <c r="BQ86" s="476">
        <v>581</v>
      </c>
      <c r="BR86" s="476">
        <v>0</v>
      </c>
      <c r="BS86" s="476">
        <v>0</v>
      </c>
      <c r="BT86" s="476">
        <v>0</v>
      </c>
      <c r="BU86" s="476">
        <v>0</v>
      </c>
      <c r="BV86" s="476">
        <v>0</v>
      </c>
      <c r="BW86" s="476">
        <v>0</v>
      </c>
      <c r="BX86" s="476">
        <v>0</v>
      </c>
      <c r="BY86" s="476">
        <v>0</v>
      </c>
      <c r="BZ86" s="476">
        <v>0</v>
      </c>
      <c r="CA86" s="476">
        <v>0</v>
      </c>
      <c r="CB86" s="476">
        <v>0</v>
      </c>
      <c r="CC86" s="476">
        <v>0</v>
      </c>
      <c r="CD86" s="476">
        <v>0</v>
      </c>
      <c r="CE86" s="476">
        <v>0</v>
      </c>
      <c r="CF86" s="476">
        <v>0</v>
      </c>
      <c r="CG86" s="476">
        <v>0</v>
      </c>
      <c r="CH86" s="476">
        <v>225396</v>
      </c>
      <c r="CI86" s="476">
        <v>0</v>
      </c>
      <c r="CJ86" s="476">
        <v>4</v>
      </c>
      <c r="CK86" s="476">
        <v>0</v>
      </c>
      <c r="CL86" s="476">
        <v>0</v>
      </c>
      <c r="CM86" s="476">
        <v>0</v>
      </c>
      <c r="CN86" s="476">
        <v>0</v>
      </c>
      <c r="CO86" s="476">
        <v>1</v>
      </c>
      <c r="CP86" s="476">
        <v>0</v>
      </c>
      <c r="CQ86" s="476">
        <v>1</v>
      </c>
      <c r="CR86" s="476">
        <v>1335.0830000000001</v>
      </c>
      <c r="CS86" s="476">
        <v>0</v>
      </c>
      <c r="CT86" s="476">
        <v>0</v>
      </c>
      <c r="CU86" s="476">
        <v>0</v>
      </c>
      <c r="CV86" s="476">
        <v>0</v>
      </c>
      <c r="CW86" s="476">
        <v>0</v>
      </c>
      <c r="CX86" s="476">
        <v>0</v>
      </c>
      <c r="CY86" s="476">
        <v>0</v>
      </c>
      <c r="CZ86" s="476">
        <v>0</v>
      </c>
      <c r="DA86" s="476">
        <v>0</v>
      </c>
      <c r="DB86" s="476">
        <v>7578901</v>
      </c>
      <c r="DC86" s="476">
        <v>0</v>
      </c>
      <c r="DD86" s="476">
        <v>0</v>
      </c>
      <c r="DE86" s="476">
        <v>1947286</v>
      </c>
      <c r="DF86" s="476">
        <v>1947286</v>
      </c>
      <c r="DG86" s="476">
        <v>316.125</v>
      </c>
      <c r="DH86" s="476">
        <v>0</v>
      </c>
      <c r="DI86" s="476">
        <v>0</v>
      </c>
      <c r="DJ86" s="476">
        <v>0</v>
      </c>
      <c r="DK86" s="476">
        <v>911</v>
      </c>
      <c r="DL86" s="476">
        <v>0</v>
      </c>
      <c r="DM86" s="476">
        <v>1282989</v>
      </c>
      <c r="DN86" s="476">
        <v>4411</v>
      </c>
      <c r="DO86" s="476">
        <v>0</v>
      </c>
      <c r="DP86" s="476">
        <v>0</v>
      </c>
      <c r="DQ86" s="476">
        <v>0</v>
      </c>
      <c r="DR86" s="476">
        <v>0</v>
      </c>
      <c r="DS86" s="476">
        <v>0</v>
      </c>
      <c r="DT86" s="476">
        <v>0</v>
      </c>
      <c r="DU86" s="476">
        <v>0</v>
      </c>
      <c r="DV86" s="476">
        <v>0</v>
      </c>
      <c r="DW86" s="476">
        <v>0</v>
      </c>
      <c r="DX86" s="476">
        <v>0</v>
      </c>
      <c r="DY86" s="476">
        <v>0</v>
      </c>
      <c r="DZ86" s="476">
        <v>0</v>
      </c>
      <c r="EA86" s="476">
        <v>4.3000000000000003E-2</v>
      </c>
      <c r="EB86" s="476">
        <v>0.125</v>
      </c>
      <c r="EC86" s="476">
        <v>49.315000000000005</v>
      </c>
      <c r="ED86" s="476">
        <v>349340</v>
      </c>
      <c r="EE86" s="476">
        <v>0</v>
      </c>
      <c r="EF86" s="476">
        <v>0</v>
      </c>
      <c r="EG86" s="476">
        <v>0</v>
      </c>
      <c r="EH86" s="476">
        <v>938060</v>
      </c>
      <c r="EI86" s="476">
        <v>0</v>
      </c>
      <c r="EJ86" s="476">
        <v>0</v>
      </c>
      <c r="EK86" s="476">
        <v>46.951000000000001</v>
      </c>
      <c r="EL86" s="476">
        <v>0</v>
      </c>
      <c r="EM86" s="476">
        <v>2.6000000000000002E-2</v>
      </c>
      <c r="EN86" s="476">
        <v>2.153</v>
      </c>
      <c r="EO86" s="476">
        <v>0</v>
      </c>
      <c r="EP86" s="476">
        <v>0</v>
      </c>
      <c r="EQ86" s="476">
        <v>49.298000000000002</v>
      </c>
      <c r="ER86" s="476">
        <v>0</v>
      </c>
      <c r="ES86" s="476">
        <v>152.286</v>
      </c>
      <c r="ET86" s="476">
        <v>0</v>
      </c>
      <c r="EU86" s="476">
        <v>0</v>
      </c>
      <c r="EV86" s="476">
        <v>0</v>
      </c>
      <c r="EW86" s="476">
        <v>0</v>
      </c>
      <c r="EX86" s="476">
        <v>0</v>
      </c>
      <c r="EY86" s="476">
        <v>0</v>
      </c>
      <c r="EZ86" s="476">
        <v>12684080</v>
      </c>
      <c r="FA86" s="476">
        <v>0</v>
      </c>
      <c r="FB86" s="476">
        <v>13234769</v>
      </c>
      <c r="FC86" s="476">
        <v>0</v>
      </c>
      <c r="FD86" s="476">
        <v>0</v>
      </c>
      <c r="FE86" s="476">
        <v>1709069</v>
      </c>
      <c r="FF86" s="476">
        <v>285427</v>
      </c>
      <c r="FG86" s="476">
        <v>6.3017999999999991E-2</v>
      </c>
      <c r="FH86" s="476">
        <v>2.6953999999999999E-2</v>
      </c>
      <c r="FI86" s="476">
        <v>0</v>
      </c>
      <c r="FJ86" s="476">
        <v>0</v>
      </c>
      <c r="FK86" s="476">
        <v>2148.826</v>
      </c>
      <c r="FL86" s="476">
        <v>15454661</v>
      </c>
      <c r="FM86" s="476">
        <v>0</v>
      </c>
      <c r="FN86" s="476">
        <v>0</v>
      </c>
      <c r="FO86" s="476">
        <v>0</v>
      </c>
      <c r="FP86" s="476">
        <v>0</v>
      </c>
      <c r="FQ86" s="476">
        <v>0</v>
      </c>
      <c r="FR86" s="476">
        <v>0</v>
      </c>
      <c r="FS86" s="476">
        <v>0</v>
      </c>
      <c r="FT86" s="476">
        <v>0</v>
      </c>
      <c r="FU86" s="476">
        <v>0</v>
      </c>
      <c r="FV86" s="476">
        <v>0</v>
      </c>
      <c r="FW86" s="476">
        <v>0</v>
      </c>
      <c r="FX86" s="476">
        <v>0</v>
      </c>
      <c r="FY86" s="476">
        <v>0</v>
      </c>
      <c r="FZ86" s="476">
        <v>0</v>
      </c>
      <c r="GA86" s="476">
        <v>0</v>
      </c>
      <c r="GB86" s="476">
        <v>532414</v>
      </c>
      <c r="GC86" s="476">
        <v>532414</v>
      </c>
      <c r="GD86" s="476">
        <v>55.416000000000004</v>
      </c>
      <c r="GE86" s="476">
        <v>0</v>
      </c>
      <c r="GF86" s="476">
        <v>0</v>
      </c>
      <c r="GG86" s="476">
        <v>0</v>
      </c>
      <c r="GH86" s="476">
        <v>0</v>
      </c>
      <c r="GI86" s="476">
        <v>0</v>
      </c>
      <c r="GJ86" s="476">
        <v>0</v>
      </c>
      <c r="GK86" s="476">
        <v>0</v>
      </c>
      <c r="GL86" s="476">
        <v>0</v>
      </c>
      <c r="GM86" s="476">
        <v>0</v>
      </c>
      <c r="GN86" s="476">
        <v>0</v>
      </c>
      <c r="GO86" s="476">
        <v>0</v>
      </c>
      <c r="GP86" s="476">
        <v>0</v>
      </c>
      <c r="GQ86" s="476">
        <v>14673985</v>
      </c>
      <c r="GR86" s="476">
        <v>0</v>
      </c>
      <c r="GS86" s="476">
        <v>0</v>
      </c>
      <c r="GT86" s="476">
        <v>0</v>
      </c>
      <c r="GU86" s="476">
        <v>0</v>
      </c>
      <c r="GV86" s="476">
        <v>0</v>
      </c>
      <c r="GW86" s="476">
        <v>0</v>
      </c>
      <c r="GX86" s="476">
        <v>0</v>
      </c>
      <c r="GY86" s="476">
        <v>0</v>
      </c>
      <c r="GZ86" s="476">
        <v>0</v>
      </c>
      <c r="HA86" s="476">
        <v>0</v>
      </c>
      <c r="HB86" s="476">
        <v>323396213</v>
      </c>
      <c r="HC86" s="476">
        <v>4.2206E-2</v>
      </c>
      <c r="HD86" s="476">
        <v>225396</v>
      </c>
      <c r="HE86" s="476">
        <v>0</v>
      </c>
      <c r="HF86" s="476">
        <v>1355867</v>
      </c>
      <c r="HG86" s="476">
        <v>24639</v>
      </c>
      <c r="HH86" s="476">
        <v>273238</v>
      </c>
      <c r="HI86" s="476">
        <v>0</v>
      </c>
      <c r="HJ86" s="476">
        <v>13351</v>
      </c>
      <c r="HK86" s="476">
        <v>2063</v>
      </c>
      <c r="HL86" s="476">
        <v>828</v>
      </c>
      <c r="HM86" s="476">
        <v>29000</v>
      </c>
      <c r="HN86" s="476">
        <v>0</v>
      </c>
      <c r="HO86" s="476">
        <v>0</v>
      </c>
      <c r="HP86" s="476">
        <v>0</v>
      </c>
      <c r="HQ86" s="476">
        <v>0</v>
      </c>
      <c r="HR86" s="476">
        <v>0</v>
      </c>
      <c r="HS86" s="476">
        <v>12679489</v>
      </c>
      <c r="HT86" s="476">
        <v>285427</v>
      </c>
      <c r="HU86" s="476">
        <v>0</v>
      </c>
      <c r="HV86" s="476">
        <v>0</v>
      </c>
      <c r="HW86" s="476">
        <v>0</v>
      </c>
      <c r="HX86" s="476">
        <v>237</v>
      </c>
      <c r="HY86" s="476">
        <v>223</v>
      </c>
      <c r="HZ86" s="476">
        <v>287</v>
      </c>
      <c r="IA86" s="476">
        <v>283</v>
      </c>
      <c r="IB86" s="476">
        <v>232</v>
      </c>
      <c r="IC86" s="476">
        <v>1262</v>
      </c>
      <c r="ID86" s="476">
        <v>0</v>
      </c>
      <c r="IE86" s="476">
        <v>0</v>
      </c>
      <c r="IF86" s="476">
        <v>0</v>
      </c>
      <c r="IG86" s="476">
        <v>40</v>
      </c>
      <c r="IH86" s="476">
        <v>443.57800000000003</v>
      </c>
      <c r="II86" s="476">
        <v>0</v>
      </c>
      <c r="IJ86" s="476">
        <v>269.87700000000001</v>
      </c>
      <c r="IK86" s="476">
        <v>0</v>
      </c>
      <c r="IL86" s="476">
        <v>4</v>
      </c>
      <c r="IM86" s="476">
        <v>3</v>
      </c>
      <c r="IN86" s="476">
        <v>0</v>
      </c>
      <c r="IO86" s="476">
        <v>7</v>
      </c>
      <c r="IP86" s="476">
        <v>0</v>
      </c>
      <c r="IQ86" s="476">
        <v>269.87700000000001</v>
      </c>
      <c r="IR86" s="476">
        <v>166240</v>
      </c>
      <c r="IS86" s="476">
        <v>0</v>
      </c>
      <c r="IT86" s="476">
        <v>20000</v>
      </c>
      <c r="IU86" s="476">
        <v>9000</v>
      </c>
      <c r="IV86" s="476">
        <v>0</v>
      </c>
      <c r="IW86" s="476">
        <v>6160</v>
      </c>
      <c r="IX86" s="476">
        <v>0</v>
      </c>
      <c r="IY86" s="476">
        <v>0</v>
      </c>
      <c r="IZ86" s="476">
        <v>0</v>
      </c>
      <c r="JA86" s="476">
        <v>0</v>
      </c>
      <c r="JB86" s="476">
        <v>0</v>
      </c>
      <c r="JC86" s="476">
        <v>0</v>
      </c>
      <c r="JD86" s="476">
        <v>0</v>
      </c>
      <c r="JE86" s="476">
        <v>0</v>
      </c>
      <c r="JF86" s="476">
        <v>0</v>
      </c>
      <c r="JG86" s="476">
        <v>0</v>
      </c>
      <c r="JH86" s="476">
        <v>0</v>
      </c>
      <c r="JI86" s="476">
        <v>0</v>
      </c>
      <c r="JJ86" s="476">
        <v>0</v>
      </c>
      <c r="JK86" s="476">
        <v>0</v>
      </c>
      <c r="JL86" s="476">
        <v>0</v>
      </c>
      <c r="JM86" s="476">
        <v>0</v>
      </c>
      <c r="JN86" s="476">
        <v>32469</v>
      </c>
      <c r="JO86" s="476">
        <v>0.24500000000000002</v>
      </c>
      <c r="JP86" s="476">
        <v>42.399000000000001</v>
      </c>
      <c r="JQ86" s="476">
        <v>12.772</v>
      </c>
      <c r="JR86" s="476">
        <v>1957</v>
      </c>
      <c r="JS86" s="476">
        <v>394114</v>
      </c>
      <c r="JT86" s="476">
        <v>136343</v>
      </c>
      <c r="JU86" s="476">
        <v>28459</v>
      </c>
      <c r="JV86" s="476">
        <v>0</v>
      </c>
      <c r="JW86" s="476">
        <v>0</v>
      </c>
      <c r="JX86" s="476">
        <v>0</v>
      </c>
      <c r="JY86" s="476">
        <v>0</v>
      </c>
      <c r="JZ86" s="476">
        <v>0</v>
      </c>
      <c r="KA86" s="476">
        <v>0</v>
      </c>
      <c r="KB86" s="476">
        <v>0</v>
      </c>
      <c r="KC86" s="476">
        <v>0</v>
      </c>
      <c r="KD86" s="476">
        <v>28459</v>
      </c>
      <c r="KE86" s="476">
        <v>7262</v>
      </c>
      <c r="KF86" s="476">
        <v>0</v>
      </c>
      <c r="KG86" s="476">
        <v>0</v>
      </c>
      <c r="KH86" s="476">
        <v>14673985</v>
      </c>
      <c r="KI86" s="476">
        <v>0</v>
      </c>
      <c r="KJ86" s="476">
        <v>34</v>
      </c>
      <c r="KK86" s="476">
        <v>6</v>
      </c>
      <c r="KL86" s="476">
        <v>20944</v>
      </c>
      <c r="KM86" s="476">
        <v>3696</v>
      </c>
      <c r="KN86" s="476">
        <v>0</v>
      </c>
    </row>
    <row r="87" spans="1:300" x14ac:dyDescent="0.25">
      <c r="A87" s="476">
        <v>40976</v>
      </c>
      <c r="B87" s="476">
        <v>84804</v>
      </c>
      <c r="C87" s="476">
        <v>9</v>
      </c>
      <c r="D87" s="476">
        <v>2024</v>
      </c>
      <c r="E87" s="476">
        <v>6160</v>
      </c>
      <c r="F87" s="476">
        <v>0</v>
      </c>
      <c r="G87" s="476">
        <v>144.83000000000001</v>
      </c>
      <c r="H87" s="476">
        <v>142.304</v>
      </c>
      <c r="I87" s="476">
        <v>142.304</v>
      </c>
      <c r="J87" s="476">
        <v>144.83000000000001</v>
      </c>
      <c r="K87" s="476">
        <v>0</v>
      </c>
      <c r="L87" s="476">
        <v>6160</v>
      </c>
      <c r="M87" s="476">
        <v>0</v>
      </c>
      <c r="N87" s="476">
        <v>0</v>
      </c>
      <c r="O87" s="476">
        <v>0</v>
      </c>
      <c r="P87" s="476">
        <v>144.83000000000001</v>
      </c>
      <c r="Q87" s="476">
        <v>0</v>
      </c>
      <c r="R87" s="476">
        <v>60088</v>
      </c>
      <c r="S87" s="476">
        <v>414.88400000000001</v>
      </c>
      <c r="T87" s="476">
        <v>0</v>
      </c>
      <c r="U87" s="476">
        <v>0</v>
      </c>
      <c r="V87" s="476">
        <v>0</v>
      </c>
      <c r="W87" s="476">
        <v>0</v>
      </c>
      <c r="X87" s="476">
        <v>0</v>
      </c>
      <c r="Y87" s="476">
        <v>0</v>
      </c>
      <c r="Z87" s="476">
        <v>0</v>
      </c>
      <c r="AA87" s="476">
        <v>0</v>
      </c>
      <c r="AB87" s="476">
        <v>0</v>
      </c>
      <c r="AC87" s="476">
        <v>0</v>
      </c>
      <c r="AD87" s="476" t="s">
        <v>314</v>
      </c>
      <c r="AE87" s="476">
        <v>0</v>
      </c>
      <c r="AF87" s="476">
        <v>0</v>
      </c>
      <c r="AG87" s="476">
        <v>0</v>
      </c>
      <c r="AH87" s="476">
        <v>0</v>
      </c>
      <c r="AI87" s="476">
        <v>0</v>
      </c>
      <c r="AJ87" s="476">
        <v>6160</v>
      </c>
      <c r="AK87" s="476" t="s">
        <v>651</v>
      </c>
      <c r="AL87" s="476" t="s">
        <v>64</v>
      </c>
      <c r="AM87" s="476">
        <v>0</v>
      </c>
      <c r="AN87" s="476">
        <v>0</v>
      </c>
      <c r="AO87" s="476">
        <v>0</v>
      </c>
      <c r="AP87" s="476">
        <v>0</v>
      </c>
      <c r="AQ87" s="476">
        <v>0</v>
      </c>
      <c r="AR87" s="476">
        <v>0</v>
      </c>
      <c r="AS87" s="476">
        <v>0</v>
      </c>
      <c r="AT87" s="476">
        <v>0</v>
      </c>
      <c r="AU87" s="476">
        <v>0</v>
      </c>
      <c r="AV87" s="476">
        <v>0</v>
      </c>
      <c r="AW87" s="476">
        <v>1529144</v>
      </c>
      <c r="AX87" s="476">
        <v>1504865</v>
      </c>
      <c r="AY87" s="476">
        <v>0</v>
      </c>
      <c r="AZ87" s="476">
        <v>60088</v>
      </c>
      <c r="BA87" s="476">
        <v>0</v>
      </c>
      <c r="BB87" s="476">
        <v>1279</v>
      </c>
      <c r="BC87" s="476">
        <v>1271</v>
      </c>
      <c r="BD87" s="476">
        <v>3</v>
      </c>
      <c r="BE87" s="476">
        <v>8</v>
      </c>
      <c r="BF87" s="476">
        <v>1360022</v>
      </c>
      <c r="BG87" s="476">
        <v>0</v>
      </c>
      <c r="BH87" s="476">
        <v>0</v>
      </c>
      <c r="BI87" s="476">
        <v>0</v>
      </c>
      <c r="BJ87" s="476">
        <v>12</v>
      </c>
      <c r="BK87" s="476">
        <v>0</v>
      </c>
      <c r="BL87" s="476">
        <v>0</v>
      </c>
      <c r="BM87" s="476">
        <v>0</v>
      </c>
      <c r="BN87" s="476">
        <v>0</v>
      </c>
      <c r="BO87" s="476">
        <v>0</v>
      </c>
      <c r="BP87" s="476">
        <v>0</v>
      </c>
      <c r="BQ87" s="476">
        <v>748</v>
      </c>
      <c r="BR87" s="476">
        <v>0</v>
      </c>
      <c r="BS87" s="476">
        <v>0</v>
      </c>
      <c r="BT87" s="476">
        <v>0</v>
      </c>
      <c r="BU87" s="476">
        <v>0</v>
      </c>
      <c r="BV87" s="476">
        <v>0</v>
      </c>
      <c r="BW87" s="476">
        <v>0</v>
      </c>
      <c r="BX87" s="476">
        <v>0</v>
      </c>
      <c r="BY87" s="476">
        <v>0</v>
      </c>
      <c r="BZ87" s="476">
        <v>0</v>
      </c>
      <c r="CA87" s="476">
        <v>0</v>
      </c>
      <c r="CB87" s="476">
        <v>0</v>
      </c>
      <c r="CC87" s="476">
        <v>0</v>
      </c>
      <c r="CD87" s="476">
        <v>0</v>
      </c>
      <c r="CE87" s="476">
        <v>0</v>
      </c>
      <c r="CF87" s="476">
        <v>0</v>
      </c>
      <c r="CG87" s="476">
        <v>0</v>
      </c>
      <c r="CH87" s="476">
        <v>24451</v>
      </c>
      <c r="CI87" s="476">
        <v>0</v>
      </c>
      <c r="CJ87" s="476">
        <v>4</v>
      </c>
      <c r="CK87" s="476">
        <v>0</v>
      </c>
      <c r="CL87" s="476">
        <v>0</v>
      </c>
      <c r="CM87" s="476">
        <v>0</v>
      </c>
      <c r="CN87" s="476">
        <v>0</v>
      </c>
      <c r="CO87" s="476">
        <v>1</v>
      </c>
      <c r="CP87" s="476">
        <v>0</v>
      </c>
      <c r="CQ87" s="476">
        <v>0</v>
      </c>
      <c r="CR87" s="476">
        <v>144.83000000000001</v>
      </c>
      <c r="CS87" s="476">
        <v>0</v>
      </c>
      <c r="CT87" s="476">
        <v>0</v>
      </c>
      <c r="CU87" s="476">
        <v>0</v>
      </c>
      <c r="CV87" s="476">
        <v>0</v>
      </c>
      <c r="CW87" s="476">
        <v>0</v>
      </c>
      <c r="CX87" s="476">
        <v>0</v>
      </c>
      <c r="CY87" s="476">
        <v>0</v>
      </c>
      <c r="CZ87" s="476">
        <v>0</v>
      </c>
      <c r="DA87" s="476">
        <v>0</v>
      </c>
      <c r="DB87" s="476">
        <v>870549</v>
      </c>
      <c r="DC87" s="476">
        <v>0</v>
      </c>
      <c r="DD87" s="476">
        <v>0</v>
      </c>
      <c r="DE87" s="476">
        <v>237155</v>
      </c>
      <c r="DF87" s="476">
        <v>237155</v>
      </c>
      <c r="DG87" s="476">
        <v>38.5</v>
      </c>
      <c r="DH87" s="476">
        <v>0</v>
      </c>
      <c r="DI87" s="476">
        <v>0</v>
      </c>
      <c r="DJ87" s="476">
        <v>0</v>
      </c>
      <c r="DK87" s="476">
        <v>3592</v>
      </c>
      <c r="DL87" s="476">
        <v>0</v>
      </c>
      <c r="DM87" s="476">
        <v>53821</v>
      </c>
      <c r="DN87" s="476">
        <v>164</v>
      </c>
      <c r="DO87" s="476">
        <v>0</v>
      </c>
      <c r="DP87" s="476">
        <v>0</v>
      </c>
      <c r="DQ87" s="476">
        <v>0</v>
      </c>
      <c r="DR87" s="476">
        <v>0</v>
      </c>
      <c r="DS87" s="476">
        <v>0</v>
      </c>
      <c r="DT87" s="476">
        <v>0</v>
      </c>
      <c r="DU87" s="476">
        <v>0</v>
      </c>
      <c r="DV87" s="476">
        <v>0</v>
      </c>
      <c r="DW87" s="476">
        <v>0</v>
      </c>
      <c r="DX87" s="476">
        <v>0</v>
      </c>
      <c r="DY87" s="476">
        <v>0</v>
      </c>
      <c r="DZ87" s="476">
        <v>0</v>
      </c>
      <c r="EA87" s="476">
        <v>0</v>
      </c>
      <c r="EB87" s="476">
        <v>0</v>
      </c>
      <c r="EC87" s="476">
        <v>0</v>
      </c>
      <c r="ED87" s="476">
        <v>0</v>
      </c>
      <c r="EE87" s="476">
        <v>0</v>
      </c>
      <c r="EF87" s="476">
        <v>0</v>
      </c>
      <c r="EG87" s="476">
        <v>0</v>
      </c>
      <c r="EH87" s="476">
        <v>47961</v>
      </c>
      <c r="EI87" s="476">
        <v>0</v>
      </c>
      <c r="EJ87" s="476">
        <v>0</v>
      </c>
      <c r="EK87" s="476">
        <v>2.4220000000000002</v>
      </c>
      <c r="EL87" s="476">
        <v>0</v>
      </c>
      <c r="EM87" s="476">
        <v>0</v>
      </c>
      <c r="EN87" s="476">
        <v>0.10400000000000001</v>
      </c>
      <c r="EO87" s="476">
        <v>0</v>
      </c>
      <c r="EP87" s="476">
        <v>0</v>
      </c>
      <c r="EQ87" s="476">
        <v>2.5260000000000002</v>
      </c>
      <c r="ER87" s="476">
        <v>0</v>
      </c>
      <c r="ES87" s="476">
        <v>7.7860000000000005</v>
      </c>
      <c r="ET87" s="476">
        <v>0</v>
      </c>
      <c r="EU87" s="476">
        <v>0</v>
      </c>
      <c r="EV87" s="476">
        <v>0</v>
      </c>
      <c r="EW87" s="476">
        <v>0</v>
      </c>
      <c r="EX87" s="476">
        <v>0</v>
      </c>
      <c r="EY87" s="476">
        <v>0</v>
      </c>
      <c r="EZ87" s="476">
        <v>1299934</v>
      </c>
      <c r="FA87" s="476">
        <v>0</v>
      </c>
      <c r="FB87" s="476">
        <v>1359850</v>
      </c>
      <c r="FC87" s="476">
        <v>0</v>
      </c>
      <c r="FD87" s="476">
        <v>0</v>
      </c>
      <c r="FE87" s="476">
        <v>175604</v>
      </c>
      <c r="FF87" s="476">
        <v>29327</v>
      </c>
      <c r="FG87" s="476">
        <v>6.3017999999999991E-2</v>
      </c>
      <c r="FH87" s="476">
        <v>2.6953999999999999E-2</v>
      </c>
      <c r="FI87" s="476">
        <v>0</v>
      </c>
      <c r="FJ87" s="476">
        <v>0</v>
      </c>
      <c r="FK87" s="476">
        <v>220.78800000000001</v>
      </c>
      <c r="FL87" s="476">
        <v>1589232</v>
      </c>
      <c r="FM87" s="476">
        <v>0</v>
      </c>
      <c r="FN87" s="476">
        <v>0</v>
      </c>
      <c r="FO87" s="476">
        <v>0</v>
      </c>
      <c r="FP87" s="476">
        <v>0</v>
      </c>
      <c r="FQ87" s="476">
        <v>0</v>
      </c>
      <c r="FR87" s="476">
        <v>0</v>
      </c>
      <c r="FS87" s="476">
        <v>0</v>
      </c>
      <c r="FT87" s="476">
        <v>0</v>
      </c>
      <c r="FU87" s="476">
        <v>0</v>
      </c>
      <c r="FV87" s="476">
        <v>0</v>
      </c>
      <c r="FW87" s="476">
        <v>0</v>
      </c>
      <c r="FX87" s="476">
        <v>0</v>
      </c>
      <c r="FY87" s="476">
        <v>0</v>
      </c>
      <c r="FZ87" s="476">
        <v>0</v>
      </c>
      <c r="GA87" s="476">
        <v>0</v>
      </c>
      <c r="GB87" s="476">
        <v>0</v>
      </c>
      <c r="GC87" s="476">
        <v>0</v>
      </c>
      <c r="GD87" s="476">
        <v>0</v>
      </c>
      <c r="GE87" s="476">
        <v>0</v>
      </c>
      <c r="GF87" s="476">
        <v>0</v>
      </c>
      <c r="GG87" s="476">
        <v>0</v>
      </c>
      <c r="GH87" s="476">
        <v>0</v>
      </c>
      <c r="GI87" s="476">
        <v>0</v>
      </c>
      <c r="GJ87" s="476">
        <v>0</v>
      </c>
      <c r="GK87" s="476">
        <v>0</v>
      </c>
      <c r="GL87" s="476">
        <v>0</v>
      </c>
      <c r="GM87" s="476">
        <v>0</v>
      </c>
      <c r="GN87" s="476">
        <v>0</v>
      </c>
      <c r="GO87" s="476">
        <v>0</v>
      </c>
      <c r="GP87" s="476">
        <v>0</v>
      </c>
      <c r="GQ87" s="476">
        <v>1504693</v>
      </c>
      <c r="GR87" s="476">
        <v>0</v>
      </c>
      <c r="GS87" s="476">
        <v>0</v>
      </c>
      <c r="GT87" s="476">
        <v>0</v>
      </c>
      <c r="GU87" s="476">
        <v>0</v>
      </c>
      <c r="GV87" s="476">
        <v>0</v>
      </c>
      <c r="GW87" s="476">
        <v>0</v>
      </c>
      <c r="GX87" s="476">
        <v>0</v>
      </c>
      <c r="GY87" s="476">
        <v>0</v>
      </c>
      <c r="GZ87" s="476">
        <v>0</v>
      </c>
      <c r="HA87" s="476">
        <v>0</v>
      </c>
      <c r="HB87" s="476">
        <v>323396213</v>
      </c>
      <c r="HC87" s="476">
        <v>4.2206E-2</v>
      </c>
      <c r="HD87" s="476">
        <v>24451</v>
      </c>
      <c r="HE87" s="476">
        <v>0</v>
      </c>
      <c r="HF87" s="476">
        <v>156819</v>
      </c>
      <c r="HG87" s="476">
        <v>2464</v>
      </c>
      <c r="HH87" s="476">
        <v>36323</v>
      </c>
      <c r="HI87" s="476">
        <v>0</v>
      </c>
      <c r="HJ87" s="476">
        <v>1448</v>
      </c>
      <c r="HK87" s="476">
        <v>0</v>
      </c>
      <c r="HL87" s="476">
        <v>0</v>
      </c>
      <c r="HM87" s="476">
        <v>0</v>
      </c>
      <c r="HN87" s="476">
        <v>0</v>
      </c>
      <c r="HO87" s="476">
        <v>0</v>
      </c>
      <c r="HP87" s="476">
        <v>0</v>
      </c>
      <c r="HQ87" s="476">
        <v>0</v>
      </c>
      <c r="HR87" s="476">
        <v>0</v>
      </c>
      <c r="HS87" s="476">
        <v>1299762</v>
      </c>
      <c r="HT87" s="476">
        <v>29327</v>
      </c>
      <c r="HU87" s="476">
        <v>0</v>
      </c>
      <c r="HV87" s="476">
        <v>0</v>
      </c>
      <c r="HW87" s="476">
        <v>0</v>
      </c>
      <c r="HX87" s="476">
        <v>17</v>
      </c>
      <c r="HY87" s="476">
        <v>19</v>
      </c>
      <c r="HZ87" s="476">
        <v>37</v>
      </c>
      <c r="IA87" s="476">
        <v>43</v>
      </c>
      <c r="IB87" s="476">
        <v>35</v>
      </c>
      <c r="IC87" s="476">
        <v>151</v>
      </c>
      <c r="ID87" s="476">
        <v>0</v>
      </c>
      <c r="IE87" s="476">
        <v>0</v>
      </c>
      <c r="IF87" s="476">
        <v>0</v>
      </c>
      <c r="IG87" s="476">
        <v>4</v>
      </c>
      <c r="IH87" s="476">
        <v>58.967000000000006</v>
      </c>
      <c r="II87" s="476">
        <v>0</v>
      </c>
      <c r="IJ87" s="476">
        <v>0</v>
      </c>
      <c r="IK87" s="476">
        <v>0</v>
      </c>
      <c r="IL87" s="476">
        <v>0</v>
      </c>
      <c r="IM87" s="476">
        <v>0</v>
      </c>
      <c r="IN87" s="476">
        <v>0</v>
      </c>
      <c r="IO87" s="476">
        <v>0</v>
      </c>
      <c r="IP87" s="476">
        <v>0</v>
      </c>
      <c r="IQ87" s="476">
        <v>0</v>
      </c>
      <c r="IR87" s="476">
        <v>0</v>
      </c>
      <c r="IS87" s="476">
        <v>0</v>
      </c>
      <c r="IT87" s="476">
        <v>0</v>
      </c>
      <c r="IU87" s="476">
        <v>0</v>
      </c>
      <c r="IV87" s="476">
        <v>0</v>
      </c>
      <c r="IW87" s="476">
        <v>6160</v>
      </c>
      <c r="IX87" s="476">
        <v>0</v>
      </c>
      <c r="IY87" s="476">
        <v>0</v>
      </c>
      <c r="IZ87" s="476">
        <v>0</v>
      </c>
      <c r="JA87" s="476">
        <v>0</v>
      </c>
      <c r="JB87" s="476">
        <v>0</v>
      </c>
      <c r="JC87" s="476">
        <v>0</v>
      </c>
      <c r="JD87" s="476">
        <v>0</v>
      </c>
      <c r="JE87" s="476">
        <v>0</v>
      </c>
      <c r="JF87" s="476">
        <v>0</v>
      </c>
      <c r="JG87" s="476">
        <v>0</v>
      </c>
      <c r="JH87" s="476">
        <v>0</v>
      </c>
      <c r="JI87" s="476">
        <v>0</v>
      </c>
      <c r="JJ87" s="476">
        <v>0</v>
      </c>
      <c r="JK87" s="476">
        <v>0</v>
      </c>
      <c r="JL87" s="476">
        <v>0</v>
      </c>
      <c r="JM87" s="476">
        <v>0</v>
      </c>
      <c r="JN87" s="476">
        <v>32469</v>
      </c>
      <c r="JO87" s="476">
        <v>0</v>
      </c>
      <c r="JP87" s="476">
        <v>0</v>
      </c>
      <c r="JQ87" s="476">
        <v>0</v>
      </c>
      <c r="JR87" s="476">
        <v>0</v>
      </c>
      <c r="JS87" s="476">
        <v>0</v>
      </c>
      <c r="JT87" s="476">
        <v>0</v>
      </c>
      <c r="JU87" s="476">
        <v>1294</v>
      </c>
      <c r="JV87" s="476">
        <v>0</v>
      </c>
      <c r="JW87" s="476">
        <v>0</v>
      </c>
      <c r="JX87" s="476">
        <v>0</v>
      </c>
      <c r="JY87" s="476">
        <v>0</v>
      </c>
      <c r="JZ87" s="476">
        <v>0</v>
      </c>
      <c r="KA87" s="476">
        <v>0</v>
      </c>
      <c r="KB87" s="476">
        <v>0</v>
      </c>
      <c r="KC87" s="476">
        <v>0</v>
      </c>
      <c r="KD87" s="476">
        <v>1294</v>
      </c>
      <c r="KE87" s="476">
        <v>7262</v>
      </c>
      <c r="KF87" s="476">
        <v>0</v>
      </c>
      <c r="KG87" s="476">
        <v>0</v>
      </c>
      <c r="KH87" s="476">
        <v>1504693</v>
      </c>
      <c r="KI87" s="476">
        <v>0</v>
      </c>
      <c r="KJ87" s="476">
        <v>2</v>
      </c>
      <c r="KK87" s="476">
        <v>2</v>
      </c>
      <c r="KL87" s="476">
        <v>1232</v>
      </c>
      <c r="KM87" s="476">
        <v>1232</v>
      </c>
      <c r="KN87" s="476">
        <v>0</v>
      </c>
    </row>
    <row r="88" spans="1:300" x14ac:dyDescent="0.25">
      <c r="A88" s="476">
        <v>40976</v>
      </c>
      <c r="B88" s="476">
        <v>92801</v>
      </c>
      <c r="C88" s="476">
        <v>9</v>
      </c>
      <c r="D88" s="476">
        <v>2024</v>
      </c>
      <c r="E88" s="476">
        <v>6160</v>
      </c>
      <c r="F88" s="476">
        <v>0</v>
      </c>
      <c r="G88" s="476">
        <v>129.923</v>
      </c>
      <c r="H88" s="476">
        <v>89.031000000000006</v>
      </c>
      <c r="I88" s="476">
        <v>89.031000000000006</v>
      </c>
      <c r="J88" s="476">
        <v>129.923</v>
      </c>
      <c r="K88" s="476">
        <v>0</v>
      </c>
      <c r="L88" s="476">
        <v>6160</v>
      </c>
      <c r="M88" s="476">
        <v>0</v>
      </c>
      <c r="N88" s="476">
        <v>0</v>
      </c>
      <c r="O88" s="476">
        <v>0</v>
      </c>
      <c r="P88" s="476">
        <v>129.43</v>
      </c>
      <c r="Q88" s="476">
        <v>0</v>
      </c>
      <c r="R88" s="476">
        <v>53698</v>
      </c>
      <c r="S88" s="476">
        <v>414.88400000000001</v>
      </c>
      <c r="T88" s="476">
        <v>0</v>
      </c>
      <c r="U88" s="476">
        <v>0</v>
      </c>
      <c r="V88" s="476">
        <v>0</v>
      </c>
      <c r="W88" s="476">
        <v>0</v>
      </c>
      <c r="X88" s="476">
        <v>0</v>
      </c>
      <c r="Y88" s="476">
        <v>0</v>
      </c>
      <c r="Z88" s="476">
        <v>0</v>
      </c>
      <c r="AA88" s="476">
        <v>0</v>
      </c>
      <c r="AB88" s="476">
        <v>0</v>
      </c>
      <c r="AC88" s="476">
        <v>0</v>
      </c>
      <c r="AD88" s="476" t="s">
        <v>314</v>
      </c>
      <c r="AE88" s="476">
        <v>0</v>
      </c>
      <c r="AF88" s="476">
        <v>0</v>
      </c>
      <c r="AG88" s="476">
        <v>0</v>
      </c>
      <c r="AH88" s="476">
        <v>0</v>
      </c>
      <c r="AI88" s="476">
        <v>0</v>
      </c>
      <c r="AJ88" s="476">
        <v>6160</v>
      </c>
      <c r="AK88" s="476" t="s">
        <v>651</v>
      </c>
      <c r="AL88" s="476" t="s">
        <v>28</v>
      </c>
      <c r="AM88" s="476">
        <v>0</v>
      </c>
      <c r="AN88" s="476">
        <v>0</v>
      </c>
      <c r="AO88" s="476">
        <v>0</v>
      </c>
      <c r="AP88" s="476">
        <v>0</v>
      </c>
      <c r="AQ88" s="476">
        <v>0</v>
      </c>
      <c r="AR88" s="476">
        <v>0</v>
      </c>
      <c r="AS88" s="476">
        <v>0</v>
      </c>
      <c r="AT88" s="476">
        <v>0</v>
      </c>
      <c r="AU88" s="476">
        <v>0</v>
      </c>
      <c r="AV88" s="476">
        <v>0</v>
      </c>
      <c r="AW88" s="476">
        <v>1366111</v>
      </c>
      <c r="AX88" s="476">
        <v>1344496</v>
      </c>
      <c r="AY88" s="476">
        <v>0</v>
      </c>
      <c r="AZ88" s="476">
        <v>53698</v>
      </c>
      <c r="BA88" s="476">
        <v>2</v>
      </c>
      <c r="BB88" s="476">
        <v>0</v>
      </c>
      <c r="BC88" s="476">
        <v>0</v>
      </c>
      <c r="BD88" s="476">
        <v>0</v>
      </c>
      <c r="BE88" s="476">
        <v>0</v>
      </c>
      <c r="BF88" s="476">
        <v>1213124</v>
      </c>
      <c r="BG88" s="476">
        <v>0</v>
      </c>
      <c r="BH88" s="476">
        <v>0</v>
      </c>
      <c r="BI88" s="476">
        <v>0</v>
      </c>
      <c r="BJ88" s="476">
        <v>12</v>
      </c>
      <c r="BK88" s="476">
        <v>0</v>
      </c>
      <c r="BL88" s="476">
        <v>0</v>
      </c>
      <c r="BM88" s="476">
        <v>0</v>
      </c>
      <c r="BN88" s="476">
        <v>0</v>
      </c>
      <c r="BO88" s="476">
        <v>0</v>
      </c>
      <c r="BP88" s="476">
        <v>0</v>
      </c>
      <c r="BQ88" s="476">
        <v>756</v>
      </c>
      <c r="BR88" s="476">
        <v>0</v>
      </c>
      <c r="BS88" s="476">
        <v>0</v>
      </c>
      <c r="BT88" s="476">
        <v>0</v>
      </c>
      <c r="BU88" s="476">
        <v>0</v>
      </c>
      <c r="BV88" s="476">
        <v>0</v>
      </c>
      <c r="BW88" s="476">
        <v>0</v>
      </c>
      <c r="BX88" s="476">
        <v>0</v>
      </c>
      <c r="BY88" s="476">
        <v>0</v>
      </c>
      <c r="BZ88" s="476">
        <v>0</v>
      </c>
      <c r="CA88" s="476">
        <v>0</v>
      </c>
      <c r="CB88" s="476">
        <v>0</v>
      </c>
      <c r="CC88" s="476">
        <v>0</v>
      </c>
      <c r="CD88" s="476">
        <v>0</v>
      </c>
      <c r="CE88" s="476">
        <v>0</v>
      </c>
      <c r="CF88" s="476">
        <v>0</v>
      </c>
      <c r="CG88" s="476">
        <v>0</v>
      </c>
      <c r="CH88" s="476">
        <v>21934</v>
      </c>
      <c r="CI88" s="476">
        <v>0</v>
      </c>
      <c r="CJ88" s="476">
        <v>4</v>
      </c>
      <c r="CK88" s="476">
        <v>0</v>
      </c>
      <c r="CL88" s="476">
        <v>0</v>
      </c>
      <c r="CM88" s="476">
        <v>0</v>
      </c>
      <c r="CN88" s="476">
        <v>0</v>
      </c>
      <c r="CO88" s="476">
        <v>1</v>
      </c>
      <c r="CP88" s="476">
        <v>0</v>
      </c>
      <c r="CQ88" s="476">
        <v>0</v>
      </c>
      <c r="CR88" s="476">
        <v>129.923</v>
      </c>
      <c r="CS88" s="476">
        <v>0</v>
      </c>
      <c r="CT88" s="476">
        <v>0</v>
      </c>
      <c r="CU88" s="476">
        <v>0</v>
      </c>
      <c r="CV88" s="476">
        <v>0</v>
      </c>
      <c r="CW88" s="476">
        <v>0</v>
      </c>
      <c r="CX88" s="476">
        <v>0</v>
      </c>
      <c r="CY88" s="476">
        <v>0</v>
      </c>
      <c r="CZ88" s="476">
        <v>0</v>
      </c>
      <c r="DA88" s="476">
        <v>0</v>
      </c>
      <c r="DB88" s="476">
        <v>548419</v>
      </c>
      <c r="DC88" s="476">
        <v>0</v>
      </c>
      <c r="DD88" s="476">
        <v>0</v>
      </c>
      <c r="DE88" s="476">
        <v>61676</v>
      </c>
      <c r="DF88" s="476">
        <v>61676</v>
      </c>
      <c r="DG88" s="476">
        <v>10.013</v>
      </c>
      <c r="DH88" s="476">
        <v>0</v>
      </c>
      <c r="DI88" s="476">
        <v>0</v>
      </c>
      <c r="DJ88" s="476">
        <v>0</v>
      </c>
      <c r="DK88" s="476">
        <v>3723</v>
      </c>
      <c r="DL88" s="476">
        <v>0</v>
      </c>
      <c r="DM88" s="476">
        <v>92904</v>
      </c>
      <c r="DN88" s="476">
        <v>319</v>
      </c>
      <c r="DO88" s="476">
        <v>0</v>
      </c>
      <c r="DP88" s="476">
        <v>0</v>
      </c>
      <c r="DQ88" s="476">
        <v>0</v>
      </c>
      <c r="DR88" s="476">
        <v>0</v>
      </c>
      <c r="DS88" s="476">
        <v>0</v>
      </c>
      <c r="DT88" s="476">
        <v>0</v>
      </c>
      <c r="DU88" s="476">
        <v>0</v>
      </c>
      <c r="DV88" s="476">
        <v>0</v>
      </c>
      <c r="DW88" s="476">
        <v>0</v>
      </c>
      <c r="DX88" s="476">
        <v>0</v>
      </c>
      <c r="DY88" s="476">
        <v>0</v>
      </c>
      <c r="DZ88" s="476">
        <v>0</v>
      </c>
      <c r="EA88" s="476">
        <v>0</v>
      </c>
      <c r="EB88" s="476">
        <v>0</v>
      </c>
      <c r="EC88" s="476">
        <v>13.16</v>
      </c>
      <c r="ED88" s="476">
        <v>93223</v>
      </c>
      <c r="EE88" s="476">
        <v>0</v>
      </c>
      <c r="EF88" s="476">
        <v>0</v>
      </c>
      <c r="EG88" s="476">
        <v>0</v>
      </c>
      <c r="EH88" s="476">
        <v>0</v>
      </c>
      <c r="EI88" s="476">
        <v>0</v>
      </c>
      <c r="EJ88" s="476">
        <v>0</v>
      </c>
      <c r="EK88" s="476">
        <v>0</v>
      </c>
      <c r="EL88" s="476">
        <v>0</v>
      </c>
      <c r="EM88" s="476">
        <v>0</v>
      </c>
      <c r="EN88" s="476">
        <v>0</v>
      </c>
      <c r="EO88" s="476">
        <v>0</v>
      </c>
      <c r="EP88" s="476">
        <v>0</v>
      </c>
      <c r="EQ88" s="476">
        <v>0</v>
      </c>
      <c r="ER88" s="476">
        <v>0</v>
      </c>
      <c r="ES88" s="476">
        <v>0</v>
      </c>
      <c r="ET88" s="476">
        <v>0</v>
      </c>
      <c r="EU88" s="476">
        <v>0</v>
      </c>
      <c r="EV88" s="476">
        <v>0</v>
      </c>
      <c r="EW88" s="476">
        <v>0</v>
      </c>
      <c r="EX88" s="476">
        <v>0</v>
      </c>
      <c r="EY88" s="476">
        <v>0</v>
      </c>
      <c r="EZ88" s="476">
        <v>1161701</v>
      </c>
      <c r="FA88" s="476">
        <v>0</v>
      </c>
      <c r="FB88" s="476">
        <v>1215080</v>
      </c>
      <c r="FC88" s="476">
        <v>0</v>
      </c>
      <c r="FD88" s="476">
        <v>0</v>
      </c>
      <c r="FE88" s="476">
        <v>156636</v>
      </c>
      <c r="FF88" s="476">
        <v>26159</v>
      </c>
      <c r="FG88" s="476">
        <v>6.3017999999999991E-2</v>
      </c>
      <c r="FH88" s="476">
        <v>2.6953999999999999E-2</v>
      </c>
      <c r="FI88" s="476">
        <v>0</v>
      </c>
      <c r="FJ88" s="476">
        <v>0</v>
      </c>
      <c r="FK88" s="476">
        <v>196.94</v>
      </c>
      <c r="FL88" s="476">
        <v>1419809</v>
      </c>
      <c r="FM88" s="476">
        <v>0</v>
      </c>
      <c r="FN88" s="476">
        <v>0</v>
      </c>
      <c r="FO88" s="476">
        <v>0</v>
      </c>
      <c r="FP88" s="476">
        <v>0</v>
      </c>
      <c r="FQ88" s="476">
        <v>0</v>
      </c>
      <c r="FR88" s="476">
        <v>0</v>
      </c>
      <c r="FS88" s="476">
        <v>0</v>
      </c>
      <c r="FT88" s="476">
        <v>0</v>
      </c>
      <c r="FU88" s="476">
        <v>0</v>
      </c>
      <c r="FV88" s="476">
        <v>0</v>
      </c>
      <c r="FW88" s="476">
        <v>0</v>
      </c>
      <c r="FX88" s="476">
        <v>0</v>
      </c>
      <c r="FY88" s="476">
        <v>0</v>
      </c>
      <c r="FZ88" s="476">
        <v>0</v>
      </c>
      <c r="GA88" s="476">
        <v>0</v>
      </c>
      <c r="GB88" s="476">
        <v>403003</v>
      </c>
      <c r="GC88" s="476">
        <v>403003</v>
      </c>
      <c r="GD88" s="476">
        <v>40.892000000000003</v>
      </c>
      <c r="GE88" s="476">
        <v>0</v>
      </c>
      <c r="GF88" s="476">
        <v>0</v>
      </c>
      <c r="GG88" s="476">
        <v>0</v>
      </c>
      <c r="GH88" s="476">
        <v>0</v>
      </c>
      <c r="GI88" s="476">
        <v>0</v>
      </c>
      <c r="GJ88" s="476">
        <v>0</v>
      </c>
      <c r="GK88" s="476">
        <v>0</v>
      </c>
      <c r="GL88" s="476">
        <v>0</v>
      </c>
      <c r="GM88" s="476">
        <v>0</v>
      </c>
      <c r="GN88" s="476">
        <v>0</v>
      </c>
      <c r="GO88" s="476">
        <v>0</v>
      </c>
      <c r="GP88" s="476">
        <v>0</v>
      </c>
      <c r="GQ88" s="476">
        <v>1344177</v>
      </c>
      <c r="GR88" s="476">
        <v>0</v>
      </c>
      <c r="GS88" s="476">
        <v>0</v>
      </c>
      <c r="GT88" s="476">
        <v>0</v>
      </c>
      <c r="GU88" s="476">
        <v>0</v>
      </c>
      <c r="GV88" s="476">
        <v>0</v>
      </c>
      <c r="GW88" s="476">
        <v>0</v>
      </c>
      <c r="GX88" s="476">
        <v>0</v>
      </c>
      <c r="GY88" s="476">
        <v>0</v>
      </c>
      <c r="GZ88" s="476">
        <v>0</v>
      </c>
      <c r="HA88" s="476">
        <v>0</v>
      </c>
      <c r="HB88" s="476">
        <v>323396213</v>
      </c>
      <c r="HC88" s="476">
        <v>4.2206E-2</v>
      </c>
      <c r="HD88" s="476">
        <v>21934</v>
      </c>
      <c r="HE88" s="476">
        <v>0</v>
      </c>
      <c r="HF88" s="476">
        <v>98112</v>
      </c>
      <c r="HG88" s="476">
        <v>7392</v>
      </c>
      <c r="HH88" s="476">
        <v>0</v>
      </c>
      <c r="HI88" s="476">
        <v>0</v>
      </c>
      <c r="HJ88" s="476">
        <v>1299</v>
      </c>
      <c r="HK88" s="476">
        <v>1850</v>
      </c>
      <c r="HL88" s="476">
        <v>425</v>
      </c>
      <c r="HM88" s="476">
        <v>0</v>
      </c>
      <c r="HN88" s="476">
        <v>0</v>
      </c>
      <c r="HO88" s="476">
        <v>0</v>
      </c>
      <c r="HP88" s="476">
        <v>0</v>
      </c>
      <c r="HQ88" s="476">
        <v>0</v>
      </c>
      <c r="HR88" s="476">
        <v>0</v>
      </c>
      <c r="HS88" s="476">
        <v>1161382</v>
      </c>
      <c r="HT88" s="476">
        <v>26159</v>
      </c>
      <c r="HU88" s="476">
        <v>0</v>
      </c>
      <c r="HV88" s="476">
        <v>0</v>
      </c>
      <c r="HW88" s="476">
        <v>0</v>
      </c>
      <c r="HX88" s="476">
        <v>15</v>
      </c>
      <c r="HY88" s="476">
        <v>9</v>
      </c>
      <c r="HZ88" s="476">
        <v>3</v>
      </c>
      <c r="IA88" s="476">
        <v>8</v>
      </c>
      <c r="IB88" s="476">
        <v>6</v>
      </c>
      <c r="IC88" s="476">
        <v>41</v>
      </c>
      <c r="ID88" s="476">
        <v>0</v>
      </c>
      <c r="IE88" s="476">
        <v>0</v>
      </c>
      <c r="IF88" s="476">
        <v>0</v>
      </c>
      <c r="IG88" s="476">
        <v>12</v>
      </c>
      <c r="IH88" s="476">
        <v>0</v>
      </c>
      <c r="II88" s="476">
        <v>0</v>
      </c>
      <c r="IJ88" s="476">
        <v>0</v>
      </c>
      <c r="IK88" s="476">
        <v>0</v>
      </c>
      <c r="IL88" s="476">
        <v>0</v>
      </c>
      <c r="IM88" s="476">
        <v>0</v>
      </c>
      <c r="IN88" s="476">
        <v>0</v>
      </c>
      <c r="IO88" s="476">
        <v>0</v>
      </c>
      <c r="IP88" s="476">
        <v>0</v>
      </c>
      <c r="IQ88" s="476">
        <v>0</v>
      </c>
      <c r="IR88" s="476">
        <v>0</v>
      </c>
      <c r="IS88" s="476">
        <v>0</v>
      </c>
      <c r="IT88" s="476">
        <v>0</v>
      </c>
      <c r="IU88" s="476">
        <v>0</v>
      </c>
      <c r="IV88" s="476">
        <v>0</v>
      </c>
      <c r="IW88" s="476">
        <v>6160</v>
      </c>
      <c r="IX88" s="476">
        <v>0</v>
      </c>
      <c r="IY88" s="476">
        <v>0</v>
      </c>
      <c r="IZ88" s="476">
        <v>0</v>
      </c>
      <c r="JA88" s="476">
        <v>0</v>
      </c>
      <c r="JB88" s="476">
        <v>0</v>
      </c>
      <c r="JC88" s="476">
        <v>0</v>
      </c>
      <c r="JD88" s="476">
        <v>0</v>
      </c>
      <c r="JE88" s="476">
        <v>0</v>
      </c>
      <c r="JF88" s="476">
        <v>0</v>
      </c>
      <c r="JG88" s="476">
        <v>0</v>
      </c>
      <c r="JH88" s="476">
        <v>0</v>
      </c>
      <c r="JI88" s="476">
        <v>0</v>
      </c>
      <c r="JJ88" s="476">
        <v>0</v>
      </c>
      <c r="JK88" s="476">
        <v>0</v>
      </c>
      <c r="JL88" s="476">
        <v>0</v>
      </c>
      <c r="JM88" s="476">
        <v>0</v>
      </c>
      <c r="JN88" s="476">
        <v>32469</v>
      </c>
      <c r="JO88" s="476">
        <v>6.4210000000000003</v>
      </c>
      <c r="JP88" s="476">
        <v>11.793000000000001</v>
      </c>
      <c r="JQ88" s="476">
        <v>22.678000000000001</v>
      </c>
      <c r="JR88" s="476">
        <v>51292</v>
      </c>
      <c r="JS88" s="476">
        <v>109620</v>
      </c>
      <c r="JT88" s="476">
        <v>242091</v>
      </c>
      <c r="JU88" s="476">
        <v>0</v>
      </c>
      <c r="JV88" s="476">
        <v>0</v>
      </c>
      <c r="JW88" s="476">
        <v>0</v>
      </c>
      <c r="JX88" s="476">
        <v>0</v>
      </c>
      <c r="JY88" s="476">
        <v>0</v>
      </c>
      <c r="JZ88" s="476">
        <v>0</v>
      </c>
      <c r="KA88" s="476">
        <v>0</v>
      </c>
      <c r="KB88" s="476">
        <v>0</v>
      </c>
      <c r="KC88" s="476">
        <v>0</v>
      </c>
      <c r="KD88" s="476">
        <v>0</v>
      </c>
      <c r="KE88" s="476">
        <v>7262</v>
      </c>
      <c r="KF88" s="476">
        <v>0</v>
      </c>
      <c r="KG88" s="476">
        <v>0</v>
      </c>
      <c r="KH88" s="476">
        <v>1344177</v>
      </c>
      <c r="KI88" s="476">
        <v>0</v>
      </c>
      <c r="KJ88" s="476">
        <v>6</v>
      </c>
      <c r="KK88" s="476">
        <v>6</v>
      </c>
      <c r="KL88" s="476">
        <v>3696</v>
      </c>
      <c r="KM88" s="476">
        <v>3696</v>
      </c>
      <c r="KN88" s="476">
        <v>0</v>
      </c>
    </row>
    <row r="89" spans="1:300" x14ac:dyDescent="0.25">
      <c r="A89" s="476">
        <v>40976</v>
      </c>
      <c r="B89" s="476">
        <v>101802</v>
      </c>
      <c r="C89" s="476">
        <v>9</v>
      </c>
      <c r="D89" s="476">
        <v>2024</v>
      </c>
      <c r="E89" s="476">
        <v>6160</v>
      </c>
      <c r="F89" s="476">
        <v>0</v>
      </c>
      <c r="G89" s="476">
        <v>1037.9570000000001</v>
      </c>
      <c r="H89" s="476">
        <v>1023.447</v>
      </c>
      <c r="I89" s="476">
        <v>1023.447</v>
      </c>
      <c r="J89" s="476">
        <v>1037.9570000000001</v>
      </c>
      <c r="K89" s="476">
        <v>0</v>
      </c>
      <c r="L89" s="476">
        <v>6160</v>
      </c>
      <c r="M89" s="476">
        <v>0</v>
      </c>
      <c r="N89" s="476">
        <v>0</v>
      </c>
      <c r="O89" s="476">
        <v>0</v>
      </c>
      <c r="P89" s="476">
        <v>1037.9570000000001</v>
      </c>
      <c r="Q89" s="476">
        <v>0</v>
      </c>
      <c r="R89" s="476">
        <v>430632</v>
      </c>
      <c r="S89" s="476">
        <v>414.88400000000001</v>
      </c>
      <c r="T89" s="476">
        <v>0</v>
      </c>
      <c r="U89" s="476">
        <v>0</v>
      </c>
      <c r="V89" s="476">
        <v>946.74200000000008</v>
      </c>
      <c r="W89" s="476">
        <v>1400199</v>
      </c>
      <c r="X89" s="476">
        <v>1400199</v>
      </c>
      <c r="Y89" s="476">
        <v>0</v>
      </c>
      <c r="Z89" s="476">
        <v>0</v>
      </c>
      <c r="AA89" s="476">
        <v>0</v>
      </c>
      <c r="AB89" s="476">
        <v>0</v>
      </c>
      <c r="AC89" s="476">
        <v>0</v>
      </c>
      <c r="AD89" s="476" t="s">
        <v>314</v>
      </c>
      <c r="AE89" s="476">
        <v>0</v>
      </c>
      <c r="AF89" s="476">
        <v>0</v>
      </c>
      <c r="AG89" s="476">
        <v>0</v>
      </c>
      <c r="AH89" s="476">
        <v>0</v>
      </c>
      <c r="AI89" s="476">
        <v>0</v>
      </c>
      <c r="AJ89" s="476">
        <v>6160</v>
      </c>
      <c r="AK89" s="476" t="s">
        <v>651</v>
      </c>
      <c r="AL89" s="476" t="s">
        <v>50</v>
      </c>
      <c r="AM89" s="476">
        <v>0</v>
      </c>
      <c r="AN89" s="476">
        <v>0</v>
      </c>
      <c r="AO89" s="476">
        <v>0</v>
      </c>
      <c r="AP89" s="476">
        <v>0</v>
      </c>
      <c r="AQ89" s="476">
        <v>0</v>
      </c>
      <c r="AR89" s="476">
        <v>0</v>
      </c>
      <c r="AS89" s="476">
        <v>0</v>
      </c>
      <c r="AT89" s="476">
        <v>0</v>
      </c>
      <c r="AU89" s="476">
        <v>0</v>
      </c>
      <c r="AV89" s="476">
        <v>0</v>
      </c>
      <c r="AW89" s="476">
        <v>12897145</v>
      </c>
      <c r="AX89" s="476">
        <v>12722942</v>
      </c>
      <c r="AY89" s="476">
        <v>0</v>
      </c>
      <c r="AZ89" s="476">
        <v>430632</v>
      </c>
      <c r="BA89" s="476">
        <v>0</v>
      </c>
      <c r="BB89" s="476">
        <v>0</v>
      </c>
      <c r="BC89" s="476">
        <v>0</v>
      </c>
      <c r="BD89" s="476">
        <v>0</v>
      </c>
      <c r="BE89" s="476">
        <v>0</v>
      </c>
      <c r="BF89" s="476">
        <v>11431112</v>
      </c>
      <c r="BG89" s="476">
        <v>0</v>
      </c>
      <c r="BH89" s="476">
        <v>0</v>
      </c>
      <c r="BI89" s="476">
        <v>0</v>
      </c>
      <c r="BJ89" s="476">
        <v>12</v>
      </c>
      <c r="BK89" s="476">
        <v>0</v>
      </c>
      <c r="BL89" s="476">
        <v>0</v>
      </c>
      <c r="BM89" s="476">
        <v>0</v>
      </c>
      <c r="BN89" s="476">
        <v>0</v>
      </c>
      <c r="BO89" s="476">
        <v>0</v>
      </c>
      <c r="BP89" s="476">
        <v>0</v>
      </c>
      <c r="BQ89" s="476">
        <v>612</v>
      </c>
      <c r="BR89" s="476">
        <v>0</v>
      </c>
      <c r="BS89" s="476">
        <v>0</v>
      </c>
      <c r="BT89" s="476">
        <v>0</v>
      </c>
      <c r="BU89" s="476">
        <v>0</v>
      </c>
      <c r="BV89" s="476">
        <v>0</v>
      </c>
      <c r="BW89" s="476">
        <v>0</v>
      </c>
      <c r="BX89" s="476">
        <v>0</v>
      </c>
      <c r="BY89" s="476">
        <v>0</v>
      </c>
      <c r="BZ89" s="476">
        <v>0</v>
      </c>
      <c r="CA89" s="476">
        <v>0</v>
      </c>
      <c r="CB89" s="476">
        <v>0</v>
      </c>
      <c r="CC89" s="476">
        <v>0</v>
      </c>
      <c r="CD89" s="476">
        <v>0</v>
      </c>
      <c r="CE89" s="476">
        <v>0</v>
      </c>
      <c r="CF89" s="476">
        <v>0</v>
      </c>
      <c r="CG89" s="476">
        <v>0</v>
      </c>
      <c r="CH89" s="476">
        <v>175233</v>
      </c>
      <c r="CI89" s="476">
        <v>0</v>
      </c>
      <c r="CJ89" s="476">
        <v>4</v>
      </c>
      <c r="CK89" s="476">
        <v>0</v>
      </c>
      <c r="CL89" s="476">
        <v>0</v>
      </c>
      <c r="CM89" s="476">
        <v>0</v>
      </c>
      <c r="CN89" s="476">
        <v>0</v>
      </c>
      <c r="CO89" s="476">
        <v>1</v>
      </c>
      <c r="CP89" s="476">
        <v>0</v>
      </c>
      <c r="CQ89" s="476">
        <v>0</v>
      </c>
      <c r="CR89" s="476">
        <v>1037.9570000000001</v>
      </c>
      <c r="CS89" s="476">
        <v>0</v>
      </c>
      <c r="CT89" s="476">
        <v>0</v>
      </c>
      <c r="CU89" s="476">
        <v>0</v>
      </c>
      <c r="CV89" s="476">
        <v>0</v>
      </c>
      <c r="CW89" s="476">
        <v>0</v>
      </c>
      <c r="CX89" s="476">
        <v>0</v>
      </c>
      <c r="CY89" s="476">
        <v>0</v>
      </c>
      <c r="CZ89" s="476">
        <v>0</v>
      </c>
      <c r="DA89" s="476">
        <v>0</v>
      </c>
      <c r="DB89" s="476">
        <v>6289066</v>
      </c>
      <c r="DC89" s="476">
        <v>0</v>
      </c>
      <c r="DD89" s="476">
        <v>0</v>
      </c>
      <c r="DE89" s="476">
        <v>1821086</v>
      </c>
      <c r="DF89" s="476">
        <v>1821086</v>
      </c>
      <c r="DG89" s="476">
        <v>295.63800000000003</v>
      </c>
      <c r="DH89" s="476">
        <v>0</v>
      </c>
      <c r="DI89" s="476">
        <v>0</v>
      </c>
      <c r="DJ89" s="476">
        <v>0</v>
      </c>
      <c r="DK89" s="476">
        <v>1421</v>
      </c>
      <c r="DL89" s="476">
        <v>0</v>
      </c>
      <c r="DM89" s="476">
        <v>314809</v>
      </c>
      <c r="DN89" s="476">
        <v>1030</v>
      </c>
      <c r="DO89" s="476">
        <v>0</v>
      </c>
      <c r="DP89" s="476">
        <v>0</v>
      </c>
      <c r="DQ89" s="476">
        <v>0</v>
      </c>
      <c r="DR89" s="476">
        <v>0</v>
      </c>
      <c r="DS89" s="476">
        <v>0</v>
      </c>
      <c r="DT89" s="476">
        <v>0</v>
      </c>
      <c r="DU89" s="476">
        <v>0</v>
      </c>
      <c r="DV89" s="476">
        <v>0</v>
      </c>
      <c r="DW89" s="476">
        <v>0</v>
      </c>
      <c r="DX89" s="476">
        <v>0</v>
      </c>
      <c r="DY89" s="476">
        <v>0</v>
      </c>
      <c r="DZ89" s="476">
        <v>0</v>
      </c>
      <c r="EA89" s="476">
        <v>0</v>
      </c>
      <c r="EB89" s="476">
        <v>0</v>
      </c>
      <c r="EC89" s="476">
        <v>2.3620000000000001</v>
      </c>
      <c r="ED89" s="476">
        <v>16732</v>
      </c>
      <c r="EE89" s="476">
        <v>0</v>
      </c>
      <c r="EF89" s="476">
        <v>0</v>
      </c>
      <c r="EG89" s="476">
        <v>0</v>
      </c>
      <c r="EH89" s="476">
        <v>283883</v>
      </c>
      <c r="EI89" s="476">
        <v>0</v>
      </c>
      <c r="EJ89" s="476">
        <v>0</v>
      </c>
      <c r="EK89" s="476">
        <v>13.232000000000001</v>
      </c>
      <c r="EL89" s="476">
        <v>0</v>
      </c>
      <c r="EM89" s="476">
        <v>0</v>
      </c>
      <c r="EN89" s="476">
        <v>1.278</v>
      </c>
      <c r="EO89" s="476">
        <v>0</v>
      </c>
      <c r="EP89" s="476">
        <v>0</v>
      </c>
      <c r="EQ89" s="476">
        <v>14.51</v>
      </c>
      <c r="ER89" s="476">
        <v>0</v>
      </c>
      <c r="ES89" s="476">
        <v>46.086000000000006</v>
      </c>
      <c r="ET89" s="476">
        <v>0</v>
      </c>
      <c r="EU89" s="476">
        <v>0</v>
      </c>
      <c r="EV89" s="476">
        <v>0</v>
      </c>
      <c r="EW89" s="476">
        <v>0</v>
      </c>
      <c r="EX89" s="476">
        <v>0</v>
      </c>
      <c r="EY89" s="476">
        <v>0</v>
      </c>
      <c r="EZ89" s="476">
        <v>11000480</v>
      </c>
      <c r="FA89" s="476">
        <v>0</v>
      </c>
      <c r="FB89" s="476">
        <v>11430082</v>
      </c>
      <c r="FC89" s="476">
        <v>0</v>
      </c>
      <c r="FD89" s="476">
        <v>0</v>
      </c>
      <c r="FE89" s="476">
        <v>1475965</v>
      </c>
      <c r="FF89" s="476">
        <v>246497</v>
      </c>
      <c r="FG89" s="476">
        <v>6.3017999999999991E-2</v>
      </c>
      <c r="FH89" s="476">
        <v>2.6953999999999999E-2</v>
      </c>
      <c r="FI89" s="476">
        <v>0</v>
      </c>
      <c r="FJ89" s="476">
        <v>0</v>
      </c>
      <c r="FK89" s="476">
        <v>1855.7420000000002</v>
      </c>
      <c r="FL89" s="476">
        <v>13327777</v>
      </c>
      <c r="FM89" s="476">
        <v>0</v>
      </c>
      <c r="FN89" s="476">
        <v>0</v>
      </c>
      <c r="FO89" s="476">
        <v>0</v>
      </c>
      <c r="FP89" s="476">
        <v>0</v>
      </c>
      <c r="FQ89" s="476">
        <v>0</v>
      </c>
      <c r="FR89" s="476">
        <v>0</v>
      </c>
      <c r="FS89" s="476">
        <v>0</v>
      </c>
      <c r="FT89" s="476">
        <v>0</v>
      </c>
      <c r="FU89" s="476">
        <v>0</v>
      </c>
      <c r="FV89" s="476">
        <v>0</v>
      </c>
      <c r="FW89" s="476">
        <v>0</v>
      </c>
      <c r="FX89" s="476">
        <v>0</v>
      </c>
      <c r="FY89" s="476">
        <v>0</v>
      </c>
      <c r="FZ89" s="476">
        <v>0</v>
      </c>
      <c r="GA89" s="476">
        <v>0</v>
      </c>
      <c r="GB89" s="476">
        <v>0</v>
      </c>
      <c r="GC89" s="476">
        <v>0</v>
      </c>
      <c r="GD89" s="476">
        <v>0</v>
      </c>
      <c r="GE89" s="476">
        <v>0</v>
      </c>
      <c r="GF89" s="476">
        <v>0</v>
      </c>
      <c r="GG89" s="476">
        <v>0</v>
      </c>
      <c r="GH89" s="476">
        <v>0</v>
      </c>
      <c r="GI89" s="476">
        <v>0</v>
      </c>
      <c r="GJ89" s="476">
        <v>0</v>
      </c>
      <c r="GK89" s="476">
        <v>0</v>
      </c>
      <c r="GL89" s="476">
        <v>0</v>
      </c>
      <c r="GM89" s="476">
        <v>0</v>
      </c>
      <c r="GN89" s="476">
        <v>0</v>
      </c>
      <c r="GO89" s="476">
        <v>0</v>
      </c>
      <c r="GP89" s="476">
        <v>0</v>
      </c>
      <c r="GQ89" s="476">
        <v>12721912</v>
      </c>
      <c r="GR89" s="476">
        <v>0</v>
      </c>
      <c r="GS89" s="476">
        <v>0</v>
      </c>
      <c r="GT89" s="476">
        <v>0</v>
      </c>
      <c r="GU89" s="476">
        <v>0</v>
      </c>
      <c r="GV89" s="476">
        <v>0</v>
      </c>
      <c r="GW89" s="476">
        <v>0</v>
      </c>
      <c r="GX89" s="476">
        <v>0</v>
      </c>
      <c r="GY89" s="476">
        <v>0</v>
      </c>
      <c r="GZ89" s="476">
        <v>0</v>
      </c>
      <c r="HA89" s="476">
        <v>0</v>
      </c>
      <c r="HB89" s="476">
        <v>323396213</v>
      </c>
      <c r="HC89" s="476">
        <v>4.2206E-2</v>
      </c>
      <c r="HD89" s="476">
        <v>175233</v>
      </c>
      <c r="HE89" s="476">
        <v>0</v>
      </c>
      <c r="HF89" s="476">
        <v>1127839</v>
      </c>
      <c r="HG89" s="476">
        <v>616</v>
      </c>
      <c r="HH89" s="476">
        <v>466087</v>
      </c>
      <c r="HI89" s="476">
        <v>0</v>
      </c>
      <c r="HJ89" s="476">
        <v>10380</v>
      </c>
      <c r="HK89" s="476">
        <v>0</v>
      </c>
      <c r="HL89" s="476">
        <v>0</v>
      </c>
      <c r="HM89" s="476">
        <v>0</v>
      </c>
      <c r="HN89" s="476">
        <v>0</v>
      </c>
      <c r="HO89" s="476">
        <v>0</v>
      </c>
      <c r="HP89" s="476">
        <v>0</v>
      </c>
      <c r="HQ89" s="476">
        <v>0</v>
      </c>
      <c r="HR89" s="476">
        <v>0</v>
      </c>
      <c r="HS89" s="476">
        <v>10999450</v>
      </c>
      <c r="HT89" s="476">
        <v>246497</v>
      </c>
      <c r="HU89" s="476">
        <v>0</v>
      </c>
      <c r="HV89" s="476">
        <v>0</v>
      </c>
      <c r="HW89" s="476">
        <v>0</v>
      </c>
      <c r="HX89" s="476">
        <v>24</v>
      </c>
      <c r="HY89" s="476">
        <v>40</v>
      </c>
      <c r="HZ89" s="476">
        <v>63</v>
      </c>
      <c r="IA89" s="476">
        <v>141</v>
      </c>
      <c r="IB89" s="476">
        <v>829</v>
      </c>
      <c r="IC89" s="476">
        <v>1097</v>
      </c>
      <c r="ID89" s="476">
        <v>0</v>
      </c>
      <c r="IE89" s="476">
        <v>865.14700000000005</v>
      </c>
      <c r="IF89" s="476">
        <v>57.278000000000006</v>
      </c>
      <c r="IG89" s="476">
        <v>1</v>
      </c>
      <c r="IH89" s="476">
        <v>756.65200000000004</v>
      </c>
      <c r="II89" s="476">
        <v>0</v>
      </c>
      <c r="IJ89" s="476">
        <v>1869.1670000000001</v>
      </c>
      <c r="IK89" s="476">
        <v>0</v>
      </c>
      <c r="IL89" s="476">
        <v>0</v>
      </c>
      <c r="IM89" s="476">
        <v>0</v>
      </c>
      <c r="IN89" s="476">
        <v>0</v>
      </c>
      <c r="IO89" s="476">
        <v>0</v>
      </c>
      <c r="IP89" s="476">
        <v>0</v>
      </c>
      <c r="IQ89" s="476">
        <v>946.74200000000008</v>
      </c>
      <c r="IR89" s="476">
        <v>583180</v>
      </c>
      <c r="IS89" s="476">
        <v>0</v>
      </c>
      <c r="IT89" s="476">
        <v>0</v>
      </c>
      <c r="IU89" s="476">
        <v>0</v>
      </c>
      <c r="IV89" s="476">
        <v>0</v>
      </c>
      <c r="IW89" s="476">
        <v>6160</v>
      </c>
      <c r="IX89" s="476">
        <v>799378</v>
      </c>
      <c r="IY89" s="476">
        <v>17641</v>
      </c>
      <c r="IZ89" s="476">
        <v>0</v>
      </c>
      <c r="JA89" s="476">
        <v>0</v>
      </c>
      <c r="JB89" s="476">
        <v>0</v>
      </c>
      <c r="JC89" s="476">
        <v>0</v>
      </c>
      <c r="JD89" s="476">
        <v>0</v>
      </c>
      <c r="JE89" s="476">
        <v>0</v>
      </c>
      <c r="JF89" s="476">
        <v>0</v>
      </c>
      <c r="JG89" s="476">
        <v>0</v>
      </c>
      <c r="JH89" s="476">
        <v>0</v>
      </c>
      <c r="JI89" s="476">
        <v>0</v>
      </c>
      <c r="JJ89" s="476">
        <v>0</v>
      </c>
      <c r="JK89" s="476">
        <v>0</v>
      </c>
      <c r="JL89" s="476">
        <v>0</v>
      </c>
      <c r="JM89" s="476">
        <v>0</v>
      </c>
      <c r="JN89" s="476">
        <v>32469</v>
      </c>
      <c r="JO89" s="476">
        <v>0</v>
      </c>
      <c r="JP89" s="476">
        <v>0</v>
      </c>
      <c r="JQ89" s="476">
        <v>0</v>
      </c>
      <c r="JR89" s="476">
        <v>0</v>
      </c>
      <c r="JS89" s="476">
        <v>0</v>
      </c>
      <c r="JT89" s="476">
        <v>0</v>
      </c>
      <c r="JU89" s="476">
        <v>0</v>
      </c>
      <c r="JV89" s="476">
        <v>0</v>
      </c>
      <c r="JW89" s="476">
        <v>0</v>
      </c>
      <c r="JX89" s="476">
        <v>0</v>
      </c>
      <c r="JY89" s="476">
        <v>0</v>
      </c>
      <c r="JZ89" s="476">
        <v>0</v>
      </c>
      <c r="KA89" s="476">
        <v>0</v>
      </c>
      <c r="KB89" s="476">
        <v>0</v>
      </c>
      <c r="KC89" s="476">
        <v>0</v>
      </c>
      <c r="KD89" s="476">
        <v>0</v>
      </c>
      <c r="KE89" s="476">
        <v>7262</v>
      </c>
      <c r="KF89" s="476">
        <v>0</v>
      </c>
      <c r="KG89" s="476">
        <v>0</v>
      </c>
      <c r="KH89" s="476">
        <v>12721912</v>
      </c>
      <c r="KI89" s="476">
        <v>0</v>
      </c>
      <c r="KJ89" s="476">
        <v>1</v>
      </c>
      <c r="KK89" s="476">
        <v>0</v>
      </c>
      <c r="KL89" s="476">
        <v>616</v>
      </c>
      <c r="KM89" s="476">
        <v>0</v>
      </c>
      <c r="KN89" s="476">
        <v>0</v>
      </c>
    </row>
    <row r="90" spans="1:300" x14ac:dyDescent="0.25">
      <c r="A90" s="476">
        <v>40976</v>
      </c>
      <c r="B90" s="476">
        <v>101803</v>
      </c>
      <c r="C90" s="476">
        <v>9</v>
      </c>
      <c r="D90" s="476">
        <v>2024</v>
      </c>
      <c r="E90" s="476">
        <v>6160</v>
      </c>
      <c r="F90" s="476">
        <v>0</v>
      </c>
      <c r="G90" s="476">
        <v>1254.5</v>
      </c>
      <c r="H90" s="476">
        <v>1220.144</v>
      </c>
      <c r="I90" s="476">
        <v>1220.144</v>
      </c>
      <c r="J90" s="476">
        <v>1254.5</v>
      </c>
      <c r="K90" s="476">
        <v>0</v>
      </c>
      <c r="L90" s="476">
        <v>6160</v>
      </c>
      <c r="M90" s="476">
        <v>0</v>
      </c>
      <c r="N90" s="476">
        <v>0</v>
      </c>
      <c r="O90" s="476">
        <v>0</v>
      </c>
      <c r="P90" s="476">
        <v>1256.895</v>
      </c>
      <c r="Q90" s="476">
        <v>0</v>
      </c>
      <c r="R90" s="476">
        <v>521466</v>
      </c>
      <c r="S90" s="476">
        <v>414.88400000000001</v>
      </c>
      <c r="T90" s="476">
        <v>0</v>
      </c>
      <c r="U90" s="476">
        <v>0</v>
      </c>
      <c r="V90" s="476">
        <v>45.753</v>
      </c>
      <c r="W90" s="476">
        <v>28183</v>
      </c>
      <c r="X90" s="476">
        <v>28183</v>
      </c>
      <c r="Y90" s="476">
        <v>0</v>
      </c>
      <c r="Z90" s="476">
        <v>0</v>
      </c>
      <c r="AA90" s="476">
        <v>0</v>
      </c>
      <c r="AB90" s="476">
        <v>0</v>
      </c>
      <c r="AC90" s="476">
        <v>0</v>
      </c>
      <c r="AD90" s="476" t="s">
        <v>314</v>
      </c>
      <c r="AE90" s="476">
        <v>0</v>
      </c>
      <c r="AF90" s="476">
        <v>0</v>
      </c>
      <c r="AG90" s="476">
        <v>0</v>
      </c>
      <c r="AH90" s="476">
        <v>0</v>
      </c>
      <c r="AI90" s="476">
        <v>0</v>
      </c>
      <c r="AJ90" s="476">
        <v>6160</v>
      </c>
      <c r="AK90" s="476" t="s">
        <v>651</v>
      </c>
      <c r="AL90" s="476" t="s">
        <v>91</v>
      </c>
      <c r="AM90" s="476">
        <v>0</v>
      </c>
      <c r="AN90" s="476">
        <v>0</v>
      </c>
      <c r="AO90" s="476">
        <v>0</v>
      </c>
      <c r="AP90" s="476">
        <v>0</v>
      </c>
      <c r="AQ90" s="476">
        <v>0</v>
      </c>
      <c r="AR90" s="476">
        <v>0</v>
      </c>
      <c r="AS90" s="476">
        <v>0</v>
      </c>
      <c r="AT90" s="476">
        <v>0</v>
      </c>
      <c r="AU90" s="476">
        <v>0</v>
      </c>
      <c r="AV90" s="476">
        <v>0</v>
      </c>
      <c r="AW90" s="476">
        <v>11775901</v>
      </c>
      <c r="AX90" s="476">
        <v>11566991</v>
      </c>
      <c r="AY90" s="476">
        <v>0</v>
      </c>
      <c r="AZ90" s="476">
        <v>521466</v>
      </c>
      <c r="BA90" s="476">
        <v>20.917000000000002</v>
      </c>
      <c r="BB90" s="476">
        <v>0</v>
      </c>
      <c r="BC90" s="476">
        <v>0</v>
      </c>
      <c r="BD90" s="476">
        <v>0</v>
      </c>
      <c r="BE90" s="476">
        <v>0</v>
      </c>
      <c r="BF90" s="476">
        <v>10503397</v>
      </c>
      <c r="BG90" s="476">
        <v>0</v>
      </c>
      <c r="BH90" s="476">
        <v>0</v>
      </c>
      <c r="BI90" s="476">
        <v>0</v>
      </c>
      <c r="BJ90" s="476">
        <v>12</v>
      </c>
      <c r="BK90" s="476">
        <v>0</v>
      </c>
      <c r="BL90" s="476">
        <v>0</v>
      </c>
      <c r="BM90" s="476">
        <v>0</v>
      </c>
      <c r="BN90" s="476">
        <v>0</v>
      </c>
      <c r="BO90" s="476">
        <v>0</v>
      </c>
      <c r="BP90" s="476">
        <v>0</v>
      </c>
      <c r="BQ90" s="476">
        <v>582</v>
      </c>
      <c r="BR90" s="476">
        <v>0</v>
      </c>
      <c r="BS90" s="476">
        <v>0</v>
      </c>
      <c r="BT90" s="476">
        <v>0</v>
      </c>
      <c r="BU90" s="476">
        <v>0</v>
      </c>
      <c r="BV90" s="476">
        <v>0</v>
      </c>
      <c r="BW90" s="476">
        <v>0</v>
      </c>
      <c r="BX90" s="476">
        <v>0</v>
      </c>
      <c r="BY90" s="476">
        <v>0</v>
      </c>
      <c r="BZ90" s="476">
        <v>0</v>
      </c>
      <c r="CA90" s="476">
        <v>0</v>
      </c>
      <c r="CB90" s="476">
        <v>0</v>
      </c>
      <c r="CC90" s="476">
        <v>0</v>
      </c>
      <c r="CD90" s="476">
        <v>0</v>
      </c>
      <c r="CE90" s="476">
        <v>0</v>
      </c>
      <c r="CF90" s="476">
        <v>0</v>
      </c>
      <c r="CG90" s="476">
        <v>0</v>
      </c>
      <c r="CH90" s="476">
        <v>211791</v>
      </c>
      <c r="CI90" s="476">
        <v>0</v>
      </c>
      <c r="CJ90" s="476">
        <v>5</v>
      </c>
      <c r="CK90" s="476">
        <v>0</v>
      </c>
      <c r="CL90" s="476">
        <v>0</v>
      </c>
      <c r="CM90" s="476">
        <v>0</v>
      </c>
      <c r="CN90" s="476">
        <v>0</v>
      </c>
      <c r="CO90" s="476">
        <v>1</v>
      </c>
      <c r="CP90" s="476">
        <v>0</v>
      </c>
      <c r="CQ90" s="476">
        <v>0.75</v>
      </c>
      <c r="CR90" s="476">
        <v>1254.5</v>
      </c>
      <c r="CS90" s="476">
        <v>0</v>
      </c>
      <c r="CT90" s="476">
        <v>0</v>
      </c>
      <c r="CU90" s="476">
        <v>0</v>
      </c>
      <c r="CV90" s="476">
        <v>0</v>
      </c>
      <c r="CW90" s="476">
        <v>0</v>
      </c>
      <c r="CX90" s="476">
        <v>0</v>
      </c>
      <c r="CY90" s="476">
        <v>0</v>
      </c>
      <c r="CZ90" s="476">
        <v>0</v>
      </c>
      <c r="DA90" s="476">
        <v>0</v>
      </c>
      <c r="DB90" s="476">
        <v>7515916</v>
      </c>
      <c r="DC90" s="476">
        <v>0</v>
      </c>
      <c r="DD90" s="476">
        <v>0</v>
      </c>
      <c r="DE90" s="476">
        <v>502106</v>
      </c>
      <c r="DF90" s="476">
        <v>502106</v>
      </c>
      <c r="DG90" s="476">
        <v>81.513000000000005</v>
      </c>
      <c r="DH90" s="476">
        <v>0</v>
      </c>
      <c r="DI90" s="476">
        <v>0</v>
      </c>
      <c r="DJ90" s="476">
        <v>0</v>
      </c>
      <c r="DK90" s="476">
        <v>936</v>
      </c>
      <c r="DL90" s="476">
        <v>0</v>
      </c>
      <c r="DM90" s="476">
        <v>838064</v>
      </c>
      <c r="DN90" s="476">
        <v>2881</v>
      </c>
      <c r="DO90" s="476">
        <v>0</v>
      </c>
      <c r="DP90" s="476">
        <v>0</v>
      </c>
      <c r="DQ90" s="476">
        <v>0</v>
      </c>
      <c r="DR90" s="476">
        <v>0</v>
      </c>
      <c r="DS90" s="476">
        <v>0</v>
      </c>
      <c r="DT90" s="476">
        <v>0</v>
      </c>
      <c r="DU90" s="476">
        <v>0</v>
      </c>
      <c r="DV90" s="476">
        <v>0</v>
      </c>
      <c r="DW90" s="476">
        <v>0</v>
      </c>
      <c r="DX90" s="476">
        <v>0</v>
      </c>
      <c r="DY90" s="476">
        <v>0</v>
      </c>
      <c r="DZ90" s="476">
        <v>0</v>
      </c>
      <c r="EA90" s="476">
        <v>3.2000000000000001E-2</v>
      </c>
      <c r="EB90" s="476">
        <v>0</v>
      </c>
      <c r="EC90" s="476">
        <v>50.627000000000002</v>
      </c>
      <c r="ED90" s="476">
        <v>358634</v>
      </c>
      <c r="EE90" s="476">
        <v>0</v>
      </c>
      <c r="EF90" s="476">
        <v>0</v>
      </c>
      <c r="EG90" s="476">
        <v>0</v>
      </c>
      <c r="EH90" s="476">
        <v>482311</v>
      </c>
      <c r="EI90" s="476">
        <v>0</v>
      </c>
      <c r="EJ90" s="476">
        <v>0</v>
      </c>
      <c r="EK90" s="476">
        <v>18.867000000000001</v>
      </c>
      <c r="EL90" s="476">
        <v>0</v>
      </c>
      <c r="EM90" s="476">
        <v>2.1859999999999999</v>
      </c>
      <c r="EN90" s="476">
        <v>2.996</v>
      </c>
      <c r="EO90" s="476">
        <v>0</v>
      </c>
      <c r="EP90" s="476">
        <v>0</v>
      </c>
      <c r="EQ90" s="476">
        <v>24.081</v>
      </c>
      <c r="ER90" s="476">
        <v>0</v>
      </c>
      <c r="ES90" s="476">
        <v>78.299000000000007</v>
      </c>
      <c r="ET90" s="476">
        <v>0</v>
      </c>
      <c r="EU90" s="476">
        <v>0</v>
      </c>
      <c r="EV90" s="476">
        <v>0</v>
      </c>
      <c r="EW90" s="476">
        <v>0</v>
      </c>
      <c r="EX90" s="476">
        <v>0</v>
      </c>
      <c r="EY90" s="476">
        <v>0</v>
      </c>
      <c r="EZ90" s="476">
        <v>9984319</v>
      </c>
      <c r="FA90" s="476">
        <v>0</v>
      </c>
      <c r="FB90" s="476">
        <v>10502904</v>
      </c>
      <c r="FC90" s="476">
        <v>0</v>
      </c>
      <c r="FD90" s="476">
        <v>0</v>
      </c>
      <c r="FE90" s="476">
        <v>1356180</v>
      </c>
      <c r="FF90" s="476">
        <v>226492</v>
      </c>
      <c r="FG90" s="476">
        <v>6.3017999999999991E-2</v>
      </c>
      <c r="FH90" s="476">
        <v>2.6953999999999999E-2</v>
      </c>
      <c r="FI90" s="476">
        <v>0</v>
      </c>
      <c r="FJ90" s="476">
        <v>0</v>
      </c>
      <c r="FK90" s="476">
        <v>1705.1360000000002</v>
      </c>
      <c r="FL90" s="476">
        <v>12297367</v>
      </c>
      <c r="FM90" s="476">
        <v>0</v>
      </c>
      <c r="FN90" s="476">
        <v>0</v>
      </c>
      <c r="FO90" s="476">
        <v>0</v>
      </c>
      <c r="FP90" s="476">
        <v>0</v>
      </c>
      <c r="FQ90" s="476">
        <v>0</v>
      </c>
      <c r="FR90" s="476">
        <v>0</v>
      </c>
      <c r="FS90" s="476">
        <v>0</v>
      </c>
      <c r="FT90" s="476">
        <v>0</v>
      </c>
      <c r="FU90" s="476">
        <v>0</v>
      </c>
      <c r="FV90" s="476">
        <v>0</v>
      </c>
      <c r="FW90" s="476">
        <v>0</v>
      </c>
      <c r="FX90" s="476">
        <v>0</v>
      </c>
      <c r="FY90" s="476">
        <v>0</v>
      </c>
      <c r="FZ90" s="476">
        <v>0</v>
      </c>
      <c r="GA90" s="476">
        <v>0</v>
      </c>
      <c r="GB90" s="476">
        <v>104242</v>
      </c>
      <c r="GC90" s="476">
        <v>104242</v>
      </c>
      <c r="GD90" s="476">
        <v>10.275</v>
      </c>
      <c r="GE90" s="476">
        <v>0</v>
      </c>
      <c r="GF90" s="476">
        <v>0</v>
      </c>
      <c r="GG90" s="476">
        <v>0</v>
      </c>
      <c r="GH90" s="476">
        <v>0</v>
      </c>
      <c r="GI90" s="476">
        <v>0</v>
      </c>
      <c r="GJ90" s="476">
        <v>0</v>
      </c>
      <c r="GK90" s="476">
        <v>0</v>
      </c>
      <c r="GL90" s="476">
        <v>0</v>
      </c>
      <c r="GM90" s="476">
        <v>0</v>
      </c>
      <c r="GN90" s="476">
        <v>0</v>
      </c>
      <c r="GO90" s="476">
        <v>0</v>
      </c>
      <c r="GP90" s="476">
        <v>0</v>
      </c>
      <c r="GQ90" s="476">
        <v>11564110</v>
      </c>
      <c r="GR90" s="476">
        <v>0</v>
      </c>
      <c r="GS90" s="476">
        <v>0</v>
      </c>
      <c r="GT90" s="476">
        <v>0</v>
      </c>
      <c r="GU90" s="476">
        <v>0</v>
      </c>
      <c r="GV90" s="476">
        <v>0</v>
      </c>
      <c r="GW90" s="476">
        <v>0</v>
      </c>
      <c r="GX90" s="476">
        <v>0</v>
      </c>
      <c r="GY90" s="476">
        <v>0</v>
      </c>
      <c r="GZ90" s="476">
        <v>0</v>
      </c>
      <c r="HA90" s="476">
        <v>0</v>
      </c>
      <c r="HB90" s="476">
        <v>323396213</v>
      </c>
      <c r="HC90" s="476">
        <v>4.2206E-2</v>
      </c>
      <c r="HD90" s="476">
        <v>211791</v>
      </c>
      <c r="HE90" s="476">
        <v>0</v>
      </c>
      <c r="HF90" s="476">
        <v>1344599</v>
      </c>
      <c r="HG90" s="476">
        <v>17248</v>
      </c>
      <c r="HH90" s="476">
        <v>102613</v>
      </c>
      <c r="HI90" s="476">
        <v>0</v>
      </c>
      <c r="HJ90" s="476">
        <v>12545</v>
      </c>
      <c r="HK90" s="476">
        <v>2377</v>
      </c>
      <c r="HL90" s="476">
        <v>11</v>
      </c>
      <c r="HM90" s="476">
        <v>35000</v>
      </c>
      <c r="HN90" s="476">
        <v>0</v>
      </c>
      <c r="HO90" s="476">
        <v>0</v>
      </c>
      <c r="HP90" s="476">
        <v>0</v>
      </c>
      <c r="HQ90" s="476">
        <v>0</v>
      </c>
      <c r="HR90" s="476">
        <v>0</v>
      </c>
      <c r="HS90" s="476">
        <v>9981438</v>
      </c>
      <c r="HT90" s="476">
        <v>226492</v>
      </c>
      <c r="HU90" s="476">
        <v>0</v>
      </c>
      <c r="HV90" s="476">
        <v>0</v>
      </c>
      <c r="HW90" s="476">
        <v>0</v>
      </c>
      <c r="HX90" s="476">
        <v>194</v>
      </c>
      <c r="HY90" s="476">
        <v>61</v>
      </c>
      <c r="HZ90" s="476">
        <v>59</v>
      </c>
      <c r="IA90" s="476">
        <v>14</v>
      </c>
      <c r="IB90" s="476">
        <v>18</v>
      </c>
      <c r="IC90" s="476">
        <v>346</v>
      </c>
      <c r="ID90" s="476">
        <v>0</v>
      </c>
      <c r="IE90" s="476">
        <v>0</v>
      </c>
      <c r="IF90" s="476">
        <v>0</v>
      </c>
      <c r="IG90" s="476">
        <v>28</v>
      </c>
      <c r="IH90" s="476">
        <v>166.583</v>
      </c>
      <c r="II90" s="476">
        <v>0</v>
      </c>
      <c r="IJ90" s="476">
        <v>45.753</v>
      </c>
      <c r="IK90" s="476">
        <v>0</v>
      </c>
      <c r="IL90" s="476">
        <v>4</v>
      </c>
      <c r="IM90" s="476">
        <v>5</v>
      </c>
      <c r="IN90" s="476">
        <v>0</v>
      </c>
      <c r="IO90" s="476">
        <v>9</v>
      </c>
      <c r="IP90" s="476">
        <v>0</v>
      </c>
      <c r="IQ90" s="476">
        <v>45.753</v>
      </c>
      <c r="IR90" s="476">
        <v>28183</v>
      </c>
      <c r="IS90" s="476">
        <v>0</v>
      </c>
      <c r="IT90" s="476">
        <v>20000</v>
      </c>
      <c r="IU90" s="476">
        <v>15000</v>
      </c>
      <c r="IV90" s="476">
        <v>0</v>
      </c>
      <c r="IW90" s="476">
        <v>6160</v>
      </c>
      <c r="IX90" s="476">
        <v>0</v>
      </c>
      <c r="IY90" s="476">
        <v>0</v>
      </c>
      <c r="IZ90" s="476">
        <v>0</v>
      </c>
      <c r="JA90" s="476">
        <v>0</v>
      </c>
      <c r="JB90" s="476">
        <v>0</v>
      </c>
      <c r="JC90" s="476">
        <v>0</v>
      </c>
      <c r="JD90" s="476">
        <v>0</v>
      </c>
      <c r="JE90" s="476">
        <v>0</v>
      </c>
      <c r="JF90" s="476">
        <v>0</v>
      </c>
      <c r="JG90" s="476">
        <v>0</v>
      </c>
      <c r="JH90" s="476">
        <v>0</v>
      </c>
      <c r="JI90" s="476">
        <v>0</v>
      </c>
      <c r="JJ90" s="476">
        <v>0</v>
      </c>
      <c r="JK90" s="476">
        <v>0</v>
      </c>
      <c r="JL90" s="476">
        <v>0</v>
      </c>
      <c r="JM90" s="476">
        <v>0</v>
      </c>
      <c r="JN90" s="476">
        <v>32469</v>
      </c>
      <c r="JO90" s="476">
        <v>0</v>
      </c>
      <c r="JP90" s="476">
        <v>3.9460000000000002</v>
      </c>
      <c r="JQ90" s="476">
        <v>6.3290000000000006</v>
      </c>
      <c r="JR90" s="476">
        <v>0</v>
      </c>
      <c r="JS90" s="476">
        <v>36679</v>
      </c>
      <c r="JT90" s="476">
        <v>67563</v>
      </c>
      <c r="JU90" s="476">
        <v>0</v>
      </c>
      <c r="JV90" s="476">
        <v>0</v>
      </c>
      <c r="JW90" s="476">
        <v>0</v>
      </c>
      <c r="JX90" s="476">
        <v>0</v>
      </c>
      <c r="JY90" s="476">
        <v>0</v>
      </c>
      <c r="JZ90" s="476">
        <v>0</v>
      </c>
      <c r="KA90" s="476">
        <v>0</v>
      </c>
      <c r="KB90" s="476">
        <v>0</v>
      </c>
      <c r="KC90" s="476">
        <v>0</v>
      </c>
      <c r="KD90" s="476">
        <v>0</v>
      </c>
      <c r="KE90" s="476">
        <v>7262</v>
      </c>
      <c r="KF90" s="476">
        <v>0</v>
      </c>
      <c r="KG90" s="476">
        <v>0</v>
      </c>
      <c r="KH90" s="476">
        <v>11564110</v>
      </c>
      <c r="KI90" s="476">
        <v>0</v>
      </c>
      <c r="KJ90" s="476">
        <v>14</v>
      </c>
      <c r="KK90" s="476">
        <v>14</v>
      </c>
      <c r="KL90" s="476">
        <v>8624</v>
      </c>
      <c r="KM90" s="476">
        <v>8624</v>
      </c>
      <c r="KN90" s="476">
        <v>0</v>
      </c>
    </row>
    <row r="91" spans="1:300" x14ac:dyDescent="0.25">
      <c r="A91" s="476">
        <v>40976</v>
      </c>
      <c r="B91" s="476">
        <v>101804</v>
      </c>
      <c r="C91" s="476">
        <v>9</v>
      </c>
      <c r="D91" s="476">
        <v>2024</v>
      </c>
      <c r="E91" s="476">
        <v>6160</v>
      </c>
      <c r="F91" s="476">
        <v>0</v>
      </c>
      <c r="G91" s="476">
        <v>811.60800000000006</v>
      </c>
      <c r="H91" s="476">
        <v>699.97900000000004</v>
      </c>
      <c r="I91" s="476">
        <v>699.97900000000004</v>
      </c>
      <c r="J91" s="476">
        <v>811.60800000000006</v>
      </c>
      <c r="K91" s="476">
        <v>0</v>
      </c>
      <c r="L91" s="476">
        <v>6160</v>
      </c>
      <c r="M91" s="476">
        <v>0</v>
      </c>
      <c r="N91" s="476">
        <v>0</v>
      </c>
      <c r="O91" s="476">
        <v>0</v>
      </c>
      <c r="P91" s="476">
        <v>813.70500000000004</v>
      </c>
      <c r="Q91" s="476">
        <v>0</v>
      </c>
      <c r="R91" s="476">
        <v>337593</v>
      </c>
      <c r="S91" s="476">
        <v>414.88400000000001</v>
      </c>
      <c r="T91" s="476">
        <v>0</v>
      </c>
      <c r="U91" s="476">
        <v>0</v>
      </c>
      <c r="V91" s="476">
        <v>415.71200000000005</v>
      </c>
      <c r="W91" s="476">
        <v>256073</v>
      </c>
      <c r="X91" s="476">
        <v>256073</v>
      </c>
      <c r="Y91" s="476">
        <v>0</v>
      </c>
      <c r="Z91" s="476">
        <v>0</v>
      </c>
      <c r="AA91" s="476">
        <v>0</v>
      </c>
      <c r="AB91" s="476">
        <v>0</v>
      </c>
      <c r="AC91" s="476">
        <v>0</v>
      </c>
      <c r="AD91" s="476" t="s">
        <v>314</v>
      </c>
      <c r="AE91" s="476">
        <v>0</v>
      </c>
      <c r="AF91" s="476">
        <v>0</v>
      </c>
      <c r="AG91" s="476">
        <v>0</v>
      </c>
      <c r="AH91" s="476">
        <v>0</v>
      </c>
      <c r="AI91" s="476">
        <v>0</v>
      </c>
      <c r="AJ91" s="476">
        <v>6160</v>
      </c>
      <c r="AK91" s="476" t="s">
        <v>651</v>
      </c>
      <c r="AL91" s="476" t="s">
        <v>7</v>
      </c>
      <c r="AM91" s="476">
        <v>0</v>
      </c>
      <c r="AN91" s="476">
        <v>0</v>
      </c>
      <c r="AO91" s="476">
        <v>0</v>
      </c>
      <c r="AP91" s="476">
        <v>0</v>
      </c>
      <c r="AQ91" s="476">
        <v>0</v>
      </c>
      <c r="AR91" s="476">
        <v>0</v>
      </c>
      <c r="AS91" s="476">
        <v>0</v>
      </c>
      <c r="AT91" s="476">
        <v>0</v>
      </c>
      <c r="AU91" s="476">
        <v>0</v>
      </c>
      <c r="AV91" s="476">
        <v>0</v>
      </c>
      <c r="AW91" s="476">
        <v>9502391</v>
      </c>
      <c r="AX91" s="476">
        <v>9367292</v>
      </c>
      <c r="AY91" s="476">
        <v>0</v>
      </c>
      <c r="AZ91" s="476">
        <v>337593</v>
      </c>
      <c r="BA91" s="476">
        <v>0</v>
      </c>
      <c r="BB91" s="476">
        <v>0</v>
      </c>
      <c r="BC91" s="476">
        <v>0</v>
      </c>
      <c r="BD91" s="476">
        <v>0</v>
      </c>
      <c r="BE91" s="476">
        <v>0</v>
      </c>
      <c r="BF91" s="476">
        <v>8338017</v>
      </c>
      <c r="BG91" s="476">
        <v>0</v>
      </c>
      <c r="BH91" s="476">
        <v>0</v>
      </c>
      <c r="BI91" s="476">
        <v>0</v>
      </c>
      <c r="BJ91" s="476">
        <v>12</v>
      </c>
      <c r="BK91" s="476">
        <v>0</v>
      </c>
      <c r="BL91" s="476">
        <v>0</v>
      </c>
      <c r="BM91" s="476">
        <v>0</v>
      </c>
      <c r="BN91" s="476">
        <v>0</v>
      </c>
      <c r="BO91" s="476">
        <v>0</v>
      </c>
      <c r="BP91" s="476">
        <v>0</v>
      </c>
      <c r="BQ91" s="476">
        <v>662</v>
      </c>
      <c r="BR91" s="476">
        <v>0</v>
      </c>
      <c r="BS91" s="476">
        <v>0</v>
      </c>
      <c r="BT91" s="476">
        <v>0</v>
      </c>
      <c r="BU91" s="476">
        <v>0</v>
      </c>
      <c r="BV91" s="476">
        <v>0</v>
      </c>
      <c r="BW91" s="476">
        <v>0</v>
      </c>
      <c r="BX91" s="476">
        <v>0</v>
      </c>
      <c r="BY91" s="476">
        <v>0</v>
      </c>
      <c r="BZ91" s="476">
        <v>0</v>
      </c>
      <c r="CA91" s="476">
        <v>0</v>
      </c>
      <c r="CB91" s="476">
        <v>0</v>
      </c>
      <c r="CC91" s="476">
        <v>0</v>
      </c>
      <c r="CD91" s="476">
        <v>0</v>
      </c>
      <c r="CE91" s="476">
        <v>0</v>
      </c>
      <c r="CF91" s="476">
        <v>0</v>
      </c>
      <c r="CG91" s="476">
        <v>0</v>
      </c>
      <c r="CH91" s="476">
        <v>137020</v>
      </c>
      <c r="CI91" s="476">
        <v>0</v>
      </c>
      <c r="CJ91" s="476">
        <v>4</v>
      </c>
      <c r="CK91" s="476">
        <v>0</v>
      </c>
      <c r="CL91" s="476">
        <v>0</v>
      </c>
      <c r="CM91" s="476">
        <v>0</v>
      </c>
      <c r="CN91" s="476">
        <v>0</v>
      </c>
      <c r="CO91" s="476">
        <v>1</v>
      </c>
      <c r="CP91" s="476">
        <v>0.89400000000000002</v>
      </c>
      <c r="CQ91" s="476">
        <v>0</v>
      </c>
      <c r="CR91" s="476">
        <v>811.60800000000006</v>
      </c>
      <c r="CS91" s="476">
        <v>0</v>
      </c>
      <c r="CT91" s="476">
        <v>0</v>
      </c>
      <c r="CU91" s="476">
        <v>0</v>
      </c>
      <c r="CV91" s="476">
        <v>0</v>
      </c>
      <c r="CW91" s="476">
        <v>0</v>
      </c>
      <c r="CX91" s="476">
        <v>0</v>
      </c>
      <c r="CY91" s="476">
        <v>0</v>
      </c>
      <c r="CZ91" s="476">
        <v>0</v>
      </c>
      <c r="DA91" s="476">
        <v>0</v>
      </c>
      <c r="DB91" s="476">
        <v>4302179</v>
      </c>
      <c r="DC91" s="476">
        <v>0</v>
      </c>
      <c r="DD91" s="476">
        <v>0</v>
      </c>
      <c r="DE91" s="476">
        <v>1508704</v>
      </c>
      <c r="DF91" s="476">
        <v>1521976</v>
      </c>
      <c r="DG91" s="476">
        <v>244.92500000000001</v>
      </c>
      <c r="DH91" s="476">
        <v>0</v>
      </c>
      <c r="DI91" s="476">
        <v>13272</v>
      </c>
      <c r="DJ91" s="476">
        <v>0</v>
      </c>
      <c r="DK91" s="476">
        <v>2218</v>
      </c>
      <c r="DL91" s="476">
        <v>0</v>
      </c>
      <c r="DM91" s="476">
        <v>568427</v>
      </c>
      <c r="DN91" s="476">
        <v>1921</v>
      </c>
      <c r="DO91" s="476">
        <v>0</v>
      </c>
      <c r="DP91" s="476">
        <v>0</v>
      </c>
      <c r="DQ91" s="476">
        <v>0</v>
      </c>
      <c r="DR91" s="476">
        <v>0</v>
      </c>
      <c r="DS91" s="476">
        <v>0</v>
      </c>
      <c r="DT91" s="476">
        <v>0</v>
      </c>
      <c r="DU91" s="476">
        <v>0</v>
      </c>
      <c r="DV91" s="476">
        <v>0</v>
      </c>
      <c r="DW91" s="476">
        <v>0</v>
      </c>
      <c r="DX91" s="476">
        <v>0</v>
      </c>
      <c r="DY91" s="476">
        <v>0</v>
      </c>
      <c r="DZ91" s="476">
        <v>0</v>
      </c>
      <c r="EA91" s="476">
        <v>0</v>
      </c>
      <c r="EB91" s="476">
        <v>0</v>
      </c>
      <c r="EC91" s="476">
        <v>35.21</v>
      </c>
      <c r="ED91" s="476">
        <v>249422</v>
      </c>
      <c r="EE91" s="476">
        <v>0</v>
      </c>
      <c r="EF91" s="476">
        <v>0</v>
      </c>
      <c r="EG91" s="476">
        <v>0</v>
      </c>
      <c r="EH91" s="476">
        <v>311332</v>
      </c>
      <c r="EI91" s="476">
        <v>0</v>
      </c>
      <c r="EJ91" s="476">
        <v>0</v>
      </c>
      <c r="EK91" s="476">
        <v>11.518000000000001</v>
      </c>
      <c r="EL91" s="476">
        <v>0</v>
      </c>
      <c r="EM91" s="476">
        <v>4.6960000000000006</v>
      </c>
      <c r="EN91" s="476">
        <v>0.38</v>
      </c>
      <c r="EO91" s="476">
        <v>0</v>
      </c>
      <c r="EP91" s="476">
        <v>0</v>
      </c>
      <c r="EQ91" s="476">
        <v>16.594000000000001</v>
      </c>
      <c r="ER91" s="476">
        <v>0</v>
      </c>
      <c r="ES91" s="476">
        <v>50.542000000000002</v>
      </c>
      <c r="ET91" s="476">
        <v>0</v>
      </c>
      <c r="EU91" s="476">
        <v>0</v>
      </c>
      <c r="EV91" s="476">
        <v>0</v>
      </c>
      <c r="EW91" s="476">
        <v>0</v>
      </c>
      <c r="EX91" s="476">
        <v>0</v>
      </c>
      <c r="EY91" s="476">
        <v>0</v>
      </c>
      <c r="EZ91" s="476">
        <v>8110904</v>
      </c>
      <c r="FA91" s="476">
        <v>0</v>
      </c>
      <c r="FB91" s="476">
        <v>8446576</v>
      </c>
      <c r="FC91" s="476">
        <v>0</v>
      </c>
      <c r="FD91" s="476">
        <v>0</v>
      </c>
      <c r="FE91" s="476">
        <v>1076590</v>
      </c>
      <c r="FF91" s="476">
        <v>179798</v>
      </c>
      <c r="FG91" s="476">
        <v>6.3017999999999991E-2</v>
      </c>
      <c r="FH91" s="476">
        <v>2.6953999999999999E-2</v>
      </c>
      <c r="FI91" s="476">
        <v>0</v>
      </c>
      <c r="FJ91" s="476">
        <v>0</v>
      </c>
      <c r="FK91" s="476">
        <v>1353.605</v>
      </c>
      <c r="FL91" s="476">
        <v>9839984</v>
      </c>
      <c r="FM91" s="476">
        <v>0</v>
      </c>
      <c r="FN91" s="476">
        <v>0</v>
      </c>
      <c r="FO91" s="476">
        <v>56404</v>
      </c>
      <c r="FP91" s="476">
        <v>0</v>
      </c>
      <c r="FQ91" s="476">
        <v>101540</v>
      </c>
      <c r="FR91" s="476">
        <v>56404</v>
      </c>
      <c r="FS91" s="476">
        <v>45136</v>
      </c>
      <c r="FT91" s="476">
        <v>0</v>
      </c>
      <c r="FU91" s="476">
        <v>0</v>
      </c>
      <c r="FV91" s="476">
        <v>0</v>
      </c>
      <c r="FW91" s="476">
        <v>0</v>
      </c>
      <c r="FX91" s="476">
        <v>0</v>
      </c>
      <c r="FY91" s="476">
        <v>0</v>
      </c>
      <c r="FZ91" s="476">
        <v>0</v>
      </c>
      <c r="GA91" s="476">
        <v>0</v>
      </c>
      <c r="GB91" s="476">
        <v>907948</v>
      </c>
      <c r="GC91" s="476">
        <v>907948</v>
      </c>
      <c r="GD91" s="476">
        <v>95.035000000000011</v>
      </c>
      <c r="GE91" s="476">
        <v>0</v>
      </c>
      <c r="GF91" s="476">
        <v>0</v>
      </c>
      <c r="GG91" s="476">
        <v>0</v>
      </c>
      <c r="GH91" s="476">
        <v>0</v>
      </c>
      <c r="GI91" s="476">
        <v>0</v>
      </c>
      <c r="GJ91" s="476">
        <v>0</v>
      </c>
      <c r="GK91" s="476">
        <v>0</v>
      </c>
      <c r="GL91" s="476">
        <v>0</v>
      </c>
      <c r="GM91" s="476">
        <v>0</v>
      </c>
      <c r="GN91" s="476">
        <v>0</v>
      </c>
      <c r="GO91" s="476">
        <v>0</v>
      </c>
      <c r="GP91" s="476">
        <v>0</v>
      </c>
      <c r="GQ91" s="476">
        <v>9365371</v>
      </c>
      <c r="GR91" s="476">
        <v>0</v>
      </c>
      <c r="GS91" s="476">
        <v>0</v>
      </c>
      <c r="GT91" s="476">
        <v>0</v>
      </c>
      <c r="GU91" s="476">
        <v>0</v>
      </c>
      <c r="GV91" s="476">
        <v>0</v>
      </c>
      <c r="GW91" s="476">
        <v>0</v>
      </c>
      <c r="GX91" s="476">
        <v>0</v>
      </c>
      <c r="GY91" s="476">
        <v>0</v>
      </c>
      <c r="GZ91" s="476">
        <v>0</v>
      </c>
      <c r="HA91" s="476">
        <v>0</v>
      </c>
      <c r="HB91" s="476">
        <v>323396213</v>
      </c>
      <c r="HC91" s="476">
        <v>4.2206E-2</v>
      </c>
      <c r="HD91" s="476">
        <v>137020</v>
      </c>
      <c r="HE91" s="476">
        <v>0</v>
      </c>
      <c r="HF91" s="476">
        <v>771377</v>
      </c>
      <c r="HG91" s="476">
        <v>0</v>
      </c>
      <c r="HH91" s="476">
        <v>0</v>
      </c>
      <c r="HI91" s="476">
        <v>0</v>
      </c>
      <c r="HJ91" s="476">
        <v>8116</v>
      </c>
      <c r="HK91" s="476">
        <v>6207</v>
      </c>
      <c r="HL91" s="476">
        <v>2733</v>
      </c>
      <c r="HM91" s="476">
        <v>0</v>
      </c>
      <c r="HN91" s="476">
        <v>0</v>
      </c>
      <c r="HO91" s="476">
        <v>0</v>
      </c>
      <c r="HP91" s="476">
        <v>0</v>
      </c>
      <c r="HQ91" s="476">
        <v>0</v>
      </c>
      <c r="HR91" s="476">
        <v>0</v>
      </c>
      <c r="HS91" s="476">
        <v>8108983</v>
      </c>
      <c r="HT91" s="476">
        <v>179798</v>
      </c>
      <c r="HU91" s="476">
        <v>0</v>
      </c>
      <c r="HV91" s="476">
        <v>0</v>
      </c>
      <c r="HW91" s="476">
        <v>0</v>
      </c>
      <c r="HX91" s="476">
        <v>8</v>
      </c>
      <c r="HY91" s="476">
        <v>26</v>
      </c>
      <c r="HZ91" s="476">
        <v>159</v>
      </c>
      <c r="IA91" s="476">
        <v>306</v>
      </c>
      <c r="IB91" s="476">
        <v>425</v>
      </c>
      <c r="IC91" s="476">
        <v>924</v>
      </c>
      <c r="ID91" s="476">
        <v>0</v>
      </c>
      <c r="IE91" s="476">
        <v>0</v>
      </c>
      <c r="IF91" s="476">
        <v>0</v>
      </c>
      <c r="IG91" s="476">
        <v>0</v>
      </c>
      <c r="IH91" s="476">
        <v>0</v>
      </c>
      <c r="II91" s="476">
        <v>0</v>
      </c>
      <c r="IJ91" s="476">
        <v>415.71200000000005</v>
      </c>
      <c r="IK91" s="476">
        <v>0</v>
      </c>
      <c r="IL91" s="476">
        <v>0</v>
      </c>
      <c r="IM91" s="476">
        <v>0</v>
      </c>
      <c r="IN91" s="476">
        <v>0</v>
      </c>
      <c r="IO91" s="476">
        <v>0</v>
      </c>
      <c r="IP91" s="476">
        <v>0</v>
      </c>
      <c r="IQ91" s="476">
        <v>415.71200000000005</v>
      </c>
      <c r="IR91" s="476">
        <v>256073</v>
      </c>
      <c r="IS91" s="476">
        <v>0</v>
      </c>
      <c r="IT91" s="476">
        <v>0</v>
      </c>
      <c r="IU91" s="476">
        <v>0</v>
      </c>
      <c r="IV91" s="476">
        <v>0</v>
      </c>
      <c r="IW91" s="476">
        <v>6160</v>
      </c>
      <c r="IX91" s="476">
        <v>0</v>
      </c>
      <c r="IY91" s="476">
        <v>0</v>
      </c>
      <c r="IZ91" s="476">
        <v>0</v>
      </c>
      <c r="JA91" s="476">
        <v>0</v>
      </c>
      <c r="JB91" s="476">
        <v>0</v>
      </c>
      <c r="JC91" s="476">
        <v>0</v>
      </c>
      <c r="JD91" s="476">
        <v>0</v>
      </c>
      <c r="JE91" s="476">
        <v>0</v>
      </c>
      <c r="JF91" s="476">
        <v>0</v>
      </c>
      <c r="JG91" s="476">
        <v>0</v>
      </c>
      <c r="JH91" s="476">
        <v>0</v>
      </c>
      <c r="JI91" s="476">
        <v>0</v>
      </c>
      <c r="JJ91" s="476">
        <v>0</v>
      </c>
      <c r="JK91" s="476">
        <v>0</v>
      </c>
      <c r="JL91" s="476">
        <v>0</v>
      </c>
      <c r="JM91" s="476">
        <v>0</v>
      </c>
      <c r="JN91" s="476">
        <v>32469</v>
      </c>
      <c r="JO91" s="476">
        <v>4.915</v>
      </c>
      <c r="JP91" s="476">
        <v>67.661000000000001</v>
      </c>
      <c r="JQ91" s="476">
        <v>22.459</v>
      </c>
      <c r="JR91" s="476">
        <v>39262</v>
      </c>
      <c r="JS91" s="476">
        <v>628933</v>
      </c>
      <c r="JT91" s="476">
        <v>239753</v>
      </c>
      <c r="JU91" s="476">
        <v>0</v>
      </c>
      <c r="JV91" s="476">
        <v>0</v>
      </c>
      <c r="JW91" s="476">
        <v>0</v>
      </c>
      <c r="JX91" s="476">
        <v>0</v>
      </c>
      <c r="JY91" s="476">
        <v>0</v>
      </c>
      <c r="JZ91" s="476">
        <v>0</v>
      </c>
      <c r="KA91" s="476">
        <v>0</v>
      </c>
      <c r="KB91" s="476">
        <v>0</v>
      </c>
      <c r="KC91" s="476">
        <v>0</v>
      </c>
      <c r="KD91" s="476">
        <v>0</v>
      </c>
      <c r="KE91" s="476">
        <v>7262</v>
      </c>
      <c r="KF91" s="476">
        <v>0</v>
      </c>
      <c r="KG91" s="476">
        <v>0</v>
      </c>
      <c r="KH91" s="476">
        <v>9365371</v>
      </c>
      <c r="KI91" s="476">
        <v>0</v>
      </c>
      <c r="KJ91" s="476">
        <v>0</v>
      </c>
      <c r="KK91" s="476">
        <v>0</v>
      </c>
      <c r="KL91" s="476">
        <v>0</v>
      </c>
      <c r="KM91" s="476">
        <v>0</v>
      </c>
      <c r="KN91" s="476">
        <v>0</v>
      </c>
    </row>
    <row r="92" spans="1:300" x14ac:dyDescent="0.25">
      <c r="A92" s="476">
        <v>40976</v>
      </c>
      <c r="B92" s="476">
        <v>101806</v>
      </c>
      <c r="C92" s="476">
        <v>9</v>
      </c>
      <c r="D92" s="476">
        <v>2024</v>
      </c>
      <c r="E92" s="476">
        <v>6160</v>
      </c>
      <c r="F92" s="476">
        <v>0</v>
      </c>
      <c r="G92" s="476">
        <v>1526.2630000000001</v>
      </c>
      <c r="H92" s="476">
        <v>1431.511</v>
      </c>
      <c r="I92" s="476">
        <v>1431.511</v>
      </c>
      <c r="J92" s="476">
        <v>1526.2630000000001</v>
      </c>
      <c r="K92" s="476">
        <v>0</v>
      </c>
      <c r="L92" s="476">
        <v>6160</v>
      </c>
      <c r="M92" s="476">
        <v>0</v>
      </c>
      <c r="N92" s="476">
        <v>0</v>
      </c>
      <c r="O92" s="476">
        <v>0</v>
      </c>
      <c r="P92" s="476">
        <v>1526.2630000000001</v>
      </c>
      <c r="Q92" s="476">
        <v>0</v>
      </c>
      <c r="R92" s="476">
        <v>633222</v>
      </c>
      <c r="S92" s="476">
        <v>414.88400000000001</v>
      </c>
      <c r="T92" s="476">
        <v>0</v>
      </c>
      <c r="U92" s="476">
        <v>0</v>
      </c>
      <c r="V92" s="476">
        <v>968.93500000000006</v>
      </c>
      <c r="W92" s="476">
        <v>596850</v>
      </c>
      <c r="X92" s="476">
        <v>596850</v>
      </c>
      <c r="Y92" s="476">
        <v>0</v>
      </c>
      <c r="Z92" s="476">
        <v>0</v>
      </c>
      <c r="AA92" s="476">
        <v>0</v>
      </c>
      <c r="AB92" s="476">
        <v>0</v>
      </c>
      <c r="AC92" s="476">
        <v>0</v>
      </c>
      <c r="AD92" s="476" t="s">
        <v>314</v>
      </c>
      <c r="AE92" s="476">
        <v>0</v>
      </c>
      <c r="AF92" s="476">
        <v>0</v>
      </c>
      <c r="AG92" s="476">
        <v>0</v>
      </c>
      <c r="AH92" s="476">
        <v>0</v>
      </c>
      <c r="AI92" s="476">
        <v>0</v>
      </c>
      <c r="AJ92" s="476">
        <v>6160</v>
      </c>
      <c r="AK92" s="476" t="s">
        <v>651</v>
      </c>
      <c r="AL92" s="476" t="s">
        <v>444</v>
      </c>
      <c r="AM92" s="476">
        <v>0</v>
      </c>
      <c r="AN92" s="476">
        <v>0</v>
      </c>
      <c r="AO92" s="476">
        <v>0</v>
      </c>
      <c r="AP92" s="476">
        <v>0</v>
      </c>
      <c r="AQ92" s="476">
        <v>0</v>
      </c>
      <c r="AR92" s="476">
        <v>0</v>
      </c>
      <c r="AS92" s="476">
        <v>0</v>
      </c>
      <c r="AT92" s="476">
        <v>0</v>
      </c>
      <c r="AU92" s="476">
        <v>0</v>
      </c>
      <c r="AV92" s="476">
        <v>0</v>
      </c>
      <c r="AW92" s="476">
        <v>17937327</v>
      </c>
      <c r="AX92" s="476">
        <v>17684029</v>
      </c>
      <c r="AY92" s="476">
        <v>0</v>
      </c>
      <c r="AZ92" s="476">
        <v>633222</v>
      </c>
      <c r="BA92" s="476">
        <v>68.917000000000002</v>
      </c>
      <c r="BB92" s="476">
        <v>32394</v>
      </c>
      <c r="BC92" s="476">
        <v>32188</v>
      </c>
      <c r="BD92" s="476">
        <v>76</v>
      </c>
      <c r="BE92" s="476">
        <v>207</v>
      </c>
      <c r="BF92" s="476">
        <v>15894938</v>
      </c>
      <c r="BG92" s="476">
        <v>0</v>
      </c>
      <c r="BH92" s="476">
        <v>0</v>
      </c>
      <c r="BI92" s="476">
        <v>0</v>
      </c>
      <c r="BJ92" s="476">
        <v>12</v>
      </c>
      <c r="BK92" s="476">
        <v>0</v>
      </c>
      <c r="BL92" s="476">
        <v>0</v>
      </c>
      <c r="BM92" s="476">
        <v>0</v>
      </c>
      <c r="BN92" s="476">
        <v>0</v>
      </c>
      <c r="BO92" s="476">
        <v>0</v>
      </c>
      <c r="BP92" s="476">
        <v>0</v>
      </c>
      <c r="BQ92" s="476">
        <v>550</v>
      </c>
      <c r="BR92" s="476">
        <v>0</v>
      </c>
      <c r="BS92" s="476">
        <v>0</v>
      </c>
      <c r="BT92" s="476">
        <v>0</v>
      </c>
      <c r="BU92" s="476">
        <v>0</v>
      </c>
      <c r="BV92" s="476">
        <v>0</v>
      </c>
      <c r="BW92" s="476">
        <v>0</v>
      </c>
      <c r="BX92" s="476">
        <v>0</v>
      </c>
      <c r="BY92" s="476">
        <v>0</v>
      </c>
      <c r="BZ92" s="476">
        <v>0</v>
      </c>
      <c r="CA92" s="476">
        <v>0</v>
      </c>
      <c r="CB92" s="476">
        <v>0</v>
      </c>
      <c r="CC92" s="476">
        <v>0</v>
      </c>
      <c r="CD92" s="476">
        <v>0</v>
      </c>
      <c r="CE92" s="476">
        <v>0</v>
      </c>
      <c r="CF92" s="476">
        <v>0</v>
      </c>
      <c r="CG92" s="476">
        <v>0</v>
      </c>
      <c r="CH92" s="476">
        <v>257672</v>
      </c>
      <c r="CI92" s="476">
        <v>0</v>
      </c>
      <c r="CJ92" s="476">
        <v>4</v>
      </c>
      <c r="CK92" s="476">
        <v>0</v>
      </c>
      <c r="CL92" s="476">
        <v>0</v>
      </c>
      <c r="CM92" s="476">
        <v>0</v>
      </c>
      <c r="CN92" s="476">
        <v>0</v>
      </c>
      <c r="CO92" s="476">
        <v>1</v>
      </c>
      <c r="CP92" s="476">
        <v>0</v>
      </c>
      <c r="CQ92" s="476">
        <v>7.6670000000000007</v>
      </c>
      <c r="CR92" s="476">
        <v>1526.2630000000001</v>
      </c>
      <c r="CS92" s="476">
        <v>0</v>
      </c>
      <c r="CT92" s="476">
        <v>0</v>
      </c>
      <c r="CU92" s="476">
        <v>0</v>
      </c>
      <c r="CV92" s="476">
        <v>0</v>
      </c>
      <c r="CW92" s="476">
        <v>0</v>
      </c>
      <c r="CX92" s="476">
        <v>0</v>
      </c>
      <c r="CY92" s="476">
        <v>0</v>
      </c>
      <c r="CZ92" s="476">
        <v>0</v>
      </c>
      <c r="DA92" s="476">
        <v>0</v>
      </c>
      <c r="DB92" s="476">
        <v>8817908</v>
      </c>
      <c r="DC92" s="476">
        <v>0</v>
      </c>
      <c r="DD92" s="476">
        <v>0</v>
      </c>
      <c r="DE92" s="476">
        <v>2776480</v>
      </c>
      <c r="DF92" s="476">
        <v>2776480</v>
      </c>
      <c r="DG92" s="476">
        <v>450.738</v>
      </c>
      <c r="DH92" s="476">
        <v>0</v>
      </c>
      <c r="DI92" s="476">
        <v>0</v>
      </c>
      <c r="DJ92" s="476">
        <v>0</v>
      </c>
      <c r="DK92" s="476">
        <v>415</v>
      </c>
      <c r="DL92" s="476">
        <v>0</v>
      </c>
      <c r="DM92" s="476">
        <v>1212404</v>
      </c>
      <c r="DN92" s="476">
        <v>4168</v>
      </c>
      <c r="DO92" s="476">
        <v>0</v>
      </c>
      <c r="DP92" s="476">
        <v>0</v>
      </c>
      <c r="DQ92" s="476">
        <v>0</v>
      </c>
      <c r="DR92" s="476">
        <v>0</v>
      </c>
      <c r="DS92" s="476">
        <v>0</v>
      </c>
      <c r="DT92" s="476">
        <v>0</v>
      </c>
      <c r="DU92" s="476">
        <v>0</v>
      </c>
      <c r="DV92" s="476">
        <v>0</v>
      </c>
      <c r="DW92" s="476">
        <v>0</v>
      </c>
      <c r="DX92" s="476">
        <v>0</v>
      </c>
      <c r="DY92" s="476">
        <v>0</v>
      </c>
      <c r="DZ92" s="476">
        <v>0</v>
      </c>
      <c r="EA92" s="476">
        <v>0</v>
      </c>
      <c r="EB92" s="476">
        <v>0</v>
      </c>
      <c r="EC92" s="476">
        <v>12.693000000000001</v>
      </c>
      <c r="ED92" s="476">
        <v>89915</v>
      </c>
      <c r="EE92" s="476">
        <v>0</v>
      </c>
      <c r="EF92" s="476">
        <v>0</v>
      </c>
      <c r="EG92" s="476">
        <v>0</v>
      </c>
      <c r="EH92" s="476">
        <v>1126657</v>
      </c>
      <c r="EI92" s="476">
        <v>0</v>
      </c>
      <c r="EJ92" s="476">
        <v>0</v>
      </c>
      <c r="EK92" s="476">
        <v>45.53</v>
      </c>
      <c r="EL92" s="476">
        <v>0</v>
      </c>
      <c r="EM92" s="476">
        <v>9.7060000000000013</v>
      </c>
      <c r="EN92" s="476">
        <v>3.4390000000000001</v>
      </c>
      <c r="EO92" s="476">
        <v>0</v>
      </c>
      <c r="EP92" s="476">
        <v>0</v>
      </c>
      <c r="EQ92" s="476">
        <v>58.675000000000004</v>
      </c>
      <c r="ER92" s="476">
        <v>0</v>
      </c>
      <c r="ES92" s="476">
        <v>182.90300000000002</v>
      </c>
      <c r="ET92" s="476">
        <v>0</v>
      </c>
      <c r="EU92" s="476">
        <v>0</v>
      </c>
      <c r="EV92" s="476">
        <v>0</v>
      </c>
      <c r="EW92" s="476">
        <v>0</v>
      </c>
      <c r="EX92" s="476">
        <v>0</v>
      </c>
      <c r="EY92" s="476">
        <v>0</v>
      </c>
      <c r="EZ92" s="476">
        <v>15288949</v>
      </c>
      <c r="FA92" s="476">
        <v>0</v>
      </c>
      <c r="FB92" s="476">
        <v>15917797</v>
      </c>
      <c r="FC92" s="476">
        <v>0</v>
      </c>
      <c r="FD92" s="476">
        <v>0</v>
      </c>
      <c r="FE92" s="476">
        <v>2052326</v>
      </c>
      <c r="FF92" s="476">
        <v>342754</v>
      </c>
      <c r="FG92" s="476">
        <v>6.3017999999999991E-2</v>
      </c>
      <c r="FH92" s="476">
        <v>2.6953999999999999E-2</v>
      </c>
      <c r="FI92" s="476">
        <v>0</v>
      </c>
      <c r="FJ92" s="476">
        <v>0</v>
      </c>
      <c r="FK92" s="476">
        <v>2580.4059999999999</v>
      </c>
      <c r="FL92" s="476">
        <v>18570549</v>
      </c>
      <c r="FM92" s="476">
        <v>0</v>
      </c>
      <c r="FN92" s="476">
        <v>0</v>
      </c>
      <c r="FO92" s="476">
        <v>22320</v>
      </c>
      <c r="FP92" s="476">
        <v>0</v>
      </c>
      <c r="FQ92" s="476">
        <v>22320</v>
      </c>
      <c r="FR92" s="476">
        <v>22320</v>
      </c>
      <c r="FS92" s="476">
        <v>0</v>
      </c>
      <c r="FT92" s="476">
        <v>0</v>
      </c>
      <c r="FU92" s="476">
        <v>0</v>
      </c>
      <c r="FV92" s="476">
        <v>0</v>
      </c>
      <c r="FW92" s="476">
        <v>0</v>
      </c>
      <c r="FX92" s="476">
        <v>0</v>
      </c>
      <c r="FY92" s="476">
        <v>0</v>
      </c>
      <c r="FZ92" s="476">
        <v>0</v>
      </c>
      <c r="GA92" s="476">
        <v>0</v>
      </c>
      <c r="GB92" s="476">
        <v>370073</v>
      </c>
      <c r="GC92" s="476">
        <v>370073</v>
      </c>
      <c r="GD92" s="476">
        <v>36.076999999999998</v>
      </c>
      <c r="GE92" s="476">
        <v>0</v>
      </c>
      <c r="GF92" s="476">
        <v>0</v>
      </c>
      <c r="GG92" s="476">
        <v>0</v>
      </c>
      <c r="GH92" s="476">
        <v>0</v>
      </c>
      <c r="GI92" s="476">
        <v>0</v>
      </c>
      <c r="GJ92" s="476">
        <v>0</v>
      </c>
      <c r="GK92" s="476">
        <v>0</v>
      </c>
      <c r="GL92" s="476">
        <v>0</v>
      </c>
      <c r="GM92" s="476">
        <v>0</v>
      </c>
      <c r="GN92" s="476">
        <v>0</v>
      </c>
      <c r="GO92" s="476">
        <v>0</v>
      </c>
      <c r="GP92" s="476">
        <v>0</v>
      </c>
      <c r="GQ92" s="476">
        <v>17679655</v>
      </c>
      <c r="GR92" s="476">
        <v>0</v>
      </c>
      <c r="GS92" s="476">
        <v>0</v>
      </c>
      <c r="GT92" s="476">
        <v>0</v>
      </c>
      <c r="GU92" s="476">
        <v>0</v>
      </c>
      <c r="GV92" s="476">
        <v>0</v>
      </c>
      <c r="GW92" s="476">
        <v>0</v>
      </c>
      <c r="GX92" s="476">
        <v>0</v>
      </c>
      <c r="GY92" s="476">
        <v>0</v>
      </c>
      <c r="GZ92" s="476">
        <v>0</v>
      </c>
      <c r="HA92" s="476">
        <v>0</v>
      </c>
      <c r="HB92" s="476">
        <v>323396213</v>
      </c>
      <c r="HC92" s="476">
        <v>4.2206E-2</v>
      </c>
      <c r="HD92" s="476">
        <v>257672</v>
      </c>
      <c r="HE92" s="476">
        <v>0</v>
      </c>
      <c r="HF92" s="476">
        <v>1577525</v>
      </c>
      <c r="HG92" s="476">
        <v>1848</v>
      </c>
      <c r="HH92" s="476">
        <v>459025</v>
      </c>
      <c r="HI92" s="476">
        <v>0</v>
      </c>
      <c r="HJ92" s="476">
        <v>15263</v>
      </c>
      <c r="HK92" s="476">
        <v>3552</v>
      </c>
      <c r="HL92" s="476">
        <v>1361</v>
      </c>
      <c r="HM92" s="476">
        <v>3000</v>
      </c>
      <c r="HN92" s="476">
        <v>0</v>
      </c>
      <c r="HO92" s="476">
        <v>28000</v>
      </c>
      <c r="HP92" s="476">
        <v>0</v>
      </c>
      <c r="HQ92" s="476">
        <v>0</v>
      </c>
      <c r="HR92" s="476">
        <v>0</v>
      </c>
      <c r="HS92" s="476">
        <v>15284575</v>
      </c>
      <c r="HT92" s="476">
        <v>342754</v>
      </c>
      <c r="HU92" s="476">
        <v>0</v>
      </c>
      <c r="HV92" s="476">
        <v>0</v>
      </c>
      <c r="HW92" s="476">
        <v>0</v>
      </c>
      <c r="HX92" s="476">
        <v>37</v>
      </c>
      <c r="HY92" s="476">
        <v>96</v>
      </c>
      <c r="HZ92" s="476">
        <v>233</v>
      </c>
      <c r="IA92" s="476">
        <v>483</v>
      </c>
      <c r="IB92" s="476">
        <v>853</v>
      </c>
      <c r="IC92" s="476">
        <v>1702</v>
      </c>
      <c r="ID92" s="476">
        <v>0</v>
      </c>
      <c r="IE92" s="476">
        <v>0</v>
      </c>
      <c r="IF92" s="476">
        <v>0</v>
      </c>
      <c r="IG92" s="476">
        <v>3</v>
      </c>
      <c r="IH92" s="476">
        <v>745.18799999999999</v>
      </c>
      <c r="II92" s="476">
        <v>0</v>
      </c>
      <c r="IJ92" s="476">
        <v>968.93500000000006</v>
      </c>
      <c r="IK92" s="476">
        <v>0</v>
      </c>
      <c r="IL92" s="476">
        <v>0</v>
      </c>
      <c r="IM92" s="476">
        <v>1</v>
      </c>
      <c r="IN92" s="476">
        <v>0</v>
      </c>
      <c r="IO92" s="476">
        <v>1</v>
      </c>
      <c r="IP92" s="476">
        <v>0</v>
      </c>
      <c r="IQ92" s="476">
        <v>968.93500000000006</v>
      </c>
      <c r="IR92" s="476">
        <v>596850</v>
      </c>
      <c r="IS92" s="476">
        <v>0</v>
      </c>
      <c r="IT92" s="476">
        <v>0</v>
      </c>
      <c r="IU92" s="476">
        <v>3000</v>
      </c>
      <c r="IV92" s="476">
        <v>0</v>
      </c>
      <c r="IW92" s="476">
        <v>6160</v>
      </c>
      <c r="IX92" s="476">
        <v>0</v>
      </c>
      <c r="IY92" s="476">
        <v>0</v>
      </c>
      <c r="IZ92" s="476">
        <v>0</v>
      </c>
      <c r="JA92" s="476">
        <v>0</v>
      </c>
      <c r="JB92" s="476">
        <v>0</v>
      </c>
      <c r="JC92" s="476">
        <v>0</v>
      </c>
      <c r="JD92" s="476">
        <v>0</v>
      </c>
      <c r="JE92" s="476">
        <v>0</v>
      </c>
      <c r="JF92" s="476">
        <v>0</v>
      </c>
      <c r="JG92" s="476">
        <v>0</v>
      </c>
      <c r="JH92" s="476">
        <v>0</v>
      </c>
      <c r="JI92" s="476">
        <v>0</v>
      </c>
      <c r="JJ92" s="476">
        <v>0</v>
      </c>
      <c r="JK92" s="476">
        <v>0</v>
      </c>
      <c r="JL92" s="476">
        <v>0</v>
      </c>
      <c r="JM92" s="476">
        <v>0</v>
      </c>
      <c r="JN92" s="476">
        <v>32469</v>
      </c>
      <c r="JO92" s="476">
        <v>0</v>
      </c>
      <c r="JP92" s="476">
        <v>10.911000000000001</v>
      </c>
      <c r="JQ92" s="476">
        <v>25.166</v>
      </c>
      <c r="JR92" s="476">
        <v>0</v>
      </c>
      <c r="JS92" s="476">
        <v>101422</v>
      </c>
      <c r="JT92" s="476">
        <v>268651</v>
      </c>
      <c r="JU92" s="476">
        <v>32770</v>
      </c>
      <c r="JV92" s="476">
        <v>0</v>
      </c>
      <c r="JW92" s="476">
        <v>0</v>
      </c>
      <c r="JX92" s="476">
        <v>0</v>
      </c>
      <c r="JY92" s="476">
        <v>0</v>
      </c>
      <c r="JZ92" s="476">
        <v>0</v>
      </c>
      <c r="KA92" s="476">
        <v>0</v>
      </c>
      <c r="KB92" s="476">
        <v>0</v>
      </c>
      <c r="KC92" s="476">
        <v>0</v>
      </c>
      <c r="KD92" s="476">
        <v>32770</v>
      </c>
      <c r="KE92" s="476">
        <v>7262</v>
      </c>
      <c r="KF92" s="476">
        <v>0</v>
      </c>
      <c r="KG92" s="476">
        <v>0</v>
      </c>
      <c r="KH92" s="476">
        <v>17679655</v>
      </c>
      <c r="KI92" s="476">
        <v>0</v>
      </c>
      <c r="KJ92" s="476">
        <v>2</v>
      </c>
      <c r="KK92" s="476">
        <v>1</v>
      </c>
      <c r="KL92" s="476">
        <v>1232</v>
      </c>
      <c r="KM92" s="476">
        <v>616</v>
      </c>
      <c r="KN92" s="476">
        <v>0</v>
      </c>
    </row>
    <row r="93" spans="1:300" x14ac:dyDescent="0.25">
      <c r="A93" s="476">
        <v>40976</v>
      </c>
      <c r="B93" s="476">
        <v>101810</v>
      </c>
      <c r="C93" s="476">
        <v>9</v>
      </c>
      <c r="D93" s="476">
        <v>2024</v>
      </c>
      <c r="E93" s="476">
        <v>6160</v>
      </c>
      <c r="F93" s="476">
        <v>0</v>
      </c>
      <c r="G93" s="476">
        <v>765.26700000000005</v>
      </c>
      <c r="H93" s="476">
        <v>762.65100000000007</v>
      </c>
      <c r="I93" s="476">
        <v>762.65100000000007</v>
      </c>
      <c r="J93" s="476">
        <v>765.26700000000005</v>
      </c>
      <c r="K93" s="476">
        <v>0</v>
      </c>
      <c r="L93" s="476">
        <v>6160</v>
      </c>
      <c r="M93" s="476">
        <v>0</v>
      </c>
      <c r="N93" s="476">
        <v>0</v>
      </c>
      <c r="O93" s="476">
        <v>0</v>
      </c>
      <c r="P93" s="476">
        <v>765.49</v>
      </c>
      <c r="Q93" s="476">
        <v>0</v>
      </c>
      <c r="R93" s="476">
        <v>317590</v>
      </c>
      <c r="S93" s="476">
        <v>414.88400000000001</v>
      </c>
      <c r="T93" s="476">
        <v>0</v>
      </c>
      <c r="U93" s="476">
        <v>0</v>
      </c>
      <c r="V93" s="476">
        <v>494.43200000000002</v>
      </c>
      <c r="W93" s="476">
        <v>304563</v>
      </c>
      <c r="X93" s="476">
        <v>304563</v>
      </c>
      <c r="Y93" s="476">
        <v>0</v>
      </c>
      <c r="Z93" s="476">
        <v>0</v>
      </c>
      <c r="AA93" s="476">
        <v>0</v>
      </c>
      <c r="AB93" s="476">
        <v>0</v>
      </c>
      <c r="AC93" s="476">
        <v>0</v>
      </c>
      <c r="AD93" s="476" t="s">
        <v>314</v>
      </c>
      <c r="AE93" s="476">
        <v>0</v>
      </c>
      <c r="AF93" s="476">
        <v>0</v>
      </c>
      <c r="AG93" s="476">
        <v>0</v>
      </c>
      <c r="AH93" s="476">
        <v>0</v>
      </c>
      <c r="AI93" s="476">
        <v>0</v>
      </c>
      <c r="AJ93" s="476">
        <v>6160</v>
      </c>
      <c r="AK93" s="476" t="s">
        <v>651</v>
      </c>
      <c r="AL93" s="476" t="s">
        <v>342</v>
      </c>
      <c r="AM93" s="476">
        <v>0</v>
      </c>
      <c r="AN93" s="476">
        <v>0</v>
      </c>
      <c r="AO93" s="476">
        <v>0</v>
      </c>
      <c r="AP93" s="476">
        <v>0</v>
      </c>
      <c r="AQ93" s="476">
        <v>0</v>
      </c>
      <c r="AR93" s="476">
        <v>0</v>
      </c>
      <c r="AS93" s="476">
        <v>0</v>
      </c>
      <c r="AT93" s="476">
        <v>0</v>
      </c>
      <c r="AU93" s="476">
        <v>0</v>
      </c>
      <c r="AV93" s="476">
        <v>0</v>
      </c>
      <c r="AW93" s="476">
        <v>8481938</v>
      </c>
      <c r="AX93" s="476">
        <v>8482384</v>
      </c>
      <c r="AY93" s="476">
        <v>0</v>
      </c>
      <c r="AZ93" s="476">
        <v>317590</v>
      </c>
      <c r="BA93" s="476">
        <v>10.667</v>
      </c>
      <c r="BB93" s="476">
        <v>0</v>
      </c>
      <c r="BC93" s="476">
        <v>0</v>
      </c>
      <c r="BD93" s="476">
        <v>0</v>
      </c>
      <c r="BE93" s="476">
        <v>0</v>
      </c>
      <c r="BF93" s="476">
        <v>7647617</v>
      </c>
      <c r="BG93" s="476">
        <v>0</v>
      </c>
      <c r="BH93" s="476">
        <v>0</v>
      </c>
      <c r="BI93" s="476">
        <v>0</v>
      </c>
      <c r="BJ93" s="476">
        <v>12</v>
      </c>
      <c r="BK93" s="476">
        <v>0</v>
      </c>
      <c r="BL93" s="476">
        <v>0</v>
      </c>
      <c r="BM93" s="476">
        <v>0</v>
      </c>
      <c r="BN93" s="476">
        <v>0</v>
      </c>
      <c r="BO93" s="476">
        <v>0</v>
      </c>
      <c r="BP93" s="476">
        <v>0</v>
      </c>
      <c r="BQ93" s="476">
        <v>653</v>
      </c>
      <c r="BR93" s="476">
        <v>0</v>
      </c>
      <c r="BS93" s="476">
        <v>0</v>
      </c>
      <c r="BT93" s="476">
        <v>0</v>
      </c>
      <c r="BU93" s="476">
        <v>0</v>
      </c>
      <c r="BV93" s="476">
        <v>0</v>
      </c>
      <c r="BW93" s="476">
        <v>0</v>
      </c>
      <c r="BX93" s="476">
        <v>0</v>
      </c>
      <c r="BY93" s="476">
        <v>0</v>
      </c>
      <c r="BZ93" s="476">
        <v>0</v>
      </c>
      <c r="CA93" s="476">
        <v>0</v>
      </c>
      <c r="CB93" s="476">
        <v>0</v>
      </c>
      <c r="CC93" s="476">
        <v>0</v>
      </c>
      <c r="CD93" s="476">
        <v>0</v>
      </c>
      <c r="CE93" s="476">
        <v>0</v>
      </c>
      <c r="CF93" s="476">
        <v>0</v>
      </c>
      <c r="CG93" s="476">
        <v>0</v>
      </c>
      <c r="CH93" s="476">
        <v>0</v>
      </c>
      <c r="CI93" s="476">
        <v>0</v>
      </c>
      <c r="CJ93" s="476">
        <v>4</v>
      </c>
      <c r="CK93" s="476">
        <v>0</v>
      </c>
      <c r="CL93" s="476">
        <v>0</v>
      </c>
      <c r="CM93" s="476">
        <v>0</v>
      </c>
      <c r="CN93" s="476">
        <v>0</v>
      </c>
      <c r="CO93" s="476">
        <v>1</v>
      </c>
      <c r="CP93" s="476">
        <v>0</v>
      </c>
      <c r="CQ93" s="476">
        <v>0.91700000000000004</v>
      </c>
      <c r="CR93" s="476">
        <v>765.26700000000005</v>
      </c>
      <c r="CS93" s="476">
        <v>0</v>
      </c>
      <c r="CT93" s="476">
        <v>0</v>
      </c>
      <c r="CU93" s="476">
        <v>0</v>
      </c>
      <c r="CV93" s="476">
        <v>0</v>
      </c>
      <c r="CW93" s="476">
        <v>0</v>
      </c>
      <c r="CX93" s="476">
        <v>0</v>
      </c>
      <c r="CY93" s="476">
        <v>0</v>
      </c>
      <c r="CZ93" s="476">
        <v>0</v>
      </c>
      <c r="DA93" s="476">
        <v>0</v>
      </c>
      <c r="DB93" s="476">
        <v>4697824</v>
      </c>
      <c r="DC93" s="476">
        <v>0</v>
      </c>
      <c r="DD93" s="476">
        <v>0</v>
      </c>
      <c r="DE93" s="476">
        <v>1309817</v>
      </c>
      <c r="DF93" s="476">
        <v>1309817</v>
      </c>
      <c r="DG93" s="476">
        <v>212.63800000000001</v>
      </c>
      <c r="DH93" s="476">
        <v>0</v>
      </c>
      <c r="DI93" s="476">
        <v>0</v>
      </c>
      <c r="DJ93" s="476">
        <v>0</v>
      </c>
      <c r="DK93" s="476">
        <v>2063</v>
      </c>
      <c r="DL93" s="476">
        <v>0</v>
      </c>
      <c r="DM93" s="476">
        <v>129840</v>
      </c>
      <c r="DN93" s="476">
        <v>446</v>
      </c>
      <c r="DO93" s="476">
        <v>0</v>
      </c>
      <c r="DP93" s="476">
        <v>0</v>
      </c>
      <c r="DQ93" s="476">
        <v>0</v>
      </c>
      <c r="DR93" s="476">
        <v>0</v>
      </c>
      <c r="DS93" s="476">
        <v>0</v>
      </c>
      <c r="DT93" s="476">
        <v>0</v>
      </c>
      <c r="DU93" s="476">
        <v>0</v>
      </c>
      <c r="DV93" s="476">
        <v>0</v>
      </c>
      <c r="DW93" s="476">
        <v>0</v>
      </c>
      <c r="DX93" s="476">
        <v>0</v>
      </c>
      <c r="DY93" s="476">
        <v>0</v>
      </c>
      <c r="DZ93" s="476">
        <v>0</v>
      </c>
      <c r="EA93" s="476">
        <v>0</v>
      </c>
      <c r="EB93" s="476">
        <v>0</v>
      </c>
      <c r="EC93" s="476">
        <v>10.945</v>
      </c>
      <c r="ED93" s="476">
        <v>77533</v>
      </c>
      <c r="EE93" s="476">
        <v>0</v>
      </c>
      <c r="EF93" s="476">
        <v>0</v>
      </c>
      <c r="EG93" s="476">
        <v>0</v>
      </c>
      <c r="EH93" s="476">
        <v>52753</v>
      </c>
      <c r="EI93" s="476">
        <v>0</v>
      </c>
      <c r="EJ93" s="476">
        <v>0</v>
      </c>
      <c r="EK93" s="476">
        <v>2.258</v>
      </c>
      <c r="EL93" s="476">
        <v>0</v>
      </c>
      <c r="EM93" s="476">
        <v>0</v>
      </c>
      <c r="EN93" s="476">
        <v>0.35800000000000004</v>
      </c>
      <c r="EO93" s="476">
        <v>0</v>
      </c>
      <c r="EP93" s="476">
        <v>0</v>
      </c>
      <c r="EQ93" s="476">
        <v>2.6160000000000001</v>
      </c>
      <c r="ER93" s="476">
        <v>0</v>
      </c>
      <c r="ES93" s="476">
        <v>8.5640000000000001</v>
      </c>
      <c r="ET93" s="476">
        <v>0</v>
      </c>
      <c r="EU93" s="476">
        <v>0</v>
      </c>
      <c r="EV93" s="476">
        <v>0</v>
      </c>
      <c r="EW93" s="476">
        <v>0</v>
      </c>
      <c r="EX93" s="476">
        <v>0</v>
      </c>
      <c r="EY93" s="476">
        <v>0</v>
      </c>
      <c r="EZ93" s="476">
        <v>7330027</v>
      </c>
      <c r="FA93" s="476">
        <v>0</v>
      </c>
      <c r="FB93" s="476">
        <v>7647171</v>
      </c>
      <c r="FC93" s="476">
        <v>0</v>
      </c>
      <c r="FD93" s="476">
        <v>0</v>
      </c>
      <c r="FE93" s="476">
        <v>987446</v>
      </c>
      <c r="FF93" s="476">
        <v>164911</v>
      </c>
      <c r="FG93" s="476">
        <v>6.3017999999999991E-2</v>
      </c>
      <c r="FH93" s="476">
        <v>2.6953999999999999E-2</v>
      </c>
      <c r="FI93" s="476">
        <v>0</v>
      </c>
      <c r="FJ93" s="476">
        <v>0</v>
      </c>
      <c r="FK93" s="476">
        <v>1241.5240000000001</v>
      </c>
      <c r="FL93" s="476">
        <v>8799528</v>
      </c>
      <c r="FM93" s="476">
        <v>0</v>
      </c>
      <c r="FN93" s="476">
        <v>0</v>
      </c>
      <c r="FO93" s="476">
        <v>0</v>
      </c>
      <c r="FP93" s="476">
        <v>0</v>
      </c>
      <c r="FQ93" s="476">
        <v>0</v>
      </c>
      <c r="FR93" s="476">
        <v>0</v>
      </c>
      <c r="FS93" s="476">
        <v>0</v>
      </c>
      <c r="FT93" s="476">
        <v>0</v>
      </c>
      <c r="FU93" s="476">
        <v>0</v>
      </c>
      <c r="FV93" s="476">
        <v>0</v>
      </c>
      <c r="FW93" s="476">
        <v>0</v>
      </c>
      <c r="FX93" s="476">
        <v>0</v>
      </c>
      <c r="FY93" s="476">
        <v>0</v>
      </c>
      <c r="FZ93" s="476">
        <v>0</v>
      </c>
      <c r="GA93" s="476">
        <v>0</v>
      </c>
      <c r="GB93" s="476">
        <v>0</v>
      </c>
      <c r="GC93" s="476">
        <v>0</v>
      </c>
      <c r="GD93" s="476">
        <v>0</v>
      </c>
      <c r="GE93" s="476">
        <v>0</v>
      </c>
      <c r="GF93" s="476">
        <v>0</v>
      </c>
      <c r="GG93" s="476">
        <v>0</v>
      </c>
      <c r="GH93" s="476">
        <v>0</v>
      </c>
      <c r="GI93" s="476">
        <v>0</v>
      </c>
      <c r="GJ93" s="476">
        <v>0</v>
      </c>
      <c r="GK93" s="476">
        <v>0</v>
      </c>
      <c r="GL93" s="476">
        <v>0</v>
      </c>
      <c r="GM93" s="476">
        <v>0</v>
      </c>
      <c r="GN93" s="476">
        <v>0</v>
      </c>
      <c r="GO93" s="476">
        <v>0</v>
      </c>
      <c r="GP93" s="476">
        <v>0</v>
      </c>
      <c r="GQ93" s="476">
        <v>8481938</v>
      </c>
      <c r="GR93" s="476">
        <v>0</v>
      </c>
      <c r="GS93" s="476">
        <v>0</v>
      </c>
      <c r="GT93" s="476">
        <v>0</v>
      </c>
      <c r="GU93" s="476">
        <v>0</v>
      </c>
      <c r="GV93" s="476">
        <v>0</v>
      </c>
      <c r="GW93" s="476">
        <v>0</v>
      </c>
      <c r="GX93" s="476">
        <v>0</v>
      </c>
      <c r="GY93" s="476">
        <v>0</v>
      </c>
      <c r="GZ93" s="476">
        <v>0</v>
      </c>
      <c r="HA93" s="476">
        <v>0</v>
      </c>
      <c r="HB93" s="476">
        <v>0</v>
      </c>
      <c r="HC93" s="476">
        <v>4.2206E-2</v>
      </c>
      <c r="HD93" s="476">
        <v>0</v>
      </c>
      <c r="HE93" s="476">
        <v>0</v>
      </c>
      <c r="HF93" s="476">
        <v>840441</v>
      </c>
      <c r="HG93" s="476">
        <v>0</v>
      </c>
      <c r="HH93" s="476">
        <v>357033</v>
      </c>
      <c r="HI93" s="476">
        <v>0</v>
      </c>
      <c r="HJ93" s="476">
        <v>7653</v>
      </c>
      <c r="HK93" s="476">
        <v>0</v>
      </c>
      <c r="HL93" s="476">
        <v>0</v>
      </c>
      <c r="HM93" s="476">
        <v>0</v>
      </c>
      <c r="HN93" s="476">
        <v>0</v>
      </c>
      <c r="HO93" s="476">
        <v>0</v>
      </c>
      <c r="HP93" s="476">
        <v>0</v>
      </c>
      <c r="HQ93" s="476">
        <v>0</v>
      </c>
      <c r="HR93" s="476">
        <v>0</v>
      </c>
      <c r="HS93" s="476">
        <v>7329581</v>
      </c>
      <c r="HT93" s="476">
        <v>164911</v>
      </c>
      <c r="HU93" s="476">
        <v>0</v>
      </c>
      <c r="HV93" s="476">
        <v>0</v>
      </c>
      <c r="HW93" s="476">
        <v>0</v>
      </c>
      <c r="HX93" s="476">
        <v>20</v>
      </c>
      <c r="HY93" s="476">
        <v>49</v>
      </c>
      <c r="HZ93" s="476">
        <v>103</v>
      </c>
      <c r="IA93" s="476">
        <v>200</v>
      </c>
      <c r="IB93" s="476">
        <v>430</v>
      </c>
      <c r="IC93" s="476">
        <v>802</v>
      </c>
      <c r="ID93" s="476">
        <v>0</v>
      </c>
      <c r="IE93" s="476">
        <v>0</v>
      </c>
      <c r="IF93" s="476">
        <v>0</v>
      </c>
      <c r="IG93" s="476">
        <v>0</v>
      </c>
      <c r="IH93" s="476">
        <v>579.61200000000008</v>
      </c>
      <c r="II93" s="476">
        <v>0</v>
      </c>
      <c r="IJ93" s="476">
        <v>494.43200000000002</v>
      </c>
      <c r="IK93" s="476">
        <v>0</v>
      </c>
      <c r="IL93" s="476">
        <v>0</v>
      </c>
      <c r="IM93" s="476">
        <v>0</v>
      </c>
      <c r="IN93" s="476">
        <v>0</v>
      </c>
      <c r="IO93" s="476">
        <v>0</v>
      </c>
      <c r="IP93" s="476">
        <v>0</v>
      </c>
      <c r="IQ93" s="476">
        <v>494.43200000000002</v>
      </c>
      <c r="IR93" s="476">
        <v>304563</v>
      </c>
      <c r="IS93" s="476">
        <v>0</v>
      </c>
      <c r="IT93" s="476">
        <v>0</v>
      </c>
      <c r="IU93" s="476">
        <v>0</v>
      </c>
      <c r="IV93" s="476">
        <v>0</v>
      </c>
      <c r="IW93" s="476">
        <v>6160</v>
      </c>
      <c r="IX93" s="476">
        <v>0</v>
      </c>
      <c r="IY93" s="476">
        <v>0</v>
      </c>
      <c r="IZ93" s="476">
        <v>0</v>
      </c>
      <c r="JA93" s="476">
        <v>0</v>
      </c>
      <c r="JB93" s="476">
        <v>0</v>
      </c>
      <c r="JC93" s="476">
        <v>0</v>
      </c>
      <c r="JD93" s="476">
        <v>0</v>
      </c>
      <c r="JE93" s="476">
        <v>0</v>
      </c>
      <c r="JF93" s="476">
        <v>0</v>
      </c>
      <c r="JG93" s="476">
        <v>0</v>
      </c>
      <c r="JH93" s="476">
        <v>0</v>
      </c>
      <c r="JI93" s="476">
        <v>0</v>
      </c>
      <c r="JJ93" s="476">
        <v>0</v>
      </c>
      <c r="JK93" s="476">
        <v>0</v>
      </c>
      <c r="JL93" s="476">
        <v>0</v>
      </c>
      <c r="JM93" s="476">
        <v>0</v>
      </c>
      <c r="JN93" s="476">
        <v>32469</v>
      </c>
      <c r="JO93" s="476">
        <v>0</v>
      </c>
      <c r="JP93" s="476">
        <v>0</v>
      </c>
      <c r="JQ93" s="476">
        <v>0</v>
      </c>
      <c r="JR93" s="476">
        <v>0</v>
      </c>
      <c r="JS93" s="476">
        <v>0</v>
      </c>
      <c r="JT93" s="476">
        <v>0</v>
      </c>
      <c r="JU93" s="476">
        <v>0</v>
      </c>
      <c r="JV93" s="476">
        <v>0</v>
      </c>
      <c r="JW93" s="476">
        <v>0</v>
      </c>
      <c r="JX93" s="476">
        <v>0</v>
      </c>
      <c r="JY93" s="476">
        <v>0</v>
      </c>
      <c r="JZ93" s="476">
        <v>0</v>
      </c>
      <c r="KA93" s="476">
        <v>0</v>
      </c>
      <c r="KB93" s="476">
        <v>0</v>
      </c>
      <c r="KC93" s="476">
        <v>0</v>
      </c>
      <c r="KD93" s="476">
        <v>0</v>
      </c>
      <c r="KE93" s="476">
        <v>7262</v>
      </c>
      <c r="KF93" s="476">
        <v>0</v>
      </c>
      <c r="KG93" s="476">
        <v>0</v>
      </c>
      <c r="KH93" s="476">
        <v>8481938</v>
      </c>
      <c r="KI93" s="476">
        <v>0</v>
      </c>
      <c r="KJ93" s="476">
        <v>0</v>
      </c>
      <c r="KK93" s="476">
        <v>0</v>
      </c>
      <c r="KL93" s="476">
        <v>0</v>
      </c>
      <c r="KM93" s="476">
        <v>0</v>
      </c>
      <c r="KN93" s="476">
        <v>0</v>
      </c>
    </row>
    <row r="94" spans="1:300" x14ac:dyDescent="0.25">
      <c r="A94" s="476">
        <v>40976</v>
      </c>
      <c r="B94" s="476">
        <v>101811</v>
      </c>
      <c r="C94" s="476">
        <v>9</v>
      </c>
      <c r="D94" s="476">
        <v>2024</v>
      </c>
      <c r="E94" s="476">
        <v>6160</v>
      </c>
      <c r="F94" s="476">
        <v>0</v>
      </c>
      <c r="G94" s="476">
        <v>200.59800000000001</v>
      </c>
      <c r="H94" s="476">
        <v>148.95600000000002</v>
      </c>
      <c r="I94" s="476">
        <v>148.95600000000002</v>
      </c>
      <c r="J94" s="476">
        <v>200.59800000000001</v>
      </c>
      <c r="K94" s="476">
        <v>0</v>
      </c>
      <c r="L94" s="476">
        <v>6160</v>
      </c>
      <c r="M94" s="476">
        <v>0</v>
      </c>
      <c r="N94" s="476">
        <v>0</v>
      </c>
      <c r="O94" s="476">
        <v>0</v>
      </c>
      <c r="P94" s="476">
        <v>200.59800000000001</v>
      </c>
      <c r="Q94" s="476">
        <v>0</v>
      </c>
      <c r="R94" s="476">
        <v>83225</v>
      </c>
      <c r="S94" s="476">
        <v>414.88400000000001</v>
      </c>
      <c r="T94" s="476">
        <v>0</v>
      </c>
      <c r="U94" s="476">
        <v>0</v>
      </c>
      <c r="V94" s="476">
        <v>25.798000000000002</v>
      </c>
      <c r="W94" s="476">
        <v>15891</v>
      </c>
      <c r="X94" s="476">
        <v>15891</v>
      </c>
      <c r="Y94" s="476">
        <v>0</v>
      </c>
      <c r="Z94" s="476">
        <v>0</v>
      </c>
      <c r="AA94" s="476">
        <v>0</v>
      </c>
      <c r="AB94" s="476">
        <v>0</v>
      </c>
      <c r="AC94" s="476">
        <v>0</v>
      </c>
      <c r="AD94" s="476" t="s">
        <v>314</v>
      </c>
      <c r="AE94" s="476">
        <v>0</v>
      </c>
      <c r="AF94" s="476">
        <v>0</v>
      </c>
      <c r="AG94" s="476">
        <v>0</v>
      </c>
      <c r="AH94" s="476">
        <v>0</v>
      </c>
      <c r="AI94" s="476">
        <v>0</v>
      </c>
      <c r="AJ94" s="476">
        <v>6160</v>
      </c>
      <c r="AK94" s="476" t="s">
        <v>651</v>
      </c>
      <c r="AL94" s="476" t="s">
        <v>343</v>
      </c>
      <c r="AM94" s="476">
        <v>0</v>
      </c>
      <c r="AN94" s="476">
        <v>0</v>
      </c>
      <c r="AO94" s="476">
        <v>0</v>
      </c>
      <c r="AP94" s="476">
        <v>0</v>
      </c>
      <c r="AQ94" s="476">
        <v>0</v>
      </c>
      <c r="AR94" s="476">
        <v>0</v>
      </c>
      <c r="AS94" s="476">
        <v>0</v>
      </c>
      <c r="AT94" s="476">
        <v>0</v>
      </c>
      <c r="AU94" s="476">
        <v>0</v>
      </c>
      <c r="AV94" s="476">
        <v>0</v>
      </c>
      <c r="AW94" s="476">
        <v>3214423</v>
      </c>
      <c r="AX94" s="476">
        <v>3184923</v>
      </c>
      <c r="AY94" s="476">
        <v>0</v>
      </c>
      <c r="AZ94" s="476">
        <v>83225</v>
      </c>
      <c r="BA94" s="476">
        <v>0</v>
      </c>
      <c r="BB94" s="476">
        <v>0</v>
      </c>
      <c r="BC94" s="476">
        <v>0</v>
      </c>
      <c r="BD94" s="476">
        <v>0</v>
      </c>
      <c r="BE94" s="476">
        <v>0</v>
      </c>
      <c r="BF94" s="476">
        <v>2775221</v>
      </c>
      <c r="BG94" s="476">
        <v>0</v>
      </c>
      <c r="BH94" s="476">
        <v>0</v>
      </c>
      <c r="BI94" s="476">
        <v>0</v>
      </c>
      <c r="BJ94" s="476">
        <v>12</v>
      </c>
      <c r="BK94" s="476">
        <v>0</v>
      </c>
      <c r="BL94" s="476">
        <v>0</v>
      </c>
      <c r="BM94" s="476">
        <v>0</v>
      </c>
      <c r="BN94" s="476">
        <v>0</v>
      </c>
      <c r="BO94" s="476">
        <v>0</v>
      </c>
      <c r="BP94" s="476">
        <v>0</v>
      </c>
      <c r="BQ94" s="476">
        <v>747</v>
      </c>
      <c r="BR94" s="476">
        <v>0</v>
      </c>
      <c r="BS94" s="476">
        <v>0</v>
      </c>
      <c r="BT94" s="476">
        <v>0</v>
      </c>
      <c r="BU94" s="476">
        <v>0</v>
      </c>
      <c r="BV94" s="476">
        <v>0</v>
      </c>
      <c r="BW94" s="476">
        <v>0</v>
      </c>
      <c r="BX94" s="476">
        <v>0</v>
      </c>
      <c r="BY94" s="476">
        <v>0</v>
      </c>
      <c r="BZ94" s="476">
        <v>0</v>
      </c>
      <c r="CA94" s="476">
        <v>0</v>
      </c>
      <c r="CB94" s="476">
        <v>0</v>
      </c>
      <c r="CC94" s="476">
        <v>0</v>
      </c>
      <c r="CD94" s="476">
        <v>0</v>
      </c>
      <c r="CE94" s="476">
        <v>0</v>
      </c>
      <c r="CF94" s="476">
        <v>0</v>
      </c>
      <c r="CG94" s="476">
        <v>0</v>
      </c>
      <c r="CH94" s="476">
        <v>33866</v>
      </c>
      <c r="CI94" s="476">
        <v>0</v>
      </c>
      <c r="CJ94" s="476">
        <v>4</v>
      </c>
      <c r="CK94" s="476">
        <v>0</v>
      </c>
      <c r="CL94" s="476">
        <v>0</v>
      </c>
      <c r="CM94" s="476">
        <v>0</v>
      </c>
      <c r="CN94" s="476">
        <v>0</v>
      </c>
      <c r="CO94" s="476">
        <v>1</v>
      </c>
      <c r="CP94" s="476">
        <v>0</v>
      </c>
      <c r="CQ94" s="476">
        <v>0</v>
      </c>
      <c r="CR94" s="476">
        <v>200.59800000000001</v>
      </c>
      <c r="CS94" s="476">
        <v>0</v>
      </c>
      <c r="CT94" s="476">
        <v>0</v>
      </c>
      <c r="CU94" s="476">
        <v>0</v>
      </c>
      <c r="CV94" s="476">
        <v>0</v>
      </c>
      <c r="CW94" s="476">
        <v>0</v>
      </c>
      <c r="CX94" s="476">
        <v>0</v>
      </c>
      <c r="CY94" s="476">
        <v>0</v>
      </c>
      <c r="CZ94" s="476">
        <v>0</v>
      </c>
      <c r="DA94" s="476">
        <v>0</v>
      </c>
      <c r="DB94" s="476">
        <v>917548</v>
      </c>
      <c r="DC94" s="476">
        <v>0</v>
      </c>
      <c r="DD94" s="476">
        <v>0</v>
      </c>
      <c r="DE94" s="476">
        <v>400160</v>
      </c>
      <c r="DF94" s="476">
        <v>400160</v>
      </c>
      <c r="DG94" s="476">
        <v>64.963000000000008</v>
      </c>
      <c r="DH94" s="476">
        <v>0</v>
      </c>
      <c r="DI94" s="476">
        <v>0</v>
      </c>
      <c r="DJ94" s="476">
        <v>0</v>
      </c>
      <c r="DK94" s="476">
        <v>3575</v>
      </c>
      <c r="DL94" s="476">
        <v>0</v>
      </c>
      <c r="DM94" s="476">
        <v>1269868</v>
      </c>
      <c r="DN94" s="476">
        <v>4366</v>
      </c>
      <c r="DO94" s="476">
        <v>0</v>
      </c>
      <c r="DP94" s="476">
        <v>0</v>
      </c>
      <c r="DQ94" s="476">
        <v>0</v>
      </c>
      <c r="DR94" s="476">
        <v>0</v>
      </c>
      <c r="DS94" s="476">
        <v>0</v>
      </c>
      <c r="DT94" s="476">
        <v>0</v>
      </c>
      <c r="DU94" s="476">
        <v>0</v>
      </c>
      <c r="DV94" s="476">
        <v>0</v>
      </c>
      <c r="DW94" s="476">
        <v>0</v>
      </c>
      <c r="DX94" s="476">
        <v>0</v>
      </c>
      <c r="DY94" s="476">
        <v>0</v>
      </c>
      <c r="DZ94" s="476">
        <v>0</v>
      </c>
      <c r="EA94" s="476">
        <v>0</v>
      </c>
      <c r="EB94" s="476">
        <v>0</v>
      </c>
      <c r="EC94" s="476">
        <v>4.0369999999999999</v>
      </c>
      <c r="ED94" s="476">
        <v>28597</v>
      </c>
      <c r="EE94" s="476">
        <v>0</v>
      </c>
      <c r="EF94" s="476">
        <v>0</v>
      </c>
      <c r="EG94" s="476">
        <v>1.042</v>
      </c>
      <c r="EH94" s="476">
        <v>73810</v>
      </c>
      <c r="EI94" s="476">
        <v>1171827</v>
      </c>
      <c r="EJ94" s="476">
        <v>47.559000000000005</v>
      </c>
      <c r="EK94" s="476">
        <v>2.41</v>
      </c>
      <c r="EL94" s="476">
        <v>0</v>
      </c>
      <c r="EM94" s="476">
        <v>0.60799999999999998</v>
      </c>
      <c r="EN94" s="476">
        <v>2.3E-2</v>
      </c>
      <c r="EO94" s="476">
        <v>0</v>
      </c>
      <c r="EP94" s="476">
        <v>0</v>
      </c>
      <c r="EQ94" s="476">
        <v>51.642000000000003</v>
      </c>
      <c r="ER94" s="476">
        <v>0</v>
      </c>
      <c r="ES94" s="476">
        <v>11.982000000000001</v>
      </c>
      <c r="ET94" s="476">
        <v>0</v>
      </c>
      <c r="EU94" s="476">
        <v>0</v>
      </c>
      <c r="EV94" s="476">
        <v>0</v>
      </c>
      <c r="EW94" s="476">
        <v>0</v>
      </c>
      <c r="EX94" s="476">
        <v>0</v>
      </c>
      <c r="EY94" s="476">
        <v>0</v>
      </c>
      <c r="EZ94" s="476">
        <v>2766747</v>
      </c>
      <c r="FA94" s="476">
        <v>0</v>
      </c>
      <c r="FB94" s="476">
        <v>2845606</v>
      </c>
      <c r="FC94" s="476">
        <v>0</v>
      </c>
      <c r="FD94" s="476">
        <v>0</v>
      </c>
      <c r="FE94" s="476">
        <v>358332</v>
      </c>
      <c r="FF94" s="476">
        <v>59844</v>
      </c>
      <c r="FG94" s="476">
        <v>6.3017999999999991E-2</v>
      </c>
      <c r="FH94" s="476">
        <v>2.6953999999999999E-2</v>
      </c>
      <c r="FI94" s="476">
        <v>0</v>
      </c>
      <c r="FJ94" s="476">
        <v>0</v>
      </c>
      <c r="FK94" s="476">
        <v>450.53300000000002</v>
      </c>
      <c r="FL94" s="476">
        <v>3297648</v>
      </c>
      <c r="FM94" s="476">
        <v>0</v>
      </c>
      <c r="FN94" s="476">
        <v>0</v>
      </c>
      <c r="FO94" s="476">
        <v>0</v>
      </c>
      <c r="FP94" s="476">
        <v>0</v>
      </c>
      <c r="FQ94" s="476">
        <v>0</v>
      </c>
      <c r="FR94" s="476">
        <v>0</v>
      </c>
      <c r="FS94" s="476">
        <v>0</v>
      </c>
      <c r="FT94" s="476">
        <v>0</v>
      </c>
      <c r="FU94" s="476">
        <v>0</v>
      </c>
      <c r="FV94" s="476">
        <v>0</v>
      </c>
      <c r="FW94" s="476">
        <v>0</v>
      </c>
      <c r="FX94" s="476">
        <v>0</v>
      </c>
      <c r="FY94" s="476">
        <v>0</v>
      </c>
      <c r="FZ94" s="476">
        <v>0</v>
      </c>
      <c r="GA94" s="476">
        <v>0</v>
      </c>
      <c r="GB94" s="476">
        <v>0</v>
      </c>
      <c r="GC94" s="476">
        <v>0</v>
      </c>
      <c r="GD94" s="476">
        <v>0</v>
      </c>
      <c r="GE94" s="476">
        <v>0</v>
      </c>
      <c r="GF94" s="476">
        <v>0</v>
      </c>
      <c r="GG94" s="476">
        <v>0</v>
      </c>
      <c r="GH94" s="476">
        <v>0</v>
      </c>
      <c r="GI94" s="476">
        <v>0</v>
      </c>
      <c r="GJ94" s="476">
        <v>0</v>
      </c>
      <c r="GK94" s="476">
        <v>0</v>
      </c>
      <c r="GL94" s="476">
        <v>0</v>
      </c>
      <c r="GM94" s="476">
        <v>0</v>
      </c>
      <c r="GN94" s="476">
        <v>0</v>
      </c>
      <c r="GO94" s="476">
        <v>0</v>
      </c>
      <c r="GP94" s="476">
        <v>0</v>
      </c>
      <c r="GQ94" s="476">
        <v>3180557</v>
      </c>
      <c r="GR94" s="476">
        <v>0</v>
      </c>
      <c r="GS94" s="476">
        <v>0</v>
      </c>
      <c r="GT94" s="476">
        <v>0</v>
      </c>
      <c r="GU94" s="476">
        <v>0</v>
      </c>
      <c r="GV94" s="476">
        <v>0</v>
      </c>
      <c r="GW94" s="476">
        <v>0</v>
      </c>
      <c r="GX94" s="476">
        <v>0</v>
      </c>
      <c r="GY94" s="476">
        <v>0</v>
      </c>
      <c r="GZ94" s="476">
        <v>0</v>
      </c>
      <c r="HA94" s="476">
        <v>0</v>
      </c>
      <c r="HB94" s="476">
        <v>323396213</v>
      </c>
      <c r="HC94" s="476">
        <v>4.2206E-2</v>
      </c>
      <c r="HD94" s="476">
        <v>33866</v>
      </c>
      <c r="HE94" s="476">
        <v>0</v>
      </c>
      <c r="HF94" s="476">
        <v>164150</v>
      </c>
      <c r="HG94" s="476">
        <v>1232</v>
      </c>
      <c r="HH94" s="476">
        <v>0</v>
      </c>
      <c r="HI94" s="476">
        <v>0</v>
      </c>
      <c r="HJ94" s="476">
        <v>2006</v>
      </c>
      <c r="HK94" s="476">
        <v>2017</v>
      </c>
      <c r="HL94" s="476">
        <v>11</v>
      </c>
      <c r="HM94" s="476">
        <v>0</v>
      </c>
      <c r="HN94" s="476">
        <v>0</v>
      </c>
      <c r="HO94" s="476">
        <v>0</v>
      </c>
      <c r="HP94" s="476">
        <v>54780</v>
      </c>
      <c r="HQ94" s="476">
        <v>0</v>
      </c>
      <c r="HR94" s="476">
        <v>0</v>
      </c>
      <c r="HS94" s="476">
        <v>2762381</v>
      </c>
      <c r="HT94" s="476">
        <v>59844</v>
      </c>
      <c r="HU94" s="476">
        <v>0</v>
      </c>
      <c r="HV94" s="476">
        <v>0</v>
      </c>
      <c r="HW94" s="476">
        <v>0</v>
      </c>
      <c r="HX94" s="476">
        <v>30</v>
      </c>
      <c r="HY94" s="476">
        <v>35</v>
      </c>
      <c r="HZ94" s="476">
        <v>32</v>
      </c>
      <c r="IA94" s="476">
        <v>58</v>
      </c>
      <c r="IB94" s="476">
        <v>97</v>
      </c>
      <c r="IC94" s="476">
        <v>252</v>
      </c>
      <c r="ID94" s="476">
        <v>0</v>
      </c>
      <c r="IE94" s="476">
        <v>0</v>
      </c>
      <c r="IF94" s="476">
        <v>0</v>
      </c>
      <c r="IG94" s="476">
        <v>2</v>
      </c>
      <c r="IH94" s="476">
        <v>0</v>
      </c>
      <c r="II94" s="476">
        <v>199.20000000000002</v>
      </c>
      <c r="IJ94" s="476">
        <v>25.798000000000002</v>
      </c>
      <c r="IK94" s="476">
        <v>65.248000000000005</v>
      </c>
      <c r="IL94" s="476">
        <v>0</v>
      </c>
      <c r="IM94" s="476">
        <v>0</v>
      </c>
      <c r="IN94" s="476">
        <v>0</v>
      </c>
      <c r="IO94" s="476">
        <v>0</v>
      </c>
      <c r="IP94" s="476">
        <v>264.44800000000004</v>
      </c>
      <c r="IQ94" s="476">
        <v>25.798000000000002</v>
      </c>
      <c r="IR94" s="476">
        <v>15891</v>
      </c>
      <c r="IS94" s="476">
        <v>17943</v>
      </c>
      <c r="IT94" s="476">
        <v>0</v>
      </c>
      <c r="IU94" s="476">
        <v>0</v>
      </c>
      <c r="IV94" s="476">
        <v>0</v>
      </c>
      <c r="IW94" s="476">
        <v>6160</v>
      </c>
      <c r="IX94" s="476">
        <v>0</v>
      </c>
      <c r="IY94" s="476">
        <v>0</v>
      </c>
      <c r="IZ94" s="476">
        <v>72723</v>
      </c>
      <c r="JA94" s="476">
        <v>0</v>
      </c>
      <c r="JB94" s="476">
        <v>0</v>
      </c>
      <c r="JC94" s="476">
        <v>0</v>
      </c>
      <c r="JD94" s="476">
        <v>0</v>
      </c>
      <c r="JE94" s="476">
        <v>0</v>
      </c>
      <c r="JF94" s="476">
        <v>0</v>
      </c>
      <c r="JG94" s="476">
        <v>0</v>
      </c>
      <c r="JH94" s="476">
        <v>0</v>
      </c>
      <c r="JI94" s="476">
        <v>0</v>
      </c>
      <c r="JJ94" s="476">
        <v>0</v>
      </c>
      <c r="JK94" s="476">
        <v>0</v>
      </c>
      <c r="JL94" s="476">
        <v>0</v>
      </c>
      <c r="JM94" s="476">
        <v>0</v>
      </c>
      <c r="JN94" s="476">
        <v>32469</v>
      </c>
      <c r="JO94" s="476">
        <v>0</v>
      </c>
      <c r="JP94" s="476">
        <v>0</v>
      </c>
      <c r="JQ94" s="476">
        <v>0</v>
      </c>
      <c r="JR94" s="476">
        <v>0</v>
      </c>
      <c r="JS94" s="476">
        <v>0</v>
      </c>
      <c r="JT94" s="476">
        <v>0</v>
      </c>
      <c r="JU94" s="476">
        <v>0</v>
      </c>
      <c r="JV94" s="476">
        <v>0</v>
      </c>
      <c r="JW94" s="476">
        <v>0</v>
      </c>
      <c r="JX94" s="476">
        <v>0</v>
      </c>
      <c r="JY94" s="476">
        <v>0</v>
      </c>
      <c r="JZ94" s="476">
        <v>0</v>
      </c>
      <c r="KA94" s="476">
        <v>0</v>
      </c>
      <c r="KB94" s="476">
        <v>0</v>
      </c>
      <c r="KC94" s="476">
        <v>0</v>
      </c>
      <c r="KD94" s="476">
        <v>0</v>
      </c>
      <c r="KE94" s="476">
        <v>7262</v>
      </c>
      <c r="KF94" s="476">
        <v>0</v>
      </c>
      <c r="KG94" s="476">
        <v>0</v>
      </c>
      <c r="KH94" s="476">
        <v>3180557</v>
      </c>
      <c r="KI94" s="476">
        <v>0</v>
      </c>
      <c r="KJ94" s="476">
        <v>1</v>
      </c>
      <c r="KK94" s="476">
        <v>1</v>
      </c>
      <c r="KL94" s="476">
        <v>616</v>
      </c>
      <c r="KM94" s="476">
        <v>616</v>
      </c>
      <c r="KN94" s="476">
        <v>0</v>
      </c>
    </row>
    <row r="95" spans="1:300" x14ac:dyDescent="0.25">
      <c r="A95" s="476">
        <v>40976</v>
      </c>
      <c r="B95" s="476">
        <v>101814</v>
      </c>
      <c r="C95" s="476">
        <v>9</v>
      </c>
      <c r="D95" s="476">
        <v>2024</v>
      </c>
      <c r="E95" s="476">
        <v>6160</v>
      </c>
      <c r="F95" s="476">
        <v>0</v>
      </c>
      <c r="G95" s="476">
        <v>962.00800000000004</v>
      </c>
      <c r="H95" s="476">
        <v>943.57300000000009</v>
      </c>
      <c r="I95" s="476">
        <v>943.57300000000009</v>
      </c>
      <c r="J95" s="476">
        <v>962.00800000000004</v>
      </c>
      <c r="K95" s="476">
        <v>0</v>
      </c>
      <c r="L95" s="476">
        <v>6160</v>
      </c>
      <c r="M95" s="476">
        <v>0</v>
      </c>
      <c r="N95" s="476">
        <v>0</v>
      </c>
      <c r="O95" s="476">
        <v>0</v>
      </c>
      <c r="P95" s="476">
        <v>962.53800000000001</v>
      </c>
      <c r="Q95" s="476">
        <v>0</v>
      </c>
      <c r="R95" s="476">
        <v>399342</v>
      </c>
      <c r="S95" s="476">
        <v>414.88400000000001</v>
      </c>
      <c r="T95" s="476">
        <v>0</v>
      </c>
      <c r="U95" s="476">
        <v>0</v>
      </c>
      <c r="V95" s="476">
        <v>502.00400000000002</v>
      </c>
      <c r="W95" s="476">
        <v>309227</v>
      </c>
      <c r="X95" s="476">
        <v>309227</v>
      </c>
      <c r="Y95" s="476">
        <v>0</v>
      </c>
      <c r="Z95" s="476">
        <v>0</v>
      </c>
      <c r="AA95" s="476">
        <v>0</v>
      </c>
      <c r="AB95" s="476">
        <v>0</v>
      </c>
      <c r="AC95" s="476">
        <v>0</v>
      </c>
      <c r="AD95" s="476" t="s">
        <v>314</v>
      </c>
      <c r="AE95" s="476">
        <v>0</v>
      </c>
      <c r="AF95" s="476">
        <v>0</v>
      </c>
      <c r="AG95" s="476">
        <v>0</v>
      </c>
      <c r="AH95" s="476">
        <v>0</v>
      </c>
      <c r="AI95" s="476">
        <v>0</v>
      </c>
      <c r="AJ95" s="476">
        <v>6160</v>
      </c>
      <c r="AK95" s="476" t="s">
        <v>651</v>
      </c>
      <c r="AL95" s="476" t="s">
        <v>344</v>
      </c>
      <c r="AM95" s="476">
        <v>0</v>
      </c>
      <c r="AN95" s="476">
        <v>0</v>
      </c>
      <c r="AO95" s="476">
        <v>0</v>
      </c>
      <c r="AP95" s="476">
        <v>0</v>
      </c>
      <c r="AQ95" s="476">
        <v>0</v>
      </c>
      <c r="AR95" s="476">
        <v>0</v>
      </c>
      <c r="AS95" s="476">
        <v>0</v>
      </c>
      <c r="AT95" s="476">
        <v>0</v>
      </c>
      <c r="AU95" s="476">
        <v>0</v>
      </c>
      <c r="AV95" s="476">
        <v>0</v>
      </c>
      <c r="AW95" s="476">
        <v>10904939</v>
      </c>
      <c r="AX95" s="476">
        <v>10744019</v>
      </c>
      <c r="AY95" s="476">
        <v>0</v>
      </c>
      <c r="AZ95" s="476">
        <v>399342</v>
      </c>
      <c r="BA95" s="476">
        <v>68.25</v>
      </c>
      <c r="BB95" s="476">
        <v>0</v>
      </c>
      <c r="BC95" s="476">
        <v>0</v>
      </c>
      <c r="BD95" s="476">
        <v>0</v>
      </c>
      <c r="BE95" s="476">
        <v>0</v>
      </c>
      <c r="BF95" s="476">
        <v>9612039</v>
      </c>
      <c r="BG95" s="476">
        <v>0</v>
      </c>
      <c r="BH95" s="476">
        <v>0</v>
      </c>
      <c r="BI95" s="476">
        <v>0</v>
      </c>
      <c r="BJ95" s="476">
        <v>12</v>
      </c>
      <c r="BK95" s="476">
        <v>0</v>
      </c>
      <c r="BL95" s="476">
        <v>0</v>
      </c>
      <c r="BM95" s="476">
        <v>0</v>
      </c>
      <c r="BN95" s="476">
        <v>0</v>
      </c>
      <c r="BO95" s="476">
        <v>0</v>
      </c>
      <c r="BP95" s="476">
        <v>0</v>
      </c>
      <c r="BQ95" s="476">
        <v>625</v>
      </c>
      <c r="BR95" s="476">
        <v>0</v>
      </c>
      <c r="BS95" s="476">
        <v>0</v>
      </c>
      <c r="BT95" s="476">
        <v>0</v>
      </c>
      <c r="BU95" s="476">
        <v>0</v>
      </c>
      <c r="BV95" s="476">
        <v>0</v>
      </c>
      <c r="BW95" s="476">
        <v>0</v>
      </c>
      <c r="BX95" s="476">
        <v>0</v>
      </c>
      <c r="BY95" s="476">
        <v>0</v>
      </c>
      <c r="BZ95" s="476">
        <v>0</v>
      </c>
      <c r="CA95" s="476">
        <v>0</v>
      </c>
      <c r="CB95" s="476">
        <v>0</v>
      </c>
      <c r="CC95" s="476">
        <v>0</v>
      </c>
      <c r="CD95" s="476">
        <v>0</v>
      </c>
      <c r="CE95" s="476">
        <v>0</v>
      </c>
      <c r="CF95" s="476">
        <v>0</v>
      </c>
      <c r="CG95" s="476">
        <v>0</v>
      </c>
      <c r="CH95" s="476">
        <v>162411</v>
      </c>
      <c r="CI95" s="476">
        <v>0</v>
      </c>
      <c r="CJ95" s="476">
        <v>4</v>
      </c>
      <c r="CK95" s="476">
        <v>0</v>
      </c>
      <c r="CL95" s="476">
        <v>0</v>
      </c>
      <c r="CM95" s="476">
        <v>0</v>
      </c>
      <c r="CN95" s="476">
        <v>0</v>
      </c>
      <c r="CO95" s="476">
        <v>1</v>
      </c>
      <c r="CP95" s="476">
        <v>0</v>
      </c>
      <c r="CQ95" s="476">
        <v>0</v>
      </c>
      <c r="CR95" s="476">
        <v>962.00800000000004</v>
      </c>
      <c r="CS95" s="476">
        <v>0</v>
      </c>
      <c r="CT95" s="476">
        <v>0</v>
      </c>
      <c r="CU95" s="476">
        <v>0</v>
      </c>
      <c r="CV95" s="476">
        <v>0</v>
      </c>
      <c r="CW95" s="476">
        <v>0</v>
      </c>
      <c r="CX95" s="476">
        <v>0</v>
      </c>
      <c r="CY95" s="476">
        <v>0</v>
      </c>
      <c r="CZ95" s="476">
        <v>0</v>
      </c>
      <c r="DA95" s="476">
        <v>0</v>
      </c>
      <c r="DB95" s="476">
        <v>5809359</v>
      </c>
      <c r="DC95" s="476">
        <v>0</v>
      </c>
      <c r="DD95" s="476">
        <v>0</v>
      </c>
      <c r="DE95" s="476">
        <v>1739699</v>
      </c>
      <c r="DF95" s="476">
        <v>1739699</v>
      </c>
      <c r="DG95" s="476">
        <v>282.42500000000001</v>
      </c>
      <c r="DH95" s="476">
        <v>0</v>
      </c>
      <c r="DI95" s="476">
        <v>0</v>
      </c>
      <c r="DJ95" s="476">
        <v>0</v>
      </c>
      <c r="DK95" s="476">
        <v>1617</v>
      </c>
      <c r="DL95" s="476">
        <v>0</v>
      </c>
      <c r="DM95" s="476">
        <v>436634</v>
      </c>
      <c r="DN95" s="476">
        <v>1491</v>
      </c>
      <c r="DO95" s="476">
        <v>0</v>
      </c>
      <c r="DP95" s="476">
        <v>0</v>
      </c>
      <c r="DQ95" s="476">
        <v>0</v>
      </c>
      <c r="DR95" s="476">
        <v>0</v>
      </c>
      <c r="DS95" s="476">
        <v>0</v>
      </c>
      <c r="DT95" s="476">
        <v>0</v>
      </c>
      <c r="DU95" s="476">
        <v>0</v>
      </c>
      <c r="DV95" s="476">
        <v>0</v>
      </c>
      <c r="DW95" s="476">
        <v>0</v>
      </c>
      <c r="DX95" s="476">
        <v>0</v>
      </c>
      <c r="DY95" s="476">
        <v>0</v>
      </c>
      <c r="DZ95" s="476">
        <v>0</v>
      </c>
      <c r="EA95" s="476">
        <v>0</v>
      </c>
      <c r="EB95" s="476">
        <v>0</v>
      </c>
      <c r="EC95" s="476">
        <v>11.74</v>
      </c>
      <c r="ED95" s="476">
        <v>83164</v>
      </c>
      <c r="EE95" s="476">
        <v>0</v>
      </c>
      <c r="EF95" s="476">
        <v>0</v>
      </c>
      <c r="EG95" s="476">
        <v>0</v>
      </c>
      <c r="EH95" s="476">
        <v>352042</v>
      </c>
      <c r="EI95" s="476">
        <v>0</v>
      </c>
      <c r="EJ95" s="476">
        <v>0</v>
      </c>
      <c r="EK95" s="476">
        <v>17.512</v>
      </c>
      <c r="EL95" s="476">
        <v>0</v>
      </c>
      <c r="EM95" s="476">
        <v>0</v>
      </c>
      <c r="EN95" s="476">
        <v>0.92300000000000004</v>
      </c>
      <c r="EO95" s="476">
        <v>0</v>
      </c>
      <c r="EP95" s="476">
        <v>0</v>
      </c>
      <c r="EQ95" s="476">
        <v>18.435000000000002</v>
      </c>
      <c r="ER95" s="476">
        <v>0</v>
      </c>
      <c r="ES95" s="476">
        <v>57.151000000000003</v>
      </c>
      <c r="ET95" s="476">
        <v>0</v>
      </c>
      <c r="EU95" s="476">
        <v>0</v>
      </c>
      <c r="EV95" s="476">
        <v>0</v>
      </c>
      <c r="EW95" s="476">
        <v>0</v>
      </c>
      <c r="EX95" s="476">
        <v>0</v>
      </c>
      <c r="EY95" s="476">
        <v>0</v>
      </c>
      <c r="EZ95" s="476">
        <v>9295659</v>
      </c>
      <c r="FA95" s="476">
        <v>0</v>
      </c>
      <c r="FB95" s="476">
        <v>9693510</v>
      </c>
      <c r="FC95" s="476">
        <v>0</v>
      </c>
      <c r="FD95" s="476">
        <v>0</v>
      </c>
      <c r="FE95" s="476">
        <v>1241089</v>
      </c>
      <c r="FF95" s="476">
        <v>207271</v>
      </c>
      <c r="FG95" s="476">
        <v>6.3017999999999991E-2</v>
      </c>
      <c r="FH95" s="476">
        <v>2.6953999999999999E-2</v>
      </c>
      <c r="FI95" s="476">
        <v>0</v>
      </c>
      <c r="FJ95" s="476">
        <v>0</v>
      </c>
      <c r="FK95" s="476">
        <v>1560.431</v>
      </c>
      <c r="FL95" s="476">
        <v>11304281</v>
      </c>
      <c r="FM95" s="476">
        <v>0</v>
      </c>
      <c r="FN95" s="476">
        <v>0</v>
      </c>
      <c r="FO95" s="476">
        <v>82962</v>
      </c>
      <c r="FP95" s="476">
        <v>0</v>
      </c>
      <c r="FQ95" s="476">
        <v>82962</v>
      </c>
      <c r="FR95" s="476">
        <v>82962</v>
      </c>
      <c r="FS95" s="476">
        <v>0</v>
      </c>
      <c r="FT95" s="476">
        <v>0</v>
      </c>
      <c r="FU95" s="476">
        <v>0</v>
      </c>
      <c r="FV95" s="476">
        <v>0</v>
      </c>
      <c r="FW95" s="476">
        <v>0</v>
      </c>
      <c r="FX95" s="476">
        <v>0</v>
      </c>
      <c r="FY95" s="476">
        <v>0</v>
      </c>
      <c r="FZ95" s="476">
        <v>0</v>
      </c>
      <c r="GA95" s="476">
        <v>0</v>
      </c>
      <c r="GB95" s="476">
        <v>0</v>
      </c>
      <c r="GC95" s="476">
        <v>0</v>
      </c>
      <c r="GD95" s="476">
        <v>0</v>
      </c>
      <c r="GE95" s="476">
        <v>0</v>
      </c>
      <c r="GF95" s="476">
        <v>0</v>
      </c>
      <c r="GG95" s="476">
        <v>0</v>
      </c>
      <c r="GH95" s="476">
        <v>0</v>
      </c>
      <c r="GI95" s="476">
        <v>0</v>
      </c>
      <c r="GJ95" s="476">
        <v>0</v>
      </c>
      <c r="GK95" s="476">
        <v>0</v>
      </c>
      <c r="GL95" s="476">
        <v>0</v>
      </c>
      <c r="GM95" s="476">
        <v>0</v>
      </c>
      <c r="GN95" s="476">
        <v>0</v>
      </c>
      <c r="GO95" s="476">
        <v>0</v>
      </c>
      <c r="GP95" s="476">
        <v>0</v>
      </c>
      <c r="GQ95" s="476">
        <v>10742528</v>
      </c>
      <c r="GR95" s="476">
        <v>0</v>
      </c>
      <c r="GS95" s="476">
        <v>0</v>
      </c>
      <c r="GT95" s="476">
        <v>0</v>
      </c>
      <c r="GU95" s="476">
        <v>0</v>
      </c>
      <c r="GV95" s="476">
        <v>0</v>
      </c>
      <c r="GW95" s="476">
        <v>0</v>
      </c>
      <c r="GX95" s="476">
        <v>0</v>
      </c>
      <c r="GY95" s="476">
        <v>0</v>
      </c>
      <c r="GZ95" s="476">
        <v>0</v>
      </c>
      <c r="HA95" s="476">
        <v>0</v>
      </c>
      <c r="HB95" s="476">
        <v>323396213</v>
      </c>
      <c r="HC95" s="476">
        <v>4.2206E-2</v>
      </c>
      <c r="HD95" s="476">
        <v>162411</v>
      </c>
      <c r="HE95" s="476">
        <v>0</v>
      </c>
      <c r="HF95" s="476">
        <v>1039817</v>
      </c>
      <c r="HG95" s="476">
        <v>616</v>
      </c>
      <c r="HH95" s="476">
        <v>265576</v>
      </c>
      <c r="HI95" s="476">
        <v>0</v>
      </c>
      <c r="HJ95" s="476">
        <v>9620</v>
      </c>
      <c r="HK95" s="476">
        <v>0</v>
      </c>
      <c r="HL95" s="476">
        <v>0</v>
      </c>
      <c r="HM95" s="476">
        <v>0</v>
      </c>
      <c r="HN95" s="476">
        <v>0</v>
      </c>
      <c r="HO95" s="476">
        <v>0</v>
      </c>
      <c r="HP95" s="476">
        <v>0</v>
      </c>
      <c r="HQ95" s="476">
        <v>0</v>
      </c>
      <c r="HR95" s="476">
        <v>0</v>
      </c>
      <c r="HS95" s="476">
        <v>9294168</v>
      </c>
      <c r="HT95" s="476">
        <v>207271</v>
      </c>
      <c r="HU95" s="476">
        <v>0</v>
      </c>
      <c r="HV95" s="476">
        <v>0</v>
      </c>
      <c r="HW95" s="476">
        <v>0</v>
      </c>
      <c r="HX95" s="476">
        <v>33</v>
      </c>
      <c r="HY95" s="476">
        <v>89</v>
      </c>
      <c r="HZ95" s="476">
        <v>99</v>
      </c>
      <c r="IA95" s="476">
        <v>261</v>
      </c>
      <c r="IB95" s="476">
        <v>584</v>
      </c>
      <c r="IC95" s="476">
        <v>1066</v>
      </c>
      <c r="ID95" s="476">
        <v>0</v>
      </c>
      <c r="IE95" s="476">
        <v>0</v>
      </c>
      <c r="IF95" s="476">
        <v>0</v>
      </c>
      <c r="IG95" s="476">
        <v>1</v>
      </c>
      <c r="IH95" s="476">
        <v>431.13900000000001</v>
      </c>
      <c r="II95" s="476">
        <v>0</v>
      </c>
      <c r="IJ95" s="476">
        <v>502.00400000000002</v>
      </c>
      <c r="IK95" s="476">
        <v>0</v>
      </c>
      <c r="IL95" s="476">
        <v>0</v>
      </c>
      <c r="IM95" s="476">
        <v>0</v>
      </c>
      <c r="IN95" s="476">
        <v>0</v>
      </c>
      <c r="IO95" s="476">
        <v>0</v>
      </c>
      <c r="IP95" s="476">
        <v>0</v>
      </c>
      <c r="IQ95" s="476">
        <v>502.00400000000002</v>
      </c>
      <c r="IR95" s="476">
        <v>309227</v>
      </c>
      <c r="IS95" s="476">
        <v>0</v>
      </c>
      <c r="IT95" s="476">
        <v>0</v>
      </c>
      <c r="IU95" s="476">
        <v>0</v>
      </c>
      <c r="IV95" s="476">
        <v>0</v>
      </c>
      <c r="IW95" s="476">
        <v>6160</v>
      </c>
      <c r="IX95" s="476">
        <v>0</v>
      </c>
      <c r="IY95" s="476">
        <v>0</v>
      </c>
      <c r="IZ95" s="476">
        <v>0</v>
      </c>
      <c r="JA95" s="476">
        <v>0</v>
      </c>
      <c r="JB95" s="476">
        <v>0</v>
      </c>
      <c r="JC95" s="476">
        <v>0</v>
      </c>
      <c r="JD95" s="476">
        <v>0</v>
      </c>
      <c r="JE95" s="476">
        <v>0</v>
      </c>
      <c r="JF95" s="476">
        <v>0</v>
      </c>
      <c r="JG95" s="476">
        <v>0</v>
      </c>
      <c r="JH95" s="476">
        <v>0</v>
      </c>
      <c r="JI95" s="476">
        <v>0</v>
      </c>
      <c r="JJ95" s="476">
        <v>0</v>
      </c>
      <c r="JK95" s="476">
        <v>0</v>
      </c>
      <c r="JL95" s="476">
        <v>0</v>
      </c>
      <c r="JM95" s="476">
        <v>0</v>
      </c>
      <c r="JN95" s="476">
        <v>32469</v>
      </c>
      <c r="JO95" s="476">
        <v>0</v>
      </c>
      <c r="JP95" s="476">
        <v>0</v>
      </c>
      <c r="JQ95" s="476">
        <v>0</v>
      </c>
      <c r="JR95" s="476">
        <v>0</v>
      </c>
      <c r="JS95" s="476">
        <v>0</v>
      </c>
      <c r="JT95" s="476">
        <v>0</v>
      </c>
      <c r="JU95" s="476">
        <v>0</v>
      </c>
      <c r="JV95" s="476">
        <v>0</v>
      </c>
      <c r="JW95" s="476">
        <v>0</v>
      </c>
      <c r="JX95" s="476">
        <v>0</v>
      </c>
      <c r="JY95" s="476">
        <v>0</v>
      </c>
      <c r="JZ95" s="476">
        <v>0</v>
      </c>
      <c r="KA95" s="476">
        <v>0</v>
      </c>
      <c r="KB95" s="476">
        <v>0</v>
      </c>
      <c r="KC95" s="476">
        <v>0</v>
      </c>
      <c r="KD95" s="476">
        <v>0</v>
      </c>
      <c r="KE95" s="476">
        <v>7262</v>
      </c>
      <c r="KF95" s="476">
        <v>0</v>
      </c>
      <c r="KG95" s="476">
        <v>0</v>
      </c>
      <c r="KH95" s="476">
        <v>10742528</v>
      </c>
      <c r="KI95" s="476">
        <v>0</v>
      </c>
      <c r="KJ95" s="476">
        <v>1</v>
      </c>
      <c r="KK95" s="476">
        <v>0</v>
      </c>
      <c r="KL95" s="476">
        <v>616</v>
      </c>
      <c r="KM95" s="476">
        <v>0</v>
      </c>
      <c r="KN95" s="476">
        <v>0</v>
      </c>
    </row>
    <row r="96" spans="1:300" x14ac:dyDescent="0.25">
      <c r="A96" s="476">
        <v>40976</v>
      </c>
      <c r="B96" s="476">
        <v>101815</v>
      </c>
      <c r="C96" s="476">
        <v>9</v>
      </c>
      <c r="D96" s="476">
        <v>2024</v>
      </c>
      <c r="E96" s="476">
        <v>6160</v>
      </c>
      <c r="F96" s="476">
        <v>0</v>
      </c>
      <c r="G96" s="476">
        <v>295.97500000000002</v>
      </c>
      <c r="H96" s="476">
        <v>289.58800000000002</v>
      </c>
      <c r="I96" s="476">
        <v>289.58800000000002</v>
      </c>
      <c r="J96" s="476">
        <v>295.97500000000002</v>
      </c>
      <c r="K96" s="476">
        <v>0</v>
      </c>
      <c r="L96" s="476">
        <v>6160</v>
      </c>
      <c r="M96" s="476">
        <v>0</v>
      </c>
      <c r="N96" s="476">
        <v>0</v>
      </c>
      <c r="O96" s="476">
        <v>0</v>
      </c>
      <c r="P96" s="476">
        <v>295.97500000000002</v>
      </c>
      <c r="Q96" s="476">
        <v>0</v>
      </c>
      <c r="R96" s="476">
        <v>122795</v>
      </c>
      <c r="S96" s="476">
        <v>414.88400000000001</v>
      </c>
      <c r="T96" s="476">
        <v>0</v>
      </c>
      <c r="U96" s="476">
        <v>0</v>
      </c>
      <c r="V96" s="476">
        <v>213.25200000000001</v>
      </c>
      <c r="W96" s="476">
        <v>131360</v>
      </c>
      <c r="X96" s="476">
        <v>131360</v>
      </c>
      <c r="Y96" s="476">
        <v>0</v>
      </c>
      <c r="Z96" s="476">
        <v>0</v>
      </c>
      <c r="AA96" s="476">
        <v>0</v>
      </c>
      <c r="AB96" s="476">
        <v>0</v>
      </c>
      <c r="AC96" s="476">
        <v>0</v>
      </c>
      <c r="AD96" s="476" t="s">
        <v>314</v>
      </c>
      <c r="AE96" s="476">
        <v>0</v>
      </c>
      <c r="AF96" s="476">
        <v>0</v>
      </c>
      <c r="AG96" s="476">
        <v>0</v>
      </c>
      <c r="AH96" s="476">
        <v>0</v>
      </c>
      <c r="AI96" s="476">
        <v>0</v>
      </c>
      <c r="AJ96" s="476">
        <v>6160</v>
      </c>
      <c r="AK96" s="476" t="s">
        <v>651</v>
      </c>
      <c r="AL96" s="476" t="s">
        <v>52</v>
      </c>
      <c r="AM96" s="476">
        <v>0</v>
      </c>
      <c r="AN96" s="476">
        <v>0</v>
      </c>
      <c r="AO96" s="476">
        <v>0</v>
      </c>
      <c r="AP96" s="476">
        <v>0</v>
      </c>
      <c r="AQ96" s="476">
        <v>0</v>
      </c>
      <c r="AR96" s="476">
        <v>0</v>
      </c>
      <c r="AS96" s="476">
        <v>0</v>
      </c>
      <c r="AT96" s="476">
        <v>0</v>
      </c>
      <c r="AU96" s="476">
        <v>0</v>
      </c>
      <c r="AV96" s="476">
        <v>0</v>
      </c>
      <c r="AW96" s="476">
        <v>3365455</v>
      </c>
      <c r="AX96" s="476">
        <v>3315963</v>
      </c>
      <c r="AY96" s="476">
        <v>0</v>
      </c>
      <c r="AZ96" s="476">
        <v>122795</v>
      </c>
      <c r="BA96" s="476">
        <v>18.083000000000002</v>
      </c>
      <c r="BB96" s="476">
        <v>0</v>
      </c>
      <c r="BC96" s="476">
        <v>0</v>
      </c>
      <c r="BD96" s="476">
        <v>0</v>
      </c>
      <c r="BE96" s="476">
        <v>0</v>
      </c>
      <c r="BF96" s="476">
        <v>2988453</v>
      </c>
      <c r="BG96" s="476">
        <v>0</v>
      </c>
      <c r="BH96" s="476">
        <v>0</v>
      </c>
      <c r="BI96" s="476">
        <v>0</v>
      </c>
      <c r="BJ96" s="476">
        <v>12</v>
      </c>
      <c r="BK96" s="476">
        <v>0</v>
      </c>
      <c r="BL96" s="476">
        <v>0</v>
      </c>
      <c r="BM96" s="476">
        <v>0</v>
      </c>
      <c r="BN96" s="476">
        <v>0</v>
      </c>
      <c r="BO96" s="476">
        <v>0</v>
      </c>
      <c r="BP96" s="476">
        <v>0</v>
      </c>
      <c r="BQ96" s="476">
        <v>725</v>
      </c>
      <c r="BR96" s="476">
        <v>0</v>
      </c>
      <c r="BS96" s="476">
        <v>0</v>
      </c>
      <c r="BT96" s="476">
        <v>0</v>
      </c>
      <c r="BU96" s="476">
        <v>0</v>
      </c>
      <c r="BV96" s="476">
        <v>0</v>
      </c>
      <c r="BW96" s="476">
        <v>0</v>
      </c>
      <c r="BX96" s="476">
        <v>0</v>
      </c>
      <c r="BY96" s="476">
        <v>0</v>
      </c>
      <c r="BZ96" s="476">
        <v>0</v>
      </c>
      <c r="CA96" s="476">
        <v>0</v>
      </c>
      <c r="CB96" s="476">
        <v>0</v>
      </c>
      <c r="CC96" s="476">
        <v>0</v>
      </c>
      <c r="CD96" s="476">
        <v>0</v>
      </c>
      <c r="CE96" s="476">
        <v>0</v>
      </c>
      <c r="CF96" s="476">
        <v>0</v>
      </c>
      <c r="CG96" s="476">
        <v>0</v>
      </c>
      <c r="CH96" s="476">
        <v>49968</v>
      </c>
      <c r="CI96" s="476">
        <v>0</v>
      </c>
      <c r="CJ96" s="476">
        <v>4</v>
      </c>
      <c r="CK96" s="476">
        <v>0</v>
      </c>
      <c r="CL96" s="476">
        <v>0</v>
      </c>
      <c r="CM96" s="476">
        <v>0</v>
      </c>
      <c r="CN96" s="476">
        <v>0</v>
      </c>
      <c r="CO96" s="476">
        <v>1</v>
      </c>
      <c r="CP96" s="476">
        <v>0</v>
      </c>
      <c r="CQ96" s="476">
        <v>0.5</v>
      </c>
      <c r="CR96" s="476">
        <v>295.97500000000002</v>
      </c>
      <c r="CS96" s="476">
        <v>0</v>
      </c>
      <c r="CT96" s="476">
        <v>0</v>
      </c>
      <c r="CU96" s="476">
        <v>0</v>
      </c>
      <c r="CV96" s="476">
        <v>0</v>
      </c>
      <c r="CW96" s="476">
        <v>0</v>
      </c>
      <c r="CX96" s="476">
        <v>0</v>
      </c>
      <c r="CY96" s="476">
        <v>0</v>
      </c>
      <c r="CZ96" s="476">
        <v>0</v>
      </c>
      <c r="DA96" s="476">
        <v>0</v>
      </c>
      <c r="DB96" s="476">
        <v>1783822</v>
      </c>
      <c r="DC96" s="476">
        <v>0</v>
      </c>
      <c r="DD96" s="476">
        <v>0</v>
      </c>
      <c r="DE96" s="476">
        <v>465377</v>
      </c>
      <c r="DF96" s="476">
        <v>465377</v>
      </c>
      <c r="DG96" s="476">
        <v>75.55</v>
      </c>
      <c r="DH96" s="476">
        <v>0</v>
      </c>
      <c r="DI96" s="476">
        <v>0</v>
      </c>
      <c r="DJ96" s="476">
        <v>0</v>
      </c>
      <c r="DK96" s="476">
        <v>3229</v>
      </c>
      <c r="DL96" s="476">
        <v>0</v>
      </c>
      <c r="DM96" s="476">
        <v>138381</v>
      </c>
      <c r="DN96" s="476">
        <v>476</v>
      </c>
      <c r="DO96" s="476">
        <v>0</v>
      </c>
      <c r="DP96" s="476">
        <v>0</v>
      </c>
      <c r="DQ96" s="476">
        <v>0</v>
      </c>
      <c r="DR96" s="476">
        <v>0</v>
      </c>
      <c r="DS96" s="476">
        <v>0</v>
      </c>
      <c r="DT96" s="476">
        <v>0</v>
      </c>
      <c r="DU96" s="476">
        <v>0</v>
      </c>
      <c r="DV96" s="476">
        <v>0</v>
      </c>
      <c r="DW96" s="476">
        <v>0</v>
      </c>
      <c r="DX96" s="476">
        <v>0</v>
      </c>
      <c r="DY96" s="476">
        <v>0</v>
      </c>
      <c r="DZ96" s="476">
        <v>0</v>
      </c>
      <c r="EA96" s="476">
        <v>0</v>
      </c>
      <c r="EB96" s="476">
        <v>0</v>
      </c>
      <c r="EC96" s="476">
        <v>1.488</v>
      </c>
      <c r="ED96" s="476">
        <v>10541</v>
      </c>
      <c r="EE96" s="476">
        <v>0</v>
      </c>
      <c r="EF96" s="476">
        <v>0</v>
      </c>
      <c r="EG96" s="476">
        <v>0</v>
      </c>
      <c r="EH96" s="476">
        <v>128316</v>
      </c>
      <c r="EI96" s="476">
        <v>0</v>
      </c>
      <c r="EJ96" s="476">
        <v>0</v>
      </c>
      <c r="EK96" s="476">
        <v>5.5520000000000005</v>
      </c>
      <c r="EL96" s="476">
        <v>0</v>
      </c>
      <c r="EM96" s="476">
        <v>0</v>
      </c>
      <c r="EN96" s="476">
        <v>0.83500000000000008</v>
      </c>
      <c r="EO96" s="476">
        <v>0</v>
      </c>
      <c r="EP96" s="476">
        <v>0</v>
      </c>
      <c r="EQ96" s="476">
        <v>6.3870000000000005</v>
      </c>
      <c r="ER96" s="476">
        <v>0</v>
      </c>
      <c r="ES96" s="476">
        <v>20.831</v>
      </c>
      <c r="ET96" s="476">
        <v>0</v>
      </c>
      <c r="EU96" s="476">
        <v>0</v>
      </c>
      <c r="EV96" s="476">
        <v>0</v>
      </c>
      <c r="EW96" s="476">
        <v>0</v>
      </c>
      <c r="EX96" s="476">
        <v>0</v>
      </c>
      <c r="EY96" s="476">
        <v>0</v>
      </c>
      <c r="EZ96" s="476">
        <v>2865658</v>
      </c>
      <c r="FA96" s="476">
        <v>0</v>
      </c>
      <c r="FB96" s="476">
        <v>2987977</v>
      </c>
      <c r="FC96" s="476">
        <v>0</v>
      </c>
      <c r="FD96" s="476">
        <v>0</v>
      </c>
      <c r="FE96" s="476">
        <v>385863</v>
      </c>
      <c r="FF96" s="476">
        <v>64442</v>
      </c>
      <c r="FG96" s="476">
        <v>6.3017999999999991E-2</v>
      </c>
      <c r="FH96" s="476">
        <v>2.6953999999999999E-2</v>
      </c>
      <c r="FI96" s="476">
        <v>0</v>
      </c>
      <c r="FJ96" s="476">
        <v>0</v>
      </c>
      <c r="FK96" s="476">
        <v>485.149</v>
      </c>
      <c r="FL96" s="476">
        <v>3488250</v>
      </c>
      <c r="FM96" s="476">
        <v>0</v>
      </c>
      <c r="FN96" s="476">
        <v>0</v>
      </c>
      <c r="FO96" s="476">
        <v>0</v>
      </c>
      <c r="FP96" s="476">
        <v>0</v>
      </c>
      <c r="FQ96" s="476">
        <v>0</v>
      </c>
      <c r="FR96" s="476">
        <v>0</v>
      </c>
      <c r="FS96" s="476">
        <v>0</v>
      </c>
      <c r="FT96" s="476">
        <v>0</v>
      </c>
      <c r="FU96" s="476">
        <v>0</v>
      </c>
      <c r="FV96" s="476">
        <v>0</v>
      </c>
      <c r="FW96" s="476">
        <v>0</v>
      </c>
      <c r="FX96" s="476">
        <v>0</v>
      </c>
      <c r="FY96" s="476">
        <v>0</v>
      </c>
      <c r="FZ96" s="476">
        <v>0</v>
      </c>
      <c r="GA96" s="476">
        <v>0</v>
      </c>
      <c r="GB96" s="476">
        <v>0</v>
      </c>
      <c r="GC96" s="476">
        <v>0</v>
      </c>
      <c r="GD96" s="476">
        <v>0</v>
      </c>
      <c r="GE96" s="476">
        <v>0</v>
      </c>
      <c r="GF96" s="476">
        <v>0</v>
      </c>
      <c r="GG96" s="476">
        <v>0</v>
      </c>
      <c r="GH96" s="476">
        <v>0</v>
      </c>
      <c r="GI96" s="476">
        <v>0</v>
      </c>
      <c r="GJ96" s="476">
        <v>0</v>
      </c>
      <c r="GK96" s="476">
        <v>0</v>
      </c>
      <c r="GL96" s="476">
        <v>0</v>
      </c>
      <c r="GM96" s="476">
        <v>0</v>
      </c>
      <c r="GN96" s="476">
        <v>0</v>
      </c>
      <c r="GO96" s="476">
        <v>0</v>
      </c>
      <c r="GP96" s="476">
        <v>0</v>
      </c>
      <c r="GQ96" s="476">
        <v>3315487</v>
      </c>
      <c r="GR96" s="476">
        <v>0</v>
      </c>
      <c r="GS96" s="476">
        <v>0</v>
      </c>
      <c r="GT96" s="476">
        <v>0</v>
      </c>
      <c r="GU96" s="476">
        <v>0</v>
      </c>
      <c r="GV96" s="476">
        <v>0</v>
      </c>
      <c r="GW96" s="476">
        <v>0</v>
      </c>
      <c r="GX96" s="476">
        <v>0</v>
      </c>
      <c r="GY96" s="476">
        <v>0</v>
      </c>
      <c r="GZ96" s="476">
        <v>0</v>
      </c>
      <c r="HA96" s="476">
        <v>0</v>
      </c>
      <c r="HB96" s="476">
        <v>323396213</v>
      </c>
      <c r="HC96" s="476">
        <v>4.2206E-2</v>
      </c>
      <c r="HD96" s="476">
        <v>49968</v>
      </c>
      <c r="HE96" s="476">
        <v>0</v>
      </c>
      <c r="HF96" s="476">
        <v>319126</v>
      </c>
      <c r="HG96" s="476">
        <v>0</v>
      </c>
      <c r="HH96" s="476">
        <v>146951</v>
      </c>
      <c r="HI96" s="476">
        <v>0</v>
      </c>
      <c r="HJ96" s="476">
        <v>2960</v>
      </c>
      <c r="HK96" s="476">
        <v>0</v>
      </c>
      <c r="HL96" s="476">
        <v>0</v>
      </c>
      <c r="HM96" s="476">
        <v>0</v>
      </c>
      <c r="HN96" s="476">
        <v>0</v>
      </c>
      <c r="HO96" s="476">
        <v>0</v>
      </c>
      <c r="HP96" s="476">
        <v>0</v>
      </c>
      <c r="HQ96" s="476">
        <v>0</v>
      </c>
      <c r="HR96" s="476">
        <v>0</v>
      </c>
      <c r="HS96" s="476">
        <v>2865182</v>
      </c>
      <c r="HT96" s="476">
        <v>64442</v>
      </c>
      <c r="HU96" s="476">
        <v>0</v>
      </c>
      <c r="HV96" s="476">
        <v>0</v>
      </c>
      <c r="HW96" s="476">
        <v>0</v>
      </c>
      <c r="HX96" s="476">
        <v>59</v>
      </c>
      <c r="HY96" s="476">
        <v>55</v>
      </c>
      <c r="HZ96" s="476">
        <v>75</v>
      </c>
      <c r="IA96" s="476">
        <v>71</v>
      </c>
      <c r="IB96" s="476">
        <v>43</v>
      </c>
      <c r="IC96" s="476">
        <v>303</v>
      </c>
      <c r="ID96" s="476">
        <v>0</v>
      </c>
      <c r="IE96" s="476">
        <v>0</v>
      </c>
      <c r="IF96" s="476">
        <v>0</v>
      </c>
      <c r="IG96" s="476">
        <v>0</v>
      </c>
      <c r="IH96" s="476">
        <v>238.56300000000002</v>
      </c>
      <c r="II96" s="476">
        <v>0</v>
      </c>
      <c r="IJ96" s="476">
        <v>213.25200000000001</v>
      </c>
      <c r="IK96" s="476">
        <v>0</v>
      </c>
      <c r="IL96" s="476">
        <v>0</v>
      </c>
      <c r="IM96" s="476">
        <v>0</v>
      </c>
      <c r="IN96" s="476">
        <v>0</v>
      </c>
      <c r="IO96" s="476">
        <v>0</v>
      </c>
      <c r="IP96" s="476">
        <v>0</v>
      </c>
      <c r="IQ96" s="476">
        <v>213.25200000000001</v>
      </c>
      <c r="IR96" s="476">
        <v>131360</v>
      </c>
      <c r="IS96" s="476">
        <v>0</v>
      </c>
      <c r="IT96" s="476">
        <v>0</v>
      </c>
      <c r="IU96" s="476">
        <v>0</v>
      </c>
      <c r="IV96" s="476">
        <v>0</v>
      </c>
      <c r="IW96" s="476">
        <v>6160</v>
      </c>
      <c r="IX96" s="476">
        <v>0</v>
      </c>
      <c r="IY96" s="476">
        <v>0</v>
      </c>
      <c r="IZ96" s="476">
        <v>0</v>
      </c>
      <c r="JA96" s="476">
        <v>0</v>
      </c>
      <c r="JB96" s="476">
        <v>0</v>
      </c>
      <c r="JC96" s="476">
        <v>0</v>
      </c>
      <c r="JD96" s="476">
        <v>0</v>
      </c>
      <c r="JE96" s="476">
        <v>0</v>
      </c>
      <c r="JF96" s="476">
        <v>0</v>
      </c>
      <c r="JG96" s="476">
        <v>0</v>
      </c>
      <c r="JH96" s="476">
        <v>0</v>
      </c>
      <c r="JI96" s="476">
        <v>0</v>
      </c>
      <c r="JJ96" s="476">
        <v>0</v>
      </c>
      <c r="JK96" s="476">
        <v>0</v>
      </c>
      <c r="JL96" s="476">
        <v>0</v>
      </c>
      <c r="JM96" s="476">
        <v>0</v>
      </c>
      <c r="JN96" s="476">
        <v>32469</v>
      </c>
      <c r="JO96" s="476">
        <v>0</v>
      </c>
      <c r="JP96" s="476">
        <v>0</v>
      </c>
      <c r="JQ96" s="476">
        <v>0</v>
      </c>
      <c r="JR96" s="476">
        <v>0</v>
      </c>
      <c r="JS96" s="476">
        <v>0</v>
      </c>
      <c r="JT96" s="476">
        <v>0</v>
      </c>
      <c r="JU96" s="476">
        <v>0</v>
      </c>
      <c r="JV96" s="476">
        <v>0</v>
      </c>
      <c r="JW96" s="476">
        <v>0</v>
      </c>
      <c r="JX96" s="476">
        <v>0</v>
      </c>
      <c r="JY96" s="476">
        <v>0</v>
      </c>
      <c r="JZ96" s="476">
        <v>0</v>
      </c>
      <c r="KA96" s="476">
        <v>0</v>
      </c>
      <c r="KB96" s="476">
        <v>0</v>
      </c>
      <c r="KC96" s="476">
        <v>0</v>
      </c>
      <c r="KD96" s="476">
        <v>0</v>
      </c>
      <c r="KE96" s="476">
        <v>7262</v>
      </c>
      <c r="KF96" s="476">
        <v>0</v>
      </c>
      <c r="KG96" s="476">
        <v>0</v>
      </c>
      <c r="KH96" s="476">
        <v>3315487</v>
      </c>
      <c r="KI96" s="476">
        <v>0</v>
      </c>
      <c r="KJ96" s="476">
        <v>0</v>
      </c>
      <c r="KK96" s="476">
        <v>0</v>
      </c>
      <c r="KL96" s="476">
        <v>0</v>
      </c>
      <c r="KM96" s="476">
        <v>0</v>
      </c>
      <c r="KN96" s="476">
        <v>0</v>
      </c>
    </row>
    <row r="97" spans="1:300" x14ac:dyDescent="0.25">
      <c r="A97" s="476">
        <v>40976</v>
      </c>
      <c r="B97" s="476">
        <v>101819</v>
      </c>
      <c r="C97" s="476">
        <v>9</v>
      </c>
      <c r="D97" s="476">
        <v>2024</v>
      </c>
      <c r="E97" s="476">
        <v>6160</v>
      </c>
      <c r="F97" s="476">
        <v>0</v>
      </c>
      <c r="G97" s="476">
        <v>518.15499999999997</v>
      </c>
      <c r="H97" s="476">
        <v>511.33700000000005</v>
      </c>
      <c r="I97" s="476">
        <v>511.33700000000005</v>
      </c>
      <c r="J97" s="476">
        <v>518.15499999999997</v>
      </c>
      <c r="K97" s="476">
        <v>0</v>
      </c>
      <c r="L97" s="476">
        <v>6160</v>
      </c>
      <c r="M97" s="476">
        <v>0</v>
      </c>
      <c r="N97" s="476">
        <v>0</v>
      </c>
      <c r="O97" s="476">
        <v>0</v>
      </c>
      <c r="P97" s="476">
        <v>517.95799999999997</v>
      </c>
      <c r="Q97" s="476">
        <v>0</v>
      </c>
      <c r="R97" s="476">
        <v>214892</v>
      </c>
      <c r="S97" s="476">
        <v>414.88400000000001</v>
      </c>
      <c r="T97" s="476">
        <v>0</v>
      </c>
      <c r="U97" s="476">
        <v>0</v>
      </c>
      <c r="V97" s="476">
        <v>434.29</v>
      </c>
      <c r="W97" s="476">
        <v>267517</v>
      </c>
      <c r="X97" s="476">
        <v>267517</v>
      </c>
      <c r="Y97" s="476">
        <v>0</v>
      </c>
      <c r="Z97" s="476">
        <v>0</v>
      </c>
      <c r="AA97" s="476">
        <v>0</v>
      </c>
      <c r="AB97" s="476">
        <v>0</v>
      </c>
      <c r="AC97" s="476">
        <v>0</v>
      </c>
      <c r="AD97" s="476" t="s">
        <v>314</v>
      </c>
      <c r="AE97" s="476">
        <v>0</v>
      </c>
      <c r="AF97" s="476">
        <v>0</v>
      </c>
      <c r="AG97" s="476">
        <v>0</v>
      </c>
      <c r="AH97" s="476">
        <v>0</v>
      </c>
      <c r="AI97" s="476">
        <v>0</v>
      </c>
      <c r="AJ97" s="476">
        <v>6160</v>
      </c>
      <c r="AK97" s="476" t="s">
        <v>651</v>
      </c>
      <c r="AL97" s="476" t="s">
        <v>345</v>
      </c>
      <c r="AM97" s="476">
        <v>0</v>
      </c>
      <c r="AN97" s="476">
        <v>0</v>
      </c>
      <c r="AO97" s="476">
        <v>0</v>
      </c>
      <c r="AP97" s="476">
        <v>0</v>
      </c>
      <c r="AQ97" s="476">
        <v>0</v>
      </c>
      <c r="AR97" s="476">
        <v>0</v>
      </c>
      <c r="AS97" s="476">
        <v>0</v>
      </c>
      <c r="AT97" s="476">
        <v>0</v>
      </c>
      <c r="AU97" s="476">
        <v>0</v>
      </c>
      <c r="AV97" s="476">
        <v>0</v>
      </c>
      <c r="AW97" s="476">
        <v>5992161</v>
      </c>
      <c r="AX97" s="476">
        <v>5905273</v>
      </c>
      <c r="AY97" s="476">
        <v>0</v>
      </c>
      <c r="AZ97" s="476">
        <v>214892</v>
      </c>
      <c r="BA97" s="476">
        <v>28.5</v>
      </c>
      <c r="BB97" s="476">
        <v>0</v>
      </c>
      <c r="BC97" s="476">
        <v>0</v>
      </c>
      <c r="BD97" s="476">
        <v>0</v>
      </c>
      <c r="BE97" s="476">
        <v>0</v>
      </c>
      <c r="BF97" s="476">
        <v>5318729</v>
      </c>
      <c r="BG97" s="476">
        <v>0</v>
      </c>
      <c r="BH97" s="476">
        <v>0</v>
      </c>
      <c r="BI97" s="476">
        <v>0</v>
      </c>
      <c r="BJ97" s="476">
        <v>12</v>
      </c>
      <c r="BK97" s="476">
        <v>0</v>
      </c>
      <c r="BL97" s="476">
        <v>0</v>
      </c>
      <c r="BM97" s="476">
        <v>0</v>
      </c>
      <c r="BN97" s="476">
        <v>0</v>
      </c>
      <c r="BO97" s="476">
        <v>0</v>
      </c>
      <c r="BP97" s="476">
        <v>0</v>
      </c>
      <c r="BQ97" s="476">
        <v>691</v>
      </c>
      <c r="BR97" s="476">
        <v>0</v>
      </c>
      <c r="BS97" s="476">
        <v>0</v>
      </c>
      <c r="BT97" s="476">
        <v>0</v>
      </c>
      <c r="BU97" s="476">
        <v>0</v>
      </c>
      <c r="BV97" s="476">
        <v>0</v>
      </c>
      <c r="BW97" s="476">
        <v>0</v>
      </c>
      <c r="BX97" s="476">
        <v>0</v>
      </c>
      <c r="BY97" s="476">
        <v>0</v>
      </c>
      <c r="BZ97" s="476">
        <v>0</v>
      </c>
      <c r="CA97" s="476">
        <v>0</v>
      </c>
      <c r="CB97" s="476">
        <v>0</v>
      </c>
      <c r="CC97" s="476">
        <v>0</v>
      </c>
      <c r="CD97" s="476">
        <v>0</v>
      </c>
      <c r="CE97" s="476">
        <v>0</v>
      </c>
      <c r="CF97" s="476">
        <v>0</v>
      </c>
      <c r="CG97" s="476">
        <v>0</v>
      </c>
      <c r="CH97" s="476">
        <v>87478</v>
      </c>
      <c r="CI97" s="476">
        <v>0</v>
      </c>
      <c r="CJ97" s="476">
        <v>4</v>
      </c>
      <c r="CK97" s="476">
        <v>0</v>
      </c>
      <c r="CL97" s="476">
        <v>0</v>
      </c>
      <c r="CM97" s="476">
        <v>0</v>
      </c>
      <c r="CN97" s="476">
        <v>0</v>
      </c>
      <c r="CO97" s="476">
        <v>1</v>
      </c>
      <c r="CP97" s="476">
        <v>0</v>
      </c>
      <c r="CQ97" s="476">
        <v>0.75</v>
      </c>
      <c r="CR97" s="476">
        <v>518.15499999999997</v>
      </c>
      <c r="CS97" s="476">
        <v>0</v>
      </c>
      <c r="CT97" s="476">
        <v>0</v>
      </c>
      <c r="CU97" s="476">
        <v>0</v>
      </c>
      <c r="CV97" s="476">
        <v>0</v>
      </c>
      <c r="CW97" s="476">
        <v>0</v>
      </c>
      <c r="CX97" s="476">
        <v>0</v>
      </c>
      <c r="CY97" s="476">
        <v>0</v>
      </c>
      <c r="CZ97" s="476">
        <v>0</v>
      </c>
      <c r="DA97" s="476">
        <v>0</v>
      </c>
      <c r="DB97" s="476">
        <v>3149764</v>
      </c>
      <c r="DC97" s="476">
        <v>0</v>
      </c>
      <c r="DD97" s="476">
        <v>0</v>
      </c>
      <c r="DE97" s="476">
        <v>922208</v>
      </c>
      <c r="DF97" s="476">
        <v>922208</v>
      </c>
      <c r="DG97" s="476">
        <v>149.71299999999999</v>
      </c>
      <c r="DH97" s="476">
        <v>0</v>
      </c>
      <c r="DI97" s="476">
        <v>0</v>
      </c>
      <c r="DJ97" s="476">
        <v>0</v>
      </c>
      <c r="DK97" s="476">
        <v>2682</v>
      </c>
      <c r="DL97" s="476">
        <v>0</v>
      </c>
      <c r="DM97" s="476">
        <v>171730</v>
      </c>
      <c r="DN97" s="476">
        <v>590</v>
      </c>
      <c r="DO97" s="476">
        <v>0</v>
      </c>
      <c r="DP97" s="476">
        <v>0</v>
      </c>
      <c r="DQ97" s="476">
        <v>0</v>
      </c>
      <c r="DR97" s="476">
        <v>0</v>
      </c>
      <c r="DS97" s="476">
        <v>0</v>
      </c>
      <c r="DT97" s="476">
        <v>0</v>
      </c>
      <c r="DU97" s="476">
        <v>0</v>
      </c>
      <c r="DV97" s="476">
        <v>0</v>
      </c>
      <c r="DW97" s="476">
        <v>0</v>
      </c>
      <c r="DX97" s="476">
        <v>0</v>
      </c>
      <c r="DY97" s="476">
        <v>0</v>
      </c>
      <c r="DZ97" s="476">
        <v>0</v>
      </c>
      <c r="EA97" s="476">
        <v>0</v>
      </c>
      <c r="EB97" s="476">
        <v>0</v>
      </c>
      <c r="EC97" s="476">
        <v>4.6980000000000004</v>
      </c>
      <c r="ED97" s="476">
        <v>33280</v>
      </c>
      <c r="EE97" s="476">
        <v>0</v>
      </c>
      <c r="EF97" s="476">
        <v>0</v>
      </c>
      <c r="EG97" s="476">
        <v>0</v>
      </c>
      <c r="EH97" s="476">
        <v>139040</v>
      </c>
      <c r="EI97" s="476">
        <v>0</v>
      </c>
      <c r="EJ97" s="476">
        <v>0</v>
      </c>
      <c r="EK97" s="476">
        <v>4.8140000000000001</v>
      </c>
      <c r="EL97" s="476">
        <v>0</v>
      </c>
      <c r="EM97" s="476">
        <v>0.94500000000000006</v>
      </c>
      <c r="EN97" s="476">
        <v>1.0589999999999999</v>
      </c>
      <c r="EO97" s="476">
        <v>0</v>
      </c>
      <c r="EP97" s="476">
        <v>0</v>
      </c>
      <c r="EQ97" s="476">
        <v>6.8180000000000005</v>
      </c>
      <c r="ER97" s="476">
        <v>0</v>
      </c>
      <c r="ES97" s="476">
        <v>22.572000000000003</v>
      </c>
      <c r="ET97" s="476">
        <v>0</v>
      </c>
      <c r="EU97" s="476">
        <v>0</v>
      </c>
      <c r="EV97" s="476">
        <v>0</v>
      </c>
      <c r="EW97" s="476">
        <v>0</v>
      </c>
      <c r="EX97" s="476">
        <v>0</v>
      </c>
      <c r="EY97" s="476">
        <v>0</v>
      </c>
      <c r="EZ97" s="476">
        <v>5103837</v>
      </c>
      <c r="FA97" s="476">
        <v>0</v>
      </c>
      <c r="FB97" s="476">
        <v>5318139</v>
      </c>
      <c r="FC97" s="476">
        <v>0</v>
      </c>
      <c r="FD97" s="476">
        <v>0</v>
      </c>
      <c r="FE97" s="476">
        <v>686745</v>
      </c>
      <c r="FF97" s="476">
        <v>114691</v>
      </c>
      <c r="FG97" s="476">
        <v>6.3017999999999991E-2</v>
      </c>
      <c r="FH97" s="476">
        <v>2.6953999999999999E-2</v>
      </c>
      <c r="FI97" s="476">
        <v>0</v>
      </c>
      <c r="FJ97" s="476">
        <v>0</v>
      </c>
      <c r="FK97" s="476">
        <v>863.45</v>
      </c>
      <c r="FL97" s="476">
        <v>6207053</v>
      </c>
      <c r="FM97" s="476">
        <v>0</v>
      </c>
      <c r="FN97" s="476">
        <v>0</v>
      </c>
      <c r="FO97" s="476">
        <v>0</v>
      </c>
      <c r="FP97" s="476">
        <v>0</v>
      </c>
      <c r="FQ97" s="476">
        <v>0</v>
      </c>
      <c r="FR97" s="476">
        <v>0</v>
      </c>
      <c r="FS97" s="476">
        <v>0</v>
      </c>
      <c r="FT97" s="476">
        <v>0</v>
      </c>
      <c r="FU97" s="476">
        <v>0</v>
      </c>
      <c r="FV97" s="476">
        <v>0</v>
      </c>
      <c r="FW97" s="476">
        <v>0</v>
      </c>
      <c r="FX97" s="476">
        <v>0</v>
      </c>
      <c r="FY97" s="476">
        <v>0</v>
      </c>
      <c r="FZ97" s="476">
        <v>0</v>
      </c>
      <c r="GA97" s="476">
        <v>0</v>
      </c>
      <c r="GB97" s="476">
        <v>0</v>
      </c>
      <c r="GC97" s="476">
        <v>0</v>
      </c>
      <c r="GD97" s="476">
        <v>0</v>
      </c>
      <c r="GE97" s="476">
        <v>0</v>
      </c>
      <c r="GF97" s="476">
        <v>0</v>
      </c>
      <c r="GG97" s="476">
        <v>0</v>
      </c>
      <c r="GH97" s="476">
        <v>0</v>
      </c>
      <c r="GI97" s="476">
        <v>0</v>
      </c>
      <c r="GJ97" s="476">
        <v>0</v>
      </c>
      <c r="GK97" s="476">
        <v>0</v>
      </c>
      <c r="GL97" s="476">
        <v>0</v>
      </c>
      <c r="GM97" s="476">
        <v>0</v>
      </c>
      <c r="GN97" s="476">
        <v>0</v>
      </c>
      <c r="GO97" s="476">
        <v>0</v>
      </c>
      <c r="GP97" s="476">
        <v>0</v>
      </c>
      <c r="GQ97" s="476">
        <v>5904683</v>
      </c>
      <c r="GR97" s="476">
        <v>0</v>
      </c>
      <c r="GS97" s="476">
        <v>0</v>
      </c>
      <c r="GT97" s="476">
        <v>0</v>
      </c>
      <c r="GU97" s="476">
        <v>0</v>
      </c>
      <c r="GV97" s="476">
        <v>0</v>
      </c>
      <c r="GW97" s="476">
        <v>0</v>
      </c>
      <c r="GX97" s="476">
        <v>0</v>
      </c>
      <c r="GY97" s="476">
        <v>0</v>
      </c>
      <c r="GZ97" s="476">
        <v>0</v>
      </c>
      <c r="HA97" s="476">
        <v>0</v>
      </c>
      <c r="HB97" s="476">
        <v>323396213</v>
      </c>
      <c r="HC97" s="476">
        <v>4.2206E-2</v>
      </c>
      <c r="HD97" s="476">
        <v>87478</v>
      </c>
      <c r="HE97" s="476">
        <v>0</v>
      </c>
      <c r="HF97" s="476">
        <v>563493</v>
      </c>
      <c r="HG97" s="476">
        <v>1848</v>
      </c>
      <c r="HH97" s="476">
        <v>236397</v>
      </c>
      <c r="HI97" s="476">
        <v>0</v>
      </c>
      <c r="HJ97" s="476">
        <v>5182</v>
      </c>
      <c r="HK97" s="476">
        <v>0</v>
      </c>
      <c r="HL97" s="476">
        <v>0</v>
      </c>
      <c r="HM97" s="476">
        <v>0</v>
      </c>
      <c r="HN97" s="476">
        <v>0</v>
      </c>
      <c r="HO97" s="476">
        <v>0</v>
      </c>
      <c r="HP97" s="476">
        <v>0</v>
      </c>
      <c r="HQ97" s="476">
        <v>0</v>
      </c>
      <c r="HR97" s="476">
        <v>0</v>
      </c>
      <c r="HS97" s="476">
        <v>5103247</v>
      </c>
      <c r="HT97" s="476">
        <v>114691</v>
      </c>
      <c r="HU97" s="476">
        <v>0</v>
      </c>
      <c r="HV97" s="476">
        <v>0</v>
      </c>
      <c r="HW97" s="476">
        <v>0</v>
      </c>
      <c r="HX97" s="476">
        <v>7</v>
      </c>
      <c r="HY97" s="476">
        <v>37</v>
      </c>
      <c r="HZ97" s="476">
        <v>37</v>
      </c>
      <c r="IA97" s="476">
        <v>174</v>
      </c>
      <c r="IB97" s="476">
        <v>307</v>
      </c>
      <c r="IC97" s="476">
        <v>562</v>
      </c>
      <c r="ID97" s="476">
        <v>0</v>
      </c>
      <c r="IE97" s="476">
        <v>0</v>
      </c>
      <c r="IF97" s="476">
        <v>0</v>
      </c>
      <c r="IG97" s="476">
        <v>3</v>
      </c>
      <c r="IH97" s="476">
        <v>383.77</v>
      </c>
      <c r="II97" s="476">
        <v>0</v>
      </c>
      <c r="IJ97" s="476">
        <v>434.29</v>
      </c>
      <c r="IK97" s="476">
        <v>0</v>
      </c>
      <c r="IL97" s="476">
        <v>0</v>
      </c>
      <c r="IM97" s="476">
        <v>0</v>
      </c>
      <c r="IN97" s="476">
        <v>0</v>
      </c>
      <c r="IO97" s="476">
        <v>0</v>
      </c>
      <c r="IP97" s="476">
        <v>0</v>
      </c>
      <c r="IQ97" s="476">
        <v>434.29</v>
      </c>
      <c r="IR97" s="476">
        <v>267517</v>
      </c>
      <c r="IS97" s="476">
        <v>0</v>
      </c>
      <c r="IT97" s="476">
        <v>0</v>
      </c>
      <c r="IU97" s="476">
        <v>0</v>
      </c>
      <c r="IV97" s="476">
        <v>0</v>
      </c>
      <c r="IW97" s="476">
        <v>6160</v>
      </c>
      <c r="IX97" s="476">
        <v>0</v>
      </c>
      <c r="IY97" s="476">
        <v>0</v>
      </c>
      <c r="IZ97" s="476">
        <v>0</v>
      </c>
      <c r="JA97" s="476">
        <v>0</v>
      </c>
      <c r="JB97" s="476">
        <v>0</v>
      </c>
      <c r="JC97" s="476">
        <v>0</v>
      </c>
      <c r="JD97" s="476">
        <v>0</v>
      </c>
      <c r="JE97" s="476">
        <v>0</v>
      </c>
      <c r="JF97" s="476">
        <v>0</v>
      </c>
      <c r="JG97" s="476">
        <v>0</v>
      </c>
      <c r="JH97" s="476">
        <v>0</v>
      </c>
      <c r="JI97" s="476">
        <v>0</v>
      </c>
      <c r="JJ97" s="476">
        <v>0</v>
      </c>
      <c r="JK97" s="476">
        <v>0</v>
      </c>
      <c r="JL97" s="476">
        <v>0</v>
      </c>
      <c r="JM97" s="476">
        <v>0</v>
      </c>
      <c r="JN97" s="476">
        <v>32469</v>
      </c>
      <c r="JO97" s="476">
        <v>0</v>
      </c>
      <c r="JP97" s="476">
        <v>0</v>
      </c>
      <c r="JQ97" s="476">
        <v>0</v>
      </c>
      <c r="JR97" s="476">
        <v>0</v>
      </c>
      <c r="JS97" s="476">
        <v>0</v>
      </c>
      <c r="JT97" s="476">
        <v>0</v>
      </c>
      <c r="JU97" s="476">
        <v>0</v>
      </c>
      <c r="JV97" s="476">
        <v>0</v>
      </c>
      <c r="JW97" s="476">
        <v>0</v>
      </c>
      <c r="JX97" s="476">
        <v>0</v>
      </c>
      <c r="JY97" s="476">
        <v>0</v>
      </c>
      <c r="JZ97" s="476">
        <v>0</v>
      </c>
      <c r="KA97" s="476">
        <v>0</v>
      </c>
      <c r="KB97" s="476">
        <v>0</v>
      </c>
      <c r="KC97" s="476">
        <v>0</v>
      </c>
      <c r="KD97" s="476">
        <v>0</v>
      </c>
      <c r="KE97" s="476">
        <v>7262</v>
      </c>
      <c r="KF97" s="476">
        <v>0</v>
      </c>
      <c r="KG97" s="476">
        <v>0</v>
      </c>
      <c r="KH97" s="476">
        <v>5904683</v>
      </c>
      <c r="KI97" s="476">
        <v>0</v>
      </c>
      <c r="KJ97" s="476">
        <v>3</v>
      </c>
      <c r="KK97" s="476">
        <v>0</v>
      </c>
      <c r="KL97" s="476">
        <v>1848</v>
      </c>
      <c r="KM97" s="476">
        <v>0</v>
      </c>
      <c r="KN97" s="476">
        <v>0</v>
      </c>
    </row>
    <row r="98" spans="1:300" x14ac:dyDescent="0.25">
      <c r="A98" s="476">
        <v>40976</v>
      </c>
      <c r="B98" s="476">
        <v>101821</v>
      </c>
      <c r="C98" s="476">
        <v>9</v>
      </c>
      <c r="D98" s="476">
        <v>2024</v>
      </c>
      <c r="E98" s="476">
        <v>6160</v>
      </c>
      <c r="F98" s="476">
        <v>0</v>
      </c>
      <c r="G98" s="476">
        <v>157.113</v>
      </c>
      <c r="H98" s="476">
        <v>142.00400000000002</v>
      </c>
      <c r="I98" s="476">
        <v>142.00400000000002</v>
      </c>
      <c r="J98" s="476">
        <v>157.113</v>
      </c>
      <c r="K98" s="476">
        <v>0</v>
      </c>
      <c r="L98" s="476">
        <v>6160</v>
      </c>
      <c r="M98" s="476">
        <v>0</v>
      </c>
      <c r="N98" s="476">
        <v>0</v>
      </c>
      <c r="O98" s="476">
        <v>0</v>
      </c>
      <c r="P98" s="476">
        <v>157.113</v>
      </c>
      <c r="Q98" s="476">
        <v>0</v>
      </c>
      <c r="R98" s="476">
        <v>65184</v>
      </c>
      <c r="S98" s="476">
        <v>414.88400000000001</v>
      </c>
      <c r="T98" s="476">
        <v>0</v>
      </c>
      <c r="U98" s="476">
        <v>0</v>
      </c>
      <c r="V98" s="476">
        <v>0</v>
      </c>
      <c r="W98" s="476">
        <v>0</v>
      </c>
      <c r="X98" s="476">
        <v>0</v>
      </c>
      <c r="Y98" s="476">
        <v>0</v>
      </c>
      <c r="Z98" s="476">
        <v>0</v>
      </c>
      <c r="AA98" s="476">
        <v>0</v>
      </c>
      <c r="AB98" s="476">
        <v>0</v>
      </c>
      <c r="AC98" s="476">
        <v>0</v>
      </c>
      <c r="AD98" s="476" t="s">
        <v>314</v>
      </c>
      <c r="AE98" s="476">
        <v>0</v>
      </c>
      <c r="AF98" s="476">
        <v>0</v>
      </c>
      <c r="AG98" s="476">
        <v>0</v>
      </c>
      <c r="AH98" s="476">
        <v>0</v>
      </c>
      <c r="AI98" s="476">
        <v>0</v>
      </c>
      <c r="AJ98" s="476">
        <v>6160</v>
      </c>
      <c r="AK98" s="476" t="s">
        <v>651</v>
      </c>
      <c r="AL98" s="476" t="s">
        <v>9</v>
      </c>
      <c r="AM98" s="476">
        <v>0</v>
      </c>
      <c r="AN98" s="476">
        <v>0</v>
      </c>
      <c r="AO98" s="476">
        <v>0</v>
      </c>
      <c r="AP98" s="476">
        <v>0</v>
      </c>
      <c r="AQ98" s="476">
        <v>0</v>
      </c>
      <c r="AR98" s="476">
        <v>0</v>
      </c>
      <c r="AS98" s="476">
        <v>0</v>
      </c>
      <c r="AT98" s="476">
        <v>0</v>
      </c>
      <c r="AU98" s="476">
        <v>0</v>
      </c>
      <c r="AV98" s="476">
        <v>0</v>
      </c>
      <c r="AW98" s="476">
        <v>1795348</v>
      </c>
      <c r="AX98" s="476">
        <v>1718908</v>
      </c>
      <c r="AY98" s="476">
        <v>0</v>
      </c>
      <c r="AZ98" s="476">
        <v>65184</v>
      </c>
      <c r="BA98" s="476">
        <v>0</v>
      </c>
      <c r="BB98" s="476">
        <v>0</v>
      </c>
      <c r="BC98" s="476">
        <v>0</v>
      </c>
      <c r="BD98" s="476">
        <v>0</v>
      </c>
      <c r="BE98" s="476">
        <v>0</v>
      </c>
      <c r="BF98" s="476">
        <v>1503040</v>
      </c>
      <c r="BG98" s="476">
        <v>0</v>
      </c>
      <c r="BH98" s="476">
        <v>0</v>
      </c>
      <c r="BI98" s="476">
        <v>0</v>
      </c>
      <c r="BJ98" s="476">
        <v>12</v>
      </c>
      <c r="BK98" s="476">
        <v>0</v>
      </c>
      <c r="BL98" s="476">
        <v>0</v>
      </c>
      <c r="BM98" s="476">
        <v>0</v>
      </c>
      <c r="BN98" s="476">
        <v>0</v>
      </c>
      <c r="BO98" s="476">
        <v>0</v>
      </c>
      <c r="BP98" s="476">
        <v>0</v>
      </c>
      <c r="BQ98" s="476">
        <v>748</v>
      </c>
      <c r="BR98" s="476">
        <v>0</v>
      </c>
      <c r="BS98" s="476">
        <v>0</v>
      </c>
      <c r="BT98" s="476">
        <v>0</v>
      </c>
      <c r="BU98" s="476">
        <v>0</v>
      </c>
      <c r="BV98" s="476">
        <v>0</v>
      </c>
      <c r="BW98" s="476">
        <v>0</v>
      </c>
      <c r="BX98" s="476">
        <v>0</v>
      </c>
      <c r="BY98" s="476">
        <v>0</v>
      </c>
      <c r="BZ98" s="476">
        <v>0</v>
      </c>
      <c r="CA98" s="476">
        <v>0</v>
      </c>
      <c r="CB98" s="476">
        <v>0</v>
      </c>
      <c r="CC98" s="476">
        <v>0</v>
      </c>
      <c r="CD98" s="476">
        <v>0</v>
      </c>
      <c r="CE98" s="476">
        <v>0</v>
      </c>
      <c r="CF98" s="476">
        <v>0</v>
      </c>
      <c r="CG98" s="476">
        <v>0</v>
      </c>
      <c r="CH98" s="476">
        <v>76958</v>
      </c>
      <c r="CI98" s="476">
        <v>0</v>
      </c>
      <c r="CJ98" s="476">
        <v>4</v>
      </c>
      <c r="CK98" s="476">
        <v>0</v>
      </c>
      <c r="CL98" s="476">
        <v>0</v>
      </c>
      <c r="CM98" s="476">
        <v>0</v>
      </c>
      <c r="CN98" s="476">
        <v>0</v>
      </c>
      <c r="CO98" s="476">
        <v>1</v>
      </c>
      <c r="CP98" s="476">
        <v>9.8000000000000004E-2</v>
      </c>
      <c r="CQ98" s="476">
        <v>0</v>
      </c>
      <c r="CR98" s="476">
        <v>157.113</v>
      </c>
      <c r="CS98" s="476">
        <v>0</v>
      </c>
      <c r="CT98" s="476">
        <v>0</v>
      </c>
      <c r="CU98" s="476">
        <v>0</v>
      </c>
      <c r="CV98" s="476">
        <v>0</v>
      </c>
      <c r="CW98" s="476">
        <v>0</v>
      </c>
      <c r="CX98" s="476">
        <v>0</v>
      </c>
      <c r="CY98" s="476">
        <v>0</v>
      </c>
      <c r="CZ98" s="476">
        <v>0</v>
      </c>
      <c r="DA98" s="476">
        <v>0</v>
      </c>
      <c r="DB98" s="476">
        <v>833723</v>
      </c>
      <c r="DC98" s="476">
        <v>0</v>
      </c>
      <c r="DD98" s="476">
        <v>0</v>
      </c>
      <c r="DE98" s="476">
        <v>230841</v>
      </c>
      <c r="DF98" s="476">
        <v>232296</v>
      </c>
      <c r="DG98" s="476">
        <v>37.475000000000001</v>
      </c>
      <c r="DH98" s="476">
        <v>0</v>
      </c>
      <c r="DI98" s="476">
        <v>1455</v>
      </c>
      <c r="DJ98" s="476">
        <v>0</v>
      </c>
      <c r="DK98" s="476">
        <v>3593</v>
      </c>
      <c r="DL98" s="476">
        <v>0</v>
      </c>
      <c r="DM98" s="476">
        <v>191482</v>
      </c>
      <c r="DN98" s="476">
        <v>517</v>
      </c>
      <c r="DO98" s="476">
        <v>0</v>
      </c>
      <c r="DP98" s="476">
        <v>0</v>
      </c>
      <c r="DQ98" s="476">
        <v>0</v>
      </c>
      <c r="DR98" s="476">
        <v>0</v>
      </c>
      <c r="DS98" s="476">
        <v>0</v>
      </c>
      <c r="DT98" s="476">
        <v>0</v>
      </c>
      <c r="DU98" s="476">
        <v>0</v>
      </c>
      <c r="DV98" s="476">
        <v>0</v>
      </c>
      <c r="DW98" s="476">
        <v>0</v>
      </c>
      <c r="DX98" s="476">
        <v>0</v>
      </c>
      <c r="DY98" s="476">
        <v>0</v>
      </c>
      <c r="DZ98" s="476">
        <v>0</v>
      </c>
      <c r="EA98" s="476">
        <v>0</v>
      </c>
      <c r="EB98" s="476">
        <v>0</v>
      </c>
      <c r="EC98" s="476">
        <v>8.36</v>
      </c>
      <c r="ED98" s="476">
        <v>59221</v>
      </c>
      <c r="EE98" s="476">
        <v>0</v>
      </c>
      <c r="EF98" s="476">
        <v>0</v>
      </c>
      <c r="EG98" s="476">
        <v>0</v>
      </c>
      <c r="EH98" s="476">
        <v>91776</v>
      </c>
      <c r="EI98" s="476">
        <v>0</v>
      </c>
      <c r="EJ98" s="476">
        <v>0</v>
      </c>
      <c r="EK98" s="476">
        <v>4.8330000000000002</v>
      </c>
      <c r="EL98" s="476">
        <v>0</v>
      </c>
      <c r="EM98" s="476">
        <v>0</v>
      </c>
      <c r="EN98" s="476">
        <v>0.08</v>
      </c>
      <c r="EO98" s="476">
        <v>0</v>
      </c>
      <c r="EP98" s="476">
        <v>0</v>
      </c>
      <c r="EQ98" s="476">
        <v>4.9130000000000003</v>
      </c>
      <c r="ER98" s="476">
        <v>0</v>
      </c>
      <c r="ES98" s="476">
        <v>14.899000000000001</v>
      </c>
      <c r="ET98" s="476">
        <v>0</v>
      </c>
      <c r="EU98" s="476">
        <v>0</v>
      </c>
      <c r="EV98" s="476">
        <v>0</v>
      </c>
      <c r="EW98" s="476">
        <v>0</v>
      </c>
      <c r="EX98" s="476">
        <v>0</v>
      </c>
      <c r="EY98" s="476">
        <v>0</v>
      </c>
      <c r="EZ98" s="476">
        <v>1492427</v>
      </c>
      <c r="FA98" s="476">
        <v>0</v>
      </c>
      <c r="FB98" s="476">
        <v>1557093</v>
      </c>
      <c r="FC98" s="476">
        <v>0</v>
      </c>
      <c r="FD98" s="476">
        <v>0</v>
      </c>
      <c r="FE98" s="476">
        <v>194070</v>
      </c>
      <c r="FF98" s="476">
        <v>32411</v>
      </c>
      <c r="FG98" s="476">
        <v>6.3017999999999991E-2</v>
      </c>
      <c r="FH98" s="476">
        <v>2.6953999999999999E-2</v>
      </c>
      <c r="FI98" s="476">
        <v>0</v>
      </c>
      <c r="FJ98" s="476">
        <v>0</v>
      </c>
      <c r="FK98" s="476">
        <v>244.006</v>
      </c>
      <c r="FL98" s="476">
        <v>1860532</v>
      </c>
      <c r="FM98" s="476">
        <v>0</v>
      </c>
      <c r="FN98" s="476">
        <v>0</v>
      </c>
      <c r="FO98" s="476">
        <v>0</v>
      </c>
      <c r="FP98" s="476">
        <v>0</v>
      </c>
      <c r="FQ98" s="476">
        <v>0</v>
      </c>
      <c r="FR98" s="476">
        <v>0</v>
      </c>
      <c r="FS98" s="476">
        <v>0</v>
      </c>
      <c r="FT98" s="476">
        <v>0</v>
      </c>
      <c r="FU98" s="476">
        <v>0</v>
      </c>
      <c r="FV98" s="476">
        <v>0</v>
      </c>
      <c r="FW98" s="476">
        <v>0</v>
      </c>
      <c r="FX98" s="476">
        <v>0</v>
      </c>
      <c r="FY98" s="476">
        <v>0</v>
      </c>
      <c r="FZ98" s="476">
        <v>0</v>
      </c>
      <c r="GA98" s="476">
        <v>0</v>
      </c>
      <c r="GB98" s="476">
        <v>86963</v>
      </c>
      <c r="GC98" s="476">
        <v>86963</v>
      </c>
      <c r="GD98" s="476">
        <v>10.196</v>
      </c>
      <c r="GE98" s="476">
        <v>0</v>
      </c>
      <c r="GF98" s="476">
        <v>0</v>
      </c>
      <c r="GG98" s="476">
        <v>0</v>
      </c>
      <c r="GH98" s="476">
        <v>0</v>
      </c>
      <c r="GI98" s="476">
        <v>0</v>
      </c>
      <c r="GJ98" s="476">
        <v>0</v>
      </c>
      <c r="GK98" s="476">
        <v>0</v>
      </c>
      <c r="GL98" s="476">
        <v>0</v>
      </c>
      <c r="GM98" s="476">
        <v>0</v>
      </c>
      <c r="GN98" s="476">
        <v>0</v>
      </c>
      <c r="GO98" s="476">
        <v>0</v>
      </c>
      <c r="GP98" s="476">
        <v>0</v>
      </c>
      <c r="GQ98" s="476">
        <v>1718390</v>
      </c>
      <c r="GR98" s="476">
        <v>0</v>
      </c>
      <c r="GS98" s="476">
        <v>0</v>
      </c>
      <c r="GT98" s="476">
        <v>0</v>
      </c>
      <c r="GU98" s="476">
        <v>0</v>
      </c>
      <c r="GV98" s="476">
        <v>0</v>
      </c>
      <c r="GW98" s="476">
        <v>0</v>
      </c>
      <c r="GX98" s="476">
        <v>0</v>
      </c>
      <c r="GY98" s="476">
        <v>0</v>
      </c>
      <c r="GZ98" s="476">
        <v>0</v>
      </c>
      <c r="HA98" s="476">
        <v>0</v>
      </c>
      <c r="HB98" s="476">
        <v>323396213</v>
      </c>
      <c r="HC98" s="476">
        <v>4.2206E-2</v>
      </c>
      <c r="HD98" s="476">
        <v>26525</v>
      </c>
      <c r="HE98" s="476">
        <v>0</v>
      </c>
      <c r="HF98" s="476">
        <v>156488</v>
      </c>
      <c r="HG98" s="476">
        <v>0</v>
      </c>
      <c r="HH98" s="476">
        <v>0</v>
      </c>
      <c r="HI98" s="476">
        <v>0</v>
      </c>
      <c r="HJ98" s="476">
        <v>1571</v>
      </c>
      <c r="HK98" s="476">
        <v>1027</v>
      </c>
      <c r="HL98" s="476">
        <v>283</v>
      </c>
      <c r="HM98" s="476">
        <v>0</v>
      </c>
      <c r="HN98" s="476">
        <v>0</v>
      </c>
      <c r="HO98" s="476">
        <v>0</v>
      </c>
      <c r="HP98" s="476">
        <v>53261</v>
      </c>
      <c r="HQ98" s="476">
        <v>0</v>
      </c>
      <c r="HR98" s="476">
        <v>0</v>
      </c>
      <c r="HS98" s="476">
        <v>1491909</v>
      </c>
      <c r="HT98" s="476">
        <v>32411</v>
      </c>
      <c r="HU98" s="476">
        <v>50433</v>
      </c>
      <c r="HV98" s="476">
        <v>0</v>
      </c>
      <c r="HW98" s="476">
        <v>0</v>
      </c>
      <c r="HX98" s="476">
        <v>18</v>
      </c>
      <c r="HY98" s="476">
        <v>9</v>
      </c>
      <c r="HZ98" s="476">
        <v>21</v>
      </c>
      <c r="IA98" s="476">
        <v>51</v>
      </c>
      <c r="IB98" s="476">
        <v>46</v>
      </c>
      <c r="IC98" s="476">
        <v>145</v>
      </c>
      <c r="ID98" s="476">
        <v>0</v>
      </c>
      <c r="IE98" s="476">
        <v>0</v>
      </c>
      <c r="IF98" s="476">
        <v>0</v>
      </c>
      <c r="IG98" s="476">
        <v>0</v>
      </c>
      <c r="IH98" s="476">
        <v>0</v>
      </c>
      <c r="II98" s="476">
        <v>193.67500000000001</v>
      </c>
      <c r="IJ98" s="476">
        <v>0</v>
      </c>
      <c r="IK98" s="476">
        <v>0</v>
      </c>
      <c r="IL98" s="476">
        <v>0</v>
      </c>
      <c r="IM98" s="476">
        <v>0</v>
      </c>
      <c r="IN98" s="476">
        <v>0</v>
      </c>
      <c r="IO98" s="476">
        <v>0</v>
      </c>
      <c r="IP98" s="476">
        <v>193.67500000000001</v>
      </c>
      <c r="IQ98" s="476">
        <v>0</v>
      </c>
      <c r="IR98" s="476">
        <v>0</v>
      </c>
      <c r="IS98" s="476">
        <v>0</v>
      </c>
      <c r="IT98" s="476">
        <v>0</v>
      </c>
      <c r="IU98" s="476">
        <v>0</v>
      </c>
      <c r="IV98" s="476">
        <v>0</v>
      </c>
      <c r="IW98" s="476">
        <v>6160</v>
      </c>
      <c r="IX98" s="476">
        <v>0</v>
      </c>
      <c r="IY98" s="476">
        <v>0</v>
      </c>
      <c r="IZ98" s="476">
        <v>53261</v>
      </c>
      <c r="JA98" s="476">
        <v>0</v>
      </c>
      <c r="JB98" s="476">
        <v>0</v>
      </c>
      <c r="JC98" s="476">
        <v>0</v>
      </c>
      <c r="JD98" s="476">
        <v>0</v>
      </c>
      <c r="JE98" s="476">
        <v>0</v>
      </c>
      <c r="JF98" s="476">
        <v>0</v>
      </c>
      <c r="JG98" s="476">
        <v>0</v>
      </c>
      <c r="JH98" s="476">
        <v>0</v>
      </c>
      <c r="JI98" s="476">
        <v>0</v>
      </c>
      <c r="JJ98" s="476">
        <v>0</v>
      </c>
      <c r="JK98" s="476">
        <v>0</v>
      </c>
      <c r="JL98" s="476">
        <v>0</v>
      </c>
      <c r="JM98" s="476">
        <v>0</v>
      </c>
      <c r="JN98" s="476">
        <v>32469</v>
      </c>
      <c r="JO98" s="476">
        <v>7.3460000000000001</v>
      </c>
      <c r="JP98" s="476">
        <v>1.552</v>
      </c>
      <c r="JQ98" s="476">
        <v>1.298</v>
      </c>
      <c r="JR98" s="476">
        <v>58681</v>
      </c>
      <c r="JS98" s="476">
        <v>14426</v>
      </c>
      <c r="JT98" s="476">
        <v>13856</v>
      </c>
      <c r="JU98" s="476">
        <v>0</v>
      </c>
      <c r="JV98" s="476">
        <v>50433</v>
      </c>
      <c r="JW98" s="476">
        <v>0</v>
      </c>
      <c r="JX98" s="476">
        <v>0</v>
      </c>
      <c r="JY98" s="476">
        <v>0</v>
      </c>
      <c r="JZ98" s="476">
        <v>0</v>
      </c>
      <c r="KA98" s="476">
        <v>0</v>
      </c>
      <c r="KB98" s="476">
        <v>0</v>
      </c>
      <c r="KC98" s="476">
        <v>0</v>
      </c>
      <c r="KD98" s="476">
        <v>0</v>
      </c>
      <c r="KE98" s="476">
        <v>7262</v>
      </c>
      <c r="KF98" s="476">
        <v>0</v>
      </c>
      <c r="KG98" s="476">
        <v>0</v>
      </c>
      <c r="KH98" s="476">
        <v>1718390</v>
      </c>
      <c r="KI98" s="476">
        <v>0</v>
      </c>
      <c r="KJ98" s="476">
        <v>0</v>
      </c>
      <c r="KK98" s="476">
        <v>0</v>
      </c>
      <c r="KL98" s="476">
        <v>0</v>
      </c>
      <c r="KM98" s="476">
        <v>0</v>
      </c>
      <c r="KN98" s="476">
        <v>0</v>
      </c>
    </row>
    <row r="99" spans="1:300" x14ac:dyDescent="0.25">
      <c r="A99" s="476">
        <v>40976</v>
      </c>
      <c r="B99" s="476">
        <v>101828</v>
      </c>
      <c r="C99" s="476">
        <v>9</v>
      </c>
      <c r="D99" s="476">
        <v>2024</v>
      </c>
      <c r="E99" s="476">
        <v>6160</v>
      </c>
      <c r="F99" s="476">
        <v>0</v>
      </c>
      <c r="G99" s="476">
        <v>1903.19</v>
      </c>
      <c r="H99" s="476">
        <v>1808.7160000000001</v>
      </c>
      <c r="I99" s="476">
        <v>1808.7160000000001</v>
      </c>
      <c r="J99" s="476">
        <v>1903.19</v>
      </c>
      <c r="K99" s="476">
        <v>0</v>
      </c>
      <c r="L99" s="476">
        <v>6160</v>
      </c>
      <c r="M99" s="476">
        <v>0</v>
      </c>
      <c r="N99" s="476">
        <v>0</v>
      </c>
      <c r="O99" s="476">
        <v>0</v>
      </c>
      <c r="P99" s="476">
        <v>1904.7180000000001</v>
      </c>
      <c r="Q99" s="476">
        <v>0</v>
      </c>
      <c r="R99" s="476">
        <v>790237</v>
      </c>
      <c r="S99" s="476">
        <v>414.88400000000001</v>
      </c>
      <c r="T99" s="476">
        <v>0</v>
      </c>
      <c r="U99" s="476">
        <v>0</v>
      </c>
      <c r="V99" s="476">
        <v>776.947</v>
      </c>
      <c r="W99" s="476">
        <v>792690</v>
      </c>
      <c r="X99" s="476">
        <v>792690</v>
      </c>
      <c r="Y99" s="476">
        <v>0</v>
      </c>
      <c r="Z99" s="476">
        <v>0</v>
      </c>
      <c r="AA99" s="476">
        <v>0</v>
      </c>
      <c r="AB99" s="476">
        <v>0</v>
      </c>
      <c r="AC99" s="476">
        <v>0</v>
      </c>
      <c r="AD99" s="476" t="s">
        <v>314</v>
      </c>
      <c r="AE99" s="476">
        <v>0</v>
      </c>
      <c r="AF99" s="476">
        <v>0</v>
      </c>
      <c r="AG99" s="476">
        <v>0</v>
      </c>
      <c r="AH99" s="476">
        <v>0</v>
      </c>
      <c r="AI99" s="476">
        <v>0</v>
      </c>
      <c r="AJ99" s="476">
        <v>6160</v>
      </c>
      <c r="AK99" s="476" t="s">
        <v>651</v>
      </c>
      <c r="AL99" s="476" t="s">
        <v>346</v>
      </c>
      <c r="AM99" s="476">
        <v>0</v>
      </c>
      <c r="AN99" s="476">
        <v>0</v>
      </c>
      <c r="AO99" s="476">
        <v>0</v>
      </c>
      <c r="AP99" s="476">
        <v>0</v>
      </c>
      <c r="AQ99" s="476">
        <v>0</v>
      </c>
      <c r="AR99" s="476">
        <v>0</v>
      </c>
      <c r="AS99" s="476">
        <v>0</v>
      </c>
      <c r="AT99" s="476">
        <v>0</v>
      </c>
      <c r="AU99" s="476">
        <v>0</v>
      </c>
      <c r="AV99" s="476">
        <v>0</v>
      </c>
      <c r="AW99" s="476">
        <v>21257619</v>
      </c>
      <c r="AX99" s="476">
        <v>20938890</v>
      </c>
      <c r="AY99" s="476">
        <v>0</v>
      </c>
      <c r="AZ99" s="476">
        <v>790237</v>
      </c>
      <c r="BA99" s="476">
        <v>0</v>
      </c>
      <c r="BB99" s="476">
        <v>0</v>
      </c>
      <c r="BC99" s="476">
        <v>0</v>
      </c>
      <c r="BD99" s="476">
        <v>0</v>
      </c>
      <c r="BE99" s="476">
        <v>0</v>
      </c>
      <c r="BF99" s="476">
        <v>18879329</v>
      </c>
      <c r="BG99" s="476">
        <v>0</v>
      </c>
      <c r="BH99" s="476">
        <v>0</v>
      </c>
      <c r="BI99" s="476">
        <v>0</v>
      </c>
      <c r="BJ99" s="476">
        <v>12</v>
      </c>
      <c r="BK99" s="476">
        <v>0</v>
      </c>
      <c r="BL99" s="476">
        <v>0</v>
      </c>
      <c r="BM99" s="476">
        <v>0</v>
      </c>
      <c r="BN99" s="476">
        <v>0</v>
      </c>
      <c r="BO99" s="476">
        <v>0</v>
      </c>
      <c r="BP99" s="476">
        <v>0</v>
      </c>
      <c r="BQ99" s="476">
        <v>491</v>
      </c>
      <c r="BR99" s="476">
        <v>0</v>
      </c>
      <c r="BS99" s="476">
        <v>0</v>
      </c>
      <c r="BT99" s="476">
        <v>0</v>
      </c>
      <c r="BU99" s="476">
        <v>0</v>
      </c>
      <c r="BV99" s="476">
        <v>0</v>
      </c>
      <c r="BW99" s="476">
        <v>0</v>
      </c>
      <c r="BX99" s="476">
        <v>0</v>
      </c>
      <c r="BY99" s="476">
        <v>0</v>
      </c>
      <c r="BZ99" s="476">
        <v>0</v>
      </c>
      <c r="CA99" s="476">
        <v>0</v>
      </c>
      <c r="CB99" s="476">
        <v>0</v>
      </c>
      <c r="CC99" s="476">
        <v>0</v>
      </c>
      <c r="CD99" s="476">
        <v>0</v>
      </c>
      <c r="CE99" s="476">
        <v>0</v>
      </c>
      <c r="CF99" s="476">
        <v>0</v>
      </c>
      <c r="CG99" s="476">
        <v>0</v>
      </c>
      <c r="CH99" s="476">
        <v>321306</v>
      </c>
      <c r="CI99" s="476">
        <v>0</v>
      </c>
      <c r="CJ99" s="476">
        <v>4</v>
      </c>
      <c r="CK99" s="476">
        <v>0</v>
      </c>
      <c r="CL99" s="476">
        <v>0</v>
      </c>
      <c r="CM99" s="476">
        <v>0</v>
      </c>
      <c r="CN99" s="476">
        <v>0</v>
      </c>
      <c r="CO99" s="476">
        <v>1</v>
      </c>
      <c r="CP99" s="476">
        <v>0</v>
      </c>
      <c r="CQ99" s="476">
        <v>0</v>
      </c>
      <c r="CR99" s="476">
        <v>1903.19</v>
      </c>
      <c r="CS99" s="476">
        <v>0</v>
      </c>
      <c r="CT99" s="476">
        <v>0</v>
      </c>
      <c r="CU99" s="476">
        <v>0</v>
      </c>
      <c r="CV99" s="476">
        <v>0</v>
      </c>
      <c r="CW99" s="476">
        <v>0</v>
      </c>
      <c r="CX99" s="476">
        <v>0</v>
      </c>
      <c r="CY99" s="476">
        <v>0</v>
      </c>
      <c r="CZ99" s="476">
        <v>0</v>
      </c>
      <c r="DA99" s="476">
        <v>0</v>
      </c>
      <c r="DB99" s="476">
        <v>11141438</v>
      </c>
      <c r="DC99" s="476">
        <v>0</v>
      </c>
      <c r="DD99" s="476">
        <v>0</v>
      </c>
      <c r="DE99" s="476">
        <v>2927089</v>
      </c>
      <c r="DF99" s="476">
        <v>2927089</v>
      </c>
      <c r="DG99" s="476">
        <v>475.18800000000005</v>
      </c>
      <c r="DH99" s="476">
        <v>0</v>
      </c>
      <c r="DI99" s="476">
        <v>0</v>
      </c>
      <c r="DJ99" s="476">
        <v>0</v>
      </c>
      <c r="DK99" s="476">
        <v>0</v>
      </c>
      <c r="DL99" s="476">
        <v>0</v>
      </c>
      <c r="DM99" s="476">
        <v>749439</v>
      </c>
      <c r="DN99" s="476">
        <v>2577</v>
      </c>
      <c r="DO99" s="476">
        <v>0</v>
      </c>
      <c r="DP99" s="476">
        <v>0</v>
      </c>
      <c r="DQ99" s="476">
        <v>0</v>
      </c>
      <c r="DR99" s="476">
        <v>0</v>
      </c>
      <c r="DS99" s="476">
        <v>0</v>
      </c>
      <c r="DT99" s="476">
        <v>0</v>
      </c>
      <c r="DU99" s="476">
        <v>0</v>
      </c>
      <c r="DV99" s="476">
        <v>0</v>
      </c>
      <c r="DW99" s="476">
        <v>0</v>
      </c>
      <c r="DX99" s="476">
        <v>0</v>
      </c>
      <c r="DY99" s="476">
        <v>0</v>
      </c>
      <c r="DZ99" s="476">
        <v>0</v>
      </c>
      <c r="EA99" s="476">
        <v>0</v>
      </c>
      <c r="EB99" s="476">
        <v>0</v>
      </c>
      <c r="EC99" s="476">
        <v>2.4220000000000002</v>
      </c>
      <c r="ED99" s="476">
        <v>17157</v>
      </c>
      <c r="EE99" s="476">
        <v>0</v>
      </c>
      <c r="EF99" s="476">
        <v>0</v>
      </c>
      <c r="EG99" s="476">
        <v>0</v>
      </c>
      <c r="EH99" s="476">
        <v>734859</v>
      </c>
      <c r="EI99" s="476">
        <v>0</v>
      </c>
      <c r="EJ99" s="476">
        <v>0</v>
      </c>
      <c r="EK99" s="476">
        <v>34.253</v>
      </c>
      <c r="EL99" s="476">
        <v>0</v>
      </c>
      <c r="EM99" s="476">
        <v>2.0580000000000003</v>
      </c>
      <c r="EN99" s="476">
        <v>2.073</v>
      </c>
      <c r="EO99" s="476">
        <v>0</v>
      </c>
      <c r="EP99" s="476">
        <v>0</v>
      </c>
      <c r="EQ99" s="476">
        <v>38.384</v>
      </c>
      <c r="ER99" s="476">
        <v>0</v>
      </c>
      <c r="ES99" s="476">
        <v>119.298</v>
      </c>
      <c r="ET99" s="476">
        <v>0</v>
      </c>
      <c r="EU99" s="476">
        <v>0</v>
      </c>
      <c r="EV99" s="476">
        <v>0</v>
      </c>
      <c r="EW99" s="476">
        <v>0</v>
      </c>
      <c r="EX99" s="476">
        <v>0</v>
      </c>
      <c r="EY99" s="476">
        <v>0</v>
      </c>
      <c r="EZ99" s="476">
        <v>18094116</v>
      </c>
      <c r="FA99" s="476">
        <v>0</v>
      </c>
      <c r="FB99" s="476">
        <v>18881776</v>
      </c>
      <c r="FC99" s="476">
        <v>0</v>
      </c>
      <c r="FD99" s="476">
        <v>0</v>
      </c>
      <c r="FE99" s="476">
        <v>2437666</v>
      </c>
      <c r="FF99" s="476">
        <v>407108</v>
      </c>
      <c r="FG99" s="476">
        <v>6.3017999999999991E-2</v>
      </c>
      <c r="FH99" s="476">
        <v>2.6953999999999999E-2</v>
      </c>
      <c r="FI99" s="476">
        <v>0</v>
      </c>
      <c r="FJ99" s="476">
        <v>0</v>
      </c>
      <c r="FK99" s="476">
        <v>3064.8960000000002</v>
      </c>
      <c r="FL99" s="476">
        <v>22047856</v>
      </c>
      <c r="FM99" s="476">
        <v>0</v>
      </c>
      <c r="FN99" s="476">
        <v>0</v>
      </c>
      <c r="FO99" s="476">
        <v>0</v>
      </c>
      <c r="FP99" s="476">
        <v>0</v>
      </c>
      <c r="FQ99" s="476">
        <v>0</v>
      </c>
      <c r="FR99" s="476">
        <v>0</v>
      </c>
      <c r="FS99" s="476">
        <v>0</v>
      </c>
      <c r="FT99" s="476">
        <v>0</v>
      </c>
      <c r="FU99" s="476">
        <v>0</v>
      </c>
      <c r="FV99" s="476">
        <v>0</v>
      </c>
      <c r="FW99" s="476">
        <v>0</v>
      </c>
      <c r="FX99" s="476">
        <v>0</v>
      </c>
      <c r="FY99" s="476">
        <v>0</v>
      </c>
      <c r="FZ99" s="476">
        <v>0</v>
      </c>
      <c r="GA99" s="476">
        <v>0</v>
      </c>
      <c r="GB99" s="476">
        <v>554713</v>
      </c>
      <c r="GC99" s="476">
        <v>554713</v>
      </c>
      <c r="GD99" s="476">
        <v>56.09</v>
      </c>
      <c r="GE99" s="476">
        <v>0</v>
      </c>
      <c r="GF99" s="476">
        <v>0</v>
      </c>
      <c r="GG99" s="476">
        <v>0</v>
      </c>
      <c r="GH99" s="476">
        <v>0</v>
      </c>
      <c r="GI99" s="476">
        <v>0</v>
      </c>
      <c r="GJ99" s="476">
        <v>0</v>
      </c>
      <c r="GK99" s="476">
        <v>0</v>
      </c>
      <c r="GL99" s="476">
        <v>0</v>
      </c>
      <c r="GM99" s="476">
        <v>0</v>
      </c>
      <c r="GN99" s="476">
        <v>0</v>
      </c>
      <c r="GO99" s="476">
        <v>0</v>
      </c>
      <c r="GP99" s="476">
        <v>0</v>
      </c>
      <c r="GQ99" s="476">
        <v>20936313</v>
      </c>
      <c r="GR99" s="476">
        <v>0</v>
      </c>
      <c r="GS99" s="476">
        <v>0</v>
      </c>
      <c r="GT99" s="476">
        <v>0</v>
      </c>
      <c r="GU99" s="476">
        <v>0</v>
      </c>
      <c r="GV99" s="476">
        <v>0</v>
      </c>
      <c r="GW99" s="476">
        <v>0</v>
      </c>
      <c r="GX99" s="476">
        <v>0</v>
      </c>
      <c r="GY99" s="476">
        <v>0</v>
      </c>
      <c r="GZ99" s="476">
        <v>0</v>
      </c>
      <c r="HA99" s="476">
        <v>0</v>
      </c>
      <c r="HB99" s="476">
        <v>323396213</v>
      </c>
      <c r="HC99" s="476">
        <v>4.2206E-2</v>
      </c>
      <c r="HD99" s="476">
        <v>321306</v>
      </c>
      <c r="HE99" s="476">
        <v>0</v>
      </c>
      <c r="HF99" s="476">
        <v>1993205</v>
      </c>
      <c r="HG99" s="476">
        <v>13552</v>
      </c>
      <c r="HH99" s="476">
        <v>584594</v>
      </c>
      <c r="HI99" s="476">
        <v>0</v>
      </c>
      <c r="HJ99" s="476">
        <v>19032</v>
      </c>
      <c r="HK99" s="476">
        <v>4708</v>
      </c>
      <c r="HL99" s="476">
        <v>316</v>
      </c>
      <c r="HM99" s="476">
        <v>101000</v>
      </c>
      <c r="HN99" s="476">
        <v>0</v>
      </c>
      <c r="HO99" s="476">
        <v>0</v>
      </c>
      <c r="HP99" s="476">
        <v>0</v>
      </c>
      <c r="HQ99" s="476">
        <v>0</v>
      </c>
      <c r="HR99" s="476">
        <v>0</v>
      </c>
      <c r="HS99" s="476">
        <v>18091539</v>
      </c>
      <c r="HT99" s="476">
        <v>407108</v>
      </c>
      <c r="HU99" s="476">
        <v>0</v>
      </c>
      <c r="HV99" s="476">
        <v>0</v>
      </c>
      <c r="HW99" s="476">
        <v>0</v>
      </c>
      <c r="HX99" s="476">
        <v>40</v>
      </c>
      <c r="HY99" s="476">
        <v>117</v>
      </c>
      <c r="HZ99" s="476">
        <v>338</v>
      </c>
      <c r="IA99" s="476">
        <v>618</v>
      </c>
      <c r="IB99" s="476">
        <v>697</v>
      </c>
      <c r="IC99" s="476">
        <v>1810</v>
      </c>
      <c r="ID99" s="476">
        <v>0</v>
      </c>
      <c r="IE99" s="476">
        <v>339.94499999999999</v>
      </c>
      <c r="IF99" s="476">
        <v>0</v>
      </c>
      <c r="IG99" s="476">
        <v>22</v>
      </c>
      <c r="IH99" s="476">
        <v>949.03700000000003</v>
      </c>
      <c r="II99" s="476">
        <v>0</v>
      </c>
      <c r="IJ99" s="476">
        <v>1116.8920000000001</v>
      </c>
      <c r="IK99" s="476">
        <v>0</v>
      </c>
      <c r="IL99" s="476">
        <v>18</v>
      </c>
      <c r="IM99" s="476">
        <v>3</v>
      </c>
      <c r="IN99" s="476">
        <v>1</v>
      </c>
      <c r="IO99" s="476">
        <v>22</v>
      </c>
      <c r="IP99" s="476">
        <v>0</v>
      </c>
      <c r="IQ99" s="476">
        <v>776.947</v>
      </c>
      <c r="IR99" s="476">
        <v>478588</v>
      </c>
      <c r="IS99" s="476">
        <v>0</v>
      </c>
      <c r="IT99" s="476">
        <v>90000</v>
      </c>
      <c r="IU99" s="476">
        <v>9000</v>
      </c>
      <c r="IV99" s="476">
        <v>2000</v>
      </c>
      <c r="IW99" s="476">
        <v>6160</v>
      </c>
      <c r="IX99" s="476">
        <v>314102</v>
      </c>
      <c r="IY99" s="476">
        <v>0</v>
      </c>
      <c r="IZ99" s="476">
        <v>0</v>
      </c>
      <c r="JA99" s="476">
        <v>0</v>
      </c>
      <c r="JB99" s="476">
        <v>0</v>
      </c>
      <c r="JC99" s="476">
        <v>0</v>
      </c>
      <c r="JD99" s="476">
        <v>0</v>
      </c>
      <c r="JE99" s="476">
        <v>0</v>
      </c>
      <c r="JF99" s="476">
        <v>0</v>
      </c>
      <c r="JG99" s="476">
        <v>0</v>
      </c>
      <c r="JH99" s="476">
        <v>0</v>
      </c>
      <c r="JI99" s="476">
        <v>0</v>
      </c>
      <c r="JJ99" s="476">
        <v>0</v>
      </c>
      <c r="JK99" s="476">
        <v>0</v>
      </c>
      <c r="JL99" s="476">
        <v>0</v>
      </c>
      <c r="JM99" s="476">
        <v>0</v>
      </c>
      <c r="JN99" s="476">
        <v>32469</v>
      </c>
      <c r="JO99" s="476">
        <v>4.6970000000000001</v>
      </c>
      <c r="JP99" s="476">
        <v>22.783000000000001</v>
      </c>
      <c r="JQ99" s="476">
        <v>28.61</v>
      </c>
      <c r="JR99" s="476">
        <v>37521</v>
      </c>
      <c r="JS99" s="476">
        <v>211776</v>
      </c>
      <c r="JT99" s="476">
        <v>305416</v>
      </c>
      <c r="JU99" s="476">
        <v>0</v>
      </c>
      <c r="JV99" s="476">
        <v>0</v>
      </c>
      <c r="JW99" s="476">
        <v>0</v>
      </c>
      <c r="JX99" s="476">
        <v>0</v>
      </c>
      <c r="JY99" s="476">
        <v>0</v>
      </c>
      <c r="JZ99" s="476">
        <v>0</v>
      </c>
      <c r="KA99" s="476">
        <v>0</v>
      </c>
      <c r="KB99" s="476">
        <v>0</v>
      </c>
      <c r="KC99" s="476">
        <v>0</v>
      </c>
      <c r="KD99" s="476">
        <v>0</v>
      </c>
      <c r="KE99" s="476">
        <v>7262</v>
      </c>
      <c r="KF99" s="476">
        <v>0</v>
      </c>
      <c r="KG99" s="476">
        <v>0</v>
      </c>
      <c r="KH99" s="476">
        <v>20936313</v>
      </c>
      <c r="KI99" s="476">
        <v>0</v>
      </c>
      <c r="KJ99" s="476">
        <v>12</v>
      </c>
      <c r="KK99" s="476">
        <v>10</v>
      </c>
      <c r="KL99" s="476">
        <v>7392</v>
      </c>
      <c r="KM99" s="476">
        <v>6160</v>
      </c>
      <c r="KN99" s="476">
        <v>0</v>
      </c>
    </row>
    <row r="100" spans="1:300" x14ac:dyDescent="0.25">
      <c r="A100" s="476">
        <v>40976</v>
      </c>
      <c r="B100" s="476">
        <v>101837</v>
      </c>
      <c r="C100" s="476">
        <v>9</v>
      </c>
      <c r="D100" s="476">
        <v>2024</v>
      </c>
      <c r="E100" s="476">
        <v>6160</v>
      </c>
      <c r="F100" s="476">
        <v>0</v>
      </c>
      <c r="G100" s="476">
        <v>304.13200000000001</v>
      </c>
      <c r="H100" s="476">
        <v>246.38200000000001</v>
      </c>
      <c r="I100" s="476">
        <v>246.38200000000001</v>
      </c>
      <c r="J100" s="476">
        <v>304.13200000000001</v>
      </c>
      <c r="K100" s="476">
        <v>0</v>
      </c>
      <c r="L100" s="476">
        <v>6160</v>
      </c>
      <c r="M100" s="476">
        <v>0</v>
      </c>
      <c r="N100" s="476">
        <v>0</v>
      </c>
      <c r="O100" s="476">
        <v>0</v>
      </c>
      <c r="P100" s="476">
        <v>304.495</v>
      </c>
      <c r="Q100" s="476">
        <v>0</v>
      </c>
      <c r="R100" s="476">
        <v>126330</v>
      </c>
      <c r="S100" s="476">
        <v>414.88400000000001</v>
      </c>
      <c r="T100" s="476">
        <v>0</v>
      </c>
      <c r="U100" s="476">
        <v>0</v>
      </c>
      <c r="V100" s="476">
        <v>35.642000000000003</v>
      </c>
      <c r="W100" s="476">
        <v>21955</v>
      </c>
      <c r="X100" s="476">
        <v>21955</v>
      </c>
      <c r="Y100" s="476">
        <v>0</v>
      </c>
      <c r="Z100" s="476">
        <v>0</v>
      </c>
      <c r="AA100" s="476">
        <v>0</v>
      </c>
      <c r="AB100" s="476">
        <v>0</v>
      </c>
      <c r="AC100" s="476">
        <v>0</v>
      </c>
      <c r="AD100" s="476" t="s">
        <v>314</v>
      </c>
      <c r="AE100" s="476">
        <v>0</v>
      </c>
      <c r="AF100" s="476">
        <v>0</v>
      </c>
      <c r="AG100" s="476">
        <v>0</v>
      </c>
      <c r="AH100" s="476">
        <v>0</v>
      </c>
      <c r="AI100" s="476">
        <v>0</v>
      </c>
      <c r="AJ100" s="476">
        <v>6160</v>
      </c>
      <c r="AK100" s="476" t="s">
        <v>651</v>
      </c>
      <c r="AL100" s="476" t="s">
        <v>12</v>
      </c>
      <c r="AM100" s="476">
        <v>0</v>
      </c>
      <c r="AN100" s="476">
        <v>0</v>
      </c>
      <c r="AO100" s="476">
        <v>0</v>
      </c>
      <c r="AP100" s="476">
        <v>0</v>
      </c>
      <c r="AQ100" s="476">
        <v>0</v>
      </c>
      <c r="AR100" s="476">
        <v>0</v>
      </c>
      <c r="AS100" s="476">
        <v>0</v>
      </c>
      <c r="AT100" s="476">
        <v>0</v>
      </c>
      <c r="AU100" s="476">
        <v>0</v>
      </c>
      <c r="AV100" s="476">
        <v>0</v>
      </c>
      <c r="AW100" s="476">
        <v>3146373</v>
      </c>
      <c r="AX100" s="476">
        <v>3095759</v>
      </c>
      <c r="AY100" s="476">
        <v>0</v>
      </c>
      <c r="AZ100" s="476">
        <v>126330</v>
      </c>
      <c r="BA100" s="476">
        <v>4</v>
      </c>
      <c r="BB100" s="476">
        <v>0</v>
      </c>
      <c r="BC100" s="476">
        <v>0</v>
      </c>
      <c r="BD100" s="476">
        <v>0</v>
      </c>
      <c r="BE100" s="476">
        <v>0</v>
      </c>
      <c r="BF100" s="476">
        <v>2773153</v>
      </c>
      <c r="BG100" s="476">
        <v>0</v>
      </c>
      <c r="BH100" s="476">
        <v>0</v>
      </c>
      <c r="BI100" s="476">
        <v>0</v>
      </c>
      <c r="BJ100" s="476">
        <v>12</v>
      </c>
      <c r="BK100" s="476">
        <v>0</v>
      </c>
      <c r="BL100" s="476">
        <v>0</v>
      </c>
      <c r="BM100" s="476">
        <v>0</v>
      </c>
      <c r="BN100" s="476">
        <v>0</v>
      </c>
      <c r="BO100" s="476">
        <v>0</v>
      </c>
      <c r="BP100" s="476">
        <v>0</v>
      </c>
      <c r="BQ100" s="476">
        <v>732</v>
      </c>
      <c r="BR100" s="476">
        <v>0</v>
      </c>
      <c r="BS100" s="476">
        <v>0</v>
      </c>
      <c r="BT100" s="476">
        <v>0</v>
      </c>
      <c r="BU100" s="476">
        <v>0</v>
      </c>
      <c r="BV100" s="476">
        <v>0</v>
      </c>
      <c r="BW100" s="476">
        <v>0</v>
      </c>
      <c r="BX100" s="476">
        <v>0</v>
      </c>
      <c r="BY100" s="476">
        <v>0</v>
      </c>
      <c r="BZ100" s="476">
        <v>0</v>
      </c>
      <c r="CA100" s="476">
        <v>0</v>
      </c>
      <c r="CB100" s="476">
        <v>0</v>
      </c>
      <c r="CC100" s="476">
        <v>0</v>
      </c>
      <c r="CD100" s="476">
        <v>0</v>
      </c>
      <c r="CE100" s="476">
        <v>0</v>
      </c>
      <c r="CF100" s="476">
        <v>0</v>
      </c>
      <c r="CG100" s="476">
        <v>0</v>
      </c>
      <c r="CH100" s="476">
        <v>51345</v>
      </c>
      <c r="CI100" s="476">
        <v>0</v>
      </c>
      <c r="CJ100" s="476">
        <v>4</v>
      </c>
      <c r="CK100" s="476">
        <v>0</v>
      </c>
      <c r="CL100" s="476">
        <v>0</v>
      </c>
      <c r="CM100" s="476">
        <v>0</v>
      </c>
      <c r="CN100" s="476">
        <v>0</v>
      </c>
      <c r="CO100" s="476">
        <v>1</v>
      </c>
      <c r="CP100" s="476">
        <v>0</v>
      </c>
      <c r="CQ100" s="476">
        <v>0</v>
      </c>
      <c r="CR100" s="476">
        <v>304.13200000000001</v>
      </c>
      <c r="CS100" s="476">
        <v>0</v>
      </c>
      <c r="CT100" s="476">
        <v>0</v>
      </c>
      <c r="CU100" s="476">
        <v>0</v>
      </c>
      <c r="CV100" s="476">
        <v>0</v>
      </c>
      <c r="CW100" s="476">
        <v>0</v>
      </c>
      <c r="CX100" s="476">
        <v>0</v>
      </c>
      <c r="CY100" s="476">
        <v>0</v>
      </c>
      <c r="CZ100" s="476">
        <v>0</v>
      </c>
      <c r="DA100" s="476">
        <v>0</v>
      </c>
      <c r="DB100" s="476">
        <v>1517679</v>
      </c>
      <c r="DC100" s="476">
        <v>0</v>
      </c>
      <c r="DD100" s="476">
        <v>0</v>
      </c>
      <c r="DE100" s="476">
        <v>193112</v>
      </c>
      <c r="DF100" s="476">
        <v>193112</v>
      </c>
      <c r="DG100" s="476">
        <v>31.35</v>
      </c>
      <c r="DH100" s="476">
        <v>0</v>
      </c>
      <c r="DI100" s="476">
        <v>0</v>
      </c>
      <c r="DJ100" s="476">
        <v>0</v>
      </c>
      <c r="DK100" s="476">
        <v>3335</v>
      </c>
      <c r="DL100" s="476">
        <v>0</v>
      </c>
      <c r="DM100" s="476">
        <v>212546</v>
      </c>
      <c r="DN100" s="476">
        <v>731</v>
      </c>
      <c r="DO100" s="476">
        <v>0</v>
      </c>
      <c r="DP100" s="476">
        <v>0</v>
      </c>
      <c r="DQ100" s="476">
        <v>0</v>
      </c>
      <c r="DR100" s="476">
        <v>0</v>
      </c>
      <c r="DS100" s="476">
        <v>0</v>
      </c>
      <c r="DT100" s="476">
        <v>0</v>
      </c>
      <c r="DU100" s="476">
        <v>0</v>
      </c>
      <c r="DV100" s="476">
        <v>0</v>
      </c>
      <c r="DW100" s="476">
        <v>0</v>
      </c>
      <c r="DX100" s="476">
        <v>0</v>
      </c>
      <c r="DY100" s="476">
        <v>0</v>
      </c>
      <c r="DZ100" s="476">
        <v>0</v>
      </c>
      <c r="EA100" s="476">
        <v>0</v>
      </c>
      <c r="EB100" s="476">
        <v>0</v>
      </c>
      <c r="EC100" s="476">
        <v>29.812000000000001</v>
      </c>
      <c r="ED100" s="476">
        <v>211183</v>
      </c>
      <c r="EE100" s="476">
        <v>0</v>
      </c>
      <c r="EF100" s="476">
        <v>0</v>
      </c>
      <c r="EG100" s="476">
        <v>0</v>
      </c>
      <c r="EH100" s="476">
        <v>2094</v>
      </c>
      <c r="EI100" s="476">
        <v>0</v>
      </c>
      <c r="EJ100" s="476">
        <v>0</v>
      </c>
      <c r="EK100" s="476">
        <v>0</v>
      </c>
      <c r="EL100" s="476">
        <v>0</v>
      </c>
      <c r="EM100" s="476">
        <v>0</v>
      </c>
      <c r="EN100" s="476">
        <v>6.8000000000000005E-2</v>
      </c>
      <c r="EO100" s="476">
        <v>0</v>
      </c>
      <c r="EP100" s="476">
        <v>0</v>
      </c>
      <c r="EQ100" s="476">
        <v>6.8000000000000005E-2</v>
      </c>
      <c r="ER100" s="476">
        <v>0</v>
      </c>
      <c r="ES100" s="476">
        <v>0.34</v>
      </c>
      <c r="ET100" s="476">
        <v>0</v>
      </c>
      <c r="EU100" s="476">
        <v>0</v>
      </c>
      <c r="EV100" s="476">
        <v>0</v>
      </c>
      <c r="EW100" s="476">
        <v>0</v>
      </c>
      <c r="EX100" s="476">
        <v>0</v>
      </c>
      <c r="EY100" s="476">
        <v>0</v>
      </c>
      <c r="EZ100" s="476">
        <v>2677896</v>
      </c>
      <c r="FA100" s="476">
        <v>0</v>
      </c>
      <c r="FB100" s="476">
        <v>2803495</v>
      </c>
      <c r="FC100" s="476">
        <v>0</v>
      </c>
      <c r="FD100" s="476">
        <v>0</v>
      </c>
      <c r="FE100" s="476">
        <v>358064</v>
      </c>
      <c r="FF100" s="476">
        <v>59799</v>
      </c>
      <c r="FG100" s="476">
        <v>6.3017999999999991E-2</v>
      </c>
      <c r="FH100" s="476">
        <v>2.6953999999999999E-2</v>
      </c>
      <c r="FI100" s="476">
        <v>0</v>
      </c>
      <c r="FJ100" s="476">
        <v>0</v>
      </c>
      <c r="FK100" s="476">
        <v>450.197</v>
      </c>
      <c r="FL100" s="476">
        <v>3272703</v>
      </c>
      <c r="FM100" s="476">
        <v>0</v>
      </c>
      <c r="FN100" s="476">
        <v>0</v>
      </c>
      <c r="FO100" s="476">
        <v>27714</v>
      </c>
      <c r="FP100" s="476">
        <v>0</v>
      </c>
      <c r="FQ100" s="476">
        <v>27714</v>
      </c>
      <c r="FR100" s="476">
        <v>27714</v>
      </c>
      <c r="FS100" s="476">
        <v>0</v>
      </c>
      <c r="FT100" s="476">
        <v>0</v>
      </c>
      <c r="FU100" s="476">
        <v>0</v>
      </c>
      <c r="FV100" s="476">
        <v>0</v>
      </c>
      <c r="FW100" s="476">
        <v>0</v>
      </c>
      <c r="FX100" s="476">
        <v>0</v>
      </c>
      <c r="FY100" s="476">
        <v>0</v>
      </c>
      <c r="FZ100" s="476">
        <v>0</v>
      </c>
      <c r="GA100" s="476">
        <v>0</v>
      </c>
      <c r="GB100" s="476">
        <v>537032</v>
      </c>
      <c r="GC100" s="476">
        <v>537032</v>
      </c>
      <c r="GD100" s="476">
        <v>57.682000000000002</v>
      </c>
      <c r="GE100" s="476">
        <v>0</v>
      </c>
      <c r="GF100" s="476">
        <v>0</v>
      </c>
      <c r="GG100" s="476">
        <v>0</v>
      </c>
      <c r="GH100" s="476">
        <v>0</v>
      </c>
      <c r="GI100" s="476">
        <v>0</v>
      </c>
      <c r="GJ100" s="476">
        <v>0</v>
      </c>
      <c r="GK100" s="476">
        <v>0</v>
      </c>
      <c r="GL100" s="476">
        <v>0</v>
      </c>
      <c r="GM100" s="476">
        <v>0</v>
      </c>
      <c r="GN100" s="476">
        <v>0</v>
      </c>
      <c r="GO100" s="476">
        <v>0</v>
      </c>
      <c r="GP100" s="476">
        <v>0</v>
      </c>
      <c r="GQ100" s="476">
        <v>3095028</v>
      </c>
      <c r="GR100" s="476">
        <v>0</v>
      </c>
      <c r="GS100" s="476">
        <v>0</v>
      </c>
      <c r="GT100" s="476">
        <v>0</v>
      </c>
      <c r="GU100" s="476">
        <v>0</v>
      </c>
      <c r="GV100" s="476">
        <v>0</v>
      </c>
      <c r="GW100" s="476">
        <v>0</v>
      </c>
      <c r="GX100" s="476">
        <v>0</v>
      </c>
      <c r="GY100" s="476">
        <v>0</v>
      </c>
      <c r="GZ100" s="476">
        <v>0</v>
      </c>
      <c r="HA100" s="476">
        <v>0</v>
      </c>
      <c r="HB100" s="476">
        <v>323396213</v>
      </c>
      <c r="HC100" s="476">
        <v>4.2206E-2</v>
      </c>
      <c r="HD100" s="476">
        <v>51345</v>
      </c>
      <c r="HE100" s="476">
        <v>0</v>
      </c>
      <c r="HF100" s="476">
        <v>271513</v>
      </c>
      <c r="HG100" s="476">
        <v>5544</v>
      </c>
      <c r="HH100" s="476">
        <v>0</v>
      </c>
      <c r="HI100" s="476">
        <v>0</v>
      </c>
      <c r="HJ100" s="476">
        <v>3041</v>
      </c>
      <c r="HK100" s="476">
        <v>2118</v>
      </c>
      <c r="HL100" s="476">
        <v>1241</v>
      </c>
      <c r="HM100" s="476">
        <v>10000</v>
      </c>
      <c r="HN100" s="476">
        <v>0</v>
      </c>
      <c r="HO100" s="476">
        <v>0</v>
      </c>
      <c r="HP100" s="476">
        <v>0</v>
      </c>
      <c r="HQ100" s="476">
        <v>0</v>
      </c>
      <c r="HR100" s="476">
        <v>0</v>
      </c>
      <c r="HS100" s="476">
        <v>2677165</v>
      </c>
      <c r="HT100" s="476">
        <v>59799</v>
      </c>
      <c r="HU100" s="476">
        <v>0</v>
      </c>
      <c r="HV100" s="476">
        <v>0</v>
      </c>
      <c r="HW100" s="476">
        <v>0</v>
      </c>
      <c r="HX100" s="476">
        <v>44</v>
      </c>
      <c r="HY100" s="476">
        <v>40</v>
      </c>
      <c r="HZ100" s="476">
        <v>37</v>
      </c>
      <c r="IA100" s="476">
        <v>4</v>
      </c>
      <c r="IB100" s="476">
        <v>6</v>
      </c>
      <c r="IC100" s="476">
        <v>131</v>
      </c>
      <c r="ID100" s="476">
        <v>0</v>
      </c>
      <c r="IE100" s="476">
        <v>0</v>
      </c>
      <c r="IF100" s="476">
        <v>0</v>
      </c>
      <c r="IG100" s="476">
        <v>9</v>
      </c>
      <c r="IH100" s="476">
        <v>0</v>
      </c>
      <c r="II100" s="476">
        <v>0</v>
      </c>
      <c r="IJ100" s="476">
        <v>35.642000000000003</v>
      </c>
      <c r="IK100" s="476">
        <v>0</v>
      </c>
      <c r="IL100" s="476">
        <v>2</v>
      </c>
      <c r="IM100" s="476">
        <v>0</v>
      </c>
      <c r="IN100" s="476">
        <v>0</v>
      </c>
      <c r="IO100" s="476">
        <v>2</v>
      </c>
      <c r="IP100" s="476">
        <v>0</v>
      </c>
      <c r="IQ100" s="476">
        <v>35.642000000000003</v>
      </c>
      <c r="IR100" s="476">
        <v>21955</v>
      </c>
      <c r="IS100" s="476">
        <v>0</v>
      </c>
      <c r="IT100" s="476">
        <v>10000</v>
      </c>
      <c r="IU100" s="476">
        <v>0</v>
      </c>
      <c r="IV100" s="476">
        <v>0</v>
      </c>
      <c r="IW100" s="476">
        <v>6160</v>
      </c>
      <c r="IX100" s="476">
        <v>0</v>
      </c>
      <c r="IY100" s="476">
        <v>0</v>
      </c>
      <c r="IZ100" s="476">
        <v>0</v>
      </c>
      <c r="JA100" s="476">
        <v>0</v>
      </c>
      <c r="JB100" s="476">
        <v>0</v>
      </c>
      <c r="JC100" s="476">
        <v>0</v>
      </c>
      <c r="JD100" s="476">
        <v>0</v>
      </c>
      <c r="JE100" s="476">
        <v>0</v>
      </c>
      <c r="JF100" s="476">
        <v>0</v>
      </c>
      <c r="JG100" s="476">
        <v>0</v>
      </c>
      <c r="JH100" s="476">
        <v>0</v>
      </c>
      <c r="JI100" s="476">
        <v>0</v>
      </c>
      <c r="JJ100" s="476">
        <v>0</v>
      </c>
      <c r="JK100" s="476">
        <v>0</v>
      </c>
      <c r="JL100" s="476">
        <v>0</v>
      </c>
      <c r="JM100" s="476">
        <v>0</v>
      </c>
      <c r="JN100" s="476">
        <v>32469</v>
      </c>
      <c r="JO100" s="476">
        <v>11.622</v>
      </c>
      <c r="JP100" s="476">
        <v>34.429000000000002</v>
      </c>
      <c r="JQ100" s="476">
        <v>11.631</v>
      </c>
      <c r="JR100" s="476">
        <v>92839</v>
      </c>
      <c r="JS100" s="476">
        <v>320030</v>
      </c>
      <c r="JT100" s="476">
        <v>124163</v>
      </c>
      <c r="JU100" s="476">
        <v>0</v>
      </c>
      <c r="JV100" s="476">
        <v>0</v>
      </c>
      <c r="JW100" s="476">
        <v>0</v>
      </c>
      <c r="JX100" s="476">
        <v>0</v>
      </c>
      <c r="JY100" s="476">
        <v>0</v>
      </c>
      <c r="JZ100" s="476">
        <v>0</v>
      </c>
      <c r="KA100" s="476">
        <v>0</v>
      </c>
      <c r="KB100" s="476">
        <v>0</v>
      </c>
      <c r="KC100" s="476">
        <v>0</v>
      </c>
      <c r="KD100" s="476">
        <v>0</v>
      </c>
      <c r="KE100" s="476">
        <v>7262</v>
      </c>
      <c r="KF100" s="476">
        <v>0</v>
      </c>
      <c r="KG100" s="476">
        <v>0</v>
      </c>
      <c r="KH100" s="476">
        <v>3095028</v>
      </c>
      <c r="KI100" s="476">
        <v>0</v>
      </c>
      <c r="KJ100" s="476">
        <v>7</v>
      </c>
      <c r="KK100" s="476">
        <v>2</v>
      </c>
      <c r="KL100" s="476">
        <v>4312</v>
      </c>
      <c r="KM100" s="476">
        <v>1232</v>
      </c>
      <c r="KN100" s="476">
        <v>0</v>
      </c>
    </row>
    <row r="101" spans="1:300" x14ac:dyDescent="0.25">
      <c r="A101" s="476">
        <v>40976</v>
      </c>
      <c r="B101" s="476">
        <v>101838</v>
      </c>
      <c r="C101" s="476">
        <v>9</v>
      </c>
      <c r="D101" s="476">
        <v>2024</v>
      </c>
      <c r="E101" s="476">
        <v>6160</v>
      </c>
      <c r="F101" s="476">
        <v>0</v>
      </c>
      <c r="G101" s="476">
        <v>1486.3420000000001</v>
      </c>
      <c r="H101" s="476">
        <v>1381.0840000000001</v>
      </c>
      <c r="I101" s="476">
        <v>1381.0840000000001</v>
      </c>
      <c r="J101" s="476">
        <v>1486.3420000000001</v>
      </c>
      <c r="K101" s="476">
        <v>0</v>
      </c>
      <c r="L101" s="476">
        <v>6160</v>
      </c>
      <c r="M101" s="476">
        <v>0</v>
      </c>
      <c r="N101" s="476">
        <v>0</v>
      </c>
      <c r="O101" s="476">
        <v>0</v>
      </c>
      <c r="P101" s="476">
        <v>1486.3420000000001</v>
      </c>
      <c r="Q101" s="476">
        <v>0</v>
      </c>
      <c r="R101" s="476">
        <v>616660</v>
      </c>
      <c r="S101" s="476">
        <v>414.88400000000001</v>
      </c>
      <c r="T101" s="476">
        <v>0</v>
      </c>
      <c r="U101" s="476">
        <v>0</v>
      </c>
      <c r="V101" s="476">
        <v>1135.3320000000001</v>
      </c>
      <c r="W101" s="476">
        <v>699349</v>
      </c>
      <c r="X101" s="476">
        <v>699349</v>
      </c>
      <c r="Y101" s="476">
        <v>0</v>
      </c>
      <c r="Z101" s="476">
        <v>0</v>
      </c>
      <c r="AA101" s="476">
        <v>0</v>
      </c>
      <c r="AB101" s="476">
        <v>0</v>
      </c>
      <c r="AC101" s="476">
        <v>0</v>
      </c>
      <c r="AD101" s="476" t="s">
        <v>314</v>
      </c>
      <c r="AE101" s="476">
        <v>0</v>
      </c>
      <c r="AF101" s="476">
        <v>0</v>
      </c>
      <c r="AG101" s="476">
        <v>0</v>
      </c>
      <c r="AH101" s="476">
        <v>0</v>
      </c>
      <c r="AI101" s="476">
        <v>0</v>
      </c>
      <c r="AJ101" s="476">
        <v>6160</v>
      </c>
      <c r="AK101" s="476" t="s">
        <v>651</v>
      </c>
      <c r="AL101" s="476" t="s">
        <v>1059</v>
      </c>
      <c r="AM101" s="476">
        <v>0</v>
      </c>
      <c r="AN101" s="476">
        <v>0</v>
      </c>
      <c r="AO101" s="476">
        <v>0</v>
      </c>
      <c r="AP101" s="476">
        <v>0</v>
      </c>
      <c r="AQ101" s="476">
        <v>0</v>
      </c>
      <c r="AR101" s="476">
        <v>0</v>
      </c>
      <c r="AS101" s="476">
        <v>0</v>
      </c>
      <c r="AT101" s="476">
        <v>0</v>
      </c>
      <c r="AU101" s="476">
        <v>0</v>
      </c>
      <c r="AV101" s="476">
        <v>0</v>
      </c>
      <c r="AW101" s="476">
        <v>17766482</v>
      </c>
      <c r="AX101" s="476">
        <v>17519990</v>
      </c>
      <c r="AY101" s="476">
        <v>0</v>
      </c>
      <c r="AZ101" s="476">
        <v>616660</v>
      </c>
      <c r="BA101" s="476">
        <v>0</v>
      </c>
      <c r="BB101" s="476">
        <v>26427</v>
      </c>
      <c r="BC101" s="476">
        <v>26259</v>
      </c>
      <c r="BD101" s="476">
        <v>62</v>
      </c>
      <c r="BE101" s="476">
        <v>168</v>
      </c>
      <c r="BF101" s="476">
        <v>15646256</v>
      </c>
      <c r="BG101" s="476">
        <v>0</v>
      </c>
      <c r="BH101" s="476">
        <v>0</v>
      </c>
      <c r="BI101" s="476">
        <v>0</v>
      </c>
      <c r="BJ101" s="476">
        <v>12</v>
      </c>
      <c r="BK101" s="476">
        <v>0</v>
      </c>
      <c r="BL101" s="476">
        <v>0</v>
      </c>
      <c r="BM101" s="476">
        <v>0</v>
      </c>
      <c r="BN101" s="476">
        <v>0</v>
      </c>
      <c r="BO101" s="476">
        <v>0</v>
      </c>
      <c r="BP101" s="476">
        <v>0</v>
      </c>
      <c r="BQ101" s="476">
        <v>557</v>
      </c>
      <c r="BR101" s="476">
        <v>0</v>
      </c>
      <c r="BS101" s="476">
        <v>0</v>
      </c>
      <c r="BT101" s="476">
        <v>0</v>
      </c>
      <c r="BU101" s="476">
        <v>0</v>
      </c>
      <c r="BV101" s="476">
        <v>0</v>
      </c>
      <c r="BW101" s="476">
        <v>0</v>
      </c>
      <c r="BX101" s="476">
        <v>0</v>
      </c>
      <c r="BY101" s="476">
        <v>0</v>
      </c>
      <c r="BZ101" s="476">
        <v>0</v>
      </c>
      <c r="CA101" s="476">
        <v>0</v>
      </c>
      <c r="CB101" s="476">
        <v>0</v>
      </c>
      <c r="CC101" s="476">
        <v>0</v>
      </c>
      <c r="CD101" s="476">
        <v>0</v>
      </c>
      <c r="CE101" s="476">
        <v>0</v>
      </c>
      <c r="CF101" s="476">
        <v>0</v>
      </c>
      <c r="CG101" s="476">
        <v>0</v>
      </c>
      <c r="CH101" s="476">
        <v>250932</v>
      </c>
      <c r="CI101" s="476">
        <v>0</v>
      </c>
      <c r="CJ101" s="476">
        <v>4</v>
      </c>
      <c r="CK101" s="476">
        <v>0</v>
      </c>
      <c r="CL101" s="476">
        <v>0</v>
      </c>
      <c r="CM101" s="476">
        <v>0</v>
      </c>
      <c r="CN101" s="476">
        <v>0</v>
      </c>
      <c r="CO101" s="476">
        <v>1</v>
      </c>
      <c r="CP101" s="476">
        <v>5.3000000000000005E-2</v>
      </c>
      <c r="CQ101" s="476">
        <v>0</v>
      </c>
      <c r="CR101" s="476">
        <v>1486.3420000000001</v>
      </c>
      <c r="CS101" s="476">
        <v>0</v>
      </c>
      <c r="CT101" s="476">
        <v>0</v>
      </c>
      <c r="CU101" s="476">
        <v>0</v>
      </c>
      <c r="CV101" s="476">
        <v>0</v>
      </c>
      <c r="CW101" s="476">
        <v>0</v>
      </c>
      <c r="CX101" s="476">
        <v>0</v>
      </c>
      <c r="CY101" s="476">
        <v>0</v>
      </c>
      <c r="CZ101" s="476">
        <v>0</v>
      </c>
      <c r="DA101" s="476">
        <v>0</v>
      </c>
      <c r="DB101" s="476">
        <v>7953329</v>
      </c>
      <c r="DC101" s="476">
        <v>0</v>
      </c>
      <c r="DD101" s="476">
        <v>0</v>
      </c>
      <c r="DE101" s="476">
        <v>2459401</v>
      </c>
      <c r="DF101" s="476">
        <v>2460188</v>
      </c>
      <c r="DG101" s="476">
        <v>399.26300000000003</v>
      </c>
      <c r="DH101" s="476">
        <v>0</v>
      </c>
      <c r="DI101" s="476">
        <v>787</v>
      </c>
      <c r="DJ101" s="476">
        <v>0</v>
      </c>
      <c r="DK101" s="476">
        <v>539</v>
      </c>
      <c r="DL101" s="476">
        <v>0</v>
      </c>
      <c r="DM101" s="476">
        <v>1796491</v>
      </c>
      <c r="DN101" s="476">
        <v>4272</v>
      </c>
      <c r="DO101" s="476">
        <v>0</v>
      </c>
      <c r="DP101" s="476">
        <v>0</v>
      </c>
      <c r="DQ101" s="476">
        <v>0</v>
      </c>
      <c r="DR101" s="476">
        <v>0</v>
      </c>
      <c r="DS101" s="476">
        <v>0</v>
      </c>
      <c r="DT101" s="476">
        <v>0</v>
      </c>
      <c r="DU101" s="476">
        <v>0</v>
      </c>
      <c r="DV101" s="476">
        <v>0</v>
      </c>
      <c r="DW101" s="476">
        <v>0</v>
      </c>
      <c r="DX101" s="476">
        <v>0</v>
      </c>
      <c r="DY101" s="476">
        <v>0</v>
      </c>
      <c r="DZ101" s="476">
        <v>0</v>
      </c>
      <c r="EA101" s="476">
        <v>0</v>
      </c>
      <c r="EB101" s="476">
        <v>0</v>
      </c>
      <c r="EC101" s="476">
        <v>32.85</v>
      </c>
      <c r="ED101" s="476">
        <v>232704</v>
      </c>
      <c r="EE101" s="476">
        <v>0</v>
      </c>
      <c r="EF101" s="476">
        <v>0</v>
      </c>
      <c r="EG101" s="476">
        <v>0</v>
      </c>
      <c r="EH101" s="476">
        <v>705076</v>
      </c>
      <c r="EI101" s="476">
        <v>309028</v>
      </c>
      <c r="EJ101" s="476">
        <v>12.542</v>
      </c>
      <c r="EK101" s="476">
        <v>34.74</v>
      </c>
      <c r="EL101" s="476">
        <v>0</v>
      </c>
      <c r="EM101" s="476">
        <v>0.35600000000000004</v>
      </c>
      <c r="EN101" s="476">
        <v>1.8350000000000002</v>
      </c>
      <c r="EO101" s="476">
        <v>0</v>
      </c>
      <c r="EP101" s="476">
        <v>0</v>
      </c>
      <c r="EQ101" s="476">
        <v>49.472999999999999</v>
      </c>
      <c r="ER101" s="476">
        <v>0</v>
      </c>
      <c r="ES101" s="476">
        <v>114.46300000000001</v>
      </c>
      <c r="ET101" s="476">
        <v>0</v>
      </c>
      <c r="EU101" s="476">
        <v>0</v>
      </c>
      <c r="EV101" s="476">
        <v>0</v>
      </c>
      <c r="EW101" s="476">
        <v>0</v>
      </c>
      <c r="EX101" s="476">
        <v>0</v>
      </c>
      <c r="EY101" s="476">
        <v>0</v>
      </c>
      <c r="EZ101" s="476">
        <v>15162383</v>
      </c>
      <c r="FA101" s="476">
        <v>0</v>
      </c>
      <c r="FB101" s="476">
        <v>15774603</v>
      </c>
      <c r="FC101" s="476">
        <v>0</v>
      </c>
      <c r="FD101" s="476">
        <v>0</v>
      </c>
      <c r="FE101" s="476">
        <v>2020216</v>
      </c>
      <c r="FF101" s="476">
        <v>337391</v>
      </c>
      <c r="FG101" s="476">
        <v>6.3017999999999991E-2</v>
      </c>
      <c r="FH101" s="476">
        <v>2.6953999999999999E-2</v>
      </c>
      <c r="FI101" s="476">
        <v>0</v>
      </c>
      <c r="FJ101" s="476">
        <v>0</v>
      </c>
      <c r="FK101" s="476">
        <v>2540.0340000000001</v>
      </c>
      <c r="FL101" s="476">
        <v>18383142</v>
      </c>
      <c r="FM101" s="476">
        <v>0</v>
      </c>
      <c r="FN101" s="476">
        <v>0</v>
      </c>
      <c r="FO101" s="476">
        <v>61608</v>
      </c>
      <c r="FP101" s="476">
        <v>0</v>
      </c>
      <c r="FQ101" s="476">
        <v>61608</v>
      </c>
      <c r="FR101" s="476">
        <v>61608</v>
      </c>
      <c r="FS101" s="476">
        <v>0</v>
      </c>
      <c r="FT101" s="476">
        <v>0</v>
      </c>
      <c r="FU101" s="476">
        <v>0</v>
      </c>
      <c r="FV101" s="476">
        <v>0</v>
      </c>
      <c r="FW101" s="476">
        <v>0</v>
      </c>
      <c r="FX101" s="476">
        <v>0</v>
      </c>
      <c r="FY101" s="476">
        <v>0</v>
      </c>
      <c r="FZ101" s="476">
        <v>0</v>
      </c>
      <c r="GA101" s="476">
        <v>0</v>
      </c>
      <c r="GB101" s="476">
        <v>528330</v>
      </c>
      <c r="GC101" s="476">
        <v>528330</v>
      </c>
      <c r="GD101" s="476">
        <v>55.785000000000004</v>
      </c>
      <c r="GE101" s="476">
        <v>0</v>
      </c>
      <c r="GF101" s="476">
        <v>0</v>
      </c>
      <c r="GG101" s="476">
        <v>0</v>
      </c>
      <c r="GH101" s="476">
        <v>0</v>
      </c>
      <c r="GI101" s="476">
        <v>0</v>
      </c>
      <c r="GJ101" s="476">
        <v>0</v>
      </c>
      <c r="GK101" s="476">
        <v>0</v>
      </c>
      <c r="GL101" s="476">
        <v>0</v>
      </c>
      <c r="GM101" s="476">
        <v>0</v>
      </c>
      <c r="GN101" s="476">
        <v>0</v>
      </c>
      <c r="GO101" s="476">
        <v>0</v>
      </c>
      <c r="GP101" s="476">
        <v>0</v>
      </c>
      <c r="GQ101" s="476">
        <v>17515550</v>
      </c>
      <c r="GR101" s="476">
        <v>0</v>
      </c>
      <c r="GS101" s="476">
        <v>0</v>
      </c>
      <c r="GT101" s="476">
        <v>0</v>
      </c>
      <c r="GU101" s="476">
        <v>0</v>
      </c>
      <c r="GV101" s="476">
        <v>0</v>
      </c>
      <c r="GW101" s="476">
        <v>0</v>
      </c>
      <c r="GX101" s="476">
        <v>0</v>
      </c>
      <c r="GY101" s="476">
        <v>0</v>
      </c>
      <c r="GZ101" s="476">
        <v>0</v>
      </c>
      <c r="HA101" s="476">
        <v>0</v>
      </c>
      <c r="HB101" s="476">
        <v>323396213</v>
      </c>
      <c r="HC101" s="476">
        <v>4.2206E-2</v>
      </c>
      <c r="HD101" s="476">
        <v>250932</v>
      </c>
      <c r="HE101" s="476">
        <v>0</v>
      </c>
      <c r="HF101" s="476">
        <v>1521955</v>
      </c>
      <c r="HG101" s="476">
        <v>2464</v>
      </c>
      <c r="HH101" s="476">
        <v>561588</v>
      </c>
      <c r="HI101" s="476">
        <v>0</v>
      </c>
      <c r="HJ101" s="476">
        <v>14863</v>
      </c>
      <c r="HK101" s="476">
        <v>5245</v>
      </c>
      <c r="HL101" s="476">
        <v>773</v>
      </c>
      <c r="HM101" s="476">
        <v>2000</v>
      </c>
      <c r="HN101" s="476">
        <v>0</v>
      </c>
      <c r="HO101" s="476">
        <v>75000</v>
      </c>
      <c r="HP101" s="476">
        <v>46526</v>
      </c>
      <c r="HQ101" s="476">
        <v>0</v>
      </c>
      <c r="HR101" s="476">
        <v>0</v>
      </c>
      <c r="HS101" s="476">
        <v>15157943</v>
      </c>
      <c r="HT101" s="476">
        <v>337391</v>
      </c>
      <c r="HU101" s="476">
        <v>0</v>
      </c>
      <c r="HV101" s="476">
        <v>0</v>
      </c>
      <c r="HW101" s="476">
        <v>0</v>
      </c>
      <c r="HX101" s="476">
        <v>74</v>
      </c>
      <c r="HY101" s="476">
        <v>75</v>
      </c>
      <c r="HZ101" s="476">
        <v>110</v>
      </c>
      <c r="IA101" s="476">
        <v>296</v>
      </c>
      <c r="IB101" s="476">
        <v>944</v>
      </c>
      <c r="IC101" s="476">
        <v>1499</v>
      </c>
      <c r="ID101" s="476">
        <v>0</v>
      </c>
      <c r="IE101" s="476">
        <v>0</v>
      </c>
      <c r="IF101" s="476">
        <v>0</v>
      </c>
      <c r="IG101" s="476">
        <v>4</v>
      </c>
      <c r="IH101" s="476">
        <v>911.69</v>
      </c>
      <c r="II101" s="476">
        <v>169.184</v>
      </c>
      <c r="IJ101" s="476">
        <v>1135.3320000000001</v>
      </c>
      <c r="IK101" s="476">
        <v>67.765000000000001</v>
      </c>
      <c r="IL101" s="476">
        <v>0</v>
      </c>
      <c r="IM101" s="476">
        <v>0</v>
      </c>
      <c r="IN101" s="476">
        <v>1</v>
      </c>
      <c r="IO101" s="476">
        <v>1</v>
      </c>
      <c r="IP101" s="476">
        <v>236.94900000000001</v>
      </c>
      <c r="IQ101" s="476">
        <v>1135.3320000000001</v>
      </c>
      <c r="IR101" s="476">
        <v>699349</v>
      </c>
      <c r="IS101" s="476">
        <v>18635</v>
      </c>
      <c r="IT101" s="476">
        <v>0</v>
      </c>
      <c r="IU101" s="476">
        <v>0</v>
      </c>
      <c r="IV101" s="476">
        <v>2000</v>
      </c>
      <c r="IW101" s="476">
        <v>6160</v>
      </c>
      <c r="IX101" s="476">
        <v>0</v>
      </c>
      <c r="IY101" s="476">
        <v>0</v>
      </c>
      <c r="IZ101" s="476">
        <v>65161</v>
      </c>
      <c r="JA101" s="476">
        <v>0</v>
      </c>
      <c r="JB101" s="476">
        <v>0</v>
      </c>
      <c r="JC101" s="476">
        <v>0</v>
      </c>
      <c r="JD101" s="476">
        <v>0</v>
      </c>
      <c r="JE101" s="476">
        <v>0</v>
      </c>
      <c r="JF101" s="476">
        <v>0</v>
      </c>
      <c r="JG101" s="476">
        <v>0</v>
      </c>
      <c r="JH101" s="476">
        <v>0</v>
      </c>
      <c r="JI101" s="476">
        <v>0</v>
      </c>
      <c r="JJ101" s="476">
        <v>0</v>
      </c>
      <c r="JK101" s="476">
        <v>0</v>
      </c>
      <c r="JL101" s="476">
        <v>0</v>
      </c>
      <c r="JM101" s="476">
        <v>0</v>
      </c>
      <c r="JN101" s="476">
        <v>32469</v>
      </c>
      <c r="JO101" s="476">
        <v>3.6640000000000001</v>
      </c>
      <c r="JP101" s="476">
        <v>41.556000000000004</v>
      </c>
      <c r="JQ101" s="476">
        <v>10.565000000000001</v>
      </c>
      <c r="JR101" s="476">
        <v>29269</v>
      </c>
      <c r="JS101" s="476">
        <v>386278</v>
      </c>
      <c r="JT101" s="476">
        <v>112783</v>
      </c>
      <c r="JU101" s="476">
        <v>26734</v>
      </c>
      <c r="JV101" s="476">
        <v>0</v>
      </c>
      <c r="JW101" s="476">
        <v>0</v>
      </c>
      <c r="JX101" s="476">
        <v>0</v>
      </c>
      <c r="JY101" s="476">
        <v>0</v>
      </c>
      <c r="JZ101" s="476">
        <v>0</v>
      </c>
      <c r="KA101" s="476">
        <v>0</v>
      </c>
      <c r="KB101" s="476">
        <v>0</v>
      </c>
      <c r="KC101" s="476">
        <v>0</v>
      </c>
      <c r="KD101" s="476">
        <v>26734</v>
      </c>
      <c r="KE101" s="476">
        <v>7262</v>
      </c>
      <c r="KF101" s="476">
        <v>0</v>
      </c>
      <c r="KG101" s="476">
        <v>0</v>
      </c>
      <c r="KH101" s="476">
        <v>17515550</v>
      </c>
      <c r="KI101" s="476">
        <v>0</v>
      </c>
      <c r="KJ101" s="476">
        <v>3</v>
      </c>
      <c r="KK101" s="476">
        <v>1</v>
      </c>
      <c r="KL101" s="476">
        <v>1848</v>
      </c>
      <c r="KM101" s="476">
        <v>616</v>
      </c>
      <c r="KN101" s="476">
        <v>0</v>
      </c>
    </row>
    <row r="102" spans="1:300" x14ac:dyDescent="0.25">
      <c r="A102" s="476">
        <v>40976</v>
      </c>
      <c r="B102" s="476">
        <v>101840</v>
      </c>
      <c r="C102" s="476">
        <v>9</v>
      </c>
      <c r="D102" s="476">
        <v>2024</v>
      </c>
      <c r="E102" s="476">
        <v>6160</v>
      </c>
      <c r="F102" s="476">
        <v>0</v>
      </c>
      <c r="G102" s="476">
        <v>335.79700000000003</v>
      </c>
      <c r="H102" s="476">
        <v>324.98500000000001</v>
      </c>
      <c r="I102" s="476">
        <v>324.98500000000001</v>
      </c>
      <c r="J102" s="476">
        <v>335.79700000000003</v>
      </c>
      <c r="K102" s="476">
        <v>0</v>
      </c>
      <c r="L102" s="476">
        <v>6160</v>
      </c>
      <c r="M102" s="476">
        <v>0</v>
      </c>
      <c r="N102" s="476">
        <v>0</v>
      </c>
      <c r="O102" s="476">
        <v>0</v>
      </c>
      <c r="P102" s="476">
        <v>337.11700000000002</v>
      </c>
      <c r="Q102" s="476">
        <v>0</v>
      </c>
      <c r="R102" s="476">
        <v>139864</v>
      </c>
      <c r="S102" s="476">
        <v>414.88400000000001</v>
      </c>
      <c r="T102" s="476">
        <v>0</v>
      </c>
      <c r="U102" s="476">
        <v>0</v>
      </c>
      <c r="V102" s="476">
        <v>8.4530000000000012</v>
      </c>
      <c r="W102" s="476">
        <v>5207</v>
      </c>
      <c r="X102" s="476">
        <v>5207</v>
      </c>
      <c r="Y102" s="476">
        <v>0</v>
      </c>
      <c r="Z102" s="476">
        <v>0</v>
      </c>
      <c r="AA102" s="476">
        <v>0</v>
      </c>
      <c r="AB102" s="476">
        <v>0</v>
      </c>
      <c r="AC102" s="476">
        <v>0</v>
      </c>
      <c r="AD102" s="476" t="s">
        <v>314</v>
      </c>
      <c r="AE102" s="476">
        <v>0</v>
      </c>
      <c r="AF102" s="476">
        <v>0</v>
      </c>
      <c r="AG102" s="476">
        <v>0</v>
      </c>
      <c r="AH102" s="476">
        <v>0</v>
      </c>
      <c r="AI102" s="476">
        <v>0</v>
      </c>
      <c r="AJ102" s="476">
        <v>6160</v>
      </c>
      <c r="AK102" s="476" t="s">
        <v>651</v>
      </c>
      <c r="AL102" s="476" t="s">
        <v>29</v>
      </c>
      <c r="AM102" s="476">
        <v>0</v>
      </c>
      <c r="AN102" s="476">
        <v>0</v>
      </c>
      <c r="AO102" s="476">
        <v>0</v>
      </c>
      <c r="AP102" s="476">
        <v>0</v>
      </c>
      <c r="AQ102" s="476">
        <v>0</v>
      </c>
      <c r="AR102" s="476">
        <v>0</v>
      </c>
      <c r="AS102" s="476">
        <v>0</v>
      </c>
      <c r="AT102" s="476">
        <v>0</v>
      </c>
      <c r="AU102" s="476">
        <v>0</v>
      </c>
      <c r="AV102" s="476">
        <v>0</v>
      </c>
      <c r="AW102" s="476">
        <v>3869221</v>
      </c>
      <c r="AX102" s="476">
        <v>3813312</v>
      </c>
      <c r="AY102" s="476">
        <v>0</v>
      </c>
      <c r="AZ102" s="476">
        <v>139864</v>
      </c>
      <c r="BA102" s="476">
        <v>26.583000000000002</v>
      </c>
      <c r="BB102" s="476">
        <v>5115</v>
      </c>
      <c r="BC102" s="476">
        <v>5082</v>
      </c>
      <c r="BD102" s="476">
        <v>12</v>
      </c>
      <c r="BE102" s="476">
        <v>33</v>
      </c>
      <c r="BF102" s="476">
        <v>3435507</v>
      </c>
      <c r="BG102" s="476">
        <v>0</v>
      </c>
      <c r="BH102" s="476">
        <v>0</v>
      </c>
      <c r="BI102" s="476">
        <v>0</v>
      </c>
      <c r="BJ102" s="476">
        <v>12</v>
      </c>
      <c r="BK102" s="476">
        <v>0</v>
      </c>
      <c r="BL102" s="476">
        <v>0</v>
      </c>
      <c r="BM102" s="476">
        <v>0</v>
      </c>
      <c r="BN102" s="476">
        <v>0</v>
      </c>
      <c r="BO102" s="476">
        <v>0</v>
      </c>
      <c r="BP102" s="476">
        <v>0</v>
      </c>
      <c r="BQ102" s="476">
        <v>720</v>
      </c>
      <c r="BR102" s="476">
        <v>0</v>
      </c>
      <c r="BS102" s="476">
        <v>0</v>
      </c>
      <c r="BT102" s="476">
        <v>0</v>
      </c>
      <c r="BU102" s="476">
        <v>0</v>
      </c>
      <c r="BV102" s="476">
        <v>0</v>
      </c>
      <c r="BW102" s="476">
        <v>0</v>
      </c>
      <c r="BX102" s="476">
        <v>0</v>
      </c>
      <c r="BY102" s="476">
        <v>0</v>
      </c>
      <c r="BZ102" s="476">
        <v>0</v>
      </c>
      <c r="CA102" s="476">
        <v>0</v>
      </c>
      <c r="CB102" s="476">
        <v>0</v>
      </c>
      <c r="CC102" s="476">
        <v>0</v>
      </c>
      <c r="CD102" s="476">
        <v>0</v>
      </c>
      <c r="CE102" s="476">
        <v>0</v>
      </c>
      <c r="CF102" s="476">
        <v>0</v>
      </c>
      <c r="CG102" s="476">
        <v>0</v>
      </c>
      <c r="CH102" s="476">
        <v>56691</v>
      </c>
      <c r="CI102" s="476">
        <v>0</v>
      </c>
      <c r="CJ102" s="476">
        <v>4</v>
      </c>
      <c r="CK102" s="476">
        <v>0</v>
      </c>
      <c r="CL102" s="476">
        <v>0</v>
      </c>
      <c r="CM102" s="476">
        <v>0</v>
      </c>
      <c r="CN102" s="476">
        <v>0</v>
      </c>
      <c r="CO102" s="476">
        <v>1</v>
      </c>
      <c r="CP102" s="476">
        <v>0</v>
      </c>
      <c r="CQ102" s="476">
        <v>0</v>
      </c>
      <c r="CR102" s="476">
        <v>335.79700000000003</v>
      </c>
      <c r="CS102" s="476">
        <v>0</v>
      </c>
      <c r="CT102" s="476">
        <v>0</v>
      </c>
      <c r="CU102" s="476">
        <v>0</v>
      </c>
      <c r="CV102" s="476">
        <v>0</v>
      </c>
      <c r="CW102" s="476">
        <v>0</v>
      </c>
      <c r="CX102" s="476">
        <v>0</v>
      </c>
      <c r="CY102" s="476">
        <v>0</v>
      </c>
      <c r="CZ102" s="476">
        <v>0</v>
      </c>
      <c r="DA102" s="476">
        <v>0</v>
      </c>
      <c r="DB102" s="476">
        <v>2001862</v>
      </c>
      <c r="DC102" s="476">
        <v>0</v>
      </c>
      <c r="DD102" s="476">
        <v>0</v>
      </c>
      <c r="DE102" s="476">
        <v>724015</v>
      </c>
      <c r="DF102" s="476">
        <v>724015</v>
      </c>
      <c r="DG102" s="476">
        <v>117.53800000000001</v>
      </c>
      <c r="DH102" s="476">
        <v>0</v>
      </c>
      <c r="DI102" s="476">
        <v>0</v>
      </c>
      <c r="DJ102" s="476">
        <v>0</v>
      </c>
      <c r="DK102" s="476">
        <v>3142</v>
      </c>
      <c r="DL102" s="476">
        <v>0</v>
      </c>
      <c r="DM102" s="476">
        <v>217875</v>
      </c>
      <c r="DN102" s="476">
        <v>749</v>
      </c>
      <c r="DO102" s="476">
        <v>0</v>
      </c>
      <c r="DP102" s="476">
        <v>0</v>
      </c>
      <c r="DQ102" s="476">
        <v>0</v>
      </c>
      <c r="DR102" s="476">
        <v>0</v>
      </c>
      <c r="DS102" s="476">
        <v>0</v>
      </c>
      <c r="DT102" s="476">
        <v>0</v>
      </c>
      <c r="DU102" s="476">
        <v>0</v>
      </c>
      <c r="DV102" s="476">
        <v>0</v>
      </c>
      <c r="DW102" s="476">
        <v>0</v>
      </c>
      <c r="DX102" s="476">
        <v>0</v>
      </c>
      <c r="DY102" s="476">
        <v>0</v>
      </c>
      <c r="DZ102" s="476">
        <v>0</v>
      </c>
      <c r="EA102" s="476">
        <v>0</v>
      </c>
      <c r="EB102" s="476">
        <v>0</v>
      </c>
      <c r="EC102" s="476">
        <v>1.645</v>
      </c>
      <c r="ED102" s="476">
        <v>11653</v>
      </c>
      <c r="EE102" s="476">
        <v>0</v>
      </c>
      <c r="EF102" s="476">
        <v>0</v>
      </c>
      <c r="EG102" s="476">
        <v>0</v>
      </c>
      <c r="EH102" s="476">
        <v>206971</v>
      </c>
      <c r="EI102" s="476">
        <v>0</v>
      </c>
      <c r="EJ102" s="476">
        <v>0</v>
      </c>
      <c r="EK102" s="476">
        <v>10.23</v>
      </c>
      <c r="EL102" s="476">
        <v>0</v>
      </c>
      <c r="EM102" s="476">
        <v>0</v>
      </c>
      <c r="EN102" s="476">
        <v>0.58200000000000007</v>
      </c>
      <c r="EO102" s="476">
        <v>0</v>
      </c>
      <c r="EP102" s="476">
        <v>0</v>
      </c>
      <c r="EQ102" s="476">
        <v>10.812000000000001</v>
      </c>
      <c r="ER102" s="476">
        <v>0</v>
      </c>
      <c r="ES102" s="476">
        <v>33.6</v>
      </c>
      <c r="ET102" s="476">
        <v>0</v>
      </c>
      <c r="EU102" s="476">
        <v>0</v>
      </c>
      <c r="EV102" s="476">
        <v>0</v>
      </c>
      <c r="EW102" s="476">
        <v>0</v>
      </c>
      <c r="EX102" s="476">
        <v>0</v>
      </c>
      <c r="EY102" s="476">
        <v>0</v>
      </c>
      <c r="EZ102" s="476">
        <v>3295643</v>
      </c>
      <c r="FA102" s="476">
        <v>0</v>
      </c>
      <c r="FB102" s="476">
        <v>3434725</v>
      </c>
      <c r="FC102" s="476">
        <v>0</v>
      </c>
      <c r="FD102" s="476">
        <v>0</v>
      </c>
      <c r="FE102" s="476">
        <v>443587</v>
      </c>
      <c r="FF102" s="476">
        <v>74082</v>
      </c>
      <c r="FG102" s="476">
        <v>6.3017999999999991E-2</v>
      </c>
      <c r="FH102" s="476">
        <v>2.6953999999999999E-2</v>
      </c>
      <c r="FI102" s="476">
        <v>0</v>
      </c>
      <c r="FJ102" s="476">
        <v>0</v>
      </c>
      <c r="FK102" s="476">
        <v>557.72500000000002</v>
      </c>
      <c r="FL102" s="476">
        <v>4009085</v>
      </c>
      <c r="FM102" s="476">
        <v>0</v>
      </c>
      <c r="FN102" s="476">
        <v>0</v>
      </c>
      <c r="FO102" s="476">
        <v>0</v>
      </c>
      <c r="FP102" s="476">
        <v>0</v>
      </c>
      <c r="FQ102" s="476">
        <v>0</v>
      </c>
      <c r="FR102" s="476">
        <v>0</v>
      </c>
      <c r="FS102" s="476">
        <v>0</v>
      </c>
      <c r="FT102" s="476">
        <v>0</v>
      </c>
      <c r="FU102" s="476">
        <v>0</v>
      </c>
      <c r="FV102" s="476">
        <v>0</v>
      </c>
      <c r="FW102" s="476">
        <v>0</v>
      </c>
      <c r="FX102" s="476">
        <v>0</v>
      </c>
      <c r="FY102" s="476">
        <v>0</v>
      </c>
      <c r="FZ102" s="476">
        <v>0</v>
      </c>
      <c r="GA102" s="476">
        <v>0</v>
      </c>
      <c r="GB102" s="476">
        <v>0</v>
      </c>
      <c r="GC102" s="476">
        <v>0</v>
      </c>
      <c r="GD102" s="476">
        <v>0</v>
      </c>
      <c r="GE102" s="476">
        <v>0</v>
      </c>
      <c r="GF102" s="476">
        <v>0</v>
      </c>
      <c r="GG102" s="476">
        <v>0</v>
      </c>
      <c r="GH102" s="476">
        <v>0</v>
      </c>
      <c r="GI102" s="476">
        <v>0</v>
      </c>
      <c r="GJ102" s="476">
        <v>0</v>
      </c>
      <c r="GK102" s="476">
        <v>0</v>
      </c>
      <c r="GL102" s="476">
        <v>0</v>
      </c>
      <c r="GM102" s="476">
        <v>0</v>
      </c>
      <c r="GN102" s="476">
        <v>0</v>
      </c>
      <c r="GO102" s="476">
        <v>0</v>
      </c>
      <c r="GP102" s="476">
        <v>0</v>
      </c>
      <c r="GQ102" s="476">
        <v>3812530</v>
      </c>
      <c r="GR102" s="476">
        <v>0</v>
      </c>
      <c r="GS102" s="476">
        <v>0</v>
      </c>
      <c r="GT102" s="476">
        <v>0</v>
      </c>
      <c r="GU102" s="476">
        <v>0</v>
      </c>
      <c r="GV102" s="476">
        <v>0</v>
      </c>
      <c r="GW102" s="476">
        <v>0</v>
      </c>
      <c r="GX102" s="476">
        <v>0</v>
      </c>
      <c r="GY102" s="476">
        <v>0</v>
      </c>
      <c r="GZ102" s="476">
        <v>0</v>
      </c>
      <c r="HA102" s="476">
        <v>0</v>
      </c>
      <c r="HB102" s="476">
        <v>323396213</v>
      </c>
      <c r="HC102" s="476">
        <v>4.2206E-2</v>
      </c>
      <c r="HD102" s="476">
        <v>56691</v>
      </c>
      <c r="HE102" s="476">
        <v>0</v>
      </c>
      <c r="HF102" s="476">
        <v>358133</v>
      </c>
      <c r="HG102" s="476">
        <v>0</v>
      </c>
      <c r="HH102" s="476">
        <v>119193</v>
      </c>
      <c r="HI102" s="476">
        <v>0</v>
      </c>
      <c r="HJ102" s="476">
        <v>3358</v>
      </c>
      <c r="HK102" s="476">
        <v>0</v>
      </c>
      <c r="HL102" s="476">
        <v>0</v>
      </c>
      <c r="HM102" s="476">
        <v>0</v>
      </c>
      <c r="HN102" s="476">
        <v>0</v>
      </c>
      <c r="HO102" s="476">
        <v>0</v>
      </c>
      <c r="HP102" s="476">
        <v>0</v>
      </c>
      <c r="HQ102" s="476">
        <v>0</v>
      </c>
      <c r="HR102" s="476">
        <v>0</v>
      </c>
      <c r="HS102" s="476">
        <v>3294861</v>
      </c>
      <c r="HT102" s="476">
        <v>74082</v>
      </c>
      <c r="HU102" s="476">
        <v>0</v>
      </c>
      <c r="HV102" s="476">
        <v>0</v>
      </c>
      <c r="HW102" s="476">
        <v>0</v>
      </c>
      <c r="HX102" s="476">
        <v>41</v>
      </c>
      <c r="HY102" s="476">
        <v>65</v>
      </c>
      <c r="HZ102" s="476">
        <v>75</v>
      </c>
      <c r="IA102" s="476">
        <v>120</v>
      </c>
      <c r="IB102" s="476">
        <v>155</v>
      </c>
      <c r="IC102" s="476">
        <v>456</v>
      </c>
      <c r="ID102" s="476">
        <v>0</v>
      </c>
      <c r="IE102" s="476">
        <v>0</v>
      </c>
      <c r="IF102" s="476">
        <v>0</v>
      </c>
      <c r="IG102" s="476">
        <v>0</v>
      </c>
      <c r="IH102" s="476">
        <v>193.5</v>
      </c>
      <c r="II102" s="476">
        <v>0</v>
      </c>
      <c r="IJ102" s="476">
        <v>8.4530000000000012</v>
      </c>
      <c r="IK102" s="476">
        <v>0</v>
      </c>
      <c r="IL102" s="476">
        <v>0</v>
      </c>
      <c r="IM102" s="476">
        <v>0</v>
      </c>
      <c r="IN102" s="476">
        <v>0</v>
      </c>
      <c r="IO102" s="476">
        <v>0</v>
      </c>
      <c r="IP102" s="476">
        <v>0</v>
      </c>
      <c r="IQ102" s="476">
        <v>8.4530000000000012</v>
      </c>
      <c r="IR102" s="476">
        <v>5207</v>
      </c>
      <c r="IS102" s="476">
        <v>0</v>
      </c>
      <c r="IT102" s="476">
        <v>0</v>
      </c>
      <c r="IU102" s="476">
        <v>0</v>
      </c>
      <c r="IV102" s="476">
        <v>0</v>
      </c>
      <c r="IW102" s="476">
        <v>6160</v>
      </c>
      <c r="IX102" s="476">
        <v>0</v>
      </c>
      <c r="IY102" s="476">
        <v>0</v>
      </c>
      <c r="IZ102" s="476">
        <v>0</v>
      </c>
      <c r="JA102" s="476">
        <v>0</v>
      </c>
      <c r="JB102" s="476">
        <v>0</v>
      </c>
      <c r="JC102" s="476">
        <v>0</v>
      </c>
      <c r="JD102" s="476">
        <v>0</v>
      </c>
      <c r="JE102" s="476">
        <v>0</v>
      </c>
      <c r="JF102" s="476">
        <v>0</v>
      </c>
      <c r="JG102" s="476">
        <v>0</v>
      </c>
      <c r="JH102" s="476">
        <v>0</v>
      </c>
      <c r="JI102" s="476">
        <v>0</v>
      </c>
      <c r="JJ102" s="476">
        <v>0</v>
      </c>
      <c r="JK102" s="476">
        <v>0</v>
      </c>
      <c r="JL102" s="476">
        <v>0</v>
      </c>
      <c r="JM102" s="476">
        <v>0</v>
      </c>
      <c r="JN102" s="476">
        <v>32469</v>
      </c>
      <c r="JO102" s="476">
        <v>0</v>
      </c>
      <c r="JP102" s="476">
        <v>0</v>
      </c>
      <c r="JQ102" s="476">
        <v>0</v>
      </c>
      <c r="JR102" s="476">
        <v>0</v>
      </c>
      <c r="JS102" s="476">
        <v>0</v>
      </c>
      <c r="JT102" s="476">
        <v>0</v>
      </c>
      <c r="JU102" s="476">
        <v>5174</v>
      </c>
      <c r="JV102" s="476">
        <v>0</v>
      </c>
      <c r="JW102" s="476">
        <v>0</v>
      </c>
      <c r="JX102" s="476">
        <v>0</v>
      </c>
      <c r="JY102" s="476">
        <v>0</v>
      </c>
      <c r="JZ102" s="476">
        <v>0</v>
      </c>
      <c r="KA102" s="476">
        <v>0</v>
      </c>
      <c r="KB102" s="476">
        <v>0</v>
      </c>
      <c r="KC102" s="476">
        <v>0</v>
      </c>
      <c r="KD102" s="476">
        <v>5174</v>
      </c>
      <c r="KE102" s="476">
        <v>7262</v>
      </c>
      <c r="KF102" s="476">
        <v>0</v>
      </c>
      <c r="KG102" s="476">
        <v>0</v>
      </c>
      <c r="KH102" s="476">
        <v>3812530</v>
      </c>
      <c r="KI102" s="476">
        <v>0</v>
      </c>
      <c r="KJ102" s="476">
        <v>0</v>
      </c>
      <c r="KK102" s="476">
        <v>0</v>
      </c>
      <c r="KL102" s="476">
        <v>0</v>
      </c>
      <c r="KM102" s="476">
        <v>0</v>
      </c>
      <c r="KN102" s="476">
        <v>0</v>
      </c>
    </row>
    <row r="103" spans="1:300" x14ac:dyDescent="0.25">
      <c r="A103" s="476">
        <v>40976</v>
      </c>
      <c r="B103" s="476">
        <v>101842</v>
      </c>
      <c r="C103" s="476">
        <v>9</v>
      </c>
      <c r="D103" s="476">
        <v>2024</v>
      </c>
      <c r="E103" s="476">
        <v>6160</v>
      </c>
      <c r="F103" s="476">
        <v>0</v>
      </c>
      <c r="G103" s="476">
        <v>48.893000000000001</v>
      </c>
      <c r="H103" s="476">
        <v>32.859000000000002</v>
      </c>
      <c r="I103" s="476">
        <v>32.859000000000002</v>
      </c>
      <c r="J103" s="476">
        <v>48.893000000000001</v>
      </c>
      <c r="K103" s="476">
        <v>0</v>
      </c>
      <c r="L103" s="476">
        <v>6160</v>
      </c>
      <c r="M103" s="476">
        <v>0</v>
      </c>
      <c r="N103" s="476">
        <v>0</v>
      </c>
      <c r="O103" s="476">
        <v>0</v>
      </c>
      <c r="P103" s="476">
        <v>48.893000000000001</v>
      </c>
      <c r="Q103" s="476">
        <v>0</v>
      </c>
      <c r="R103" s="476">
        <v>20285</v>
      </c>
      <c r="S103" s="476">
        <v>414.88400000000001</v>
      </c>
      <c r="T103" s="476">
        <v>0</v>
      </c>
      <c r="U103" s="476">
        <v>0</v>
      </c>
      <c r="V103" s="476">
        <v>18.708000000000002</v>
      </c>
      <c r="W103" s="476">
        <v>11524</v>
      </c>
      <c r="X103" s="476">
        <v>11524</v>
      </c>
      <c r="Y103" s="476">
        <v>0</v>
      </c>
      <c r="Z103" s="476">
        <v>0</v>
      </c>
      <c r="AA103" s="476">
        <v>0</v>
      </c>
      <c r="AB103" s="476">
        <v>0</v>
      </c>
      <c r="AC103" s="476">
        <v>0</v>
      </c>
      <c r="AD103" s="476" t="s">
        <v>314</v>
      </c>
      <c r="AE103" s="476">
        <v>0</v>
      </c>
      <c r="AF103" s="476">
        <v>0</v>
      </c>
      <c r="AG103" s="476">
        <v>0</v>
      </c>
      <c r="AH103" s="476">
        <v>0</v>
      </c>
      <c r="AI103" s="476">
        <v>0</v>
      </c>
      <c r="AJ103" s="476">
        <v>6160</v>
      </c>
      <c r="AK103" s="476" t="s">
        <v>651</v>
      </c>
      <c r="AL103" s="476" t="s">
        <v>30</v>
      </c>
      <c r="AM103" s="476">
        <v>0</v>
      </c>
      <c r="AN103" s="476">
        <v>0</v>
      </c>
      <c r="AO103" s="476">
        <v>0</v>
      </c>
      <c r="AP103" s="476">
        <v>0</v>
      </c>
      <c r="AQ103" s="476">
        <v>0</v>
      </c>
      <c r="AR103" s="476">
        <v>0</v>
      </c>
      <c r="AS103" s="476">
        <v>0</v>
      </c>
      <c r="AT103" s="476">
        <v>0</v>
      </c>
      <c r="AU103" s="476">
        <v>0</v>
      </c>
      <c r="AV103" s="476">
        <v>0</v>
      </c>
      <c r="AW103" s="476">
        <v>536934</v>
      </c>
      <c r="AX103" s="476">
        <v>528762</v>
      </c>
      <c r="AY103" s="476">
        <v>0</v>
      </c>
      <c r="AZ103" s="476">
        <v>20285</v>
      </c>
      <c r="BA103" s="476">
        <v>3.8330000000000002</v>
      </c>
      <c r="BB103" s="476">
        <v>0</v>
      </c>
      <c r="BC103" s="476">
        <v>0</v>
      </c>
      <c r="BD103" s="476">
        <v>0</v>
      </c>
      <c r="BE103" s="476">
        <v>0</v>
      </c>
      <c r="BF103" s="476">
        <v>476596</v>
      </c>
      <c r="BG103" s="476">
        <v>0</v>
      </c>
      <c r="BH103" s="476">
        <v>0</v>
      </c>
      <c r="BI103" s="476">
        <v>0</v>
      </c>
      <c r="BJ103" s="476">
        <v>12</v>
      </c>
      <c r="BK103" s="476">
        <v>0</v>
      </c>
      <c r="BL103" s="476">
        <v>0</v>
      </c>
      <c r="BM103" s="476">
        <v>0</v>
      </c>
      <c r="BN103" s="476">
        <v>0</v>
      </c>
      <c r="BO103" s="476">
        <v>0</v>
      </c>
      <c r="BP103" s="476">
        <v>0</v>
      </c>
      <c r="BQ103" s="476">
        <v>765</v>
      </c>
      <c r="BR103" s="476">
        <v>0</v>
      </c>
      <c r="BS103" s="476">
        <v>0</v>
      </c>
      <c r="BT103" s="476">
        <v>0</v>
      </c>
      <c r="BU103" s="476">
        <v>0</v>
      </c>
      <c r="BV103" s="476">
        <v>0</v>
      </c>
      <c r="BW103" s="476">
        <v>0</v>
      </c>
      <c r="BX103" s="476">
        <v>0</v>
      </c>
      <c r="BY103" s="476">
        <v>0</v>
      </c>
      <c r="BZ103" s="476">
        <v>0</v>
      </c>
      <c r="CA103" s="476">
        <v>0</v>
      </c>
      <c r="CB103" s="476">
        <v>0</v>
      </c>
      <c r="CC103" s="476">
        <v>0</v>
      </c>
      <c r="CD103" s="476">
        <v>0</v>
      </c>
      <c r="CE103" s="476">
        <v>0</v>
      </c>
      <c r="CF103" s="476">
        <v>0</v>
      </c>
      <c r="CG103" s="476">
        <v>0</v>
      </c>
      <c r="CH103" s="476">
        <v>8254</v>
      </c>
      <c r="CI103" s="476">
        <v>0</v>
      </c>
      <c r="CJ103" s="476">
        <v>4</v>
      </c>
      <c r="CK103" s="476">
        <v>0</v>
      </c>
      <c r="CL103" s="476">
        <v>0</v>
      </c>
      <c r="CM103" s="476">
        <v>0</v>
      </c>
      <c r="CN103" s="476">
        <v>0</v>
      </c>
      <c r="CO103" s="476">
        <v>1</v>
      </c>
      <c r="CP103" s="476">
        <v>0</v>
      </c>
      <c r="CQ103" s="476">
        <v>8.3000000000000004E-2</v>
      </c>
      <c r="CR103" s="476">
        <v>48.893000000000001</v>
      </c>
      <c r="CS103" s="476">
        <v>0</v>
      </c>
      <c r="CT103" s="476">
        <v>0</v>
      </c>
      <c r="CU103" s="476">
        <v>0</v>
      </c>
      <c r="CV103" s="476">
        <v>0</v>
      </c>
      <c r="CW103" s="476">
        <v>0</v>
      </c>
      <c r="CX103" s="476">
        <v>0</v>
      </c>
      <c r="CY103" s="476">
        <v>0</v>
      </c>
      <c r="CZ103" s="476">
        <v>0</v>
      </c>
      <c r="DA103" s="476">
        <v>0</v>
      </c>
      <c r="DB103" s="476">
        <v>202176</v>
      </c>
      <c r="DC103" s="476">
        <v>0</v>
      </c>
      <c r="DD103" s="476">
        <v>0</v>
      </c>
      <c r="DE103" s="476">
        <v>49664</v>
      </c>
      <c r="DF103" s="476">
        <v>49664</v>
      </c>
      <c r="DG103" s="476">
        <v>8.0630000000000006</v>
      </c>
      <c r="DH103" s="476">
        <v>0</v>
      </c>
      <c r="DI103" s="476">
        <v>0</v>
      </c>
      <c r="DJ103" s="476">
        <v>0</v>
      </c>
      <c r="DK103" s="476">
        <v>3861</v>
      </c>
      <c r="DL103" s="476">
        <v>0</v>
      </c>
      <c r="DM103" s="476">
        <v>24163</v>
      </c>
      <c r="DN103" s="476">
        <v>82</v>
      </c>
      <c r="DO103" s="476">
        <v>0</v>
      </c>
      <c r="DP103" s="476">
        <v>0</v>
      </c>
      <c r="DQ103" s="476">
        <v>0</v>
      </c>
      <c r="DR103" s="476">
        <v>0</v>
      </c>
      <c r="DS103" s="476">
        <v>0</v>
      </c>
      <c r="DT103" s="476">
        <v>0</v>
      </c>
      <c r="DU103" s="476">
        <v>0</v>
      </c>
      <c r="DV103" s="476">
        <v>0</v>
      </c>
      <c r="DW103" s="476">
        <v>0</v>
      </c>
      <c r="DX103" s="476">
        <v>0</v>
      </c>
      <c r="DY103" s="476">
        <v>0</v>
      </c>
      <c r="DZ103" s="476">
        <v>0</v>
      </c>
      <c r="EA103" s="476">
        <v>0</v>
      </c>
      <c r="EB103" s="476">
        <v>0</v>
      </c>
      <c r="EC103" s="476">
        <v>3.39</v>
      </c>
      <c r="ED103" s="476">
        <v>24014</v>
      </c>
      <c r="EE103" s="476">
        <v>0</v>
      </c>
      <c r="EF103" s="476">
        <v>0</v>
      </c>
      <c r="EG103" s="476">
        <v>0</v>
      </c>
      <c r="EH103" s="476">
        <v>0</v>
      </c>
      <c r="EI103" s="476">
        <v>0</v>
      </c>
      <c r="EJ103" s="476">
        <v>0</v>
      </c>
      <c r="EK103" s="476">
        <v>0</v>
      </c>
      <c r="EL103" s="476">
        <v>0</v>
      </c>
      <c r="EM103" s="476">
        <v>0</v>
      </c>
      <c r="EN103" s="476">
        <v>0</v>
      </c>
      <c r="EO103" s="476">
        <v>0</v>
      </c>
      <c r="EP103" s="476">
        <v>0</v>
      </c>
      <c r="EQ103" s="476">
        <v>0</v>
      </c>
      <c r="ER103" s="476">
        <v>0</v>
      </c>
      <c r="ES103" s="476">
        <v>0</v>
      </c>
      <c r="ET103" s="476">
        <v>0</v>
      </c>
      <c r="EU103" s="476">
        <v>0</v>
      </c>
      <c r="EV103" s="476">
        <v>0</v>
      </c>
      <c r="EW103" s="476">
        <v>0</v>
      </c>
      <c r="EX103" s="476">
        <v>0</v>
      </c>
      <c r="EY103" s="476">
        <v>0</v>
      </c>
      <c r="EZ103" s="476">
        <v>456948</v>
      </c>
      <c r="FA103" s="476">
        <v>0</v>
      </c>
      <c r="FB103" s="476">
        <v>477151</v>
      </c>
      <c r="FC103" s="476">
        <v>0</v>
      </c>
      <c r="FD103" s="476">
        <v>0</v>
      </c>
      <c r="FE103" s="476">
        <v>61537</v>
      </c>
      <c r="FF103" s="476">
        <v>10277</v>
      </c>
      <c r="FG103" s="476">
        <v>6.3017999999999991E-2</v>
      </c>
      <c r="FH103" s="476">
        <v>2.6953999999999999E-2</v>
      </c>
      <c r="FI103" s="476">
        <v>0</v>
      </c>
      <c r="FJ103" s="476">
        <v>0</v>
      </c>
      <c r="FK103" s="476">
        <v>77.371000000000009</v>
      </c>
      <c r="FL103" s="476">
        <v>557219</v>
      </c>
      <c r="FM103" s="476">
        <v>0</v>
      </c>
      <c r="FN103" s="476">
        <v>0</v>
      </c>
      <c r="FO103" s="476">
        <v>0</v>
      </c>
      <c r="FP103" s="476">
        <v>0</v>
      </c>
      <c r="FQ103" s="476">
        <v>0</v>
      </c>
      <c r="FR103" s="476">
        <v>0</v>
      </c>
      <c r="FS103" s="476">
        <v>0</v>
      </c>
      <c r="FT103" s="476">
        <v>0</v>
      </c>
      <c r="FU103" s="476">
        <v>0</v>
      </c>
      <c r="FV103" s="476">
        <v>0</v>
      </c>
      <c r="FW103" s="476">
        <v>0</v>
      </c>
      <c r="FX103" s="476">
        <v>0</v>
      </c>
      <c r="FY103" s="476">
        <v>0</v>
      </c>
      <c r="FZ103" s="476">
        <v>0</v>
      </c>
      <c r="GA103" s="476">
        <v>0</v>
      </c>
      <c r="GB103" s="476">
        <v>148672</v>
      </c>
      <c r="GC103" s="476">
        <v>148672</v>
      </c>
      <c r="GD103" s="476">
        <v>16.034000000000002</v>
      </c>
      <c r="GE103" s="476">
        <v>0</v>
      </c>
      <c r="GF103" s="476">
        <v>0</v>
      </c>
      <c r="GG103" s="476">
        <v>0</v>
      </c>
      <c r="GH103" s="476">
        <v>0</v>
      </c>
      <c r="GI103" s="476">
        <v>0</v>
      </c>
      <c r="GJ103" s="476">
        <v>0</v>
      </c>
      <c r="GK103" s="476">
        <v>0</v>
      </c>
      <c r="GL103" s="476">
        <v>0</v>
      </c>
      <c r="GM103" s="476">
        <v>0</v>
      </c>
      <c r="GN103" s="476">
        <v>0</v>
      </c>
      <c r="GO103" s="476">
        <v>0</v>
      </c>
      <c r="GP103" s="476">
        <v>0</v>
      </c>
      <c r="GQ103" s="476">
        <v>528680</v>
      </c>
      <c r="GR103" s="476">
        <v>0</v>
      </c>
      <c r="GS103" s="476">
        <v>0</v>
      </c>
      <c r="GT103" s="476">
        <v>0</v>
      </c>
      <c r="GU103" s="476">
        <v>0</v>
      </c>
      <c r="GV103" s="476">
        <v>0</v>
      </c>
      <c r="GW103" s="476">
        <v>0</v>
      </c>
      <c r="GX103" s="476">
        <v>0</v>
      </c>
      <c r="GY103" s="476">
        <v>0</v>
      </c>
      <c r="GZ103" s="476">
        <v>0</v>
      </c>
      <c r="HA103" s="476">
        <v>0</v>
      </c>
      <c r="HB103" s="476">
        <v>323396213</v>
      </c>
      <c r="HC103" s="476">
        <v>4.2206E-2</v>
      </c>
      <c r="HD103" s="476">
        <v>8254</v>
      </c>
      <c r="HE103" s="476">
        <v>0</v>
      </c>
      <c r="HF103" s="476">
        <v>36211</v>
      </c>
      <c r="HG103" s="476">
        <v>1232</v>
      </c>
      <c r="HH103" s="476">
        <v>2383</v>
      </c>
      <c r="HI103" s="476">
        <v>0</v>
      </c>
      <c r="HJ103" s="476">
        <v>489</v>
      </c>
      <c r="HK103" s="476">
        <v>463</v>
      </c>
      <c r="HL103" s="476">
        <v>174</v>
      </c>
      <c r="HM103" s="476">
        <v>0</v>
      </c>
      <c r="HN103" s="476">
        <v>0</v>
      </c>
      <c r="HO103" s="476">
        <v>0</v>
      </c>
      <c r="HP103" s="476">
        <v>0</v>
      </c>
      <c r="HQ103" s="476">
        <v>0</v>
      </c>
      <c r="HR103" s="476">
        <v>0</v>
      </c>
      <c r="HS103" s="476">
        <v>456866</v>
      </c>
      <c r="HT103" s="476">
        <v>10277</v>
      </c>
      <c r="HU103" s="476">
        <v>0</v>
      </c>
      <c r="HV103" s="476">
        <v>0</v>
      </c>
      <c r="HW103" s="476">
        <v>0</v>
      </c>
      <c r="HX103" s="476">
        <v>19</v>
      </c>
      <c r="HY103" s="476">
        <v>7</v>
      </c>
      <c r="HZ103" s="476">
        <v>0</v>
      </c>
      <c r="IA103" s="476">
        <v>6</v>
      </c>
      <c r="IB103" s="476">
        <v>2</v>
      </c>
      <c r="IC103" s="476">
        <v>34</v>
      </c>
      <c r="ID103" s="476">
        <v>0</v>
      </c>
      <c r="IE103" s="476">
        <v>0</v>
      </c>
      <c r="IF103" s="476">
        <v>0</v>
      </c>
      <c r="IG103" s="476">
        <v>2</v>
      </c>
      <c r="IH103" s="476">
        <v>3.8680000000000003</v>
      </c>
      <c r="II103" s="476">
        <v>0</v>
      </c>
      <c r="IJ103" s="476">
        <v>18.708000000000002</v>
      </c>
      <c r="IK103" s="476">
        <v>0</v>
      </c>
      <c r="IL103" s="476">
        <v>0</v>
      </c>
      <c r="IM103" s="476">
        <v>0</v>
      </c>
      <c r="IN103" s="476">
        <v>0</v>
      </c>
      <c r="IO103" s="476">
        <v>0</v>
      </c>
      <c r="IP103" s="476">
        <v>0</v>
      </c>
      <c r="IQ103" s="476">
        <v>18.708000000000002</v>
      </c>
      <c r="IR103" s="476">
        <v>11524</v>
      </c>
      <c r="IS103" s="476">
        <v>0</v>
      </c>
      <c r="IT103" s="476">
        <v>0</v>
      </c>
      <c r="IU103" s="476">
        <v>0</v>
      </c>
      <c r="IV103" s="476">
        <v>0</v>
      </c>
      <c r="IW103" s="476">
        <v>6160</v>
      </c>
      <c r="IX103" s="476">
        <v>0</v>
      </c>
      <c r="IY103" s="476">
        <v>0</v>
      </c>
      <c r="IZ103" s="476">
        <v>0</v>
      </c>
      <c r="JA103" s="476">
        <v>0</v>
      </c>
      <c r="JB103" s="476">
        <v>0</v>
      </c>
      <c r="JC103" s="476">
        <v>0</v>
      </c>
      <c r="JD103" s="476">
        <v>0</v>
      </c>
      <c r="JE103" s="476">
        <v>0</v>
      </c>
      <c r="JF103" s="476">
        <v>0</v>
      </c>
      <c r="JG103" s="476">
        <v>0</v>
      </c>
      <c r="JH103" s="476">
        <v>0</v>
      </c>
      <c r="JI103" s="476">
        <v>0</v>
      </c>
      <c r="JJ103" s="476">
        <v>0</v>
      </c>
      <c r="JK103" s="476">
        <v>0</v>
      </c>
      <c r="JL103" s="476">
        <v>0</v>
      </c>
      <c r="JM103" s="476">
        <v>0</v>
      </c>
      <c r="JN103" s="476">
        <v>32469</v>
      </c>
      <c r="JO103" s="476">
        <v>2.9040000000000004</v>
      </c>
      <c r="JP103" s="476">
        <v>10.647</v>
      </c>
      <c r="JQ103" s="476">
        <v>2.4830000000000001</v>
      </c>
      <c r="JR103" s="476">
        <v>23198</v>
      </c>
      <c r="JS103" s="476">
        <v>98968</v>
      </c>
      <c r="JT103" s="476">
        <v>26506</v>
      </c>
      <c r="JU103" s="476">
        <v>0</v>
      </c>
      <c r="JV103" s="476">
        <v>0</v>
      </c>
      <c r="JW103" s="476">
        <v>0</v>
      </c>
      <c r="JX103" s="476">
        <v>0</v>
      </c>
      <c r="JY103" s="476">
        <v>0</v>
      </c>
      <c r="JZ103" s="476">
        <v>0</v>
      </c>
      <c r="KA103" s="476">
        <v>0</v>
      </c>
      <c r="KB103" s="476">
        <v>0</v>
      </c>
      <c r="KC103" s="476">
        <v>0</v>
      </c>
      <c r="KD103" s="476">
        <v>0</v>
      </c>
      <c r="KE103" s="476">
        <v>7262</v>
      </c>
      <c r="KF103" s="476">
        <v>0</v>
      </c>
      <c r="KG103" s="476">
        <v>0</v>
      </c>
      <c r="KH103" s="476">
        <v>528680</v>
      </c>
      <c r="KI103" s="476">
        <v>0</v>
      </c>
      <c r="KJ103" s="476">
        <v>1</v>
      </c>
      <c r="KK103" s="476">
        <v>1</v>
      </c>
      <c r="KL103" s="476">
        <v>616</v>
      </c>
      <c r="KM103" s="476">
        <v>616</v>
      </c>
      <c r="KN103" s="476">
        <v>0</v>
      </c>
    </row>
    <row r="104" spans="1:300" x14ac:dyDescent="0.25">
      <c r="A104" s="476">
        <v>40976</v>
      </c>
      <c r="B104" s="476">
        <v>101845</v>
      </c>
      <c r="C104" s="476">
        <v>9</v>
      </c>
      <c r="D104" s="476">
        <v>2024</v>
      </c>
      <c r="E104" s="476">
        <v>6160</v>
      </c>
      <c r="F104" s="476">
        <v>0</v>
      </c>
      <c r="G104" s="476">
        <v>14639.983</v>
      </c>
      <c r="H104" s="476">
        <v>13612.629000000001</v>
      </c>
      <c r="I104" s="476">
        <v>13612.629000000001</v>
      </c>
      <c r="J104" s="476">
        <v>14639.983</v>
      </c>
      <c r="K104" s="476">
        <v>0</v>
      </c>
      <c r="L104" s="476">
        <v>6160</v>
      </c>
      <c r="M104" s="476">
        <v>0</v>
      </c>
      <c r="N104" s="476">
        <v>0</v>
      </c>
      <c r="O104" s="476">
        <v>0</v>
      </c>
      <c r="P104" s="476">
        <v>14733.928</v>
      </c>
      <c r="Q104" s="476">
        <v>0</v>
      </c>
      <c r="R104" s="476">
        <v>6112871</v>
      </c>
      <c r="S104" s="476">
        <v>414.88400000000001</v>
      </c>
      <c r="T104" s="476">
        <v>0</v>
      </c>
      <c r="U104" s="476">
        <v>0</v>
      </c>
      <c r="V104" s="476">
        <v>6131.8050000000003</v>
      </c>
      <c r="W104" s="476">
        <v>3777106</v>
      </c>
      <c r="X104" s="476">
        <v>3777106</v>
      </c>
      <c r="Y104" s="476">
        <v>0</v>
      </c>
      <c r="Z104" s="476">
        <v>0</v>
      </c>
      <c r="AA104" s="476">
        <v>0</v>
      </c>
      <c r="AB104" s="476">
        <v>0</v>
      </c>
      <c r="AC104" s="476">
        <v>0</v>
      </c>
      <c r="AD104" s="476" t="s">
        <v>314</v>
      </c>
      <c r="AE104" s="476">
        <v>0</v>
      </c>
      <c r="AF104" s="476">
        <v>0</v>
      </c>
      <c r="AG104" s="476">
        <v>0</v>
      </c>
      <c r="AH104" s="476">
        <v>0</v>
      </c>
      <c r="AI104" s="476">
        <v>0</v>
      </c>
      <c r="AJ104" s="476">
        <v>6160</v>
      </c>
      <c r="AK104" s="476" t="s">
        <v>651</v>
      </c>
      <c r="AL104" s="476" t="s">
        <v>101</v>
      </c>
      <c r="AM104" s="476">
        <v>0</v>
      </c>
      <c r="AN104" s="476">
        <v>0</v>
      </c>
      <c r="AO104" s="476">
        <v>0</v>
      </c>
      <c r="AP104" s="476">
        <v>0</v>
      </c>
      <c r="AQ104" s="476">
        <v>0</v>
      </c>
      <c r="AR104" s="476">
        <v>0</v>
      </c>
      <c r="AS104" s="476">
        <v>0</v>
      </c>
      <c r="AT104" s="476">
        <v>0</v>
      </c>
      <c r="AU104" s="476">
        <v>0</v>
      </c>
      <c r="AV104" s="476">
        <v>0</v>
      </c>
      <c r="AW104" s="476">
        <v>165242982</v>
      </c>
      <c r="AX104" s="476">
        <v>162800719</v>
      </c>
      <c r="AY104" s="476">
        <v>0</v>
      </c>
      <c r="AZ104" s="476">
        <v>6112871</v>
      </c>
      <c r="BA104" s="476">
        <v>486.91700000000003</v>
      </c>
      <c r="BB104" s="476">
        <v>0</v>
      </c>
      <c r="BC104" s="476">
        <v>0</v>
      </c>
      <c r="BD104" s="476">
        <v>0</v>
      </c>
      <c r="BE104" s="476">
        <v>0</v>
      </c>
      <c r="BF104" s="476">
        <v>145165695</v>
      </c>
      <c r="BG104" s="476">
        <v>0</v>
      </c>
      <c r="BH104" s="476">
        <v>0</v>
      </c>
      <c r="BI104" s="476">
        <v>0</v>
      </c>
      <c r="BJ104" s="476">
        <v>12</v>
      </c>
      <c r="BK104" s="476">
        <v>0</v>
      </c>
      <c r="BL104" s="476">
        <v>0</v>
      </c>
      <c r="BM104" s="476">
        <v>0</v>
      </c>
      <c r="BN104" s="476">
        <v>0</v>
      </c>
      <c r="BO104" s="476">
        <v>0</v>
      </c>
      <c r="BP104" s="476">
        <v>0</v>
      </c>
      <c r="BQ104" s="476">
        <v>0</v>
      </c>
      <c r="BR104" s="476">
        <v>0</v>
      </c>
      <c r="BS104" s="476">
        <v>0</v>
      </c>
      <c r="BT104" s="476">
        <v>0</v>
      </c>
      <c r="BU104" s="476">
        <v>0</v>
      </c>
      <c r="BV104" s="476">
        <v>0</v>
      </c>
      <c r="BW104" s="476">
        <v>0</v>
      </c>
      <c r="BX104" s="476">
        <v>0</v>
      </c>
      <c r="BY104" s="476">
        <v>0</v>
      </c>
      <c r="BZ104" s="476">
        <v>0</v>
      </c>
      <c r="CA104" s="476">
        <v>0</v>
      </c>
      <c r="CB104" s="476">
        <v>0</v>
      </c>
      <c r="CC104" s="476">
        <v>0</v>
      </c>
      <c r="CD104" s="476">
        <v>0</v>
      </c>
      <c r="CE104" s="476">
        <v>0</v>
      </c>
      <c r="CF104" s="476">
        <v>0</v>
      </c>
      <c r="CG104" s="476">
        <v>0</v>
      </c>
      <c r="CH104" s="476">
        <v>2471598</v>
      </c>
      <c r="CI104" s="476">
        <v>0</v>
      </c>
      <c r="CJ104" s="476">
        <v>4</v>
      </c>
      <c r="CK104" s="476">
        <v>0</v>
      </c>
      <c r="CL104" s="476">
        <v>0</v>
      </c>
      <c r="CM104" s="476">
        <v>0</v>
      </c>
      <c r="CN104" s="476">
        <v>0</v>
      </c>
      <c r="CO104" s="476">
        <v>1</v>
      </c>
      <c r="CP104" s="476">
        <v>1.8330000000000002</v>
      </c>
      <c r="CQ104" s="476">
        <v>31.5</v>
      </c>
      <c r="CR104" s="476">
        <v>14639.983</v>
      </c>
      <c r="CS104" s="476">
        <v>0</v>
      </c>
      <c r="CT104" s="476">
        <v>0</v>
      </c>
      <c r="CU104" s="476">
        <v>0</v>
      </c>
      <c r="CV104" s="476">
        <v>0</v>
      </c>
      <c r="CW104" s="476">
        <v>0</v>
      </c>
      <c r="CX104" s="476">
        <v>0</v>
      </c>
      <c r="CY104" s="476">
        <v>0</v>
      </c>
      <c r="CZ104" s="476">
        <v>0</v>
      </c>
      <c r="DA104" s="476">
        <v>0</v>
      </c>
      <c r="DB104" s="476">
        <v>83851891</v>
      </c>
      <c r="DC104" s="476">
        <v>0</v>
      </c>
      <c r="DD104" s="476">
        <v>0</v>
      </c>
      <c r="DE104" s="476">
        <v>23432416</v>
      </c>
      <c r="DF104" s="476">
        <v>23459627</v>
      </c>
      <c r="DG104" s="476">
        <v>3804.05</v>
      </c>
      <c r="DH104" s="476">
        <v>0</v>
      </c>
      <c r="DI104" s="476">
        <v>27211</v>
      </c>
      <c r="DJ104" s="476">
        <v>0</v>
      </c>
      <c r="DK104" s="476">
        <v>0</v>
      </c>
      <c r="DL104" s="476">
        <v>0</v>
      </c>
      <c r="DM104" s="476">
        <v>8532565</v>
      </c>
      <c r="DN104" s="476">
        <v>29335</v>
      </c>
      <c r="DO104" s="476">
        <v>0</v>
      </c>
      <c r="DP104" s="476">
        <v>0</v>
      </c>
      <c r="DQ104" s="476">
        <v>0</v>
      </c>
      <c r="DR104" s="476">
        <v>0</v>
      </c>
      <c r="DS104" s="476">
        <v>0</v>
      </c>
      <c r="DT104" s="476">
        <v>0</v>
      </c>
      <c r="DU104" s="476">
        <v>0</v>
      </c>
      <c r="DV104" s="476">
        <v>0</v>
      </c>
      <c r="DW104" s="476">
        <v>0</v>
      </c>
      <c r="DX104" s="476">
        <v>0</v>
      </c>
      <c r="DY104" s="476">
        <v>0</v>
      </c>
      <c r="DZ104" s="476">
        <v>0</v>
      </c>
      <c r="EA104" s="476">
        <v>0.10500000000000001</v>
      </c>
      <c r="EB104" s="476">
        <v>0</v>
      </c>
      <c r="EC104" s="476">
        <v>300.673</v>
      </c>
      <c r="ED104" s="476">
        <v>2129919</v>
      </c>
      <c r="EE104" s="476">
        <v>0</v>
      </c>
      <c r="EF104" s="476">
        <v>0</v>
      </c>
      <c r="EG104" s="476">
        <v>0</v>
      </c>
      <c r="EH104" s="476">
        <v>6431981</v>
      </c>
      <c r="EI104" s="476">
        <v>0</v>
      </c>
      <c r="EJ104" s="476">
        <v>0</v>
      </c>
      <c r="EK104" s="476">
        <v>251.07</v>
      </c>
      <c r="EL104" s="476">
        <v>3.5000000000000003E-2</v>
      </c>
      <c r="EM104" s="476">
        <v>60.645000000000003</v>
      </c>
      <c r="EN104" s="476">
        <v>17.72</v>
      </c>
      <c r="EO104" s="476">
        <v>0</v>
      </c>
      <c r="EP104" s="476">
        <v>0</v>
      </c>
      <c r="EQ104" s="476">
        <v>338.19499999999999</v>
      </c>
      <c r="ER104" s="476">
        <v>8.6550000000000011</v>
      </c>
      <c r="ES104" s="476">
        <v>1044.1770000000001</v>
      </c>
      <c r="ET104" s="476">
        <v>0</v>
      </c>
      <c r="EU104" s="476">
        <v>0</v>
      </c>
      <c r="EV104" s="476">
        <v>0</v>
      </c>
      <c r="EW104" s="476">
        <v>0</v>
      </c>
      <c r="EX104" s="476">
        <v>0</v>
      </c>
      <c r="EY104" s="476">
        <v>0</v>
      </c>
      <c r="EZ104" s="476">
        <v>140926875</v>
      </c>
      <c r="FA104" s="476">
        <v>0</v>
      </c>
      <c r="FB104" s="476">
        <v>147010411</v>
      </c>
      <c r="FC104" s="476">
        <v>0</v>
      </c>
      <c r="FD104" s="476">
        <v>0</v>
      </c>
      <c r="FE104" s="476">
        <v>18743536</v>
      </c>
      <c r="FF104" s="476">
        <v>3130308</v>
      </c>
      <c r="FG104" s="476">
        <v>6.3017999999999991E-2</v>
      </c>
      <c r="FH104" s="476">
        <v>2.6953999999999999E-2</v>
      </c>
      <c r="FI104" s="476">
        <v>0</v>
      </c>
      <c r="FJ104" s="476">
        <v>0</v>
      </c>
      <c r="FK104" s="476">
        <v>23566.395</v>
      </c>
      <c r="FL104" s="476">
        <v>171355853</v>
      </c>
      <c r="FM104" s="476">
        <v>0</v>
      </c>
      <c r="FN104" s="476">
        <v>0</v>
      </c>
      <c r="FO104" s="476">
        <v>1451755</v>
      </c>
      <c r="FP104" s="476">
        <v>341855</v>
      </c>
      <c r="FQ104" s="476">
        <v>1793610</v>
      </c>
      <c r="FR104" s="476">
        <v>1451755</v>
      </c>
      <c r="FS104" s="476">
        <v>0</v>
      </c>
      <c r="FT104" s="476">
        <v>0</v>
      </c>
      <c r="FU104" s="476">
        <v>1</v>
      </c>
      <c r="FV104" s="476">
        <v>0</v>
      </c>
      <c r="FW104" s="476">
        <v>0</v>
      </c>
      <c r="FX104" s="476">
        <v>0</v>
      </c>
      <c r="FY104" s="476">
        <v>0</v>
      </c>
      <c r="FZ104" s="476">
        <v>0</v>
      </c>
      <c r="GA104" s="476">
        <v>0</v>
      </c>
      <c r="GB104" s="476">
        <v>6495341</v>
      </c>
      <c r="GC104" s="476">
        <v>6495341</v>
      </c>
      <c r="GD104" s="476">
        <v>689.15899999999999</v>
      </c>
      <c r="GE104" s="476">
        <v>0</v>
      </c>
      <c r="GF104" s="476">
        <v>0</v>
      </c>
      <c r="GG104" s="476">
        <v>0</v>
      </c>
      <c r="GH104" s="476">
        <v>0</v>
      </c>
      <c r="GI104" s="476">
        <v>0</v>
      </c>
      <c r="GJ104" s="476">
        <v>0</v>
      </c>
      <c r="GK104" s="476">
        <v>0</v>
      </c>
      <c r="GL104" s="476">
        <v>0</v>
      </c>
      <c r="GM104" s="476">
        <v>0</v>
      </c>
      <c r="GN104" s="476">
        <v>0</v>
      </c>
      <c r="GO104" s="476">
        <v>0</v>
      </c>
      <c r="GP104" s="476">
        <v>0</v>
      </c>
      <c r="GQ104" s="476">
        <v>162771384</v>
      </c>
      <c r="GR104" s="476">
        <v>0</v>
      </c>
      <c r="GS104" s="476">
        <v>0</v>
      </c>
      <c r="GT104" s="476">
        <v>0</v>
      </c>
      <c r="GU104" s="476">
        <v>0</v>
      </c>
      <c r="GV104" s="476">
        <v>0</v>
      </c>
      <c r="GW104" s="476">
        <v>0</v>
      </c>
      <c r="GX104" s="476">
        <v>0</v>
      </c>
      <c r="GY104" s="476">
        <v>0</v>
      </c>
      <c r="GZ104" s="476">
        <v>0</v>
      </c>
      <c r="HA104" s="476">
        <v>0</v>
      </c>
      <c r="HB104" s="476">
        <v>323396213</v>
      </c>
      <c r="HC104" s="476">
        <v>4.2206E-2</v>
      </c>
      <c r="HD104" s="476">
        <v>2471598</v>
      </c>
      <c r="HE104" s="476">
        <v>0</v>
      </c>
      <c r="HF104" s="476">
        <v>15001117</v>
      </c>
      <c r="HG104" s="476">
        <v>293825</v>
      </c>
      <c r="HH104" s="476">
        <v>1472168</v>
      </c>
      <c r="HI104" s="476">
        <v>0</v>
      </c>
      <c r="HJ104" s="476">
        <v>146400</v>
      </c>
      <c r="HK104" s="476">
        <v>75628</v>
      </c>
      <c r="HL104" s="476">
        <v>4813</v>
      </c>
      <c r="HM104" s="476">
        <v>1343000</v>
      </c>
      <c r="HN104" s="476">
        <v>763320</v>
      </c>
      <c r="HO104" s="476">
        <v>0</v>
      </c>
      <c r="HP104" s="476">
        <v>0</v>
      </c>
      <c r="HQ104" s="476">
        <v>0</v>
      </c>
      <c r="HR104" s="476">
        <v>0</v>
      </c>
      <c r="HS104" s="476">
        <v>140897540</v>
      </c>
      <c r="HT104" s="476">
        <v>3130308</v>
      </c>
      <c r="HU104" s="476">
        <v>0</v>
      </c>
      <c r="HV104" s="476">
        <v>0</v>
      </c>
      <c r="HW104" s="476">
        <v>0</v>
      </c>
      <c r="HX104" s="476">
        <v>543</v>
      </c>
      <c r="HY104" s="476">
        <v>1281</v>
      </c>
      <c r="HZ104" s="476">
        <v>2479</v>
      </c>
      <c r="IA104" s="476">
        <v>4143</v>
      </c>
      <c r="IB104" s="476">
        <v>6074</v>
      </c>
      <c r="IC104" s="476">
        <v>14520</v>
      </c>
      <c r="ID104" s="476">
        <v>0</v>
      </c>
      <c r="IE104" s="476">
        <v>0</v>
      </c>
      <c r="IF104" s="476">
        <v>0</v>
      </c>
      <c r="IG104" s="476">
        <v>477</v>
      </c>
      <c r="IH104" s="476">
        <v>2389.9369999999999</v>
      </c>
      <c r="II104" s="476">
        <v>0</v>
      </c>
      <c r="IJ104" s="476">
        <v>6131.8050000000003</v>
      </c>
      <c r="IK104" s="476">
        <v>0</v>
      </c>
      <c r="IL104" s="476">
        <v>252</v>
      </c>
      <c r="IM104" s="476">
        <v>27</v>
      </c>
      <c r="IN104" s="476">
        <v>1</v>
      </c>
      <c r="IO104" s="476">
        <v>280</v>
      </c>
      <c r="IP104" s="476">
        <v>0</v>
      </c>
      <c r="IQ104" s="476">
        <v>6131.8050000000003</v>
      </c>
      <c r="IR104" s="476">
        <v>3777106</v>
      </c>
      <c r="IS104" s="476">
        <v>0</v>
      </c>
      <c r="IT104" s="476">
        <v>1260000</v>
      </c>
      <c r="IU104" s="476">
        <v>81000</v>
      </c>
      <c r="IV104" s="476">
        <v>2000</v>
      </c>
      <c r="IW104" s="476">
        <v>6160</v>
      </c>
      <c r="IX104" s="476">
        <v>0</v>
      </c>
      <c r="IY104" s="476">
        <v>0</v>
      </c>
      <c r="IZ104" s="476">
        <v>0</v>
      </c>
      <c r="JA104" s="476">
        <v>0</v>
      </c>
      <c r="JB104" s="476">
        <v>11</v>
      </c>
      <c r="JC104" s="476">
        <v>265713</v>
      </c>
      <c r="JD104" s="476">
        <v>27</v>
      </c>
      <c r="JE104" s="476">
        <v>372151</v>
      </c>
      <c r="JF104" s="476">
        <v>18</v>
      </c>
      <c r="JG104" s="476">
        <v>125456</v>
      </c>
      <c r="JH104" s="476">
        <v>0</v>
      </c>
      <c r="JI104" s="476">
        <v>0</v>
      </c>
      <c r="JJ104" s="476">
        <v>0</v>
      </c>
      <c r="JK104" s="476">
        <v>0</v>
      </c>
      <c r="JL104" s="476">
        <v>0</v>
      </c>
      <c r="JM104" s="476">
        <v>0</v>
      </c>
      <c r="JN104" s="476">
        <v>32469</v>
      </c>
      <c r="JO104" s="476">
        <v>0.497</v>
      </c>
      <c r="JP104" s="476">
        <v>623.42700000000002</v>
      </c>
      <c r="JQ104" s="476">
        <v>65.234999999999999</v>
      </c>
      <c r="JR104" s="476">
        <v>3970</v>
      </c>
      <c r="JS104" s="476">
        <v>5794978</v>
      </c>
      <c r="JT104" s="476">
        <v>696393</v>
      </c>
      <c r="JU104" s="476">
        <v>0</v>
      </c>
      <c r="JV104" s="476">
        <v>0</v>
      </c>
      <c r="JW104" s="476">
        <v>0</v>
      </c>
      <c r="JX104" s="476">
        <v>0</v>
      </c>
      <c r="JY104" s="476">
        <v>0</v>
      </c>
      <c r="JZ104" s="476">
        <v>0</v>
      </c>
      <c r="KA104" s="476">
        <v>0</v>
      </c>
      <c r="KB104" s="476">
        <v>0</v>
      </c>
      <c r="KC104" s="476">
        <v>0</v>
      </c>
      <c r="KD104" s="476">
        <v>0</v>
      </c>
      <c r="KE104" s="476">
        <v>7262</v>
      </c>
      <c r="KF104" s="476">
        <v>0</v>
      </c>
      <c r="KG104" s="476">
        <v>0</v>
      </c>
      <c r="KH104" s="476">
        <v>162771384</v>
      </c>
      <c r="KI104" s="476">
        <v>0</v>
      </c>
      <c r="KJ104" s="476">
        <v>286</v>
      </c>
      <c r="KK104" s="476">
        <v>191</v>
      </c>
      <c r="KL104" s="476">
        <v>176172</v>
      </c>
      <c r="KM104" s="476">
        <v>117653</v>
      </c>
      <c r="KN104" s="476">
        <v>0</v>
      </c>
    </row>
    <row r="105" spans="1:300" x14ac:dyDescent="0.25">
      <c r="A105" s="476">
        <v>40976</v>
      </c>
      <c r="B105" s="476">
        <v>101846</v>
      </c>
      <c r="C105" s="476">
        <v>9</v>
      </c>
      <c r="D105" s="476">
        <v>2024</v>
      </c>
      <c r="E105" s="476">
        <v>6160</v>
      </c>
      <c r="F105" s="476">
        <v>0</v>
      </c>
      <c r="G105" s="476">
        <v>3291.5190000000002</v>
      </c>
      <c r="H105" s="476">
        <v>2965.2780000000002</v>
      </c>
      <c r="I105" s="476">
        <v>2965.2780000000002</v>
      </c>
      <c r="J105" s="476">
        <v>3291.5190000000002</v>
      </c>
      <c r="K105" s="476">
        <v>0</v>
      </c>
      <c r="L105" s="476">
        <v>6160</v>
      </c>
      <c r="M105" s="476">
        <v>0</v>
      </c>
      <c r="N105" s="476">
        <v>0</v>
      </c>
      <c r="O105" s="476">
        <v>0</v>
      </c>
      <c r="P105" s="476">
        <v>3302.46</v>
      </c>
      <c r="Q105" s="476">
        <v>0</v>
      </c>
      <c r="R105" s="476">
        <v>1370138</v>
      </c>
      <c r="S105" s="476">
        <v>414.88400000000001</v>
      </c>
      <c r="T105" s="476">
        <v>0</v>
      </c>
      <c r="U105" s="476">
        <v>0</v>
      </c>
      <c r="V105" s="476">
        <v>1308.086</v>
      </c>
      <c r="W105" s="476">
        <v>805763</v>
      </c>
      <c r="X105" s="476">
        <v>805763</v>
      </c>
      <c r="Y105" s="476">
        <v>0</v>
      </c>
      <c r="Z105" s="476">
        <v>0</v>
      </c>
      <c r="AA105" s="476">
        <v>0</v>
      </c>
      <c r="AB105" s="476">
        <v>0</v>
      </c>
      <c r="AC105" s="476">
        <v>0</v>
      </c>
      <c r="AD105" s="476" t="s">
        <v>314</v>
      </c>
      <c r="AE105" s="476">
        <v>0</v>
      </c>
      <c r="AF105" s="476">
        <v>0</v>
      </c>
      <c r="AG105" s="476">
        <v>0</v>
      </c>
      <c r="AH105" s="476">
        <v>0</v>
      </c>
      <c r="AI105" s="476">
        <v>0</v>
      </c>
      <c r="AJ105" s="476">
        <v>6160</v>
      </c>
      <c r="AK105" s="476" t="s">
        <v>651</v>
      </c>
      <c r="AL105" s="476" t="s">
        <v>763</v>
      </c>
      <c r="AM105" s="476">
        <v>0</v>
      </c>
      <c r="AN105" s="476">
        <v>0</v>
      </c>
      <c r="AO105" s="476">
        <v>0</v>
      </c>
      <c r="AP105" s="476">
        <v>0</v>
      </c>
      <c r="AQ105" s="476">
        <v>0</v>
      </c>
      <c r="AR105" s="476">
        <v>0</v>
      </c>
      <c r="AS105" s="476">
        <v>0</v>
      </c>
      <c r="AT105" s="476">
        <v>0</v>
      </c>
      <c r="AU105" s="476">
        <v>0</v>
      </c>
      <c r="AV105" s="476">
        <v>0</v>
      </c>
      <c r="AW105" s="476">
        <v>37285830</v>
      </c>
      <c r="AX105" s="476">
        <v>36739313</v>
      </c>
      <c r="AY105" s="476">
        <v>0</v>
      </c>
      <c r="AZ105" s="476">
        <v>1370138</v>
      </c>
      <c r="BA105" s="476">
        <v>76.417000000000002</v>
      </c>
      <c r="BB105" s="476">
        <v>70150</v>
      </c>
      <c r="BC105" s="476">
        <v>69703</v>
      </c>
      <c r="BD105" s="476">
        <v>164.57600000000002</v>
      </c>
      <c r="BE105" s="476">
        <v>447</v>
      </c>
      <c r="BF105" s="476">
        <v>33102062</v>
      </c>
      <c r="BG105" s="476">
        <v>0</v>
      </c>
      <c r="BH105" s="476">
        <v>0</v>
      </c>
      <c r="BI105" s="476">
        <v>0</v>
      </c>
      <c r="BJ105" s="476">
        <v>12</v>
      </c>
      <c r="BK105" s="476">
        <v>0</v>
      </c>
      <c r="BL105" s="476">
        <v>0</v>
      </c>
      <c r="BM105" s="476">
        <v>0</v>
      </c>
      <c r="BN105" s="476">
        <v>0</v>
      </c>
      <c r="BO105" s="476">
        <v>0</v>
      </c>
      <c r="BP105" s="476">
        <v>0</v>
      </c>
      <c r="BQ105" s="476">
        <v>313</v>
      </c>
      <c r="BR105" s="476">
        <v>0</v>
      </c>
      <c r="BS105" s="476">
        <v>0</v>
      </c>
      <c r="BT105" s="476">
        <v>0</v>
      </c>
      <c r="BU105" s="476">
        <v>0</v>
      </c>
      <c r="BV105" s="476">
        <v>0</v>
      </c>
      <c r="BW105" s="476">
        <v>0</v>
      </c>
      <c r="BX105" s="476">
        <v>0</v>
      </c>
      <c r="BY105" s="476">
        <v>0</v>
      </c>
      <c r="BZ105" s="476">
        <v>0</v>
      </c>
      <c r="CA105" s="476">
        <v>0</v>
      </c>
      <c r="CB105" s="476">
        <v>0</v>
      </c>
      <c r="CC105" s="476">
        <v>0</v>
      </c>
      <c r="CD105" s="476">
        <v>0</v>
      </c>
      <c r="CE105" s="476">
        <v>0</v>
      </c>
      <c r="CF105" s="476">
        <v>0</v>
      </c>
      <c r="CG105" s="476">
        <v>0</v>
      </c>
      <c r="CH105" s="476">
        <v>555691</v>
      </c>
      <c r="CI105" s="476">
        <v>0</v>
      </c>
      <c r="CJ105" s="476">
        <v>4</v>
      </c>
      <c r="CK105" s="476">
        <v>0</v>
      </c>
      <c r="CL105" s="476">
        <v>0</v>
      </c>
      <c r="CM105" s="476">
        <v>0</v>
      </c>
      <c r="CN105" s="476">
        <v>0</v>
      </c>
      <c r="CO105" s="476">
        <v>1</v>
      </c>
      <c r="CP105" s="476">
        <v>0</v>
      </c>
      <c r="CQ105" s="476">
        <v>0</v>
      </c>
      <c r="CR105" s="476">
        <v>3291.5190000000002</v>
      </c>
      <c r="CS105" s="476">
        <v>0</v>
      </c>
      <c r="CT105" s="476">
        <v>0</v>
      </c>
      <c r="CU105" s="476">
        <v>0</v>
      </c>
      <c r="CV105" s="476">
        <v>0</v>
      </c>
      <c r="CW105" s="476">
        <v>0</v>
      </c>
      <c r="CX105" s="476">
        <v>0</v>
      </c>
      <c r="CY105" s="476">
        <v>0</v>
      </c>
      <c r="CZ105" s="476">
        <v>0</v>
      </c>
      <c r="DA105" s="476">
        <v>0</v>
      </c>
      <c r="DB105" s="476">
        <v>18265698</v>
      </c>
      <c r="DC105" s="476">
        <v>0</v>
      </c>
      <c r="DD105" s="476">
        <v>0</v>
      </c>
      <c r="DE105" s="476">
        <v>4573157</v>
      </c>
      <c r="DF105" s="476">
        <v>4573157</v>
      </c>
      <c r="DG105" s="476">
        <v>742.41300000000001</v>
      </c>
      <c r="DH105" s="476">
        <v>0</v>
      </c>
      <c r="DI105" s="476">
        <v>0</v>
      </c>
      <c r="DJ105" s="476">
        <v>0</v>
      </c>
      <c r="DK105" s="476">
        <v>0</v>
      </c>
      <c r="DL105" s="476">
        <v>0</v>
      </c>
      <c r="DM105" s="476">
        <v>2538553</v>
      </c>
      <c r="DN105" s="476">
        <v>8728</v>
      </c>
      <c r="DO105" s="476">
        <v>0</v>
      </c>
      <c r="DP105" s="476">
        <v>0</v>
      </c>
      <c r="DQ105" s="476">
        <v>0</v>
      </c>
      <c r="DR105" s="476">
        <v>0</v>
      </c>
      <c r="DS105" s="476">
        <v>0</v>
      </c>
      <c r="DT105" s="476">
        <v>0</v>
      </c>
      <c r="DU105" s="476">
        <v>0</v>
      </c>
      <c r="DV105" s="476">
        <v>0</v>
      </c>
      <c r="DW105" s="476">
        <v>0</v>
      </c>
      <c r="DX105" s="476">
        <v>0</v>
      </c>
      <c r="DY105" s="476">
        <v>0</v>
      </c>
      <c r="DZ105" s="476">
        <v>0</v>
      </c>
      <c r="EA105" s="476">
        <v>5.1000000000000004E-2</v>
      </c>
      <c r="EB105" s="476">
        <v>0</v>
      </c>
      <c r="EC105" s="476">
        <v>80.513000000000005</v>
      </c>
      <c r="ED105" s="476">
        <v>570341</v>
      </c>
      <c r="EE105" s="476">
        <v>0</v>
      </c>
      <c r="EF105" s="476">
        <v>0</v>
      </c>
      <c r="EG105" s="476">
        <v>0</v>
      </c>
      <c r="EH105" s="476">
        <v>1976940</v>
      </c>
      <c r="EI105" s="476">
        <v>0</v>
      </c>
      <c r="EJ105" s="476">
        <v>0</v>
      </c>
      <c r="EK105" s="476">
        <v>82.418000000000006</v>
      </c>
      <c r="EL105" s="476">
        <v>0</v>
      </c>
      <c r="EM105" s="476">
        <v>15.77</v>
      </c>
      <c r="EN105" s="476">
        <v>5.1610000000000005</v>
      </c>
      <c r="EO105" s="476">
        <v>0</v>
      </c>
      <c r="EP105" s="476">
        <v>0</v>
      </c>
      <c r="EQ105" s="476">
        <v>103.53700000000001</v>
      </c>
      <c r="ER105" s="476">
        <v>0.13700000000000001</v>
      </c>
      <c r="ES105" s="476">
        <v>320.93900000000002</v>
      </c>
      <c r="ET105" s="476">
        <v>0</v>
      </c>
      <c r="EU105" s="476">
        <v>0</v>
      </c>
      <c r="EV105" s="476">
        <v>0</v>
      </c>
      <c r="EW105" s="476">
        <v>0</v>
      </c>
      <c r="EX105" s="476">
        <v>0</v>
      </c>
      <c r="EY105" s="476">
        <v>0</v>
      </c>
      <c r="EZ105" s="476">
        <v>31751431</v>
      </c>
      <c r="FA105" s="476">
        <v>0</v>
      </c>
      <c r="FB105" s="476">
        <v>33112395</v>
      </c>
      <c r="FC105" s="476">
        <v>0</v>
      </c>
      <c r="FD105" s="476">
        <v>0</v>
      </c>
      <c r="FE105" s="476">
        <v>4274079</v>
      </c>
      <c r="FF105" s="476">
        <v>713803</v>
      </c>
      <c r="FG105" s="476">
        <v>6.3017999999999991E-2</v>
      </c>
      <c r="FH105" s="476">
        <v>2.6953999999999999E-2</v>
      </c>
      <c r="FI105" s="476">
        <v>0</v>
      </c>
      <c r="FJ105" s="476">
        <v>0</v>
      </c>
      <c r="FK105" s="476">
        <v>5373.8330000000005</v>
      </c>
      <c r="FL105" s="476">
        <v>38655968</v>
      </c>
      <c r="FM105" s="476">
        <v>0</v>
      </c>
      <c r="FN105" s="476">
        <v>0</v>
      </c>
      <c r="FO105" s="476">
        <v>0</v>
      </c>
      <c r="FP105" s="476">
        <v>0</v>
      </c>
      <c r="FQ105" s="476">
        <v>0</v>
      </c>
      <c r="FR105" s="476">
        <v>0</v>
      </c>
      <c r="FS105" s="476">
        <v>0</v>
      </c>
      <c r="FT105" s="476">
        <v>0</v>
      </c>
      <c r="FU105" s="476">
        <v>0</v>
      </c>
      <c r="FV105" s="476">
        <v>0</v>
      </c>
      <c r="FW105" s="476">
        <v>0</v>
      </c>
      <c r="FX105" s="476">
        <v>0</v>
      </c>
      <c r="FY105" s="476">
        <v>0</v>
      </c>
      <c r="FZ105" s="476">
        <v>0</v>
      </c>
      <c r="GA105" s="476">
        <v>0</v>
      </c>
      <c r="GB105" s="476">
        <v>2225647</v>
      </c>
      <c r="GC105" s="476">
        <v>2225647</v>
      </c>
      <c r="GD105" s="476">
        <v>222.70400000000001</v>
      </c>
      <c r="GE105" s="476">
        <v>0</v>
      </c>
      <c r="GF105" s="476">
        <v>0</v>
      </c>
      <c r="GG105" s="476">
        <v>0</v>
      </c>
      <c r="GH105" s="476">
        <v>0</v>
      </c>
      <c r="GI105" s="476">
        <v>0</v>
      </c>
      <c r="GJ105" s="476">
        <v>0</v>
      </c>
      <c r="GK105" s="476">
        <v>0</v>
      </c>
      <c r="GL105" s="476">
        <v>0</v>
      </c>
      <c r="GM105" s="476">
        <v>0</v>
      </c>
      <c r="GN105" s="476">
        <v>0</v>
      </c>
      <c r="GO105" s="476">
        <v>0</v>
      </c>
      <c r="GP105" s="476">
        <v>0</v>
      </c>
      <c r="GQ105" s="476">
        <v>36730139</v>
      </c>
      <c r="GR105" s="476">
        <v>0</v>
      </c>
      <c r="GS105" s="476">
        <v>0</v>
      </c>
      <c r="GT105" s="476">
        <v>0</v>
      </c>
      <c r="GU105" s="476">
        <v>0</v>
      </c>
      <c r="GV105" s="476">
        <v>0</v>
      </c>
      <c r="GW105" s="476">
        <v>0</v>
      </c>
      <c r="GX105" s="476">
        <v>0</v>
      </c>
      <c r="GY105" s="476">
        <v>0</v>
      </c>
      <c r="GZ105" s="476">
        <v>0</v>
      </c>
      <c r="HA105" s="476">
        <v>0</v>
      </c>
      <c r="HB105" s="476">
        <v>323396213</v>
      </c>
      <c r="HC105" s="476">
        <v>4.2206E-2</v>
      </c>
      <c r="HD105" s="476">
        <v>555691</v>
      </c>
      <c r="HE105" s="476">
        <v>0</v>
      </c>
      <c r="HF105" s="476">
        <v>3267736</v>
      </c>
      <c r="HG105" s="476">
        <v>33879</v>
      </c>
      <c r="HH105" s="476">
        <v>594587</v>
      </c>
      <c r="HI105" s="476">
        <v>0</v>
      </c>
      <c r="HJ105" s="476">
        <v>32915</v>
      </c>
      <c r="HK105" s="476">
        <v>13746</v>
      </c>
      <c r="HL105" s="476">
        <v>5761</v>
      </c>
      <c r="HM105" s="476">
        <v>388000</v>
      </c>
      <c r="HN105" s="476">
        <v>297249</v>
      </c>
      <c r="HO105" s="476">
        <v>0</v>
      </c>
      <c r="HP105" s="476">
        <v>0</v>
      </c>
      <c r="HQ105" s="476">
        <v>0</v>
      </c>
      <c r="HR105" s="476">
        <v>0</v>
      </c>
      <c r="HS105" s="476">
        <v>31742257</v>
      </c>
      <c r="HT105" s="476">
        <v>713803</v>
      </c>
      <c r="HU105" s="476">
        <v>0</v>
      </c>
      <c r="HV105" s="476">
        <v>0</v>
      </c>
      <c r="HW105" s="476">
        <v>0</v>
      </c>
      <c r="HX105" s="476">
        <v>340</v>
      </c>
      <c r="HY105" s="476">
        <v>398</v>
      </c>
      <c r="HZ105" s="476">
        <v>620</v>
      </c>
      <c r="IA105" s="476">
        <v>811</v>
      </c>
      <c r="IB105" s="476">
        <v>740</v>
      </c>
      <c r="IC105" s="476">
        <v>2909</v>
      </c>
      <c r="ID105" s="476">
        <v>0</v>
      </c>
      <c r="IE105" s="476">
        <v>0</v>
      </c>
      <c r="IF105" s="476">
        <v>0</v>
      </c>
      <c r="IG105" s="476">
        <v>55</v>
      </c>
      <c r="IH105" s="476">
        <v>965.26100000000008</v>
      </c>
      <c r="II105" s="476">
        <v>0</v>
      </c>
      <c r="IJ105" s="476">
        <v>1308.086</v>
      </c>
      <c r="IK105" s="476">
        <v>0</v>
      </c>
      <c r="IL105" s="476">
        <v>68</v>
      </c>
      <c r="IM105" s="476">
        <v>14</v>
      </c>
      <c r="IN105" s="476">
        <v>3</v>
      </c>
      <c r="IO105" s="476">
        <v>85</v>
      </c>
      <c r="IP105" s="476">
        <v>0</v>
      </c>
      <c r="IQ105" s="476">
        <v>1308.086</v>
      </c>
      <c r="IR105" s="476">
        <v>805763</v>
      </c>
      <c r="IS105" s="476">
        <v>0</v>
      </c>
      <c r="IT105" s="476">
        <v>340000</v>
      </c>
      <c r="IU105" s="476">
        <v>42000</v>
      </c>
      <c r="IV105" s="476">
        <v>6000</v>
      </c>
      <c r="IW105" s="476">
        <v>6160</v>
      </c>
      <c r="IX105" s="476">
        <v>0</v>
      </c>
      <c r="IY105" s="476">
        <v>0</v>
      </c>
      <c r="IZ105" s="476">
        <v>0</v>
      </c>
      <c r="JA105" s="476">
        <v>0</v>
      </c>
      <c r="JB105" s="476">
        <v>5</v>
      </c>
      <c r="JC105" s="476">
        <v>115660</v>
      </c>
      <c r="JD105" s="476">
        <v>9</v>
      </c>
      <c r="JE105" s="476">
        <v>117008</v>
      </c>
      <c r="JF105" s="476">
        <v>10</v>
      </c>
      <c r="JG105" s="476">
        <v>64581</v>
      </c>
      <c r="JH105" s="476">
        <v>0</v>
      </c>
      <c r="JI105" s="476">
        <v>0</v>
      </c>
      <c r="JJ105" s="476">
        <v>0</v>
      </c>
      <c r="JK105" s="476">
        <v>0</v>
      </c>
      <c r="JL105" s="476">
        <v>0</v>
      </c>
      <c r="JM105" s="476">
        <v>0</v>
      </c>
      <c r="JN105" s="476">
        <v>32469</v>
      </c>
      <c r="JO105" s="476">
        <v>1.3920000000000001</v>
      </c>
      <c r="JP105" s="476">
        <v>107.27</v>
      </c>
      <c r="JQ105" s="476">
        <v>114.042</v>
      </c>
      <c r="JR105" s="476">
        <v>11120</v>
      </c>
      <c r="JS105" s="476">
        <v>997113</v>
      </c>
      <c r="JT105" s="476">
        <v>1217414</v>
      </c>
      <c r="JU105" s="476">
        <v>70964</v>
      </c>
      <c r="JV105" s="476">
        <v>0</v>
      </c>
      <c r="JW105" s="476">
        <v>0</v>
      </c>
      <c r="JX105" s="476">
        <v>0</v>
      </c>
      <c r="JY105" s="476">
        <v>0</v>
      </c>
      <c r="JZ105" s="476">
        <v>0</v>
      </c>
      <c r="KA105" s="476">
        <v>0</v>
      </c>
      <c r="KB105" s="476">
        <v>0</v>
      </c>
      <c r="KC105" s="476">
        <v>0</v>
      </c>
      <c r="KD105" s="476">
        <v>71146</v>
      </c>
      <c r="KE105" s="476">
        <v>7262</v>
      </c>
      <c r="KF105" s="476">
        <v>0</v>
      </c>
      <c r="KG105" s="476">
        <v>0</v>
      </c>
      <c r="KH105" s="476">
        <v>36730139</v>
      </c>
      <c r="KI105" s="476">
        <v>0</v>
      </c>
      <c r="KJ105" s="476">
        <v>33</v>
      </c>
      <c r="KK105" s="476">
        <v>22</v>
      </c>
      <c r="KL105" s="476">
        <v>20328</v>
      </c>
      <c r="KM105" s="476">
        <v>13552</v>
      </c>
      <c r="KN105" s="476">
        <v>0</v>
      </c>
    </row>
    <row r="106" spans="1:300" x14ac:dyDescent="0.25">
      <c r="A106" s="476">
        <v>40976</v>
      </c>
      <c r="B106" s="476">
        <v>101847</v>
      </c>
      <c r="C106" s="476">
        <v>9</v>
      </c>
      <c r="D106" s="476">
        <v>2024</v>
      </c>
      <c r="E106" s="476">
        <v>6160</v>
      </c>
      <c r="F106" s="476">
        <v>0</v>
      </c>
      <c r="G106" s="476">
        <v>461.85</v>
      </c>
      <c r="H106" s="476">
        <v>446.32</v>
      </c>
      <c r="I106" s="476">
        <v>446.32</v>
      </c>
      <c r="J106" s="476">
        <v>461.85</v>
      </c>
      <c r="K106" s="476">
        <v>0</v>
      </c>
      <c r="L106" s="476">
        <v>6160</v>
      </c>
      <c r="M106" s="476">
        <v>0</v>
      </c>
      <c r="N106" s="476">
        <v>0</v>
      </c>
      <c r="O106" s="476">
        <v>0</v>
      </c>
      <c r="P106" s="476">
        <v>462.16700000000003</v>
      </c>
      <c r="Q106" s="476">
        <v>0</v>
      </c>
      <c r="R106" s="476">
        <v>191746</v>
      </c>
      <c r="S106" s="476">
        <v>414.88400000000001</v>
      </c>
      <c r="T106" s="476">
        <v>0</v>
      </c>
      <c r="U106" s="476">
        <v>0</v>
      </c>
      <c r="V106" s="476">
        <v>0</v>
      </c>
      <c r="W106" s="476">
        <v>0</v>
      </c>
      <c r="X106" s="476">
        <v>0</v>
      </c>
      <c r="Y106" s="476">
        <v>0</v>
      </c>
      <c r="Z106" s="476">
        <v>0</v>
      </c>
      <c r="AA106" s="476">
        <v>0</v>
      </c>
      <c r="AB106" s="476">
        <v>0</v>
      </c>
      <c r="AC106" s="476">
        <v>0</v>
      </c>
      <c r="AD106" s="476" t="s">
        <v>314</v>
      </c>
      <c r="AE106" s="476">
        <v>0</v>
      </c>
      <c r="AF106" s="476">
        <v>0</v>
      </c>
      <c r="AG106" s="476">
        <v>0</v>
      </c>
      <c r="AH106" s="476">
        <v>0</v>
      </c>
      <c r="AI106" s="476">
        <v>0</v>
      </c>
      <c r="AJ106" s="476">
        <v>6160</v>
      </c>
      <c r="AK106" s="476" t="s">
        <v>651</v>
      </c>
      <c r="AL106" s="476" t="s">
        <v>32</v>
      </c>
      <c r="AM106" s="476">
        <v>0</v>
      </c>
      <c r="AN106" s="476">
        <v>0</v>
      </c>
      <c r="AO106" s="476">
        <v>0</v>
      </c>
      <c r="AP106" s="476">
        <v>0</v>
      </c>
      <c r="AQ106" s="476">
        <v>0</v>
      </c>
      <c r="AR106" s="476">
        <v>0</v>
      </c>
      <c r="AS106" s="476">
        <v>0</v>
      </c>
      <c r="AT106" s="476">
        <v>0</v>
      </c>
      <c r="AU106" s="476">
        <v>0</v>
      </c>
      <c r="AV106" s="476">
        <v>0</v>
      </c>
      <c r="AW106" s="476">
        <v>4766380</v>
      </c>
      <c r="AX106" s="476">
        <v>4689497</v>
      </c>
      <c r="AY106" s="476">
        <v>0</v>
      </c>
      <c r="AZ106" s="476">
        <v>191746</v>
      </c>
      <c r="BA106" s="476">
        <v>9.75</v>
      </c>
      <c r="BB106" s="476">
        <v>0</v>
      </c>
      <c r="BC106" s="476">
        <v>0</v>
      </c>
      <c r="BD106" s="476">
        <v>0</v>
      </c>
      <c r="BE106" s="476">
        <v>0</v>
      </c>
      <c r="BF106" s="476">
        <v>4242044</v>
      </c>
      <c r="BG106" s="476">
        <v>0</v>
      </c>
      <c r="BH106" s="476">
        <v>0</v>
      </c>
      <c r="BI106" s="476">
        <v>0</v>
      </c>
      <c r="BJ106" s="476">
        <v>12</v>
      </c>
      <c r="BK106" s="476">
        <v>0</v>
      </c>
      <c r="BL106" s="476">
        <v>0</v>
      </c>
      <c r="BM106" s="476">
        <v>0</v>
      </c>
      <c r="BN106" s="476">
        <v>0</v>
      </c>
      <c r="BO106" s="476">
        <v>0</v>
      </c>
      <c r="BP106" s="476">
        <v>0</v>
      </c>
      <c r="BQ106" s="476">
        <v>701</v>
      </c>
      <c r="BR106" s="476">
        <v>0</v>
      </c>
      <c r="BS106" s="476">
        <v>0</v>
      </c>
      <c r="BT106" s="476">
        <v>0</v>
      </c>
      <c r="BU106" s="476">
        <v>0</v>
      </c>
      <c r="BV106" s="476">
        <v>0</v>
      </c>
      <c r="BW106" s="476">
        <v>0</v>
      </c>
      <c r="BX106" s="476">
        <v>0</v>
      </c>
      <c r="BY106" s="476">
        <v>0</v>
      </c>
      <c r="BZ106" s="476">
        <v>0</v>
      </c>
      <c r="CA106" s="476">
        <v>0</v>
      </c>
      <c r="CB106" s="476">
        <v>0</v>
      </c>
      <c r="CC106" s="476">
        <v>0</v>
      </c>
      <c r="CD106" s="476">
        <v>0</v>
      </c>
      <c r="CE106" s="476">
        <v>0</v>
      </c>
      <c r="CF106" s="476">
        <v>0</v>
      </c>
      <c r="CG106" s="476">
        <v>0</v>
      </c>
      <c r="CH106" s="476">
        <v>77972</v>
      </c>
      <c r="CI106" s="476">
        <v>0</v>
      </c>
      <c r="CJ106" s="476">
        <v>4</v>
      </c>
      <c r="CK106" s="476">
        <v>0</v>
      </c>
      <c r="CL106" s="476">
        <v>0</v>
      </c>
      <c r="CM106" s="476">
        <v>0</v>
      </c>
      <c r="CN106" s="476">
        <v>0</v>
      </c>
      <c r="CO106" s="476">
        <v>1</v>
      </c>
      <c r="CP106" s="476">
        <v>0</v>
      </c>
      <c r="CQ106" s="476">
        <v>0</v>
      </c>
      <c r="CR106" s="476">
        <v>461.85</v>
      </c>
      <c r="CS106" s="476">
        <v>0</v>
      </c>
      <c r="CT106" s="476">
        <v>0</v>
      </c>
      <c r="CU106" s="476">
        <v>0</v>
      </c>
      <c r="CV106" s="476">
        <v>0</v>
      </c>
      <c r="CW106" s="476">
        <v>0</v>
      </c>
      <c r="CX106" s="476">
        <v>0</v>
      </c>
      <c r="CY106" s="476">
        <v>0</v>
      </c>
      <c r="CZ106" s="476">
        <v>0</v>
      </c>
      <c r="DA106" s="476">
        <v>0</v>
      </c>
      <c r="DB106" s="476">
        <v>2749269</v>
      </c>
      <c r="DC106" s="476">
        <v>0</v>
      </c>
      <c r="DD106" s="476">
        <v>0</v>
      </c>
      <c r="DE106" s="476">
        <v>582569</v>
      </c>
      <c r="DF106" s="476">
        <v>582569</v>
      </c>
      <c r="DG106" s="476">
        <v>94.575000000000003</v>
      </c>
      <c r="DH106" s="476">
        <v>0</v>
      </c>
      <c r="DI106" s="476">
        <v>0</v>
      </c>
      <c r="DJ106" s="476">
        <v>0</v>
      </c>
      <c r="DK106" s="476">
        <v>2843</v>
      </c>
      <c r="DL106" s="476">
        <v>0</v>
      </c>
      <c r="DM106" s="476">
        <v>316816</v>
      </c>
      <c r="DN106" s="476">
        <v>1089</v>
      </c>
      <c r="DO106" s="476">
        <v>0</v>
      </c>
      <c r="DP106" s="476">
        <v>0</v>
      </c>
      <c r="DQ106" s="476">
        <v>0</v>
      </c>
      <c r="DR106" s="476">
        <v>0</v>
      </c>
      <c r="DS106" s="476">
        <v>0</v>
      </c>
      <c r="DT106" s="476">
        <v>0</v>
      </c>
      <c r="DU106" s="476">
        <v>0</v>
      </c>
      <c r="DV106" s="476">
        <v>0</v>
      </c>
      <c r="DW106" s="476">
        <v>0</v>
      </c>
      <c r="DX106" s="476">
        <v>0</v>
      </c>
      <c r="DY106" s="476">
        <v>0</v>
      </c>
      <c r="DZ106" s="476">
        <v>0</v>
      </c>
      <c r="EA106" s="476">
        <v>0</v>
      </c>
      <c r="EB106" s="476">
        <v>0</v>
      </c>
      <c r="EC106" s="476">
        <v>3.754</v>
      </c>
      <c r="ED106" s="476">
        <v>26593</v>
      </c>
      <c r="EE106" s="476">
        <v>0</v>
      </c>
      <c r="EF106" s="476">
        <v>0</v>
      </c>
      <c r="EG106" s="476">
        <v>0</v>
      </c>
      <c r="EH106" s="476">
        <v>291312</v>
      </c>
      <c r="EI106" s="476">
        <v>0</v>
      </c>
      <c r="EJ106" s="476">
        <v>0</v>
      </c>
      <c r="EK106" s="476">
        <v>15.179</v>
      </c>
      <c r="EL106" s="476">
        <v>0</v>
      </c>
      <c r="EM106" s="476">
        <v>0</v>
      </c>
      <c r="EN106" s="476">
        <v>0.35100000000000003</v>
      </c>
      <c r="EO106" s="476">
        <v>0</v>
      </c>
      <c r="EP106" s="476">
        <v>0</v>
      </c>
      <c r="EQ106" s="476">
        <v>15.530000000000001</v>
      </c>
      <c r="ER106" s="476">
        <v>0</v>
      </c>
      <c r="ES106" s="476">
        <v>47.292000000000002</v>
      </c>
      <c r="ET106" s="476">
        <v>0</v>
      </c>
      <c r="EU106" s="476">
        <v>0</v>
      </c>
      <c r="EV106" s="476">
        <v>0</v>
      </c>
      <c r="EW106" s="476">
        <v>0</v>
      </c>
      <c r="EX106" s="476">
        <v>0</v>
      </c>
      <c r="EY106" s="476">
        <v>0</v>
      </c>
      <c r="EZ106" s="476">
        <v>4050298</v>
      </c>
      <c r="FA106" s="476">
        <v>0</v>
      </c>
      <c r="FB106" s="476">
        <v>4240955</v>
      </c>
      <c r="FC106" s="476">
        <v>0</v>
      </c>
      <c r="FD106" s="476">
        <v>0</v>
      </c>
      <c r="FE106" s="476">
        <v>547725</v>
      </c>
      <c r="FF106" s="476">
        <v>91474</v>
      </c>
      <c r="FG106" s="476">
        <v>6.3017999999999991E-2</v>
      </c>
      <c r="FH106" s="476">
        <v>2.6953999999999999E-2</v>
      </c>
      <c r="FI106" s="476">
        <v>0</v>
      </c>
      <c r="FJ106" s="476">
        <v>0</v>
      </c>
      <c r="FK106" s="476">
        <v>688.65899999999999</v>
      </c>
      <c r="FL106" s="476">
        <v>4958126</v>
      </c>
      <c r="FM106" s="476">
        <v>0</v>
      </c>
      <c r="FN106" s="476">
        <v>0</v>
      </c>
      <c r="FO106" s="476">
        <v>0</v>
      </c>
      <c r="FP106" s="476">
        <v>0</v>
      </c>
      <c r="FQ106" s="476">
        <v>0</v>
      </c>
      <c r="FR106" s="476">
        <v>0</v>
      </c>
      <c r="FS106" s="476">
        <v>0</v>
      </c>
      <c r="FT106" s="476">
        <v>0</v>
      </c>
      <c r="FU106" s="476">
        <v>0</v>
      </c>
      <c r="FV106" s="476">
        <v>0</v>
      </c>
      <c r="FW106" s="476">
        <v>0</v>
      </c>
      <c r="FX106" s="476">
        <v>0</v>
      </c>
      <c r="FY106" s="476">
        <v>0</v>
      </c>
      <c r="FZ106" s="476">
        <v>0</v>
      </c>
      <c r="GA106" s="476">
        <v>0</v>
      </c>
      <c r="GB106" s="476">
        <v>0</v>
      </c>
      <c r="GC106" s="476">
        <v>0</v>
      </c>
      <c r="GD106" s="476">
        <v>0</v>
      </c>
      <c r="GE106" s="476">
        <v>0</v>
      </c>
      <c r="GF106" s="476">
        <v>0</v>
      </c>
      <c r="GG106" s="476">
        <v>0</v>
      </c>
      <c r="GH106" s="476">
        <v>0</v>
      </c>
      <c r="GI106" s="476">
        <v>0</v>
      </c>
      <c r="GJ106" s="476">
        <v>0</v>
      </c>
      <c r="GK106" s="476">
        <v>0</v>
      </c>
      <c r="GL106" s="476">
        <v>0</v>
      </c>
      <c r="GM106" s="476">
        <v>0</v>
      </c>
      <c r="GN106" s="476">
        <v>0</v>
      </c>
      <c r="GO106" s="476">
        <v>0</v>
      </c>
      <c r="GP106" s="476">
        <v>0</v>
      </c>
      <c r="GQ106" s="476">
        <v>4688408</v>
      </c>
      <c r="GR106" s="476">
        <v>0</v>
      </c>
      <c r="GS106" s="476">
        <v>0</v>
      </c>
      <c r="GT106" s="476">
        <v>0</v>
      </c>
      <c r="GU106" s="476">
        <v>0</v>
      </c>
      <c r="GV106" s="476">
        <v>0</v>
      </c>
      <c r="GW106" s="476">
        <v>0</v>
      </c>
      <c r="GX106" s="476">
        <v>0</v>
      </c>
      <c r="GY106" s="476">
        <v>0</v>
      </c>
      <c r="GZ106" s="476">
        <v>0</v>
      </c>
      <c r="HA106" s="476">
        <v>0</v>
      </c>
      <c r="HB106" s="476">
        <v>323396213</v>
      </c>
      <c r="HC106" s="476">
        <v>4.2206E-2</v>
      </c>
      <c r="HD106" s="476">
        <v>77972</v>
      </c>
      <c r="HE106" s="476">
        <v>0</v>
      </c>
      <c r="HF106" s="476">
        <v>491845</v>
      </c>
      <c r="HG106" s="476">
        <v>0</v>
      </c>
      <c r="HH106" s="476">
        <v>95837</v>
      </c>
      <c r="HI106" s="476">
        <v>0</v>
      </c>
      <c r="HJ106" s="476">
        <v>4619</v>
      </c>
      <c r="HK106" s="476">
        <v>0</v>
      </c>
      <c r="HL106" s="476">
        <v>0</v>
      </c>
      <c r="HM106" s="476">
        <v>0</v>
      </c>
      <c r="HN106" s="476">
        <v>0</v>
      </c>
      <c r="HO106" s="476">
        <v>0</v>
      </c>
      <c r="HP106" s="476">
        <v>0</v>
      </c>
      <c r="HQ106" s="476">
        <v>0</v>
      </c>
      <c r="HR106" s="476">
        <v>0</v>
      </c>
      <c r="HS106" s="476">
        <v>4049209</v>
      </c>
      <c r="HT106" s="476">
        <v>91474</v>
      </c>
      <c r="HU106" s="476">
        <v>0</v>
      </c>
      <c r="HV106" s="476">
        <v>0</v>
      </c>
      <c r="HW106" s="476">
        <v>0</v>
      </c>
      <c r="HX106" s="476">
        <v>32</v>
      </c>
      <c r="HY106" s="476">
        <v>52</v>
      </c>
      <c r="HZ106" s="476">
        <v>66</v>
      </c>
      <c r="IA106" s="476">
        <v>92</v>
      </c>
      <c r="IB106" s="476">
        <v>125</v>
      </c>
      <c r="IC106" s="476">
        <v>367</v>
      </c>
      <c r="ID106" s="476">
        <v>0</v>
      </c>
      <c r="IE106" s="476">
        <v>0</v>
      </c>
      <c r="IF106" s="476">
        <v>0</v>
      </c>
      <c r="IG106" s="476">
        <v>0</v>
      </c>
      <c r="IH106" s="476">
        <v>155.583</v>
      </c>
      <c r="II106" s="476">
        <v>0</v>
      </c>
      <c r="IJ106" s="476">
        <v>0</v>
      </c>
      <c r="IK106" s="476">
        <v>0</v>
      </c>
      <c r="IL106" s="476">
        <v>0</v>
      </c>
      <c r="IM106" s="476">
        <v>0</v>
      </c>
      <c r="IN106" s="476">
        <v>0</v>
      </c>
      <c r="IO106" s="476">
        <v>0</v>
      </c>
      <c r="IP106" s="476">
        <v>0</v>
      </c>
      <c r="IQ106" s="476">
        <v>0</v>
      </c>
      <c r="IR106" s="476">
        <v>0</v>
      </c>
      <c r="IS106" s="476">
        <v>0</v>
      </c>
      <c r="IT106" s="476">
        <v>0</v>
      </c>
      <c r="IU106" s="476">
        <v>0</v>
      </c>
      <c r="IV106" s="476">
        <v>0</v>
      </c>
      <c r="IW106" s="476">
        <v>6160</v>
      </c>
      <c r="IX106" s="476">
        <v>0</v>
      </c>
      <c r="IY106" s="476">
        <v>0</v>
      </c>
      <c r="IZ106" s="476">
        <v>0</v>
      </c>
      <c r="JA106" s="476">
        <v>0</v>
      </c>
      <c r="JB106" s="476">
        <v>0</v>
      </c>
      <c r="JC106" s="476">
        <v>0</v>
      </c>
      <c r="JD106" s="476">
        <v>0</v>
      </c>
      <c r="JE106" s="476">
        <v>0</v>
      </c>
      <c r="JF106" s="476">
        <v>0</v>
      </c>
      <c r="JG106" s="476">
        <v>0</v>
      </c>
      <c r="JH106" s="476">
        <v>0</v>
      </c>
      <c r="JI106" s="476">
        <v>0</v>
      </c>
      <c r="JJ106" s="476">
        <v>0</v>
      </c>
      <c r="JK106" s="476">
        <v>0</v>
      </c>
      <c r="JL106" s="476">
        <v>0</v>
      </c>
      <c r="JM106" s="476">
        <v>0</v>
      </c>
      <c r="JN106" s="476">
        <v>32469</v>
      </c>
      <c r="JO106" s="476">
        <v>0</v>
      </c>
      <c r="JP106" s="476">
        <v>0</v>
      </c>
      <c r="JQ106" s="476">
        <v>0</v>
      </c>
      <c r="JR106" s="476">
        <v>0</v>
      </c>
      <c r="JS106" s="476">
        <v>0</v>
      </c>
      <c r="JT106" s="476">
        <v>0</v>
      </c>
      <c r="JU106" s="476">
        <v>0</v>
      </c>
      <c r="JV106" s="476">
        <v>0</v>
      </c>
      <c r="JW106" s="476">
        <v>0</v>
      </c>
      <c r="JX106" s="476">
        <v>0</v>
      </c>
      <c r="JY106" s="476">
        <v>0</v>
      </c>
      <c r="JZ106" s="476">
        <v>0</v>
      </c>
      <c r="KA106" s="476">
        <v>0</v>
      </c>
      <c r="KB106" s="476">
        <v>0</v>
      </c>
      <c r="KC106" s="476">
        <v>0</v>
      </c>
      <c r="KD106" s="476">
        <v>0</v>
      </c>
      <c r="KE106" s="476">
        <v>7262</v>
      </c>
      <c r="KF106" s="476">
        <v>0</v>
      </c>
      <c r="KG106" s="476">
        <v>0</v>
      </c>
      <c r="KH106" s="476">
        <v>4688408</v>
      </c>
      <c r="KI106" s="476">
        <v>0</v>
      </c>
      <c r="KJ106" s="476">
        <v>0</v>
      </c>
      <c r="KK106" s="476">
        <v>0</v>
      </c>
      <c r="KL106" s="476">
        <v>0</v>
      </c>
      <c r="KM106" s="476">
        <v>0</v>
      </c>
      <c r="KN106" s="476">
        <v>0</v>
      </c>
    </row>
    <row r="107" spans="1:300" x14ac:dyDescent="0.25">
      <c r="A107" s="476">
        <v>40976</v>
      </c>
      <c r="B107" s="476">
        <v>101849</v>
      </c>
      <c r="C107" s="476">
        <v>9</v>
      </c>
      <c r="D107" s="476">
        <v>2024</v>
      </c>
      <c r="E107" s="476">
        <v>6160</v>
      </c>
      <c r="F107" s="476">
        <v>0</v>
      </c>
      <c r="G107" s="476">
        <v>120.94800000000001</v>
      </c>
      <c r="H107" s="476">
        <v>120.76</v>
      </c>
      <c r="I107" s="476">
        <v>120.76</v>
      </c>
      <c r="J107" s="476">
        <v>120.94800000000001</v>
      </c>
      <c r="K107" s="476">
        <v>0</v>
      </c>
      <c r="L107" s="476">
        <v>6160</v>
      </c>
      <c r="M107" s="476">
        <v>0</v>
      </c>
      <c r="N107" s="476">
        <v>0</v>
      </c>
      <c r="O107" s="476">
        <v>0</v>
      </c>
      <c r="P107" s="476">
        <v>120.94800000000001</v>
      </c>
      <c r="Q107" s="476">
        <v>0</v>
      </c>
      <c r="R107" s="476">
        <v>50179</v>
      </c>
      <c r="S107" s="476">
        <v>414.88400000000001</v>
      </c>
      <c r="T107" s="476">
        <v>0</v>
      </c>
      <c r="U107" s="476">
        <v>0</v>
      </c>
      <c r="V107" s="476">
        <v>42.021999999999998</v>
      </c>
      <c r="W107" s="476">
        <v>25885</v>
      </c>
      <c r="X107" s="476">
        <v>25885</v>
      </c>
      <c r="Y107" s="476">
        <v>0</v>
      </c>
      <c r="Z107" s="476">
        <v>0</v>
      </c>
      <c r="AA107" s="476">
        <v>0</v>
      </c>
      <c r="AB107" s="476">
        <v>0</v>
      </c>
      <c r="AC107" s="476">
        <v>0</v>
      </c>
      <c r="AD107" s="476" t="s">
        <v>314</v>
      </c>
      <c r="AE107" s="476">
        <v>0</v>
      </c>
      <c r="AF107" s="476">
        <v>0</v>
      </c>
      <c r="AG107" s="476">
        <v>0</v>
      </c>
      <c r="AH107" s="476">
        <v>0</v>
      </c>
      <c r="AI107" s="476">
        <v>0</v>
      </c>
      <c r="AJ107" s="476">
        <v>6160</v>
      </c>
      <c r="AK107" s="476" t="s">
        <v>651</v>
      </c>
      <c r="AL107" s="476" t="s">
        <v>14</v>
      </c>
      <c r="AM107" s="476">
        <v>0</v>
      </c>
      <c r="AN107" s="476">
        <v>0</v>
      </c>
      <c r="AO107" s="476">
        <v>0</v>
      </c>
      <c r="AP107" s="476">
        <v>0</v>
      </c>
      <c r="AQ107" s="476">
        <v>0</v>
      </c>
      <c r="AR107" s="476">
        <v>0</v>
      </c>
      <c r="AS107" s="476">
        <v>0</v>
      </c>
      <c r="AT107" s="476">
        <v>0</v>
      </c>
      <c r="AU107" s="476">
        <v>0</v>
      </c>
      <c r="AV107" s="476">
        <v>0</v>
      </c>
      <c r="AW107" s="476">
        <v>1267883</v>
      </c>
      <c r="AX107" s="476">
        <v>1247484</v>
      </c>
      <c r="AY107" s="476">
        <v>0</v>
      </c>
      <c r="AZ107" s="476">
        <v>50179</v>
      </c>
      <c r="BA107" s="476">
        <v>13.417</v>
      </c>
      <c r="BB107" s="476">
        <v>0</v>
      </c>
      <c r="BC107" s="476">
        <v>0</v>
      </c>
      <c r="BD107" s="476">
        <v>0</v>
      </c>
      <c r="BE107" s="476">
        <v>0</v>
      </c>
      <c r="BF107" s="476">
        <v>1127734</v>
      </c>
      <c r="BG107" s="476">
        <v>0</v>
      </c>
      <c r="BH107" s="476">
        <v>0</v>
      </c>
      <c r="BI107" s="476">
        <v>0</v>
      </c>
      <c r="BJ107" s="476">
        <v>12</v>
      </c>
      <c r="BK107" s="476">
        <v>0</v>
      </c>
      <c r="BL107" s="476">
        <v>0</v>
      </c>
      <c r="BM107" s="476">
        <v>0</v>
      </c>
      <c r="BN107" s="476">
        <v>0</v>
      </c>
      <c r="BO107" s="476">
        <v>0</v>
      </c>
      <c r="BP107" s="476">
        <v>0</v>
      </c>
      <c r="BQ107" s="476">
        <v>751</v>
      </c>
      <c r="BR107" s="476">
        <v>0</v>
      </c>
      <c r="BS107" s="476">
        <v>0</v>
      </c>
      <c r="BT107" s="476">
        <v>0</v>
      </c>
      <c r="BU107" s="476">
        <v>0</v>
      </c>
      <c r="BV107" s="476">
        <v>0</v>
      </c>
      <c r="BW107" s="476">
        <v>0</v>
      </c>
      <c r="BX107" s="476">
        <v>0</v>
      </c>
      <c r="BY107" s="476">
        <v>0</v>
      </c>
      <c r="BZ107" s="476">
        <v>0</v>
      </c>
      <c r="CA107" s="476">
        <v>0</v>
      </c>
      <c r="CB107" s="476">
        <v>0</v>
      </c>
      <c r="CC107" s="476">
        <v>0</v>
      </c>
      <c r="CD107" s="476">
        <v>0</v>
      </c>
      <c r="CE107" s="476">
        <v>0</v>
      </c>
      <c r="CF107" s="476">
        <v>0</v>
      </c>
      <c r="CG107" s="476">
        <v>0</v>
      </c>
      <c r="CH107" s="476">
        <v>20419</v>
      </c>
      <c r="CI107" s="476">
        <v>0</v>
      </c>
      <c r="CJ107" s="476">
        <v>4</v>
      </c>
      <c r="CK107" s="476">
        <v>0</v>
      </c>
      <c r="CL107" s="476">
        <v>0</v>
      </c>
      <c r="CM107" s="476">
        <v>0</v>
      </c>
      <c r="CN107" s="476">
        <v>0</v>
      </c>
      <c r="CO107" s="476">
        <v>1</v>
      </c>
      <c r="CP107" s="476">
        <v>0</v>
      </c>
      <c r="CQ107" s="476">
        <v>0</v>
      </c>
      <c r="CR107" s="476">
        <v>120.94800000000001</v>
      </c>
      <c r="CS107" s="476">
        <v>0</v>
      </c>
      <c r="CT107" s="476">
        <v>0</v>
      </c>
      <c r="CU107" s="476">
        <v>0</v>
      </c>
      <c r="CV107" s="476">
        <v>0</v>
      </c>
      <c r="CW107" s="476">
        <v>0</v>
      </c>
      <c r="CX107" s="476">
        <v>0</v>
      </c>
      <c r="CY107" s="476">
        <v>0</v>
      </c>
      <c r="CZ107" s="476">
        <v>0</v>
      </c>
      <c r="DA107" s="476">
        <v>0</v>
      </c>
      <c r="DB107" s="476">
        <v>718146</v>
      </c>
      <c r="DC107" s="476">
        <v>0</v>
      </c>
      <c r="DD107" s="476">
        <v>0</v>
      </c>
      <c r="DE107" s="476">
        <v>190109</v>
      </c>
      <c r="DF107" s="476">
        <v>190109</v>
      </c>
      <c r="DG107" s="476">
        <v>30.863000000000003</v>
      </c>
      <c r="DH107" s="476">
        <v>0</v>
      </c>
      <c r="DI107" s="476">
        <v>0</v>
      </c>
      <c r="DJ107" s="476">
        <v>0</v>
      </c>
      <c r="DK107" s="476">
        <v>3645</v>
      </c>
      <c r="DL107" s="476">
        <v>0</v>
      </c>
      <c r="DM107" s="476">
        <v>31489</v>
      </c>
      <c r="DN107" s="476">
        <v>20</v>
      </c>
      <c r="DO107" s="476">
        <v>0</v>
      </c>
      <c r="DP107" s="476">
        <v>0</v>
      </c>
      <c r="DQ107" s="476">
        <v>0</v>
      </c>
      <c r="DR107" s="476">
        <v>0</v>
      </c>
      <c r="DS107" s="476">
        <v>0</v>
      </c>
      <c r="DT107" s="476">
        <v>0</v>
      </c>
      <c r="DU107" s="476">
        <v>0</v>
      </c>
      <c r="DV107" s="476">
        <v>0</v>
      </c>
      <c r="DW107" s="476">
        <v>0</v>
      </c>
      <c r="DX107" s="476">
        <v>0</v>
      </c>
      <c r="DY107" s="476">
        <v>0</v>
      </c>
      <c r="DZ107" s="476">
        <v>0</v>
      </c>
      <c r="EA107" s="476">
        <v>0</v>
      </c>
      <c r="EB107" s="476">
        <v>0</v>
      </c>
      <c r="EC107" s="476">
        <v>0</v>
      </c>
      <c r="ED107" s="476">
        <v>0</v>
      </c>
      <c r="EE107" s="476">
        <v>0</v>
      </c>
      <c r="EF107" s="476">
        <v>0</v>
      </c>
      <c r="EG107" s="476">
        <v>0</v>
      </c>
      <c r="EH107" s="476">
        <v>5790</v>
      </c>
      <c r="EI107" s="476">
        <v>0</v>
      </c>
      <c r="EJ107" s="476">
        <v>0</v>
      </c>
      <c r="EK107" s="476">
        <v>0</v>
      </c>
      <c r="EL107" s="476">
        <v>0</v>
      </c>
      <c r="EM107" s="476">
        <v>0</v>
      </c>
      <c r="EN107" s="476">
        <v>0.188</v>
      </c>
      <c r="EO107" s="476">
        <v>0</v>
      </c>
      <c r="EP107" s="476">
        <v>0</v>
      </c>
      <c r="EQ107" s="476">
        <v>0.188</v>
      </c>
      <c r="ER107" s="476">
        <v>0</v>
      </c>
      <c r="ES107" s="476">
        <v>0.94000000000000006</v>
      </c>
      <c r="ET107" s="476">
        <v>0</v>
      </c>
      <c r="EU107" s="476">
        <v>0</v>
      </c>
      <c r="EV107" s="476">
        <v>0</v>
      </c>
      <c r="EW107" s="476">
        <v>0</v>
      </c>
      <c r="EX107" s="476">
        <v>0</v>
      </c>
      <c r="EY107" s="476">
        <v>0</v>
      </c>
      <c r="EZ107" s="476">
        <v>1077555</v>
      </c>
      <c r="FA107" s="476">
        <v>0</v>
      </c>
      <c r="FB107" s="476">
        <v>1127714</v>
      </c>
      <c r="FC107" s="476">
        <v>0</v>
      </c>
      <c r="FD107" s="476">
        <v>0</v>
      </c>
      <c r="FE107" s="476">
        <v>145611</v>
      </c>
      <c r="FF107" s="476">
        <v>24318</v>
      </c>
      <c r="FG107" s="476">
        <v>6.3017999999999991E-2</v>
      </c>
      <c r="FH107" s="476">
        <v>2.6953999999999999E-2</v>
      </c>
      <c r="FI107" s="476">
        <v>0</v>
      </c>
      <c r="FJ107" s="476">
        <v>0</v>
      </c>
      <c r="FK107" s="476">
        <v>183.078</v>
      </c>
      <c r="FL107" s="476">
        <v>1318062</v>
      </c>
      <c r="FM107" s="476">
        <v>0</v>
      </c>
      <c r="FN107" s="476">
        <v>0</v>
      </c>
      <c r="FO107" s="476">
        <v>0</v>
      </c>
      <c r="FP107" s="476">
        <v>0</v>
      </c>
      <c r="FQ107" s="476">
        <v>0</v>
      </c>
      <c r="FR107" s="476">
        <v>0</v>
      </c>
      <c r="FS107" s="476">
        <v>0</v>
      </c>
      <c r="FT107" s="476">
        <v>0</v>
      </c>
      <c r="FU107" s="476">
        <v>0</v>
      </c>
      <c r="FV107" s="476">
        <v>0</v>
      </c>
      <c r="FW107" s="476">
        <v>0</v>
      </c>
      <c r="FX107" s="476">
        <v>0</v>
      </c>
      <c r="FY107" s="476">
        <v>0</v>
      </c>
      <c r="FZ107" s="476">
        <v>0</v>
      </c>
      <c r="GA107" s="476">
        <v>0</v>
      </c>
      <c r="GB107" s="476">
        <v>0</v>
      </c>
      <c r="GC107" s="476">
        <v>0</v>
      </c>
      <c r="GD107" s="476">
        <v>0</v>
      </c>
      <c r="GE107" s="476">
        <v>0</v>
      </c>
      <c r="GF107" s="476">
        <v>0</v>
      </c>
      <c r="GG107" s="476">
        <v>0</v>
      </c>
      <c r="GH107" s="476">
        <v>0</v>
      </c>
      <c r="GI107" s="476">
        <v>0</v>
      </c>
      <c r="GJ107" s="476">
        <v>0</v>
      </c>
      <c r="GK107" s="476">
        <v>0</v>
      </c>
      <c r="GL107" s="476">
        <v>0</v>
      </c>
      <c r="GM107" s="476">
        <v>0</v>
      </c>
      <c r="GN107" s="476">
        <v>0</v>
      </c>
      <c r="GO107" s="476">
        <v>0</v>
      </c>
      <c r="GP107" s="476">
        <v>0</v>
      </c>
      <c r="GQ107" s="476">
        <v>1247464</v>
      </c>
      <c r="GR107" s="476">
        <v>0</v>
      </c>
      <c r="GS107" s="476">
        <v>0</v>
      </c>
      <c r="GT107" s="476">
        <v>0</v>
      </c>
      <c r="GU107" s="476">
        <v>0</v>
      </c>
      <c r="GV107" s="476">
        <v>0</v>
      </c>
      <c r="GW107" s="476">
        <v>0</v>
      </c>
      <c r="GX107" s="476">
        <v>0</v>
      </c>
      <c r="GY107" s="476">
        <v>0</v>
      </c>
      <c r="GZ107" s="476">
        <v>0</v>
      </c>
      <c r="HA107" s="476">
        <v>0</v>
      </c>
      <c r="HB107" s="476">
        <v>323396213</v>
      </c>
      <c r="HC107" s="476">
        <v>4.2206E-2</v>
      </c>
      <c r="HD107" s="476">
        <v>20419</v>
      </c>
      <c r="HE107" s="476">
        <v>0</v>
      </c>
      <c r="HF107" s="476">
        <v>133078</v>
      </c>
      <c r="HG107" s="476">
        <v>0</v>
      </c>
      <c r="HH107" s="476">
        <v>27798</v>
      </c>
      <c r="HI107" s="476">
        <v>0</v>
      </c>
      <c r="HJ107" s="476">
        <v>1209</v>
      </c>
      <c r="HK107" s="476">
        <v>0</v>
      </c>
      <c r="HL107" s="476">
        <v>0</v>
      </c>
      <c r="HM107" s="476">
        <v>0</v>
      </c>
      <c r="HN107" s="476">
        <v>0</v>
      </c>
      <c r="HO107" s="476">
        <v>0</v>
      </c>
      <c r="HP107" s="476">
        <v>0</v>
      </c>
      <c r="HQ107" s="476">
        <v>0</v>
      </c>
      <c r="HR107" s="476">
        <v>0</v>
      </c>
      <c r="HS107" s="476">
        <v>1077535</v>
      </c>
      <c r="HT107" s="476">
        <v>24318</v>
      </c>
      <c r="HU107" s="476">
        <v>0</v>
      </c>
      <c r="HV107" s="476">
        <v>0</v>
      </c>
      <c r="HW107" s="476">
        <v>0</v>
      </c>
      <c r="HX107" s="476">
        <v>12</v>
      </c>
      <c r="HY107" s="476">
        <v>19</v>
      </c>
      <c r="HZ107" s="476">
        <v>41</v>
      </c>
      <c r="IA107" s="476">
        <v>28</v>
      </c>
      <c r="IB107" s="476">
        <v>22</v>
      </c>
      <c r="IC107" s="476">
        <v>122</v>
      </c>
      <c r="ID107" s="476">
        <v>0</v>
      </c>
      <c r="IE107" s="476">
        <v>0</v>
      </c>
      <c r="IF107" s="476">
        <v>0</v>
      </c>
      <c r="IG107" s="476">
        <v>0</v>
      </c>
      <c r="IH107" s="476">
        <v>45.127000000000002</v>
      </c>
      <c r="II107" s="476">
        <v>0</v>
      </c>
      <c r="IJ107" s="476">
        <v>42.021999999999998</v>
      </c>
      <c r="IK107" s="476">
        <v>0</v>
      </c>
      <c r="IL107" s="476">
        <v>0</v>
      </c>
      <c r="IM107" s="476">
        <v>0</v>
      </c>
      <c r="IN107" s="476">
        <v>0</v>
      </c>
      <c r="IO107" s="476">
        <v>0</v>
      </c>
      <c r="IP107" s="476">
        <v>0</v>
      </c>
      <c r="IQ107" s="476">
        <v>42.021999999999998</v>
      </c>
      <c r="IR107" s="476">
        <v>25885</v>
      </c>
      <c r="IS107" s="476">
        <v>0</v>
      </c>
      <c r="IT107" s="476">
        <v>0</v>
      </c>
      <c r="IU107" s="476">
        <v>0</v>
      </c>
      <c r="IV107" s="476">
        <v>0</v>
      </c>
      <c r="IW107" s="476">
        <v>6160</v>
      </c>
      <c r="IX107" s="476">
        <v>0</v>
      </c>
      <c r="IY107" s="476">
        <v>0</v>
      </c>
      <c r="IZ107" s="476">
        <v>0</v>
      </c>
      <c r="JA107" s="476">
        <v>0</v>
      </c>
      <c r="JB107" s="476">
        <v>0</v>
      </c>
      <c r="JC107" s="476">
        <v>0</v>
      </c>
      <c r="JD107" s="476">
        <v>0</v>
      </c>
      <c r="JE107" s="476">
        <v>0</v>
      </c>
      <c r="JF107" s="476">
        <v>0</v>
      </c>
      <c r="JG107" s="476">
        <v>0</v>
      </c>
      <c r="JH107" s="476">
        <v>0</v>
      </c>
      <c r="JI107" s="476">
        <v>0</v>
      </c>
      <c r="JJ107" s="476">
        <v>0</v>
      </c>
      <c r="JK107" s="476">
        <v>0</v>
      </c>
      <c r="JL107" s="476">
        <v>0</v>
      </c>
      <c r="JM107" s="476">
        <v>0</v>
      </c>
      <c r="JN107" s="476">
        <v>32469</v>
      </c>
      <c r="JO107" s="476">
        <v>0</v>
      </c>
      <c r="JP107" s="476">
        <v>0</v>
      </c>
      <c r="JQ107" s="476">
        <v>0</v>
      </c>
      <c r="JR107" s="476">
        <v>0</v>
      </c>
      <c r="JS107" s="476">
        <v>0</v>
      </c>
      <c r="JT107" s="476">
        <v>0</v>
      </c>
      <c r="JU107" s="476">
        <v>0</v>
      </c>
      <c r="JV107" s="476">
        <v>0</v>
      </c>
      <c r="JW107" s="476">
        <v>0</v>
      </c>
      <c r="JX107" s="476">
        <v>0</v>
      </c>
      <c r="JY107" s="476">
        <v>0</v>
      </c>
      <c r="JZ107" s="476">
        <v>0</v>
      </c>
      <c r="KA107" s="476">
        <v>0</v>
      </c>
      <c r="KB107" s="476">
        <v>0</v>
      </c>
      <c r="KC107" s="476">
        <v>0</v>
      </c>
      <c r="KD107" s="476">
        <v>0</v>
      </c>
      <c r="KE107" s="476">
        <v>7262</v>
      </c>
      <c r="KF107" s="476">
        <v>0</v>
      </c>
      <c r="KG107" s="476">
        <v>0</v>
      </c>
      <c r="KH107" s="476">
        <v>1247464</v>
      </c>
      <c r="KI107" s="476">
        <v>0</v>
      </c>
      <c r="KJ107" s="476">
        <v>0</v>
      </c>
      <c r="KK107" s="476">
        <v>0</v>
      </c>
      <c r="KL107" s="476">
        <v>0</v>
      </c>
      <c r="KM107" s="476">
        <v>0</v>
      </c>
      <c r="KN107" s="476">
        <v>0</v>
      </c>
    </row>
    <row r="108" spans="1:300" x14ac:dyDescent="0.25">
      <c r="A108" s="476">
        <v>40976</v>
      </c>
      <c r="B108" s="476">
        <v>101853</v>
      </c>
      <c r="C108" s="476">
        <v>9</v>
      </c>
      <c r="D108" s="476">
        <v>2024</v>
      </c>
      <c r="E108" s="476">
        <v>6160</v>
      </c>
      <c r="F108" s="476">
        <v>0</v>
      </c>
      <c r="G108" s="476">
        <v>1051.954</v>
      </c>
      <c r="H108" s="476">
        <v>1028.588</v>
      </c>
      <c r="I108" s="476">
        <v>1028.588</v>
      </c>
      <c r="J108" s="476">
        <v>1051.954</v>
      </c>
      <c r="K108" s="476">
        <v>0</v>
      </c>
      <c r="L108" s="476">
        <v>6160</v>
      </c>
      <c r="M108" s="476">
        <v>0</v>
      </c>
      <c r="N108" s="476">
        <v>0</v>
      </c>
      <c r="O108" s="476">
        <v>0</v>
      </c>
      <c r="P108" s="476">
        <v>1056.4170000000001</v>
      </c>
      <c r="Q108" s="476">
        <v>0</v>
      </c>
      <c r="R108" s="476">
        <v>438291</v>
      </c>
      <c r="S108" s="476">
        <v>414.88400000000001</v>
      </c>
      <c r="T108" s="476">
        <v>0</v>
      </c>
      <c r="U108" s="476">
        <v>0</v>
      </c>
      <c r="V108" s="476">
        <v>543.99700000000007</v>
      </c>
      <c r="W108" s="476">
        <v>335095</v>
      </c>
      <c r="X108" s="476">
        <v>335095</v>
      </c>
      <c r="Y108" s="476">
        <v>0</v>
      </c>
      <c r="Z108" s="476">
        <v>0</v>
      </c>
      <c r="AA108" s="476">
        <v>0</v>
      </c>
      <c r="AB108" s="476">
        <v>0</v>
      </c>
      <c r="AC108" s="476">
        <v>0</v>
      </c>
      <c r="AD108" s="476" t="s">
        <v>314</v>
      </c>
      <c r="AE108" s="476">
        <v>0</v>
      </c>
      <c r="AF108" s="476">
        <v>0</v>
      </c>
      <c r="AG108" s="476">
        <v>0</v>
      </c>
      <c r="AH108" s="476">
        <v>0</v>
      </c>
      <c r="AI108" s="476">
        <v>0</v>
      </c>
      <c r="AJ108" s="476">
        <v>6160</v>
      </c>
      <c r="AK108" s="476" t="s">
        <v>651</v>
      </c>
      <c r="AL108" s="476" t="s">
        <v>812</v>
      </c>
      <c r="AM108" s="476">
        <v>0</v>
      </c>
      <c r="AN108" s="476">
        <v>0</v>
      </c>
      <c r="AO108" s="476">
        <v>0</v>
      </c>
      <c r="AP108" s="476">
        <v>0</v>
      </c>
      <c r="AQ108" s="476">
        <v>0</v>
      </c>
      <c r="AR108" s="476">
        <v>0</v>
      </c>
      <c r="AS108" s="476">
        <v>0</v>
      </c>
      <c r="AT108" s="476">
        <v>0</v>
      </c>
      <c r="AU108" s="476">
        <v>0</v>
      </c>
      <c r="AV108" s="476">
        <v>0</v>
      </c>
      <c r="AW108" s="476">
        <v>12995970</v>
      </c>
      <c r="AX108" s="476">
        <v>12820223</v>
      </c>
      <c r="AY108" s="476">
        <v>0</v>
      </c>
      <c r="AZ108" s="476">
        <v>438291</v>
      </c>
      <c r="BA108" s="476">
        <v>0</v>
      </c>
      <c r="BB108" s="476">
        <v>0</v>
      </c>
      <c r="BC108" s="476">
        <v>0</v>
      </c>
      <c r="BD108" s="476">
        <v>0</v>
      </c>
      <c r="BE108" s="476">
        <v>0</v>
      </c>
      <c r="BF108" s="476">
        <v>11522311</v>
      </c>
      <c r="BG108" s="476">
        <v>0</v>
      </c>
      <c r="BH108" s="476">
        <v>0</v>
      </c>
      <c r="BI108" s="476">
        <v>0</v>
      </c>
      <c r="BJ108" s="476">
        <v>12</v>
      </c>
      <c r="BK108" s="476">
        <v>0</v>
      </c>
      <c r="BL108" s="476">
        <v>0</v>
      </c>
      <c r="BM108" s="476">
        <v>0</v>
      </c>
      <c r="BN108" s="476">
        <v>0</v>
      </c>
      <c r="BO108" s="476">
        <v>0</v>
      </c>
      <c r="BP108" s="476">
        <v>0</v>
      </c>
      <c r="BQ108" s="476">
        <v>612</v>
      </c>
      <c r="BR108" s="476">
        <v>0</v>
      </c>
      <c r="BS108" s="476">
        <v>0</v>
      </c>
      <c r="BT108" s="476">
        <v>0</v>
      </c>
      <c r="BU108" s="476">
        <v>0</v>
      </c>
      <c r="BV108" s="476">
        <v>0</v>
      </c>
      <c r="BW108" s="476">
        <v>0</v>
      </c>
      <c r="BX108" s="476">
        <v>0</v>
      </c>
      <c r="BY108" s="476">
        <v>0</v>
      </c>
      <c r="BZ108" s="476">
        <v>0</v>
      </c>
      <c r="CA108" s="476">
        <v>0</v>
      </c>
      <c r="CB108" s="476">
        <v>0</v>
      </c>
      <c r="CC108" s="476">
        <v>0</v>
      </c>
      <c r="CD108" s="476">
        <v>0</v>
      </c>
      <c r="CE108" s="476">
        <v>0</v>
      </c>
      <c r="CF108" s="476">
        <v>0</v>
      </c>
      <c r="CG108" s="476">
        <v>0</v>
      </c>
      <c r="CH108" s="476">
        <v>177596</v>
      </c>
      <c r="CI108" s="476">
        <v>0</v>
      </c>
      <c r="CJ108" s="476">
        <v>4</v>
      </c>
      <c r="CK108" s="476">
        <v>0</v>
      </c>
      <c r="CL108" s="476">
        <v>0</v>
      </c>
      <c r="CM108" s="476">
        <v>0</v>
      </c>
      <c r="CN108" s="476">
        <v>0</v>
      </c>
      <c r="CO108" s="476">
        <v>1</v>
      </c>
      <c r="CP108" s="476">
        <v>0</v>
      </c>
      <c r="CQ108" s="476">
        <v>0</v>
      </c>
      <c r="CR108" s="476">
        <v>1051.954</v>
      </c>
      <c r="CS108" s="476">
        <v>0</v>
      </c>
      <c r="CT108" s="476">
        <v>0</v>
      </c>
      <c r="CU108" s="476">
        <v>0</v>
      </c>
      <c r="CV108" s="476">
        <v>0</v>
      </c>
      <c r="CW108" s="476">
        <v>0</v>
      </c>
      <c r="CX108" s="476">
        <v>0</v>
      </c>
      <c r="CY108" s="476">
        <v>0</v>
      </c>
      <c r="CZ108" s="476">
        <v>0</v>
      </c>
      <c r="DA108" s="476">
        <v>0</v>
      </c>
      <c r="DB108" s="476">
        <v>6251473</v>
      </c>
      <c r="DC108" s="476">
        <v>0</v>
      </c>
      <c r="DD108" s="476">
        <v>0</v>
      </c>
      <c r="DE108" s="476">
        <v>2843622</v>
      </c>
      <c r="DF108" s="476">
        <v>2843622</v>
      </c>
      <c r="DG108" s="476">
        <v>461.63800000000003</v>
      </c>
      <c r="DH108" s="476">
        <v>0</v>
      </c>
      <c r="DI108" s="476">
        <v>0</v>
      </c>
      <c r="DJ108" s="476">
        <v>0</v>
      </c>
      <c r="DK108" s="476">
        <v>1408</v>
      </c>
      <c r="DL108" s="476">
        <v>0</v>
      </c>
      <c r="DM108" s="476">
        <v>622244</v>
      </c>
      <c r="DN108" s="476">
        <v>1849</v>
      </c>
      <c r="DO108" s="476">
        <v>0</v>
      </c>
      <c r="DP108" s="476">
        <v>0</v>
      </c>
      <c r="DQ108" s="476">
        <v>0</v>
      </c>
      <c r="DR108" s="476">
        <v>0</v>
      </c>
      <c r="DS108" s="476">
        <v>0</v>
      </c>
      <c r="DT108" s="476">
        <v>0</v>
      </c>
      <c r="DU108" s="476">
        <v>0</v>
      </c>
      <c r="DV108" s="476">
        <v>0</v>
      </c>
      <c r="DW108" s="476">
        <v>0</v>
      </c>
      <c r="DX108" s="476">
        <v>0</v>
      </c>
      <c r="DY108" s="476">
        <v>0</v>
      </c>
      <c r="DZ108" s="476">
        <v>0</v>
      </c>
      <c r="EA108" s="476">
        <v>0</v>
      </c>
      <c r="EB108" s="476">
        <v>0</v>
      </c>
      <c r="EC108" s="476">
        <v>7.5380000000000003</v>
      </c>
      <c r="ED108" s="476">
        <v>53398</v>
      </c>
      <c r="EE108" s="476">
        <v>0</v>
      </c>
      <c r="EF108" s="476">
        <v>0</v>
      </c>
      <c r="EG108" s="476">
        <v>0</v>
      </c>
      <c r="EH108" s="476">
        <v>486210</v>
      </c>
      <c r="EI108" s="476">
        <v>0</v>
      </c>
      <c r="EJ108" s="476">
        <v>0</v>
      </c>
      <c r="EK108" s="476">
        <v>15.118</v>
      </c>
      <c r="EL108" s="476">
        <v>0</v>
      </c>
      <c r="EM108" s="476">
        <v>3.8310000000000004</v>
      </c>
      <c r="EN108" s="476">
        <v>4.4169999999999998</v>
      </c>
      <c r="EO108" s="476">
        <v>0</v>
      </c>
      <c r="EP108" s="476">
        <v>0</v>
      </c>
      <c r="EQ108" s="476">
        <v>23.366</v>
      </c>
      <c r="ER108" s="476">
        <v>0</v>
      </c>
      <c r="ES108" s="476">
        <v>78.932000000000002</v>
      </c>
      <c r="ET108" s="476">
        <v>0</v>
      </c>
      <c r="EU108" s="476">
        <v>0</v>
      </c>
      <c r="EV108" s="476">
        <v>0</v>
      </c>
      <c r="EW108" s="476">
        <v>0</v>
      </c>
      <c r="EX108" s="476">
        <v>0</v>
      </c>
      <c r="EY108" s="476">
        <v>0</v>
      </c>
      <c r="EZ108" s="476">
        <v>11084020</v>
      </c>
      <c r="FA108" s="476">
        <v>0</v>
      </c>
      <c r="FB108" s="476">
        <v>11520462</v>
      </c>
      <c r="FC108" s="476">
        <v>0</v>
      </c>
      <c r="FD108" s="476">
        <v>0</v>
      </c>
      <c r="FE108" s="476">
        <v>1487740</v>
      </c>
      <c r="FF108" s="476">
        <v>248463</v>
      </c>
      <c r="FG108" s="476">
        <v>6.3017999999999991E-2</v>
      </c>
      <c r="FH108" s="476">
        <v>2.6953999999999999E-2</v>
      </c>
      <c r="FI108" s="476">
        <v>0</v>
      </c>
      <c r="FJ108" s="476">
        <v>0</v>
      </c>
      <c r="FK108" s="476">
        <v>1870.547</v>
      </c>
      <c r="FL108" s="476">
        <v>13434261</v>
      </c>
      <c r="FM108" s="476">
        <v>0</v>
      </c>
      <c r="FN108" s="476">
        <v>0</v>
      </c>
      <c r="FO108" s="476">
        <v>0</v>
      </c>
      <c r="FP108" s="476">
        <v>0</v>
      </c>
      <c r="FQ108" s="476">
        <v>0</v>
      </c>
      <c r="FR108" s="476">
        <v>0</v>
      </c>
      <c r="FS108" s="476">
        <v>0</v>
      </c>
      <c r="FT108" s="476">
        <v>0</v>
      </c>
      <c r="FU108" s="476">
        <v>0</v>
      </c>
      <c r="FV108" s="476">
        <v>0</v>
      </c>
      <c r="FW108" s="476">
        <v>0</v>
      </c>
      <c r="FX108" s="476">
        <v>0</v>
      </c>
      <c r="FY108" s="476">
        <v>0</v>
      </c>
      <c r="FZ108" s="476">
        <v>0</v>
      </c>
      <c r="GA108" s="476">
        <v>0</v>
      </c>
      <c r="GB108" s="476">
        <v>0</v>
      </c>
      <c r="GC108" s="476">
        <v>0</v>
      </c>
      <c r="GD108" s="476">
        <v>0</v>
      </c>
      <c r="GE108" s="476">
        <v>0</v>
      </c>
      <c r="GF108" s="476">
        <v>0</v>
      </c>
      <c r="GG108" s="476">
        <v>0</v>
      </c>
      <c r="GH108" s="476">
        <v>0</v>
      </c>
      <c r="GI108" s="476">
        <v>0</v>
      </c>
      <c r="GJ108" s="476">
        <v>0</v>
      </c>
      <c r="GK108" s="476">
        <v>0</v>
      </c>
      <c r="GL108" s="476">
        <v>0</v>
      </c>
      <c r="GM108" s="476">
        <v>0</v>
      </c>
      <c r="GN108" s="476">
        <v>0</v>
      </c>
      <c r="GO108" s="476">
        <v>0</v>
      </c>
      <c r="GP108" s="476">
        <v>0</v>
      </c>
      <c r="GQ108" s="476">
        <v>12818374</v>
      </c>
      <c r="GR108" s="476">
        <v>0</v>
      </c>
      <c r="GS108" s="476">
        <v>0</v>
      </c>
      <c r="GT108" s="476">
        <v>0</v>
      </c>
      <c r="GU108" s="476">
        <v>0</v>
      </c>
      <c r="GV108" s="476">
        <v>0</v>
      </c>
      <c r="GW108" s="476">
        <v>0</v>
      </c>
      <c r="GX108" s="476">
        <v>0</v>
      </c>
      <c r="GY108" s="476">
        <v>0</v>
      </c>
      <c r="GZ108" s="476">
        <v>0</v>
      </c>
      <c r="HA108" s="476">
        <v>0</v>
      </c>
      <c r="HB108" s="476">
        <v>323396213</v>
      </c>
      <c r="HC108" s="476">
        <v>4.2206E-2</v>
      </c>
      <c r="HD108" s="476">
        <v>177596</v>
      </c>
      <c r="HE108" s="476">
        <v>0</v>
      </c>
      <c r="HF108" s="476">
        <v>1133504</v>
      </c>
      <c r="HG108" s="476">
        <v>0</v>
      </c>
      <c r="HH108" s="476">
        <v>324004</v>
      </c>
      <c r="HI108" s="476">
        <v>0</v>
      </c>
      <c r="HJ108" s="476">
        <v>10520</v>
      </c>
      <c r="HK108" s="476">
        <v>0</v>
      </c>
      <c r="HL108" s="476">
        <v>0</v>
      </c>
      <c r="HM108" s="476">
        <v>0</v>
      </c>
      <c r="HN108" s="476">
        <v>0</v>
      </c>
      <c r="HO108" s="476">
        <v>0</v>
      </c>
      <c r="HP108" s="476">
        <v>0</v>
      </c>
      <c r="HQ108" s="476">
        <v>0</v>
      </c>
      <c r="HR108" s="476">
        <v>0</v>
      </c>
      <c r="HS108" s="476">
        <v>11082171</v>
      </c>
      <c r="HT108" s="476">
        <v>248463</v>
      </c>
      <c r="HU108" s="476">
        <v>0</v>
      </c>
      <c r="HV108" s="476">
        <v>0</v>
      </c>
      <c r="HW108" s="476">
        <v>0</v>
      </c>
      <c r="HX108" s="476">
        <v>194</v>
      </c>
      <c r="HY108" s="476">
        <v>144</v>
      </c>
      <c r="HZ108" s="476">
        <v>295</v>
      </c>
      <c r="IA108" s="476">
        <v>409</v>
      </c>
      <c r="IB108" s="476">
        <v>737</v>
      </c>
      <c r="IC108" s="476">
        <v>1779</v>
      </c>
      <c r="ID108" s="476">
        <v>0</v>
      </c>
      <c r="IE108" s="476">
        <v>0</v>
      </c>
      <c r="IF108" s="476">
        <v>0</v>
      </c>
      <c r="IG108" s="476">
        <v>0</v>
      </c>
      <c r="IH108" s="476">
        <v>525.99200000000008</v>
      </c>
      <c r="II108" s="476">
        <v>0</v>
      </c>
      <c r="IJ108" s="476">
        <v>543.99700000000007</v>
      </c>
      <c r="IK108" s="476">
        <v>0</v>
      </c>
      <c r="IL108" s="476">
        <v>0</v>
      </c>
      <c r="IM108" s="476">
        <v>0</v>
      </c>
      <c r="IN108" s="476">
        <v>0</v>
      </c>
      <c r="IO108" s="476">
        <v>0</v>
      </c>
      <c r="IP108" s="476">
        <v>0</v>
      </c>
      <c r="IQ108" s="476">
        <v>543.99700000000007</v>
      </c>
      <c r="IR108" s="476">
        <v>335095</v>
      </c>
      <c r="IS108" s="476">
        <v>0</v>
      </c>
      <c r="IT108" s="476">
        <v>0</v>
      </c>
      <c r="IU108" s="476">
        <v>0</v>
      </c>
      <c r="IV108" s="476">
        <v>0</v>
      </c>
      <c r="IW108" s="476">
        <v>6160</v>
      </c>
      <c r="IX108" s="476">
        <v>0</v>
      </c>
      <c r="IY108" s="476">
        <v>0</v>
      </c>
      <c r="IZ108" s="476">
        <v>0</v>
      </c>
      <c r="JA108" s="476">
        <v>0</v>
      </c>
      <c r="JB108" s="476">
        <v>0</v>
      </c>
      <c r="JC108" s="476">
        <v>0</v>
      </c>
      <c r="JD108" s="476">
        <v>0</v>
      </c>
      <c r="JE108" s="476">
        <v>0</v>
      </c>
      <c r="JF108" s="476">
        <v>0</v>
      </c>
      <c r="JG108" s="476">
        <v>0</v>
      </c>
      <c r="JH108" s="476">
        <v>0</v>
      </c>
      <c r="JI108" s="476">
        <v>0</v>
      </c>
      <c r="JJ108" s="476">
        <v>0</v>
      </c>
      <c r="JK108" s="476">
        <v>0</v>
      </c>
      <c r="JL108" s="476">
        <v>0</v>
      </c>
      <c r="JM108" s="476">
        <v>0</v>
      </c>
      <c r="JN108" s="476">
        <v>32469</v>
      </c>
      <c r="JO108" s="476">
        <v>0</v>
      </c>
      <c r="JP108" s="476">
        <v>0</v>
      </c>
      <c r="JQ108" s="476">
        <v>0</v>
      </c>
      <c r="JR108" s="476">
        <v>0</v>
      </c>
      <c r="JS108" s="476">
        <v>0</v>
      </c>
      <c r="JT108" s="476">
        <v>0</v>
      </c>
      <c r="JU108" s="476">
        <v>0</v>
      </c>
      <c r="JV108" s="476">
        <v>0</v>
      </c>
      <c r="JW108" s="476">
        <v>0</v>
      </c>
      <c r="JX108" s="476">
        <v>0</v>
      </c>
      <c r="JY108" s="476">
        <v>0</v>
      </c>
      <c r="JZ108" s="476">
        <v>0</v>
      </c>
      <c r="KA108" s="476">
        <v>0</v>
      </c>
      <c r="KB108" s="476">
        <v>0</v>
      </c>
      <c r="KC108" s="476">
        <v>0</v>
      </c>
      <c r="KD108" s="476">
        <v>0</v>
      </c>
      <c r="KE108" s="476">
        <v>7262</v>
      </c>
      <c r="KF108" s="476">
        <v>0</v>
      </c>
      <c r="KG108" s="476">
        <v>0</v>
      </c>
      <c r="KH108" s="476">
        <v>12818374</v>
      </c>
      <c r="KI108" s="476">
        <v>0</v>
      </c>
      <c r="KJ108" s="476">
        <v>0</v>
      </c>
      <c r="KK108" s="476">
        <v>0</v>
      </c>
      <c r="KL108" s="476">
        <v>0</v>
      </c>
      <c r="KM108" s="476">
        <v>0</v>
      </c>
      <c r="KN108" s="476">
        <v>0</v>
      </c>
    </row>
    <row r="109" spans="1:300" x14ac:dyDescent="0.25">
      <c r="A109" s="476">
        <v>40976</v>
      </c>
      <c r="B109" s="476">
        <v>101855</v>
      </c>
      <c r="C109" s="476">
        <v>9</v>
      </c>
      <c r="D109" s="476">
        <v>2024</v>
      </c>
      <c r="E109" s="476">
        <v>6160</v>
      </c>
      <c r="F109" s="476">
        <v>0</v>
      </c>
      <c r="G109" s="476">
        <v>230.10300000000001</v>
      </c>
      <c r="H109" s="476">
        <v>225.75800000000001</v>
      </c>
      <c r="I109" s="476">
        <v>225.75800000000001</v>
      </c>
      <c r="J109" s="476">
        <v>230.10300000000001</v>
      </c>
      <c r="K109" s="476">
        <v>0</v>
      </c>
      <c r="L109" s="476">
        <v>6160</v>
      </c>
      <c r="M109" s="476">
        <v>0</v>
      </c>
      <c r="N109" s="476">
        <v>0</v>
      </c>
      <c r="O109" s="476">
        <v>0</v>
      </c>
      <c r="P109" s="476">
        <v>230.10300000000001</v>
      </c>
      <c r="Q109" s="476">
        <v>0</v>
      </c>
      <c r="R109" s="476">
        <v>95466</v>
      </c>
      <c r="S109" s="476">
        <v>414.88400000000001</v>
      </c>
      <c r="T109" s="476">
        <v>0</v>
      </c>
      <c r="U109" s="476">
        <v>0</v>
      </c>
      <c r="V109" s="476">
        <v>2.9170000000000003</v>
      </c>
      <c r="W109" s="476">
        <v>1797</v>
      </c>
      <c r="X109" s="476">
        <v>1797</v>
      </c>
      <c r="Y109" s="476">
        <v>0</v>
      </c>
      <c r="Z109" s="476">
        <v>0</v>
      </c>
      <c r="AA109" s="476">
        <v>0</v>
      </c>
      <c r="AB109" s="476">
        <v>0</v>
      </c>
      <c r="AC109" s="476">
        <v>0</v>
      </c>
      <c r="AD109" s="476" t="s">
        <v>314</v>
      </c>
      <c r="AE109" s="476">
        <v>0</v>
      </c>
      <c r="AF109" s="476">
        <v>0</v>
      </c>
      <c r="AG109" s="476">
        <v>0</v>
      </c>
      <c r="AH109" s="476">
        <v>0</v>
      </c>
      <c r="AI109" s="476">
        <v>0</v>
      </c>
      <c r="AJ109" s="476">
        <v>6160</v>
      </c>
      <c r="AK109" s="476" t="s">
        <v>651</v>
      </c>
      <c r="AL109" s="476" t="s">
        <v>1060</v>
      </c>
      <c r="AM109" s="476">
        <v>0</v>
      </c>
      <c r="AN109" s="476">
        <v>0</v>
      </c>
      <c r="AO109" s="476">
        <v>0</v>
      </c>
      <c r="AP109" s="476">
        <v>0</v>
      </c>
      <c r="AQ109" s="476">
        <v>0</v>
      </c>
      <c r="AR109" s="476">
        <v>0</v>
      </c>
      <c r="AS109" s="476">
        <v>0</v>
      </c>
      <c r="AT109" s="476">
        <v>0</v>
      </c>
      <c r="AU109" s="476">
        <v>0</v>
      </c>
      <c r="AV109" s="476">
        <v>0</v>
      </c>
      <c r="AW109" s="476">
        <v>2402037</v>
      </c>
      <c r="AX109" s="476">
        <v>2363509</v>
      </c>
      <c r="AY109" s="476">
        <v>0</v>
      </c>
      <c r="AZ109" s="476">
        <v>95466</v>
      </c>
      <c r="BA109" s="476">
        <v>0</v>
      </c>
      <c r="BB109" s="476">
        <v>0</v>
      </c>
      <c r="BC109" s="476">
        <v>0</v>
      </c>
      <c r="BD109" s="476">
        <v>0</v>
      </c>
      <c r="BE109" s="476">
        <v>0</v>
      </c>
      <c r="BF109" s="476">
        <v>2131160</v>
      </c>
      <c r="BG109" s="476">
        <v>0</v>
      </c>
      <c r="BH109" s="476">
        <v>0</v>
      </c>
      <c r="BI109" s="476">
        <v>0</v>
      </c>
      <c r="BJ109" s="476">
        <v>12</v>
      </c>
      <c r="BK109" s="476">
        <v>0</v>
      </c>
      <c r="BL109" s="476">
        <v>0</v>
      </c>
      <c r="BM109" s="476">
        <v>0</v>
      </c>
      <c r="BN109" s="476">
        <v>0</v>
      </c>
      <c r="BO109" s="476">
        <v>0</v>
      </c>
      <c r="BP109" s="476">
        <v>0</v>
      </c>
      <c r="BQ109" s="476">
        <v>735</v>
      </c>
      <c r="BR109" s="476">
        <v>0</v>
      </c>
      <c r="BS109" s="476">
        <v>0</v>
      </c>
      <c r="BT109" s="476">
        <v>0</v>
      </c>
      <c r="BU109" s="476">
        <v>0</v>
      </c>
      <c r="BV109" s="476">
        <v>0</v>
      </c>
      <c r="BW109" s="476">
        <v>0</v>
      </c>
      <c r="BX109" s="476">
        <v>0</v>
      </c>
      <c r="BY109" s="476">
        <v>0</v>
      </c>
      <c r="BZ109" s="476">
        <v>0</v>
      </c>
      <c r="CA109" s="476">
        <v>0</v>
      </c>
      <c r="CB109" s="476">
        <v>0</v>
      </c>
      <c r="CC109" s="476">
        <v>0</v>
      </c>
      <c r="CD109" s="476">
        <v>0</v>
      </c>
      <c r="CE109" s="476">
        <v>0</v>
      </c>
      <c r="CF109" s="476">
        <v>0</v>
      </c>
      <c r="CG109" s="476">
        <v>0</v>
      </c>
      <c r="CH109" s="476">
        <v>38847</v>
      </c>
      <c r="CI109" s="476">
        <v>0</v>
      </c>
      <c r="CJ109" s="476">
        <v>4</v>
      </c>
      <c r="CK109" s="476">
        <v>0</v>
      </c>
      <c r="CL109" s="476">
        <v>0</v>
      </c>
      <c r="CM109" s="476">
        <v>0</v>
      </c>
      <c r="CN109" s="476">
        <v>0</v>
      </c>
      <c r="CO109" s="476">
        <v>1</v>
      </c>
      <c r="CP109" s="476">
        <v>0</v>
      </c>
      <c r="CQ109" s="476">
        <v>0</v>
      </c>
      <c r="CR109" s="476">
        <v>230.10300000000001</v>
      </c>
      <c r="CS109" s="476">
        <v>0</v>
      </c>
      <c r="CT109" s="476">
        <v>0</v>
      </c>
      <c r="CU109" s="476">
        <v>0</v>
      </c>
      <c r="CV109" s="476">
        <v>0</v>
      </c>
      <c r="CW109" s="476">
        <v>0</v>
      </c>
      <c r="CX109" s="476">
        <v>0</v>
      </c>
      <c r="CY109" s="476">
        <v>0</v>
      </c>
      <c r="CZ109" s="476">
        <v>0</v>
      </c>
      <c r="DA109" s="476">
        <v>0</v>
      </c>
      <c r="DB109" s="476">
        <v>1390638</v>
      </c>
      <c r="DC109" s="476">
        <v>0</v>
      </c>
      <c r="DD109" s="476">
        <v>0</v>
      </c>
      <c r="DE109" s="476">
        <v>332555</v>
      </c>
      <c r="DF109" s="476">
        <v>332555</v>
      </c>
      <c r="DG109" s="476">
        <v>53.988</v>
      </c>
      <c r="DH109" s="476">
        <v>0</v>
      </c>
      <c r="DI109" s="476">
        <v>0</v>
      </c>
      <c r="DJ109" s="476">
        <v>0</v>
      </c>
      <c r="DK109" s="476">
        <v>3386</v>
      </c>
      <c r="DL109" s="476">
        <v>0</v>
      </c>
      <c r="DM109" s="476">
        <v>92762</v>
      </c>
      <c r="DN109" s="476">
        <v>319</v>
      </c>
      <c r="DO109" s="476">
        <v>0</v>
      </c>
      <c r="DP109" s="476">
        <v>0</v>
      </c>
      <c r="DQ109" s="476">
        <v>0</v>
      </c>
      <c r="DR109" s="476">
        <v>0</v>
      </c>
      <c r="DS109" s="476">
        <v>0</v>
      </c>
      <c r="DT109" s="476">
        <v>0</v>
      </c>
      <c r="DU109" s="476">
        <v>0</v>
      </c>
      <c r="DV109" s="476">
        <v>0</v>
      </c>
      <c r="DW109" s="476">
        <v>0</v>
      </c>
      <c r="DX109" s="476">
        <v>0</v>
      </c>
      <c r="DY109" s="476">
        <v>0</v>
      </c>
      <c r="DZ109" s="476">
        <v>0</v>
      </c>
      <c r="EA109" s="476">
        <v>0</v>
      </c>
      <c r="EB109" s="476">
        <v>0</v>
      </c>
      <c r="EC109" s="476">
        <v>0.95300000000000007</v>
      </c>
      <c r="ED109" s="476">
        <v>6751</v>
      </c>
      <c r="EE109" s="476">
        <v>0</v>
      </c>
      <c r="EF109" s="476">
        <v>0</v>
      </c>
      <c r="EG109" s="476">
        <v>0</v>
      </c>
      <c r="EH109" s="476">
        <v>86330</v>
      </c>
      <c r="EI109" s="476">
        <v>0</v>
      </c>
      <c r="EJ109" s="476">
        <v>0</v>
      </c>
      <c r="EK109" s="476">
        <v>3.855</v>
      </c>
      <c r="EL109" s="476">
        <v>0</v>
      </c>
      <c r="EM109" s="476">
        <v>0</v>
      </c>
      <c r="EN109" s="476">
        <v>0.49</v>
      </c>
      <c r="EO109" s="476">
        <v>0</v>
      </c>
      <c r="EP109" s="476">
        <v>0</v>
      </c>
      <c r="EQ109" s="476">
        <v>4.3450000000000006</v>
      </c>
      <c r="ER109" s="476">
        <v>0</v>
      </c>
      <c r="ES109" s="476">
        <v>14.015000000000001</v>
      </c>
      <c r="ET109" s="476">
        <v>0</v>
      </c>
      <c r="EU109" s="476">
        <v>0</v>
      </c>
      <c r="EV109" s="476">
        <v>0</v>
      </c>
      <c r="EW109" s="476">
        <v>0</v>
      </c>
      <c r="EX109" s="476">
        <v>0</v>
      </c>
      <c r="EY109" s="476">
        <v>0</v>
      </c>
      <c r="EZ109" s="476">
        <v>2042382</v>
      </c>
      <c r="FA109" s="476">
        <v>0</v>
      </c>
      <c r="FB109" s="476">
        <v>2137529</v>
      </c>
      <c r="FC109" s="476">
        <v>0</v>
      </c>
      <c r="FD109" s="476">
        <v>0</v>
      </c>
      <c r="FE109" s="476">
        <v>275171</v>
      </c>
      <c r="FF109" s="476">
        <v>45956</v>
      </c>
      <c r="FG109" s="476">
        <v>6.3017999999999991E-2</v>
      </c>
      <c r="FH109" s="476">
        <v>2.6953999999999999E-2</v>
      </c>
      <c r="FI109" s="476">
        <v>0</v>
      </c>
      <c r="FJ109" s="476">
        <v>0</v>
      </c>
      <c r="FK109" s="476">
        <v>345.97500000000002</v>
      </c>
      <c r="FL109" s="476">
        <v>2497503</v>
      </c>
      <c r="FM109" s="476">
        <v>0</v>
      </c>
      <c r="FN109" s="476">
        <v>0</v>
      </c>
      <c r="FO109" s="476">
        <v>6688</v>
      </c>
      <c r="FP109" s="476">
        <v>0</v>
      </c>
      <c r="FQ109" s="476">
        <v>6688</v>
      </c>
      <c r="FR109" s="476">
        <v>6688</v>
      </c>
      <c r="FS109" s="476">
        <v>0</v>
      </c>
      <c r="FT109" s="476">
        <v>0</v>
      </c>
      <c r="FU109" s="476">
        <v>0</v>
      </c>
      <c r="FV109" s="476">
        <v>0</v>
      </c>
      <c r="FW109" s="476">
        <v>0</v>
      </c>
      <c r="FX109" s="476">
        <v>0</v>
      </c>
      <c r="FY109" s="476">
        <v>0</v>
      </c>
      <c r="FZ109" s="476">
        <v>0</v>
      </c>
      <c r="GA109" s="476">
        <v>0</v>
      </c>
      <c r="GB109" s="476">
        <v>0</v>
      </c>
      <c r="GC109" s="476">
        <v>0</v>
      </c>
      <c r="GD109" s="476">
        <v>0</v>
      </c>
      <c r="GE109" s="476">
        <v>0</v>
      </c>
      <c r="GF109" s="476">
        <v>0</v>
      </c>
      <c r="GG109" s="476">
        <v>0</v>
      </c>
      <c r="GH109" s="476">
        <v>0</v>
      </c>
      <c r="GI109" s="476">
        <v>0</v>
      </c>
      <c r="GJ109" s="476">
        <v>0</v>
      </c>
      <c r="GK109" s="476">
        <v>0</v>
      </c>
      <c r="GL109" s="476">
        <v>0</v>
      </c>
      <c r="GM109" s="476">
        <v>0</v>
      </c>
      <c r="GN109" s="476">
        <v>0</v>
      </c>
      <c r="GO109" s="476">
        <v>0</v>
      </c>
      <c r="GP109" s="476">
        <v>0</v>
      </c>
      <c r="GQ109" s="476">
        <v>2363190</v>
      </c>
      <c r="GR109" s="476">
        <v>0</v>
      </c>
      <c r="GS109" s="476">
        <v>0</v>
      </c>
      <c r="GT109" s="476">
        <v>0</v>
      </c>
      <c r="GU109" s="476">
        <v>0</v>
      </c>
      <c r="GV109" s="476">
        <v>0</v>
      </c>
      <c r="GW109" s="476">
        <v>0</v>
      </c>
      <c r="GX109" s="476">
        <v>0</v>
      </c>
      <c r="GY109" s="476">
        <v>0</v>
      </c>
      <c r="GZ109" s="476">
        <v>0</v>
      </c>
      <c r="HA109" s="476">
        <v>0</v>
      </c>
      <c r="HB109" s="476">
        <v>323396213</v>
      </c>
      <c r="HC109" s="476">
        <v>4.2206E-2</v>
      </c>
      <c r="HD109" s="476">
        <v>38847</v>
      </c>
      <c r="HE109" s="476">
        <v>0</v>
      </c>
      <c r="HF109" s="476">
        <v>248785</v>
      </c>
      <c r="HG109" s="476">
        <v>0</v>
      </c>
      <c r="HH109" s="476">
        <v>62003</v>
      </c>
      <c r="HI109" s="476">
        <v>0</v>
      </c>
      <c r="HJ109" s="476">
        <v>2301</v>
      </c>
      <c r="HK109" s="476">
        <v>0</v>
      </c>
      <c r="HL109" s="476">
        <v>0</v>
      </c>
      <c r="HM109" s="476">
        <v>0</v>
      </c>
      <c r="HN109" s="476">
        <v>0</v>
      </c>
      <c r="HO109" s="476">
        <v>0</v>
      </c>
      <c r="HP109" s="476">
        <v>0</v>
      </c>
      <c r="HQ109" s="476">
        <v>0</v>
      </c>
      <c r="HR109" s="476">
        <v>0</v>
      </c>
      <c r="HS109" s="476">
        <v>2042063</v>
      </c>
      <c r="HT109" s="476">
        <v>45956</v>
      </c>
      <c r="HU109" s="476">
        <v>0</v>
      </c>
      <c r="HV109" s="476">
        <v>0</v>
      </c>
      <c r="HW109" s="476">
        <v>0</v>
      </c>
      <c r="HX109" s="476">
        <v>36</v>
      </c>
      <c r="HY109" s="476">
        <v>33</v>
      </c>
      <c r="HZ109" s="476">
        <v>60</v>
      </c>
      <c r="IA109" s="476">
        <v>48</v>
      </c>
      <c r="IB109" s="476">
        <v>38</v>
      </c>
      <c r="IC109" s="476">
        <v>215</v>
      </c>
      <c r="ID109" s="476">
        <v>0</v>
      </c>
      <c r="IE109" s="476">
        <v>0</v>
      </c>
      <c r="IF109" s="476">
        <v>0</v>
      </c>
      <c r="IG109" s="476">
        <v>0</v>
      </c>
      <c r="IH109" s="476">
        <v>100.65600000000001</v>
      </c>
      <c r="II109" s="476">
        <v>0</v>
      </c>
      <c r="IJ109" s="476">
        <v>2.9170000000000003</v>
      </c>
      <c r="IK109" s="476">
        <v>0</v>
      </c>
      <c r="IL109" s="476">
        <v>0</v>
      </c>
      <c r="IM109" s="476">
        <v>0</v>
      </c>
      <c r="IN109" s="476">
        <v>0</v>
      </c>
      <c r="IO109" s="476">
        <v>0</v>
      </c>
      <c r="IP109" s="476">
        <v>0</v>
      </c>
      <c r="IQ109" s="476">
        <v>2.9170000000000003</v>
      </c>
      <c r="IR109" s="476">
        <v>1797</v>
      </c>
      <c r="IS109" s="476">
        <v>0</v>
      </c>
      <c r="IT109" s="476">
        <v>0</v>
      </c>
      <c r="IU109" s="476">
        <v>0</v>
      </c>
      <c r="IV109" s="476">
        <v>0</v>
      </c>
      <c r="IW109" s="476">
        <v>6160</v>
      </c>
      <c r="IX109" s="476">
        <v>0</v>
      </c>
      <c r="IY109" s="476">
        <v>0</v>
      </c>
      <c r="IZ109" s="476">
        <v>0</v>
      </c>
      <c r="JA109" s="476">
        <v>0</v>
      </c>
      <c r="JB109" s="476">
        <v>0</v>
      </c>
      <c r="JC109" s="476">
        <v>0</v>
      </c>
      <c r="JD109" s="476">
        <v>0</v>
      </c>
      <c r="JE109" s="476">
        <v>0</v>
      </c>
      <c r="JF109" s="476">
        <v>0</v>
      </c>
      <c r="JG109" s="476">
        <v>0</v>
      </c>
      <c r="JH109" s="476">
        <v>0</v>
      </c>
      <c r="JI109" s="476">
        <v>0</v>
      </c>
      <c r="JJ109" s="476">
        <v>0</v>
      </c>
      <c r="JK109" s="476">
        <v>0</v>
      </c>
      <c r="JL109" s="476">
        <v>0</v>
      </c>
      <c r="JM109" s="476">
        <v>0</v>
      </c>
      <c r="JN109" s="476">
        <v>32469</v>
      </c>
      <c r="JO109" s="476">
        <v>0</v>
      </c>
      <c r="JP109" s="476">
        <v>0</v>
      </c>
      <c r="JQ109" s="476">
        <v>0</v>
      </c>
      <c r="JR109" s="476">
        <v>0</v>
      </c>
      <c r="JS109" s="476">
        <v>0</v>
      </c>
      <c r="JT109" s="476">
        <v>0</v>
      </c>
      <c r="JU109" s="476">
        <v>0</v>
      </c>
      <c r="JV109" s="476">
        <v>0</v>
      </c>
      <c r="JW109" s="476">
        <v>0</v>
      </c>
      <c r="JX109" s="476">
        <v>0</v>
      </c>
      <c r="JY109" s="476">
        <v>0</v>
      </c>
      <c r="JZ109" s="476">
        <v>0</v>
      </c>
      <c r="KA109" s="476">
        <v>0</v>
      </c>
      <c r="KB109" s="476">
        <v>0</v>
      </c>
      <c r="KC109" s="476">
        <v>0</v>
      </c>
      <c r="KD109" s="476">
        <v>0</v>
      </c>
      <c r="KE109" s="476">
        <v>7262</v>
      </c>
      <c r="KF109" s="476">
        <v>0</v>
      </c>
      <c r="KG109" s="476">
        <v>0</v>
      </c>
      <c r="KH109" s="476">
        <v>2363190</v>
      </c>
      <c r="KI109" s="476">
        <v>0</v>
      </c>
      <c r="KJ109" s="476">
        <v>0</v>
      </c>
      <c r="KK109" s="476">
        <v>0</v>
      </c>
      <c r="KL109" s="476">
        <v>0</v>
      </c>
      <c r="KM109" s="476">
        <v>0</v>
      </c>
      <c r="KN109" s="476">
        <v>0</v>
      </c>
    </row>
    <row r="110" spans="1:300" x14ac:dyDescent="0.25">
      <c r="A110" s="476">
        <v>40976</v>
      </c>
      <c r="B110" s="476">
        <v>101856</v>
      </c>
      <c r="C110" s="476">
        <v>9</v>
      </c>
      <c r="D110" s="476">
        <v>2024</v>
      </c>
      <c r="E110" s="476">
        <v>6160</v>
      </c>
      <c r="F110" s="476">
        <v>0</v>
      </c>
      <c r="G110" s="476">
        <v>604.798</v>
      </c>
      <c r="H110" s="476">
        <v>597.99200000000008</v>
      </c>
      <c r="I110" s="476">
        <v>597.99200000000008</v>
      </c>
      <c r="J110" s="476">
        <v>604.798</v>
      </c>
      <c r="K110" s="476">
        <v>0</v>
      </c>
      <c r="L110" s="476">
        <v>6160</v>
      </c>
      <c r="M110" s="476">
        <v>0</v>
      </c>
      <c r="N110" s="476">
        <v>0</v>
      </c>
      <c r="O110" s="476">
        <v>0</v>
      </c>
      <c r="P110" s="476">
        <v>605.34199999999998</v>
      </c>
      <c r="Q110" s="476">
        <v>0</v>
      </c>
      <c r="R110" s="476">
        <v>251147</v>
      </c>
      <c r="S110" s="476">
        <v>414.88400000000001</v>
      </c>
      <c r="T110" s="476">
        <v>0</v>
      </c>
      <c r="U110" s="476">
        <v>0</v>
      </c>
      <c r="V110" s="476">
        <v>151.15800000000002</v>
      </c>
      <c r="W110" s="476">
        <v>468767</v>
      </c>
      <c r="X110" s="476">
        <v>468767</v>
      </c>
      <c r="Y110" s="476">
        <v>0</v>
      </c>
      <c r="Z110" s="476">
        <v>0</v>
      </c>
      <c r="AA110" s="476">
        <v>0</v>
      </c>
      <c r="AB110" s="476">
        <v>0</v>
      </c>
      <c r="AC110" s="476">
        <v>0</v>
      </c>
      <c r="AD110" s="476" t="s">
        <v>314</v>
      </c>
      <c r="AE110" s="476">
        <v>0</v>
      </c>
      <c r="AF110" s="476">
        <v>0</v>
      </c>
      <c r="AG110" s="476">
        <v>0</v>
      </c>
      <c r="AH110" s="476">
        <v>0</v>
      </c>
      <c r="AI110" s="476">
        <v>0</v>
      </c>
      <c r="AJ110" s="476">
        <v>6160</v>
      </c>
      <c r="AK110" s="476" t="s">
        <v>651</v>
      </c>
      <c r="AL110" s="476" t="s">
        <v>33</v>
      </c>
      <c r="AM110" s="476">
        <v>0</v>
      </c>
      <c r="AN110" s="476">
        <v>0</v>
      </c>
      <c r="AO110" s="476">
        <v>0</v>
      </c>
      <c r="AP110" s="476">
        <v>0</v>
      </c>
      <c r="AQ110" s="476">
        <v>0</v>
      </c>
      <c r="AR110" s="476">
        <v>0</v>
      </c>
      <c r="AS110" s="476">
        <v>0</v>
      </c>
      <c r="AT110" s="476">
        <v>0</v>
      </c>
      <c r="AU110" s="476">
        <v>0</v>
      </c>
      <c r="AV110" s="476">
        <v>0</v>
      </c>
      <c r="AW110" s="476">
        <v>7183018</v>
      </c>
      <c r="AX110" s="476">
        <v>7081378</v>
      </c>
      <c r="AY110" s="476">
        <v>0</v>
      </c>
      <c r="AZ110" s="476">
        <v>251147</v>
      </c>
      <c r="BA110" s="476">
        <v>0</v>
      </c>
      <c r="BB110" s="476">
        <v>0</v>
      </c>
      <c r="BC110" s="476">
        <v>0</v>
      </c>
      <c r="BD110" s="476">
        <v>0</v>
      </c>
      <c r="BE110" s="476">
        <v>0</v>
      </c>
      <c r="BF110" s="476">
        <v>6372330</v>
      </c>
      <c r="BG110" s="476">
        <v>0</v>
      </c>
      <c r="BH110" s="476">
        <v>0</v>
      </c>
      <c r="BI110" s="476">
        <v>0</v>
      </c>
      <c r="BJ110" s="476">
        <v>12</v>
      </c>
      <c r="BK110" s="476">
        <v>0</v>
      </c>
      <c r="BL110" s="476">
        <v>0</v>
      </c>
      <c r="BM110" s="476">
        <v>0</v>
      </c>
      <c r="BN110" s="476">
        <v>0</v>
      </c>
      <c r="BO110" s="476">
        <v>0</v>
      </c>
      <c r="BP110" s="476">
        <v>0</v>
      </c>
      <c r="BQ110" s="476">
        <v>678</v>
      </c>
      <c r="BR110" s="476">
        <v>0</v>
      </c>
      <c r="BS110" s="476">
        <v>0</v>
      </c>
      <c r="BT110" s="476">
        <v>0</v>
      </c>
      <c r="BU110" s="476">
        <v>0</v>
      </c>
      <c r="BV110" s="476">
        <v>0</v>
      </c>
      <c r="BW110" s="476">
        <v>0</v>
      </c>
      <c r="BX110" s="476">
        <v>0</v>
      </c>
      <c r="BY110" s="476">
        <v>0</v>
      </c>
      <c r="BZ110" s="476">
        <v>0</v>
      </c>
      <c r="CA110" s="476">
        <v>0</v>
      </c>
      <c r="CB110" s="476">
        <v>0</v>
      </c>
      <c r="CC110" s="476">
        <v>0</v>
      </c>
      <c r="CD110" s="476">
        <v>0</v>
      </c>
      <c r="CE110" s="476">
        <v>0</v>
      </c>
      <c r="CF110" s="476">
        <v>0</v>
      </c>
      <c r="CG110" s="476">
        <v>0</v>
      </c>
      <c r="CH110" s="476">
        <v>102105</v>
      </c>
      <c r="CI110" s="476">
        <v>0</v>
      </c>
      <c r="CJ110" s="476">
        <v>4</v>
      </c>
      <c r="CK110" s="476">
        <v>0</v>
      </c>
      <c r="CL110" s="476">
        <v>0</v>
      </c>
      <c r="CM110" s="476">
        <v>0</v>
      </c>
      <c r="CN110" s="476">
        <v>0</v>
      </c>
      <c r="CO110" s="476">
        <v>1</v>
      </c>
      <c r="CP110" s="476">
        <v>0</v>
      </c>
      <c r="CQ110" s="476">
        <v>0</v>
      </c>
      <c r="CR110" s="476">
        <v>604.798</v>
      </c>
      <c r="CS110" s="476">
        <v>0</v>
      </c>
      <c r="CT110" s="476">
        <v>0</v>
      </c>
      <c r="CU110" s="476">
        <v>0</v>
      </c>
      <c r="CV110" s="476">
        <v>0</v>
      </c>
      <c r="CW110" s="476">
        <v>0</v>
      </c>
      <c r="CX110" s="476">
        <v>0</v>
      </c>
      <c r="CY110" s="476">
        <v>0</v>
      </c>
      <c r="CZ110" s="476">
        <v>0</v>
      </c>
      <c r="DA110" s="476">
        <v>0</v>
      </c>
      <c r="DB110" s="476">
        <v>3683547</v>
      </c>
      <c r="DC110" s="476">
        <v>0</v>
      </c>
      <c r="DD110" s="476">
        <v>0</v>
      </c>
      <c r="DE110" s="476">
        <v>1108929</v>
      </c>
      <c r="DF110" s="476">
        <v>1108929</v>
      </c>
      <c r="DG110" s="476">
        <v>180.02500000000001</v>
      </c>
      <c r="DH110" s="476">
        <v>0</v>
      </c>
      <c r="DI110" s="476">
        <v>0</v>
      </c>
      <c r="DJ110" s="476">
        <v>0</v>
      </c>
      <c r="DK110" s="476">
        <v>2469</v>
      </c>
      <c r="DL110" s="476">
        <v>0</v>
      </c>
      <c r="DM110" s="476">
        <v>135137</v>
      </c>
      <c r="DN110" s="476">
        <v>465</v>
      </c>
      <c r="DO110" s="476">
        <v>0</v>
      </c>
      <c r="DP110" s="476">
        <v>0</v>
      </c>
      <c r="DQ110" s="476">
        <v>0</v>
      </c>
      <c r="DR110" s="476">
        <v>0</v>
      </c>
      <c r="DS110" s="476">
        <v>0</v>
      </c>
      <c r="DT110" s="476">
        <v>0</v>
      </c>
      <c r="DU110" s="476">
        <v>0</v>
      </c>
      <c r="DV110" s="476">
        <v>0</v>
      </c>
      <c r="DW110" s="476">
        <v>0</v>
      </c>
      <c r="DX110" s="476">
        <v>0</v>
      </c>
      <c r="DY110" s="476">
        <v>0</v>
      </c>
      <c r="DZ110" s="476">
        <v>0</v>
      </c>
      <c r="EA110" s="476">
        <v>0</v>
      </c>
      <c r="EB110" s="476">
        <v>0</v>
      </c>
      <c r="EC110" s="476">
        <v>0.55800000000000005</v>
      </c>
      <c r="ED110" s="476">
        <v>3953</v>
      </c>
      <c r="EE110" s="476">
        <v>0</v>
      </c>
      <c r="EF110" s="476">
        <v>0</v>
      </c>
      <c r="EG110" s="476">
        <v>0</v>
      </c>
      <c r="EH110" s="476">
        <v>131649</v>
      </c>
      <c r="EI110" s="476">
        <v>0</v>
      </c>
      <c r="EJ110" s="476">
        <v>0</v>
      </c>
      <c r="EK110" s="476">
        <v>6.3290000000000006</v>
      </c>
      <c r="EL110" s="476">
        <v>0</v>
      </c>
      <c r="EM110" s="476">
        <v>0</v>
      </c>
      <c r="EN110" s="476">
        <v>0.47700000000000004</v>
      </c>
      <c r="EO110" s="476">
        <v>0</v>
      </c>
      <c r="EP110" s="476">
        <v>0</v>
      </c>
      <c r="EQ110" s="476">
        <v>6.806</v>
      </c>
      <c r="ER110" s="476">
        <v>0</v>
      </c>
      <c r="ES110" s="476">
        <v>21.372</v>
      </c>
      <c r="ET110" s="476">
        <v>0</v>
      </c>
      <c r="EU110" s="476">
        <v>0</v>
      </c>
      <c r="EV110" s="476">
        <v>0</v>
      </c>
      <c r="EW110" s="476">
        <v>0</v>
      </c>
      <c r="EX110" s="476">
        <v>0</v>
      </c>
      <c r="EY110" s="476">
        <v>0</v>
      </c>
      <c r="EZ110" s="476">
        <v>6121183</v>
      </c>
      <c r="FA110" s="476">
        <v>0</v>
      </c>
      <c r="FB110" s="476">
        <v>6371865</v>
      </c>
      <c r="FC110" s="476">
        <v>0</v>
      </c>
      <c r="FD110" s="476">
        <v>0</v>
      </c>
      <c r="FE110" s="476">
        <v>822784</v>
      </c>
      <c r="FF110" s="476">
        <v>137411</v>
      </c>
      <c r="FG110" s="476">
        <v>6.3017999999999991E-2</v>
      </c>
      <c r="FH110" s="476">
        <v>2.6953999999999999E-2</v>
      </c>
      <c r="FI110" s="476">
        <v>0</v>
      </c>
      <c r="FJ110" s="476">
        <v>0</v>
      </c>
      <c r="FK110" s="476">
        <v>1034.4929999999999</v>
      </c>
      <c r="FL110" s="476">
        <v>7434165</v>
      </c>
      <c r="FM110" s="476">
        <v>0</v>
      </c>
      <c r="FN110" s="476">
        <v>0</v>
      </c>
      <c r="FO110" s="476">
        <v>0</v>
      </c>
      <c r="FP110" s="476">
        <v>0</v>
      </c>
      <c r="FQ110" s="476">
        <v>0</v>
      </c>
      <c r="FR110" s="476">
        <v>0</v>
      </c>
      <c r="FS110" s="476">
        <v>0</v>
      </c>
      <c r="FT110" s="476">
        <v>0</v>
      </c>
      <c r="FU110" s="476">
        <v>0</v>
      </c>
      <c r="FV110" s="476">
        <v>0</v>
      </c>
      <c r="FW110" s="476">
        <v>0</v>
      </c>
      <c r="FX110" s="476">
        <v>0</v>
      </c>
      <c r="FY110" s="476">
        <v>0</v>
      </c>
      <c r="FZ110" s="476">
        <v>0</v>
      </c>
      <c r="GA110" s="476">
        <v>0</v>
      </c>
      <c r="GB110" s="476">
        <v>0</v>
      </c>
      <c r="GC110" s="476">
        <v>0</v>
      </c>
      <c r="GD110" s="476">
        <v>0</v>
      </c>
      <c r="GE110" s="476">
        <v>0</v>
      </c>
      <c r="GF110" s="476">
        <v>0</v>
      </c>
      <c r="GG110" s="476">
        <v>0</v>
      </c>
      <c r="GH110" s="476">
        <v>0</v>
      </c>
      <c r="GI110" s="476">
        <v>0</v>
      </c>
      <c r="GJ110" s="476">
        <v>0</v>
      </c>
      <c r="GK110" s="476">
        <v>0</v>
      </c>
      <c r="GL110" s="476">
        <v>0</v>
      </c>
      <c r="GM110" s="476">
        <v>0</v>
      </c>
      <c r="GN110" s="476">
        <v>0</v>
      </c>
      <c r="GO110" s="476">
        <v>0</v>
      </c>
      <c r="GP110" s="476">
        <v>0</v>
      </c>
      <c r="GQ110" s="476">
        <v>7080913</v>
      </c>
      <c r="GR110" s="476">
        <v>0</v>
      </c>
      <c r="GS110" s="476">
        <v>0</v>
      </c>
      <c r="GT110" s="476">
        <v>0</v>
      </c>
      <c r="GU110" s="476">
        <v>0</v>
      </c>
      <c r="GV110" s="476">
        <v>0</v>
      </c>
      <c r="GW110" s="476">
        <v>0</v>
      </c>
      <c r="GX110" s="476">
        <v>0</v>
      </c>
      <c r="GY110" s="476">
        <v>0</v>
      </c>
      <c r="GZ110" s="476">
        <v>0</v>
      </c>
      <c r="HA110" s="476">
        <v>0</v>
      </c>
      <c r="HB110" s="476">
        <v>323396213</v>
      </c>
      <c r="HC110" s="476">
        <v>4.2206E-2</v>
      </c>
      <c r="HD110" s="476">
        <v>102105</v>
      </c>
      <c r="HE110" s="476">
        <v>0</v>
      </c>
      <c r="HF110" s="476">
        <v>658987</v>
      </c>
      <c r="HG110" s="476">
        <v>0</v>
      </c>
      <c r="HH110" s="476">
        <v>310450</v>
      </c>
      <c r="HI110" s="476">
        <v>0</v>
      </c>
      <c r="HJ110" s="476">
        <v>6048</v>
      </c>
      <c r="HK110" s="476">
        <v>0</v>
      </c>
      <c r="HL110" s="476">
        <v>0</v>
      </c>
      <c r="HM110" s="476">
        <v>0</v>
      </c>
      <c r="HN110" s="476">
        <v>0</v>
      </c>
      <c r="HO110" s="476">
        <v>0</v>
      </c>
      <c r="HP110" s="476">
        <v>0</v>
      </c>
      <c r="HQ110" s="476">
        <v>0</v>
      </c>
      <c r="HR110" s="476">
        <v>0</v>
      </c>
      <c r="HS110" s="476">
        <v>6120718</v>
      </c>
      <c r="HT110" s="476">
        <v>137411</v>
      </c>
      <c r="HU110" s="476">
        <v>0</v>
      </c>
      <c r="HV110" s="476">
        <v>0</v>
      </c>
      <c r="HW110" s="476">
        <v>0</v>
      </c>
      <c r="HX110" s="476">
        <v>40</v>
      </c>
      <c r="HY110" s="476">
        <v>39</v>
      </c>
      <c r="HZ110" s="476">
        <v>25</v>
      </c>
      <c r="IA110" s="476">
        <v>187</v>
      </c>
      <c r="IB110" s="476">
        <v>387</v>
      </c>
      <c r="IC110" s="476">
        <v>678</v>
      </c>
      <c r="ID110" s="476">
        <v>0</v>
      </c>
      <c r="IE110" s="476">
        <v>406.56300000000005</v>
      </c>
      <c r="IF110" s="476">
        <v>0</v>
      </c>
      <c r="IG110" s="476">
        <v>0</v>
      </c>
      <c r="IH110" s="476">
        <v>503.988</v>
      </c>
      <c r="II110" s="476">
        <v>0</v>
      </c>
      <c r="IJ110" s="476">
        <v>557.721</v>
      </c>
      <c r="IK110" s="476">
        <v>0</v>
      </c>
      <c r="IL110" s="476">
        <v>0</v>
      </c>
      <c r="IM110" s="476">
        <v>0</v>
      </c>
      <c r="IN110" s="476">
        <v>0</v>
      </c>
      <c r="IO110" s="476">
        <v>0</v>
      </c>
      <c r="IP110" s="476">
        <v>0</v>
      </c>
      <c r="IQ110" s="476">
        <v>151.15800000000002</v>
      </c>
      <c r="IR110" s="476">
        <v>93111</v>
      </c>
      <c r="IS110" s="476">
        <v>0</v>
      </c>
      <c r="IT110" s="476">
        <v>0</v>
      </c>
      <c r="IU110" s="476">
        <v>0</v>
      </c>
      <c r="IV110" s="476">
        <v>0</v>
      </c>
      <c r="IW110" s="476">
        <v>6160</v>
      </c>
      <c r="IX110" s="476">
        <v>375656</v>
      </c>
      <c r="IY110" s="476">
        <v>0</v>
      </c>
      <c r="IZ110" s="476">
        <v>0</v>
      </c>
      <c r="JA110" s="476">
        <v>0</v>
      </c>
      <c r="JB110" s="476">
        <v>0</v>
      </c>
      <c r="JC110" s="476">
        <v>0</v>
      </c>
      <c r="JD110" s="476">
        <v>0</v>
      </c>
      <c r="JE110" s="476">
        <v>0</v>
      </c>
      <c r="JF110" s="476">
        <v>0</v>
      </c>
      <c r="JG110" s="476">
        <v>0</v>
      </c>
      <c r="JH110" s="476">
        <v>0</v>
      </c>
      <c r="JI110" s="476">
        <v>0</v>
      </c>
      <c r="JJ110" s="476">
        <v>0</v>
      </c>
      <c r="JK110" s="476">
        <v>0</v>
      </c>
      <c r="JL110" s="476">
        <v>0</v>
      </c>
      <c r="JM110" s="476">
        <v>0</v>
      </c>
      <c r="JN110" s="476">
        <v>32469</v>
      </c>
      <c r="JO110" s="476">
        <v>0</v>
      </c>
      <c r="JP110" s="476">
        <v>0</v>
      </c>
      <c r="JQ110" s="476">
        <v>0</v>
      </c>
      <c r="JR110" s="476">
        <v>0</v>
      </c>
      <c r="JS110" s="476">
        <v>0</v>
      </c>
      <c r="JT110" s="476">
        <v>0</v>
      </c>
      <c r="JU110" s="476">
        <v>0</v>
      </c>
      <c r="JV110" s="476">
        <v>0</v>
      </c>
      <c r="JW110" s="476">
        <v>0</v>
      </c>
      <c r="JX110" s="476">
        <v>0</v>
      </c>
      <c r="JY110" s="476">
        <v>0</v>
      </c>
      <c r="JZ110" s="476">
        <v>0</v>
      </c>
      <c r="KA110" s="476">
        <v>0</v>
      </c>
      <c r="KB110" s="476">
        <v>0</v>
      </c>
      <c r="KC110" s="476">
        <v>0</v>
      </c>
      <c r="KD110" s="476">
        <v>0</v>
      </c>
      <c r="KE110" s="476">
        <v>7262</v>
      </c>
      <c r="KF110" s="476">
        <v>0</v>
      </c>
      <c r="KG110" s="476">
        <v>0</v>
      </c>
      <c r="KH110" s="476">
        <v>7080913</v>
      </c>
      <c r="KI110" s="476">
        <v>0</v>
      </c>
      <c r="KJ110" s="476">
        <v>0</v>
      </c>
      <c r="KK110" s="476">
        <v>0</v>
      </c>
      <c r="KL110" s="476">
        <v>0</v>
      </c>
      <c r="KM110" s="476">
        <v>0</v>
      </c>
      <c r="KN110" s="476">
        <v>0</v>
      </c>
    </row>
    <row r="111" spans="1:300" x14ac:dyDescent="0.25">
      <c r="A111" s="476">
        <v>40976</v>
      </c>
      <c r="B111" s="476">
        <v>101858</v>
      </c>
      <c r="C111" s="476">
        <v>9</v>
      </c>
      <c r="D111" s="476">
        <v>2024</v>
      </c>
      <c r="E111" s="476">
        <v>6160</v>
      </c>
      <c r="F111" s="476">
        <v>0</v>
      </c>
      <c r="G111" s="476">
        <v>6237.8110000000006</v>
      </c>
      <c r="H111" s="476">
        <v>5735.473</v>
      </c>
      <c r="I111" s="476">
        <v>5735.473</v>
      </c>
      <c r="J111" s="476">
        <v>6237.8110000000006</v>
      </c>
      <c r="K111" s="476">
        <v>0</v>
      </c>
      <c r="L111" s="476">
        <v>6160</v>
      </c>
      <c r="M111" s="476">
        <v>0</v>
      </c>
      <c r="N111" s="476">
        <v>0</v>
      </c>
      <c r="O111" s="476">
        <v>0</v>
      </c>
      <c r="P111" s="476">
        <v>6249.1220000000003</v>
      </c>
      <c r="Q111" s="476">
        <v>0</v>
      </c>
      <c r="R111" s="476">
        <v>2592661</v>
      </c>
      <c r="S111" s="476">
        <v>414.88400000000001</v>
      </c>
      <c r="T111" s="476">
        <v>0</v>
      </c>
      <c r="U111" s="476">
        <v>0</v>
      </c>
      <c r="V111" s="476">
        <v>1794.296</v>
      </c>
      <c r="W111" s="476">
        <v>1105261</v>
      </c>
      <c r="X111" s="476">
        <v>1105261</v>
      </c>
      <c r="Y111" s="476">
        <v>0</v>
      </c>
      <c r="Z111" s="476">
        <v>0</v>
      </c>
      <c r="AA111" s="476">
        <v>0</v>
      </c>
      <c r="AB111" s="476">
        <v>0</v>
      </c>
      <c r="AC111" s="476">
        <v>0</v>
      </c>
      <c r="AD111" s="476" t="s">
        <v>314</v>
      </c>
      <c r="AE111" s="476">
        <v>0</v>
      </c>
      <c r="AF111" s="476">
        <v>0</v>
      </c>
      <c r="AG111" s="476">
        <v>0</v>
      </c>
      <c r="AH111" s="476">
        <v>0</v>
      </c>
      <c r="AI111" s="476">
        <v>0</v>
      </c>
      <c r="AJ111" s="476">
        <v>6160</v>
      </c>
      <c r="AK111" s="476" t="s">
        <v>651</v>
      </c>
      <c r="AL111" s="476" t="s">
        <v>764</v>
      </c>
      <c r="AM111" s="476">
        <v>0</v>
      </c>
      <c r="AN111" s="476">
        <v>0</v>
      </c>
      <c r="AO111" s="476">
        <v>0</v>
      </c>
      <c r="AP111" s="476">
        <v>0</v>
      </c>
      <c r="AQ111" s="476">
        <v>0</v>
      </c>
      <c r="AR111" s="476">
        <v>0</v>
      </c>
      <c r="AS111" s="476">
        <v>0</v>
      </c>
      <c r="AT111" s="476">
        <v>0</v>
      </c>
      <c r="AU111" s="476">
        <v>0</v>
      </c>
      <c r="AV111" s="476">
        <v>0</v>
      </c>
      <c r="AW111" s="476">
        <v>68211083</v>
      </c>
      <c r="AX111" s="476">
        <v>67174378</v>
      </c>
      <c r="AY111" s="476">
        <v>0</v>
      </c>
      <c r="AZ111" s="476">
        <v>2592661</v>
      </c>
      <c r="BA111" s="476">
        <v>102.75</v>
      </c>
      <c r="BB111" s="476">
        <v>132942</v>
      </c>
      <c r="BC111" s="476">
        <v>132094</v>
      </c>
      <c r="BD111" s="476">
        <v>311.89100000000002</v>
      </c>
      <c r="BE111" s="476">
        <v>848</v>
      </c>
      <c r="BF111" s="476">
        <v>60617428</v>
      </c>
      <c r="BG111" s="476">
        <v>0</v>
      </c>
      <c r="BH111" s="476">
        <v>0</v>
      </c>
      <c r="BI111" s="476">
        <v>0</v>
      </c>
      <c r="BJ111" s="476">
        <v>12</v>
      </c>
      <c r="BK111" s="476">
        <v>0</v>
      </c>
      <c r="BL111" s="476">
        <v>0</v>
      </c>
      <c r="BM111" s="476">
        <v>0</v>
      </c>
      <c r="BN111" s="476">
        <v>0</v>
      </c>
      <c r="BO111" s="476">
        <v>0</v>
      </c>
      <c r="BP111" s="476">
        <v>0</v>
      </c>
      <c r="BQ111" s="476">
        <v>0</v>
      </c>
      <c r="BR111" s="476">
        <v>0</v>
      </c>
      <c r="BS111" s="476">
        <v>0</v>
      </c>
      <c r="BT111" s="476">
        <v>0</v>
      </c>
      <c r="BU111" s="476">
        <v>0</v>
      </c>
      <c r="BV111" s="476">
        <v>0</v>
      </c>
      <c r="BW111" s="476">
        <v>0</v>
      </c>
      <c r="BX111" s="476">
        <v>0</v>
      </c>
      <c r="BY111" s="476">
        <v>0</v>
      </c>
      <c r="BZ111" s="476">
        <v>0</v>
      </c>
      <c r="CA111" s="476">
        <v>0</v>
      </c>
      <c r="CB111" s="476">
        <v>0</v>
      </c>
      <c r="CC111" s="476">
        <v>0</v>
      </c>
      <c r="CD111" s="476">
        <v>0</v>
      </c>
      <c r="CE111" s="476">
        <v>0</v>
      </c>
      <c r="CF111" s="476">
        <v>0</v>
      </c>
      <c r="CG111" s="476">
        <v>0</v>
      </c>
      <c r="CH111" s="476">
        <v>1053100</v>
      </c>
      <c r="CI111" s="476">
        <v>0</v>
      </c>
      <c r="CJ111" s="476">
        <v>4</v>
      </c>
      <c r="CK111" s="476">
        <v>0</v>
      </c>
      <c r="CL111" s="476">
        <v>0</v>
      </c>
      <c r="CM111" s="476">
        <v>0</v>
      </c>
      <c r="CN111" s="476">
        <v>0</v>
      </c>
      <c r="CO111" s="476">
        <v>1</v>
      </c>
      <c r="CP111" s="476">
        <v>0</v>
      </c>
      <c r="CQ111" s="476">
        <v>0</v>
      </c>
      <c r="CR111" s="476">
        <v>6237.8110000000006</v>
      </c>
      <c r="CS111" s="476">
        <v>0</v>
      </c>
      <c r="CT111" s="476">
        <v>0</v>
      </c>
      <c r="CU111" s="476">
        <v>0</v>
      </c>
      <c r="CV111" s="476">
        <v>0</v>
      </c>
      <c r="CW111" s="476">
        <v>0</v>
      </c>
      <c r="CX111" s="476">
        <v>0</v>
      </c>
      <c r="CY111" s="476">
        <v>0</v>
      </c>
      <c r="CZ111" s="476">
        <v>0</v>
      </c>
      <c r="DA111" s="476">
        <v>0</v>
      </c>
      <c r="DB111" s="476">
        <v>35329712</v>
      </c>
      <c r="DC111" s="476">
        <v>0</v>
      </c>
      <c r="DD111" s="476">
        <v>0</v>
      </c>
      <c r="DE111" s="476">
        <v>7454586</v>
      </c>
      <c r="DF111" s="476">
        <v>7454586</v>
      </c>
      <c r="DG111" s="476">
        <v>1210.1880000000001</v>
      </c>
      <c r="DH111" s="476">
        <v>0</v>
      </c>
      <c r="DI111" s="476">
        <v>0</v>
      </c>
      <c r="DJ111" s="476">
        <v>0</v>
      </c>
      <c r="DK111" s="476">
        <v>0</v>
      </c>
      <c r="DL111" s="476">
        <v>0</v>
      </c>
      <c r="DM111" s="476">
        <v>4522241</v>
      </c>
      <c r="DN111" s="476">
        <v>15547</v>
      </c>
      <c r="DO111" s="476">
        <v>0</v>
      </c>
      <c r="DP111" s="476">
        <v>0</v>
      </c>
      <c r="DQ111" s="476">
        <v>0</v>
      </c>
      <c r="DR111" s="476">
        <v>0</v>
      </c>
      <c r="DS111" s="476">
        <v>0</v>
      </c>
      <c r="DT111" s="476">
        <v>0</v>
      </c>
      <c r="DU111" s="476">
        <v>0</v>
      </c>
      <c r="DV111" s="476">
        <v>0</v>
      </c>
      <c r="DW111" s="476">
        <v>0</v>
      </c>
      <c r="DX111" s="476">
        <v>0</v>
      </c>
      <c r="DY111" s="476">
        <v>0</v>
      </c>
      <c r="DZ111" s="476">
        <v>0</v>
      </c>
      <c r="EA111" s="476">
        <v>0.36699999999999999</v>
      </c>
      <c r="EB111" s="476">
        <v>0</v>
      </c>
      <c r="EC111" s="476">
        <v>94.706000000000003</v>
      </c>
      <c r="ED111" s="476">
        <v>670882</v>
      </c>
      <c r="EE111" s="476">
        <v>0</v>
      </c>
      <c r="EF111" s="476">
        <v>0</v>
      </c>
      <c r="EG111" s="476">
        <v>0.44400000000000001</v>
      </c>
      <c r="EH111" s="476">
        <v>3866906</v>
      </c>
      <c r="EI111" s="476">
        <v>0</v>
      </c>
      <c r="EJ111" s="476">
        <v>0</v>
      </c>
      <c r="EK111" s="476">
        <v>156.48099999999999</v>
      </c>
      <c r="EL111" s="476">
        <v>0</v>
      </c>
      <c r="EM111" s="476">
        <v>30.114000000000001</v>
      </c>
      <c r="EN111" s="476">
        <v>12.988000000000001</v>
      </c>
      <c r="EO111" s="476">
        <v>0</v>
      </c>
      <c r="EP111" s="476">
        <v>0</v>
      </c>
      <c r="EQ111" s="476">
        <v>200.39400000000001</v>
      </c>
      <c r="ER111" s="476">
        <v>0</v>
      </c>
      <c r="ES111" s="476">
        <v>627.75900000000001</v>
      </c>
      <c r="ET111" s="476">
        <v>0</v>
      </c>
      <c r="EU111" s="476">
        <v>0</v>
      </c>
      <c r="EV111" s="476">
        <v>0</v>
      </c>
      <c r="EW111" s="476">
        <v>0</v>
      </c>
      <c r="EX111" s="476">
        <v>0</v>
      </c>
      <c r="EY111" s="476">
        <v>0</v>
      </c>
      <c r="EZ111" s="476">
        <v>58040429</v>
      </c>
      <c r="FA111" s="476">
        <v>0</v>
      </c>
      <c r="FB111" s="476">
        <v>60616695</v>
      </c>
      <c r="FC111" s="476">
        <v>0</v>
      </c>
      <c r="FD111" s="476">
        <v>0</v>
      </c>
      <c r="FE111" s="476">
        <v>7826814</v>
      </c>
      <c r="FF111" s="476">
        <v>1307135</v>
      </c>
      <c r="FG111" s="476">
        <v>6.3017999999999991E-2</v>
      </c>
      <c r="FH111" s="476">
        <v>2.6953999999999999E-2</v>
      </c>
      <c r="FI111" s="476">
        <v>0</v>
      </c>
      <c r="FJ111" s="476">
        <v>0</v>
      </c>
      <c r="FK111" s="476">
        <v>9840.7150000000001</v>
      </c>
      <c r="FL111" s="476">
        <v>70803744</v>
      </c>
      <c r="FM111" s="476">
        <v>0</v>
      </c>
      <c r="FN111" s="476">
        <v>0</v>
      </c>
      <c r="FO111" s="476">
        <v>0</v>
      </c>
      <c r="FP111" s="476">
        <v>0</v>
      </c>
      <c r="FQ111" s="476">
        <v>0</v>
      </c>
      <c r="FR111" s="476">
        <v>0</v>
      </c>
      <c r="FS111" s="476">
        <v>0</v>
      </c>
      <c r="FT111" s="476">
        <v>0</v>
      </c>
      <c r="FU111" s="476">
        <v>0</v>
      </c>
      <c r="FV111" s="476">
        <v>0</v>
      </c>
      <c r="FW111" s="476">
        <v>0</v>
      </c>
      <c r="FX111" s="476">
        <v>0</v>
      </c>
      <c r="FY111" s="476">
        <v>0</v>
      </c>
      <c r="FZ111" s="476">
        <v>0</v>
      </c>
      <c r="GA111" s="476">
        <v>0</v>
      </c>
      <c r="GB111" s="476">
        <v>2855440</v>
      </c>
      <c r="GC111" s="476">
        <v>2855440</v>
      </c>
      <c r="GD111" s="476">
        <v>301.94400000000002</v>
      </c>
      <c r="GE111" s="476">
        <v>0</v>
      </c>
      <c r="GF111" s="476">
        <v>0</v>
      </c>
      <c r="GG111" s="476">
        <v>0</v>
      </c>
      <c r="GH111" s="476">
        <v>0</v>
      </c>
      <c r="GI111" s="476">
        <v>0</v>
      </c>
      <c r="GJ111" s="476">
        <v>0</v>
      </c>
      <c r="GK111" s="476">
        <v>0</v>
      </c>
      <c r="GL111" s="476">
        <v>0</v>
      </c>
      <c r="GM111" s="476">
        <v>0</v>
      </c>
      <c r="GN111" s="476">
        <v>0</v>
      </c>
      <c r="GO111" s="476">
        <v>0</v>
      </c>
      <c r="GP111" s="476">
        <v>0</v>
      </c>
      <c r="GQ111" s="476">
        <v>67157983</v>
      </c>
      <c r="GR111" s="476">
        <v>0</v>
      </c>
      <c r="GS111" s="476">
        <v>0</v>
      </c>
      <c r="GT111" s="476">
        <v>0</v>
      </c>
      <c r="GU111" s="476">
        <v>0</v>
      </c>
      <c r="GV111" s="476">
        <v>0</v>
      </c>
      <c r="GW111" s="476">
        <v>0</v>
      </c>
      <c r="GX111" s="476">
        <v>0</v>
      </c>
      <c r="GY111" s="476">
        <v>0</v>
      </c>
      <c r="GZ111" s="476">
        <v>0</v>
      </c>
      <c r="HA111" s="476">
        <v>0</v>
      </c>
      <c r="HB111" s="476">
        <v>323396213</v>
      </c>
      <c r="HC111" s="476">
        <v>4.2206E-2</v>
      </c>
      <c r="HD111" s="476">
        <v>1053100</v>
      </c>
      <c r="HE111" s="476">
        <v>0</v>
      </c>
      <c r="HF111" s="476">
        <v>6320491</v>
      </c>
      <c r="HG111" s="476">
        <v>57903</v>
      </c>
      <c r="HH111" s="476">
        <v>1378741</v>
      </c>
      <c r="HI111" s="476">
        <v>0</v>
      </c>
      <c r="HJ111" s="476">
        <v>62378</v>
      </c>
      <c r="HK111" s="476">
        <v>12145</v>
      </c>
      <c r="HL111" s="476">
        <v>3517</v>
      </c>
      <c r="HM111" s="476">
        <v>315000</v>
      </c>
      <c r="HN111" s="476">
        <v>1067186</v>
      </c>
      <c r="HO111" s="476">
        <v>0</v>
      </c>
      <c r="HP111" s="476">
        <v>0</v>
      </c>
      <c r="HQ111" s="476">
        <v>0</v>
      </c>
      <c r="HR111" s="476">
        <v>0</v>
      </c>
      <c r="HS111" s="476">
        <v>58024034</v>
      </c>
      <c r="HT111" s="476">
        <v>1307135</v>
      </c>
      <c r="HU111" s="476">
        <v>0</v>
      </c>
      <c r="HV111" s="476">
        <v>0</v>
      </c>
      <c r="HW111" s="476">
        <v>0</v>
      </c>
      <c r="HX111" s="476">
        <v>1019</v>
      </c>
      <c r="HY111" s="476">
        <v>1348</v>
      </c>
      <c r="HZ111" s="476">
        <v>1075</v>
      </c>
      <c r="IA111" s="476">
        <v>781</v>
      </c>
      <c r="IB111" s="476">
        <v>680</v>
      </c>
      <c r="IC111" s="476">
        <v>4903</v>
      </c>
      <c r="ID111" s="476">
        <v>0</v>
      </c>
      <c r="IE111" s="476">
        <v>0</v>
      </c>
      <c r="IF111" s="476">
        <v>0</v>
      </c>
      <c r="IG111" s="476">
        <v>94</v>
      </c>
      <c r="IH111" s="476">
        <v>2238.2670000000003</v>
      </c>
      <c r="II111" s="476">
        <v>0</v>
      </c>
      <c r="IJ111" s="476">
        <v>1794.296</v>
      </c>
      <c r="IK111" s="476">
        <v>0</v>
      </c>
      <c r="IL111" s="476">
        <v>45</v>
      </c>
      <c r="IM111" s="476">
        <v>28</v>
      </c>
      <c r="IN111" s="476">
        <v>3</v>
      </c>
      <c r="IO111" s="476">
        <v>76</v>
      </c>
      <c r="IP111" s="476">
        <v>0</v>
      </c>
      <c r="IQ111" s="476">
        <v>1794.296</v>
      </c>
      <c r="IR111" s="476">
        <v>1105261</v>
      </c>
      <c r="IS111" s="476">
        <v>0</v>
      </c>
      <c r="IT111" s="476">
        <v>225000</v>
      </c>
      <c r="IU111" s="476">
        <v>84000</v>
      </c>
      <c r="IV111" s="476">
        <v>6000</v>
      </c>
      <c r="IW111" s="476">
        <v>6160</v>
      </c>
      <c r="IX111" s="476">
        <v>0</v>
      </c>
      <c r="IY111" s="476">
        <v>0</v>
      </c>
      <c r="IZ111" s="476">
        <v>0</v>
      </c>
      <c r="JA111" s="476">
        <v>0</v>
      </c>
      <c r="JB111" s="476">
        <v>16</v>
      </c>
      <c r="JC111" s="476">
        <v>287453</v>
      </c>
      <c r="JD111" s="476">
        <v>51</v>
      </c>
      <c r="JE111" s="476">
        <v>511422</v>
      </c>
      <c r="JF111" s="476">
        <v>46</v>
      </c>
      <c r="JG111" s="476">
        <v>232311</v>
      </c>
      <c r="JH111" s="476">
        <v>36000</v>
      </c>
      <c r="JI111" s="476">
        <v>0</v>
      </c>
      <c r="JJ111" s="476">
        <v>0</v>
      </c>
      <c r="JK111" s="476">
        <v>0</v>
      </c>
      <c r="JL111" s="476">
        <v>0</v>
      </c>
      <c r="JM111" s="476">
        <v>0</v>
      </c>
      <c r="JN111" s="476">
        <v>32469</v>
      </c>
      <c r="JO111" s="476">
        <v>48.088000000000001</v>
      </c>
      <c r="JP111" s="476">
        <v>172.959</v>
      </c>
      <c r="JQ111" s="476">
        <v>80.897000000000006</v>
      </c>
      <c r="JR111" s="476">
        <v>384137</v>
      </c>
      <c r="JS111" s="476">
        <v>1607716</v>
      </c>
      <c r="JT111" s="476">
        <v>863587</v>
      </c>
      <c r="JU111" s="476">
        <v>134484</v>
      </c>
      <c r="JV111" s="476">
        <v>0</v>
      </c>
      <c r="JW111" s="476">
        <v>0</v>
      </c>
      <c r="JX111" s="476">
        <v>0</v>
      </c>
      <c r="JY111" s="476">
        <v>0</v>
      </c>
      <c r="JZ111" s="476">
        <v>0</v>
      </c>
      <c r="KA111" s="476">
        <v>0</v>
      </c>
      <c r="KB111" s="476">
        <v>0</v>
      </c>
      <c r="KC111" s="476">
        <v>0</v>
      </c>
      <c r="KD111" s="476">
        <v>134531</v>
      </c>
      <c r="KE111" s="476">
        <v>7262</v>
      </c>
      <c r="KF111" s="476">
        <v>0</v>
      </c>
      <c r="KG111" s="476">
        <v>0</v>
      </c>
      <c r="KH111" s="476">
        <v>67157983</v>
      </c>
      <c r="KI111" s="476">
        <v>0</v>
      </c>
      <c r="KJ111" s="476">
        <v>72</v>
      </c>
      <c r="KK111" s="476">
        <v>22</v>
      </c>
      <c r="KL111" s="476">
        <v>44351</v>
      </c>
      <c r="KM111" s="476">
        <v>13552</v>
      </c>
      <c r="KN111" s="476">
        <v>0</v>
      </c>
    </row>
    <row r="112" spans="1:300" x14ac:dyDescent="0.25">
      <c r="A112" s="476">
        <v>40976</v>
      </c>
      <c r="B112" s="476">
        <v>101859</v>
      </c>
      <c r="C112" s="476">
        <v>9</v>
      </c>
      <c r="D112" s="476">
        <v>2024</v>
      </c>
      <c r="E112" s="476">
        <v>6160</v>
      </c>
      <c r="F112" s="476">
        <v>0</v>
      </c>
      <c r="G112" s="476">
        <v>540.13700000000006</v>
      </c>
      <c r="H112" s="476">
        <v>523.625</v>
      </c>
      <c r="I112" s="476">
        <v>523.625</v>
      </c>
      <c r="J112" s="476">
        <v>540.13700000000006</v>
      </c>
      <c r="K112" s="476">
        <v>0</v>
      </c>
      <c r="L112" s="476">
        <v>6160</v>
      </c>
      <c r="M112" s="476">
        <v>0</v>
      </c>
      <c r="N112" s="476">
        <v>0</v>
      </c>
      <c r="O112" s="476">
        <v>0</v>
      </c>
      <c r="P112" s="476">
        <v>542.16300000000001</v>
      </c>
      <c r="Q112" s="476">
        <v>0</v>
      </c>
      <c r="R112" s="476">
        <v>224935</v>
      </c>
      <c r="S112" s="476">
        <v>414.88400000000001</v>
      </c>
      <c r="T112" s="476">
        <v>0</v>
      </c>
      <c r="U112" s="476">
        <v>0</v>
      </c>
      <c r="V112" s="476">
        <v>300.46300000000002</v>
      </c>
      <c r="W112" s="476">
        <v>185081</v>
      </c>
      <c r="X112" s="476">
        <v>185081</v>
      </c>
      <c r="Y112" s="476">
        <v>0</v>
      </c>
      <c r="Z112" s="476">
        <v>0</v>
      </c>
      <c r="AA112" s="476">
        <v>0</v>
      </c>
      <c r="AB112" s="476">
        <v>0</v>
      </c>
      <c r="AC112" s="476">
        <v>0</v>
      </c>
      <c r="AD112" s="476" t="s">
        <v>314</v>
      </c>
      <c r="AE112" s="476">
        <v>0</v>
      </c>
      <c r="AF112" s="476">
        <v>0</v>
      </c>
      <c r="AG112" s="476">
        <v>0</v>
      </c>
      <c r="AH112" s="476">
        <v>0</v>
      </c>
      <c r="AI112" s="476">
        <v>0</v>
      </c>
      <c r="AJ112" s="476">
        <v>6160</v>
      </c>
      <c r="AK112" s="476" t="s">
        <v>651</v>
      </c>
      <c r="AL112" s="476" t="s">
        <v>347</v>
      </c>
      <c r="AM112" s="476">
        <v>0</v>
      </c>
      <c r="AN112" s="476">
        <v>0</v>
      </c>
      <c r="AO112" s="476">
        <v>0</v>
      </c>
      <c r="AP112" s="476">
        <v>0</v>
      </c>
      <c r="AQ112" s="476">
        <v>0</v>
      </c>
      <c r="AR112" s="476">
        <v>0</v>
      </c>
      <c r="AS112" s="476">
        <v>0</v>
      </c>
      <c r="AT112" s="476">
        <v>0</v>
      </c>
      <c r="AU112" s="476">
        <v>0</v>
      </c>
      <c r="AV112" s="476">
        <v>0</v>
      </c>
      <c r="AW112" s="476">
        <v>6095970</v>
      </c>
      <c r="AX112" s="476">
        <v>6005937</v>
      </c>
      <c r="AY112" s="476">
        <v>0</v>
      </c>
      <c r="AZ112" s="476">
        <v>224935</v>
      </c>
      <c r="BA112" s="476">
        <v>0</v>
      </c>
      <c r="BB112" s="476">
        <v>0</v>
      </c>
      <c r="BC112" s="476">
        <v>0</v>
      </c>
      <c r="BD112" s="476">
        <v>0</v>
      </c>
      <c r="BE112" s="476">
        <v>0</v>
      </c>
      <c r="BF112" s="476">
        <v>5414939</v>
      </c>
      <c r="BG112" s="476">
        <v>0</v>
      </c>
      <c r="BH112" s="476">
        <v>0</v>
      </c>
      <c r="BI112" s="476">
        <v>0</v>
      </c>
      <c r="BJ112" s="476">
        <v>12</v>
      </c>
      <c r="BK112" s="476">
        <v>0</v>
      </c>
      <c r="BL112" s="476">
        <v>0</v>
      </c>
      <c r="BM112" s="476">
        <v>0</v>
      </c>
      <c r="BN112" s="476">
        <v>0</v>
      </c>
      <c r="BO112" s="476">
        <v>0</v>
      </c>
      <c r="BP112" s="476">
        <v>0</v>
      </c>
      <c r="BQ112" s="476">
        <v>689</v>
      </c>
      <c r="BR112" s="476">
        <v>0</v>
      </c>
      <c r="BS112" s="476">
        <v>0</v>
      </c>
      <c r="BT112" s="476">
        <v>0</v>
      </c>
      <c r="BU112" s="476">
        <v>0</v>
      </c>
      <c r="BV112" s="476">
        <v>0</v>
      </c>
      <c r="BW112" s="476">
        <v>0</v>
      </c>
      <c r="BX112" s="476">
        <v>0</v>
      </c>
      <c r="BY112" s="476">
        <v>0</v>
      </c>
      <c r="BZ112" s="476">
        <v>0</v>
      </c>
      <c r="CA112" s="476">
        <v>0</v>
      </c>
      <c r="CB112" s="476">
        <v>0</v>
      </c>
      <c r="CC112" s="476">
        <v>0</v>
      </c>
      <c r="CD112" s="476">
        <v>0</v>
      </c>
      <c r="CE112" s="476">
        <v>0</v>
      </c>
      <c r="CF112" s="476">
        <v>0</v>
      </c>
      <c r="CG112" s="476">
        <v>0</v>
      </c>
      <c r="CH112" s="476">
        <v>91189</v>
      </c>
      <c r="CI112" s="476">
        <v>0</v>
      </c>
      <c r="CJ112" s="476">
        <v>4</v>
      </c>
      <c r="CK112" s="476">
        <v>0</v>
      </c>
      <c r="CL112" s="476">
        <v>0</v>
      </c>
      <c r="CM112" s="476">
        <v>0</v>
      </c>
      <c r="CN112" s="476">
        <v>0</v>
      </c>
      <c r="CO112" s="476">
        <v>1</v>
      </c>
      <c r="CP112" s="476">
        <v>0</v>
      </c>
      <c r="CQ112" s="476">
        <v>0</v>
      </c>
      <c r="CR112" s="476">
        <v>540.13700000000006</v>
      </c>
      <c r="CS112" s="476">
        <v>0</v>
      </c>
      <c r="CT112" s="476">
        <v>0</v>
      </c>
      <c r="CU112" s="476">
        <v>0</v>
      </c>
      <c r="CV112" s="476">
        <v>0</v>
      </c>
      <c r="CW112" s="476">
        <v>0</v>
      </c>
      <c r="CX112" s="476">
        <v>0</v>
      </c>
      <c r="CY112" s="476">
        <v>0</v>
      </c>
      <c r="CZ112" s="476">
        <v>0</v>
      </c>
      <c r="DA112" s="476">
        <v>0</v>
      </c>
      <c r="DB112" s="476">
        <v>3225457</v>
      </c>
      <c r="DC112" s="476">
        <v>0</v>
      </c>
      <c r="DD112" s="476">
        <v>0</v>
      </c>
      <c r="DE112" s="476">
        <v>923132</v>
      </c>
      <c r="DF112" s="476">
        <v>923132</v>
      </c>
      <c r="DG112" s="476">
        <v>149.863</v>
      </c>
      <c r="DH112" s="476">
        <v>0</v>
      </c>
      <c r="DI112" s="476">
        <v>0</v>
      </c>
      <c r="DJ112" s="476">
        <v>0</v>
      </c>
      <c r="DK112" s="476">
        <v>2652</v>
      </c>
      <c r="DL112" s="476">
        <v>0</v>
      </c>
      <c r="DM112" s="476">
        <v>336356</v>
      </c>
      <c r="DN112" s="476">
        <v>1156</v>
      </c>
      <c r="DO112" s="476">
        <v>0</v>
      </c>
      <c r="DP112" s="476">
        <v>0</v>
      </c>
      <c r="DQ112" s="476">
        <v>0</v>
      </c>
      <c r="DR112" s="476">
        <v>0</v>
      </c>
      <c r="DS112" s="476">
        <v>0</v>
      </c>
      <c r="DT112" s="476">
        <v>0</v>
      </c>
      <c r="DU112" s="476">
        <v>0</v>
      </c>
      <c r="DV112" s="476">
        <v>0</v>
      </c>
      <c r="DW112" s="476">
        <v>0</v>
      </c>
      <c r="DX112" s="476">
        <v>0</v>
      </c>
      <c r="DY112" s="476">
        <v>0</v>
      </c>
      <c r="DZ112" s="476">
        <v>0</v>
      </c>
      <c r="EA112" s="476">
        <v>0</v>
      </c>
      <c r="EB112" s="476">
        <v>0</v>
      </c>
      <c r="EC112" s="476">
        <v>3.202</v>
      </c>
      <c r="ED112" s="476">
        <v>22682</v>
      </c>
      <c r="EE112" s="476">
        <v>0</v>
      </c>
      <c r="EF112" s="476">
        <v>0</v>
      </c>
      <c r="EG112" s="476">
        <v>0</v>
      </c>
      <c r="EH112" s="476">
        <v>314830</v>
      </c>
      <c r="EI112" s="476">
        <v>0</v>
      </c>
      <c r="EJ112" s="476">
        <v>0</v>
      </c>
      <c r="EK112" s="476">
        <v>15.725000000000001</v>
      </c>
      <c r="EL112" s="476">
        <v>0</v>
      </c>
      <c r="EM112" s="476">
        <v>0</v>
      </c>
      <c r="EN112" s="476">
        <v>0.78700000000000003</v>
      </c>
      <c r="EO112" s="476">
        <v>0</v>
      </c>
      <c r="EP112" s="476">
        <v>0</v>
      </c>
      <c r="EQ112" s="476">
        <v>16.512</v>
      </c>
      <c r="ER112" s="476">
        <v>0</v>
      </c>
      <c r="ES112" s="476">
        <v>51.11</v>
      </c>
      <c r="ET112" s="476">
        <v>0</v>
      </c>
      <c r="EU112" s="476">
        <v>0</v>
      </c>
      <c r="EV112" s="476">
        <v>0</v>
      </c>
      <c r="EW112" s="476">
        <v>0</v>
      </c>
      <c r="EX112" s="476">
        <v>0</v>
      </c>
      <c r="EY112" s="476">
        <v>0</v>
      </c>
      <c r="EZ112" s="476">
        <v>5190004</v>
      </c>
      <c r="FA112" s="476">
        <v>0</v>
      </c>
      <c r="FB112" s="476">
        <v>5413783</v>
      </c>
      <c r="FC112" s="476">
        <v>0</v>
      </c>
      <c r="FD112" s="476">
        <v>0</v>
      </c>
      <c r="FE112" s="476">
        <v>699167</v>
      </c>
      <c r="FF112" s="476">
        <v>116766</v>
      </c>
      <c r="FG112" s="476">
        <v>6.3017999999999991E-2</v>
      </c>
      <c r="FH112" s="476">
        <v>2.6953999999999999E-2</v>
      </c>
      <c r="FI112" s="476">
        <v>0</v>
      </c>
      <c r="FJ112" s="476">
        <v>0</v>
      </c>
      <c r="FK112" s="476">
        <v>879.0680000000001</v>
      </c>
      <c r="FL112" s="476">
        <v>6320905</v>
      </c>
      <c r="FM112" s="476">
        <v>0</v>
      </c>
      <c r="FN112" s="476">
        <v>0</v>
      </c>
      <c r="FO112" s="476">
        <v>0</v>
      </c>
      <c r="FP112" s="476">
        <v>0</v>
      </c>
      <c r="FQ112" s="476">
        <v>0</v>
      </c>
      <c r="FR112" s="476">
        <v>0</v>
      </c>
      <c r="FS112" s="476">
        <v>0</v>
      </c>
      <c r="FT112" s="476">
        <v>0</v>
      </c>
      <c r="FU112" s="476">
        <v>0</v>
      </c>
      <c r="FV112" s="476">
        <v>0</v>
      </c>
      <c r="FW112" s="476">
        <v>0</v>
      </c>
      <c r="FX112" s="476">
        <v>0</v>
      </c>
      <c r="FY112" s="476">
        <v>0</v>
      </c>
      <c r="FZ112" s="476">
        <v>0</v>
      </c>
      <c r="GA112" s="476">
        <v>0</v>
      </c>
      <c r="GB112" s="476">
        <v>0</v>
      </c>
      <c r="GC112" s="476">
        <v>0</v>
      </c>
      <c r="GD112" s="476">
        <v>0</v>
      </c>
      <c r="GE112" s="476">
        <v>0</v>
      </c>
      <c r="GF112" s="476">
        <v>0</v>
      </c>
      <c r="GG112" s="476">
        <v>0</v>
      </c>
      <c r="GH112" s="476">
        <v>0</v>
      </c>
      <c r="GI112" s="476">
        <v>0</v>
      </c>
      <c r="GJ112" s="476">
        <v>0</v>
      </c>
      <c r="GK112" s="476">
        <v>0</v>
      </c>
      <c r="GL112" s="476">
        <v>0</v>
      </c>
      <c r="GM112" s="476">
        <v>0</v>
      </c>
      <c r="GN112" s="476">
        <v>0</v>
      </c>
      <c r="GO112" s="476">
        <v>0</v>
      </c>
      <c r="GP112" s="476">
        <v>0</v>
      </c>
      <c r="GQ112" s="476">
        <v>6004781</v>
      </c>
      <c r="GR112" s="476">
        <v>0</v>
      </c>
      <c r="GS112" s="476">
        <v>0</v>
      </c>
      <c r="GT112" s="476">
        <v>0</v>
      </c>
      <c r="GU112" s="476">
        <v>0</v>
      </c>
      <c r="GV112" s="476">
        <v>0</v>
      </c>
      <c r="GW112" s="476">
        <v>0</v>
      </c>
      <c r="GX112" s="476">
        <v>0</v>
      </c>
      <c r="GY112" s="476">
        <v>0</v>
      </c>
      <c r="GZ112" s="476">
        <v>0</v>
      </c>
      <c r="HA112" s="476">
        <v>0</v>
      </c>
      <c r="HB112" s="476">
        <v>323396213</v>
      </c>
      <c r="HC112" s="476">
        <v>4.2206E-2</v>
      </c>
      <c r="HD112" s="476">
        <v>91189</v>
      </c>
      <c r="HE112" s="476">
        <v>0</v>
      </c>
      <c r="HF112" s="476">
        <v>577035</v>
      </c>
      <c r="HG112" s="476">
        <v>0</v>
      </c>
      <c r="HH112" s="476">
        <v>161321</v>
      </c>
      <c r="HI112" s="476">
        <v>0</v>
      </c>
      <c r="HJ112" s="476">
        <v>5401</v>
      </c>
      <c r="HK112" s="476">
        <v>0</v>
      </c>
      <c r="HL112" s="476">
        <v>0</v>
      </c>
      <c r="HM112" s="476">
        <v>0</v>
      </c>
      <c r="HN112" s="476">
        <v>0</v>
      </c>
      <c r="HO112" s="476">
        <v>0</v>
      </c>
      <c r="HP112" s="476">
        <v>0</v>
      </c>
      <c r="HQ112" s="476">
        <v>0</v>
      </c>
      <c r="HR112" s="476">
        <v>0</v>
      </c>
      <c r="HS112" s="476">
        <v>5188848</v>
      </c>
      <c r="HT112" s="476">
        <v>116766</v>
      </c>
      <c r="HU112" s="476">
        <v>0</v>
      </c>
      <c r="HV112" s="476">
        <v>0</v>
      </c>
      <c r="HW112" s="476">
        <v>0</v>
      </c>
      <c r="HX112" s="476">
        <v>31</v>
      </c>
      <c r="HY112" s="476">
        <v>50</v>
      </c>
      <c r="HZ112" s="476">
        <v>74</v>
      </c>
      <c r="IA112" s="476">
        <v>107</v>
      </c>
      <c r="IB112" s="476">
        <v>307</v>
      </c>
      <c r="IC112" s="476">
        <v>569</v>
      </c>
      <c r="ID112" s="476">
        <v>0</v>
      </c>
      <c r="IE112" s="476">
        <v>0</v>
      </c>
      <c r="IF112" s="476">
        <v>0</v>
      </c>
      <c r="IG112" s="476">
        <v>0</v>
      </c>
      <c r="IH112" s="476">
        <v>261.89</v>
      </c>
      <c r="II112" s="476">
        <v>0</v>
      </c>
      <c r="IJ112" s="476">
        <v>300.46300000000002</v>
      </c>
      <c r="IK112" s="476">
        <v>0</v>
      </c>
      <c r="IL112" s="476">
        <v>0</v>
      </c>
      <c r="IM112" s="476">
        <v>0</v>
      </c>
      <c r="IN112" s="476">
        <v>0</v>
      </c>
      <c r="IO112" s="476">
        <v>0</v>
      </c>
      <c r="IP112" s="476">
        <v>0</v>
      </c>
      <c r="IQ112" s="476">
        <v>300.46300000000002</v>
      </c>
      <c r="IR112" s="476">
        <v>185081</v>
      </c>
      <c r="IS112" s="476">
        <v>0</v>
      </c>
      <c r="IT112" s="476">
        <v>0</v>
      </c>
      <c r="IU112" s="476">
        <v>0</v>
      </c>
      <c r="IV112" s="476">
        <v>0</v>
      </c>
      <c r="IW112" s="476">
        <v>6160</v>
      </c>
      <c r="IX112" s="476">
        <v>0</v>
      </c>
      <c r="IY112" s="476">
        <v>0</v>
      </c>
      <c r="IZ112" s="476">
        <v>0</v>
      </c>
      <c r="JA112" s="476">
        <v>0</v>
      </c>
      <c r="JB112" s="476">
        <v>0</v>
      </c>
      <c r="JC112" s="476">
        <v>0</v>
      </c>
      <c r="JD112" s="476">
        <v>0</v>
      </c>
      <c r="JE112" s="476">
        <v>0</v>
      </c>
      <c r="JF112" s="476">
        <v>0</v>
      </c>
      <c r="JG112" s="476">
        <v>0</v>
      </c>
      <c r="JH112" s="476">
        <v>0</v>
      </c>
      <c r="JI112" s="476">
        <v>0</v>
      </c>
      <c r="JJ112" s="476">
        <v>0</v>
      </c>
      <c r="JK112" s="476">
        <v>0</v>
      </c>
      <c r="JL112" s="476">
        <v>0</v>
      </c>
      <c r="JM112" s="476">
        <v>0</v>
      </c>
      <c r="JN112" s="476">
        <v>32469</v>
      </c>
      <c r="JO112" s="476">
        <v>0</v>
      </c>
      <c r="JP112" s="476">
        <v>0</v>
      </c>
      <c r="JQ112" s="476">
        <v>0</v>
      </c>
      <c r="JR112" s="476">
        <v>0</v>
      </c>
      <c r="JS112" s="476">
        <v>0</v>
      </c>
      <c r="JT112" s="476">
        <v>0</v>
      </c>
      <c r="JU112" s="476">
        <v>0</v>
      </c>
      <c r="JV112" s="476">
        <v>0</v>
      </c>
      <c r="JW112" s="476">
        <v>0</v>
      </c>
      <c r="JX112" s="476">
        <v>0</v>
      </c>
      <c r="JY112" s="476">
        <v>0</v>
      </c>
      <c r="JZ112" s="476">
        <v>0</v>
      </c>
      <c r="KA112" s="476">
        <v>0</v>
      </c>
      <c r="KB112" s="476">
        <v>0</v>
      </c>
      <c r="KC112" s="476">
        <v>0</v>
      </c>
      <c r="KD112" s="476">
        <v>0</v>
      </c>
      <c r="KE112" s="476">
        <v>7262</v>
      </c>
      <c r="KF112" s="476">
        <v>0</v>
      </c>
      <c r="KG112" s="476">
        <v>0</v>
      </c>
      <c r="KH112" s="476">
        <v>6004781</v>
      </c>
      <c r="KI112" s="476">
        <v>0</v>
      </c>
      <c r="KJ112" s="476">
        <v>0</v>
      </c>
      <c r="KK112" s="476">
        <v>0</v>
      </c>
      <c r="KL112" s="476">
        <v>0</v>
      </c>
      <c r="KM112" s="476">
        <v>0</v>
      </c>
      <c r="KN112" s="476">
        <v>0</v>
      </c>
    </row>
    <row r="113" spans="1:300" x14ac:dyDescent="0.25">
      <c r="A113" s="476">
        <v>40976</v>
      </c>
      <c r="B113" s="476">
        <v>101861</v>
      </c>
      <c r="C113" s="476">
        <v>9</v>
      </c>
      <c r="D113" s="476">
        <v>2024</v>
      </c>
      <c r="E113" s="476">
        <v>6160</v>
      </c>
      <c r="F113" s="476">
        <v>0</v>
      </c>
      <c r="G113" s="476">
        <v>491.85700000000003</v>
      </c>
      <c r="H113" s="476">
        <v>473.995</v>
      </c>
      <c r="I113" s="476">
        <v>473.995</v>
      </c>
      <c r="J113" s="476">
        <v>491.85700000000003</v>
      </c>
      <c r="K113" s="476">
        <v>0</v>
      </c>
      <c r="L113" s="476">
        <v>6160</v>
      </c>
      <c r="M113" s="476">
        <v>0</v>
      </c>
      <c r="N113" s="476">
        <v>0</v>
      </c>
      <c r="O113" s="476">
        <v>0</v>
      </c>
      <c r="P113" s="476">
        <v>494.56</v>
      </c>
      <c r="Q113" s="476">
        <v>0</v>
      </c>
      <c r="R113" s="476">
        <v>205185</v>
      </c>
      <c r="S113" s="476">
        <v>414.88400000000001</v>
      </c>
      <c r="T113" s="476">
        <v>0</v>
      </c>
      <c r="U113" s="476">
        <v>0</v>
      </c>
      <c r="V113" s="476">
        <v>23.72</v>
      </c>
      <c r="W113" s="476">
        <v>14611</v>
      </c>
      <c r="X113" s="476">
        <v>14611</v>
      </c>
      <c r="Y113" s="476">
        <v>0</v>
      </c>
      <c r="Z113" s="476">
        <v>0</v>
      </c>
      <c r="AA113" s="476">
        <v>0</v>
      </c>
      <c r="AB113" s="476">
        <v>0</v>
      </c>
      <c r="AC113" s="476">
        <v>0</v>
      </c>
      <c r="AD113" s="476" t="s">
        <v>314</v>
      </c>
      <c r="AE113" s="476">
        <v>0</v>
      </c>
      <c r="AF113" s="476">
        <v>0</v>
      </c>
      <c r="AG113" s="476">
        <v>0</v>
      </c>
      <c r="AH113" s="476">
        <v>0</v>
      </c>
      <c r="AI113" s="476">
        <v>0</v>
      </c>
      <c r="AJ113" s="476">
        <v>6160</v>
      </c>
      <c r="AK113" s="476" t="s">
        <v>651</v>
      </c>
      <c r="AL113" s="476" t="s">
        <v>704</v>
      </c>
      <c r="AM113" s="476">
        <v>0</v>
      </c>
      <c r="AN113" s="476">
        <v>0</v>
      </c>
      <c r="AO113" s="476">
        <v>0</v>
      </c>
      <c r="AP113" s="476">
        <v>0</v>
      </c>
      <c r="AQ113" s="476">
        <v>0</v>
      </c>
      <c r="AR113" s="476">
        <v>0</v>
      </c>
      <c r="AS113" s="476">
        <v>0</v>
      </c>
      <c r="AT113" s="476">
        <v>0</v>
      </c>
      <c r="AU113" s="476">
        <v>0</v>
      </c>
      <c r="AV113" s="476">
        <v>0</v>
      </c>
      <c r="AW113" s="476">
        <v>5464981</v>
      </c>
      <c r="AX113" s="476">
        <v>5383393</v>
      </c>
      <c r="AY113" s="476">
        <v>0</v>
      </c>
      <c r="AZ113" s="476">
        <v>205185</v>
      </c>
      <c r="BA113" s="476">
        <v>0</v>
      </c>
      <c r="BB113" s="476">
        <v>3837</v>
      </c>
      <c r="BC113" s="476">
        <v>3812</v>
      </c>
      <c r="BD113" s="476">
        <v>9</v>
      </c>
      <c r="BE113" s="476">
        <v>24</v>
      </c>
      <c r="BF113" s="476">
        <v>4792617</v>
      </c>
      <c r="BG113" s="476">
        <v>0</v>
      </c>
      <c r="BH113" s="476">
        <v>0</v>
      </c>
      <c r="BI113" s="476">
        <v>0</v>
      </c>
      <c r="BJ113" s="476">
        <v>12</v>
      </c>
      <c r="BK113" s="476">
        <v>0</v>
      </c>
      <c r="BL113" s="476">
        <v>0</v>
      </c>
      <c r="BM113" s="476">
        <v>0</v>
      </c>
      <c r="BN113" s="476">
        <v>0</v>
      </c>
      <c r="BO113" s="476">
        <v>0</v>
      </c>
      <c r="BP113" s="476">
        <v>0</v>
      </c>
      <c r="BQ113" s="476">
        <v>697</v>
      </c>
      <c r="BR113" s="476">
        <v>0</v>
      </c>
      <c r="BS113" s="476">
        <v>0</v>
      </c>
      <c r="BT113" s="476">
        <v>0</v>
      </c>
      <c r="BU113" s="476">
        <v>0</v>
      </c>
      <c r="BV113" s="476">
        <v>0</v>
      </c>
      <c r="BW113" s="476">
        <v>0</v>
      </c>
      <c r="BX113" s="476">
        <v>0</v>
      </c>
      <c r="BY113" s="476">
        <v>0</v>
      </c>
      <c r="BZ113" s="476">
        <v>0</v>
      </c>
      <c r="CA113" s="476">
        <v>0</v>
      </c>
      <c r="CB113" s="476">
        <v>0</v>
      </c>
      <c r="CC113" s="476">
        <v>0</v>
      </c>
      <c r="CD113" s="476">
        <v>0</v>
      </c>
      <c r="CE113" s="476">
        <v>0</v>
      </c>
      <c r="CF113" s="476">
        <v>0</v>
      </c>
      <c r="CG113" s="476">
        <v>0</v>
      </c>
      <c r="CH113" s="476">
        <v>83038</v>
      </c>
      <c r="CI113" s="476">
        <v>0</v>
      </c>
      <c r="CJ113" s="476">
        <v>4</v>
      </c>
      <c r="CK113" s="476">
        <v>0</v>
      </c>
      <c r="CL113" s="476">
        <v>0</v>
      </c>
      <c r="CM113" s="476">
        <v>0</v>
      </c>
      <c r="CN113" s="476">
        <v>0</v>
      </c>
      <c r="CO113" s="476">
        <v>1</v>
      </c>
      <c r="CP113" s="476">
        <v>0</v>
      </c>
      <c r="CQ113" s="476">
        <v>0</v>
      </c>
      <c r="CR113" s="476">
        <v>491.85700000000003</v>
      </c>
      <c r="CS113" s="476">
        <v>0</v>
      </c>
      <c r="CT113" s="476">
        <v>0</v>
      </c>
      <c r="CU113" s="476">
        <v>0</v>
      </c>
      <c r="CV113" s="476">
        <v>0</v>
      </c>
      <c r="CW113" s="476">
        <v>0</v>
      </c>
      <c r="CX113" s="476">
        <v>0</v>
      </c>
      <c r="CY113" s="476">
        <v>0</v>
      </c>
      <c r="CZ113" s="476">
        <v>0</v>
      </c>
      <c r="DA113" s="476">
        <v>0</v>
      </c>
      <c r="DB113" s="476">
        <v>2804341</v>
      </c>
      <c r="DC113" s="476">
        <v>0</v>
      </c>
      <c r="DD113" s="476">
        <v>0</v>
      </c>
      <c r="DE113" s="476">
        <v>800628</v>
      </c>
      <c r="DF113" s="476">
        <v>800628</v>
      </c>
      <c r="DG113" s="476">
        <v>129.97499999999999</v>
      </c>
      <c r="DH113" s="476">
        <v>0</v>
      </c>
      <c r="DI113" s="476">
        <v>0</v>
      </c>
      <c r="DJ113" s="476">
        <v>0</v>
      </c>
      <c r="DK113" s="476">
        <v>2774</v>
      </c>
      <c r="DL113" s="476">
        <v>0</v>
      </c>
      <c r="DM113" s="476">
        <v>529925</v>
      </c>
      <c r="DN113" s="476">
        <v>1425</v>
      </c>
      <c r="DO113" s="476">
        <v>0</v>
      </c>
      <c r="DP113" s="476">
        <v>0</v>
      </c>
      <c r="DQ113" s="476">
        <v>0</v>
      </c>
      <c r="DR113" s="476">
        <v>0</v>
      </c>
      <c r="DS113" s="476">
        <v>0</v>
      </c>
      <c r="DT113" s="476">
        <v>0</v>
      </c>
      <c r="DU113" s="476">
        <v>0</v>
      </c>
      <c r="DV113" s="476">
        <v>0</v>
      </c>
      <c r="DW113" s="476">
        <v>0</v>
      </c>
      <c r="DX113" s="476">
        <v>0</v>
      </c>
      <c r="DY113" s="476">
        <v>0</v>
      </c>
      <c r="DZ113" s="476">
        <v>0</v>
      </c>
      <c r="EA113" s="476">
        <v>0</v>
      </c>
      <c r="EB113" s="476">
        <v>0</v>
      </c>
      <c r="EC113" s="476">
        <v>10.33</v>
      </c>
      <c r="ED113" s="476">
        <v>73176</v>
      </c>
      <c r="EE113" s="476">
        <v>0</v>
      </c>
      <c r="EF113" s="476">
        <v>0</v>
      </c>
      <c r="EG113" s="476">
        <v>0</v>
      </c>
      <c r="EH113" s="476">
        <v>342772</v>
      </c>
      <c r="EI113" s="476">
        <v>0</v>
      </c>
      <c r="EJ113" s="476">
        <v>0</v>
      </c>
      <c r="EK113" s="476">
        <v>16.832000000000001</v>
      </c>
      <c r="EL113" s="476">
        <v>0</v>
      </c>
      <c r="EM113" s="476">
        <v>0</v>
      </c>
      <c r="EN113" s="476">
        <v>1.03</v>
      </c>
      <c r="EO113" s="476">
        <v>0</v>
      </c>
      <c r="EP113" s="476">
        <v>0</v>
      </c>
      <c r="EQ113" s="476">
        <v>17.862000000000002</v>
      </c>
      <c r="ER113" s="476">
        <v>0</v>
      </c>
      <c r="ES113" s="476">
        <v>55.646000000000001</v>
      </c>
      <c r="ET113" s="476">
        <v>0</v>
      </c>
      <c r="EU113" s="476">
        <v>0</v>
      </c>
      <c r="EV113" s="476">
        <v>0</v>
      </c>
      <c r="EW113" s="476">
        <v>0</v>
      </c>
      <c r="EX113" s="476">
        <v>0</v>
      </c>
      <c r="EY113" s="476">
        <v>0</v>
      </c>
      <c r="EZ113" s="476">
        <v>4661232</v>
      </c>
      <c r="FA113" s="476">
        <v>0</v>
      </c>
      <c r="FB113" s="476">
        <v>4864967</v>
      </c>
      <c r="FC113" s="476">
        <v>0</v>
      </c>
      <c r="FD113" s="476">
        <v>0</v>
      </c>
      <c r="FE113" s="476">
        <v>618814</v>
      </c>
      <c r="FF113" s="476">
        <v>103347</v>
      </c>
      <c r="FG113" s="476">
        <v>6.3017999999999991E-2</v>
      </c>
      <c r="FH113" s="476">
        <v>2.6953999999999999E-2</v>
      </c>
      <c r="FI113" s="476">
        <v>0</v>
      </c>
      <c r="FJ113" s="476">
        <v>0</v>
      </c>
      <c r="FK113" s="476">
        <v>778.04</v>
      </c>
      <c r="FL113" s="476">
        <v>5670166</v>
      </c>
      <c r="FM113" s="476">
        <v>0</v>
      </c>
      <c r="FN113" s="476">
        <v>0</v>
      </c>
      <c r="FO113" s="476">
        <v>73800</v>
      </c>
      <c r="FP113" s="476">
        <v>0</v>
      </c>
      <c r="FQ113" s="476">
        <v>73800</v>
      </c>
      <c r="FR113" s="476">
        <v>73800</v>
      </c>
      <c r="FS113" s="476">
        <v>0</v>
      </c>
      <c r="FT113" s="476">
        <v>0</v>
      </c>
      <c r="FU113" s="476">
        <v>0</v>
      </c>
      <c r="FV113" s="476">
        <v>0</v>
      </c>
      <c r="FW113" s="476">
        <v>0</v>
      </c>
      <c r="FX113" s="476">
        <v>0</v>
      </c>
      <c r="FY113" s="476">
        <v>0</v>
      </c>
      <c r="FZ113" s="476">
        <v>0</v>
      </c>
      <c r="GA113" s="476">
        <v>0</v>
      </c>
      <c r="GB113" s="476">
        <v>0</v>
      </c>
      <c r="GC113" s="476">
        <v>0</v>
      </c>
      <c r="GD113" s="476">
        <v>0</v>
      </c>
      <c r="GE113" s="476">
        <v>0</v>
      </c>
      <c r="GF113" s="476">
        <v>0</v>
      </c>
      <c r="GG113" s="476">
        <v>0</v>
      </c>
      <c r="GH113" s="476">
        <v>0</v>
      </c>
      <c r="GI113" s="476">
        <v>0</v>
      </c>
      <c r="GJ113" s="476">
        <v>0</v>
      </c>
      <c r="GK113" s="476">
        <v>0</v>
      </c>
      <c r="GL113" s="476">
        <v>0</v>
      </c>
      <c r="GM113" s="476">
        <v>0</v>
      </c>
      <c r="GN113" s="476">
        <v>0</v>
      </c>
      <c r="GO113" s="476">
        <v>0</v>
      </c>
      <c r="GP113" s="476">
        <v>0</v>
      </c>
      <c r="GQ113" s="476">
        <v>5381943</v>
      </c>
      <c r="GR113" s="476">
        <v>0</v>
      </c>
      <c r="GS113" s="476">
        <v>0</v>
      </c>
      <c r="GT113" s="476">
        <v>0</v>
      </c>
      <c r="GU113" s="476">
        <v>0</v>
      </c>
      <c r="GV113" s="476">
        <v>0</v>
      </c>
      <c r="GW113" s="476">
        <v>0</v>
      </c>
      <c r="GX113" s="476">
        <v>0</v>
      </c>
      <c r="GY113" s="476">
        <v>0</v>
      </c>
      <c r="GZ113" s="476">
        <v>0</v>
      </c>
      <c r="HA113" s="476">
        <v>0</v>
      </c>
      <c r="HB113" s="476">
        <v>323396213</v>
      </c>
      <c r="HC113" s="476">
        <v>4.2206E-2</v>
      </c>
      <c r="HD113" s="476">
        <v>83038</v>
      </c>
      <c r="HE113" s="476">
        <v>0</v>
      </c>
      <c r="HF113" s="476">
        <v>522342</v>
      </c>
      <c r="HG113" s="476">
        <v>7392</v>
      </c>
      <c r="HH113" s="476">
        <v>103197</v>
      </c>
      <c r="HI113" s="476">
        <v>0</v>
      </c>
      <c r="HJ113" s="476">
        <v>4919</v>
      </c>
      <c r="HK113" s="476">
        <v>0</v>
      </c>
      <c r="HL113" s="476">
        <v>0</v>
      </c>
      <c r="HM113" s="476">
        <v>0</v>
      </c>
      <c r="HN113" s="476">
        <v>0</v>
      </c>
      <c r="HO113" s="476">
        <v>0</v>
      </c>
      <c r="HP113" s="476">
        <v>0</v>
      </c>
      <c r="HQ113" s="476">
        <v>0</v>
      </c>
      <c r="HR113" s="476">
        <v>0</v>
      </c>
      <c r="HS113" s="476">
        <v>4659782</v>
      </c>
      <c r="HT113" s="476">
        <v>103347</v>
      </c>
      <c r="HU113" s="476">
        <v>0</v>
      </c>
      <c r="HV113" s="476">
        <v>0</v>
      </c>
      <c r="HW113" s="476">
        <v>0</v>
      </c>
      <c r="HX113" s="476">
        <v>49</v>
      </c>
      <c r="HY113" s="476">
        <v>88</v>
      </c>
      <c r="HZ113" s="476">
        <v>78</v>
      </c>
      <c r="IA113" s="476">
        <v>74</v>
      </c>
      <c r="IB113" s="476">
        <v>215</v>
      </c>
      <c r="IC113" s="476">
        <v>504</v>
      </c>
      <c r="ID113" s="476">
        <v>0</v>
      </c>
      <c r="IE113" s="476">
        <v>0</v>
      </c>
      <c r="IF113" s="476">
        <v>0</v>
      </c>
      <c r="IG113" s="476">
        <v>12</v>
      </c>
      <c r="IH113" s="476">
        <v>167.53100000000001</v>
      </c>
      <c r="II113" s="476">
        <v>0</v>
      </c>
      <c r="IJ113" s="476">
        <v>23.72</v>
      </c>
      <c r="IK113" s="476">
        <v>0</v>
      </c>
      <c r="IL113" s="476">
        <v>0</v>
      </c>
      <c r="IM113" s="476">
        <v>0</v>
      </c>
      <c r="IN113" s="476">
        <v>0</v>
      </c>
      <c r="IO113" s="476">
        <v>0</v>
      </c>
      <c r="IP113" s="476">
        <v>0</v>
      </c>
      <c r="IQ113" s="476">
        <v>23.72</v>
      </c>
      <c r="IR113" s="476">
        <v>14611</v>
      </c>
      <c r="IS113" s="476">
        <v>0</v>
      </c>
      <c r="IT113" s="476">
        <v>0</v>
      </c>
      <c r="IU113" s="476">
        <v>0</v>
      </c>
      <c r="IV113" s="476">
        <v>0</v>
      </c>
      <c r="IW113" s="476">
        <v>6160</v>
      </c>
      <c r="IX113" s="476">
        <v>0</v>
      </c>
      <c r="IY113" s="476">
        <v>0</v>
      </c>
      <c r="IZ113" s="476">
        <v>0</v>
      </c>
      <c r="JA113" s="476">
        <v>0</v>
      </c>
      <c r="JB113" s="476">
        <v>0</v>
      </c>
      <c r="JC113" s="476">
        <v>0</v>
      </c>
      <c r="JD113" s="476">
        <v>0</v>
      </c>
      <c r="JE113" s="476">
        <v>0</v>
      </c>
      <c r="JF113" s="476">
        <v>0</v>
      </c>
      <c r="JG113" s="476">
        <v>0</v>
      </c>
      <c r="JH113" s="476">
        <v>0</v>
      </c>
      <c r="JI113" s="476">
        <v>0</v>
      </c>
      <c r="JJ113" s="476">
        <v>0</v>
      </c>
      <c r="JK113" s="476">
        <v>0</v>
      </c>
      <c r="JL113" s="476">
        <v>0</v>
      </c>
      <c r="JM113" s="476">
        <v>0</v>
      </c>
      <c r="JN113" s="476">
        <v>32469</v>
      </c>
      <c r="JO113" s="476">
        <v>0</v>
      </c>
      <c r="JP113" s="476">
        <v>0</v>
      </c>
      <c r="JQ113" s="476">
        <v>0</v>
      </c>
      <c r="JR113" s="476">
        <v>0</v>
      </c>
      <c r="JS113" s="476">
        <v>0</v>
      </c>
      <c r="JT113" s="476">
        <v>0</v>
      </c>
      <c r="JU113" s="476">
        <v>3881</v>
      </c>
      <c r="JV113" s="476">
        <v>0</v>
      </c>
      <c r="JW113" s="476">
        <v>0</v>
      </c>
      <c r="JX113" s="476">
        <v>0</v>
      </c>
      <c r="JY113" s="476">
        <v>0</v>
      </c>
      <c r="JZ113" s="476">
        <v>0</v>
      </c>
      <c r="KA113" s="476">
        <v>0</v>
      </c>
      <c r="KB113" s="476">
        <v>0</v>
      </c>
      <c r="KC113" s="476">
        <v>0</v>
      </c>
      <c r="KD113" s="476">
        <v>3881</v>
      </c>
      <c r="KE113" s="476">
        <v>7262</v>
      </c>
      <c r="KF113" s="476">
        <v>0</v>
      </c>
      <c r="KG113" s="476">
        <v>0</v>
      </c>
      <c r="KH113" s="476">
        <v>5381943</v>
      </c>
      <c r="KI113" s="476">
        <v>0</v>
      </c>
      <c r="KJ113" s="476">
        <v>9</v>
      </c>
      <c r="KK113" s="476">
        <v>3</v>
      </c>
      <c r="KL113" s="476">
        <v>5544</v>
      </c>
      <c r="KM113" s="476">
        <v>1848</v>
      </c>
      <c r="KN113" s="476">
        <v>0</v>
      </c>
    </row>
    <row r="114" spans="1:300" x14ac:dyDescent="0.25">
      <c r="A114" s="476">
        <v>40976</v>
      </c>
      <c r="B114" s="476">
        <v>101862</v>
      </c>
      <c r="C114" s="476">
        <v>9</v>
      </c>
      <c r="D114" s="476">
        <v>2024</v>
      </c>
      <c r="E114" s="476">
        <v>6160</v>
      </c>
      <c r="F114" s="476">
        <v>0</v>
      </c>
      <c r="G114" s="476">
        <v>5090.6580000000004</v>
      </c>
      <c r="H114" s="476">
        <v>4618.3420000000006</v>
      </c>
      <c r="I114" s="476">
        <v>4618.3420000000006</v>
      </c>
      <c r="J114" s="476">
        <v>5090.6580000000004</v>
      </c>
      <c r="K114" s="476">
        <v>0</v>
      </c>
      <c r="L114" s="476">
        <v>6160</v>
      </c>
      <c r="M114" s="476">
        <v>0</v>
      </c>
      <c r="N114" s="476">
        <v>0</v>
      </c>
      <c r="O114" s="476">
        <v>0</v>
      </c>
      <c r="P114" s="476">
        <v>5105.2240000000002</v>
      </c>
      <c r="Q114" s="476">
        <v>0</v>
      </c>
      <c r="R114" s="476">
        <v>2118076</v>
      </c>
      <c r="S114" s="476">
        <v>414.88400000000001</v>
      </c>
      <c r="T114" s="476">
        <v>0</v>
      </c>
      <c r="U114" s="476">
        <v>0</v>
      </c>
      <c r="V114" s="476">
        <v>1274.127</v>
      </c>
      <c r="W114" s="476">
        <v>784844</v>
      </c>
      <c r="X114" s="476">
        <v>784844</v>
      </c>
      <c r="Y114" s="476">
        <v>0</v>
      </c>
      <c r="Z114" s="476">
        <v>0</v>
      </c>
      <c r="AA114" s="476">
        <v>0</v>
      </c>
      <c r="AB114" s="476">
        <v>0</v>
      </c>
      <c r="AC114" s="476">
        <v>0</v>
      </c>
      <c r="AD114" s="476" t="s">
        <v>314</v>
      </c>
      <c r="AE114" s="476">
        <v>0</v>
      </c>
      <c r="AF114" s="476">
        <v>0</v>
      </c>
      <c r="AG114" s="476">
        <v>0</v>
      </c>
      <c r="AH114" s="476">
        <v>0</v>
      </c>
      <c r="AI114" s="476">
        <v>0</v>
      </c>
      <c r="AJ114" s="476">
        <v>6160</v>
      </c>
      <c r="AK114" s="476" t="s">
        <v>651</v>
      </c>
      <c r="AL114" s="476" t="s">
        <v>765</v>
      </c>
      <c r="AM114" s="476">
        <v>0</v>
      </c>
      <c r="AN114" s="476">
        <v>0</v>
      </c>
      <c r="AO114" s="476">
        <v>0</v>
      </c>
      <c r="AP114" s="476">
        <v>0</v>
      </c>
      <c r="AQ114" s="476">
        <v>0</v>
      </c>
      <c r="AR114" s="476">
        <v>0</v>
      </c>
      <c r="AS114" s="476">
        <v>0</v>
      </c>
      <c r="AT114" s="476">
        <v>0</v>
      </c>
      <c r="AU114" s="476">
        <v>0</v>
      </c>
      <c r="AV114" s="476">
        <v>0</v>
      </c>
      <c r="AW114" s="476">
        <v>53737086</v>
      </c>
      <c r="AX114" s="476">
        <v>52888287</v>
      </c>
      <c r="AY114" s="476">
        <v>0</v>
      </c>
      <c r="AZ114" s="476">
        <v>2118076</v>
      </c>
      <c r="BA114" s="476">
        <v>86.417000000000002</v>
      </c>
      <c r="BB114" s="476">
        <v>108494</v>
      </c>
      <c r="BC114" s="476">
        <v>107802</v>
      </c>
      <c r="BD114" s="476">
        <v>254.53300000000002</v>
      </c>
      <c r="BE114" s="476">
        <v>692</v>
      </c>
      <c r="BF114" s="476">
        <v>47786138</v>
      </c>
      <c r="BG114" s="476">
        <v>0</v>
      </c>
      <c r="BH114" s="476">
        <v>0</v>
      </c>
      <c r="BI114" s="476">
        <v>0</v>
      </c>
      <c r="BJ114" s="476">
        <v>12</v>
      </c>
      <c r="BK114" s="476">
        <v>0</v>
      </c>
      <c r="BL114" s="476">
        <v>0</v>
      </c>
      <c r="BM114" s="476">
        <v>0</v>
      </c>
      <c r="BN114" s="476">
        <v>0</v>
      </c>
      <c r="BO114" s="476">
        <v>0</v>
      </c>
      <c r="BP114" s="476">
        <v>0</v>
      </c>
      <c r="BQ114" s="476">
        <v>59</v>
      </c>
      <c r="BR114" s="476">
        <v>0</v>
      </c>
      <c r="BS114" s="476">
        <v>0</v>
      </c>
      <c r="BT114" s="476">
        <v>0</v>
      </c>
      <c r="BU114" s="476">
        <v>0</v>
      </c>
      <c r="BV114" s="476">
        <v>0</v>
      </c>
      <c r="BW114" s="476">
        <v>0</v>
      </c>
      <c r="BX114" s="476">
        <v>0</v>
      </c>
      <c r="BY114" s="476">
        <v>0</v>
      </c>
      <c r="BZ114" s="476">
        <v>0</v>
      </c>
      <c r="CA114" s="476">
        <v>0</v>
      </c>
      <c r="CB114" s="476">
        <v>0</v>
      </c>
      <c r="CC114" s="476">
        <v>0</v>
      </c>
      <c r="CD114" s="476">
        <v>0</v>
      </c>
      <c r="CE114" s="476">
        <v>0</v>
      </c>
      <c r="CF114" s="476">
        <v>0</v>
      </c>
      <c r="CG114" s="476">
        <v>0</v>
      </c>
      <c r="CH114" s="476">
        <v>859432</v>
      </c>
      <c r="CI114" s="476">
        <v>0</v>
      </c>
      <c r="CJ114" s="476">
        <v>4</v>
      </c>
      <c r="CK114" s="476">
        <v>0</v>
      </c>
      <c r="CL114" s="476">
        <v>0</v>
      </c>
      <c r="CM114" s="476">
        <v>0</v>
      </c>
      <c r="CN114" s="476">
        <v>0</v>
      </c>
      <c r="CO114" s="476">
        <v>1</v>
      </c>
      <c r="CP114" s="476">
        <v>0</v>
      </c>
      <c r="CQ114" s="476">
        <v>0</v>
      </c>
      <c r="CR114" s="476">
        <v>5090.6580000000004</v>
      </c>
      <c r="CS114" s="476">
        <v>0</v>
      </c>
      <c r="CT114" s="476">
        <v>0</v>
      </c>
      <c r="CU114" s="476">
        <v>0</v>
      </c>
      <c r="CV114" s="476">
        <v>0</v>
      </c>
      <c r="CW114" s="476">
        <v>0</v>
      </c>
      <c r="CX114" s="476">
        <v>0</v>
      </c>
      <c r="CY114" s="476">
        <v>0</v>
      </c>
      <c r="CZ114" s="476">
        <v>0</v>
      </c>
      <c r="DA114" s="476">
        <v>0</v>
      </c>
      <c r="DB114" s="476">
        <v>28448341</v>
      </c>
      <c r="DC114" s="476">
        <v>0</v>
      </c>
      <c r="DD114" s="476">
        <v>0</v>
      </c>
      <c r="DE114" s="476">
        <v>4632369</v>
      </c>
      <c r="DF114" s="476">
        <v>4632369</v>
      </c>
      <c r="DG114" s="476">
        <v>752.02500000000009</v>
      </c>
      <c r="DH114" s="476">
        <v>0</v>
      </c>
      <c r="DI114" s="476">
        <v>0</v>
      </c>
      <c r="DJ114" s="476">
        <v>0</v>
      </c>
      <c r="DK114" s="476">
        <v>0</v>
      </c>
      <c r="DL114" s="476">
        <v>0</v>
      </c>
      <c r="DM114" s="476">
        <v>2891520</v>
      </c>
      <c r="DN114" s="476">
        <v>9941</v>
      </c>
      <c r="DO114" s="476">
        <v>0</v>
      </c>
      <c r="DP114" s="476">
        <v>0</v>
      </c>
      <c r="DQ114" s="476">
        <v>0</v>
      </c>
      <c r="DR114" s="476">
        <v>0</v>
      </c>
      <c r="DS114" s="476">
        <v>0</v>
      </c>
      <c r="DT114" s="476">
        <v>0</v>
      </c>
      <c r="DU114" s="476">
        <v>0</v>
      </c>
      <c r="DV114" s="476">
        <v>0</v>
      </c>
      <c r="DW114" s="476">
        <v>0</v>
      </c>
      <c r="DX114" s="476">
        <v>0</v>
      </c>
      <c r="DY114" s="476">
        <v>0</v>
      </c>
      <c r="DZ114" s="476">
        <v>0</v>
      </c>
      <c r="EA114" s="476">
        <v>0</v>
      </c>
      <c r="EB114" s="476">
        <v>0</v>
      </c>
      <c r="EC114" s="476">
        <v>70.781000000000006</v>
      </c>
      <c r="ED114" s="476">
        <v>501401</v>
      </c>
      <c r="EE114" s="476">
        <v>12566</v>
      </c>
      <c r="EF114" s="476">
        <v>1.2</v>
      </c>
      <c r="EG114" s="476">
        <v>0</v>
      </c>
      <c r="EH114" s="476">
        <v>2387494</v>
      </c>
      <c r="EI114" s="476">
        <v>0</v>
      </c>
      <c r="EJ114" s="476">
        <v>0</v>
      </c>
      <c r="EK114" s="476">
        <v>97.585999999999999</v>
      </c>
      <c r="EL114" s="476">
        <v>0</v>
      </c>
      <c r="EM114" s="476">
        <v>19.015000000000001</v>
      </c>
      <c r="EN114" s="476">
        <v>7.4560000000000004</v>
      </c>
      <c r="EO114" s="476">
        <v>0</v>
      </c>
      <c r="EP114" s="476">
        <v>0</v>
      </c>
      <c r="EQ114" s="476">
        <v>124.277</v>
      </c>
      <c r="ER114" s="476">
        <v>0.22</v>
      </c>
      <c r="ES114" s="476">
        <v>387.589</v>
      </c>
      <c r="ET114" s="476">
        <v>0</v>
      </c>
      <c r="EU114" s="476">
        <v>0</v>
      </c>
      <c r="EV114" s="476">
        <v>0</v>
      </c>
      <c r="EW114" s="476">
        <v>0</v>
      </c>
      <c r="EX114" s="476">
        <v>0</v>
      </c>
      <c r="EY114" s="476">
        <v>0</v>
      </c>
      <c r="EZ114" s="476">
        <v>45687781</v>
      </c>
      <c r="FA114" s="476">
        <v>0</v>
      </c>
      <c r="FB114" s="476">
        <v>47795224</v>
      </c>
      <c r="FC114" s="476">
        <v>0</v>
      </c>
      <c r="FD114" s="476">
        <v>0</v>
      </c>
      <c r="FE114" s="476">
        <v>6170061</v>
      </c>
      <c r="FF114" s="476">
        <v>1030445</v>
      </c>
      <c r="FG114" s="476">
        <v>6.3017999999999991E-2</v>
      </c>
      <c r="FH114" s="476">
        <v>2.6953999999999999E-2</v>
      </c>
      <c r="FI114" s="476">
        <v>0</v>
      </c>
      <c r="FJ114" s="476">
        <v>0</v>
      </c>
      <c r="FK114" s="476">
        <v>7757.6660000000002</v>
      </c>
      <c r="FL114" s="476">
        <v>55855162</v>
      </c>
      <c r="FM114" s="476">
        <v>0</v>
      </c>
      <c r="FN114" s="476">
        <v>0</v>
      </c>
      <c r="FO114" s="476">
        <v>0</v>
      </c>
      <c r="FP114" s="476">
        <v>0</v>
      </c>
      <c r="FQ114" s="476">
        <v>0</v>
      </c>
      <c r="FR114" s="476">
        <v>0</v>
      </c>
      <c r="FS114" s="476">
        <v>0</v>
      </c>
      <c r="FT114" s="476">
        <v>0</v>
      </c>
      <c r="FU114" s="476">
        <v>0</v>
      </c>
      <c r="FV114" s="476">
        <v>0</v>
      </c>
      <c r="FW114" s="476">
        <v>0</v>
      </c>
      <c r="FX114" s="476">
        <v>0</v>
      </c>
      <c r="FY114" s="476">
        <v>0</v>
      </c>
      <c r="FZ114" s="476">
        <v>0</v>
      </c>
      <c r="GA114" s="476">
        <v>0</v>
      </c>
      <c r="GB114" s="476">
        <v>3343197</v>
      </c>
      <c r="GC114" s="476">
        <v>3343197</v>
      </c>
      <c r="GD114" s="476">
        <v>348.03900000000004</v>
      </c>
      <c r="GE114" s="476">
        <v>0</v>
      </c>
      <c r="GF114" s="476">
        <v>0</v>
      </c>
      <c r="GG114" s="476">
        <v>0</v>
      </c>
      <c r="GH114" s="476">
        <v>0</v>
      </c>
      <c r="GI114" s="476">
        <v>0</v>
      </c>
      <c r="GJ114" s="476">
        <v>0</v>
      </c>
      <c r="GK114" s="476">
        <v>0</v>
      </c>
      <c r="GL114" s="476">
        <v>0</v>
      </c>
      <c r="GM114" s="476">
        <v>0</v>
      </c>
      <c r="GN114" s="476">
        <v>0</v>
      </c>
      <c r="GO114" s="476">
        <v>0</v>
      </c>
      <c r="GP114" s="476">
        <v>0</v>
      </c>
      <c r="GQ114" s="476">
        <v>52877654</v>
      </c>
      <c r="GR114" s="476">
        <v>0</v>
      </c>
      <c r="GS114" s="476">
        <v>0</v>
      </c>
      <c r="GT114" s="476">
        <v>0</v>
      </c>
      <c r="GU114" s="476">
        <v>0</v>
      </c>
      <c r="GV114" s="476">
        <v>0</v>
      </c>
      <c r="GW114" s="476">
        <v>0</v>
      </c>
      <c r="GX114" s="476">
        <v>0</v>
      </c>
      <c r="GY114" s="476">
        <v>0</v>
      </c>
      <c r="GZ114" s="476">
        <v>0</v>
      </c>
      <c r="HA114" s="476">
        <v>0</v>
      </c>
      <c r="HB114" s="476">
        <v>323396213</v>
      </c>
      <c r="HC114" s="476">
        <v>4.2206E-2</v>
      </c>
      <c r="HD114" s="476">
        <v>859432</v>
      </c>
      <c r="HE114" s="476">
        <v>0</v>
      </c>
      <c r="HF114" s="476">
        <v>5089413</v>
      </c>
      <c r="HG114" s="476">
        <v>31415</v>
      </c>
      <c r="HH114" s="476">
        <v>866695</v>
      </c>
      <c r="HI114" s="476">
        <v>0</v>
      </c>
      <c r="HJ114" s="476">
        <v>50907</v>
      </c>
      <c r="HK114" s="476">
        <v>13468</v>
      </c>
      <c r="HL114" s="476">
        <v>6251</v>
      </c>
      <c r="HM114" s="476">
        <v>488000</v>
      </c>
      <c r="HN114" s="476">
        <v>1041002</v>
      </c>
      <c r="HO114" s="476">
        <v>0</v>
      </c>
      <c r="HP114" s="476">
        <v>0</v>
      </c>
      <c r="HQ114" s="476">
        <v>0</v>
      </c>
      <c r="HR114" s="476">
        <v>0</v>
      </c>
      <c r="HS114" s="476">
        <v>45677148</v>
      </c>
      <c r="HT114" s="476">
        <v>1030445</v>
      </c>
      <c r="HU114" s="476">
        <v>0</v>
      </c>
      <c r="HV114" s="476">
        <v>0</v>
      </c>
      <c r="HW114" s="476">
        <v>0</v>
      </c>
      <c r="HX114" s="476">
        <v>1159</v>
      </c>
      <c r="HY114" s="476">
        <v>799</v>
      </c>
      <c r="HZ114" s="476">
        <v>411</v>
      </c>
      <c r="IA114" s="476">
        <v>425</v>
      </c>
      <c r="IB114" s="476">
        <v>317</v>
      </c>
      <c r="IC114" s="476">
        <v>3111</v>
      </c>
      <c r="ID114" s="476">
        <v>0</v>
      </c>
      <c r="IE114" s="476">
        <v>0</v>
      </c>
      <c r="IF114" s="476">
        <v>0</v>
      </c>
      <c r="IG114" s="476">
        <v>51</v>
      </c>
      <c r="IH114" s="476">
        <v>1407.0050000000001</v>
      </c>
      <c r="II114" s="476">
        <v>0</v>
      </c>
      <c r="IJ114" s="476">
        <v>1274.127</v>
      </c>
      <c r="IK114" s="476">
        <v>0</v>
      </c>
      <c r="IL114" s="476">
        <v>69</v>
      </c>
      <c r="IM114" s="476">
        <v>45</v>
      </c>
      <c r="IN114" s="476">
        <v>4</v>
      </c>
      <c r="IO114" s="476">
        <v>118</v>
      </c>
      <c r="IP114" s="476">
        <v>0</v>
      </c>
      <c r="IQ114" s="476">
        <v>1274.127</v>
      </c>
      <c r="IR114" s="476">
        <v>784844</v>
      </c>
      <c r="IS114" s="476">
        <v>0</v>
      </c>
      <c r="IT114" s="476">
        <v>345000</v>
      </c>
      <c r="IU114" s="476">
        <v>135000</v>
      </c>
      <c r="IV114" s="476">
        <v>8000</v>
      </c>
      <c r="IW114" s="476">
        <v>6160</v>
      </c>
      <c r="IX114" s="476">
        <v>0</v>
      </c>
      <c r="IY114" s="476">
        <v>0</v>
      </c>
      <c r="IZ114" s="476">
        <v>0</v>
      </c>
      <c r="JA114" s="476">
        <v>0</v>
      </c>
      <c r="JB114" s="476">
        <v>29</v>
      </c>
      <c r="JC114" s="476">
        <v>475099</v>
      </c>
      <c r="JD114" s="476">
        <v>46</v>
      </c>
      <c r="JE114" s="476">
        <v>398364</v>
      </c>
      <c r="JF114" s="476">
        <v>30</v>
      </c>
      <c r="JG114" s="476">
        <v>131039</v>
      </c>
      <c r="JH114" s="476">
        <v>36500</v>
      </c>
      <c r="JI114" s="476">
        <v>0</v>
      </c>
      <c r="JJ114" s="476">
        <v>0</v>
      </c>
      <c r="JK114" s="476">
        <v>0</v>
      </c>
      <c r="JL114" s="476">
        <v>0</v>
      </c>
      <c r="JM114" s="476">
        <v>0</v>
      </c>
      <c r="JN114" s="476">
        <v>32469</v>
      </c>
      <c r="JO114" s="476">
        <v>32.341000000000001</v>
      </c>
      <c r="JP114" s="476">
        <v>206.75</v>
      </c>
      <c r="JQ114" s="476">
        <v>108.94800000000001</v>
      </c>
      <c r="JR114" s="476">
        <v>258346</v>
      </c>
      <c r="JS114" s="476">
        <v>1921816</v>
      </c>
      <c r="JT114" s="476">
        <v>1163035</v>
      </c>
      <c r="JU114" s="476">
        <v>109752</v>
      </c>
      <c r="JV114" s="476">
        <v>0</v>
      </c>
      <c r="JW114" s="476">
        <v>0</v>
      </c>
      <c r="JX114" s="476">
        <v>0</v>
      </c>
      <c r="JY114" s="476">
        <v>0</v>
      </c>
      <c r="JZ114" s="476">
        <v>0</v>
      </c>
      <c r="KA114" s="476">
        <v>0</v>
      </c>
      <c r="KB114" s="476">
        <v>0</v>
      </c>
      <c r="KC114" s="476">
        <v>0</v>
      </c>
      <c r="KD114" s="476">
        <v>109954</v>
      </c>
      <c r="KE114" s="476">
        <v>7262</v>
      </c>
      <c r="KF114" s="476">
        <v>0</v>
      </c>
      <c r="KG114" s="476">
        <v>0</v>
      </c>
      <c r="KH114" s="476">
        <v>52877654</v>
      </c>
      <c r="KI114" s="476">
        <v>0</v>
      </c>
      <c r="KJ114" s="476">
        <v>34</v>
      </c>
      <c r="KK114" s="476">
        <v>17</v>
      </c>
      <c r="KL114" s="476">
        <v>20944</v>
      </c>
      <c r="KM114" s="476">
        <v>10472</v>
      </c>
      <c r="KN114" s="476">
        <v>0</v>
      </c>
    </row>
    <row r="115" spans="1:300" x14ac:dyDescent="0.25">
      <c r="A115" s="476">
        <v>40976</v>
      </c>
      <c r="B115" s="476">
        <v>101864</v>
      </c>
      <c r="C115" s="476">
        <v>9</v>
      </c>
      <c r="D115" s="476">
        <v>2024</v>
      </c>
      <c r="E115" s="476">
        <v>6160</v>
      </c>
      <c r="F115" s="476">
        <v>0</v>
      </c>
      <c r="G115" s="476">
        <v>120.00700000000001</v>
      </c>
      <c r="H115" s="476">
        <v>116.14400000000001</v>
      </c>
      <c r="I115" s="476">
        <v>116.14400000000001</v>
      </c>
      <c r="J115" s="476">
        <v>120.00700000000001</v>
      </c>
      <c r="K115" s="476">
        <v>0</v>
      </c>
      <c r="L115" s="476">
        <v>6160</v>
      </c>
      <c r="M115" s="476">
        <v>0</v>
      </c>
      <c r="N115" s="476">
        <v>0</v>
      </c>
      <c r="O115" s="476">
        <v>0</v>
      </c>
      <c r="P115" s="476">
        <v>120.00700000000001</v>
      </c>
      <c r="Q115" s="476">
        <v>0</v>
      </c>
      <c r="R115" s="476">
        <v>49789</v>
      </c>
      <c r="S115" s="476">
        <v>414.88400000000001</v>
      </c>
      <c r="T115" s="476">
        <v>0</v>
      </c>
      <c r="U115" s="476">
        <v>0</v>
      </c>
      <c r="V115" s="476">
        <v>0</v>
      </c>
      <c r="W115" s="476">
        <v>0</v>
      </c>
      <c r="X115" s="476">
        <v>0</v>
      </c>
      <c r="Y115" s="476">
        <v>0</v>
      </c>
      <c r="Z115" s="476">
        <v>0</v>
      </c>
      <c r="AA115" s="476">
        <v>0</v>
      </c>
      <c r="AB115" s="476">
        <v>0</v>
      </c>
      <c r="AC115" s="476">
        <v>0</v>
      </c>
      <c r="AD115" s="476" t="s">
        <v>314</v>
      </c>
      <c r="AE115" s="476">
        <v>0</v>
      </c>
      <c r="AF115" s="476">
        <v>0</v>
      </c>
      <c r="AG115" s="476">
        <v>0</v>
      </c>
      <c r="AH115" s="476">
        <v>0</v>
      </c>
      <c r="AI115" s="476">
        <v>0</v>
      </c>
      <c r="AJ115" s="476">
        <v>6160</v>
      </c>
      <c r="AK115" s="476" t="s">
        <v>651</v>
      </c>
      <c r="AL115" s="476" t="s">
        <v>350</v>
      </c>
      <c r="AM115" s="476">
        <v>0</v>
      </c>
      <c r="AN115" s="476">
        <v>0</v>
      </c>
      <c r="AO115" s="476">
        <v>0</v>
      </c>
      <c r="AP115" s="476">
        <v>0</v>
      </c>
      <c r="AQ115" s="476">
        <v>0</v>
      </c>
      <c r="AR115" s="476">
        <v>0</v>
      </c>
      <c r="AS115" s="476">
        <v>0</v>
      </c>
      <c r="AT115" s="476">
        <v>0</v>
      </c>
      <c r="AU115" s="476">
        <v>0</v>
      </c>
      <c r="AV115" s="476">
        <v>0</v>
      </c>
      <c r="AW115" s="476">
        <v>1341081</v>
      </c>
      <c r="AX115" s="476">
        <v>1321219</v>
      </c>
      <c r="AY115" s="476">
        <v>0</v>
      </c>
      <c r="AZ115" s="476">
        <v>49789</v>
      </c>
      <c r="BA115" s="476">
        <v>0</v>
      </c>
      <c r="BB115" s="476">
        <v>0</v>
      </c>
      <c r="BC115" s="476">
        <v>0</v>
      </c>
      <c r="BD115" s="476">
        <v>0</v>
      </c>
      <c r="BE115" s="476">
        <v>0</v>
      </c>
      <c r="BF115" s="476">
        <v>1179497</v>
      </c>
      <c r="BG115" s="476">
        <v>0</v>
      </c>
      <c r="BH115" s="476">
        <v>0</v>
      </c>
      <c r="BI115" s="476">
        <v>0</v>
      </c>
      <c r="BJ115" s="476">
        <v>12</v>
      </c>
      <c r="BK115" s="476">
        <v>0</v>
      </c>
      <c r="BL115" s="476">
        <v>0</v>
      </c>
      <c r="BM115" s="476">
        <v>0</v>
      </c>
      <c r="BN115" s="476">
        <v>0</v>
      </c>
      <c r="BO115" s="476">
        <v>0</v>
      </c>
      <c r="BP115" s="476">
        <v>0</v>
      </c>
      <c r="BQ115" s="476">
        <v>752</v>
      </c>
      <c r="BR115" s="476">
        <v>0</v>
      </c>
      <c r="BS115" s="476">
        <v>0</v>
      </c>
      <c r="BT115" s="476">
        <v>0</v>
      </c>
      <c r="BU115" s="476">
        <v>0</v>
      </c>
      <c r="BV115" s="476">
        <v>0</v>
      </c>
      <c r="BW115" s="476">
        <v>0</v>
      </c>
      <c r="BX115" s="476">
        <v>0</v>
      </c>
      <c r="BY115" s="476">
        <v>0</v>
      </c>
      <c r="BZ115" s="476">
        <v>0</v>
      </c>
      <c r="CA115" s="476">
        <v>0</v>
      </c>
      <c r="CB115" s="476">
        <v>0</v>
      </c>
      <c r="CC115" s="476">
        <v>0</v>
      </c>
      <c r="CD115" s="476">
        <v>0</v>
      </c>
      <c r="CE115" s="476">
        <v>0</v>
      </c>
      <c r="CF115" s="476">
        <v>0</v>
      </c>
      <c r="CG115" s="476">
        <v>0</v>
      </c>
      <c r="CH115" s="476">
        <v>20260</v>
      </c>
      <c r="CI115" s="476">
        <v>0</v>
      </c>
      <c r="CJ115" s="476">
        <v>4</v>
      </c>
      <c r="CK115" s="476">
        <v>0</v>
      </c>
      <c r="CL115" s="476">
        <v>0</v>
      </c>
      <c r="CM115" s="476">
        <v>0</v>
      </c>
      <c r="CN115" s="476">
        <v>0</v>
      </c>
      <c r="CO115" s="476">
        <v>1</v>
      </c>
      <c r="CP115" s="476">
        <v>0</v>
      </c>
      <c r="CQ115" s="476">
        <v>0</v>
      </c>
      <c r="CR115" s="476">
        <v>120.00700000000001</v>
      </c>
      <c r="CS115" s="476">
        <v>0</v>
      </c>
      <c r="CT115" s="476">
        <v>0</v>
      </c>
      <c r="CU115" s="476">
        <v>0</v>
      </c>
      <c r="CV115" s="476">
        <v>0</v>
      </c>
      <c r="CW115" s="476">
        <v>0</v>
      </c>
      <c r="CX115" s="476">
        <v>0</v>
      </c>
      <c r="CY115" s="476">
        <v>0</v>
      </c>
      <c r="CZ115" s="476">
        <v>0</v>
      </c>
      <c r="DA115" s="476">
        <v>0</v>
      </c>
      <c r="DB115" s="476">
        <v>715431</v>
      </c>
      <c r="DC115" s="476">
        <v>0</v>
      </c>
      <c r="DD115" s="476">
        <v>0</v>
      </c>
      <c r="DE115" s="476">
        <v>216750</v>
      </c>
      <c r="DF115" s="476">
        <v>216750</v>
      </c>
      <c r="DG115" s="476">
        <v>35.188000000000002</v>
      </c>
      <c r="DH115" s="476">
        <v>0</v>
      </c>
      <c r="DI115" s="476">
        <v>0</v>
      </c>
      <c r="DJ115" s="476">
        <v>0</v>
      </c>
      <c r="DK115" s="476">
        <v>3656</v>
      </c>
      <c r="DL115" s="476">
        <v>0</v>
      </c>
      <c r="DM115" s="476">
        <v>115879</v>
      </c>
      <c r="DN115" s="476">
        <v>398</v>
      </c>
      <c r="DO115" s="476">
        <v>0</v>
      </c>
      <c r="DP115" s="476">
        <v>0</v>
      </c>
      <c r="DQ115" s="476">
        <v>0</v>
      </c>
      <c r="DR115" s="476">
        <v>0</v>
      </c>
      <c r="DS115" s="476">
        <v>0</v>
      </c>
      <c r="DT115" s="476">
        <v>0</v>
      </c>
      <c r="DU115" s="476">
        <v>0</v>
      </c>
      <c r="DV115" s="476">
        <v>0</v>
      </c>
      <c r="DW115" s="476">
        <v>0</v>
      </c>
      <c r="DX115" s="476">
        <v>0</v>
      </c>
      <c r="DY115" s="476">
        <v>0</v>
      </c>
      <c r="DZ115" s="476">
        <v>0</v>
      </c>
      <c r="EA115" s="476">
        <v>0</v>
      </c>
      <c r="EB115" s="476">
        <v>0</v>
      </c>
      <c r="EC115" s="476">
        <v>6.3370000000000006</v>
      </c>
      <c r="ED115" s="476">
        <v>44890</v>
      </c>
      <c r="EE115" s="476">
        <v>0</v>
      </c>
      <c r="EF115" s="476">
        <v>0</v>
      </c>
      <c r="EG115" s="476">
        <v>0</v>
      </c>
      <c r="EH115" s="476">
        <v>71387</v>
      </c>
      <c r="EI115" s="476">
        <v>0</v>
      </c>
      <c r="EJ115" s="476">
        <v>0</v>
      </c>
      <c r="EK115" s="476">
        <v>3.4550000000000001</v>
      </c>
      <c r="EL115" s="476">
        <v>0</v>
      </c>
      <c r="EM115" s="476">
        <v>0.40800000000000003</v>
      </c>
      <c r="EN115" s="476">
        <v>0</v>
      </c>
      <c r="EO115" s="476">
        <v>0</v>
      </c>
      <c r="EP115" s="476">
        <v>0</v>
      </c>
      <c r="EQ115" s="476">
        <v>3.863</v>
      </c>
      <c r="ER115" s="476">
        <v>0</v>
      </c>
      <c r="ES115" s="476">
        <v>11.589</v>
      </c>
      <c r="ET115" s="476">
        <v>0</v>
      </c>
      <c r="EU115" s="476">
        <v>0</v>
      </c>
      <c r="EV115" s="476">
        <v>0</v>
      </c>
      <c r="EW115" s="476">
        <v>0</v>
      </c>
      <c r="EX115" s="476">
        <v>0</v>
      </c>
      <c r="EY115" s="476">
        <v>0</v>
      </c>
      <c r="EZ115" s="476">
        <v>1143491</v>
      </c>
      <c r="FA115" s="476">
        <v>0</v>
      </c>
      <c r="FB115" s="476">
        <v>1192882</v>
      </c>
      <c r="FC115" s="476">
        <v>0</v>
      </c>
      <c r="FD115" s="476">
        <v>0</v>
      </c>
      <c r="FE115" s="476">
        <v>152294</v>
      </c>
      <c r="FF115" s="476">
        <v>25434</v>
      </c>
      <c r="FG115" s="476">
        <v>6.3017999999999991E-2</v>
      </c>
      <c r="FH115" s="476">
        <v>2.6953999999999999E-2</v>
      </c>
      <c r="FI115" s="476">
        <v>0</v>
      </c>
      <c r="FJ115" s="476">
        <v>0</v>
      </c>
      <c r="FK115" s="476">
        <v>191.48100000000002</v>
      </c>
      <c r="FL115" s="476">
        <v>1390870</v>
      </c>
      <c r="FM115" s="476">
        <v>0</v>
      </c>
      <c r="FN115" s="476">
        <v>0</v>
      </c>
      <c r="FO115" s="476">
        <v>13783</v>
      </c>
      <c r="FP115" s="476">
        <v>0</v>
      </c>
      <c r="FQ115" s="476">
        <v>13783</v>
      </c>
      <c r="FR115" s="476">
        <v>13783</v>
      </c>
      <c r="FS115" s="476">
        <v>0</v>
      </c>
      <c r="FT115" s="476">
        <v>0</v>
      </c>
      <c r="FU115" s="476">
        <v>0</v>
      </c>
      <c r="FV115" s="476">
        <v>0</v>
      </c>
      <c r="FW115" s="476">
        <v>0</v>
      </c>
      <c r="FX115" s="476">
        <v>0</v>
      </c>
      <c r="FY115" s="476">
        <v>0</v>
      </c>
      <c r="FZ115" s="476">
        <v>0</v>
      </c>
      <c r="GA115" s="476">
        <v>0</v>
      </c>
      <c r="GB115" s="476">
        <v>0</v>
      </c>
      <c r="GC115" s="476">
        <v>0</v>
      </c>
      <c r="GD115" s="476">
        <v>0</v>
      </c>
      <c r="GE115" s="476">
        <v>0</v>
      </c>
      <c r="GF115" s="476">
        <v>0</v>
      </c>
      <c r="GG115" s="476">
        <v>0</v>
      </c>
      <c r="GH115" s="476">
        <v>0</v>
      </c>
      <c r="GI115" s="476">
        <v>0</v>
      </c>
      <c r="GJ115" s="476">
        <v>0</v>
      </c>
      <c r="GK115" s="476">
        <v>0</v>
      </c>
      <c r="GL115" s="476">
        <v>0</v>
      </c>
      <c r="GM115" s="476">
        <v>0</v>
      </c>
      <c r="GN115" s="476">
        <v>0</v>
      </c>
      <c r="GO115" s="476">
        <v>0</v>
      </c>
      <c r="GP115" s="476">
        <v>0</v>
      </c>
      <c r="GQ115" s="476">
        <v>1320821</v>
      </c>
      <c r="GR115" s="476">
        <v>0</v>
      </c>
      <c r="GS115" s="476">
        <v>0</v>
      </c>
      <c r="GT115" s="476">
        <v>0</v>
      </c>
      <c r="GU115" s="476">
        <v>0</v>
      </c>
      <c r="GV115" s="476">
        <v>0</v>
      </c>
      <c r="GW115" s="476">
        <v>0</v>
      </c>
      <c r="GX115" s="476">
        <v>0</v>
      </c>
      <c r="GY115" s="476">
        <v>0</v>
      </c>
      <c r="GZ115" s="476">
        <v>0</v>
      </c>
      <c r="HA115" s="476">
        <v>0</v>
      </c>
      <c r="HB115" s="476">
        <v>323396213</v>
      </c>
      <c r="HC115" s="476">
        <v>4.2206E-2</v>
      </c>
      <c r="HD115" s="476">
        <v>20260</v>
      </c>
      <c r="HE115" s="476">
        <v>0</v>
      </c>
      <c r="HF115" s="476">
        <v>127991</v>
      </c>
      <c r="HG115" s="476">
        <v>1848</v>
      </c>
      <c r="HH115" s="476">
        <v>0</v>
      </c>
      <c r="HI115" s="476">
        <v>0</v>
      </c>
      <c r="HJ115" s="476">
        <v>1200</v>
      </c>
      <c r="HK115" s="476">
        <v>0</v>
      </c>
      <c r="HL115" s="476">
        <v>0</v>
      </c>
      <c r="HM115" s="476">
        <v>0</v>
      </c>
      <c r="HN115" s="476">
        <v>0</v>
      </c>
      <c r="HO115" s="476">
        <v>0</v>
      </c>
      <c r="HP115" s="476">
        <v>0</v>
      </c>
      <c r="HQ115" s="476">
        <v>0</v>
      </c>
      <c r="HR115" s="476">
        <v>0</v>
      </c>
      <c r="HS115" s="476">
        <v>1143093</v>
      </c>
      <c r="HT115" s="476">
        <v>25434</v>
      </c>
      <c r="HU115" s="476">
        <v>0</v>
      </c>
      <c r="HV115" s="476">
        <v>0</v>
      </c>
      <c r="HW115" s="476">
        <v>0</v>
      </c>
      <c r="HX115" s="476">
        <v>1</v>
      </c>
      <c r="HY115" s="476">
        <v>12</v>
      </c>
      <c r="HZ115" s="476">
        <v>23</v>
      </c>
      <c r="IA115" s="476">
        <v>25</v>
      </c>
      <c r="IB115" s="476">
        <v>72</v>
      </c>
      <c r="IC115" s="476">
        <v>133</v>
      </c>
      <c r="ID115" s="476">
        <v>0</v>
      </c>
      <c r="IE115" s="476">
        <v>0</v>
      </c>
      <c r="IF115" s="476">
        <v>0</v>
      </c>
      <c r="IG115" s="476">
        <v>3</v>
      </c>
      <c r="IH115" s="476">
        <v>0</v>
      </c>
      <c r="II115" s="476">
        <v>0</v>
      </c>
      <c r="IJ115" s="476">
        <v>0</v>
      </c>
      <c r="IK115" s="476">
        <v>0</v>
      </c>
      <c r="IL115" s="476">
        <v>0</v>
      </c>
      <c r="IM115" s="476">
        <v>0</v>
      </c>
      <c r="IN115" s="476">
        <v>0</v>
      </c>
      <c r="IO115" s="476">
        <v>0</v>
      </c>
      <c r="IP115" s="476">
        <v>0</v>
      </c>
      <c r="IQ115" s="476">
        <v>0</v>
      </c>
      <c r="IR115" s="476">
        <v>0</v>
      </c>
      <c r="IS115" s="476">
        <v>0</v>
      </c>
      <c r="IT115" s="476">
        <v>0</v>
      </c>
      <c r="IU115" s="476">
        <v>0</v>
      </c>
      <c r="IV115" s="476">
        <v>0</v>
      </c>
      <c r="IW115" s="476">
        <v>6160</v>
      </c>
      <c r="IX115" s="476">
        <v>0</v>
      </c>
      <c r="IY115" s="476">
        <v>0</v>
      </c>
      <c r="IZ115" s="476">
        <v>0</v>
      </c>
      <c r="JA115" s="476">
        <v>0</v>
      </c>
      <c r="JB115" s="476">
        <v>0</v>
      </c>
      <c r="JC115" s="476">
        <v>0</v>
      </c>
      <c r="JD115" s="476">
        <v>0</v>
      </c>
      <c r="JE115" s="476">
        <v>0</v>
      </c>
      <c r="JF115" s="476">
        <v>0</v>
      </c>
      <c r="JG115" s="476">
        <v>0</v>
      </c>
      <c r="JH115" s="476">
        <v>0</v>
      </c>
      <c r="JI115" s="476">
        <v>0</v>
      </c>
      <c r="JJ115" s="476">
        <v>0</v>
      </c>
      <c r="JK115" s="476">
        <v>0</v>
      </c>
      <c r="JL115" s="476">
        <v>0</v>
      </c>
      <c r="JM115" s="476">
        <v>0</v>
      </c>
      <c r="JN115" s="476">
        <v>32469</v>
      </c>
      <c r="JO115" s="476">
        <v>0</v>
      </c>
      <c r="JP115" s="476">
        <v>0</v>
      </c>
      <c r="JQ115" s="476">
        <v>0</v>
      </c>
      <c r="JR115" s="476">
        <v>0</v>
      </c>
      <c r="JS115" s="476">
        <v>0</v>
      </c>
      <c r="JT115" s="476">
        <v>0</v>
      </c>
      <c r="JU115" s="476">
        <v>0</v>
      </c>
      <c r="JV115" s="476">
        <v>0</v>
      </c>
      <c r="JW115" s="476">
        <v>0</v>
      </c>
      <c r="JX115" s="476">
        <v>0</v>
      </c>
      <c r="JY115" s="476">
        <v>0</v>
      </c>
      <c r="JZ115" s="476">
        <v>0</v>
      </c>
      <c r="KA115" s="476">
        <v>0</v>
      </c>
      <c r="KB115" s="476">
        <v>0</v>
      </c>
      <c r="KC115" s="476">
        <v>0</v>
      </c>
      <c r="KD115" s="476">
        <v>0</v>
      </c>
      <c r="KE115" s="476">
        <v>7262</v>
      </c>
      <c r="KF115" s="476">
        <v>0</v>
      </c>
      <c r="KG115" s="476">
        <v>0</v>
      </c>
      <c r="KH115" s="476">
        <v>1320821</v>
      </c>
      <c r="KI115" s="476">
        <v>0</v>
      </c>
      <c r="KJ115" s="476">
        <v>2</v>
      </c>
      <c r="KK115" s="476">
        <v>1</v>
      </c>
      <c r="KL115" s="476">
        <v>1232</v>
      </c>
      <c r="KM115" s="476">
        <v>616</v>
      </c>
      <c r="KN115" s="476">
        <v>0</v>
      </c>
    </row>
    <row r="116" spans="1:300" x14ac:dyDescent="0.25">
      <c r="A116" s="476">
        <v>40976</v>
      </c>
      <c r="B116" s="476">
        <v>101868</v>
      </c>
      <c r="C116" s="476">
        <v>9</v>
      </c>
      <c r="D116" s="476">
        <v>2024</v>
      </c>
      <c r="E116" s="476">
        <v>6160</v>
      </c>
      <c r="F116" s="476">
        <v>0</v>
      </c>
      <c r="G116" s="476">
        <v>331.96</v>
      </c>
      <c r="H116" s="476">
        <v>314.57499999999999</v>
      </c>
      <c r="I116" s="476">
        <v>314.57499999999999</v>
      </c>
      <c r="J116" s="476">
        <v>331.96</v>
      </c>
      <c r="K116" s="476">
        <v>0</v>
      </c>
      <c r="L116" s="476">
        <v>6160</v>
      </c>
      <c r="M116" s="476">
        <v>0</v>
      </c>
      <c r="N116" s="476">
        <v>0</v>
      </c>
      <c r="O116" s="476">
        <v>0</v>
      </c>
      <c r="P116" s="476">
        <v>332.22700000000003</v>
      </c>
      <c r="Q116" s="476">
        <v>0</v>
      </c>
      <c r="R116" s="476">
        <v>137836</v>
      </c>
      <c r="S116" s="476">
        <v>414.88400000000001</v>
      </c>
      <c r="T116" s="476">
        <v>0</v>
      </c>
      <c r="U116" s="476">
        <v>0</v>
      </c>
      <c r="V116" s="476">
        <v>0</v>
      </c>
      <c r="W116" s="476">
        <v>0</v>
      </c>
      <c r="X116" s="476">
        <v>0</v>
      </c>
      <c r="Y116" s="476">
        <v>0</v>
      </c>
      <c r="Z116" s="476">
        <v>0</v>
      </c>
      <c r="AA116" s="476">
        <v>0</v>
      </c>
      <c r="AB116" s="476">
        <v>0</v>
      </c>
      <c r="AC116" s="476">
        <v>0</v>
      </c>
      <c r="AD116" s="476" t="s">
        <v>314</v>
      </c>
      <c r="AE116" s="476">
        <v>0</v>
      </c>
      <c r="AF116" s="476">
        <v>0</v>
      </c>
      <c r="AG116" s="476">
        <v>0</v>
      </c>
      <c r="AH116" s="476">
        <v>0</v>
      </c>
      <c r="AI116" s="476">
        <v>0</v>
      </c>
      <c r="AJ116" s="476">
        <v>6160</v>
      </c>
      <c r="AK116" s="476" t="s">
        <v>651</v>
      </c>
      <c r="AL116" s="476" t="s">
        <v>351</v>
      </c>
      <c r="AM116" s="476">
        <v>0</v>
      </c>
      <c r="AN116" s="476">
        <v>0</v>
      </c>
      <c r="AO116" s="476">
        <v>0</v>
      </c>
      <c r="AP116" s="476">
        <v>0</v>
      </c>
      <c r="AQ116" s="476">
        <v>0</v>
      </c>
      <c r="AR116" s="476">
        <v>0</v>
      </c>
      <c r="AS116" s="476">
        <v>0</v>
      </c>
      <c r="AT116" s="476">
        <v>0</v>
      </c>
      <c r="AU116" s="476">
        <v>0</v>
      </c>
      <c r="AV116" s="476">
        <v>0</v>
      </c>
      <c r="AW116" s="476">
        <v>3862598</v>
      </c>
      <c r="AX116" s="476">
        <v>3807822</v>
      </c>
      <c r="AY116" s="476">
        <v>0</v>
      </c>
      <c r="AZ116" s="476">
        <v>137836</v>
      </c>
      <c r="BA116" s="476">
        <v>0</v>
      </c>
      <c r="BB116" s="476">
        <v>0</v>
      </c>
      <c r="BC116" s="476">
        <v>0</v>
      </c>
      <c r="BD116" s="476">
        <v>0</v>
      </c>
      <c r="BE116" s="476">
        <v>0</v>
      </c>
      <c r="BF116" s="476">
        <v>3400262</v>
      </c>
      <c r="BG116" s="476">
        <v>0</v>
      </c>
      <c r="BH116" s="476">
        <v>0</v>
      </c>
      <c r="BI116" s="476">
        <v>0</v>
      </c>
      <c r="BJ116" s="476">
        <v>12</v>
      </c>
      <c r="BK116" s="476">
        <v>0</v>
      </c>
      <c r="BL116" s="476">
        <v>0</v>
      </c>
      <c r="BM116" s="476">
        <v>0</v>
      </c>
      <c r="BN116" s="476">
        <v>0</v>
      </c>
      <c r="BO116" s="476">
        <v>0</v>
      </c>
      <c r="BP116" s="476">
        <v>0</v>
      </c>
      <c r="BQ116" s="476">
        <v>722</v>
      </c>
      <c r="BR116" s="476">
        <v>0</v>
      </c>
      <c r="BS116" s="476">
        <v>0</v>
      </c>
      <c r="BT116" s="476">
        <v>0</v>
      </c>
      <c r="BU116" s="476">
        <v>0</v>
      </c>
      <c r="BV116" s="476">
        <v>0</v>
      </c>
      <c r="BW116" s="476">
        <v>0</v>
      </c>
      <c r="BX116" s="476">
        <v>0</v>
      </c>
      <c r="BY116" s="476">
        <v>0</v>
      </c>
      <c r="BZ116" s="476">
        <v>0</v>
      </c>
      <c r="CA116" s="476">
        <v>0</v>
      </c>
      <c r="CB116" s="476">
        <v>0</v>
      </c>
      <c r="CC116" s="476">
        <v>0</v>
      </c>
      <c r="CD116" s="476">
        <v>0</v>
      </c>
      <c r="CE116" s="476">
        <v>0</v>
      </c>
      <c r="CF116" s="476">
        <v>0</v>
      </c>
      <c r="CG116" s="476">
        <v>0</v>
      </c>
      <c r="CH116" s="476">
        <v>56043</v>
      </c>
      <c r="CI116" s="476">
        <v>0</v>
      </c>
      <c r="CJ116" s="476">
        <v>4</v>
      </c>
      <c r="CK116" s="476">
        <v>0</v>
      </c>
      <c r="CL116" s="476">
        <v>0</v>
      </c>
      <c r="CM116" s="476">
        <v>0</v>
      </c>
      <c r="CN116" s="476">
        <v>0</v>
      </c>
      <c r="CO116" s="476">
        <v>1</v>
      </c>
      <c r="CP116" s="476">
        <v>0</v>
      </c>
      <c r="CQ116" s="476">
        <v>0</v>
      </c>
      <c r="CR116" s="476">
        <v>331.96</v>
      </c>
      <c r="CS116" s="476">
        <v>0</v>
      </c>
      <c r="CT116" s="476">
        <v>0</v>
      </c>
      <c r="CU116" s="476">
        <v>0</v>
      </c>
      <c r="CV116" s="476">
        <v>0</v>
      </c>
      <c r="CW116" s="476">
        <v>0</v>
      </c>
      <c r="CX116" s="476">
        <v>0</v>
      </c>
      <c r="CY116" s="476">
        <v>0</v>
      </c>
      <c r="CZ116" s="476">
        <v>0</v>
      </c>
      <c r="DA116" s="476">
        <v>0</v>
      </c>
      <c r="DB116" s="476">
        <v>1794949</v>
      </c>
      <c r="DC116" s="476">
        <v>0</v>
      </c>
      <c r="DD116" s="476">
        <v>0</v>
      </c>
      <c r="DE116" s="476">
        <v>593657</v>
      </c>
      <c r="DF116" s="476">
        <v>593657</v>
      </c>
      <c r="DG116" s="476">
        <v>96.375</v>
      </c>
      <c r="DH116" s="476">
        <v>0</v>
      </c>
      <c r="DI116" s="476">
        <v>0</v>
      </c>
      <c r="DJ116" s="476">
        <v>0</v>
      </c>
      <c r="DK116" s="476">
        <v>3167</v>
      </c>
      <c r="DL116" s="476">
        <v>0</v>
      </c>
      <c r="DM116" s="476">
        <v>511215</v>
      </c>
      <c r="DN116" s="476">
        <v>1267</v>
      </c>
      <c r="DO116" s="476">
        <v>0</v>
      </c>
      <c r="DP116" s="476">
        <v>0</v>
      </c>
      <c r="DQ116" s="476">
        <v>0</v>
      </c>
      <c r="DR116" s="476">
        <v>0</v>
      </c>
      <c r="DS116" s="476">
        <v>0</v>
      </c>
      <c r="DT116" s="476">
        <v>0</v>
      </c>
      <c r="DU116" s="476">
        <v>0</v>
      </c>
      <c r="DV116" s="476">
        <v>0</v>
      </c>
      <c r="DW116" s="476">
        <v>0</v>
      </c>
      <c r="DX116" s="476">
        <v>0</v>
      </c>
      <c r="DY116" s="476">
        <v>0</v>
      </c>
      <c r="DZ116" s="476">
        <v>0</v>
      </c>
      <c r="EA116" s="476">
        <v>0</v>
      </c>
      <c r="EB116" s="476">
        <v>0</v>
      </c>
      <c r="EC116" s="476">
        <v>42.977000000000004</v>
      </c>
      <c r="ED116" s="476">
        <v>304442</v>
      </c>
      <c r="EE116" s="476">
        <v>0</v>
      </c>
      <c r="EF116" s="476">
        <v>0</v>
      </c>
      <c r="EG116" s="476">
        <v>0</v>
      </c>
      <c r="EH116" s="476">
        <v>65251</v>
      </c>
      <c r="EI116" s="476">
        <v>0</v>
      </c>
      <c r="EJ116" s="476">
        <v>0</v>
      </c>
      <c r="EK116" s="476">
        <v>3.1160000000000001</v>
      </c>
      <c r="EL116" s="476">
        <v>0</v>
      </c>
      <c r="EM116" s="476">
        <v>0</v>
      </c>
      <c r="EN116" s="476">
        <v>0.249</v>
      </c>
      <c r="EO116" s="476">
        <v>0</v>
      </c>
      <c r="EP116" s="476">
        <v>0</v>
      </c>
      <c r="EQ116" s="476">
        <v>3.3650000000000002</v>
      </c>
      <c r="ER116" s="476">
        <v>0</v>
      </c>
      <c r="ES116" s="476">
        <v>10.593</v>
      </c>
      <c r="ET116" s="476">
        <v>0</v>
      </c>
      <c r="EU116" s="476">
        <v>0</v>
      </c>
      <c r="EV116" s="476">
        <v>0</v>
      </c>
      <c r="EW116" s="476">
        <v>0</v>
      </c>
      <c r="EX116" s="476">
        <v>0</v>
      </c>
      <c r="EY116" s="476">
        <v>0</v>
      </c>
      <c r="EZ116" s="476">
        <v>3295464</v>
      </c>
      <c r="FA116" s="476">
        <v>0</v>
      </c>
      <c r="FB116" s="476">
        <v>3432033</v>
      </c>
      <c r="FC116" s="476">
        <v>0</v>
      </c>
      <c r="FD116" s="476">
        <v>0</v>
      </c>
      <c r="FE116" s="476">
        <v>439036</v>
      </c>
      <c r="FF116" s="476">
        <v>73322</v>
      </c>
      <c r="FG116" s="476">
        <v>6.3017999999999991E-2</v>
      </c>
      <c r="FH116" s="476">
        <v>2.6953999999999999E-2</v>
      </c>
      <c r="FI116" s="476">
        <v>0</v>
      </c>
      <c r="FJ116" s="476">
        <v>0</v>
      </c>
      <c r="FK116" s="476">
        <v>552.00300000000004</v>
      </c>
      <c r="FL116" s="476">
        <v>4000434</v>
      </c>
      <c r="FM116" s="476">
        <v>0</v>
      </c>
      <c r="FN116" s="476">
        <v>0</v>
      </c>
      <c r="FO116" s="476">
        <v>29736</v>
      </c>
      <c r="FP116" s="476">
        <v>0</v>
      </c>
      <c r="FQ116" s="476">
        <v>29736</v>
      </c>
      <c r="FR116" s="476">
        <v>29736</v>
      </c>
      <c r="FS116" s="476">
        <v>0</v>
      </c>
      <c r="FT116" s="476">
        <v>0</v>
      </c>
      <c r="FU116" s="476">
        <v>0</v>
      </c>
      <c r="FV116" s="476">
        <v>0</v>
      </c>
      <c r="FW116" s="476">
        <v>0</v>
      </c>
      <c r="FX116" s="476">
        <v>0</v>
      </c>
      <c r="FY116" s="476">
        <v>0</v>
      </c>
      <c r="FZ116" s="476">
        <v>0</v>
      </c>
      <c r="GA116" s="476">
        <v>0</v>
      </c>
      <c r="GB116" s="476">
        <v>135348</v>
      </c>
      <c r="GC116" s="476">
        <v>135348</v>
      </c>
      <c r="GD116" s="476">
        <v>14.02</v>
      </c>
      <c r="GE116" s="476">
        <v>0</v>
      </c>
      <c r="GF116" s="476">
        <v>0</v>
      </c>
      <c r="GG116" s="476">
        <v>0</v>
      </c>
      <c r="GH116" s="476">
        <v>0</v>
      </c>
      <c r="GI116" s="476">
        <v>0</v>
      </c>
      <c r="GJ116" s="476">
        <v>0</v>
      </c>
      <c r="GK116" s="476">
        <v>0</v>
      </c>
      <c r="GL116" s="476">
        <v>0</v>
      </c>
      <c r="GM116" s="476">
        <v>0</v>
      </c>
      <c r="GN116" s="476">
        <v>0</v>
      </c>
      <c r="GO116" s="476">
        <v>0</v>
      </c>
      <c r="GP116" s="476">
        <v>0</v>
      </c>
      <c r="GQ116" s="476">
        <v>3806555</v>
      </c>
      <c r="GR116" s="476">
        <v>0</v>
      </c>
      <c r="GS116" s="476">
        <v>0</v>
      </c>
      <c r="GT116" s="476">
        <v>0</v>
      </c>
      <c r="GU116" s="476">
        <v>0</v>
      </c>
      <c r="GV116" s="476">
        <v>0</v>
      </c>
      <c r="GW116" s="476">
        <v>0</v>
      </c>
      <c r="GX116" s="476">
        <v>0</v>
      </c>
      <c r="GY116" s="476">
        <v>0</v>
      </c>
      <c r="GZ116" s="476">
        <v>0</v>
      </c>
      <c r="HA116" s="476">
        <v>0</v>
      </c>
      <c r="HB116" s="476">
        <v>323396213</v>
      </c>
      <c r="HC116" s="476">
        <v>4.2206E-2</v>
      </c>
      <c r="HD116" s="476">
        <v>56043</v>
      </c>
      <c r="HE116" s="476">
        <v>0</v>
      </c>
      <c r="HF116" s="476">
        <v>346662</v>
      </c>
      <c r="HG116" s="476">
        <v>9240</v>
      </c>
      <c r="HH116" s="476">
        <v>4604</v>
      </c>
      <c r="HI116" s="476">
        <v>0</v>
      </c>
      <c r="HJ116" s="476">
        <v>3320</v>
      </c>
      <c r="HK116" s="476">
        <v>2396</v>
      </c>
      <c r="HL116" s="476">
        <v>643</v>
      </c>
      <c r="HM116" s="476">
        <v>0</v>
      </c>
      <c r="HN116" s="476">
        <v>0</v>
      </c>
      <c r="HO116" s="476">
        <v>0</v>
      </c>
      <c r="HP116" s="476">
        <v>0</v>
      </c>
      <c r="HQ116" s="476">
        <v>0</v>
      </c>
      <c r="HR116" s="476">
        <v>0</v>
      </c>
      <c r="HS116" s="476">
        <v>3294197</v>
      </c>
      <c r="HT116" s="476">
        <v>73322</v>
      </c>
      <c r="HU116" s="476">
        <v>0</v>
      </c>
      <c r="HV116" s="476">
        <v>0</v>
      </c>
      <c r="HW116" s="476">
        <v>0</v>
      </c>
      <c r="HX116" s="476">
        <v>10</v>
      </c>
      <c r="HY116" s="476">
        <v>36</v>
      </c>
      <c r="HZ116" s="476">
        <v>47</v>
      </c>
      <c r="IA116" s="476">
        <v>78</v>
      </c>
      <c r="IB116" s="476">
        <v>194</v>
      </c>
      <c r="IC116" s="476">
        <v>365</v>
      </c>
      <c r="ID116" s="476">
        <v>0</v>
      </c>
      <c r="IE116" s="476">
        <v>0</v>
      </c>
      <c r="IF116" s="476">
        <v>0</v>
      </c>
      <c r="IG116" s="476">
        <v>15</v>
      </c>
      <c r="IH116" s="476">
        <v>7.4750000000000005</v>
      </c>
      <c r="II116" s="476">
        <v>0</v>
      </c>
      <c r="IJ116" s="476">
        <v>0</v>
      </c>
      <c r="IK116" s="476">
        <v>0.95500000000000007</v>
      </c>
      <c r="IL116" s="476">
        <v>0</v>
      </c>
      <c r="IM116" s="476">
        <v>0</v>
      </c>
      <c r="IN116" s="476">
        <v>0</v>
      </c>
      <c r="IO116" s="476">
        <v>0</v>
      </c>
      <c r="IP116" s="476">
        <v>0.95500000000000007</v>
      </c>
      <c r="IQ116" s="476">
        <v>0</v>
      </c>
      <c r="IR116" s="476">
        <v>0</v>
      </c>
      <c r="IS116" s="476">
        <v>263</v>
      </c>
      <c r="IT116" s="476">
        <v>0</v>
      </c>
      <c r="IU116" s="476">
        <v>0</v>
      </c>
      <c r="IV116" s="476">
        <v>0</v>
      </c>
      <c r="IW116" s="476">
        <v>6160</v>
      </c>
      <c r="IX116" s="476">
        <v>0</v>
      </c>
      <c r="IY116" s="476">
        <v>0</v>
      </c>
      <c r="IZ116" s="476">
        <v>263</v>
      </c>
      <c r="JA116" s="476">
        <v>0</v>
      </c>
      <c r="JB116" s="476">
        <v>0</v>
      </c>
      <c r="JC116" s="476">
        <v>0</v>
      </c>
      <c r="JD116" s="476">
        <v>0</v>
      </c>
      <c r="JE116" s="476">
        <v>0</v>
      </c>
      <c r="JF116" s="476">
        <v>0</v>
      </c>
      <c r="JG116" s="476">
        <v>0</v>
      </c>
      <c r="JH116" s="476">
        <v>0</v>
      </c>
      <c r="JI116" s="476">
        <v>0</v>
      </c>
      <c r="JJ116" s="476">
        <v>0</v>
      </c>
      <c r="JK116" s="476">
        <v>0</v>
      </c>
      <c r="JL116" s="476">
        <v>0</v>
      </c>
      <c r="JM116" s="476">
        <v>0</v>
      </c>
      <c r="JN116" s="476">
        <v>32469</v>
      </c>
      <c r="JO116" s="476">
        <v>0</v>
      </c>
      <c r="JP116" s="476">
        <v>10.377000000000001</v>
      </c>
      <c r="JQ116" s="476">
        <v>3.6430000000000002</v>
      </c>
      <c r="JR116" s="476">
        <v>0</v>
      </c>
      <c r="JS116" s="476">
        <v>96458</v>
      </c>
      <c r="JT116" s="476">
        <v>38890</v>
      </c>
      <c r="JU116" s="476">
        <v>0</v>
      </c>
      <c r="JV116" s="476">
        <v>0</v>
      </c>
      <c r="JW116" s="476">
        <v>0</v>
      </c>
      <c r="JX116" s="476">
        <v>0</v>
      </c>
      <c r="JY116" s="476">
        <v>0</v>
      </c>
      <c r="JZ116" s="476">
        <v>0</v>
      </c>
      <c r="KA116" s="476">
        <v>0</v>
      </c>
      <c r="KB116" s="476">
        <v>0</v>
      </c>
      <c r="KC116" s="476">
        <v>0</v>
      </c>
      <c r="KD116" s="476">
        <v>0</v>
      </c>
      <c r="KE116" s="476">
        <v>7262</v>
      </c>
      <c r="KF116" s="476">
        <v>0</v>
      </c>
      <c r="KG116" s="476">
        <v>0</v>
      </c>
      <c r="KH116" s="476">
        <v>3806555</v>
      </c>
      <c r="KI116" s="476">
        <v>0</v>
      </c>
      <c r="KJ116" s="476">
        <v>9</v>
      </c>
      <c r="KK116" s="476">
        <v>6</v>
      </c>
      <c r="KL116" s="476">
        <v>5544</v>
      </c>
      <c r="KM116" s="476">
        <v>3696</v>
      </c>
      <c r="KN116" s="476">
        <v>0</v>
      </c>
    </row>
    <row r="117" spans="1:300" x14ac:dyDescent="0.25">
      <c r="A117" s="476">
        <v>40976</v>
      </c>
      <c r="B117" s="476">
        <v>101870</v>
      </c>
      <c r="C117" s="476">
        <v>9</v>
      </c>
      <c r="D117" s="476">
        <v>2024</v>
      </c>
      <c r="E117" s="476">
        <v>6160</v>
      </c>
      <c r="F117" s="476">
        <v>0</v>
      </c>
      <c r="G117" s="476">
        <v>1300.905</v>
      </c>
      <c r="H117" s="476">
        <v>1279.2940000000001</v>
      </c>
      <c r="I117" s="476">
        <v>1279.2940000000001</v>
      </c>
      <c r="J117" s="476">
        <v>1300.905</v>
      </c>
      <c r="K117" s="476">
        <v>0</v>
      </c>
      <c r="L117" s="476">
        <v>6160</v>
      </c>
      <c r="M117" s="476">
        <v>0</v>
      </c>
      <c r="N117" s="476">
        <v>0</v>
      </c>
      <c r="O117" s="476">
        <v>0</v>
      </c>
      <c r="P117" s="476">
        <v>1301.8920000000001</v>
      </c>
      <c r="Q117" s="476">
        <v>0</v>
      </c>
      <c r="R117" s="476">
        <v>540134</v>
      </c>
      <c r="S117" s="476">
        <v>414.88400000000001</v>
      </c>
      <c r="T117" s="476">
        <v>0</v>
      </c>
      <c r="U117" s="476">
        <v>0</v>
      </c>
      <c r="V117" s="476">
        <v>253.71700000000001</v>
      </c>
      <c r="W117" s="476">
        <v>156286</v>
      </c>
      <c r="X117" s="476">
        <v>156286</v>
      </c>
      <c r="Y117" s="476">
        <v>0</v>
      </c>
      <c r="Z117" s="476">
        <v>0</v>
      </c>
      <c r="AA117" s="476">
        <v>0</v>
      </c>
      <c r="AB117" s="476">
        <v>0</v>
      </c>
      <c r="AC117" s="476">
        <v>0</v>
      </c>
      <c r="AD117" s="476" t="s">
        <v>314</v>
      </c>
      <c r="AE117" s="476">
        <v>0</v>
      </c>
      <c r="AF117" s="476">
        <v>0</v>
      </c>
      <c r="AG117" s="476">
        <v>0</v>
      </c>
      <c r="AH117" s="476">
        <v>0</v>
      </c>
      <c r="AI117" s="476">
        <v>0</v>
      </c>
      <c r="AJ117" s="476">
        <v>6160</v>
      </c>
      <c r="AK117" s="476" t="s">
        <v>651</v>
      </c>
      <c r="AL117" s="476" t="s">
        <v>368</v>
      </c>
      <c r="AM117" s="476">
        <v>0</v>
      </c>
      <c r="AN117" s="476">
        <v>0</v>
      </c>
      <c r="AO117" s="476">
        <v>0</v>
      </c>
      <c r="AP117" s="476">
        <v>0</v>
      </c>
      <c r="AQ117" s="476">
        <v>0</v>
      </c>
      <c r="AR117" s="476">
        <v>0</v>
      </c>
      <c r="AS117" s="476">
        <v>0</v>
      </c>
      <c r="AT117" s="476">
        <v>0</v>
      </c>
      <c r="AU117" s="476">
        <v>0</v>
      </c>
      <c r="AV117" s="476">
        <v>0</v>
      </c>
      <c r="AW117" s="476">
        <v>13528283</v>
      </c>
      <c r="AX117" s="476">
        <v>13310457</v>
      </c>
      <c r="AY117" s="476">
        <v>0</v>
      </c>
      <c r="AZ117" s="476">
        <v>540134</v>
      </c>
      <c r="BA117" s="476">
        <v>0</v>
      </c>
      <c r="BB117" s="476">
        <v>0</v>
      </c>
      <c r="BC117" s="476">
        <v>0</v>
      </c>
      <c r="BD117" s="476">
        <v>0</v>
      </c>
      <c r="BE117" s="476">
        <v>0</v>
      </c>
      <c r="BF117" s="476">
        <v>12035362</v>
      </c>
      <c r="BG117" s="476">
        <v>0</v>
      </c>
      <c r="BH117" s="476">
        <v>0</v>
      </c>
      <c r="BI117" s="476">
        <v>0</v>
      </c>
      <c r="BJ117" s="476">
        <v>12</v>
      </c>
      <c r="BK117" s="476">
        <v>0</v>
      </c>
      <c r="BL117" s="476">
        <v>0</v>
      </c>
      <c r="BM117" s="476">
        <v>0</v>
      </c>
      <c r="BN117" s="476">
        <v>0</v>
      </c>
      <c r="BO117" s="476">
        <v>0</v>
      </c>
      <c r="BP117" s="476">
        <v>0</v>
      </c>
      <c r="BQ117" s="476">
        <v>573</v>
      </c>
      <c r="BR117" s="476">
        <v>0</v>
      </c>
      <c r="BS117" s="476">
        <v>0</v>
      </c>
      <c r="BT117" s="476">
        <v>0</v>
      </c>
      <c r="BU117" s="476">
        <v>0</v>
      </c>
      <c r="BV117" s="476">
        <v>0</v>
      </c>
      <c r="BW117" s="476">
        <v>0</v>
      </c>
      <c r="BX117" s="476">
        <v>0</v>
      </c>
      <c r="BY117" s="476">
        <v>0</v>
      </c>
      <c r="BZ117" s="476">
        <v>0</v>
      </c>
      <c r="CA117" s="476">
        <v>0</v>
      </c>
      <c r="CB117" s="476">
        <v>0</v>
      </c>
      <c r="CC117" s="476">
        <v>0</v>
      </c>
      <c r="CD117" s="476">
        <v>0</v>
      </c>
      <c r="CE117" s="476">
        <v>0</v>
      </c>
      <c r="CF117" s="476">
        <v>0</v>
      </c>
      <c r="CG117" s="476">
        <v>0</v>
      </c>
      <c r="CH117" s="476">
        <v>219626</v>
      </c>
      <c r="CI117" s="476">
        <v>0</v>
      </c>
      <c r="CJ117" s="476">
        <v>4</v>
      </c>
      <c r="CK117" s="476">
        <v>0</v>
      </c>
      <c r="CL117" s="476">
        <v>0</v>
      </c>
      <c r="CM117" s="476">
        <v>0</v>
      </c>
      <c r="CN117" s="476">
        <v>0</v>
      </c>
      <c r="CO117" s="476">
        <v>1</v>
      </c>
      <c r="CP117" s="476">
        <v>0</v>
      </c>
      <c r="CQ117" s="476">
        <v>0</v>
      </c>
      <c r="CR117" s="476">
        <v>1300.905</v>
      </c>
      <c r="CS117" s="476">
        <v>0</v>
      </c>
      <c r="CT117" s="476">
        <v>0</v>
      </c>
      <c r="CU117" s="476">
        <v>0</v>
      </c>
      <c r="CV117" s="476">
        <v>0</v>
      </c>
      <c r="CW117" s="476">
        <v>0</v>
      </c>
      <c r="CX117" s="476">
        <v>0</v>
      </c>
      <c r="CY117" s="476">
        <v>0</v>
      </c>
      <c r="CZ117" s="476">
        <v>0</v>
      </c>
      <c r="DA117" s="476">
        <v>0</v>
      </c>
      <c r="DB117" s="476">
        <v>7880272</v>
      </c>
      <c r="DC117" s="476">
        <v>0</v>
      </c>
      <c r="DD117" s="476">
        <v>0</v>
      </c>
      <c r="DE117" s="476">
        <v>1609725</v>
      </c>
      <c r="DF117" s="476">
        <v>1609725</v>
      </c>
      <c r="DG117" s="476">
        <v>261.32499999999999</v>
      </c>
      <c r="DH117" s="476">
        <v>0</v>
      </c>
      <c r="DI117" s="476">
        <v>0</v>
      </c>
      <c r="DJ117" s="476">
        <v>0</v>
      </c>
      <c r="DK117" s="476">
        <v>790</v>
      </c>
      <c r="DL117" s="476">
        <v>0</v>
      </c>
      <c r="DM117" s="476">
        <v>523629</v>
      </c>
      <c r="DN117" s="476">
        <v>1800</v>
      </c>
      <c r="DO117" s="476">
        <v>0</v>
      </c>
      <c r="DP117" s="476">
        <v>0</v>
      </c>
      <c r="DQ117" s="476">
        <v>0</v>
      </c>
      <c r="DR117" s="476">
        <v>0</v>
      </c>
      <c r="DS117" s="476">
        <v>0</v>
      </c>
      <c r="DT117" s="476">
        <v>0</v>
      </c>
      <c r="DU117" s="476">
        <v>0</v>
      </c>
      <c r="DV117" s="476">
        <v>0</v>
      </c>
      <c r="DW117" s="476">
        <v>0</v>
      </c>
      <c r="DX117" s="476">
        <v>0</v>
      </c>
      <c r="DY117" s="476">
        <v>0</v>
      </c>
      <c r="DZ117" s="476">
        <v>0</v>
      </c>
      <c r="EA117" s="476">
        <v>0</v>
      </c>
      <c r="EB117" s="476">
        <v>0</v>
      </c>
      <c r="EC117" s="476">
        <v>42.313000000000002</v>
      </c>
      <c r="ED117" s="476">
        <v>299738</v>
      </c>
      <c r="EE117" s="476">
        <v>0</v>
      </c>
      <c r="EF117" s="476">
        <v>0</v>
      </c>
      <c r="EG117" s="476">
        <v>0</v>
      </c>
      <c r="EH117" s="476">
        <v>225691</v>
      </c>
      <c r="EI117" s="476">
        <v>0</v>
      </c>
      <c r="EJ117" s="476">
        <v>0</v>
      </c>
      <c r="EK117" s="476">
        <v>7.3370000000000006</v>
      </c>
      <c r="EL117" s="476">
        <v>0</v>
      </c>
      <c r="EM117" s="476">
        <v>1.381</v>
      </c>
      <c r="EN117" s="476">
        <v>2.097</v>
      </c>
      <c r="EO117" s="476">
        <v>0</v>
      </c>
      <c r="EP117" s="476">
        <v>0</v>
      </c>
      <c r="EQ117" s="476">
        <v>10.815000000000001</v>
      </c>
      <c r="ER117" s="476">
        <v>0</v>
      </c>
      <c r="ES117" s="476">
        <v>36.639000000000003</v>
      </c>
      <c r="ET117" s="476">
        <v>0</v>
      </c>
      <c r="EU117" s="476">
        <v>0</v>
      </c>
      <c r="EV117" s="476">
        <v>0</v>
      </c>
      <c r="EW117" s="476">
        <v>0</v>
      </c>
      <c r="EX117" s="476">
        <v>0</v>
      </c>
      <c r="EY117" s="476">
        <v>0</v>
      </c>
      <c r="EZ117" s="476">
        <v>11496945</v>
      </c>
      <c r="FA117" s="476">
        <v>0</v>
      </c>
      <c r="FB117" s="476">
        <v>12035279</v>
      </c>
      <c r="FC117" s="476">
        <v>0</v>
      </c>
      <c r="FD117" s="476">
        <v>0</v>
      </c>
      <c r="FE117" s="476">
        <v>1553985</v>
      </c>
      <c r="FF117" s="476">
        <v>259527</v>
      </c>
      <c r="FG117" s="476">
        <v>6.3017999999999991E-2</v>
      </c>
      <c r="FH117" s="476">
        <v>2.6953999999999999E-2</v>
      </c>
      <c r="FI117" s="476">
        <v>0</v>
      </c>
      <c r="FJ117" s="476">
        <v>0</v>
      </c>
      <c r="FK117" s="476">
        <v>1953.837</v>
      </c>
      <c r="FL117" s="476">
        <v>14068417</v>
      </c>
      <c r="FM117" s="476">
        <v>0</v>
      </c>
      <c r="FN117" s="476">
        <v>0</v>
      </c>
      <c r="FO117" s="476">
        <v>0</v>
      </c>
      <c r="FP117" s="476">
        <v>0</v>
      </c>
      <c r="FQ117" s="476">
        <v>0</v>
      </c>
      <c r="FR117" s="476">
        <v>0</v>
      </c>
      <c r="FS117" s="476">
        <v>0</v>
      </c>
      <c r="FT117" s="476">
        <v>0</v>
      </c>
      <c r="FU117" s="476">
        <v>0</v>
      </c>
      <c r="FV117" s="476">
        <v>0</v>
      </c>
      <c r="FW117" s="476">
        <v>0</v>
      </c>
      <c r="FX117" s="476">
        <v>0</v>
      </c>
      <c r="FY117" s="476">
        <v>0</v>
      </c>
      <c r="FZ117" s="476">
        <v>0</v>
      </c>
      <c r="GA117" s="476">
        <v>0</v>
      </c>
      <c r="GB117" s="476">
        <v>100669</v>
      </c>
      <c r="GC117" s="476">
        <v>100669</v>
      </c>
      <c r="GD117" s="476">
        <v>10.796000000000001</v>
      </c>
      <c r="GE117" s="476">
        <v>0</v>
      </c>
      <c r="GF117" s="476">
        <v>0</v>
      </c>
      <c r="GG117" s="476">
        <v>0</v>
      </c>
      <c r="GH117" s="476">
        <v>0</v>
      </c>
      <c r="GI117" s="476">
        <v>0</v>
      </c>
      <c r="GJ117" s="476">
        <v>0</v>
      </c>
      <c r="GK117" s="476">
        <v>0</v>
      </c>
      <c r="GL117" s="476">
        <v>0</v>
      </c>
      <c r="GM117" s="476">
        <v>0</v>
      </c>
      <c r="GN117" s="476">
        <v>0</v>
      </c>
      <c r="GO117" s="476">
        <v>0</v>
      </c>
      <c r="GP117" s="476">
        <v>0</v>
      </c>
      <c r="GQ117" s="476">
        <v>13308657</v>
      </c>
      <c r="GR117" s="476">
        <v>0</v>
      </c>
      <c r="GS117" s="476">
        <v>0</v>
      </c>
      <c r="GT117" s="476">
        <v>0</v>
      </c>
      <c r="GU117" s="476">
        <v>0</v>
      </c>
      <c r="GV117" s="476">
        <v>0</v>
      </c>
      <c r="GW117" s="476">
        <v>0</v>
      </c>
      <c r="GX117" s="476">
        <v>0</v>
      </c>
      <c r="GY117" s="476">
        <v>0</v>
      </c>
      <c r="GZ117" s="476">
        <v>0</v>
      </c>
      <c r="HA117" s="476">
        <v>0</v>
      </c>
      <c r="HB117" s="476">
        <v>323396213</v>
      </c>
      <c r="HC117" s="476">
        <v>4.2206E-2</v>
      </c>
      <c r="HD117" s="476">
        <v>219626</v>
      </c>
      <c r="HE117" s="476">
        <v>0</v>
      </c>
      <c r="HF117" s="476">
        <v>1409782</v>
      </c>
      <c r="HG117" s="476">
        <v>12320</v>
      </c>
      <c r="HH117" s="476">
        <v>286270</v>
      </c>
      <c r="HI117" s="476">
        <v>0</v>
      </c>
      <c r="HJ117" s="476">
        <v>13009</v>
      </c>
      <c r="HK117" s="476">
        <v>1554</v>
      </c>
      <c r="HL117" s="476">
        <v>163</v>
      </c>
      <c r="HM117" s="476">
        <v>0</v>
      </c>
      <c r="HN117" s="476">
        <v>41600</v>
      </c>
      <c r="HO117" s="476">
        <v>0</v>
      </c>
      <c r="HP117" s="476">
        <v>0</v>
      </c>
      <c r="HQ117" s="476">
        <v>0</v>
      </c>
      <c r="HR117" s="476">
        <v>0</v>
      </c>
      <c r="HS117" s="476">
        <v>11495145</v>
      </c>
      <c r="HT117" s="476">
        <v>259527</v>
      </c>
      <c r="HU117" s="476">
        <v>0</v>
      </c>
      <c r="HV117" s="476">
        <v>0</v>
      </c>
      <c r="HW117" s="476">
        <v>0</v>
      </c>
      <c r="HX117" s="476">
        <v>156</v>
      </c>
      <c r="HY117" s="476">
        <v>251</v>
      </c>
      <c r="HZ117" s="476">
        <v>244</v>
      </c>
      <c r="IA117" s="476">
        <v>241</v>
      </c>
      <c r="IB117" s="476">
        <v>154</v>
      </c>
      <c r="IC117" s="476">
        <v>1046</v>
      </c>
      <c r="ID117" s="476">
        <v>0</v>
      </c>
      <c r="IE117" s="476">
        <v>0</v>
      </c>
      <c r="IF117" s="476">
        <v>0</v>
      </c>
      <c r="IG117" s="476">
        <v>20</v>
      </c>
      <c r="IH117" s="476">
        <v>464.73500000000001</v>
      </c>
      <c r="II117" s="476">
        <v>0</v>
      </c>
      <c r="IJ117" s="476">
        <v>253.71700000000001</v>
      </c>
      <c r="IK117" s="476">
        <v>0</v>
      </c>
      <c r="IL117" s="476">
        <v>0</v>
      </c>
      <c r="IM117" s="476">
        <v>0</v>
      </c>
      <c r="IN117" s="476">
        <v>0</v>
      </c>
      <c r="IO117" s="476">
        <v>0</v>
      </c>
      <c r="IP117" s="476">
        <v>0</v>
      </c>
      <c r="IQ117" s="476">
        <v>253.71700000000001</v>
      </c>
      <c r="IR117" s="476">
        <v>156286</v>
      </c>
      <c r="IS117" s="476">
        <v>0</v>
      </c>
      <c r="IT117" s="476">
        <v>0</v>
      </c>
      <c r="IU117" s="476">
        <v>0</v>
      </c>
      <c r="IV117" s="476">
        <v>0</v>
      </c>
      <c r="IW117" s="476">
        <v>6160</v>
      </c>
      <c r="IX117" s="476">
        <v>0</v>
      </c>
      <c r="IY117" s="476">
        <v>0</v>
      </c>
      <c r="IZ117" s="476">
        <v>0</v>
      </c>
      <c r="JA117" s="476">
        <v>0</v>
      </c>
      <c r="JB117" s="476">
        <v>1</v>
      </c>
      <c r="JC117" s="476">
        <v>19318</v>
      </c>
      <c r="JD117" s="476">
        <v>2</v>
      </c>
      <c r="JE117" s="476">
        <v>20782</v>
      </c>
      <c r="JF117" s="476">
        <v>0</v>
      </c>
      <c r="JG117" s="476">
        <v>0</v>
      </c>
      <c r="JH117" s="476">
        <v>1500</v>
      </c>
      <c r="JI117" s="476">
        <v>0</v>
      </c>
      <c r="JJ117" s="476">
        <v>0</v>
      </c>
      <c r="JK117" s="476">
        <v>0</v>
      </c>
      <c r="JL117" s="476">
        <v>0</v>
      </c>
      <c r="JM117" s="476">
        <v>0</v>
      </c>
      <c r="JN117" s="476">
        <v>32469</v>
      </c>
      <c r="JO117" s="476">
        <v>0.92600000000000005</v>
      </c>
      <c r="JP117" s="476">
        <v>8.7629999999999999</v>
      </c>
      <c r="JQ117" s="476">
        <v>1.107</v>
      </c>
      <c r="JR117" s="476">
        <v>7397</v>
      </c>
      <c r="JS117" s="476">
        <v>81455</v>
      </c>
      <c r="JT117" s="476">
        <v>11817</v>
      </c>
      <c r="JU117" s="476">
        <v>0</v>
      </c>
      <c r="JV117" s="476">
        <v>0</v>
      </c>
      <c r="JW117" s="476">
        <v>0</v>
      </c>
      <c r="JX117" s="476">
        <v>0</v>
      </c>
      <c r="JY117" s="476">
        <v>0</v>
      </c>
      <c r="JZ117" s="476">
        <v>0</v>
      </c>
      <c r="KA117" s="476">
        <v>0</v>
      </c>
      <c r="KB117" s="476">
        <v>0</v>
      </c>
      <c r="KC117" s="476">
        <v>0</v>
      </c>
      <c r="KD117" s="476">
        <v>0</v>
      </c>
      <c r="KE117" s="476">
        <v>7262</v>
      </c>
      <c r="KF117" s="476">
        <v>0</v>
      </c>
      <c r="KG117" s="476">
        <v>0</v>
      </c>
      <c r="KH117" s="476">
        <v>13308657</v>
      </c>
      <c r="KI117" s="476">
        <v>0</v>
      </c>
      <c r="KJ117" s="476">
        <v>10</v>
      </c>
      <c r="KK117" s="476">
        <v>10</v>
      </c>
      <c r="KL117" s="476">
        <v>6160</v>
      </c>
      <c r="KM117" s="476">
        <v>6160</v>
      </c>
      <c r="KN117" s="476">
        <v>0</v>
      </c>
    </row>
    <row r="118" spans="1:300" x14ac:dyDescent="0.25">
      <c r="A118" s="476">
        <v>40976</v>
      </c>
      <c r="B118" s="476">
        <v>101871</v>
      </c>
      <c r="C118" s="476">
        <v>9</v>
      </c>
      <c r="D118" s="476">
        <v>2024</v>
      </c>
      <c r="E118" s="476">
        <v>6160</v>
      </c>
      <c r="F118" s="476">
        <v>0</v>
      </c>
      <c r="G118" s="476">
        <v>140.91300000000001</v>
      </c>
      <c r="H118" s="476">
        <v>140.55600000000001</v>
      </c>
      <c r="I118" s="476">
        <v>140.55600000000001</v>
      </c>
      <c r="J118" s="476">
        <v>140.91300000000001</v>
      </c>
      <c r="K118" s="476">
        <v>0</v>
      </c>
      <c r="L118" s="476">
        <v>6160</v>
      </c>
      <c r="M118" s="476">
        <v>0</v>
      </c>
      <c r="N118" s="476">
        <v>0</v>
      </c>
      <c r="O118" s="476">
        <v>0</v>
      </c>
      <c r="P118" s="476">
        <v>141.10500000000002</v>
      </c>
      <c r="Q118" s="476">
        <v>0</v>
      </c>
      <c r="R118" s="476">
        <v>58542</v>
      </c>
      <c r="S118" s="476">
        <v>414.88400000000001</v>
      </c>
      <c r="T118" s="476">
        <v>0</v>
      </c>
      <c r="U118" s="476">
        <v>0</v>
      </c>
      <c r="V118" s="476">
        <v>5.7050000000000001</v>
      </c>
      <c r="W118" s="476">
        <v>3514</v>
      </c>
      <c r="X118" s="476">
        <v>3514</v>
      </c>
      <c r="Y118" s="476">
        <v>0</v>
      </c>
      <c r="Z118" s="476">
        <v>0</v>
      </c>
      <c r="AA118" s="476">
        <v>0</v>
      </c>
      <c r="AB118" s="476">
        <v>0</v>
      </c>
      <c r="AC118" s="476">
        <v>0</v>
      </c>
      <c r="AD118" s="476" t="s">
        <v>314</v>
      </c>
      <c r="AE118" s="476">
        <v>0</v>
      </c>
      <c r="AF118" s="476">
        <v>0</v>
      </c>
      <c r="AG118" s="476">
        <v>0</v>
      </c>
      <c r="AH118" s="476">
        <v>0</v>
      </c>
      <c r="AI118" s="476">
        <v>0</v>
      </c>
      <c r="AJ118" s="476">
        <v>6160</v>
      </c>
      <c r="AK118" s="476" t="s">
        <v>651</v>
      </c>
      <c r="AL118" s="476" t="s">
        <v>382</v>
      </c>
      <c r="AM118" s="476">
        <v>0</v>
      </c>
      <c r="AN118" s="476">
        <v>0</v>
      </c>
      <c r="AO118" s="476">
        <v>0</v>
      </c>
      <c r="AP118" s="476">
        <v>0</v>
      </c>
      <c r="AQ118" s="476">
        <v>0</v>
      </c>
      <c r="AR118" s="476">
        <v>0</v>
      </c>
      <c r="AS118" s="476">
        <v>0</v>
      </c>
      <c r="AT118" s="476">
        <v>0</v>
      </c>
      <c r="AU118" s="476">
        <v>0</v>
      </c>
      <c r="AV118" s="476">
        <v>0</v>
      </c>
      <c r="AW118" s="476">
        <v>1611136</v>
      </c>
      <c r="AX118" s="476">
        <v>1578173</v>
      </c>
      <c r="AY118" s="476">
        <v>0</v>
      </c>
      <c r="AZ118" s="476">
        <v>58542</v>
      </c>
      <c r="BA118" s="476">
        <v>0</v>
      </c>
      <c r="BB118" s="476">
        <v>0</v>
      </c>
      <c r="BC118" s="476">
        <v>0</v>
      </c>
      <c r="BD118" s="476">
        <v>0</v>
      </c>
      <c r="BE118" s="476">
        <v>0</v>
      </c>
      <c r="BF118" s="476">
        <v>1422387</v>
      </c>
      <c r="BG118" s="476">
        <v>0</v>
      </c>
      <c r="BH118" s="476">
        <v>0</v>
      </c>
      <c r="BI118" s="476">
        <v>0</v>
      </c>
      <c r="BJ118" s="476">
        <v>12</v>
      </c>
      <c r="BK118" s="476">
        <v>0</v>
      </c>
      <c r="BL118" s="476">
        <v>0</v>
      </c>
      <c r="BM118" s="476">
        <v>0</v>
      </c>
      <c r="BN118" s="476">
        <v>0</v>
      </c>
      <c r="BO118" s="476">
        <v>0</v>
      </c>
      <c r="BP118" s="476">
        <v>0</v>
      </c>
      <c r="BQ118" s="476">
        <v>748</v>
      </c>
      <c r="BR118" s="476">
        <v>0</v>
      </c>
      <c r="BS118" s="476">
        <v>0</v>
      </c>
      <c r="BT118" s="476">
        <v>0</v>
      </c>
      <c r="BU118" s="476">
        <v>0</v>
      </c>
      <c r="BV118" s="476">
        <v>0</v>
      </c>
      <c r="BW118" s="476">
        <v>0</v>
      </c>
      <c r="BX118" s="476">
        <v>0</v>
      </c>
      <c r="BY118" s="476">
        <v>0</v>
      </c>
      <c r="BZ118" s="476">
        <v>0</v>
      </c>
      <c r="CA118" s="476">
        <v>0</v>
      </c>
      <c r="CB118" s="476">
        <v>0</v>
      </c>
      <c r="CC118" s="476">
        <v>0</v>
      </c>
      <c r="CD118" s="476">
        <v>0</v>
      </c>
      <c r="CE118" s="476">
        <v>0</v>
      </c>
      <c r="CF118" s="476">
        <v>0</v>
      </c>
      <c r="CG118" s="476">
        <v>0</v>
      </c>
      <c r="CH118" s="476">
        <v>33673</v>
      </c>
      <c r="CI118" s="476">
        <v>0</v>
      </c>
      <c r="CJ118" s="476">
        <v>4</v>
      </c>
      <c r="CK118" s="476">
        <v>0</v>
      </c>
      <c r="CL118" s="476">
        <v>0</v>
      </c>
      <c r="CM118" s="476">
        <v>0</v>
      </c>
      <c r="CN118" s="476">
        <v>0</v>
      </c>
      <c r="CO118" s="476">
        <v>1</v>
      </c>
      <c r="CP118" s="476">
        <v>0</v>
      </c>
      <c r="CQ118" s="476">
        <v>0</v>
      </c>
      <c r="CR118" s="476">
        <v>140.91300000000001</v>
      </c>
      <c r="CS118" s="476">
        <v>0</v>
      </c>
      <c r="CT118" s="476">
        <v>0</v>
      </c>
      <c r="CU118" s="476">
        <v>0</v>
      </c>
      <c r="CV118" s="476">
        <v>0</v>
      </c>
      <c r="CW118" s="476">
        <v>0</v>
      </c>
      <c r="CX118" s="476">
        <v>0</v>
      </c>
      <c r="CY118" s="476">
        <v>0</v>
      </c>
      <c r="CZ118" s="476">
        <v>0</v>
      </c>
      <c r="DA118" s="476">
        <v>0</v>
      </c>
      <c r="DB118" s="476">
        <v>865805</v>
      </c>
      <c r="DC118" s="476">
        <v>0</v>
      </c>
      <c r="DD118" s="476">
        <v>0</v>
      </c>
      <c r="DE118" s="476">
        <v>188338</v>
      </c>
      <c r="DF118" s="476">
        <v>188338</v>
      </c>
      <c r="DG118" s="476">
        <v>30.575000000000003</v>
      </c>
      <c r="DH118" s="476">
        <v>0</v>
      </c>
      <c r="DI118" s="476">
        <v>0</v>
      </c>
      <c r="DJ118" s="476">
        <v>0</v>
      </c>
      <c r="DK118" s="476">
        <v>3596</v>
      </c>
      <c r="DL118" s="476">
        <v>0</v>
      </c>
      <c r="DM118" s="476">
        <v>206486</v>
      </c>
      <c r="DN118" s="476">
        <v>710</v>
      </c>
      <c r="DO118" s="476">
        <v>0</v>
      </c>
      <c r="DP118" s="476">
        <v>0</v>
      </c>
      <c r="DQ118" s="476">
        <v>0</v>
      </c>
      <c r="DR118" s="476">
        <v>0</v>
      </c>
      <c r="DS118" s="476">
        <v>0</v>
      </c>
      <c r="DT118" s="476">
        <v>0</v>
      </c>
      <c r="DU118" s="476">
        <v>0</v>
      </c>
      <c r="DV118" s="476">
        <v>0</v>
      </c>
      <c r="DW118" s="476">
        <v>0</v>
      </c>
      <c r="DX118" s="476">
        <v>0</v>
      </c>
      <c r="DY118" s="476">
        <v>0</v>
      </c>
      <c r="DZ118" s="476">
        <v>0</v>
      </c>
      <c r="EA118" s="476">
        <v>0</v>
      </c>
      <c r="EB118" s="476">
        <v>0</v>
      </c>
      <c r="EC118" s="476">
        <v>27.697000000000003</v>
      </c>
      <c r="ED118" s="476">
        <v>196201</v>
      </c>
      <c r="EE118" s="476">
        <v>0</v>
      </c>
      <c r="EF118" s="476">
        <v>0</v>
      </c>
      <c r="EG118" s="476">
        <v>0</v>
      </c>
      <c r="EH118" s="476">
        <v>10995</v>
      </c>
      <c r="EI118" s="476">
        <v>0</v>
      </c>
      <c r="EJ118" s="476">
        <v>0</v>
      </c>
      <c r="EK118" s="476">
        <v>0</v>
      </c>
      <c r="EL118" s="476">
        <v>0</v>
      </c>
      <c r="EM118" s="476">
        <v>0</v>
      </c>
      <c r="EN118" s="476">
        <v>0.35700000000000004</v>
      </c>
      <c r="EO118" s="476">
        <v>0</v>
      </c>
      <c r="EP118" s="476">
        <v>0</v>
      </c>
      <c r="EQ118" s="476">
        <v>0.35700000000000004</v>
      </c>
      <c r="ER118" s="476">
        <v>0</v>
      </c>
      <c r="ES118" s="476">
        <v>1.7850000000000001</v>
      </c>
      <c r="ET118" s="476">
        <v>0</v>
      </c>
      <c r="EU118" s="476">
        <v>0</v>
      </c>
      <c r="EV118" s="476">
        <v>0</v>
      </c>
      <c r="EW118" s="476">
        <v>0</v>
      </c>
      <c r="EX118" s="476">
        <v>0</v>
      </c>
      <c r="EY118" s="476">
        <v>0</v>
      </c>
      <c r="EZ118" s="476">
        <v>1363845</v>
      </c>
      <c r="FA118" s="476">
        <v>0</v>
      </c>
      <c r="FB118" s="476">
        <v>1421677</v>
      </c>
      <c r="FC118" s="476">
        <v>0</v>
      </c>
      <c r="FD118" s="476">
        <v>0</v>
      </c>
      <c r="FE118" s="476">
        <v>183656</v>
      </c>
      <c r="FF118" s="476">
        <v>30672</v>
      </c>
      <c r="FG118" s="476">
        <v>6.3017999999999991E-2</v>
      </c>
      <c r="FH118" s="476">
        <v>2.6953999999999999E-2</v>
      </c>
      <c r="FI118" s="476">
        <v>0</v>
      </c>
      <c r="FJ118" s="476">
        <v>0</v>
      </c>
      <c r="FK118" s="476">
        <v>230.91200000000001</v>
      </c>
      <c r="FL118" s="476">
        <v>1669678</v>
      </c>
      <c r="FM118" s="476">
        <v>0</v>
      </c>
      <c r="FN118" s="476">
        <v>0</v>
      </c>
      <c r="FO118" s="476">
        <v>0</v>
      </c>
      <c r="FP118" s="476">
        <v>0</v>
      </c>
      <c r="FQ118" s="476">
        <v>0</v>
      </c>
      <c r="FR118" s="476">
        <v>0</v>
      </c>
      <c r="FS118" s="476">
        <v>0</v>
      </c>
      <c r="FT118" s="476">
        <v>0</v>
      </c>
      <c r="FU118" s="476">
        <v>0</v>
      </c>
      <c r="FV118" s="476">
        <v>0</v>
      </c>
      <c r="FW118" s="476">
        <v>0</v>
      </c>
      <c r="FX118" s="476">
        <v>0</v>
      </c>
      <c r="FY118" s="476">
        <v>0</v>
      </c>
      <c r="FZ118" s="476">
        <v>0</v>
      </c>
      <c r="GA118" s="476">
        <v>0</v>
      </c>
      <c r="GB118" s="476">
        <v>0</v>
      </c>
      <c r="GC118" s="476">
        <v>0</v>
      </c>
      <c r="GD118" s="476">
        <v>0</v>
      </c>
      <c r="GE118" s="476">
        <v>0</v>
      </c>
      <c r="GF118" s="476">
        <v>0</v>
      </c>
      <c r="GG118" s="476">
        <v>0</v>
      </c>
      <c r="GH118" s="476">
        <v>0</v>
      </c>
      <c r="GI118" s="476">
        <v>0</v>
      </c>
      <c r="GJ118" s="476">
        <v>0</v>
      </c>
      <c r="GK118" s="476">
        <v>0</v>
      </c>
      <c r="GL118" s="476">
        <v>0</v>
      </c>
      <c r="GM118" s="476">
        <v>0</v>
      </c>
      <c r="GN118" s="476">
        <v>0</v>
      </c>
      <c r="GO118" s="476">
        <v>0</v>
      </c>
      <c r="GP118" s="476">
        <v>0</v>
      </c>
      <c r="GQ118" s="476">
        <v>1577463</v>
      </c>
      <c r="GR118" s="476">
        <v>0</v>
      </c>
      <c r="GS118" s="476">
        <v>0</v>
      </c>
      <c r="GT118" s="476">
        <v>0</v>
      </c>
      <c r="GU118" s="476">
        <v>0</v>
      </c>
      <c r="GV118" s="476">
        <v>0</v>
      </c>
      <c r="GW118" s="476">
        <v>0</v>
      </c>
      <c r="GX118" s="476">
        <v>0</v>
      </c>
      <c r="GY118" s="476">
        <v>0</v>
      </c>
      <c r="GZ118" s="476">
        <v>0</v>
      </c>
      <c r="HA118" s="476">
        <v>0</v>
      </c>
      <c r="HB118" s="476">
        <v>323396213</v>
      </c>
      <c r="HC118" s="476">
        <v>4.2206E-2</v>
      </c>
      <c r="HD118" s="476">
        <v>23790</v>
      </c>
      <c r="HE118" s="476">
        <v>0</v>
      </c>
      <c r="HF118" s="476">
        <v>154893</v>
      </c>
      <c r="HG118" s="476">
        <v>1232</v>
      </c>
      <c r="HH118" s="476">
        <v>0</v>
      </c>
      <c r="HI118" s="476">
        <v>0</v>
      </c>
      <c r="HJ118" s="476">
        <v>1409</v>
      </c>
      <c r="HK118" s="476">
        <v>0</v>
      </c>
      <c r="HL118" s="476">
        <v>0</v>
      </c>
      <c r="HM118" s="476">
        <v>0</v>
      </c>
      <c r="HN118" s="476">
        <v>0</v>
      </c>
      <c r="HO118" s="476">
        <v>0</v>
      </c>
      <c r="HP118" s="476">
        <v>0</v>
      </c>
      <c r="HQ118" s="476">
        <v>0</v>
      </c>
      <c r="HR118" s="476">
        <v>0</v>
      </c>
      <c r="HS118" s="476">
        <v>1363135</v>
      </c>
      <c r="HT118" s="476">
        <v>30672</v>
      </c>
      <c r="HU118" s="476">
        <v>9883</v>
      </c>
      <c r="HV118" s="476">
        <v>0</v>
      </c>
      <c r="HW118" s="476">
        <v>0</v>
      </c>
      <c r="HX118" s="476">
        <v>5</v>
      </c>
      <c r="HY118" s="476">
        <v>15</v>
      </c>
      <c r="HZ118" s="476">
        <v>14</v>
      </c>
      <c r="IA118" s="476">
        <v>35</v>
      </c>
      <c r="IB118" s="476">
        <v>48</v>
      </c>
      <c r="IC118" s="476">
        <v>117</v>
      </c>
      <c r="ID118" s="476">
        <v>0</v>
      </c>
      <c r="IE118" s="476">
        <v>0</v>
      </c>
      <c r="IF118" s="476">
        <v>0</v>
      </c>
      <c r="IG118" s="476">
        <v>2</v>
      </c>
      <c r="IH118" s="476">
        <v>0</v>
      </c>
      <c r="II118" s="476">
        <v>0</v>
      </c>
      <c r="IJ118" s="476">
        <v>5.7050000000000001</v>
      </c>
      <c r="IK118" s="476">
        <v>0</v>
      </c>
      <c r="IL118" s="476">
        <v>0</v>
      </c>
      <c r="IM118" s="476">
        <v>0</v>
      </c>
      <c r="IN118" s="476">
        <v>0</v>
      </c>
      <c r="IO118" s="476">
        <v>0</v>
      </c>
      <c r="IP118" s="476">
        <v>0</v>
      </c>
      <c r="IQ118" s="476">
        <v>5.7050000000000001</v>
      </c>
      <c r="IR118" s="476">
        <v>3514</v>
      </c>
      <c r="IS118" s="476">
        <v>0</v>
      </c>
      <c r="IT118" s="476">
        <v>0</v>
      </c>
      <c r="IU118" s="476">
        <v>0</v>
      </c>
      <c r="IV118" s="476">
        <v>0</v>
      </c>
      <c r="IW118" s="476">
        <v>6160</v>
      </c>
      <c r="IX118" s="476">
        <v>0</v>
      </c>
      <c r="IY118" s="476">
        <v>0</v>
      </c>
      <c r="IZ118" s="476">
        <v>0</v>
      </c>
      <c r="JA118" s="476">
        <v>0</v>
      </c>
      <c r="JB118" s="476">
        <v>0</v>
      </c>
      <c r="JC118" s="476">
        <v>0</v>
      </c>
      <c r="JD118" s="476">
        <v>0</v>
      </c>
      <c r="JE118" s="476">
        <v>0</v>
      </c>
      <c r="JF118" s="476">
        <v>0</v>
      </c>
      <c r="JG118" s="476">
        <v>0</v>
      </c>
      <c r="JH118" s="476">
        <v>0</v>
      </c>
      <c r="JI118" s="476">
        <v>0</v>
      </c>
      <c r="JJ118" s="476">
        <v>0</v>
      </c>
      <c r="JK118" s="476">
        <v>0</v>
      </c>
      <c r="JL118" s="476">
        <v>0</v>
      </c>
      <c r="JM118" s="476">
        <v>0</v>
      </c>
      <c r="JN118" s="476">
        <v>32469</v>
      </c>
      <c r="JO118" s="476">
        <v>0</v>
      </c>
      <c r="JP118" s="476">
        <v>0</v>
      </c>
      <c r="JQ118" s="476">
        <v>0</v>
      </c>
      <c r="JR118" s="476">
        <v>0</v>
      </c>
      <c r="JS118" s="476">
        <v>0</v>
      </c>
      <c r="JT118" s="476">
        <v>0</v>
      </c>
      <c r="JU118" s="476">
        <v>0</v>
      </c>
      <c r="JV118" s="476">
        <v>9883</v>
      </c>
      <c r="JW118" s="476">
        <v>0</v>
      </c>
      <c r="JX118" s="476">
        <v>0</v>
      </c>
      <c r="JY118" s="476">
        <v>0</v>
      </c>
      <c r="JZ118" s="476">
        <v>0</v>
      </c>
      <c r="KA118" s="476">
        <v>0</v>
      </c>
      <c r="KB118" s="476">
        <v>0</v>
      </c>
      <c r="KC118" s="476">
        <v>0</v>
      </c>
      <c r="KD118" s="476">
        <v>0</v>
      </c>
      <c r="KE118" s="476">
        <v>7262</v>
      </c>
      <c r="KF118" s="476">
        <v>0</v>
      </c>
      <c r="KG118" s="476">
        <v>0</v>
      </c>
      <c r="KH118" s="476">
        <v>1577463</v>
      </c>
      <c r="KI118" s="476">
        <v>0</v>
      </c>
      <c r="KJ118" s="476">
        <v>2</v>
      </c>
      <c r="KK118" s="476">
        <v>0</v>
      </c>
      <c r="KL118" s="476">
        <v>1232</v>
      </c>
      <c r="KM118" s="476">
        <v>0</v>
      </c>
      <c r="KN118" s="476">
        <v>0</v>
      </c>
    </row>
    <row r="119" spans="1:300" x14ac:dyDescent="0.25">
      <c r="A119" s="476">
        <v>40976</v>
      </c>
      <c r="B119" s="476">
        <v>101872</v>
      </c>
      <c r="C119" s="476">
        <v>9</v>
      </c>
      <c r="D119" s="476">
        <v>2024</v>
      </c>
      <c r="E119" s="476">
        <v>6160</v>
      </c>
      <c r="F119" s="476">
        <v>0</v>
      </c>
      <c r="G119" s="476">
        <v>482.65300000000002</v>
      </c>
      <c r="H119" s="476">
        <v>476.92500000000001</v>
      </c>
      <c r="I119" s="476">
        <v>476.92500000000001</v>
      </c>
      <c r="J119" s="476">
        <v>482.65300000000002</v>
      </c>
      <c r="K119" s="476">
        <v>0</v>
      </c>
      <c r="L119" s="476">
        <v>6160</v>
      </c>
      <c r="M119" s="476">
        <v>0</v>
      </c>
      <c r="N119" s="476">
        <v>0</v>
      </c>
      <c r="O119" s="476">
        <v>0</v>
      </c>
      <c r="P119" s="476">
        <v>482.65300000000002</v>
      </c>
      <c r="Q119" s="476">
        <v>0</v>
      </c>
      <c r="R119" s="476">
        <v>200245</v>
      </c>
      <c r="S119" s="476">
        <v>414.88400000000001</v>
      </c>
      <c r="T119" s="476">
        <v>0</v>
      </c>
      <c r="U119" s="476">
        <v>0</v>
      </c>
      <c r="V119" s="476">
        <v>309.77</v>
      </c>
      <c r="W119" s="476">
        <v>190814</v>
      </c>
      <c r="X119" s="476">
        <v>190814</v>
      </c>
      <c r="Y119" s="476">
        <v>0</v>
      </c>
      <c r="Z119" s="476">
        <v>0</v>
      </c>
      <c r="AA119" s="476">
        <v>0</v>
      </c>
      <c r="AB119" s="476">
        <v>0</v>
      </c>
      <c r="AC119" s="476">
        <v>0</v>
      </c>
      <c r="AD119" s="476" t="s">
        <v>314</v>
      </c>
      <c r="AE119" s="476">
        <v>0</v>
      </c>
      <c r="AF119" s="476">
        <v>0</v>
      </c>
      <c r="AG119" s="476">
        <v>0</v>
      </c>
      <c r="AH119" s="476">
        <v>0</v>
      </c>
      <c r="AI119" s="476">
        <v>0</v>
      </c>
      <c r="AJ119" s="476">
        <v>6160</v>
      </c>
      <c r="AK119" s="476" t="s">
        <v>651</v>
      </c>
      <c r="AL119" s="476" t="s">
        <v>437</v>
      </c>
      <c r="AM119" s="476">
        <v>0</v>
      </c>
      <c r="AN119" s="476">
        <v>0</v>
      </c>
      <c r="AO119" s="476">
        <v>0</v>
      </c>
      <c r="AP119" s="476">
        <v>0</v>
      </c>
      <c r="AQ119" s="476">
        <v>0</v>
      </c>
      <c r="AR119" s="476">
        <v>0</v>
      </c>
      <c r="AS119" s="476">
        <v>0</v>
      </c>
      <c r="AT119" s="476">
        <v>0</v>
      </c>
      <c r="AU119" s="476">
        <v>0</v>
      </c>
      <c r="AV119" s="476">
        <v>0</v>
      </c>
      <c r="AW119" s="476">
        <v>5340827</v>
      </c>
      <c r="AX119" s="476">
        <v>5260110</v>
      </c>
      <c r="AY119" s="476">
        <v>0</v>
      </c>
      <c r="AZ119" s="476">
        <v>200245</v>
      </c>
      <c r="BA119" s="476">
        <v>0</v>
      </c>
      <c r="BB119" s="476">
        <v>0</v>
      </c>
      <c r="BC119" s="476">
        <v>0</v>
      </c>
      <c r="BD119" s="476">
        <v>0</v>
      </c>
      <c r="BE119" s="476">
        <v>0</v>
      </c>
      <c r="BF119" s="476">
        <v>4726139</v>
      </c>
      <c r="BG119" s="476">
        <v>0</v>
      </c>
      <c r="BH119" s="476">
        <v>0</v>
      </c>
      <c r="BI119" s="476">
        <v>0</v>
      </c>
      <c r="BJ119" s="476">
        <v>12</v>
      </c>
      <c r="BK119" s="476">
        <v>0</v>
      </c>
      <c r="BL119" s="476">
        <v>0</v>
      </c>
      <c r="BM119" s="476">
        <v>0</v>
      </c>
      <c r="BN119" s="476">
        <v>0</v>
      </c>
      <c r="BO119" s="476">
        <v>0</v>
      </c>
      <c r="BP119" s="476">
        <v>0</v>
      </c>
      <c r="BQ119" s="476">
        <v>697</v>
      </c>
      <c r="BR119" s="476">
        <v>0</v>
      </c>
      <c r="BS119" s="476">
        <v>0</v>
      </c>
      <c r="BT119" s="476">
        <v>0</v>
      </c>
      <c r="BU119" s="476">
        <v>0</v>
      </c>
      <c r="BV119" s="476">
        <v>0</v>
      </c>
      <c r="BW119" s="476">
        <v>0</v>
      </c>
      <c r="BX119" s="476">
        <v>0</v>
      </c>
      <c r="BY119" s="476">
        <v>0</v>
      </c>
      <c r="BZ119" s="476">
        <v>0</v>
      </c>
      <c r="CA119" s="476">
        <v>0</v>
      </c>
      <c r="CB119" s="476">
        <v>0</v>
      </c>
      <c r="CC119" s="476">
        <v>0</v>
      </c>
      <c r="CD119" s="476">
        <v>0</v>
      </c>
      <c r="CE119" s="476">
        <v>0</v>
      </c>
      <c r="CF119" s="476">
        <v>0</v>
      </c>
      <c r="CG119" s="476">
        <v>0</v>
      </c>
      <c r="CH119" s="476">
        <v>81484</v>
      </c>
      <c r="CI119" s="476">
        <v>0</v>
      </c>
      <c r="CJ119" s="476">
        <v>5</v>
      </c>
      <c r="CK119" s="476">
        <v>0</v>
      </c>
      <c r="CL119" s="476">
        <v>0</v>
      </c>
      <c r="CM119" s="476">
        <v>0</v>
      </c>
      <c r="CN119" s="476">
        <v>0</v>
      </c>
      <c r="CO119" s="476">
        <v>1</v>
      </c>
      <c r="CP119" s="476">
        <v>0</v>
      </c>
      <c r="CQ119" s="476">
        <v>0</v>
      </c>
      <c r="CR119" s="476">
        <v>482.65300000000002</v>
      </c>
      <c r="CS119" s="476">
        <v>0</v>
      </c>
      <c r="CT119" s="476">
        <v>0</v>
      </c>
      <c r="CU119" s="476">
        <v>0</v>
      </c>
      <c r="CV119" s="476">
        <v>0</v>
      </c>
      <c r="CW119" s="476">
        <v>0</v>
      </c>
      <c r="CX119" s="476">
        <v>0</v>
      </c>
      <c r="CY119" s="476">
        <v>0</v>
      </c>
      <c r="CZ119" s="476">
        <v>0</v>
      </c>
      <c r="DA119" s="476">
        <v>0</v>
      </c>
      <c r="DB119" s="476">
        <v>2937791</v>
      </c>
      <c r="DC119" s="476">
        <v>0</v>
      </c>
      <c r="DD119" s="476">
        <v>0</v>
      </c>
      <c r="DE119" s="476">
        <v>791388</v>
      </c>
      <c r="DF119" s="476">
        <v>791388</v>
      </c>
      <c r="DG119" s="476">
        <v>128.47499999999999</v>
      </c>
      <c r="DH119" s="476">
        <v>0</v>
      </c>
      <c r="DI119" s="476">
        <v>0</v>
      </c>
      <c r="DJ119" s="476">
        <v>0</v>
      </c>
      <c r="DK119" s="476">
        <v>2767</v>
      </c>
      <c r="DL119" s="476">
        <v>0</v>
      </c>
      <c r="DM119" s="476">
        <v>223138</v>
      </c>
      <c r="DN119" s="476">
        <v>767</v>
      </c>
      <c r="DO119" s="476">
        <v>0</v>
      </c>
      <c r="DP119" s="476">
        <v>0</v>
      </c>
      <c r="DQ119" s="476">
        <v>0</v>
      </c>
      <c r="DR119" s="476">
        <v>0</v>
      </c>
      <c r="DS119" s="476">
        <v>0</v>
      </c>
      <c r="DT119" s="476">
        <v>0</v>
      </c>
      <c r="DU119" s="476">
        <v>0</v>
      </c>
      <c r="DV119" s="476">
        <v>0</v>
      </c>
      <c r="DW119" s="476">
        <v>0</v>
      </c>
      <c r="DX119" s="476">
        <v>0</v>
      </c>
      <c r="DY119" s="476">
        <v>0</v>
      </c>
      <c r="DZ119" s="476">
        <v>0</v>
      </c>
      <c r="EA119" s="476">
        <v>0</v>
      </c>
      <c r="EB119" s="476">
        <v>0</v>
      </c>
      <c r="EC119" s="476">
        <v>16.100000000000001</v>
      </c>
      <c r="ED119" s="476">
        <v>114050</v>
      </c>
      <c r="EE119" s="476">
        <v>0</v>
      </c>
      <c r="EF119" s="476">
        <v>0</v>
      </c>
      <c r="EG119" s="476">
        <v>0</v>
      </c>
      <c r="EH119" s="476">
        <v>109855</v>
      </c>
      <c r="EI119" s="476">
        <v>0</v>
      </c>
      <c r="EJ119" s="476">
        <v>0</v>
      </c>
      <c r="EK119" s="476">
        <v>5.3980000000000006</v>
      </c>
      <c r="EL119" s="476">
        <v>0</v>
      </c>
      <c r="EM119" s="476">
        <v>5.0000000000000001E-3</v>
      </c>
      <c r="EN119" s="476">
        <v>0.32500000000000001</v>
      </c>
      <c r="EO119" s="476">
        <v>0</v>
      </c>
      <c r="EP119" s="476">
        <v>0</v>
      </c>
      <c r="EQ119" s="476">
        <v>5.7280000000000006</v>
      </c>
      <c r="ER119" s="476">
        <v>0</v>
      </c>
      <c r="ES119" s="476">
        <v>17.834</v>
      </c>
      <c r="ET119" s="476">
        <v>0</v>
      </c>
      <c r="EU119" s="476">
        <v>0</v>
      </c>
      <c r="EV119" s="476">
        <v>0</v>
      </c>
      <c r="EW119" s="476">
        <v>0</v>
      </c>
      <c r="EX119" s="476">
        <v>0</v>
      </c>
      <c r="EY119" s="476">
        <v>0</v>
      </c>
      <c r="EZ119" s="476">
        <v>4547966</v>
      </c>
      <c r="FA119" s="476">
        <v>0</v>
      </c>
      <c r="FB119" s="476">
        <v>4747444</v>
      </c>
      <c r="FC119" s="476">
        <v>0</v>
      </c>
      <c r="FD119" s="476">
        <v>0</v>
      </c>
      <c r="FE119" s="476">
        <v>610231</v>
      </c>
      <c r="FF119" s="476">
        <v>101913</v>
      </c>
      <c r="FG119" s="476">
        <v>6.3017999999999991E-2</v>
      </c>
      <c r="FH119" s="476">
        <v>2.6953999999999999E-2</v>
      </c>
      <c r="FI119" s="476">
        <v>0</v>
      </c>
      <c r="FJ119" s="476">
        <v>0</v>
      </c>
      <c r="FK119" s="476">
        <v>767.24800000000005</v>
      </c>
      <c r="FL119" s="476">
        <v>5541072</v>
      </c>
      <c r="FM119" s="476">
        <v>0</v>
      </c>
      <c r="FN119" s="476">
        <v>0</v>
      </c>
      <c r="FO119" s="476">
        <v>22072</v>
      </c>
      <c r="FP119" s="476">
        <v>0</v>
      </c>
      <c r="FQ119" s="476">
        <v>22072</v>
      </c>
      <c r="FR119" s="476">
        <v>22072</v>
      </c>
      <c r="FS119" s="476">
        <v>0</v>
      </c>
      <c r="FT119" s="476">
        <v>0</v>
      </c>
      <c r="FU119" s="476">
        <v>0</v>
      </c>
      <c r="FV119" s="476">
        <v>0</v>
      </c>
      <c r="FW119" s="476">
        <v>0</v>
      </c>
      <c r="FX119" s="476">
        <v>0</v>
      </c>
      <c r="FY119" s="476">
        <v>0</v>
      </c>
      <c r="FZ119" s="476">
        <v>0</v>
      </c>
      <c r="GA119" s="476">
        <v>0</v>
      </c>
      <c r="GB119" s="476">
        <v>0</v>
      </c>
      <c r="GC119" s="476">
        <v>0</v>
      </c>
      <c r="GD119" s="476">
        <v>0</v>
      </c>
      <c r="GE119" s="476">
        <v>0</v>
      </c>
      <c r="GF119" s="476">
        <v>0</v>
      </c>
      <c r="GG119" s="476">
        <v>0</v>
      </c>
      <c r="GH119" s="476">
        <v>0</v>
      </c>
      <c r="GI119" s="476">
        <v>0</v>
      </c>
      <c r="GJ119" s="476">
        <v>0</v>
      </c>
      <c r="GK119" s="476">
        <v>0</v>
      </c>
      <c r="GL119" s="476">
        <v>0</v>
      </c>
      <c r="GM119" s="476">
        <v>0</v>
      </c>
      <c r="GN119" s="476">
        <v>0</v>
      </c>
      <c r="GO119" s="476">
        <v>0</v>
      </c>
      <c r="GP119" s="476">
        <v>0</v>
      </c>
      <c r="GQ119" s="476">
        <v>5259343</v>
      </c>
      <c r="GR119" s="476">
        <v>0</v>
      </c>
      <c r="GS119" s="476">
        <v>0</v>
      </c>
      <c r="GT119" s="476">
        <v>0</v>
      </c>
      <c r="GU119" s="476">
        <v>0</v>
      </c>
      <c r="GV119" s="476">
        <v>0</v>
      </c>
      <c r="GW119" s="476">
        <v>0</v>
      </c>
      <c r="GX119" s="476">
        <v>0</v>
      </c>
      <c r="GY119" s="476">
        <v>0</v>
      </c>
      <c r="GZ119" s="476">
        <v>0</v>
      </c>
      <c r="HA119" s="476">
        <v>0</v>
      </c>
      <c r="HB119" s="476">
        <v>323396213</v>
      </c>
      <c r="HC119" s="476">
        <v>4.2206E-2</v>
      </c>
      <c r="HD119" s="476">
        <v>81484</v>
      </c>
      <c r="HE119" s="476">
        <v>0</v>
      </c>
      <c r="HF119" s="476">
        <v>525571</v>
      </c>
      <c r="HG119" s="476">
        <v>0</v>
      </c>
      <c r="HH119" s="476">
        <v>51843</v>
      </c>
      <c r="HI119" s="476">
        <v>0</v>
      </c>
      <c r="HJ119" s="476">
        <v>4827</v>
      </c>
      <c r="HK119" s="476">
        <v>0</v>
      </c>
      <c r="HL119" s="476">
        <v>0</v>
      </c>
      <c r="HM119" s="476">
        <v>0</v>
      </c>
      <c r="HN119" s="476">
        <v>0</v>
      </c>
      <c r="HO119" s="476">
        <v>0</v>
      </c>
      <c r="HP119" s="476">
        <v>0</v>
      </c>
      <c r="HQ119" s="476">
        <v>0</v>
      </c>
      <c r="HR119" s="476">
        <v>0</v>
      </c>
      <c r="HS119" s="476">
        <v>4547199</v>
      </c>
      <c r="HT119" s="476">
        <v>101913</v>
      </c>
      <c r="HU119" s="476">
        <v>0</v>
      </c>
      <c r="HV119" s="476">
        <v>0</v>
      </c>
      <c r="HW119" s="476">
        <v>0</v>
      </c>
      <c r="HX119" s="476">
        <v>105</v>
      </c>
      <c r="HY119" s="476">
        <v>21</v>
      </c>
      <c r="HZ119" s="476">
        <v>68</v>
      </c>
      <c r="IA119" s="476">
        <v>59</v>
      </c>
      <c r="IB119" s="476">
        <v>245</v>
      </c>
      <c r="IC119" s="476">
        <v>498</v>
      </c>
      <c r="ID119" s="476">
        <v>0</v>
      </c>
      <c r="IE119" s="476">
        <v>0</v>
      </c>
      <c r="IF119" s="476">
        <v>0</v>
      </c>
      <c r="IG119" s="476">
        <v>0</v>
      </c>
      <c r="IH119" s="476">
        <v>84.162000000000006</v>
      </c>
      <c r="II119" s="476">
        <v>0</v>
      </c>
      <c r="IJ119" s="476">
        <v>309.77</v>
      </c>
      <c r="IK119" s="476">
        <v>0</v>
      </c>
      <c r="IL119" s="476">
        <v>0</v>
      </c>
      <c r="IM119" s="476">
        <v>0</v>
      </c>
      <c r="IN119" s="476">
        <v>0</v>
      </c>
      <c r="IO119" s="476">
        <v>0</v>
      </c>
      <c r="IP119" s="476">
        <v>0</v>
      </c>
      <c r="IQ119" s="476">
        <v>309.77</v>
      </c>
      <c r="IR119" s="476">
        <v>190814</v>
      </c>
      <c r="IS119" s="476">
        <v>0</v>
      </c>
      <c r="IT119" s="476">
        <v>0</v>
      </c>
      <c r="IU119" s="476">
        <v>0</v>
      </c>
      <c r="IV119" s="476">
        <v>0</v>
      </c>
      <c r="IW119" s="476">
        <v>6160</v>
      </c>
      <c r="IX119" s="476">
        <v>0</v>
      </c>
      <c r="IY119" s="476">
        <v>0</v>
      </c>
      <c r="IZ119" s="476">
        <v>0</v>
      </c>
      <c r="JA119" s="476">
        <v>0</v>
      </c>
      <c r="JB119" s="476">
        <v>0</v>
      </c>
      <c r="JC119" s="476">
        <v>0</v>
      </c>
      <c r="JD119" s="476">
        <v>0</v>
      </c>
      <c r="JE119" s="476">
        <v>0</v>
      </c>
      <c r="JF119" s="476">
        <v>0</v>
      </c>
      <c r="JG119" s="476">
        <v>0</v>
      </c>
      <c r="JH119" s="476">
        <v>0</v>
      </c>
      <c r="JI119" s="476">
        <v>0</v>
      </c>
      <c r="JJ119" s="476">
        <v>0</v>
      </c>
      <c r="JK119" s="476">
        <v>0</v>
      </c>
      <c r="JL119" s="476">
        <v>0</v>
      </c>
      <c r="JM119" s="476">
        <v>0</v>
      </c>
      <c r="JN119" s="476">
        <v>32469</v>
      </c>
      <c r="JO119" s="476">
        <v>0</v>
      </c>
      <c r="JP119" s="476">
        <v>0</v>
      </c>
      <c r="JQ119" s="476">
        <v>0</v>
      </c>
      <c r="JR119" s="476">
        <v>0</v>
      </c>
      <c r="JS119" s="476">
        <v>0</v>
      </c>
      <c r="JT119" s="476">
        <v>0</v>
      </c>
      <c r="JU119" s="476">
        <v>0</v>
      </c>
      <c r="JV119" s="476">
        <v>0</v>
      </c>
      <c r="JW119" s="476">
        <v>0</v>
      </c>
      <c r="JX119" s="476">
        <v>0</v>
      </c>
      <c r="JY119" s="476">
        <v>0</v>
      </c>
      <c r="JZ119" s="476">
        <v>0</v>
      </c>
      <c r="KA119" s="476">
        <v>0</v>
      </c>
      <c r="KB119" s="476">
        <v>0</v>
      </c>
      <c r="KC119" s="476">
        <v>0</v>
      </c>
      <c r="KD119" s="476">
        <v>0</v>
      </c>
      <c r="KE119" s="476">
        <v>7262</v>
      </c>
      <c r="KF119" s="476">
        <v>0</v>
      </c>
      <c r="KG119" s="476">
        <v>0</v>
      </c>
      <c r="KH119" s="476">
        <v>5259343</v>
      </c>
      <c r="KI119" s="476">
        <v>0</v>
      </c>
      <c r="KJ119" s="476">
        <v>0</v>
      </c>
      <c r="KK119" s="476">
        <v>0</v>
      </c>
      <c r="KL119" s="476">
        <v>0</v>
      </c>
      <c r="KM119" s="476">
        <v>0</v>
      </c>
      <c r="KN119" s="476">
        <v>0</v>
      </c>
    </row>
    <row r="120" spans="1:300" x14ac:dyDescent="0.25">
      <c r="A120" s="476">
        <v>40976</v>
      </c>
      <c r="B120" s="476">
        <v>101873</v>
      </c>
      <c r="C120" s="476">
        <v>9</v>
      </c>
      <c r="D120" s="476">
        <v>2024</v>
      </c>
      <c r="E120" s="476">
        <v>6160</v>
      </c>
      <c r="F120" s="476">
        <v>0</v>
      </c>
      <c r="G120" s="476">
        <v>181.86700000000002</v>
      </c>
      <c r="H120" s="476">
        <v>173.28</v>
      </c>
      <c r="I120" s="476">
        <v>173.28</v>
      </c>
      <c r="J120" s="476">
        <v>181.86700000000002</v>
      </c>
      <c r="K120" s="476">
        <v>0</v>
      </c>
      <c r="L120" s="476">
        <v>6160</v>
      </c>
      <c r="M120" s="476">
        <v>0</v>
      </c>
      <c r="N120" s="476">
        <v>0</v>
      </c>
      <c r="O120" s="476">
        <v>0</v>
      </c>
      <c r="P120" s="476">
        <v>181.86700000000002</v>
      </c>
      <c r="Q120" s="476">
        <v>0</v>
      </c>
      <c r="R120" s="476">
        <v>75454</v>
      </c>
      <c r="S120" s="476">
        <v>414.88400000000001</v>
      </c>
      <c r="T120" s="476">
        <v>0</v>
      </c>
      <c r="U120" s="476">
        <v>0</v>
      </c>
      <c r="V120" s="476">
        <v>0</v>
      </c>
      <c r="W120" s="476">
        <v>0</v>
      </c>
      <c r="X120" s="476">
        <v>0</v>
      </c>
      <c r="Y120" s="476">
        <v>0</v>
      </c>
      <c r="Z120" s="476">
        <v>0</v>
      </c>
      <c r="AA120" s="476">
        <v>0</v>
      </c>
      <c r="AB120" s="476">
        <v>0</v>
      </c>
      <c r="AC120" s="476">
        <v>0</v>
      </c>
      <c r="AD120" s="476" t="s">
        <v>314</v>
      </c>
      <c r="AE120" s="476">
        <v>0</v>
      </c>
      <c r="AF120" s="476">
        <v>0</v>
      </c>
      <c r="AG120" s="476">
        <v>0</v>
      </c>
      <c r="AH120" s="476">
        <v>0</v>
      </c>
      <c r="AI120" s="476">
        <v>0</v>
      </c>
      <c r="AJ120" s="476">
        <v>6160</v>
      </c>
      <c r="AK120" s="476" t="s">
        <v>651</v>
      </c>
      <c r="AL120" s="476" t="s">
        <v>446</v>
      </c>
      <c r="AM120" s="476">
        <v>0</v>
      </c>
      <c r="AN120" s="476">
        <v>0</v>
      </c>
      <c r="AO120" s="476">
        <v>0</v>
      </c>
      <c r="AP120" s="476">
        <v>0</v>
      </c>
      <c r="AQ120" s="476">
        <v>0</v>
      </c>
      <c r="AR120" s="476">
        <v>0</v>
      </c>
      <c r="AS120" s="476">
        <v>0</v>
      </c>
      <c r="AT120" s="476">
        <v>0</v>
      </c>
      <c r="AU120" s="476">
        <v>0</v>
      </c>
      <c r="AV120" s="476">
        <v>0</v>
      </c>
      <c r="AW120" s="476">
        <v>1982479</v>
      </c>
      <c r="AX120" s="476">
        <v>1952350</v>
      </c>
      <c r="AY120" s="476">
        <v>0</v>
      </c>
      <c r="AZ120" s="476">
        <v>75454</v>
      </c>
      <c r="BA120" s="476">
        <v>0</v>
      </c>
      <c r="BB120" s="476">
        <v>0</v>
      </c>
      <c r="BC120" s="476">
        <v>0</v>
      </c>
      <c r="BD120" s="476">
        <v>0</v>
      </c>
      <c r="BE120" s="476">
        <v>0</v>
      </c>
      <c r="BF120" s="476">
        <v>1742170</v>
      </c>
      <c r="BG120" s="476">
        <v>0</v>
      </c>
      <c r="BH120" s="476">
        <v>0</v>
      </c>
      <c r="BI120" s="476">
        <v>0</v>
      </c>
      <c r="BJ120" s="476">
        <v>12</v>
      </c>
      <c r="BK120" s="476">
        <v>0</v>
      </c>
      <c r="BL120" s="476">
        <v>0</v>
      </c>
      <c r="BM120" s="476">
        <v>0</v>
      </c>
      <c r="BN120" s="476">
        <v>0</v>
      </c>
      <c r="BO120" s="476">
        <v>0</v>
      </c>
      <c r="BP120" s="476">
        <v>0</v>
      </c>
      <c r="BQ120" s="476">
        <v>743</v>
      </c>
      <c r="BR120" s="476">
        <v>0</v>
      </c>
      <c r="BS120" s="476">
        <v>0</v>
      </c>
      <c r="BT120" s="476">
        <v>0</v>
      </c>
      <c r="BU120" s="476">
        <v>0</v>
      </c>
      <c r="BV120" s="476">
        <v>0</v>
      </c>
      <c r="BW120" s="476">
        <v>0</v>
      </c>
      <c r="BX120" s="476">
        <v>0</v>
      </c>
      <c r="BY120" s="476">
        <v>0</v>
      </c>
      <c r="BZ120" s="476">
        <v>0</v>
      </c>
      <c r="CA120" s="476">
        <v>0</v>
      </c>
      <c r="CB120" s="476">
        <v>0</v>
      </c>
      <c r="CC120" s="476">
        <v>0</v>
      </c>
      <c r="CD120" s="476">
        <v>0</v>
      </c>
      <c r="CE120" s="476">
        <v>0</v>
      </c>
      <c r="CF120" s="476">
        <v>0</v>
      </c>
      <c r="CG120" s="476">
        <v>0</v>
      </c>
      <c r="CH120" s="476">
        <v>30704</v>
      </c>
      <c r="CI120" s="476">
        <v>0</v>
      </c>
      <c r="CJ120" s="476">
        <v>4</v>
      </c>
      <c r="CK120" s="476">
        <v>0</v>
      </c>
      <c r="CL120" s="476">
        <v>0</v>
      </c>
      <c r="CM120" s="476">
        <v>0</v>
      </c>
      <c r="CN120" s="476">
        <v>0</v>
      </c>
      <c r="CO120" s="476">
        <v>1</v>
      </c>
      <c r="CP120" s="476">
        <v>0</v>
      </c>
      <c r="CQ120" s="476">
        <v>0</v>
      </c>
      <c r="CR120" s="476">
        <v>181.86700000000002</v>
      </c>
      <c r="CS120" s="476">
        <v>0</v>
      </c>
      <c r="CT120" s="476">
        <v>0</v>
      </c>
      <c r="CU120" s="476">
        <v>0</v>
      </c>
      <c r="CV120" s="476">
        <v>0</v>
      </c>
      <c r="CW120" s="476">
        <v>0</v>
      </c>
      <c r="CX120" s="476">
        <v>0</v>
      </c>
      <c r="CY120" s="476">
        <v>0</v>
      </c>
      <c r="CZ120" s="476">
        <v>0</v>
      </c>
      <c r="DA120" s="476">
        <v>0</v>
      </c>
      <c r="DB120" s="476">
        <v>1067381</v>
      </c>
      <c r="DC120" s="476">
        <v>0</v>
      </c>
      <c r="DD120" s="476">
        <v>0</v>
      </c>
      <c r="DE120" s="476">
        <v>312998</v>
      </c>
      <c r="DF120" s="476">
        <v>312998</v>
      </c>
      <c r="DG120" s="476">
        <v>50.813000000000002</v>
      </c>
      <c r="DH120" s="476">
        <v>0</v>
      </c>
      <c r="DI120" s="476">
        <v>0</v>
      </c>
      <c r="DJ120" s="476">
        <v>0</v>
      </c>
      <c r="DK120" s="476">
        <v>3515</v>
      </c>
      <c r="DL120" s="476">
        <v>0</v>
      </c>
      <c r="DM120" s="476">
        <v>167210</v>
      </c>
      <c r="DN120" s="476">
        <v>575</v>
      </c>
      <c r="DO120" s="476">
        <v>0</v>
      </c>
      <c r="DP120" s="476">
        <v>0</v>
      </c>
      <c r="DQ120" s="476">
        <v>0</v>
      </c>
      <c r="DR120" s="476">
        <v>0</v>
      </c>
      <c r="DS120" s="476">
        <v>0</v>
      </c>
      <c r="DT120" s="476">
        <v>0</v>
      </c>
      <c r="DU120" s="476">
        <v>0</v>
      </c>
      <c r="DV120" s="476">
        <v>0</v>
      </c>
      <c r="DW120" s="476">
        <v>0</v>
      </c>
      <c r="DX120" s="476">
        <v>0</v>
      </c>
      <c r="DY120" s="476">
        <v>0</v>
      </c>
      <c r="DZ120" s="476">
        <v>0</v>
      </c>
      <c r="EA120" s="476">
        <v>0</v>
      </c>
      <c r="EB120" s="476">
        <v>0</v>
      </c>
      <c r="EC120" s="476">
        <v>1.05</v>
      </c>
      <c r="ED120" s="476">
        <v>7438</v>
      </c>
      <c r="EE120" s="476">
        <v>0</v>
      </c>
      <c r="EF120" s="476">
        <v>0</v>
      </c>
      <c r="EG120" s="476">
        <v>0</v>
      </c>
      <c r="EH120" s="476">
        <v>160347</v>
      </c>
      <c r="EI120" s="476">
        <v>0</v>
      </c>
      <c r="EJ120" s="476">
        <v>0</v>
      </c>
      <c r="EK120" s="476">
        <v>7.9910000000000005</v>
      </c>
      <c r="EL120" s="476">
        <v>0</v>
      </c>
      <c r="EM120" s="476">
        <v>0.46100000000000002</v>
      </c>
      <c r="EN120" s="476">
        <v>0.13500000000000001</v>
      </c>
      <c r="EO120" s="476">
        <v>0</v>
      </c>
      <c r="EP120" s="476">
        <v>0</v>
      </c>
      <c r="EQ120" s="476">
        <v>8.5869999999999997</v>
      </c>
      <c r="ER120" s="476">
        <v>0</v>
      </c>
      <c r="ES120" s="476">
        <v>26.031000000000002</v>
      </c>
      <c r="ET120" s="476">
        <v>0</v>
      </c>
      <c r="EU120" s="476">
        <v>0</v>
      </c>
      <c r="EV120" s="476">
        <v>0</v>
      </c>
      <c r="EW120" s="476">
        <v>0</v>
      </c>
      <c r="EX120" s="476">
        <v>0</v>
      </c>
      <c r="EY120" s="476">
        <v>0</v>
      </c>
      <c r="EZ120" s="476">
        <v>1689836</v>
      </c>
      <c r="FA120" s="476">
        <v>0</v>
      </c>
      <c r="FB120" s="476">
        <v>1764715</v>
      </c>
      <c r="FC120" s="476">
        <v>0</v>
      </c>
      <c r="FD120" s="476">
        <v>0</v>
      </c>
      <c r="FE120" s="476">
        <v>224946</v>
      </c>
      <c r="FF120" s="476">
        <v>37568</v>
      </c>
      <c r="FG120" s="476">
        <v>6.3017999999999991E-2</v>
      </c>
      <c r="FH120" s="476">
        <v>2.6953999999999999E-2</v>
      </c>
      <c r="FI120" s="476">
        <v>0</v>
      </c>
      <c r="FJ120" s="476">
        <v>0</v>
      </c>
      <c r="FK120" s="476">
        <v>282.82600000000002</v>
      </c>
      <c r="FL120" s="476">
        <v>2057933</v>
      </c>
      <c r="FM120" s="476">
        <v>0</v>
      </c>
      <c r="FN120" s="476">
        <v>0</v>
      </c>
      <c r="FO120" s="476">
        <v>23120</v>
      </c>
      <c r="FP120" s="476">
        <v>0</v>
      </c>
      <c r="FQ120" s="476">
        <v>23120</v>
      </c>
      <c r="FR120" s="476">
        <v>23120</v>
      </c>
      <c r="FS120" s="476">
        <v>0</v>
      </c>
      <c r="FT120" s="476">
        <v>0</v>
      </c>
      <c r="FU120" s="476">
        <v>0</v>
      </c>
      <c r="FV120" s="476">
        <v>0</v>
      </c>
      <c r="FW120" s="476">
        <v>0</v>
      </c>
      <c r="FX120" s="476">
        <v>0</v>
      </c>
      <c r="FY120" s="476">
        <v>0</v>
      </c>
      <c r="FZ120" s="476">
        <v>0</v>
      </c>
      <c r="GA120" s="476">
        <v>0</v>
      </c>
      <c r="GB120" s="476">
        <v>0</v>
      </c>
      <c r="GC120" s="476">
        <v>0</v>
      </c>
      <c r="GD120" s="476">
        <v>0</v>
      </c>
      <c r="GE120" s="476">
        <v>0</v>
      </c>
      <c r="GF120" s="476">
        <v>0</v>
      </c>
      <c r="GG120" s="476">
        <v>0</v>
      </c>
      <c r="GH120" s="476">
        <v>0</v>
      </c>
      <c r="GI120" s="476">
        <v>0</v>
      </c>
      <c r="GJ120" s="476">
        <v>0</v>
      </c>
      <c r="GK120" s="476">
        <v>0</v>
      </c>
      <c r="GL120" s="476">
        <v>0</v>
      </c>
      <c r="GM120" s="476">
        <v>0</v>
      </c>
      <c r="GN120" s="476">
        <v>0</v>
      </c>
      <c r="GO120" s="476">
        <v>0</v>
      </c>
      <c r="GP120" s="476">
        <v>0</v>
      </c>
      <c r="GQ120" s="476">
        <v>1951775</v>
      </c>
      <c r="GR120" s="476">
        <v>0</v>
      </c>
      <c r="GS120" s="476">
        <v>0</v>
      </c>
      <c r="GT120" s="476">
        <v>0</v>
      </c>
      <c r="GU120" s="476">
        <v>0</v>
      </c>
      <c r="GV120" s="476">
        <v>0</v>
      </c>
      <c r="GW120" s="476">
        <v>0</v>
      </c>
      <c r="GX120" s="476">
        <v>0</v>
      </c>
      <c r="GY120" s="476">
        <v>0</v>
      </c>
      <c r="GZ120" s="476">
        <v>0</v>
      </c>
      <c r="HA120" s="476">
        <v>0</v>
      </c>
      <c r="HB120" s="476">
        <v>323396213</v>
      </c>
      <c r="HC120" s="476">
        <v>4.2206E-2</v>
      </c>
      <c r="HD120" s="476">
        <v>30704</v>
      </c>
      <c r="HE120" s="476">
        <v>0</v>
      </c>
      <c r="HF120" s="476">
        <v>190955</v>
      </c>
      <c r="HG120" s="476">
        <v>1232</v>
      </c>
      <c r="HH120" s="476">
        <v>0</v>
      </c>
      <c r="HI120" s="476">
        <v>0</v>
      </c>
      <c r="HJ120" s="476">
        <v>1819</v>
      </c>
      <c r="HK120" s="476">
        <v>0</v>
      </c>
      <c r="HL120" s="476">
        <v>0</v>
      </c>
      <c r="HM120" s="476">
        <v>0</v>
      </c>
      <c r="HN120" s="476">
        <v>0</v>
      </c>
      <c r="HO120" s="476">
        <v>0</v>
      </c>
      <c r="HP120" s="476">
        <v>0</v>
      </c>
      <c r="HQ120" s="476">
        <v>0</v>
      </c>
      <c r="HR120" s="476">
        <v>0</v>
      </c>
      <c r="HS120" s="476">
        <v>1689261</v>
      </c>
      <c r="HT120" s="476">
        <v>37568</v>
      </c>
      <c r="HU120" s="476">
        <v>0</v>
      </c>
      <c r="HV120" s="476">
        <v>0</v>
      </c>
      <c r="HW120" s="476">
        <v>0</v>
      </c>
      <c r="HX120" s="476">
        <v>10</v>
      </c>
      <c r="HY120" s="476">
        <v>20</v>
      </c>
      <c r="HZ120" s="476">
        <v>18</v>
      </c>
      <c r="IA120" s="476">
        <v>45</v>
      </c>
      <c r="IB120" s="476">
        <v>100</v>
      </c>
      <c r="IC120" s="476">
        <v>193</v>
      </c>
      <c r="ID120" s="476">
        <v>0</v>
      </c>
      <c r="IE120" s="476">
        <v>0</v>
      </c>
      <c r="IF120" s="476">
        <v>0</v>
      </c>
      <c r="IG120" s="476">
        <v>2</v>
      </c>
      <c r="IH120" s="476">
        <v>0</v>
      </c>
      <c r="II120" s="476">
        <v>0</v>
      </c>
      <c r="IJ120" s="476">
        <v>0</v>
      </c>
      <c r="IK120" s="476">
        <v>0</v>
      </c>
      <c r="IL120" s="476">
        <v>0</v>
      </c>
      <c r="IM120" s="476">
        <v>0</v>
      </c>
      <c r="IN120" s="476">
        <v>0</v>
      </c>
      <c r="IO120" s="476">
        <v>0</v>
      </c>
      <c r="IP120" s="476">
        <v>0</v>
      </c>
      <c r="IQ120" s="476">
        <v>0</v>
      </c>
      <c r="IR120" s="476">
        <v>0</v>
      </c>
      <c r="IS120" s="476">
        <v>0</v>
      </c>
      <c r="IT120" s="476">
        <v>0</v>
      </c>
      <c r="IU120" s="476">
        <v>0</v>
      </c>
      <c r="IV120" s="476">
        <v>0</v>
      </c>
      <c r="IW120" s="476">
        <v>6160</v>
      </c>
      <c r="IX120" s="476">
        <v>0</v>
      </c>
      <c r="IY120" s="476">
        <v>0</v>
      </c>
      <c r="IZ120" s="476">
        <v>0</v>
      </c>
      <c r="JA120" s="476">
        <v>0</v>
      </c>
      <c r="JB120" s="476">
        <v>0</v>
      </c>
      <c r="JC120" s="476">
        <v>0</v>
      </c>
      <c r="JD120" s="476">
        <v>0</v>
      </c>
      <c r="JE120" s="476">
        <v>0</v>
      </c>
      <c r="JF120" s="476">
        <v>0</v>
      </c>
      <c r="JG120" s="476">
        <v>0</v>
      </c>
      <c r="JH120" s="476">
        <v>0</v>
      </c>
      <c r="JI120" s="476">
        <v>0</v>
      </c>
      <c r="JJ120" s="476">
        <v>0</v>
      </c>
      <c r="JK120" s="476">
        <v>0</v>
      </c>
      <c r="JL120" s="476">
        <v>0</v>
      </c>
      <c r="JM120" s="476">
        <v>0</v>
      </c>
      <c r="JN120" s="476">
        <v>32469</v>
      </c>
      <c r="JO120" s="476">
        <v>0</v>
      </c>
      <c r="JP120" s="476">
        <v>0</v>
      </c>
      <c r="JQ120" s="476">
        <v>0</v>
      </c>
      <c r="JR120" s="476">
        <v>0</v>
      </c>
      <c r="JS120" s="476">
        <v>0</v>
      </c>
      <c r="JT120" s="476">
        <v>0</v>
      </c>
      <c r="JU120" s="476">
        <v>0</v>
      </c>
      <c r="JV120" s="476">
        <v>0</v>
      </c>
      <c r="JW120" s="476">
        <v>0</v>
      </c>
      <c r="JX120" s="476">
        <v>0</v>
      </c>
      <c r="JY120" s="476">
        <v>0</v>
      </c>
      <c r="JZ120" s="476">
        <v>0</v>
      </c>
      <c r="KA120" s="476">
        <v>0</v>
      </c>
      <c r="KB120" s="476">
        <v>0</v>
      </c>
      <c r="KC120" s="476">
        <v>0</v>
      </c>
      <c r="KD120" s="476">
        <v>0</v>
      </c>
      <c r="KE120" s="476">
        <v>7262</v>
      </c>
      <c r="KF120" s="476">
        <v>0</v>
      </c>
      <c r="KG120" s="476">
        <v>0</v>
      </c>
      <c r="KH120" s="476">
        <v>1951775</v>
      </c>
      <c r="KI120" s="476">
        <v>0</v>
      </c>
      <c r="KJ120" s="476">
        <v>2</v>
      </c>
      <c r="KK120" s="476">
        <v>0</v>
      </c>
      <c r="KL120" s="476">
        <v>1232</v>
      </c>
      <c r="KM120" s="476">
        <v>0</v>
      </c>
      <c r="KN120" s="476">
        <v>0</v>
      </c>
    </row>
    <row r="121" spans="1:300" x14ac:dyDescent="0.25">
      <c r="A121" s="476">
        <v>40976</v>
      </c>
      <c r="B121" s="476">
        <v>101874</v>
      </c>
      <c r="C121" s="476">
        <v>9</v>
      </c>
      <c r="D121" s="476">
        <v>2024</v>
      </c>
      <c r="E121" s="476">
        <v>6160</v>
      </c>
      <c r="F121" s="476">
        <v>0</v>
      </c>
      <c r="G121" s="476">
        <v>388.89300000000003</v>
      </c>
      <c r="H121" s="476">
        <v>350.428</v>
      </c>
      <c r="I121" s="476">
        <v>350.428</v>
      </c>
      <c r="J121" s="476">
        <v>388.89300000000003</v>
      </c>
      <c r="K121" s="476">
        <v>0</v>
      </c>
      <c r="L121" s="476">
        <v>6160</v>
      </c>
      <c r="M121" s="476">
        <v>0</v>
      </c>
      <c r="N121" s="476">
        <v>0</v>
      </c>
      <c r="O121" s="476">
        <v>0</v>
      </c>
      <c r="P121" s="476">
        <v>390.88200000000001</v>
      </c>
      <c r="Q121" s="476">
        <v>0</v>
      </c>
      <c r="R121" s="476">
        <v>162171</v>
      </c>
      <c r="S121" s="476">
        <v>414.88400000000001</v>
      </c>
      <c r="T121" s="476">
        <v>0</v>
      </c>
      <c r="U121" s="476">
        <v>0</v>
      </c>
      <c r="V121" s="476">
        <v>8.016</v>
      </c>
      <c r="W121" s="476">
        <v>4938</v>
      </c>
      <c r="X121" s="476">
        <v>4938</v>
      </c>
      <c r="Y121" s="476">
        <v>0</v>
      </c>
      <c r="Z121" s="476">
        <v>0</v>
      </c>
      <c r="AA121" s="476">
        <v>0</v>
      </c>
      <c r="AB121" s="476">
        <v>0</v>
      </c>
      <c r="AC121" s="476">
        <v>0</v>
      </c>
      <c r="AD121" s="476" t="s">
        <v>314</v>
      </c>
      <c r="AE121" s="476">
        <v>0</v>
      </c>
      <c r="AF121" s="476">
        <v>0</v>
      </c>
      <c r="AG121" s="476">
        <v>0</v>
      </c>
      <c r="AH121" s="476">
        <v>0</v>
      </c>
      <c r="AI121" s="476">
        <v>0</v>
      </c>
      <c r="AJ121" s="476">
        <v>6160</v>
      </c>
      <c r="AK121" s="476" t="s">
        <v>651</v>
      </c>
      <c r="AL121" s="476" t="s">
        <v>439</v>
      </c>
      <c r="AM121" s="476">
        <v>0</v>
      </c>
      <c r="AN121" s="476">
        <v>0</v>
      </c>
      <c r="AO121" s="476">
        <v>0</v>
      </c>
      <c r="AP121" s="476">
        <v>0</v>
      </c>
      <c r="AQ121" s="476">
        <v>0</v>
      </c>
      <c r="AR121" s="476">
        <v>0</v>
      </c>
      <c r="AS121" s="476">
        <v>0</v>
      </c>
      <c r="AT121" s="476">
        <v>0</v>
      </c>
      <c r="AU121" s="476">
        <v>0</v>
      </c>
      <c r="AV121" s="476">
        <v>0</v>
      </c>
      <c r="AW121" s="476">
        <v>4063953</v>
      </c>
      <c r="AX121" s="476">
        <v>3999029</v>
      </c>
      <c r="AY121" s="476">
        <v>0</v>
      </c>
      <c r="AZ121" s="476">
        <v>162171</v>
      </c>
      <c r="BA121" s="476">
        <v>0</v>
      </c>
      <c r="BB121" s="476">
        <v>0</v>
      </c>
      <c r="BC121" s="476">
        <v>0</v>
      </c>
      <c r="BD121" s="476">
        <v>0</v>
      </c>
      <c r="BE121" s="476">
        <v>0</v>
      </c>
      <c r="BF121" s="476">
        <v>3613177</v>
      </c>
      <c r="BG121" s="476">
        <v>0</v>
      </c>
      <c r="BH121" s="476">
        <v>0</v>
      </c>
      <c r="BI121" s="476">
        <v>0</v>
      </c>
      <c r="BJ121" s="476">
        <v>12</v>
      </c>
      <c r="BK121" s="476">
        <v>0</v>
      </c>
      <c r="BL121" s="476">
        <v>0</v>
      </c>
      <c r="BM121" s="476">
        <v>0</v>
      </c>
      <c r="BN121" s="476">
        <v>0</v>
      </c>
      <c r="BO121" s="476">
        <v>0</v>
      </c>
      <c r="BP121" s="476">
        <v>0</v>
      </c>
      <c r="BQ121" s="476">
        <v>716</v>
      </c>
      <c r="BR121" s="476">
        <v>0</v>
      </c>
      <c r="BS121" s="476">
        <v>0</v>
      </c>
      <c r="BT121" s="476">
        <v>0</v>
      </c>
      <c r="BU121" s="476">
        <v>0</v>
      </c>
      <c r="BV121" s="476">
        <v>0</v>
      </c>
      <c r="BW121" s="476">
        <v>0</v>
      </c>
      <c r="BX121" s="476">
        <v>0</v>
      </c>
      <c r="BY121" s="476">
        <v>0</v>
      </c>
      <c r="BZ121" s="476">
        <v>0</v>
      </c>
      <c r="CA121" s="476">
        <v>0</v>
      </c>
      <c r="CB121" s="476">
        <v>0</v>
      </c>
      <c r="CC121" s="476">
        <v>0</v>
      </c>
      <c r="CD121" s="476">
        <v>0</v>
      </c>
      <c r="CE121" s="476">
        <v>0</v>
      </c>
      <c r="CF121" s="476">
        <v>0</v>
      </c>
      <c r="CG121" s="476">
        <v>0</v>
      </c>
      <c r="CH121" s="476">
        <v>65655</v>
      </c>
      <c r="CI121" s="476">
        <v>0</v>
      </c>
      <c r="CJ121" s="476">
        <v>4</v>
      </c>
      <c r="CK121" s="476">
        <v>0</v>
      </c>
      <c r="CL121" s="476">
        <v>0</v>
      </c>
      <c r="CM121" s="476">
        <v>0</v>
      </c>
      <c r="CN121" s="476">
        <v>0</v>
      </c>
      <c r="CO121" s="476">
        <v>1</v>
      </c>
      <c r="CP121" s="476">
        <v>0</v>
      </c>
      <c r="CQ121" s="476">
        <v>0</v>
      </c>
      <c r="CR121" s="476">
        <v>388.89300000000003</v>
      </c>
      <c r="CS121" s="476">
        <v>0</v>
      </c>
      <c r="CT121" s="476">
        <v>0</v>
      </c>
      <c r="CU121" s="476">
        <v>0</v>
      </c>
      <c r="CV121" s="476">
        <v>0</v>
      </c>
      <c r="CW121" s="476">
        <v>0</v>
      </c>
      <c r="CX121" s="476">
        <v>0</v>
      </c>
      <c r="CY121" s="476">
        <v>0</v>
      </c>
      <c r="CZ121" s="476">
        <v>0</v>
      </c>
      <c r="DA121" s="476">
        <v>0</v>
      </c>
      <c r="DB121" s="476">
        <v>2158587</v>
      </c>
      <c r="DC121" s="476">
        <v>0</v>
      </c>
      <c r="DD121" s="476">
        <v>0</v>
      </c>
      <c r="DE121" s="476">
        <v>483395</v>
      </c>
      <c r="DF121" s="476">
        <v>483395</v>
      </c>
      <c r="DG121" s="476">
        <v>78.475000000000009</v>
      </c>
      <c r="DH121" s="476">
        <v>0</v>
      </c>
      <c r="DI121" s="476">
        <v>0</v>
      </c>
      <c r="DJ121" s="476">
        <v>0</v>
      </c>
      <c r="DK121" s="476">
        <v>3079</v>
      </c>
      <c r="DL121" s="476">
        <v>0</v>
      </c>
      <c r="DM121" s="476">
        <v>212564</v>
      </c>
      <c r="DN121" s="476">
        <v>731</v>
      </c>
      <c r="DO121" s="476">
        <v>0</v>
      </c>
      <c r="DP121" s="476">
        <v>0</v>
      </c>
      <c r="DQ121" s="476">
        <v>0</v>
      </c>
      <c r="DR121" s="476">
        <v>0</v>
      </c>
      <c r="DS121" s="476">
        <v>0</v>
      </c>
      <c r="DT121" s="476">
        <v>0</v>
      </c>
      <c r="DU121" s="476">
        <v>0</v>
      </c>
      <c r="DV121" s="476">
        <v>0</v>
      </c>
      <c r="DW121" s="476">
        <v>0</v>
      </c>
      <c r="DX121" s="476">
        <v>0</v>
      </c>
      <c r="DY121" s="476">
        <v>0</v>
      </c>
      <c r="DZ121" s="476">
        <v>0</v>
      </c>
      <c r="EA121" s="476">
        <v>0</v>
      </c>
      <c r="EB121" s="476">
        <v>0</v>
      </c>
      <c r="EC121" s="476">
        <v>23.798000000000002</v>
      </c>
      <c r="ED121" s="476">
        <v>168581</v>
      </c>
      <c r="EE121" s="476">
        <v>0</v>
      </c>
      <c r="EF121" s="476">
        <v>0</v>
      </c>
      <c r="EG121" s="476">
        <v>0</v>
      </c>
      <c r="EH121" s="476">
        <v>44714</v>
      </c>
      <c r="EI121" s="476">
        <v>0</v>
      </c>
      <c r="EJ121" s="476">
        <v>0</v>
      </c>
      <c r="EK121" s="476">
        <v>2.1779999999999999</v>
      </c>
      <c r="EL121" s="476">
        <v>0</v>
      </c>
      <c r="EM121" s="476">
        <v>0</v>
      </c>
      <c r="EN121" s="476">
        <v>0.14500000000000002</v>
      </c>
      <c r="EO121" s="476">
        <v>0</v>
      </c>
      <c r="EP121" s="476">
        <v>0</v>
      </c>
      <c r="EQ121" s="476">
        <v>2.323</v>
      </c>
      <c r="ER121" s="476">
        <v>0</v>
      </c>
      <c r="ES121" s="476">
        <v>7.2590000000000003</v>
      </c>
      <c r="ET121" s="476">
        <v>0</v>
      </c>
      <c r="EU121" s="476">
        <v>0</v>
      </c>
      <c r="EV121" s="476">
        <v>0</v>
      </c>
      <c r="EW121" s="476">
        <v>0</v>
      </c>
      <c r="EX121" s="476">
        <v>0</v>
      </c>
      <c r="EY121" s="476">
        <v>0</v>
      </c>
      <c r="EZ121" s="476">
        <v>3454589</v>
      </c>
      <c r="FA121" s="476">
        <v>0</v>
      </c>
      <c r="FB121" s="476">
        <v>3616029</v>
      </c>
      <c r="FC121" s="476">
        <v>0</v>
      </c>
      <c r="FD121" s="476">
        <v>0</v>
      </c>
      <c r="FE121" s="476">
        <v>466527</v>
      </c>
      <c r="FF121" s="476">
        <v>77913</v>
      </c>
      <c r="FG121" s="476">
        <v>6.3017999999999991E-2</v>
      </c>
      <c r="FH121" s="476">
        <v>2.6953999999999999E-2</v>
      </c>
      <c r="FI121" s="476">
        <v>0</v>
      </c>
      <c r="FJ121" s="476">
        <v>0</v>
      </c>
      <c r="FK121" s="476">
        <v>586.56799999999998</v>
      </c>
      <c r="FL121" s="476">
        <v>4226124</v>
      </c>
      <c r="FM121" s="476">
        <v>0</v>
      </c>
      <c r="FN121" s="476">
        <v>0</v>
      </c>
      <c r="FO121" s="476">
        <v>0</v>
      </c>
      <c r="FP121" s="476">
        <v>0</v>
      </c>
      <c r="FQ121" s="476">
        <v>0</v>
      </c>
      <c r="FR121" s="476">
        <v>0</v>
      </c>
      <c r="FS121" s="476">
        <v>0</v>
      </c>
      <c r="FT121" s="476">
        <v>0</v>
      </c>
      <c r="FU121" s="476">
        <v>0</v>
      </c>
      <c r="FV121" s="476">
        <v>0</v>
      </c>
      <c r="FW121" s="476">
        <v>0</v>
      </c>
      <c r="FX121" s="476">
        <v>0</v>
      </c>
      <c r="FY121" s="476">
        <v>0</v>
      </c>
      <c r="FZ121" s="476">
        <v>0</v>
      </c>
      <c r="GA121" s="476">
        <v>0</v>
      </c>
      <c r="GB121" s="476">
        <v>349893</v>
      </c>
      <c r="GC121" s="476">
        <v>349893</v>
      </c>
      <c r="GD121" s="476">
        <v>36.142000000000003</v>
      </c>
      <c r="GE121" s="476">
        <v>0</v>
      </c>
      <c r="GF121" s="476">
        <v>0</v>
      </c>
      <c r="GG121" s="476">
        <v>0</v>
      </c>
      <c r="GH121" s="476">
        <v>0</v>
      </c>
      <c r="GI121" s="476">
        <v>0</v>
      </c>
      <c r="GJ121" s="476">
        <v>0</v>
      </c>
      <c r="GK121" s="476">
        <v>0</v>
      </c>
      <c r="GL121" s="476">
        <v>0</v>
      </c>
      <c r="GM121" s="476">
        <v>0</v>
      </c>
      <c r="GN121" s="476">
        <v>0</v>
      </c>
      <c r="GO121" s="476">
        <v>0</v>
      </c>
      <c r="GP121" s="476">
        <v>0</v>
      </c>
      <c r="GQ121" s="476">
        <v>3998298</v>
      </c>
      <c r="GR121" s="476">
        <v>0</v>
      </c>
      <c r="GS121" s="476">
        <v>0</v>
      </c>
      <c r="GT121" s="476">
        <v>0</v>
      </c>
      <c r="GU121" s="476">
        <v>0</v>
      </c>
      <c r="GV121" s="476">
        <v>0</v>
      </c>
      <c r="GW121" s="476">
        <v>0</v>
      </c>
      <c r="GX121" s="476">
        <v>0</v>
      </c>
      <c r="GY121" s="476">
        <v>0</v>
      </c>
      <c r="GZ121" s="476">
        <v>0</v>
      </c>
      <c r="HA121" s="476">
        <v>0</v>
      </c>
      <c r="HB121" s="476">
        <v>323396213</v>
      </c>
      <c r="HC121" s="476">
        <v>4.2206E-2</v>
      </c>
      <c r="HD121" s="476">
        <v>65655</v>
      </c>
      <c r="HE121" s="476">
        <v>0</v>
      </c>
      <c r="HF121" s="476">
        <v>386172</v>
      </c>
      <c r="HG121" s="476">
        <v>8008</v>
      </c>
      <c r="HH121" s="476">
        <v>0</v>
      </c>
      <c r="HI121" s="476">
        <v>0</v>
      </c>
      <c r="HJ121" s="476">
        <v>3889</v>
      </c>
      <c r="HK121" s="476">
        <v>2821</v>
      </c>
      <c r="HL121" s="476">
        <v>762</v>
      </c>
      <c r="HM121" s="476">
        <v>5000</v>
      </c>
      <c r="HN121" s="476">
        <v>0</v>
      </c>
      <c r="HO121" s="476">
        <v>0</v>
      </c>
      <c r="HP121" s="476">
        <v>0</v>
      </c>
      <c r="HQ121" s="476">
        <v>0</v>
      </c>
      <c r="HR121" s="476">
        <v>0</v>
      </c>
      <c r="HS121" s="476">
        <v>3453858</v>
      </c>
      <c r="HT121" s="476">
        <v>77913</v>
      </c>
      <c r="HU121" s="476">
        <v>0</v>
      </c>
      <c r="HV121" s="476">
        <v>0</v>
      </c>
      <c r="HW121" s="476">
        <v>0</v>
      </c>
      <c r="HX121" s="476">
        <v>71</v>
      </c>
      <c r="HY121" s="476">
        <v>113</v>
      </c>
      <c r="HZ121" s="476">
        <v>40</v>
      </c>
      <c r="IA121" s="476">
        <v>59</v>
      </c>
      <c r="IB121" s="476">
        <v>37</v>
      </c>
      <c r="IC121" s="476">
        <v>320</v>
      </c>
      <c r="ID121" s="476">
        <v>0</v>
      </c>
      <c r="IE121" s="476">
        <v>0</v>
      </c>
      <c r="IF121" s="476">
        <v>0</v>
      </c>
      <c r="IG121" s="476">
        <v>13</v>
      </c>
      <c r="IH121" s="476">
        <v>0</v>
      </c>
      <c r="II121" s="476">
        <v>0</v>
      </c>
      <c r="IJ121" s="476">
        <v>8.016</v>
      </c>
      <c r="IK121" s="476">
        <v>0</v>
      </c>
      <c r="IL121" s="476">
        <v>1</v>
      </c>
      <c r="IM121" s="476">
        <v>0</v>
      </c>
      <c r="IN121" s="476">
        <v>0</v>
      </c>
      <c r="IO121" s="476">
        <v>1</v>
      </c>
      <c r="IP121" s="476">
        <v>0</v>
      </c>
      <c r="IQ121" s="476">
        <v>8.016</v>
      </c>
      <c r="IR121" s="476">
        <v>4938</v>
      </c>
      <c r="IS121" s="476">
        <v>0</v>
      </c>
      <c r="IT121" s="476">
        <v>5000</v>
      </c>
      <c r="IU121" s="476">
        <v>0</v>
      </c>
      <c r="IV121" s="476">
        <v>0</v>
      </c>
      <c r="IW121" s="476">
        <v>6160</v>
      </c>
      <c r="IX121" s="476">
        <v>0</v>
      </c>
      <c r="IY121" s="476">
        <v>0</v>
      </c>
      <c r="IZ121" s="476">
        <v>0</v>
      </c>
      <c r="JA121" s="476">
        <v>0</v>
      </c>
      <c r="JB121" s="476">
        <v>0</v>
      </c>
      <c r="JC121" s="476">
        <v>0</v>
      </c>
      <c r="JD121" s="476">
        <v>0</v>
      </c>
      <c r="JE121" s="476">
        <v>0</v>
      </c>
      <c r="JF121" s="476">
        <v>0</v>
      </c>
      <c r="JG121" s="476">
        <v>0</v>
      </c>
      <c r="JH121" s="476">
        <v>0</v>
      </c>
      <c r="JI121" s="476">
        <v>0</v>
      </c>
      <c r="JJ121" s="476">
        <v>0</v>
      </c>
      <c r="JK121" s="476">
        <v>0</v>
      </c>
      <c r="JL121" s="476">
        <v>0</v>
      </c>
      <c r="JM121" s="476">
        <v>0</v>
      </c>
      <c r="JN121" s="476">
        <v>32469</v>
      </c>
      <c r="JO121" s="476">
        <v>0</v>
      </c>
      <c r="JP121" s="476">
        <v>26.039000000000001</v>
      </c>
      <c r="JQ121" s="476">
        <v>10.103</v>
      </c>
      <c r="JR121" s="476">
        <v>0</v>
      </c>
      <c r="JS121" s="476">
        <v>242042</v>
      </c>
      <c r="JT121" s="476">
        <v>107851</v>
      </c>
      <c r="JU121" s="476">
        <v>0</v>
      </c>
      <c r="JV121" s="476">
        <v>0</v>
      </c>
      <c r="JW121" s="476">
        <v>0</v>
      </c>
      <c r="JX121" s="476">
        <v>0</v>
      </c>
      <c r="JY121" s="476">
        <v>0</v>
      </c>
      <c r="JZ121" s="476">
        <v>0</v>
      </c>
      <c r="KA121" s="476">
        <v>0</v>
      </c>
      <c r="KB121" s="476">
        <v>0</v>
      </c>
      <c r="KC121" s="476">
        <v>0</v>
      </c>
      <c r="KD121" s="476">
        <v>0</v>
      </c>
      <c r="KE121" s="476">
        <v>7262</v>
      </c>
      <c r="KF121" s="476">
        <v>0</v>
      </c>
      <c r="KG121" s="476">
        <v>0</v>
      </c>
      <c r="KH121" s="476">
        <v>3998298</v>
      </c>
      <c r="KI121" s="476">
        <v>0</v>
      </c>
      <c r="KJ121" s="476">
        <v>8</v>
      </c>
      <c r="KK121" s="476">
        <v>5</v>
      </c>
      <c r="KL121" s="476">
        <v>4928</v>
      </c>
      <c r="KM121" s="476">
        <v>3080</v>
      </c>
      <c r="KN121" s="476">
        <v>0</v>
      </c>
    </row>
    <row r="122" spans="1:300" x14ac:dyDescent="0.25">
      <c r="A122" s="476">
        <v>40976</v>
      </c>
      <c r="B122" s="476">
        <v>101875</v>
      </c>
      <c r="C122" s="476">
        <v>9</v>
      </c>
      <c r="D122" s="476">
        <v>2024</v>
      </c>
      <c r="E122" s="476">
        <v>6160</v>
      </c>
      <c r="F122" s="476">
        <v>0</v>
      </c>
      <c r="G122" s="476">
        <v>284.67200000000003</v>
      </c>
      <c r="H122" s="476">
        <v>277.327</v>
      </c>
      <c r="I122" s="476">
        <v>277.327</v>
      </c>
      <c r="J122" s="476">
        <v>284.67200000000003</v>
      </c>
      <c r="K122" s="476">
        <v>0</v>
      </c>
      <c r="L122" s="476">
        <v>6160</v>
      </c>
      <c r="M122" s="476">
        <v>0</v>
      </c>
      <c r="N122" s="476">
        <v>0</v>
      </c>
      <c r="O122" s="476">
        <v>0</v>
      </c>
      <c r="P122" s="476">
        <v>284.67200000000003</v>
      </c>
      <c r="Q122" s="476">
        <v>0</v>
      </c>
      <c r="R122" s="476">
        <v>118106</v>
      </c>
      <c r="S122" s="476">
        <v>414.88400000000001</v>
      </c>
      <c r="T122" s="476">
        <v>0</v>
      </c>
      <c r="U122" s="476">
        <v>0</v>
      </c>
      <c r="V122" s="476">
        <v>0</v>
      </c>
      <c r="W122" s="476">
        <v>0</v>
      </c>
      <c r="X122" s="476">
        <v>0</v>
      </c>
      <c r="Y122" s="476">
        <v>0</v>
      </c>
      <c r="Z122" s="476">
        <v>0</v>
      </c>
      <c r="AA122" s="476">
        <v>0</v>
      </c>
      <c r="AB122" s="476">
        <v>0</v>
      </c>
      <c r="AC122" s="476">
        <v>0</v>
      </c>
      <c r="AD122" s="476" t="s">
        <v>314</v>
      </c>
      <c r="AE122" s="476">
        <v>0</v>
      </c>
      <c r="AF122" s="476">
        <v>0</v>
      </c>
      <c r="AG122" s="476">
        <v>0</v>
      </c>
      <c r="AH122" s="476">
        <v>0</v>
      </c>
      <c r="AI122" s="476">
        <v>0</v>
      </c>
      <c r="AJ122" s="476">
        <v>6160</v>
      </c>
      <c r="AK122" s="476" t="s">
        <v>651</v>
      </c>
      <c r="AL122" s="476" t="s">
        <v>458</v>
      </c>
      <c r="AM122" s="476">
        <v>0</v>
      </c>
      <c r="AN122" s="476">
        <v>0</v>
      </c>
      <c r="AO122" s="476">
        <v>0</v>
      </c>
      <c r="AP122" s="476">
        <v>0</v>
      </c>
      <c r="AQ122" s="476">
        <v>0</v>
      </c>
      <c r="AR122" s="476">
        <v>0</v>
      </c>
      <c r="AS122" s="476">
        <v>0</v>
      </c>
      <c r="AT122" s="476">
        <v>0</v>
      </c>
      <c r="AU122" s="476">
        <v>0</v>
      </c>
      <c r="AV122" s="476">
        <v>-230661</v>
      </c>
      <c r="AW122" s="476">
        <v>3158197</v>
      </c>
      <c r="AX122" s="476">
        <v>3158997</v>
      </c>
      <c r="AY122" s="476">
        <v>0</v>
      </c>
      <c r="AZ122" s="476">
        <v>118106</v>
      </c>
      <c r="BA122" s="476">
        <v>0</v>
      </c>
      <c r="BB122" s="476">
        <v>0</v>
      </c>
      <c r="BC122" s="476">
        <v>0</v>
      </c>
      <c r="BD122" s="476">
        <v>0</v>
      </c>
      <c r="BE122" s="476">
        <v>0</v>
      </c>
      <c r="BF122" s="476">
        <v>2838065</v>
      </c>
      <c r="BG122" s="476">
        <v>0</v>
      </c>
      <c r="BH122" s="476">
        <v>0</v>
      </c>
      <c r="BI122" s="476">
        <v>0</v>
      </c>
      <c r="BJ122" s="476">
        <v>12</v>
      </c>
      <c r="BK122" s="476">
        <v>0</v>
      </c>
      <c r="BL122" s="476">
        <v>0</v>
      </c>
      <c r="BM122" s="476">
        <v>0</v>
      </c>
      <c r="BN122" s="476">
        <v>0</v>
      </c>
      <c r="BO122" s="476">
        <v>0</v>
      </c>
      <c r="BP122" s="476">
        <v>0</v>
      </c>
      <c r="BQ122" s="476">
        <v>727</v>
      </c>
      <c r="BR122" s="476">
        <v>0</v>
      </c>
      <c r="BS122" s="476">
        <v>0</v>
      </c>
      <c r="BT122" s="476">
        <v>0</v>
      </c>
      <c r="BU122" s="476">
        <v>0</v>
      </c>
      <c r="BV122" s="476">
        <v>0</v>
      </c>
      <c r="BW122" s="476">
        <v>0</v>
      </c>
      <c r="BX122" s="476">
        <v>0</v>
      </c>
      <c r="BY122" s="476">
        <v>0</v>
      </c>
      <c r="BZ122" s="476">
        <v>0</v>
      </c>
      <c r="CA122" s="476">
        <v>0</v>
      </c>
      <c r="CB122" s="476">
        <v>0</v>
      </c>
      <c r="CC122" s="476">
        <v>0</v>
      </c>
      <c r="CD122" s="476">
        <v>0</v>
      </c>
      <c r="CE122" s="476">
        <v>0</v>
      </c>
      <c r="CF122" s="476">
        <v>0</v>
      </c>
      <c r="CG122" s="476">
        <v>0</v>
      </c>
      <c r="CH122" s="476">
        <v>0</v>
      </c>
      <c r="CI122" s="476">
        <v>0</v>
      </c>
      <c r="CJ122" s="476">
        <v>4</v>
      </c>
      <c r="CK122" s="476">
        <v>0</v>
      </c>
      <c r="CL122" s="476">
        <v>0</v>
      </c>
      <c r="CM122" s="476">
        <v>0</v>
      </c>
      <c r="CN122" s="476">
        <v>0</v>
      </c>
      <c r="CO122" s="476">
        <v>1</v>
      </c>
      <c r="CP122" s="476">
        <v>0</v>
      </c>
      <c r="CQ122" s="476">
        <v>0</v>
      </c>
      <c r="CR122" s="476">
        <v>284.67200000000003</v>
      </c>
      <c r="CS122" s="476">
        <v>0</v>
      </c>
      <c r="CT122" s="476">
        <v>0</v>
      </c>
      <c r="CU122" s="476">
        <v>0</v>
      </c>
      <c r="CV122" s="476">
        <v>0</v>
      </c>
      <c r="CW122" s="476">
        <v>0</v>
      </c>
      <c r="CX122" s="476">
        <v>0</v>
      </c>
      <c r="CY122" s="476">
        <v>0</v>
      </c>
      <c r="CZ122" s="476">
        <v>0</v>
      </c>
      <c r="DA122" s="476">
        <v>0</v>
      </c>
      <c r="DB122" s="476">
        <v>1708296</v>
      </c>
      <c r="DC122" s="476">
        <v>0</v>
      </c>
      <c r="DD122" s="476">
        <v>0</v>
      </c>
      <c r="DE122" s="476">
        <v>458756</v>
      </c>
      <c r="DF122" s="476">
        <v>458756</v>
      </c>
      <c r="DG122" s="476">
        <v>74.475000000000009</v>
      </c>
      <c r="DH122" s="476">
        <v>0</v>
      </c>
      <c r="DI122" s="476">
        <v>0</v>
      </c>
      <c r="DJ122" s="476">
        <v>0</v>
      </c>
      <c r="DK122" s="476">
        <v>3259</v>
      </c>
      <c r="DL122" s="476">
        <v>0</v>
      </c>
      <c r="DM122" s="476">
        <v>232791</v>
      </c>
      <c r="DN122" s="476">
        <v>800</v>
      </c>
      <c r="DO122" s="476">
        <v>0</v>
      </c>
      <c r="DP122" s="476">
        <v>0</v>
      </c>
      <c r="DQ122" s="476">
        <v>0</v>
      </c>
      <c r="DR122" s="476">
        <v>0</v>
      </c>
      <c r="DS122" s="476">
        <v>0</v>
      </c>
      <c r="DT122" s="476">
        <v>0</v>
      </c>
      <c r="DU122" s="476">
        <v>0</v>
      </c>
      <c r="DV122" s="476">
        <v>0</v>
      </c>
      <c r="DW122" s="476">
        <v>0</v>
      </c>
      <c r="DX122" s="476">
        <v>0</v>
      </c>
      <c r="DY122" s="476">
        <v>0</v>
      </c>
      <c r="DZ122" s="476">
        <v>0</v>
      </c>
      <c r="EA122" s="476">
        <v>0</v>
      </c>
      <c r="EB122" s="476">
        <v>0</v>
      </c>
      <c r="EC122" s="476">
        <v>12.383000000000001</v>
      </c>
      <c r="ED122" s="476">
        <v>87719</v>
      </c>
      <c r="EE122" s="476">
        <v>0</v>
      </c>
      <c r="EF122" s="476">
        <v>0</v>
      </c>
      <c r="EG122" s="476">
        <v>0</v>
      </c>
      <c r="EH122" s="476">
        <v>145872</v>
      </c>
      <c r="EI122" s="476">
        <v>0</v>
      </c>
      <c r="EJ122" s="476">
        <v>0</v>
      </c>
      <c r="EK122" s="476">
        <v>4.21</v>
      </c>
      <c r="EL122" s="476">
        <v>0</v>
      </c>
      <c r="EM122" s="476">
        <v>2.3120000000000003</v>
      </c>
      <c r="EN122" s="476">
        <v>0.82300000000000006</v>
      </c>
      <c r="EO122" s="476">
        <v>0</v>
      </c>
      <c r="EP122" s="476">
        <v>0</v>
      </c>
      <c r="EQ122" s="476">
        <v>7.3450000000000006</v>
      </c>
      <c r="ER122" s="476">
        <v>0</v>
      </c>
      <c r="ES122" s="476">
        <v>23.681000000000001</v>
      </c>
      <c r="ET122" s="476">
        <v>0</v>
      </c>
      <c r="EU122" s="476">
        <v>0</v>
      </c>
      <c r="EV122" s="476">
        <v>0</v>
      </c>
      <c r="EW122" s="476">
        <v>0</v>
      </c>
      <c r="EX122" s="476">
        <v>0</v>
      </c>
      <c r="EY122" s="476">
        <v>0</v>
      </c>
      <c r="EZ122" s="476">
        <v>2731352</v>
      </c>
      <c r="FA122" s="476">
        <v>0</v>
      </c>
      <c r="FB122" s="476">
        <v>2848658</v>
      </c>
      <c r="FC122" s="476">
        <v>0</v>
      </c>
      <c r="FD122" s="476">
        <v>0</v>
      </c>
      <c r="FE122" s="476">
        <v>366446</v>
      </c>
      <c r="FF122" s="476">
        <v>61199</v>
      </c>
      <c r="FG122" s="476">
        <v>6.3017999999999991E-2</v>
      </c>
      <c r="FH122" s="476">
        <v>2.6953999999999999E-2</v>
      </c>
      <c r="FI122" s="476">
        <v>0</v>
      </c>
      <c r="FJ122" s="476">
        <v>0</v>
      </c>
      <c r="FK122" s="476">
        <v>460.73500000000001</v>
      </c>
      <c r="FL122" s="476">
        <v>3276303</v>
      </c>
      <c r="FM122" s="476">
        <v>0</v>
      </c>
      <c r="FN122" s="476">
        <v>0</v>
      </c>
      <c r="FO122" s="476">
        <v>11393</v>
      </c>
      <c r="FP122" s="476">
        <v>0</v>
      </c>
      <c r="FQ122" s="476">
        <v>11393</v>
      </c>
      <c r="FR122" s="476">
        <v>11393</v>
      </c>
      <c r="FS122" s="476">
        <v>0</v>
      </c>
      <c r="FT122" s="476">
        <v>0</v>
      </c>
      <c r="FU122" s="476">
        <v>0</v>
      </c>
      <c r="FV122" s="476">
        <v>0</v>
      </c>
      <c r="FW122" s="476">
        <v>0</v>
      </c>
      <c r="FX122" s="476">
        <v>0</v>
      </c>
      <c r="FY122" s="476">
        <v>0</v>
      </c>
      <c r="FZ122" s="476">
        <v>0</v>
      </c>
      <c r="GA122" s="476">
        <v>0</v>
      </c>
      <c r="GB122" s="476">
        <v>0</v>
      </c>
      <c r="GC122" s="476">
        <v>0</v>
      </c>
      <c r="GD122" s="476">
        <v>0</v>
      </c>
      <c r="GE122" s="476">
        <v>0</v>
      </c>
      <c r="GF122" s="476">
        <v>0</v>
      </c>
      <c r="GG122" s="476">
        <v>0</v>
      </c>
      <c r="GH122" s="476">
        <v>0</v>
      </c>
      <c r="GI122" s="476">
        <v>0</v>
      </c>
      <c r="GJ122" s="476">
        <v>0</v>
      </c>
      <c r="GK122" s="476">
        <v>0</v>
      </c>
      <c r="GL122" s="476">
        <v>0</v>
      </c>
      <c r="GM122" s="476">
        <v>0</v>
      </c>
      <c r="GN122" s="476">
        <v>0</v>
      </c>
      <c r="GO122" s="476">
        <v>0</v>
      </c>
      <c r="GP122" s="476">
        <v>0</v>
      </c>
      <c r="GQ122" s="476">
        <v>3158197</v>
      </c>
      <c r="GR122" s="476">
        <v>0</v>
      </c>
      <c r="GS122" s="476">
        <v>0</v>
      </c>
      <c r="GT122" s="476">
        <v>0</v>
      </c>
      <c r="GU122" s="476">
        <v>0</v>
      </c>
      <c r="GV122" s="476">
        <v>0</v>
      </c>
      <c r="GW122" s="476">
        <v>0</v>
      </c>
      <c r="GX122" s="476">
        <v>0</v>
      </c>
      <c r="GY122" s="476">
        <v>0</v>
      </c>
      <c r="GZ122" s="476">
        <v>0</v>
      </c>
      <c r="HA122" s="476">
        <v>0</v>
      </c>
      <c r="HB122" s="476">
        <v>0</v>
      </c>
      <c r="HC122" s="476">
        <v>4.2206E-2</v>
      </c>
      <c r="HD122" s="476">
        <v>0</v>
      </c>
      <c r="HE122" s="476">
        <v>0</v>
      </c>
      <c r="HF122" s="476">
        <v>305614</v>
      </c>
      <c r="HG122" s="476">
        <v>4928</v>
      </c>
      <c r="HH122" s="476">
        <v>124033</v>
      </c>
      <c r="HI122" s="476">
        <v>0</v>
      </c>
      <c r="HJ122" s="476">
        <v>2847</v>
      </c>
      <c r="HK122" s="476">
        <v>0</v>
      </c>
      <c r="HL122" s="476">
        <v>0</v>
      </c>
      <c r="HM122" s="476">
        <v>0</v>
      </c>
      <c r="HN122" s="476">
        <v>0</v>
      </c>
      <c r="HO122" s="476">
        <v>0</v>
      </c>
      <c r="HP122" s="476">
        <v>0</v>
      </c>
      <c r="HQ122" s="476">
        <v>0</v>
      </c>
      <c r="HR122" s="476">
        <v>0</v>
      </c>
      <c r="HS122" s="476">
        <v>2730552</v>
      </c>
      <c r="HT122" s="476">
        <v>61199</v>
      </c>
      <c r="HU122" s="476">
        <v>0</v>
      </c>
      <c r="HV122" s="476">
        <v>0</v>
      </c>
      <c r="HW122" s="476">
        <v>0</v>
      </c>
      <c r="HX122" s="476">
        <v>23</v>
      </c>
      <c r="HY122" s="476">
        <v>47</v>
      </c>
      <c r="HZ122" s="476">
        <v>54</v>
      </c>
      <c r="IA122" s="476">
        <v>81</v>
      </c>
      <c r="IB122" s="476">
        <v>85</v>
      </c>
      <c r="IC122" s="476">
        <v>290</v>
      </c>
      <c r="ID122" s="476">
        <v>0</v>
      </c>
      <c r="IE122" s="476">
        <v>0</v>
      </c>
      <c r="IF122" s="476">
        <v>0</v>
      </c>
      <c r="IG122" s="476">
        <v>8</v>
      </c>
      <c r="IH122" s="476">
        <v>201.357</v>
      </c>
      <c r="II122" s="476">
        <v>0</v>
      </c>
      <c r="IJ122" s="476">
        <v>0</v>
      </c>
      <c r="IK122" s="476">
        <v>0</v>
      </c>
      <c r="IL122" s="476">
        <v>0</v>
      </c>
      <c r="IM122" s="476">
        <v>0</v>
      </c>
      <c r="IN122" s="476">
        <v>0</v>
      </c>
      <c r="IO122" s="476">
        <v>0</v>
      </c>
      <c r="IP122" s="476">
        <v>0</v>
      </c>
      <c r="IQ122" s="476">
        <v>0</v>
      </c>
      <c r="IR122" s="476">
        <v>0</v>
      </c>
      <c r="IS122" s="476">
        <v>0</v>
      </c>
      <c r="IT122" s="476">
        <v>0</v>
      </c>
      <c r="IU122" s="476">
        <v>0</v>
      </c>
      <c r="IV122" s="476">
        <v>0</v>
      </c>
      <c r="IW122" s="476">
        <v>6160</v>
      </c>
      <c r="IX122" s="476">
        <v>0</v>
      </c>
      <c r="IY122" s="476">
        <v>0</v>
      </c>
      <c r="IZ122" s="476">
        <v>0</v>
      </c>
      <c r="JA122" s="476">
        <v>0</v>
      </c>
      <c r="JB122" s="476">
        <v>0</v>
      </c>
      <c r="JC122" s="476">
        <v>0</v>
      </c>
      <c r="JD122" s="476">
        <v>0</v>
      </c>
      <c r="JE122" s="476">
        <v>0</v>
      </c>
      <c r="JF122" s="476">
        <v>0</v>
      </c>
      <c r="JG122" s="476">
        <v>0</v>
      </c>
      <c r="JH122" s="476">
        <v>0</v>
      </c>
      <c r="JI122" s="476">
        <v>0</v>
      </c>
      <c r="JJ122" s="476">
        <v>0</v>
      </c>
      <c r="JK122" s="476">
        <v>0</v>
      </c>
      <c r="JL122" s="476">
        <v>0</v>
      </c>
      <c r="JM122" s="476">
        <v>0</v>
      </c>
      <c r="JN122" s="476">
        <v>32469</v>
      </c>
      <c r="JO122" s="476">
        <v>0</v>
      </c>
      <c r="JP122" s="476">
        <v>0</v>
      </c>
      <c r="JQ122" s="476">
        <v>0</v>
      </c>
      <c r="JR122" s="476">
        <v>0</v>
      </c>
      <c r="JS122" s="476">
        <v>0</v>
      </c>
      <c r="JT122" s="476">
        <v>0</v>
      </c>
      <c r="JU122" s="476">
        <v>0</v>
      </c>
      <c r="JV122" s="476">
        <v>0</v>
      </c>
      <c r="JW122" s="476">
        <v>0</v>
      </c>
      <c r="JX122" s="476">
        <v>0</v>
      </c>
      <c r="JY122" s="476">
        <v>0</v>
      </c>
      <c r="JZ122" s="476">
        <v>0</v>
      </c>
      <c r="KA122" s="476">
        <v>0</v>
      </c>
      <c r="KB122" s="476">
        <v>0</v>
      </c>
      <c r="KC122" s="476">
        <v>0</v>
      </c>
      <c r="KD122" s="476">
        <v>0</v>
      </c>
      <c r="KE122" s="476">
        <v>7262</v>
      </c>
      <c r="KF122" s="476">
        <v>0</v>
      </c>
      <c r="KG122" s="476">
        <v>0</v>
      </c>
      <c r="KH122" s="476">
        <v>3158197</v>
      </c>
      <c r="KI122" s="476">
        <v>0</v>
      </c>
      <c r="KJ122" s="476">
        <v>6</v>
      </c>
      <c r="KK122" s="476">
        <v>2</v>
      </c>
      <c r="KL122" s="476">
        <v>3696</v>
      </c>
      <c r="KM122" s="476">
        <v>1232</v>
      </c>
      <c r="KN122" s="476">
        <v>0</v>
      </c>
    </row>
    <row r="123" spans="1:300" x14ac:dyDescent="0.25">
      <c r="A123" s="476">
        <v>40976</v>
      </c>
      <c r="B123" s="476">
        <v>101876</v>
      </c>
      <c r="C123" s="476">
        <v>9</v>
      </c>
      <c r="D123" s="476">
        <v>2024</v>
      </c>
      <c r="E123" s="476">
        <v>6160</v>
      </c>
      <c r="F123" s="476">
        <v>0</v>
      </c>
      <c r="G123" s="476">
        <v>201.63500000000002</v>
      </c>
      <c r="H123" s="476">
        <v>195.72500000000002</v>
      </c>
      <c r="I123" s="476">
        <v>195.72500000000002</v>
      </c>
      <c r="J123" s="476">
        <v>201.63500000000002</v>
      </c>
      <c r="K123" s="476">
        <v>0</v>
      </c>
      <c r="L123" s="476">
        <v>6160</v>
      </c>
      <c r="M123" s="476">
        <v>0</v>
      </c>
      <c r="N123" s="476">
        <v>0</v>
      </c>
      <c r="O123" s="476">
        <v>0</v>
      </c>
      <c r="P123" s="476">
        <v>201.63500000000002</v>
      </c>
      <c r="Q123" s="476">
        <v>0</v>
      </c>
      <c r="R123" s="476">
        <v>83655</v>
      </c>
      <c r="S123" s="476">
        <v>414.88400000000001</v>
      </c>
      <c r="T123" s="476">
        <v>0</v>
      </c>
      <c r="U123" s="476">
        <v>0</v>
      </c>
      <c r="V123" s="476">
        <v>36.197000000000003</v>
      </c>
      <c r="W123" s="476">
        <v>22297</v>
      </c>
      <c r="X123" s="476">
        <v>22297</v>
      </c>
      <c r="Y123" s="476">
        <v>0</v>
      </c>
      <c r="Z123" s="476">
        <v>0</v>
      </c>
      <c r="AA123" s="476">
        <v>0</v>
      </c>
      <c r="AB123" s="476">
        <v>0</v>
      </c>
      <c r="AC123" s="476">
        <v>0</v>
      </c>
      <c r="AD123" s="476" t="s">
        <v>314</v>
      </c>
      <c r="AE123" s="476">
        <v>0</v>
      </c>
      <c r="AF123" s="476">
        <v>0</v>
      </c>
      <c r="AG123" s="476">
        <v>0</v>
      </c>
      <c r="AH123" s="476">
        <v>0</v>
      </c>
      <c r="AI123" s="476">
        <v>0</v>
      </c>
      <c r="AJ123" s="476">
        <v>6160</v>
      </c>
      <c r="AK123" s="476" t="s">
        <v>651</v>
      </c>
      <c r="AL123" s="476" t="s">
        <v>459</v>
      </c>
      <c r="AM123" s="476">
        <v>0</v>
      </c>
      <c r="AN123" s="476">
        <v>0</v>
      </c>
      <c r="AO123" s="476">
        <v>0</v>
      </c>
      <c r="AP123" s="476">
        <v>0</v>
      </c>
      <c r="AQ123" s="476">
        <v>0</v>
      </c>
      <c r="AR123" s="476">
        <v>0</v>
      </c>
      <c r="AS123" s="476">
        <v>0</v>
      </c>
      <c r="AT123" s="476">
        <v>0</v>
      </c>
      <c r="AU123" s="476">
        <v>0</v>
      </c>
      <c r="AV123" s="476">
        <v>0</v>
      </c>
      <c r="AW123" s="476">
        <v>2179852</v>
      </c>
      <c r="AX123" s="476">
        <v>2180283</v>
      </c>
      <c r="AY123" s="476">
        <v>0</v>
      </c>
      <c r="AZ123" s="476">
        <v>83655</v>
      </c>
      <c r="BA123" s="476">
        <v>0</v>
      </c>
      <c r="BB123" s="476">
        <v>0</v>
      </c>
      <c r="BC123" s="476">
        <v>0</v>
      </c>
      <c r="BD123" s="476">
        <v>0</v>
      </c>
      <c r="BE123" s="476">
        <v>0</v>
      </c>
      <c r="BF123" s="476">
        <v>1955430</v>
      </c>
      <c r="BG123" s="476">
        <v>0</v>
      </c>
      <c r="BH123" s="476">
        <v>0</v>
      </c>
      <c r="BI123" s="476">
        <v>0</v>
      </c>
      <c r="BJ123" s="476">
        <v>12</v>
      </c>
      <c r="BK123" s="476">
        <v>0</v>
      </c>
      <c r="BL123" s="476">
        <v>0</v>
      </c>
      <c r="BM123" s="476">
        <v>0</v>
      </c>
      <c r="BN123" s="476">
        <v>0</v>
      </c>
      <c r="BO123" s="476">
        <v>0</v>
      </c>
      <c r="BP123" s="476">
        <v>0</v>
      </c>
      <c r="BQ123" s="476">
        <v>740</v>
      </c>
      <c r="BR123" s="476">
        <v>0</v>
      </c>
      <c r="BS123" s="476">
        <v>0</v>
      </c>
      <c r="BT123" s="476">
        <v>0</v>
      </c>
      <c r="BU123" s="476">
        <v>0</v>
      </c>
      <c r="BV123" s="476">
        <v>0</v>
      </c>
      <c r="BW123" s="476">
        <v>0</v>
      </c>
      <c r="BX123" s="476">
        <v>0</v>
      </c>
      <c r="BY123" s="476">
        <v>0</v>
      </c>
      <c r="BZ123" s="476">
        <v>0</v>
      </c>
      <c r="CA123" s="476">
        <v>0</v>
      </c>
      <c r="CB123" s="476">
        <v>0</v>
      </c>
      <c r="CC123" s="476">
        <v>0</v>
      </c>
      <c r="CD123" s="476">
        <v>0</v>
      </c>
      <c r="CE123" s="476">
        <v>0</v>
      </c>
      <c r="CF123" s="476">
        <v>0</v>
      </c>
      <c r="CG123" s="476">
        <v>0</v>
      </c>
      <c r="CH123" s="476">
        <v>0</v>
      </c>
      <c r="CI123" s="476">
        <v>0</v>
      </c>
      <c r="CJ123" s="476">
        <v>5</v>
      </c>
      <c r="CK123" s="476">
        <v>0</v>
      </c>
      <c r="CL123" s="476">
        <v>0</v>
      </c>
      <c r="CM123" s="476">
        <v>0</v>
      </c>
      <c r="CN123" s="476">
        <v>0</v>
      </c>
      <c r="CO123" s="476">
        <v>1</v>
      </c>
      <c r="CP123" s="476">
        <v>0</v>
      </c>
      <c r="CQ123" s="476">
        <v>0</v>
      </c>
      <c r="CR123" s="476">
        <v>201.63500000000002</v>
      </c>
      <c r="CS123" s="476">
        <v>0</v>
      </c>
      <c r="CT123" s="476">
        <v>0</v>
      </c>
      <c r="CU123" s="476">
        <v>0</v>
      </c>
      <c r="CV123" s="476">
        <v>0</v>
      </c>
      <c r="CW123" s="476">
        <v>0</v>
      </c>
      <c r="CX123" s="476">
        <v>0</v>
      </c>
      <c r="CY123" s="476">
        <v>0</v>
      </c>
      <c r="CZ123" s="476">
        <v>0</v>
      </c>
      <c r="DA123" s="476">
        <v>0</v>
      </c>
      <c r="DB123" s="476">
        <v>1205639</v>
      </c>
      <c r="DC123" s="476">
        <v>0</v>
      </c>
      <c r="DD123" s="476">
        <v>0</v>
      </c>
      <c r="DE123" s="476">
        <v>293825</v>
      </c>
      <c r="DF123" s="476">
        <v>293825</v>
      </c>
      <c r="DG123" s="476">
        <v>47.7</v>
      </c>
      <c r="DH123" s="476">
        <v>0</v>
      </c>
      <c r="DI123" s="476">
        <v>0</v>
      </c>
      <c r="DJ123" s="476">
        <v>0</v>
      </c>
      <c r="DK123" s="476">
        <v>3460</v>
      </c>
      <c r="DL123" s="476">
        <v>0</v>
      </c>
      <c r="DM123" s="476">
        <v>125493</v>
      </c>
      <c r="DN123" s="476">
        <v>431</v>
      </c>
      <c r="DO123" s="476">
        <v>0</v>
      </c>
      <c r="DP123" s="476">
        <v>0</v>
      </c>
      <c r="DQ123" s="476">
        <v>0</v>
      </c>
      <c r="DR123" s="476">
        <v>0</v>
      </c>
      <c r="DS123" s="476">
        <v>0</v>
      </c>
      <c r="DT123" s="476">
        <v>0</v>
      </c>
      <c r="DU123" s="476">
        <v>0</v>
      </c>
      <c r="DV123" s="476">
        <v>0</v>
      </c>
      <c r="DW123" s="476">
        <v>0</v>
      </c>
      <c r="DX123" s="476">
        <v>0</v>
      </c>
      <c r="DY123" s="476">
        <v>0</v>
      </c>
      <c r="DZ123" s="476">
        <v>0</v>
      </c>
      <c r="EA123" s="476">
        <v>0</v>
      </c>
      <c r="EB123" s="476">
        <v>0</v>
      </c>
      <c r="EC123" s="476">
        <v>1.738</v>
      </c>
      <c r="ED123" s="476">
        <v>12312</v>
      </c>
      <c r="EE123" s="476">
        <v>0</v>
      </c>
      <c r="EF123" s="476">
        <v>0</v>
      </c>
      <c r="EG123" s="476">
        <v>0</v>
      </c>
      <c r="EH123" s="476">
        <v>113612</v>
      </c>
      <c r="EI123" s="476">
        <v>0</v>
      </c>
      <c r="EJ123" s="476">
        <v>0</v>
      </c>
      <c r="EK123" s="476">
        <v>2.536</v>
      </c>
      <c r="EL123" s="476">
        <v>0</v>
      </c>
      <c r="EM123" s="476">
        <v>3.0170000000000003</v>
      </c>
      <c r="EN123" s="476">
        <v>0.35700000000000004</v>
      </c>
      <c r="EO123" s="476">
        <v>0</v>
      </c>
      <c r="EP123" s="476">
        <v>0</v>
      </c>
      <c r="EQ123" s="476">
        <v>5.91</v>
      </c>
      <c r="ER123" s="476">
        <v>0</v>
      </c>
      <c r="ES123" s="476">
        <v>18.444000000000003</v>
      </c>
      <c r="ET123" s="476">
        <v>0</v>
      </c>
      <c r="EU123" s="476">
        <v>0</v>
      </c>
      <c r="EV123" s="476">
        <v>0</v>
      </c>
      <c r="EW123" s="476">
        <v>0</v>
      </c>
      <c r="EX123" s="476">
        <v>0</v>
      </c>
      <c r="EY123" s="476">
        <v>0</v>
      </c>
      <c r="EZ123" s="476">
        <v>1885635</v>
      </c>
      <c r="FA123" s="476">
        <v>0</v>
      </c>
      <c r="FB123" s="476">
        <v>1968859</v>
      </c>
      <c r="FC123" s="476">
        <v>0</v>
      </c>
      <c r="FD123" s="476">
        <v>0</v>
      </c>
      <c r="FE123" s="476">
        <v>252482</v>
      </c>
      <c r="FF123" s="476">
        <v>42166</v>
      </c>
      <c r="FG123" s="476">
        <v>6.3017999999999991E-2</v>
      </c>
      <c r="FH123" s="476">
        <v>2.6953999999999999E-2</v>
      </c>
      <c r="FI123" s="476">
        <v>0</v>
      </c>
      <c r="FJ123" s="476">
        <v>0</v>
      </c>
      <c r="FK123" s="476">
        <v>317.447</v>
      </c>
      <c r="FL123" s="476">
        <v>2263507</v>
      </c>
      <c r="FM123" s="476">
        <v>0</v>
      </c>
      <c r="FN123" s="476">
        <v>0</v>
      </c>
      <c r="FO123" s="476">
        <v>13860</v>
      </c>
      <c r="FP123" s="476">
        <v>0</v>
      </c>
      <c r="FQ123" s="476">
        <v>13860</v>
      </c>
      <c r="FR123" s="476">
        <v>13860</v>
      </c>
      <c r="FS123" s="476">
        <v>0</v>
      </c>
      <c r="FT123" s="476">
        <v>0</v>
      </c>
      <c r="FU123" s="476">
        <v>0</v>
      </c>
      <c r="FV123" s="476">
        <v>0</v>
      </c>
      <c r="FW123" s="476">
        <v>0</v>
      </c>
      <c r="FX123" s="476">
        <v>0</v>
      </c>
      <c r="FY123" s="476">
        <v>0</v>
      </c>
      <c r="FZ123" s="476">
        <v>0</v>
      </c>
      <c r="GA123" s="476">
        <v>0</v>
      </c>
      <c r="GB123" s="476">
        <v>0</v>
      </c>
      <c r="GC123" s="476">
        <v>0</v>
      </c>
      <c r="GD123" s="476">
        <v>0</v>
      </c>
      <c r="GE123" s="476">
        <v>0</v>
      </c>
      <c r="GF123" s="476">
        <v>0</v>
      </c>
      <c r="GG123" s="476">
        <v>0</v>
      </c>
      <c r="GH123" s="476">
        <v>0</v>
      </c>
      <c r="GI123" s="476">
        <v>0</v>
      </c>
      <c r="GJ123" s="476">
        <v>0</v>
      </c>
      <c r="GK123" s="476">
        <v>0</v>
      </c>
      <c r="GL123" s="476">
        <v>0</v>
      </c>
      <c r="GM123" s="476">
        <v>0</v>
      </c>
      <c r="GN123" s="476">
        <v>0</v>
      </c>
      <c r="GO123" s="476">
        <v>0</v>
      </c>
      <c r="GP123" s="476">
        <v>0</v>
      </c>
      <c r="GQ123" s="476">
        <v>2179852</v>
      </c>
      <c r="GR123" s="476">
        <v>0</v>
      </c>
      <c r="GS123" s="476">
        <v>0</v>
      </c>
      <c r="GT123" s="476">
        <v>0</v>
      </c>
      <c r="GU123" s="476">
        <v>0</v>
      </c>
      <c r="GV123" s="476">
        <v>0</v>
      </c>
      <c r="GW123" s="476">
        <v>0</v>
      </c>
      <c r="GX123" s="476">
        <v>0</v>
      </c>
      <c r="GY123" s="476">
        <v>0</v>
      </c>
      <c r="GZ123" s="476">
        <v>0</v>
      </c>
      <c r="HA123" s="476">
        <v>0</v>
      </c>
      <c r="HB123" s="476">
        <v>0</v>
      </c>
      <c r="HC123" s="476">
        <v>4.2206E-2</v>
      </c>
      <c r="HD123" s="476">
        <v>0</v>
      </c>
      <c r="HE123" s="476">
        <v>0</v>
      </c>
      <c r="HF123" s="476">
        <v>215689</v>
      </c>
      <c r="HG123" s="476">
        <v>0</v>
      </c>
      <c r="HH123" s="476">
        <v>90040</v>
      </c>
      <c r="HI123" s="476">
        <v>0</v>
      </c>
      <c r="HJ123" s="476">
        <v>2016</v>
      </c>
      <c r="HK123" s="476">
        <v>0</v>
      </c>
      <c r="HL123" s="476">
        <v>0</v>
      </c>
      <c r="HM123" s="476">
        <v>0</v>
      </c>
      <c r="HN123" s="476">
        <v>0</v>
      </c>
      <c r="HO123" s="476">
        <v>0</v>
      </c>
      <c r="HP123" s="476">
        <v>0</v>
      </c>
      <c r="HQ123" s="476">
        <v>0</v>
      </c>
      <c r="HR123" s="476">
        <v>0</v>
      </c>
      <c r="HS123" s="476">
        <v>1885204</v>
      </c>
      <c r="HT123" s="476">
        <v>42166</v>
      </c>
      <c r="HU123" s="476">
        <v>0</v>
      </c>
      <c r="HV123" s="476">
        <v>0</v>
      </c>
      <c r="HW123" s="476">
        <v>0</v>
      </c>
      <c r="HX123" s="476">
        <v>4</v>
      </c>
      <c r="HY123" s="476">
        <v>25</v>
      </c>
      <c r="HZ123" s="476">
        <v>78</v>
      </c>
      <c r="IA123" s="476">
        <v>51</v>
      </c>
      <c r="IB123" s="476">
        <v>29</v>
      </c>
      <c r="IC123" s="476">
        <v>187</v>
      </c>
      <c r="ID123" s="476">
        <v>0</v>
      </c>
      <c r="IE123" s="476">
        <v>0</v>
      </c>
      <c r="IF123" s="476">
        <v>0</v>
      </c>
      <c r="IG123" s="476">
        <v>0</v>
      </c>
      <c r="IH123" s="476">
        <v>146.172</v>
      </c>
      <c r="II123" s="476">
        <v>0</v>
      </c>
      <c r="IJ123" s="476">
        <v>36.197000000000003</v>
      </c>
      <c r="IK123" s="476">
        <v>0</v>
      </c>
      <c r="IL123" s="476">
        <v>0</v>
      </c>
      <c r="IM123" s="476">
        <v>0</v>
      </c>
      <c r="IN123" s="476">
        <v>0</v>
      </c>
      <c r="IO123" s="476">
        <v>0</v>
      </c>
      <c r="IP123" s="476">
        <v>0</v>
      </c>
      <c r="IQ123" s="476">
        <v>36.197000000000003</v>
      </c>
      <c r="IR123" s="476">
        <v>22297</v>
      </c>
      <c r="IS123" s="476">
        <v>0</v>
      </c>
      <c r="IT123" s="476">
        <v>0</v>
      </c>
      <c r="IU123" s="476">
        <v>0</v>
      </c>
      <c r="IV123" s="476">
        <v>0</v>
      </c>
      <c r="IW123" s="476">
        <v>6160</v>
      </c>
      <c r="IX123" s="476">
        <v>0</v>
      </c>
      <c r="IY123" s="476">
        <v>0</v>
      </c>
      <c r="IZ123" s="476">
        <v>0</v>
      </c>
      <c r="JA123" s="476">
        <v>0</v>
      </c>
      <c r="JB123" s="476">
        <v>0</v>
      </c>
      <c r="JC123" s="476">
        <v>0</v>
      </c>
      <c r="JD123" s="476">
        <v>0</v>
      </c>
      <c r="JE123" s="476">
        <v>0</v>
      </c>
      <c r="JF123" s="476">
        <v>0</v>
      </c>
      <c r="JG123" s="476">
        <v>0</v>
      </c>
      <c r="JH123" s="476">
        <v>0</v>
      </c>
      <c r="JI123" s="476">
        <v>0</v>
      </c>
      <c r="JJ123" s="476">
        <v>0</v>
      </c>
      <c r="JK123" s="476">
        <v>0</v>
      </c>
      <c r="JL123" s="476">
        <v>0</v>
      </c>
      <c r="JM123" s="476">
        <v>0</v>
      </c>
      <c r="JN123" s="476">
        <v>32469</v>
      </c>
      <c r="JO123" s="476">
        <v>0</v>
      </c>
      <c r="JP123" s="476">
        <v>0</v>
      </c>
      <c r="JQ123" s="476">
        <v>0</v>
      </c>
      <c r="JR123" s="476">
        <v>0</v>
      </c>
      <c r="JS123" s="476">
        <v>0</v>
      </c>
      <c r="JT123" s="476">
        <v>0</v>
      </c>
      <c r="JU123" s="476">
        <v>0</v>
      </c>
      <c r="JV123" s="476">
        <v>0</v>
      </c>
      <c r="JW123" s="476">
        <v>0</v>
      </c>
      <c r="JX123" s="476">
        <v>0</v>
      </c>
      <c r="JY123" s="476">
        <v>0</v>
      </c>
      <c r="JZ123" s="476">
        <v>0</v>
      </c>
      <c r="KA123" s="476">
        <v>0</v>
      </c>
      <c r="KB123" s="476">
        <v>0</v>
      </c>
      <c r="KC123" s="476">
        <v>0</v>
      </c>
      <c r="KD123" s="476">
        <v>0</v>
      </c>
      <c r="KE123" s="476">
        <v>7262</v>
      </c>
      <c r="KF123" s="476">
        <v>0</v>
      </c>
      <c r="KG123" s="476">
        <v>0</v>
      </c>
      <c r="KH123" s="476">
        <v>2179852</v>
      </c>
      <c r="KI123" s="476">
        <v>0</v>
      </c>
      <c r="KJ123" s="476">
        <v>0</v>
      </c>
      <c r="KK123" s="476">
        <v>0</v>
      </c>
      <c r="KL123" s="476">
        <v>0</v>
      </c>
      <c r="KM123" s="476">
        <v>0</v>
      </c>
      <c r="KN123" s="476">
        <v>0</v>
      </c>
    </row>
    <row r="124" spans="1:300" x14ac:dyDescent="0.25">
      <c r="A124" s="476">
        <v>40976</v>
      </c>
      <c r="B124" s="476">
        <v>101877</v>
      </c>
      <c r="C124" s="476">
        <v>9</v>
      </c>
      <c r="D124" s="476">
        <v>2024</v>
      </c>
      <c r="E124" s="476">
        <v>6160</v>
      </c>
      <c r="F124" s="476">
        <v>0</v>
      </c>
      <c r="G124" s="476">
        <v>93.388000000000005</v>
      </c>
      <c r="H124" s="476">
        <v>92.465000000000003</v>
      </c>
      <c r="I124" s="476">
        <v>92.465000000000003</v>
      </c>
      <c r="J124" s="476">
        <v>93.388000000000005</v>
      </c>
      <c r="K124" s="476">
        <v>0</v>
      </c>
      <c r="L124" s="476">
        <v>6160</v>
      </c>
      <c r="M124" s="476">
        <v>0</v>
      </c>
      <c r="N124" s="476">
        <v>0</v>
      </c>
      <c r="O124" s="476">
        <v>0</v>
      </c>
      <c r="P124" s="476">
        <v>93.388000000000005</v>
      </c>
      <c r="Q124" s="476">
        <v>0</v>
      </c>
      <c r="R124" s="476">
        <v>38745</v>
      </c>
      <c r="S124" s="476">
        <v>414.88400000000001</v>
      </c>
      <c r="T124" s="476">
        <v>0</v>
      </c>
      <c r="U124" s="476">
        <v>0</v>
      </c>
      <c r="V124" s="476">
        <v>0</v>
      </c>
      <c r="W124" s="476">
        <v>0</v>
      </c>
      <c r="X124" s="476">
        <v>0</v>
      </c>
      <c r="Y124" s="476">
        <v>0</v>
      </c>
      <c r="Z124" s="476">
        <v>0</v>
      </c>
      <c r="AA124" s="476">
        <v>0</v>
      </c>
      <c r="AB124" s="476">
        <v>0</v>
      </c>
      <c r="AC124" s="476">
        <v>0</v>
      </c>
      <c r="AD124" s="476" t="s">
        <v>314</v>
      </c>
      <c r="AE124" s="476">
        <v>0</v>
      </c>
      <c r="AF124" s="476">
        <v>0</v>
      </c>
      <c r="AG124" s="476">
        <v>0</v>
      </c>
      <c r="AH124" s="476">
        <v>0</v>
      </c>
      <c r="AI124" s="476">
        <v>0</v>
      </c>
      <c r="AJ124" s="476">
        <v>6160</v>
      </c>
      <c r="AK124" s="476" t="s">
        <v>651</v>
      </c>
      <c r="AL124" s="476" t="s">
        <v>539</v>
      </c>
      <c r="AM124" s="476">
        <v>0</v>
      </c>
      <c r="AN124" s="476">
        <v>0</v>
      </c>
      <c r="AO124" s="476">
        <v>0</v>
      </c>
      <c r="AP124" s="476">
        <v>0</v>
      </c>
      <c r="AQ124" s="476">
        <v>0</v>
      </c>
      <c r="AR124" s="476">
        <v>0</v>
      </c>
      <c r="AS124" s="476">
        <v>0</v>
      </c>
      <c r="AT124" s="476">
        <v>0</v>
      </c>
      <c r="AU124" s="476">
        <v>0</v>
      </c>
      <c r="AV124" s="476">
        <v>0</v>
      </c>
      <c r="AW124" s="476">
        <v>1032992</v>
      </c>
      <c r="AX124" s="476">
        <v>1033155</v>
      </c>
      <c r="AY124" s="476">
        <v>0</v>
      </c>
      <c r="AZ124" s="476">
        <v>38745</v>
      </c>
      <c r="BA124" s="476">
        <v>0</v>
      </c>
      <c r="BB124" s="476">
        <v>0</v>
      </c>
      <c r="BC124" s="476">
        <v>0</v>
      </c>
      <c r="BD124" s="476">
        <v>0</v>
      </c>
      <c r="BE124" s="476">
        <v>0</v>
      </c>
      <c r="BF124" s="476">
        <v>931535</v>
      </c>
      <c r="BG124" s="476">
        <v>0</v>
      </c>
      <c r="BH124" s="476">
        <v>0</v>
      </c>
      <c r="BI124" s="476">
        <v>0</v>
      </c>
      <c r="BJ124" s="476">
        <v>12</v>
      </c>
      <c r="BK124" s="476">
        <v>0</v>
      </c>
      <c r="BL124" s="476">
        <v>0</v>
      </c>
      <c r="BM124" s="476">
        <v>0</v>
      </c>
      <c r="BN124" s="476">
        <v>0</v>
      </c>
      <c r="BO124" s="476">
        <v>0</v>
      </c>
      <c r="BP124" s="476">
        <v>0</v>
      </c>
      <c r="BQ124" s="476">
        <v>756</v>
      </c>
      <c r="BR124" s="476">
        <v>0</v>
      </c>
      <c r="BS124" s="476">
        <v>0</v>
      </c>
      <c r="BT124" s="476">
        <v>0</v>
      </c>
      <c r="BU124" s="476">
        <v>0</v>
      </c>
      <c r="BV124" s="476">
        <v>0</v>
      </c>
      <c r="BW124" s="476">
        <v>0</v>
      </c>
      <c r="BX124" s="476">
        <v>0</v>
      </c>
      <c r="BY124" s="476">
        <v>0</v>
      </c>
      <c r="BZ124" s="476">
        <v>0</v>
      </c>
      <c r="CA124" s="476">
        <v>0</v>
      </c>
      <c r="CB124" s="476">
        <v>0</v>
      </c>
      <c r="CC124" s="476">
        <v>0</v>
      </c>
      <c r="CD124" s="476">
        <v>0</v>
      </c>
      <c r="CE124" s="476">
        <v>0</v>
      </c>
      <c r="CF124" s="476">
        <v>0</v>
      </c>
      <c r="CG124" s="476">
        <v>0</v>
      </c>
      <c r="CH124" s="476">
        <v>0</v>
      </c>
      <c r="CI124" s="476">
        <v>0</v>
      </c>
      <c r="CJ124" s="476">
        <v>4</v>
      </c>
      <c r="CK124" s="476">
        <v>0</v>
      </c>
      <c r="CL124" s="476">
        <v>0</v>
      </c>
      <c r="CM124" s="476">
        <v>0</v>
      </c>
      <c r="CN124" s="476">
        <v>0</v>
      </c>
      <c r="CO124" s="476">
        <v>1</v>
      </c>
      <c r="CP124" s="476">
        <v>0</v>
      </c>
      <c r="CQ124" s="476">
        <v>0</v>
      </c>
      <c r="CR124" s="476">
        <v>93.388000000000005</v>
      </c>
      <c r="CS124" s="476">
        <v>0</v>
      </c>
      <c r="CT124" s="476">
        <v>0</v>
      </c>
      <c r="CU124" s="476">
        <v>0</v>
      </c>
      <c r="CV124" s="476">
        <v>0</v>
      </c>
      <c r="CW124" s="476">
        <v>0</v>
      </c>
      <c r="CX124" s="476">
        <v>0</v>
      </c>
      <c r="CY124" s="476">
        <v>0</v>
      </c>
      <c r="CZ124" s="476">
        <v>0</v>
      </c>
      <c r="DA124" s="476">
        <v>0</v>
      </c>
      <c r="DB124" s="476">
        <v>569571</v>
      </c>
      <c r="DC124" s="476">
        <v>0</v>
      </c>
      <c r="DD124" s="476">
        <v>0</v>
      </c>
      <c r="DE124" s="476">
        <v>166316</v>
      </c>
      <c r="DF124" s="476">
        <v>166316</v>
      </c>
      <c r="DG124" s="476">
        <v>27</v>
      </c>
      <c r="DH124" s="476">
        <v>0</v>
      </c>
      <c r="DI124" s="476">
        <v>0</v>
      </c>
      <c r="DJ124" s="476">
        <v>0</v>
      </c>
      <c r="DK124" s="476">
        <v>3715</v>
      </c>
      <c r="DL124" s="476">
        <v>0</v>
      </c>
      <c r="DM124" s="476">
        <v>47488</v>
      </c>
      <c r="DN124" s="476">
        <v>163</v>
      </c>
      <c r="DO124" s="476">
        <v>0</v>
      </c>
      <c r="DP124" s="476">
        <v>0</v>
      </c>
      <c r="DQ124" s="476">
        <v>0</v>
      </c>
      <c r="DR124" s="476">
        <v>0</v>
      </c>
      <c r="DS124" s="476">
        <v>0</v>
      </c>
      <c r="DT124" s="476">
        <v>0</v>
      </c>
      <c r="DU124" s="476">
        <v>0</v>
      </c>
      <c r="DV124" s="476">
        <v>0</v>
      </c>
      <c r="DW124" s="476">
        <v>0</v>
      </c>
      <c r="DX124" s="476">
        <v>0</v>
      </c>
      <c r="DY124" s="476">
        <v>0</v>
      </c>
      <c r="DZ124" s="476">
        <v>0</v>
      </c>
      <c r="EA124" s="476">
        <v>0</v>
      </c>
      <c r="EB124" s="476">
        <v>0</v>
      </c>
      <c r="EC124" s="476">
        <v>4.1779999999999999</v>
      </c>
      <c r="ED124" s="476">
        <v>29596</v>
      </c>
      <c r="EE124" s="476">
        <v>0</v>
      </c>
      <c r="EF124" s="476">
        <v>0</v>
      </c>
      <c r="EG124" s="476">
        <v>0</v>
      </c>
      <c r="EH124" s="476">
        <v>18055</v>
      </c>
      <c r="EI124" s="476">
        <v>0</v>
      </c>
      <c r="EJ124" s="476">
        <v>0</v>
      </c>
      <c r="EK124" s="476">
        <v>0.84200000000000008</v>
      </c>
      <c r="EL124" s="476">
        <v>0</v>
      </c>
      <c r="EM124" s="476">
        <v>0</v>
      </c>
      <c r="EN124" s="476">
        <v>8.1000000000000003E-2</v>
      </c>
      <c r="EO124" s="476">
        <v>0</v>
      </c>
      <c r="EP124" s="476">
        <v>0</v>
      </c>
      <c r="EQ124" s="476">
        <v>0.92300000000000004</v>
      </c>
      <c r="ER124" s="476">
        <v>0</v>
      </c>
      <c r="ES124" s="476">
        <v>2.931</v>
      </c>
      <c r="ET124" s="476">
        <v>0</v>
      </c>
      <c r="EU124" s="476">
        <v>0</v>
      </c>
      <c r="EV124" s="476">
        <v>0</v>
      </c>
      <c r="EW124" s="476">
        <v>0</v>
      </c>
      <c r="EX124" s="476">
        <v>0</v>
      </c>
      <c r="EY124" s="476">
        <v>0</v>
      </c>
      <c r="EZ124" s="476">
        <v>892790</v>
      </c>
      <c r="FA124" s="476">
        <v>0</v>
      </c>
      <c r="FB124" s="476">
        <v>931372</v>
      </c>
      <c r="FC124" s="476">
        <v>0</v>
      </c>
      <c r="FD124" s="476">
        <v>0</v>
      </c>
      <c r="FE124" s="476">
        <v>120278</v>
      </c>
      <c r="FF124" s="476">
        <v>20087</v>
      </c>
      <c r="FG124" s="476">
        <v>6.3017999999999991E-2</v>
      </c>
      <c r="FH124" s="476">
        <v>2.6953999999999999E-2</v>
      </c>
      <c r="FI124" s="476">
        <v>0</v>
      </c>
      <c r="FJ124" s="476">
        <v>0</v>
      </c>
      <c r="FK124" s="476">
        <v>151.227</v>
      </c>
      <c r="FL124" s="476">
        <v>1071737</v>
      </c>
      <c r="FM124" s="476">
        <v>0</v>
      </c>
      <c r="FN124" s="476">
        <v>0</v>
      </c>
      <c r="FO124" s="476">
        <v>0</v>
      </c>
      <c r="FP124" s="476">
        <v>0</v>
      </c>
      <c r="FQ124" s="476">
        <v>0</v>
      </c>
      <c r="FR124" s="476">
        <v>0</v>
      </c>
      <c r="FS124" s="476">
        <v>0</v>
      </c>
      <c r="FT124" s="476">
        <v>0</v>
      </c>
      <c r="FU124" s="476">
        <v>0</v>
      </c>
      <c r="FV124" s="476">
        <v>0</v>
      </c>
      <c r="FW124" s="476">
        <v>0</v>
      </c>
      <c r="FX124" s="476">
        <v>0</v>
      </c>
      <c r="FY124" s="476">
        <v>0</v>
      </c>
      <c r="FZ124" s="476">
        <v>0</v>
      </c>
      <c r="GA124" s="476">
        <v>0</v>
      </c>
      <c r="GB124" s="476">
        <v>0</v>
      </c>
      <c r="GC124" s="476">
        <v>0</v>
      </c>
      <c r="GD124" s="476">
        <v>0</v>
      </c>
      <c r="GE124" s="476">
        <v>0</v>
      </c>
      <c r="GF124" s="476">
        <v>0</v>
      </c>
      <c r="GG124" s="476">
        <v>0</v>
      </c>
      <c r="GH124" s="476">
        <v>0</v>
      </c>
      <c r="GI124" s="476">
        <v>0</v>
      </c>
      <c r="GJ124" s="476">
        <v>0</v>
      </c>
      <c r="GK124" s="476">
        <v>0</v>
      </c>
      <c r="GL124" s="476">
        <v>0</v>
      </c>
      <c r="GM124" s="476">
        <v>0</v>
      </c>
      <c r="GN124" s="476">
        <v>0</v>
      </c>
      <c r="GO124" s="476">
        <v>0</v>
      </c>
      <c r="GP124" s="476">
        <v>0</v>
      </c>
      <c r="GQ124" s="476">
        <v>1032992</v>
      </c>
      <c r="GR124" s="476">
        <v>0</v>
      </c>
      <c r="GS124" s="476">
        <v>0</v>
      </c>
      <c r="GT124" s="476">
        <v>0</v>
      </c>
      <c r="GU124" s="476">
        <v>0</v>
      </c>
      <c r="GV124" s="476">
        <v>0</v>
      </c>
      <c r="GW124" s="476">
        <v>0</v>
      </c>
      <c r="GX124" s="476">
        <v>0</v>
      </c>
      <c r="GY124" s="476">
        <v>0</v>
      </c>
      <c r="GZ124" s="476">
        <v>0</v>
      </c>
      <c r="HA124" s="476">
        <v>0</v>
      </c>
      <c r="HB124" s="476">
        <v>0</v>
      </c>
      <c r="HC124" s="476">
        <v>4.2206E-2</v>
      </c>
      <c r="HD124" s="476">
        <v>0</v>
      </c>
      <c r="HE124" s="476">
        <v>0</v>
      </c>
      <c r="HF124" s="476">
        <v>101896</v>
      </c>
      <c r="HG124" s="476">
        <v>1232</v>
      </c>
      <c r="HH124" s="476">
        <v>43935</v>
      </c>
      <c r="HI124" s="476">
        <v>0</v>
      </c>
      <c r="HJ124" s="476">
        <v>934</v>
      </c>
      <c r="HK124" s="476">
        <v>0</v>
      </c>
      <c r="HL124" s="476">
        <v>0</v>
      </c>
      <c r="HM124" s="476">
        <v>0</v>
      </c>
      <c r="HN124" s="476">
        <v>0</v>
      </c>
      <c r="HO124" s="476">
        <v>0</v>
      </c>
      <c r="HP124" s="476">
        <v>0</v>
      </c>
      <c r="HQ124" s="476">
        <v>0</v>
      </c>
      <c r="HR124" s="476">
        <v>0</v>
      </c>
      <c r="HS124" s="476">
        <v>892627</v>
      </c>
      <c r="HT124" s="476">
        <v>20087</v>
      </c>
      <c r="HU124" s="476">
        <v>0</v>
      </c>
      <c r="HV124" s="476">
        <v>0</v>
      </c>
      <c r="HW124" s="476">
        <v>0</v>
      </c>
      <c r="HX124" s="476">
        <v>14</v>
      </c>
      <c r="HY124" s="476">
        <v>10</v>
      </c>
      <c r="HZ124" s="476">
        <v>10</v>
      </c>
      <c r="IA124" s="476">
        <v>22</v>
      </c>
      <c r="IB124" s="476">
        <v>48</v>
      </c>
      <c r="IC124" s="476">
        <v>104</v>
      </c>
      <c r="ID124" s="476">
        <v>0</v>
      </c>
      <c r="IE124" s="476">
        <v>0</v>
      </c>
      <c r="IF124" s="476">
        <v>0</v>
      </c>
      <c r="IG124" s="476">
        <v>2</v>
      </c>
      <c r="IH124" s="476">
        <v>71.325000000000003</v>
      </c>
      <c r="II124" s="476">
        <v>0</v>
      </c>
      <c r="IJ124" s="476">
        <v>0</v>
      </c>
      <c r="IK124" s="476">
        <v>0</v>
      </c>
      <c r="IL124" s="476">
        <v>0</v>
      </c>
      <c r="IM124" s="476">
        <v>0</v>
      </c>
      <c r="IN124" s="476">
        <v>0</v>
      </c>
      <c r="IO124" s="476">
        <v>0</v>
      </c>
      <c r="IP124" s="476">
        <v>0</v>
      </c>
      <c r="IQ124" s="476">
        <v>0</v>
      </c>
      <c r="IR124" s="476">
        <v>0</v>
      </c>
      <c r="IS124" s="476">
        <v>0</v>
      </c>
      <c r="IT124" s="476">
        <v>0</v>
      </c>
      <c r="IU124" s="476">
        <v>0</v>
      </c>
      <c r="IV124" s="476">
        <v>0</v>
      </c>
      <c r="IW124" s="476">
        <v>6160</v>
      </c>
      <c r="IX124" s="476">
        <v>0</v>
      </c>
      <c r="IY124" s="476">
        <v>0</v>
      </c>
      <c r="IZ124" s="476">
        <v>0</v>
      </c>
      <c r="JA124" s="476">
        <v>0</v>
      </c>
      <c r="JB124" s="476">
        <v>0</v>
      </c>
      <c r="JC124" s="476">
        <v>0</v>
      </c>
      <c r="JD124" s="476">
        <v>0</v>
      </c>
      <c r="JE124" s="476">
        <v>0</v>
      </c>
      <c r="JF124" s="476">
        <v>0</v>
      </c>
      <c r="JG124" s="476">
        <v>0</v>
      </c>
      <c r="JH124" s="476">
        <v>0</v>
      </c>
      <c r="JI124" s="476">
        <v>0</v>
      </c>
      <c r="JJ124" s="476">
        <v>0</v>
      </c>
      <c r="JK124" s="476">
        <v>0</v>
      </c>
      <c r="JL124" s="476">
        <v>0</v>
      </c>
      <c r="JM124" s="476">
        <v>0</v>
      </c>
      <c r="JN124" s="476">
        <v>0</v>
      </c>
      <c r="JO124" s="476">
        <v>0</v>
      </c>
      <c r="JP124" s="476">
        <v>0</v>
      </c>
      <c r="JQ124" s="476">
        <v>0</v>
      </c>
      <c r="JR124" s="476">
        <v>0</v>
      </c>
      <c r="JS124" s="476">
        <v>0</v>
      </c>
      <c r="JT124" s="476">
        <v>0</v>
      </c>
      <c r="JU124" s="476">
        <v>0</v>
      </c>
      <c r="JV124" s="476">
        <v>0</v>
      </c>
      <c r="JW124" s="476">
        <v>0</v>
      </c>
      <c r="JX124" s="476">
        <v>0</v>
      </c>
      <c r="JY124" s="476">
        <v>0</v>
      </c>
      <c r="JZ124" s="476">
        <v>0</v>
      </c>
      <c r="KA124" s="476">
        <v>0</v>
      </c>
      <c r="KB124" s="476">
        <v>0</v>
      </c>
      <c r="KC124" s="476">
        <v>0</v>
      </c>
      <c r="KD124" s="476">
        <v>0</v>
      </c>
      <c r="KE124" s="476">
        <v>7262</v>
      </c>
      <c r="KF124" s="476">
        <v>0</v>
      </c>
      <c r="KG124" s="476">
        <v>0</v>
      </c>
      <c r="KH124" s="476">
        <v>1032992</v>
      </c>
      <c r="KI124" s="476">
        <v>0</v>
      </c>
      <c r="KJ124" s="476">
        <v>2</v>
      </c>
      <c r="KK124" s="476">
        <v>0</v>
      </c>
      <c r="KL124" s="476">
        <v>1232</v>
      </c>
      <c r="KM124" s="476">
        <v>0</v>
      </c>
      <c r="KN124" s="476">
        <v>0</v>
      </c>
    </row>
    <row r="125" spans="1:300" x14ac:dyDescent="0.25">
      <c r="A125" s="476">
        <v>40976</v>
      </c>
      <c r="B125" s="476">
        <v>101878</v>
      </c>
      <c r="C125" s="476">
        <v>9</v>
      </c>
      <c r="D125" s="476">
        <v>2024</v>
      </c>
      <c r="E125" s="476">
        <v>6160</v>
      </c>
      <c r="F125" s="476">
        <v>0</v>
      </c>
      <c r="G125" s="476">
        <v>165.315</v>
      </c>
      <c r="H125" s="476">
        <v>162.49600000000001</v>
      </c>
      <c r="I125" s="476">
        <v>162.49600000000001</v>
      </c>
      <c r="J125" s="476">
        <v>165.315</v>
      </c>
      <c r="K125" s="476">
        <v>0</v>
      </c>
      <c r="L125" s="476">
        <v>6160</v>
      </c>
      <c r="M125" s="476">
        <v>0</v>
      </c>
      <c r="N125" s="476">
        <v>0</v>
      </c>
      <c r="O125" s="476">
        <v>0</v>
      </c>
      <c r="P125" s="476">
        <v>165.768</v>
      </c>
      <c r="Q125" s="476">
        <v>0</v>
      </c>
      <c r="R125" s="476">
        <v>68774</v>
      </c>
      <c r="S125" s="476">
        <v>414.88400000000001</v>
      </c>
      <c r="T125" s="476">
        <v>0</v>
      </c>
      <c r="U125" s="476">
        <v>0</v>
      </c>
      <c r="V125" s="476">
        <v>20.868000000000002</v>
      </c>
      <c r="W125" s="476">
        <v>12854</v>
      </c>
      <c r="X125" s="476">
        <v>12854</v>
      </c>
      <c r="Y125" s="476">
        <v>0</v>
      </c>
      <c r="Z125" s="476">
        <v>0</v>
      </c>
      <c r="AA125" s="476">
        <v>0</v>
      </c>
      <c r="AB125" s="476">
        <v>0</v>
      </c>
      <c r="AC125" s="476">
        <v>0</v>
      </c>
      <c r="AD125" s="476" t="s">
        <v>314</v>
      </c>
      <c r="AE125" s="476">
        <v>0</v>
      </c>
      <c r="AF125" s="476">
        <v>0</v>
      </c>
      <c r="AG125" s="476">
        <v>0</v>
      </c>
      <c r="AH125" s="476">
        <v>0</v>
      </c>
      <c r="AI125" s="476">
        <v>0</v>
      </c>
      <c r="AJ125" s="476">
        <v>6160</v>
      </c>
      <c r="AK125" s="476" t="s">
        <v>651</v>
      </c>
      <c r="AL125" s="476" t="s">
        <v>540</v>
      </c>
      <c r="AM125" s="476">
        <v>0</v>
      </c>
      <c r="AN125" s="476">
        <v>0</v>
      </c>
      <c r="AO125" s="476">
        <v>0</v>
      </c>
      <c r="AP125" s="476">
        <v>0</v>
      </c>
      <c r="AQ125" s="476">
        <v>0</v>
      </c>
      <c r="AR125" s="476">
        <v>0</v>
      </c>
      <c r="AS125" s="476">
        <v>0</v>
      </c>
      <c r="AT125" s="476">
        <v>0</v>
      </c>
      <c r="AU125" s="476">
        <v>0</v>
      </c>
      <c r="AV125" s="476">
        <v>0</v>
      </c>
      <c r="AW125" s="476">
        <v>1761720</v>
      </c>
      <c r="AX125" s="476">
        <v>1762100</v>
      </c>
      <c r="AY125" s="476">
        <v>0</v>
      </c>
      <c r="AZ125" s="476">
        <v>68774</v>
      </c>
      <c r="BA125" s="476">
        <v>0</v>
      </c>
      <c r="BB125" s="476">
        <v>0</v>
      </c>
      <c r="BC125" s="476">
        <v>0</v>
      </c>
      <c r="BD125" s="476">
        <v>0</v>
      </c>
      <c r="BE125" s="476">
        <v>0</v>
      </c>
      <c r="BF125" s="476">
        <v>1581141</v>
      </c>
      <c r="BG125" s="476">
        <v>0</v>
      </c>
      <c r="BH125" s="476">
        <v>0</v>
      </c>
      <c r="BI125" s="476">
        <v>0</v>
      </c>
      <c r="BJ125" s="476">
        <v>12</v>
      </c>
      <c r="BK125" s="476">
        <v>0</v>
      </c>
      <c r="BL125" s="476">
        <v>0</v>
      </c>
      <c r="BM125" s="476">
        <v>0</v>
      </c>
      <c r="BN125" s="476">
        <v>0</v>
      </c>
      <c r="BO125" s="476">
        <v>0</v>
      </c>
      <c r="BP125" s="476">
        <v>0</v>
      </c>
      <c r="BQ125" s="476">
        <v>745</v>
      </c>
      <c r="BR125" s="476">
        <v>0</v>
      </c>
      <c r="BS125" s="476">
        <v>0</v>
      </c>
      <c r="BT125" s="476">
        <v>0</v>
      </c>
      <c r="BU125" s="476">
        <v>0</v>
      </c>
      <c r="BV125" s="476">
        <v>0</v>
      </c>
      <c r="BW125" s="476">
        <v>0</v>
      </c>
      <c r="BX125" s="476">
        <v>0</v>
      </c>
      <c r="BY125" s="476">
        <v>0</v>
      </c>
      <c r="BZ125" s="476">
        <v>0</v>
      </c>
      <c r="CA125" s="476">
        <v>0</v>
      </c>
      <c r="CB125" s="476">
        <v>0</v>
      </c>
      <c r="CC125" s="476">
        <v>0</v>
      </c>
      <c r="CD125" s="476">
        <v>0</v>
      </c>
      <c r="CE125" s="476">
        <v>0</v>
      </c>
      <c r="CF125" s="476">
        <v>0</v>
      </c>
      <c r="CG125" s="476">
        <v>0</v>
      </c>
      <c r="CH125" s="476">
        <v>0</v>
      </c>
      <c r="CI125" s="476">
        <v>0</v>
      </c>
      <c r="CJ125" s="476">
        <v>4</v>
      </c>
      <c r="CK125" s="476">
        <v>0</v>
      </c>
      <c r="CL125" s="476">
        <v>0</v>
      </c>
      <c r="CM125" s="476">
        <v>0</v>
      </c>
      <c r="CN125" s="476">
        <v>0</v>
      </c>
      <c r="CO125" s="476">
        <v>1</v>
      </c>
      <c r="CP125" s="476">
        <v>0</v>
      </c>
      <c r="CQ125" s="476">
        <v>0</v>
      </c>
      <c r="CR125" s="476">
        <v>165.315</v>
      </c>
      <c r="CS125" s="476">
        <v>0</v>
      </c>
      <c r="CT125" s="476">
        <v>0</v>
      </c>
      <c r="CU125" s="476">
        <v>0</v>
      </c>
      <c r="CV125" s="476">
        <v>0</v>
      </c>
      <c r="CW125" s="476">
        <v>0</v>
      </c>
      <c r="CX125" s="476">
        <v>0</v>
      </c>
      <c r="CY125" s="476">
        <v>0</v>
      </c>
      <c r="CZ125" s="476">
        <v>0</v>
      </c>
      <c r="DA125" s="476">
        <v>0</v>
      </c>
      <c r="DB125" s="476">
        <v>1000953</v>
      </c>
      <c r="DC125" s="476">
        <v>0</v>
      </c>
      <c r="DD125" s="476">
        <v>0</v>
      </c>
      <c r="DE125" s="476">
        <v>191649</v>
      </c>
      <c r="DF125" s="476">
        <v>191649</v>
      </c>
      <c r="DG125" s="476">
        <v>31.113000000000003</v>
      </c>
      <c r="DH125" s="476">
        <v>0</v>
      </c>
      <c r="DI125" s="476">
        <v>0</v>
      </c>
      <c r="DJ125" s="476">
        <v>0</v>
      </c>
      <c r="DK125" s="476">
        <v>3542</v>
      </c>
      <c r="DL125" s="476">
        <v>0</v>
      </c>
      <c r="DM125" s="476">
        <v>110590</v>
      </c>
      <c r="DN125" s="476">
        <v>380</v>
      </c>
      <c r="DO125" s="476">
        <v>0</v>
      </c>
      <c r="DP125" s="476">
        <v>0</v>
      </c>
      <c r="DQ125" s="476">
        <v>0</v>
      </c>
      <c r="DR125" s="476">
        <v>0</v>
      </c>
      <c r="DS125" s="476">
        <v>0</v>
      </c>
      <c r="DT125" s="476">
        <v>0</v>
      </c>
      <c r="DU125" s="476">
        <v>0</v>
      </c>
      <c r="DV125" s="476">
        <v>0</v>
      </c>
      <c r="DW125" s="476">
        <v>0</v>
      </c>
      <c r="DX125" s="476">
        <v>0</v>
      </c>
      <c r="DY125" s="476">
        <v>0</v>
      </c>
      <c r="DZ125" s="476">
        <v>0</v>
      </c>
      <c r="EA125" s="476">
        <v>0</v>
      </c>
      <c r="EB125" s="476">
        <v>0</v>
      </c>
      <c r="EC125" s="476">
        <v>7.68</v>
      </c>
      <c r="ED125" s="476">
        <v>54404</v>
      </c>
      <c r="EE125" s="476">
        <v>0</v>
      </c>
      <c r="EF125" s="476">
        <v>0</v>
      </c>
      <c r="EG125" s="476">
        <v>0</v>
      </c>
      <c r="EH125" s="476">
        <v>56566</v>
      </c>
      <c r="EI125" s="476">
        <v>0</v>
      </c>
      <c r="EJ125" s="476">
        <v>0</v>
      </c>
      <c r="EK125" s="476">
        <v>2.456</v>
      </c>
      <c r="EL125" s="476">
        <v>0</v>
      </c>
      <c r="EM125" s="476">
        <v>0</v>
      </c>
      <c r="EN125" s="476">
        <v>0.36300000000000004</v>
      </c>
      <c r="EO125" s="476">
        <v>0</v>
      </c>
      <c r="EP125" s="476">
        <v>0</v>
      </c>
      <c r="EQ125" s="476">
        <v>2.819</v>
      </c>
      <c r="ER125" s="476">
        <v>0</v>
      </c>
      <c r="ES125" s="476">
        <v>9.1829999999999998</v>
      </c>
      <c r="ET125" s="476">
        <v>0</v>
      </c>
      <c r="EU125" s="476">
        <v>0</v>
      </c>
      <c r="EV125" s="476">
        <v>0</v>
      </c>
      <c r="EW125" s="476">
        <v>0</v>
      </c>
      <c r="EX125" s="476">
        <v>0</v>
      </c>
      <c r="EY125" s="476">
        <v>0</v>
      </c>
      <c r="EZ125" s="476">
        <v>1523851</v>
      </c>
      <c r="FA125" s="476">
        <v>0</v>
      </c>
      <c r="FB125" s="476">
        <v>1592245</v>
      </c>
      <c r="FC125" s="476">
        <v>0</v>
      </c>
      <c r="FD125" s="476">
        <v>0</v>
      </c>
      <c r="FE125" s="476">
        <v>204154</v>
      </c>
      <c r="FF125" s="476">
        <v>34095</v>
      </c>
      <c r="FG125" s="476">
        <v>6.3017999999999991E-2</v>
      </c>
      <c r="FH125" s="476">
        <v>2.6953999999999999E-2</v>
      </c>
      <c r="FI125" s="476">
        <v>0</v>
      </c>
      <c r="FJ125" s="476">
        <v>0</v>
      </c>
      <c r="FK125" s="476">
        <v>256.685</v>
      </c>
      <c r="FL125" s="476">
        <v>1830494</v>
      </c>
      <c r="FM125" s="476">
        <v>0</v>
      </c>
      <c r="FN125" s="476">
        <v>0</v>
      </c>
      <c r="FO125" s="476">
        <v>11484</v>
      </c>
      <c r="FP125" s="476">
        <v>0</v>
      </c>
      <c r="FQ125" s="476">
        <v>11484</v>
      </c>
      <c r="FR125" s="476">
        <v>11484</v>
      </c>
      <c r="FS125" s="476">
        <v>0</v>
      </c>
      <c r="FT125" s="476">
        <v>0</v>
      </c>
      <c r="FU125" s="476">
        <v>0</v>
      </c>
      <c r="FV125" s="476">
        <v>0</v>
      </c>
      <c r="FW125" s="476">
        <v>0</v>
      </c>
      <c r="FX125" s="476">
        <v>0</v>
      </c>
      <c r="FY125" s="476">
        <v>0</v>
      </c>
      <c r="FZ125" s="476">
        <v>0</v>
      </c>
      <c r="GA125" s="476">
        <v>0</v>
      </c>
      <c r="GB125" s="476">
        <v>0</v>
      </c>
      <c r="GC125" s="476">
        <v>0</v>
      </c>
      <c r="GD125" s="476">
        <v>0</v>
      </c>
      <c r="GE125" s="476">
        <v>0</v>
      </c>
      <c r="GF125" s="476">
        <v>0</v>
      </c>
      <c r="GG125" s="476">
        <v>0</v>
      </c>
      <c r="GH125" s="476">
        <v>0</v>
      </c>
      <c r="GI125" s="476">
        <v>0</v>
      </c>
      <c r="GJ125" s="476">
        <v>0</v>
      </c>
      <c r="GK125" s="476">
        <v>0</v>
      </c>
      <c r="GL125" s="476">
        <v>0</v>
      </c>
      <c r="GM125" s="476">
        <v>0</v>
      </c>
      <c r="GN125" s="476">
        <v>0</v>
      </c>
      <c r="GO125" s="476">
        <v>0</v>
      </c>
      <c r="GP125" s="476">
        <v>0</v>
      </c>
      <c r="GQ125" s="476">
        <v>1761720</v>
      </c>
      <c r="GR125" s="476">
        <v>0</v>
      </c>
      <c r="GS125" s="476">
        <v>0</v>
      </c>
      <c r="GT125" s="476">
        <v>0</v>
      </c>
      <c r="GU125" s="476">
        <v>0</v>
      </c>
      <c r="GV125" s="476">
        <v>0</v>
      </c>
      <c r="GW125" s="476">
        <v>0</v>
      </c>
      <c r="GX125" s="476">
        <v>0</v>
      </c>
      <c r="GY125" s="476">
        <v>0</v>
      </c>
      <c r="GZ125" s="476">
        <v>0</v>
      </c>
      <c r="HA125" s="476">
        <v>0</v>
      </c>
      <c r="HB125" s="476">
        <v>0</v>
      </c>
      <c r="HC125" s="476">
        <v>4.2206E-2</v>
      </c>
      <c r="HD125" s="476">
        <v>0</v>
      </c>
      <c r="HE125" s="476">
        <v>0</v>
      </c>
      <c r="HF125" s="476">
        <v>179071</v>
      </c>
      <c r="HG125" s="476">
        <v>0</v>
      </c>
      <c r="HH125" s="476">
        <v>83991</v>
      </c>
      <c r="HI125" s="476">
        <v>0</v>
      </c>
      <c r="HJ125" s="476">
        <v>1653</v>
      </c>
      <c r="HK125" s="476">
        <v>0</v>
      </c>
      <c r="HL125" s="476">
        <v>0</v>
      </c>
      <c r="HM125" s="476">
        <v>0</v>
      </c>
      <c r="HN125" s="476">
        <v>0</v>
      </c>
      <c r="HO125" s="476">
        <v>0</v>
      </c>
      <c r="HP125" s="476">
        <v>0</v>
      </c>
      <c r="HQ125" s="476">
        <v>0</v>
      </c>
      <c r="HR125" s="476">
        <v>0</v>
      </c>
      <c r="HS125" s="476">
        <v>1523471</v>
      </c>
      <c r="HT125" s="476">
        <v>34095</v>
      </c>
      <c r="HU125" s="476">
        <v>0</v>
      </c>
      <c r="HV125" s="476">
        <v>0</v>
      </c>
      <c r="HW125" s="476">
        <v>0</v>
      </c>
      <c r="HX125" s="476">
        <v>31</v>
      </c>
      <c r="HY125" s="476">
        <v>20</v>
      </c>
      <c r="HZ125" s="476">
        <v>22</v>
      </c>
      <c r="IA125" s="476">
        <v>33</v>
      </c>
      <c r="IB125" s="476">
        <v>19</v>
      </c>
      <c r="IC125" s="476">
        <v>125</v>
      </c>
      <c r="ID125" s="476">
        <v>0</v>
      </c>
      <c r="IE125" s="476">
        <v>0</v>
      </c>
      <c r="IF125" s="476">
        <v>0</v>
      </c>
      <c r="IG125" s="476">
        <v>0</v>
      </c>
      <c r="IH125" s="476">
        <v>136.352</v>
      </c>
      <c r="II125" s="476">
        <v>0</v>
      </c>
      <c r="IJ125" s="476">
        <v>20.868000000000002</v>
      </c>
      <c r="IK125" s="476">
        <v>0</v>
      </c>
      <c r="IL125" s="476">
        <v>0</v>
      </c>
      <c r="IM125" s="476">
        <v>0</v>
      </c>
      <c r="IN125" s="476">
        <v>0</v>
      </c>
      <c r="IO125" s="476">
        <v>0</v>
      </c>
      <c r="IP125" s="476">
        <v>0</v>
      </c>
      <c r="IQ125" s="476">
        <v>20.868000000000002</v>
      </c>
      <c r="IR125" s="476">
        <v>12854</v>
      </c>
      <c r="IS125" s="476">
        <v>0</v>
      </c>
      <c r="IT125" s="476">
        <v>0</v>
      </c>
      <c r="IU125" s="476">
        <v>0</v>
      </c>
      <c r="IV125" s="476">
        <v>0</v>
      </c>
      <c r="IW125" s="476">
        <v>6160</v>
      </c>
      <c r="IX125" s="476">
        <v>0</v>
      </c>
      <c r="IY125" s="476">
        <v>0</v>
      </c>
      <c r="IZ125" s="476">
        <v>0</v>
      </c>
      <c r="JA125" s="476">
        <v>0</v>
      </c>
      <c r="JB125" s="476">
        <v>0</v>
      </c>
      <c r="JC125" s="476">
        <v>0</v>
      </c>
      <c r="JD125" s="476">
        <v>0</v>
      </c>
      <c r="JE125" s="476">
        <v>0</v>
      </c>
      <c r="JF125" s="476">
        <v>0</v>
      </c>
      <c r="JG125" s="476">
        <v>0</v>
      </c>
      <c r="JH125" s="476">
        <v>0</v>
      </c>
      <c r="JI125" s="476">
        <v>0</v>
      </c>
      <c r="JJ125" s="476">
        <v>0</v>
      </c>
      <c r="JK125" s="476">
        <v>0</v>
      </c>
      <c r="JL125" s="476">
        <v>0</v>
      </c>
      <c r="JM125" s="476">
        <v>0</v>
      </c>
      <c r="JN125" s="476">
        <v>0</v>
      </c>
      <c r="JO125" s="476">
        <v>0</v>
      </c>
      <c r="JP125" s="476">
        <v>0</v>
      </c>
      <c r="JQ125" s="476">
        <v>0</v>
      </c>
      <c r="JR125" s="476">
        <v>0</v>
      </c>
      <c r="JS125" s="476">
        <v>0</v>
      </c>
      <c r="JT125" s="476">
        <v>0</v>
      </c>
      <c r="JU125" s="476">
        <v>0</v>
      </c>
      <c r="JV125" s="476">
        <v>0</v>
      </c>
      <c r="JW125" s="476">
        <v>0</v>
      </c>
      <c r="JX125" s="476">
        <v>0</v>
      </c>
      <c r="JY125" s="476">
        <v>0</v>
      </c>
      <c r="JZ125" s="476">
        <v>0</v>
      </c>
      <c r="KA125" s="476">
        <v>0</v>
      </c>
      <c r="KB125" s="476">
        <v>0</v>
      </c>
      <c r="KC125" s="476">
        <v>0</v>
      </c>
      <c r="KD125" s="476">
        <v>0</v>
      </c>
      <c r="KE125" s="476">
        <v>7262</v>
      </c>
      <c r="KF125" s="476">
        <v>0</v>
      </c>
      <c r="KG125" s="476">
        <v>0</v>
      </c>
      <c r="KH125" s="476">
        <v>1761720</v>
      </c>
      <c r="KI125" s="476">
        <v>0</v>
      </c>
      <c r="KJ125" s="476">
        <v>0</v>
      </c>
      <c r="KK125" s="476">
        <v>0</v>
      </c>
      <c r="KL125" s="476">
        <v>0</v>
      </c>
      <c r="KM125" s="476">
        <v>0</v>
      </c>
      <c r="KN125" s="476">
        <v>0</v>
      </c>
    </row>
    <row r="126" spans="1:300" x14ac:dyDescent="0.25">
      <c r="A126" s="476">
        <v>40976</v>
      </c>
      <c r="B126" s="476">
        <v>105801</v>
      </c>
      <c r="C126" s="476">
        <v>9</v>
      </c>
      <c r="D126" s="476">
        <v>2024</v>
      </c>
      <c r="E126" s="476">
        <v>6160</v>
      </c>
      <c r="F126" s="476">
        <v>0</v>
      </c>
      <c r="G126" s="476">
        <v>81.328000000000003</v>
      </c>
      <c r="H126" s="476">
        <v>71.435000000000002</v>
      </c>
      <c r="I126" s="476">
        <v>71.435000000000002</v>
      </c>
      <c r="J126" s="476">
        <v>81.328000000000003</v>
      </c>
      <c r="K126" s="476">
        <v>0</v>
      </c>
      <c r="L126" s="476">
        <v>6160</v>
      </c>
      <c r="M126" s="476">
        <v>0</v>
      </c>
      <c r="N126" s="476">
        <v>0</v>
      </c>
      <c r="O126" s="476">
        <v>0</v>
      </c>
      <c r="P126" s="476">
        <v>81.328000000000003</v>
      </c>
      <c r="Q126" s="476">
        <v>0</v>
      </c>
      <c r="R126" s="476">
        <v>33742</v>
      </c>
      <c r="S126" s="476">
        <v>414.88400000000001</v>
      </c>
      <c r="T126" s="476">
        <v>0</v>
      </c>
      <c r="U126" s="476">
        <v>0</v>
      </c>
      <c r="V126" s="476">
        <v>0</v>
      </c>
      <c r="W126" s="476">
        <v>0</v>
      </c>
      <c r="X126" s="476">
        <v>0</v>
      </c>
      <c r="Y126" s="476">
        <v>0</v>
      </c>
      <c r="Z126" s="476">
        <v>0</v>
      </c>
      <c r="AA126" s="476">
        <v>0</v>
      </c>
      <c r="AB126" s="476">
        <v>0</v>
      </c>
      <c r="AC126" s="476">
        <v>0</v>
      </c>
      <c r="AD126" s="476" t="s">
        <v>314</v>
      </c>
      <c r="AE126" s="476">
        <v>0</v>
      </c>
      <c r="AF126" s="476">
        <v>0</v>
      </c>
      <c r="AG126" s="476">
        <v>0</v>
      </c>
      <c r="AH126" s="476">
        <v>0</v>
      </c>
      <c r="AI126" s="476">
        <v>0</v>
      </c>
      <c r="AJ126" s="476">
        <v>6160</v>
      </c>
      <c r="AK126" s="476" t="s">
        <v>651</v>
      </c>
      <c r="AL126" s="476" t="s">
        <v>34</v>
      </c>
      <c r="AM126" s="476">
        <v>0</v>
      </c>
      <c r="AN126" s="476">
        <v>0</v>
      </c>
      <c r="AO126" s="476">
        <v>0</v>
      </c>
      <c r="AP126" s="476">
        <v>0</v>
      </c>
      <c r="AQ126" s="476">
        <v>0</v>
      </c>
      <c r="AR126" s="476">
        <v>0</v>
      </c>
      <c r="AS126" s="476">
        <v>0</v>
      </c>
      <c r="AT126" s="476">
        <v>0</v>
      </c>
      <c r="AU126" s="476">
        <v>0</v>
      </c>
      <c r="AV126" s="476">
        <v>0</v>
      </c>
      <c r="AW126" s="476">
        <v>892421</v>
      </c>
      <c r="AX126" s="476">
        <v>864721</v>
      </c>
      <c r="AY126" s="476">
        <v>0</v>
      </c>
      <c r="AZ126" s="476">
        <v>33742</v>
      </c>
      <c r="BA126" s="476">
        <v>8.1669999999999998</v>
      </c>
      <c r="BB126" s="476">
        <v>0</v>
      </c>
      <c r="BC126" s="476">
        <v>0</v>
      </c>
      <c r="BD126" s="476">
        <v>0</v>
      </c>
      <c r="BE126" s="476">
        <v>0</v>
      </c>
      <c r="BF126" s="476">
        <v>779716</v>
      </c>
      <c r="BG126" s="476">
        <v>0</v>
      </c>
      <c r="BH126" s="476">
        <v>0</v>
      </c>
      <c r="BI126" s="476">
        <v>0</v>
      </c>
      <c r="BJ126" s="476">
        <v>12</v>
      </c>
      <c r="BK126" s="476">
        <v>0</v>
      </c>
      <c r="BL126" s="476">
        <v>0</v>
      </c>
      <c r="BM126" s="476">
        <v>0</v>
      </c>
      <c r="BN126" s="476">
        <v>0</v>
      </c>
      <c r="BO126" s="476">
        <v>0</v>
      </c>
      <c r="BP126" s="476">
        <v>0</v>
      </c>
      <c r="BQ126" s="476">
        <v>759</v>
      </c>
      <c r="BR126" s="476">
        <v>0</v>
      </c>
      <c r="BS126" s="476">
        <v>0</v>
      </c>
      <c r="BT126" s="476">
        <v>0</v>
      </c>
      <c r="BU126" s="476">
        <v>0</v>
      </c>
      <c r="BV126" s="476">
        <v>0</v>
      </c>
      <c r="BW126" s="476">
        <v>0</v>
      </c>
      <c r="BX126" s="476">
        <v>0</v>
      </c>
      <c r="BY126" s="476">
        <v>0</v>
      </c>
      <c r="BZ126" s="476">
        <v>0</v>
      </c>
      <c r="CA126" s="476">
        <v>0</v>
      </c>
      <c r="CB126" s="476">
        <v>0</v>
      </c>
      <c r="CC126" s="476">
        <v>0</v>
      </c>
      <c r="CD126" s="476">
        <v>0</v>
      </c>
      <c r="CE126" s="476">
        <v>0</v>
      </c>
      <c r="CF126" s="476">
        <v>0</v>
      </c>
      <c r="CG126" s="476">
        <v>0</v>
      </c>
      <c r="CH126" s="476">
        <v>28167</v>
      </c>
      <c r="CI126" s="476">
        <v>0</v>
      </c>
      <c r="CJ126" s="476">
        <v>4</v>
      </c>
      <c r="CK126" s="476">
        <v>0</v>
      </c>
      <c r="CL126" s="476">
        <v>0</v>
      </c>
      <c r="CM126" s="476">
        <v>0</v>
      </c>
      <c r="CN126" s="476">
        <v>0</v>
      </c>
      <c r="CO126" s="476">
        <v>1</v>
      </c>
      <c r="CP126" s="476">
        <v>0</v>
      </c>
      <c r="CQ126" s="476">
        <v>5</v>
      </c>
      <c r="CR126" s="476">
        <v>81.328000000000003</v>
      </c>
      <c r="CS126" s="476">
        <v>0</v>
      </c>
      <c r="CT126" s="476">
        <v>0</v>
      </c>
      <c r="CU126" s="476">
        <v>0</v>
      </c>
      <c r="CV126" s="476">
        <v>0</v>
      </c>
      <c r="CW126" s="476">
        <v>0</v>
      </c>
      <c r="CX126" s="476">
        <v>0</v>
      </c>
      <c r="CY126" s="476">
        <v>0</v>
      </c>
      <c r="CZ126" s="476">
        <v>0</v>
      </c>
      <c r="DA126" s="476">
        <v>0</v>
      </c>
      <c r="DB126" s="476">
        <v>435667</v>
      </c>
      <c r="DC126" s="476">
        <v>0</v>
      </c>
      <c r="DD126" s="476">
        <v>0</v>
      </c>
      <c r="DE126" s="476">
        <v>38653</v>
      </c>
      <c r="DF126" s="476">
        <v>38653</v>
      </c>
      <c r="DG126" s="476">
        <v>6.2750000000000004</v>
      </c>
      <c r="DH126" s="476">
        <v>0</v>
      </c>
      <c r="DI126" s="476">
        <v>0</v>
      </c>
      <c r="DJ126" s="476">
        <v>0</v>
      </c>
      <c r="DK126" s="476">
        <v>3766</v>
      </c>
      <c r="DL126" s="476">
        <v>0</v>
      </c>
      <c r="DM126" s="476">
        <v>140137</v>
      </c>
      <c r="DN126" s="476">
        <v>467</v>
      </c>
      <c r="DO126" s="476">
        <v>0</v>
      </c>
      <c r="DP126" s="476">
        <v>0</v>
      </c>
      <c r="DQ126" s="476">
        <v>0</v>
      </c>
      <c r="DR126" s="476">
        <v>0</v>
      </c>
      <c r="DS126" s="476">
        <v>0</v>
      </c>
      <c r="DT126" s="476">
        <v>0</v>
      </c>
      <c r="DU126" s="476">
        <v>0</v>
      </c>
      <c r="DV126" s="476">
        <v>0</v>
      </c>
      <c r="DW126" s="476">
        <v>0</v>
      </c>
      <c r="DX126" s="476">
        <v>0</v>
      </c>
      <c r="DY126" s="476">
        <v>0</v>
      </c>
      <c r="DZ126" s="476">
        <v>0</v>
      </c>
      <c r="EA126" s="476">
        <v>0</v>
      </c>
      <c r="EB126" s="476">
        <v>0</v>
      </c>
      <c r="EC126" s="476">
        <v>15.203000000000001</v>
      </c>
      <c r="ED126" s="476">
        <v>107696</v>
      </c>
      <c r="EE126" s="476">
        <v>0</v>
      </c>
      <c r="EF126" s="476">
        <v>0</v>
      </c>
      <c r="EG126" s="476">
        <v>0</v>
      </c>
      <c r="EH126" s="476">
        <v>28545</v>
      </c>
      <c r="EI126" s="476">
        <v>0</v>
      </c>
      <c r="EJ126" s="476">
        <v>0</v>
      </c>
      <c r="EK126" s="476">
        <v>1.1540000000000001</v>
      </c>
      <c r="EL126" s="476">
        <v>0</v>
      </c>
      <c r="EM126" s="476">
        <v>0.22900000000000001</v>
      </c>
      <c r="EN126" s="476">
        <v>9.7000000000000003E-2</v>
      </c>
      <c r="EO126" s="476">
        <v>0</v>
      </c>
      <c r="EP126" s="476">
        <v>0</v>
      </c>
      <c r="EQ126" s="476">
        <v>1.48</v>
      </c>
      <c r="ER126" s="476">
        <v>0</v>
      </c>
      <c r="ES126" s="476">
        <v>4.6340000000000003</v>
      </c>
      <c r="ET126" s="476">
        <v>0</v>
      </c>
      <c r="EU126" s="476">
        <v>0</v>
      </c>
      <c r="EV126" s="476">
        <v>0</v>
      </c>
      <c r="EW126" s="476">
        <v>0</v>
      </c>
      <c r="EX126" s="476">
        <v>0</v>
      </c>
      <c r="EY126" s="476">
        <v>0</v>
      </c>
      <c r="EZ126" s="476">
        <v>747232</v>
      </c>
      <c r="FA126" s="476">
        <v>0</v>
      </c>
      <c r="FB126" s="476">
        <v>780507</v>
      </c>
      <c r="FC126" s="476">
        <v>0</v>
      </c>
      <c r="FD126" s="476">
        <v>0</v>
      </c>
      <c r="FE126" s="476">
        <v>100675</v>
      </c>
      <c r="FF126" s="476">
        <v>16814</v>
      </c>
      <c r="FG126" s="476">
        <v>6.3017999999999991E-2</v>
      </c>
      <c r="FH126" s="476">
        <v>2.6953999999999999E-2</v>
      </c>
      <c r="FI126" s="476">
        <v>0</v>
      </c>
      <c r="FJ126" s="476">
        <v>0</v>
      </c>
      <c r="FK126" s="476">
        <v>126.58</v>
      </c>
      <c r="FL126" s="476">
        <v>926163</v>
      </c>
      <c r="FM126" s="476">
        <v>0</v>
      </c>
      <c r="FN126" s="476">
        <v>0</v>
      </c>
      <c r="FO126" s="476">
        <v>0</v>
      </c>
      <c r="FP126" s="476">
        <v>0</v>
      </c>
      <c r="FQ126" s="476">
        <v>0</v>
      </c>
      <c r="FR126" s="476">
        <v>0</v>
      </c>
      <c r="FS126" s="476">
        <v>0</v>
      </c>
      <c r="FT126" s="476">
        <v>0</v>
      </c>
      <c r="FU126" s="476">
        <v>0</v>
      </c>
      <c r="FV126" s="476">
        <v>0</v>
      </c>
      <c r="FW126" s="476">
        <v>0</v>
      </c>
      <c r="FX126" s="476">
        <v>0</v>
      </c>
      <c r="FY126" s="476">
        <v>0</v>
      </c>
      <c r="FZ126" s="476">
        <v>0</v>
      </c>
      <c r="GA126" s="476">
        <v>0</v>
      </c>
      <c r="GB126" s="476">
        <v>78410</v>
      </c>
      <c r="GC126" s="476">
        <v>78410</v>
      </c>
      <c r="GD126" s="476">
        <v>8.4130000000000003</v>
      </c>
      <c r="GE126" s="476">
        <v>0</v>
      </c>
      <c r="GF126" s="476">
        <v>0</v>
      </c>
      <c r="GG126" s="476">
        <v>0</v>
      </c>
      <c r="GH126" s="476">
        <v>0</v>
      </c>
      <c r="GI126" s="476">
        <v>0</v>
      </c>
      <c r="GJ126" s="476">
        <v>0</v>
      </c>
      <c r="GK126" s="476">
        <v>0</v>
      </c>
      <c r="GL126" s="476">
        <v>0</v>
      </c>
      <c r="GM126" s="476">
        <v>0</v>
      </c>
      <c r="GN126" s="476">
        <v>0</v>
      </c>
      <c r="GO126" s="476">
        <v>0</v>
      </c>
      <c r="GP126" s="476">
        <v>0</v>
      </c>
      <c r="GQ126" s="476">
        <v>864254</v>
      </c>
      <c r="GR126" s="476">
        <v>0</v>
      </c>
      <c r="GS126" s="476">
        <v>0</v>
      </c>
      <c r="GT126" s="476">
        <v>0</v>
      </c>
      <c r="GU126" s="476">
        <v>0</v>
      </c>
      <c r="GV126" s="476">
        <v>0</v>
      </c>
      <c r="GW126" s="476">
        <v>0</v>
      </c>
      <c r="GX126" s="476">
        <v>0</v>
      </c>
      <c r="GY126" s="476">
        <v>0</v>
      </c>
      <c r="GZ126" s="476">
        <v>0</v>
      </c>
      <c r="HA126" s="476">
        <v>0</v>
      </c>
      <c r="HB126" s="476">
        <v>323396213</v>
      </c>
      <c r="HC126" s="476">
        <v>4.2206E-2</v>
      </c>
      <c r="HD126" s="476">
        <v>13730</v>
      </c>
      <c r="HE126" s="476">
        <v>0</v>
      </c>
      <c r="HF126" s="476">
        <v>78721</v>
      </c>
      <c r="HG126" s="476">
        <v>1848</v>
      </c>
      <c r="HH126" s="476">
        <v>0</v>
      </c>
      <c r="HI126" s="476">
        <v>0</v>
      </c>
      <c r="HJ126" s="476">
        <v>813</v>
      </c>
      <c r="HK126" s="476">
        <v>1138</v>
      </c>
      <c r="HL126" s="476">
        <v>120</v>
      </c>
      <c r="HM126" s="476">
        <v>5000</v>
      </c>
      <c r="HN126" s="476">
        <v>0</v>
      </c>
      <c r="HO126" s="476">
        <v>0</v>
      </c>
      <c r="HP126" s="476">
        <v>0</v>
      </c>
      <c r="HQ126" s="476">
        <v>0</v>
      </c>
      <c r="HR126" s="476">
        <v>0</v>
      </c>
      <c r="HS126" s="476">
        <v>746765</v>
      </c>
      <c r="HT126" s="476">
        <v>16814</v>
      </c>
      <c r="HU126" s="476">
        <v>14437</v>
      </c>
      <c r="HV126" s="476">
        <v>0</v>
      </c>
      <c r="HW126" s="476">
        <v>0</v>
      </c>
      <c r="HX126" s="476">
        <v>12</v>
      </c>
      <c r="HY126" s="476">
        <v>2</v>
      </c>
      <c r="HZ126" s="476">
        <v>6</v>
      </c>
      <c r="IA126" s="476">
        <v>4</v>
      </c>
      <c r="IB126" s="476">
        <v>2</v>
      </c>
      <c r="IC126" s="476">
        <v>26</v>
      </c>
      <c r="ID126" s="476">
        <v>0</v>
      </c>
      <c r="IE126" s="476">
        <v>0</v>
      </c>
      <c r="IF126" s="476">
        <v>0</v>
      </c>
      <c r="IG126" s="476">
        <v>3</v>
      </c>
      <c r="IH126" s="476">
        <v>0</v>
      </c>
      <c r="II126" s="476">
        <v>0</v>
      </c>
      <c r="IJ126" s="476">
        <v>0</v>
      </c>
      <c r="IK126" s="476">
        <v>0</v>
      </c>
      <c r="IL126" s="476">
        <v>1</v>
      </c>
      <c r="IM126" s="476">
        <v>0</v>
      </c>
      <c r="IN126" s="476">
        <v>0</v>
      </c>
      <c r="IO126" s="476">
        <v>1</v>
      </c>
      <c r="IP126" s="476">
        <v>0</v>
      </c>
      <c r="IQ126" s="476">
        <v>0</v>
      </c>
      <c r="IR126" s="476">
        <v>0</v>
      </c>
      <c r="IS126" s="476">
        <v>0</v>
      </c>
      <c r="IT126" s="476">
        <v>5000</v>
      </c>
      <c r="IU126" s="476">
        <v>0</v>
      </c>
      <c r="IV126" s="476">
        <v>0</v>
      </c>
      <c r="IW126" s="476">
        <v>6160</v>
      </c>
      <c r="IX126" s="476">
        <v>0</v>
      </c>
      <c r="IY126" s="476">
        <v>0</v>
      </c>
      <c r="IZ126" s="476">
        <v>0</v>
      </c>
      <c r="JA126" s="476">
        <v>0</v>
      </c>
      <c r="JB126" s="476">
        <v>0</v>
      </c>
      <c r="JC126" s="476">
        <v>0</v>
      </c>
      <c r="JD126" s="476">
        <v>0</v>
      </c>
      <c r="JE126" s="476">
        <v>0</v>
      </c>
      <c r="JF126" s="476">
        <v>0</v>
      </c>
      <c r="JG126" s="476">
        <v>0</v>
      </c>
      <c r="JH126" s="476">
        <v>0</v>
      </c>
      <c r="JI126" s="476">
        <v>0</v>
      </c>
      <c r="JJ126" s="476">
        <v>0</v>
      </c>
      <c r="JK126" s="476">
        <v>0</v>
      </c>
      <c r="JL126" s="476">
        <v>0</v>
      </c>
      <c r="JM126" s="476">
        <v>0</v>
      </c>
      <c r="JN126" s="476">
        <v>32469</v>
      </c>
      <c r="JO126" s="476">
        <v>1.8000000000000002E-2</v>
      </c>
      <c r="JP126" s="476">
        <v>8.2270000000000003</v>
      </c>
      <c r="JQ126" s="476">
        <v>0.16800000000000001</v>
      </c>
      <c r="JR126" s="476">
        <v>144</v>
      </c>
      <c r="JS126" s="476">
        <v>76473</v>
      </c>
      <c r="JT126" s="476">
        <v>1793</v>
      </c>
      <c r="JU126" s="476">
        <v>0</v>
      </c>
      <c r="JV126" s="476">
        <v>14437</v>
      </c>
      <c r="JW126" s="476">
        <v>0</v>
      </c>
      <c r="JX126" s="476">
        <v>0</v>
      </c>
      <c r="JY126" s="476">
        <v>0</v>
      </c>
      <c r="JZ126" s="476">
        <v>0</v>
      </c>
      <c r="KA126" s="476">
        <v>0</v>
      </c>
      <c r="KB126" s="476">
        <v>0</v>
      </c>
      <c r="KC126" s="476">
        <v>0</v>
      </c>
      <c r="KD126" s="476">
        <v>0</v>
      </c>
      <c r="KE126" s="476">
        <v>7262</v>
      </c>
      <c r="KF126" s="476">
        <v>0</v>
      </c>
      <c r="KG126" s="476">
        <v>0</v>
      </c>
      <c r="KH126" s="476">
        <v>864254</v>
      </c>
      <c r="KI126" s="476">
        <v>0</v>
      </c>
      <c r="KJ126" s="476">
        <v>3</v>
      </c>
      <c r="KK126" s="476">
        <v>0</v>
      </c>
      <c r="KL126" s="476">
        <v>1848</v>
      </c>
      <c r="KM126" s="476">
        <v>0</v>
      </c>
      <c r="KN126" s="476">
        <v>0</v>
      </c>
    </row>
    <row r="127" spans="1:300" x14ac:dyDescent="0.25">
      <c r="A127" s="476">
        <v>40976</v>
      </c>
      <c r="B127" s="476">
        <v>105802</v>
      </c>
      <c r="C127" s="476">
        <v>9</v>
      </c>
      <c r="D127" s="476">
        <v>2024</v>
      </c>
      <c r="E127" s="476">
        <v>6160</v>
      </c>
      <c r="F127" s="476">
        <v>0</v>
      </c>
      <c r="G127" s="476">
        <v>72.031999999999996</v>
      </c>
      <c r="H127" s="476">
        <v>71.95</v>
      </c>
      <c r="I127" s="476">
        <v>71.95</v>
      </c>
      <c r="J127" s="476">
        <v>72.031999999999996</v>
      </c>
      <c r="K127" s="476">
        <v>0</v>
      </c>
      <c r="L127" s="476">
        <v>6160</v>
      </c>
      <c r="M127" s="476">
        <v>0</v>
      </c>
      <c r="N127" s="476">
        <v>0</v>
      </c>
      <c r="O127" s="476">
        <v>0</v>
      </c>
      <c r="P127" s="476">
        <v>72.338000000000008</v>
      </c>
      <c r="Q127" s="476">
        <v>0</v>
      </c>
      <c r="R127" s="476">
        <v>30012</v>
      </c>
      <c r="S127" s="476">
        <v>414.88400000000001</v>
      </c>
      <c r="T127" s="476">
        <v>0</v>
      </c>
      <c r="U127" s="476">
        <v>0</v>
      </c>
      <c r="V127" s="476">
        <v>0</v>
      </c>
      <c r="W127" s="476">
        <v>0</v>
      </c>
      <c r="X127" s="476">
        <v>0</v>
      </c>
      <c r="Y127" s="476">
        <v>0</v>
      </c>
      <c r="Z127" s="476">
        <v>0</v>
      </c>
      <c r="AA127" s="476">
        <v>0</v>
      </c>
      <c r="AB127" s="476">
        <v>0</v>
      </c>
      <c r="AC127" s="476">
        <v>0</v>
      </c>
      <c r="AD127" s="476" t="s">
        <v>314</v>
      </c>
      <c r="AE127" s="476">
        <v>0</v>
      </c>
      <c r="AF127" s="476">
        <v>0</v>
      </c>
      <c r="AG127" s="476">
        <v>0</v>
      </c>
      <c r="AH127" s="476">
        <v>0</v>
      </c>
      <c r="AI127" s="476">
        <v>0</v>
      </c>
      <c r="AJ127" s="476">
        <v>6160</v>
      </c>
      <c r="AK127" s="476" t="s">
        <v>651</v>
      </c>
      <c r="AL127" s="476" t="s">
        <v>3</v>
      </c>
      <c r="AM127" s="476">
        <v>0</v>
      </c>
      <c r="AN127" s="476">
        <v>0</v>
      </c>
      <c r="AO127" s="476">
        <v>0</v>
      </c>
      <c r="AP127" s="476">
        <v>0</v>
      </c>
      <c r="AQ127" s="476">
        <v>0</v>
      </c>
      <c r="AR127" s="476">
        <v>0</v>
      </c>
      <c r="AS127" s="476">
        <v>0</v>
      </c>
      <c r="AT127" s="476">
        <v>0</v>
      </c>
      <c r="AU127" s="476">
        <v>0</v>
      </c>
      <c r="AV127" s="476">
        <v>0</v>
      </c>
      <c r="AW127" s="476">
        <v>756145</v>
      </c>
      <c r="AX127" s="476">
        <v>719987</v>
      </c>
      <c r="AY127" s="476">
        <v>0</v>
      </c>
      <c r="AZ127" s="476">
        <v>30012</v>
      </c>
      <c r="BA127" s="476">
        <v>15</v>
      </c>
      <c r="BB127" s="476">
        <v>0</v>
      </c>
      <c r="BC127" s="476">
        <v>0</v>
      </c>
      <c r="BD127" s="476">
        <v>0</v>
      </c>
      <c r="BE127" s="476">
        <v>0</v>
      </c>
      <c r="BF127" s="476">
        <v>632876</v>
      </c>
      <c r="BG127" s="476">
        <v>0</v>
      </c>
      <c r="BH127" s="476">
        <v>0</v>
      </c>
      <c r="BI127" s="476">
        <v>0</v>
      </c>
      <c r="BJ127" s="476">
        <v>12</v>
      </c>
      <c r="BK127" s="476">
        <v>0</v>
      </c>
      <c r="BL127" s="476">
        <v>0</v>
      </c>
      <c r="BM127" s="476">
        <v>0</v>
      </c>
      <c r="BN127" s="476">
        <v>0</v>
      </c>
      <c r="BO127" s="476">
        <v>0</v>
      </c>
      <c r="BP127" s="476">
        <v>0</v>
      </c>
      <c r="BQ127" s="476">
        <v>759</v>
      </c>
      <c r="BR127" s="476">
        <v>0</v>
      </c>
      <c r="BS127" s="476">
        <v>0</v>
      </c>
      <c r="BT127" s="476">
        <v>0</v>
      </c>
      <c r="BU127" s="476">
        <v>0</v>
      </c>
      <c r="BV127" s="476">
        <v>0</v>
      </c>
      <c r="BW127" s="476">
        <v>0</v>
      </c>
      <c r="BX127" s="476">
        <v>0</v>
      </c>
      <c r="BY127" s="476">
        <v>0</v>
      </c>
      <c r="BZ127" s="476">
        <v>0</v>
      </c>
      <c r="CA127" s="476">
        <v>0</v>
      </c>
      <c r="CB127" s="476">
        <v>0</v>
      </c>
      <c r="CC127" s="476">
        <v>0</v>
      </c>
      <c r="CD127" s="476">
        <v>0</v>
      </c>
      <c r="CE127" s="476">
        <v>0</v>
      </c>
      <c r="CF127" s="476">
        <v>0</v>
      </c>
      <c r="CG127" s="476">
        <v>0</v>
      </c>
      <c r="CH127" s="476">
        <v>36296</v>
      </c>
      <c r="CI127" s="476">
        <v>0</v>
      </c>
      <c r="CJ127" s="476">
        <v>4</v>
      </c>
      <c r="CK127" s="476">
        <v>0</v>
      </c>
      <c r="CL127" s="476">
        <v>0</v>
      </c>
      <c r="CM127" s="476">
        <v>0</v>
      </c>
      <c r="CN127" s="476">
        <v>0</v>
      </c>
      <c r="CO127" s="476">
        <v>1</v>
      </c>
      <c r="CP127" s="476">
        <v>0</v>
      </c>
      <c r="CQ127" s="476">
        <v>5.4170000000000007</v>
      </c>
      <c r="CR127" s="476">
        <v>72.031999999999996</v>
      </c>
      <c r="CS127" s="476">
        <v>0</v>
      </c>
      <c r="CT127" s="476">
        <v>0</v>
      </c>
      <c r="CU127" s="476">
        <v>0</v>
      </c>
      <c r="CV127" s="476">
        <v>0</v>
      </c>
      <c r="CW127" s="476">
        <v>0</v>
      </c>
      <c r="CX127" s="476">
        <v>0</v>
      </c>
      <c r="CY127" s="476">
        <v>0</v>
      </c>
      <c r="CZ127" s="476">
        <v>0</v>
      </c>
      <c r="DA127" s="476">
        <v>0</v>
      </c>
      <c r="DB127" s="476">
        <v>379452</v>
      </c>
      <c r="DC127" s="476">
        <v>0</v>
      </c>
      <c r="DD127" s="476">
        <v>0</v>
      </c>
      <c r="DE127" s="476">
        <v>54361</v>
      </c>
      <c r="DF127" s="476">
        <v>54361</v>
      </c>
      <c r="DG127" s="476">
        <v>8.8250000000000011</v>
      </c>
      <c r="DH127" s="476">
        <v>0</v>
      </c>
      <c r="DI127" s="476">
        <v>0</v>
      </c>
      <c r="DJ127" s="476">
        <v>0</v>
      </c>
      <c r="DK127" s="476">
        <v>3765</v>
      </c>
      <c r="DL127" s="476">
        <v>0</v>
      </c>
      <c r="DM127" s="476">
        <v>103803</v>
      </c>
      <c r="DN127" s="476">
        <v>138</v>
      </c>
      <c r="DO127" s="476">
        <v>0</v>
      </c>
      <c r="DP127" s="476">
        <v>0</v>
      </c>
      <c r="DQ127" s="476">
        <v>0</v>
      </c>
      <c r="DR127" s="476">
        <v>0</v>
      </c>
      <c r="DS127" s="476">
        <v>0</v>
      </c>
      <c r="DT127" s="476">
        <v>0</v>
      </c>
      <c r="DU127" s="476">
        <v>0</v>
      </c>
      <c r="DV127" s="476">
        <v>0</v>
      </c>
      <c r="DW127" s="476">
        <v>0</v>
      </c>
      <c r="DX127" s="476">
        <v>0</v>
      </c>
      <c r="DY127" s="476">
        <v>0</v>
      </c>
      <c r="DZ127" s="476">
        <v>0</v>
      </c>
      <c r="EA127" s="476">
        <v>0</v>
      </c>
      <c r="EB127" s="476">
        <v>0</v>
      </c>
      <c r="EC127" s="476">
        <v>5.3170000000000002</v>
      </c>
      <c r="ED127" s="476">
        <v>37665</v>
      </c>
      <c r="EE127" s="476">
        <v>0</v>
      </c>
      <c r="EF127" s="476">
        <v>0</v>
      </c>
      <c r="EG127" s="476">
        <v>0</v>
      </c>
      <c r="EH127" s="476">
        <v>2526</v>
      </c>
      <c r="EI127" s="476">
        <v>0</v>
      </c>
      <c r="EJ127" s="476">
        <v>0</v>
      </c>
      <c r="EK127" s="476">
        <v>0</v>
      </c>
      <c r="EL127" s="476">
        <v>0</v>
      </c>
      <c r="EM127" s="476">
        <v>0</v>
      </c>
      <c r="EN127" s="476">
        <v>8.2000000000000003E-2</v>
      </c>
      <c r="EO127" s="476">
        <v>0</v>
      </c>
      <c r="EP127" s="476">
        <v>0</v>
      </c>
      <c r="EQ127" s="476">
        <v>8.2000000000000003E-2</v>
      </c>
      <c r="ER127" s="476">
        <v>0</v>
      </c>
      <c r="ES127" s="476">
        <v>0.41000000000000003</v>
      </c>
      <c r="ET127" s="476">
        <v>0</v>
      </c>
      <c r="EU127" s="476">
        <v>0</v>
      </c>
      <c r="EV127" s="476">
        <v>0</v>
      </c>
      <c r="EW127" s="476">
        <v>0</v>
      </c>
      <c r="EX127" s="476">
        <v>0</v>
      </c>
      <c r="EY127" s="476">
        <v>0</v>
      </c>
      <c r="EZ127" s="476">
        <v>624624</v>
      </c>
      <c r="FA127" s="476">
        <v>0</v>
      </c>
      <c r="FB127" s="476">
        <v>654498</v>
      </c>
      <c r="FC127" s="476">
        <v>0</v>
      </c>
      <c r="FD127" s="476">
        <v>0</v>
      </c>
      <c r="FE127" s="476">
        <v>81716</v>
      </c>
      <c r="FF127" s="476">
        <v>13647</v>
      </c>
      <c r="FG127" s="476">
        <v>6.3017999999999991E-2</v>
      </c>
      <c r="FH127" s="476">
        <v>2.6953999999999999E-2</v>
      </c>
      <c r="FI127" s="476">
        <v>0</v>
      </c>
      <c r="FJ127" s="476">
        <v>0</v>
      </c>
      <c r="FK127" s="476">
        <v>102.742</v>
      </c>
      <c r="FL127" s="476">
        <v>786157</v>
      </c>
      <c r="FM127" s="476">
        <v>0</v>
      </c>
      <c r="FN127" s="476">
        <v>0</v>
      </c>
      <c r="FO127" s="476">
        <v>21760</v>
      </c>
      <c r="FP127" s="476">
        <v>0</v>
      </c>
      <c r="FQ127" s="476">
        <v>21760</v>
      </c>
      <c r="FR127" s="476">
        <v>21760</v>
      </c>
      <c r="FS127" s="476">
        <v>0</v>
      </c>
      <c r="FT127" s="476">
        <v>0</v>
      </c>
      <c r="FU127" s="476">
        <v>0</v>
      </c>
      <c r="FV127" s="476">
        <v>0</v>
      </c>
      <c r="FW127" s="476">
        <v>0</v>
      </c>
      <c r="FX127" s="476">
        <v>0</v>
      </c>
      <c r="FY127" s="476">
        <v>0</v>
      </c>
      <c r="FZ127" s="476">
        <v>0</v>
      </c>
      <c r="GA127" s="476">
        <v>0</v>
      </c>
      <c r="GB127" s="476">
        <v>0</v>
      </c>
      <c r="GC127" s="476">
        <v>0</v>
      </c>
      <c r="GD127" s="476">
        <v>0</v>
      </c>
      <c r="GE127" s="476">
        <v>0</v>
      </c>
      <c r="GF127" s="476">
        <v>0</v>
      </c>
      <c r="GG127" s="476">
        <v>0</v>
      </c>
      <c r="GH127" s="476">
        <v>0</v>
      </c>
      <c r="GI127" s="476">
        <v>0</v>
      </c>
      <c r="GJ127" s="476">
        <v>0</v>
      </c>
      <c r="GK127" s="476">
        <v>0</v>
      </c>
      <c r="GL127" s="476">
        <v>0</v>
      </c>
      <c r="GM127" s="476">
        <v>0</v>
      </c>
      <c r="GN127" s="476">
        <v>0</v>
      </c>
      <c r="GO127" s="476">
        <v>0</v>
      </c>
      <c r="GP127" s="476">
        <v>0</v>
      </c>
      <c r="GQ127" s="476">
        <v>719849</v>
      </c>
      <c r="GR127" s="476">
        <v>0</v>
      </c>
      <c r="GS127" s="476">
        <v>0</v>
      </c>
      <c r="GT127" s="476">
        <v>0</v>
      </c>
      <c r="GU127" s="476">
        <v>0</v>
      </c>
      <c r="GV127" s="476">
        <v>0</v>
      </c>
      <c r="GW127" s="476">
        <v>0</v>
      </c>
      <c r="GX127" s="476">
        <v>0</v>
      </c>
      <c r="GY127" s="476">
        <v>0</v>
      </c>
      <c r="GZ127" s="476">
        <v>0</v>
      </c>
      <c r="HA127" s="476">
        <v>0</v>
      </c>
      <c r="HB127" s="476">
        <v>323396213</v>
      </c>
      <c r="HC127" s="476">
        <v>4.2206E-2</v>
      </c>
      <c r="HD127" s="476">
        <v>12161</v>
      </c>
      <c r="HE127" s="476">
        <v>0</v>
      </c>
      <c r="HF127" s="476">
        <v>79289</v>
      </c>
      <c r="HG127" s="476">
        <v>1232</v>
      </c>
      <c r="HH127" s="476">
        <v>13881</v>
      </c>
      <c r="HI127" s="476">
        <v>0</v>
      </c>
      <c r="HJ127" s="476">
        <v>720</v>
      </c>
      <c r="HK127" s="476">
        <v>0</v>
      </c>
      <c r="HL127" s="476">
        <v>0</v>
      </c>
      <c r="HM127" s="476">
        <v>0</v>
      </c>
      <c r="HN127" s="476">
        <v>0</v>
      </c>
      <c r="HO127" s="476">
        <v>0</v>
      </c>
      <c r="HP127" s="476">
        <v>0</v>
      </c>
      <c r="HQ127" s="476">
        <v>0</v>
      </c>
      <c r="HR127" s="476">
        <v>0</v>
      </c>
      <c r="HS127" s="476">
        <v>624486</v>
      </c>
      <c r="HT127" s="476">
        <v>13647</v>
      </c>
      <c r="HU127" s="476">
        <v>24135</v>
      </c>
      <c r="HV127" s="476">
        <v>0</v>
      </c>
      <c r="HW127" s="476">
        <v>0</v>
      </c>
      <c r="HX127" s="476">
        <v>9</v>
      </c>
      <c r="HY127" s="476">
        <v>5</v>
      </c>
      <c r="HZ127" s="476">
        <v>5</v>
      </c>
      <c r="IA127" s="476">
        <v>3</v>
      </c>
      <c r="IB127" s="476">
        <v>13</v>
      </c>
      <c r="IC127" s="476">
        <v>35</v>
      </c>
      <c r="ID127" s="476">
        <v>0</v>
      </c>
      <c r="IE127" s="476">
        <v>0</v>
      </c>
      <c r="IF127" s="476">
        <v>0</v>
      </c>
      <c r="IG127" s="476">
        <v>2</v>
      </c>
      <c r="IH127" s="476">
        <v>22.535</v>
      </c>
      <c r="II127" s="476">
        <v>0</v>
      </c>
      <c r="IJ127" s="476">
        <v>0</v>
      </c>
      <c r="IK127" s="476">
        <v>0</v>
      </c>
      <c r="IL127" s="476">
        <v>0</v>
      </c>
      <c r="IM127" s="476">
        <v>0</v>
      </c>
      <c r="IN127" s="476">
        <v>0</v>
      </c>
      <c r="IO127" s="476">
        <v>0</v>
      </c>
      <c r="IP127" s="476">
        <v>0</v>
      </c>
      <c r="IQ127" s="476">
        <v>0</v>
      </c>
      <c r="IR127" s="476">
        <v>0</v>
      </c>
      <c r="IS127" s="476">
        <v>0</v>
      </c>
      <c r="IT127" s="476">
        <v>0</v>
      </c>
      <c r="IU127" s="476">
        <v>0</v>
      </c>
      <c r="IV127" s="476">
        <v>0</v>
      </c>
      <c r="IW127" s="476">
        <v>6160</v>
      </c>
      <c r="IX127" s="476">
        <v>0</v>
      </c>
      <c r="IY127" s="476">
        <v>0</v>
      </c>
      <c r="IZ127" s="476">
        <v>0</v>
      </c>
      <c r="JA127" s="476">
        <v>0</v>
      </c>
      <c r="JB127" s="476">
        <v>0</v>
      </c>
      <c r="JC127" s="476">
        <v>0</v>
      </c>
      <c r="JD127" s="476">
        <v>0</v>
      </c>
      <c r="JE127" s="476">
        <v>0</v>
      </c>
      <c r="JF127" s="476">
        <v>0</v>
      </c>
      <c r="JG127" s="476">
        <v>0</v>
      </c>
      <c r="JH127" s="476">
        <v>0</v>
      </c>
      <c r="JI127" s="476">
        <v>0</v>
      </c>
      <c r="JJ127" s="476">
        <v>0</v>
      </c>
      <c r="JK127" s="476">
        <v>0</v>
      </c>
      <c r="JL127" s="476">
        <v>0</v>
      </c>
      <c r="JM127" s="476">
        <v>0</v>
      </c>
      <c r="JN127" s="476">
        <v>32469</v>
      </c>
      <c r="JO127" s="476">
        <v>0</v>
      </c>
      <c r="JP127" s="476">
        <v>0</v>
      </c>
      <c r="JQ127" s="476">
        <v>0</v>
      </c>
      <c r="JR127" s="476">
        <v>0</v>
      </c>
      <c r="JS127" s="476">
        <v>0</v>
      </c>
      <c r="JT127" s="476">
        <v>0</v>
      </c>
      <c r="JU127" s="476">
        <v>0</v>
      </c>
      <c r="JV127" s="476">
        <v>24135</v>
      </c>
      <c r="JW127" s="476">
        <v>0</v>
      </c>
      <c r="JX127" s="476">
        <v>0</v>
      </c>
      <c r="JY127" s="476">
        <v>0</v>
      </c>
      <c r="JZ127" s="476">
        <v>0</v>
      </c>
      <c r="KA127" s="476">
        <v>0</v>
      </c>
      <c r="KB127" s="476">
        <v>0</v>
      </c>
      <c r="KC127" s="476">
        <v>0</v>
      </c>
      <c r="KD127" s="476">
        <v>0</v>
      </c>
      <c r="KE127" s="476">
        <v>7262</v>
      </c>
      <c r="KF127" s="476">
        <v>0</v>
      </c>
      <c r="KG127" s="476">
        <v>0</v>
      </c>
      <c r="KH127" s="476">
        <v>719849</v>
      </c>
      <c r="KI127" s="476">
        <v>0</v>
      </c>
      <c r="KJ127" s="476">
        <v>1</v>
      </c>
      <c r="KK127" s="476">
        <v>1</v>
      </c>
      <c r="KL127" s="476">
        <v>616</v>
      </c>
      <c r="KM127" s="476">
        <v>616</v>
      </c>
      <c r="KN127" s="476">
        <v>0</v>
      </c>
    </row>
    <row r="128" spans="1:300" x14ac:dyDescent="0.25">
      <c r="A128" s="476">
        <v>40976</v>
      </c>
      <c r="B128" s="476">
        <v>105803</v>
      </c>
      <c r="C128" s="476">
        <v>9</v>
      </c>
      <c r="D128" s="476">
        <v>2024</v>
      </c>
      <c r="E128" s="476">
        <v>6160</v>
      </c>
      <c r="F128" s="476">
        <v>0</v>
      </c>
      <c r="G128" s="476">
        <v>418.447</v>
      </c>
      <c r="H128" s="476">
        <v>296.94300000000004</v>
      </c>
      <c r="I128" s="476">
        <v>296.94300000000004</v>
      </c>
      <c r="J128" s="476">
        <v>418.447</v>
      </c>
      <c r="K128" s="476">
        <v>0</v>
      </c>
      <c r="L128" s="476">
        <v>6160</v>
      </c>
      <c r="M128" s="476">
        <v>0</v>
      </c>
      <c r="N128" s="476">
        <v>0</v>
      </c>
      <c r="O128" s="476">
        <v>0</v>
      </c>
      <c r="P128" s="476">
        <v>418.012</v>
      </c>
      <c r="Q128" s="476">
        <v>0</v>
      </c>
      <c r="R128" s="476">
        <v>173426</v>
      </c>
      <c r="S128" s="476">
        <v>414.88400000000001</v>
      </c>
      <c r="T128" s="476">
        <v>0</v>
      </c>
      <c r="U128" s="476">
        <v>0</v>
      </c>
      <c r="V128" s="476">
        <v>0</v>
      </c>
      <c r="W128" s="476">
        <v>0</v>
      </c>
      <c r="X128" s="476">
        <v>0</v>
      </c>
      <c r="Y128" s="476">
        <v>0</v>
      </c>
      <c r="Z128" s="476">
        <v>0</v>
      </c>
      <c r="AA128" s="476">
        <v>0</v>
      </c>
      <c r="AB128" s="476">
        <v>0</v>
      </c>
      <c r="AC128" s="476">
        <v>0</v>
      </c>
      <c r="AD128" s="476" t="s">
        <v>314</v>
      </c>
      <c r="AE128" s="476">
        <v>0</v>
      </c>
      <c r="AF128" s="476">
        <v>0</v>
      </c>
      <c r="AG128" s="476">
        <v>0</v>
      </c>
      <c r="AH128" s="476">
        <v>0</v>
      </c>
      <c r="AI128" s="476">
        <v>0</v>
      </c>
      <c r="AJ128" s="476">
        <v>6160</v>
      </c>
      <c r="AK128" s="476" t="s">
        <v>651</v>
      </c>
      <c r="AL128" s="476" t="s">
        <v>369</v>
      </c>
      <c r="AM128" s="476">
        <v>0</v>
      </c>
      <c r="AN128" s="476">
        <v>0</v>
      </c>
      <c r="AO128" s="476">
        <v>0</v>
      </c>
      <c r="AP128" s="476">
        <v>0</v>
      </c>
      <c r="AQ128" s="476">
        <v>0</v>
      </c>
      <c r="AR128" s="476">
        <v>0</v>
      </c>
      <c r="AS128" s="476">
        <v>0</v>
      </c>
      <c r="AT128" s="476">
        <v>0</v>
      </c>
      <c r="AU128" s="476">
        <v>0</v>
      </c>
      <c r="AV128" s="476">
        <v>0</v>
      </c>
      <c r="AW128" s="476">
        <v>6509513</v>
      </c>
      <c r="AX128" s="476">
        <v>6448436</v>
      </c>
      <c r="AY128" s="476">
        <v>0</v>
      </c>
      <c r="AZ128" s="476">
        <v>173426</v>
      </c>
      <c r="BA128" s="476">
        <v>0</v>
      </c>
      <c r="BB128" s="476">
        <v>0</v>
      </c>
      <c r="BC128" s="476">
        <v>0</v>
      </c>
      <c r="BD128" s="476">
        <v>0</v>
      </c>
      <c r="BE128" s="476">
        <v>0</v>
      </c>
      <c r="BF128" s="476">
        <v>5683870</v>
      </c>
      <c r="BG128" s="476">
        <v>0</v>
      </c>
      <c r="BH128" s="476">
        <v>0</v>
      </c>
      <c r="BI128" s="476">
        <v>0</v>
      </c>
      <c r="BJ128" s="476">
        <v>12</v>
      </c>
      <c r="BK128" s="476">
        <v>0</v>
      </c>
      <c r="BL128" s="476">
        <v>0</v>
      </c>
      <c r="BM128" s="476">
        <v>0</v>
      </c>
      <c r="BN128" s="476">
        <v>0</v>
      </c>
      <c r="BO128" s="476">
        <v>0</v>
      </c>
      <c r="BP128" s="476">
        <v>0</v>
      </c>
      <c r="BQ128" s="476">
        <v>724</v>
      </c>
      <c r="BR128" s="476">
        <v>0</v>
      </c>
      <c r="BS128" s="476">
        <v>0</v>
      </c>
      <c r="BT128" s="476">
        <v>0</v>
      </c>
      <c r="BU128" s="476">
        <v>0</v>
      </c>
      <c r="BV128" s="476">
        <v>0</v>
      </c>
      <c r="BW128" s="476">
        <v>0</v>
      </c>
      <c r="BX128" s="476">
        <v>0</v>
      </c>
      <c r="BY128" s="476">
        <v>0</v>
      </c>
      <c r="BZ128" s="476">
        <v>0</v>
      </c>
      <c r="CA128" s="476">
        <v>0</v>
      </c>
      <c r="CB128" s="476">
        <v>0</v>
      </c>
      <c r="CC128" s="476">
        <v>0</v>
      </c>
      <c r="CD128" s="476">
        <v>0</v>
      </c>
      <c r="CE128" s="476">
        <v>0</v>
      </c>
      <c r="CF128" s="476">
        <v>0</v>
      </c>
      <c r="CG128" s="476">
        <v>0</v>
      </c>
      <c r="CH128" s="476">
        <v>70644</v>
      </c>
      <c r="CI128" s="476">
        <v>0</v>
      </c>
      <c r="CJ128" s="476">
        <v>4</v>
      </c>
      <c r="CK128" s="476">
        <v>0</v>
      </c>
      <c r="CL128" s="476">
        <v>0</v>
      </c>
      <c r="CM128" s="476">
        <v>0</v>
      </c>
      <c r="CN128" s="476">
        <v>0</v>
      </c>
      <c r="CO128" s="476">
        <v>1</v>
      </c>
      <c r="CP128" s="476">
        <v>0</v>
      </c>
      <c r="CQ128" s="476">
        <v>0</v>
      </c>
      <c r="CR128" s="476">
        <v>418.447</v>
      </c>
      <c r="CS128" s="476">
        <v>0</v>
      </c>
      <c r="CT128" s="476">
        <v>0</v>
      </c>
      <c r="CU128" s="476">
        <v>0</v>
      </c>
      <c r="CV128" s="476">
        <v>0</v>
      </c>
      <c r="CW128" s="476">
        <v>0</v>
      </c>
      <c r="CX128" s="476">
        <v>0</v>
      </c>
      <c r="CY128" s="476">
        <v>0</v>
      </c>
      <c r="CZ128" s="476">
        <v>0</v>
      </c>
      <c r="DA128" s="476">
        <v>0</v>
      </c>
      <c r="DB128" s="476">
        <v>1829127</v>
      </c>
      <c r="DC128" s="476">
        <v>0</v>
      </c>
      <c r="DD128" s="476">
        <v>0</v>
      </c>
      <c r="DE128" s="476">
        <v>636468</v>
      </c>
      <c r="DF128" s="476">
        <v>636468</v>
      </c>
      <c r="DG128" s="476">
        <v>103.325</v>
      </c>
      <c r="DH128" s="476">
        <v>0</v>
      </c>
      <c r="DI128" s="476">
        <v>0</v>
      </c>
      <c r="DJ128" s="476">
        <v>0</v>
      </c>
      <c r="DK128" s="476">
        <v>3211</v>
      </c>
      <c r="DL128" s="476">
        <v>0</v>
      </c>
      <c r="DM128" s="476">
        <v>2782893</v>
      </c>
      <c r="DN128" s="476">
        <v>9568</v>
      </c>
      <c r="DO128" s="476">
        <v>0</v>
      </c>
      <c r="DP128" s="476">
        <v>0</v>
      </c>
      <c r="DQ128" s="476">
        <v>0</v>
      </c>
      <c r="DR128" s="476">
        <v>0</v>
      </c>
      <c r="DS128" s="476">
        <v>0</v>
      </c>
      <c r="DT128" s="476">
        <v>0</v>
      </c>
      <c r="DU128" s="476">
        <v>0</v>
      </c>
      <c r="DV128" s="476">
        <v>0</v>
      </c>
      <c r="DW128" s="476">
        <v>0</v>
      </c>
      <c r="DX128" s="476">
        <v>0</v>
      </c>
      <c r="DY128" s="476">
        <v>0</v>
      </c>
      <c r="DZ128" s="476">
        <v>0</v>
      </c>
      <c r="EA128" s="476">
        <v>0</v>
      </c>
      <c r="EB128" s="476">
        <v>5.2469999999999999</v>
      </c>
      <c r="EC128" s="476">
        <v>3.746</v>
      </c>
      <c r="ED128" s="476">
        <v>26536</v>
      </c>
      <c r="EE128" s="476">
        <v>0</v>
      </c>
      <c r="EF128" s="476">
        <v>0</v>
      </c>
      <c r="EG128" s="476">
        <v>0</v>
      </c>
      <c r="EH128" s="476">
        <v>152001</v>
      </c>
      <c r="EI128" s="476">
        <v>2613924</v>
      </c>
      <c r="EJ128" s="476">
        <v>106.087</v>
      </c>
      <c r="EK128" s="476">
        <v>1.1020000000000001</v>
      </c>
      <c r="EL128" s="476">
        <v>0</v>
      </c>
      <c r="EM128" s="476">
        <v>0.44800000000000001</v>
      </c>
      <c r="EN128" s="476">
        <v>0.8570000000000001</v>
      </c>
      <c r="EO128" s="476">
        <v>0</v>
      </c>
      <c r="EP128" s="476">
        <v>0</v>
      </c>
      <c r="EQ128" s="476">
        <v>113.741</v>
      </c>
      <c r="ER128" s="476">
        <v>0</v>
      </c>
      <c r="ES128" s="476">
        <v>24.676000000000002</v>
      </c>
      <c r="ET128" s="476">
        <v>0</v>
      </c>
      <c r="EU128" s="476">
        <v>0</v>
      </c>
      <c r="EV128" s="476">
        <v>0</v>
      </c>
      <c r="EW128" s="476">
        <v>0</v>
      </c>
      <c r="EX128" s="476">
        <v>0</v>
      </c>
      <c r="EY128" s="476">
        <v>0</v>
      </c>
      <c r="EZ128" s="476">
        <v>5591980</v>
      </c>
      <c r="FA128" s="476">
        <v>0</v>
      </c>
      <c r="FB128" s="476">
        <v>5755839</v>
      </c>
      <c r="FC128" s="476">
        <v>0</v>
      </c>
      <c r="FD128" s="476">
        <v>0</v>
      </c>
      <c r="FE128" s="476">
        <v>733891</v>
      </c>
      <c r="FF128" s="476">
        <v>122565</v>
      </c>
      <c r="FG128" s="476">
        <v>6.3017999999999991E-2</v>
      </c>
      <c r="FH128" s="476">
        <v>2.6953999999999999E-2</v>
      </c>
      <c r="FI128" s="476">
        <v>0</v>
      </c>
      <c r="FJ128" s="476">
        <v>0</v>
      </c>
      <c r="FK128" s="476">
        <v>922.72700000000009</v>
      </c>
      <c r="FL128" s="476">
        <v>6682939</v>
      </c>
      <c r="FM128" s="476">
        <v>0</v>
      </c>
      <c r="FN128" s="476">
        <v>0</v>
      </c>
      <c r="FO128" s="476">
        <v>0</v>
      </c>
      <c r="FP128" s="476">
        <v>0</v>
      </c>
      <c r="FQ128" s="476">
        <v>0</v>
      </c>
      <c r="FR128" s="476">
        <v>0</v>
      </c>
      <c r="FS128" s="476">
        <v>0</v>
      </c>
      <c r="FT128" s="476">
        <v>0</v>
      </c>
      <c r="FU128" s="476">
        <v>0</v>
      </c>
      <c r="FV128" s="476">
        <v>0</v>
      </c>
      <c r="FW128" s="476">
        <v>0</v>
      </c>
      <c r="FX128" s="476">
        <v>0</v>
      </c>
      <c r="FY128" s="476">
        <v>0</v>
      </c>
      <c r="FZ128" s="476">
        <v>0</v>
      </c>
      <c r="GA128" s="476">
        <v>0</v>
      </c>
      <c r="GB128" s="476">
        <v>72252</v>
      </c>
      <c r="GC128" s="476">
        <v>72252</v>
      </c>
      <c r="GD128" s="476">
        <v>7.7630000000000008</v>
      </c>
      <c r="GE128" s="476">
        <v>0</v>
      </c>
      <c r="GF128" s="476">
        <v>0</v>
      </c>
      <c r="GG128" s="476">
        <v>0</v>
      </c>
      <c r="GH128" s="476">
        <v>0</v>
      </c>
      <c r="GI128" s="476">
        <v>0</v>
      </c>
      <c r="GJ128" s="476">
        <v>0</v>
      </c>
      <c r="GK128" s="476">
        <v>0</v>
      </c>
      <c r="GL128" s="476">
        <v>0</v>
      </c>
      <c r="GM128" s="476">
        <v>0</v>
      </c>
      <c r="GN128" s="476">
        <v>0</v>
      </c>
      <c r="GO128" s="476">
        <v>0</v>
      </c>
      <c r="GP128" s="476">
        <v>0</v>
      </c>
      <c r="GQ128" s="476">
        <v>6438869</v>
      </c>
      <c r="GR128" s="476">
        <v>0</v>
      </c>
      <c r="GS128" s="476">
        <v>0</v>
      </c>
      <c r="GT128" s="476">
        <v>0</v>
      </c>
      <c r="GU128" s="476">
        <v>0</v>
      </c>
      <c r="GV128" s="476">
        <v>0</v>
      </c>
      <c r="GW128" s="476">
        <v>0</v>
      </c>
      <c r="GX128" s="476">
        <v>0</v>
      </c>
      <c r="GY128" s="476">
        <v>0</v>
      </c>
      <c r="GZ128" s="476">
        <v>0</v>
      </c>
      <c r="HA128" s="476">
        <v>0</v>
      </c>
      <c r="HB128" s="476">
        <v>323396213</v>
      </c>
      <c r="HC128" s="476">
        <v>4.2206E-2</v>
      </c>
      <c r="HD128" s="476">
        <v>70644</v>
      </c>
      <c r="HE128" s="476">
        <v>0</v>
      </c>
      <c r="HF128" s="476">
        <v>327231</v>
      </c>
      <c r="HG128" s="476">
        <v>9856</v>
      </c>
      <c r="HH128" s="476">
        <v>12291</v>
      </c>
      <c r="HI128" s="476">
        <v>0</v>
      </c>
      <c r="HJ128" s="476">
        <v>4184</v>
      </c>
      <c r="HK128" s="476">
        <v>2017</v>
      </c>
      <c r="HL128" s="476">
        <v>11</v>
      </c>
      <c r="HM128" s="476">
        <v>0</v>
      </c>
      <c r="HN128" s="476">
        <v>0</v>
      </c>
      <c r="HO128" s="476">
        <v>0</v>
      </c>
      <c r="HP128" s="476">
        <v>0</v>
      </c>
      <c r="HQ128" s="476">
        <v>0</v>
      </c>
      <c r="HR128" s="476">
        <v>0</v>
      </c>
      <c r="HS128" s="476">
        <v>5582413</v>
      </c>
      <c r="HT128" s="476">
        <v>122565</v>
      </c>
      <c r="HU128" s="476">
        <v>0</v>
      </c>
      <c r="HV128" s="476">
        <v>0</v>
      </c>
      <c r="HW128" s="476">
        <v>0</v>
      </c>
      <c r="HX128" s="476">
        <v>17</v>
      </c>
      <c r="HY128" s="476">
        <v>18</v>
      </c>
      <c r="HZ128" s="476">
        <v>17</v>
      </c>
      <c r="IA128" s="476">
        <v>26</v>
      </c>
      <c r="IB128" s="476">
        <v>306</v>
      </c>
      <c r="IC128" s="476">
        <v>384</v>
      </c>
      <c r="ID128" s="476">
        <v>0</v>
      </c>
      <c r="IE128" s="476">
        <v>0</v>
      </c>
      <c r="IF128" s="476">
        <v>0</v>
      </c>
      <c r="IG128" s="476">
        <v>16</v>
      </c>
      <c r="IH128" s="476">
        <v>19.954000000000001</v>
      </c>
      <c r="II128" s="476">
        <v>0</v>
      </c>
      <c r="IJ128" s="476">
        <v>0</v>
      </c>
      <c r="IK128" s="476">
        <v>289.12100000000004</v>
      </c>
      <c r="IL128" s="476">
        <v>0</v>
      </c>
      <c r="IM128" s="476">
        <v>0</v>
      </c>
      <c r="IN128" s="476">
        <v>0</v>
      </c>
      <c r="IO128" s="476">
        <v>0</v>
      </c>
      <c r="IP128" s="476">
        <v>289.12100000000004</v>
      </c>
      <c r="IQ128" s="476">
        <v>0</v>
      </c>
      <c r="IR128" s="476">
        <v>0</v>
      </c>
      <c r="IS128" s="476">
        <v>79508</v>
      </c>
      <c r="IT128" s="476">
        <v>0</v>
      </c>
      <c r="IU128" s="476">
        <v>0</v>
      </c>
      <c r="IV128" s="476">
        <v>0</v>
      </c>
      <c r="IW128" s="476">
        <v>6160</v>
      </c>
      <c r="IX128" s="476">
        <v>0</v>
      </c>
      <c r="IY128" s="476">
        <v>0</v>
      </c>
      <c r="IZ128" s="476">
        <v>79508</v>
      </c>
      <c r="JA128" s="476">
        <v>0</v>
      </c>
      <c r="JB128" s="476">
        <v>0</v>
      </c>
      <c r="JC128" s="476">
        <v>0</v>
      </c>
      <c r="JD128" s="476">
        <v>0</v>
      </c>
      <c r="JE128" s="476">
        <v>0</v>
      </c>
      <c r="JF128" s="476">
        <v>0</v>
      </c>
      <c r="JG128" s="476">
        <v>0</v>
      </c>
      <c r="JH128" s="476">
        <v>0</v>
      </c>
      <c r="JI128" s="476">
        <v>0</v>
      </c>
      <c r="JJ128" s="476">
        <v>0</v>
      </c>
      <c r="JK128" s="476">
        <v>0</v>
      </c>
      <c r="JL128" s="476">
        <v>0</v>
      </c>
      <c r="JM128" s="476">
        <v>0</v>
      </c>
      <c r="JN128" s="476">
        <v>32469</v>
      </c>
      <c r="JO128" s="476">
        <v>0</v>
      </c>
      <c r="JP128" s="476">
        <v>7.6960000000000006</v>
      </c>
      <c r="JQ128" s="476">
        <v>6.7000000000000004E-2</v>
      </c>
      <c r="JR128" s="476">
        <v>0</v>
      </c>
      <c r="JS128" s="476">
        <v>71537</v>
      </c>
      <c r="JT128" s="476">
        <v>715</v>
      </c>
      <c r="JU128" s="476">
        <v>0</v>
      </c>
      <c r="JV128" s="476">
        <v>0</v>
      </c>
      <c r="JW128" s="476">
        <v>0</v>
      </c>
      <c r="JX128" s="476">
        <v>0</v>
      </c>
      <c r="JY128" s="476">
        <v>0</v>
      </c>
      <c r="JZ128" s="476">
        <v>0</v>
      </c>
      <c r="KA128" s="476">
        <v>0</v>
      </c>
      <c r="KB128" s="476">
        <v>0</v>
      </c>
      <c r="KC128" s="476">
        <v>0</v>
      </c>
      <c r="KD128" s="476">
        <v>0</v>
      </c>
      <c r="KE128" s="476">
        <v>7262</v>
      </c>
      <c r="KF128" s="476">
        <v>0</v>
      </c>
      <c r="KG128" s="476">
        <v>0</v>
      </c>
      <c r="KH128" s="476">
        <v>6438869</v>
      </c>
      <c r="KI128" s="476">
        <v>0</v>
      </c>
      <c r="KJ128" s="476">
        <v>8</v>
      </c>
      <c r="KK128" s="476">
        <v>8</v>
      </c>
      <c r="KL128" s="476">
        <v>4928</v>
      </c>
      <c r="KM128" s="476">
        <v>4928</v>
      </c>
      <c r="KN128" s="476">
        <v>0</v>
      </c>
    </row>
    <row r="129" spans="1:300" x14ac:dyDescent="0.25">
      <c r="A129" s="476">
        <v>40976</v>
      </c>
      <c r="B129" s="476">
        <v>105804</v>
      </c>
      <c r="C129" s="476">
        <v>9</v>
      </c>
      <c r="D129" s="476">
        <v>2024</v>
      </c>
      <c r="E129" s="476">
        <v>6160</v>
      </c>
      <c r="F129" s="476">
        <v>0</v>
      </c>
      <c r="G129" s="476">
        <v>316.29700000000003</v>
      </c>
      <c r="H129" s="476">
        <v>307.29900000000004</v>
      </c>
      <c r="I129" s="476">
        <v>307.29900000000004</v>
      </c>
      <c r="J129" s="476">
        <v>316.29700000000003</v>
      </c>
      <c r="K129" s="476">
        <v>0</v>
      </c>
      <c r="L129" s="476">
        <v>6160</v>
      </c>
      <c r="M129" s="476">
        <v>0</v>
      </c>
      <c r="N129" s="476">
        <v>0</v>
      </c>
      <c r="O129" s="476">
        <v>0</v>
      </c>
      <c r="P129" s="476">
        <v>316.29700000000003</v>
      </c>
      <c r="Q129" s="476">
        <v>0</v>
      </c>
      <c r="R129" s="476">
        <v>131227</v>
      </c>
      <c r="S129" s="476">
        <v>414.88400000000001</v>
      </c>
      <c r="T129" s="476">
        <v>0</v>
      </c>
      <c r="U129" s="476">
        <v>0</v>
      </c>
      <c r="V129" s="476">
        <v>13.203000000000001</v>
      </c>
      <c r="W129" s="476">
        <v>8133</v>
      </c>
      <c r="X129" s="476">
        <v>8133</v>
      </c>
      <c r="Y129" s="476">
        <v>0</v>
      </c>
      <c r="Z129" s="476">
        <v>0</v>
      </c>
      <c r="AA129" s="476">
        <v>0</v>
      </c>
      <c r="AB129" s="476">
        <v>0</v>
      </c>
      <c r="AC129" s="476">
        <v>0</v>
      </c>
      <c r="AD129" s="476" t="s">
        <v>314</v>
      </c>
      <c r="AE129" s="476">
        <v>0</v>
      </c>
      <c r="AF129" s="476">
        <v>0</v>
      </c>
      <c r="AG129" s="476">
        <v>0</v>
      </c>
      <c r="AH129" s="476">
        <v>0</v>
      </c>
      <c r="AI129" s="476">
        <v>0</v>
      </c>
      <c r="AJ129" s="476">
        <v>6160</v>
      </c>
      <c r="AK129" s="476" t="s">
        <v>651</v>
      </c>
      <c r="AL129" s="476" t="s">
        <v>806</v>
      </c>
      <c r="AM129" s="476">
        <v>0</v>
      </c>
      <c r="AN129" s="476">
        <v>0</v>
      </c>
      <c r="AO129" s="476">
        <v>0</v>
      </c>
      <c r="AP129" s="476">
        <v>0</v>
      </c>
      <c r="AQ129" s="476">
        <v>0</v>
      </c>
      <c r="AR129" s="476">
        <v>0</v>
      </c>
      <c r="AS129" s="476">
        <v>0</v>
      </c>
      <c r="AT129" s="476">
        <v>0</v>
      </c>
      <c r="AU129" s="476">
        <v>0</v>
      </c>
      <c r="AV129" s="476">
        <v>0</v>
      </c>
      <c r="AW129" s="476">
        <v>3027322</v>
      </c>
      <c r="AX129" s="476">
        <v>3028098</v>
      </c>
      <c r="AY129" s="476">
        <v>0</v>
      </c>
      <c r="AZ129" s="476">
        <v>131227</v>
      </c>
      <c r="BA129" s="476">
        <v>0</v>
      </c>
      <c r="BB129" s="476">
        <v>4689</v>
      </c>
      <c r="BC129" s="476">
        <v>4659</v>
      </c>
      <c r="BD129" s="476">
        <v>11</v>
      </c>
      <c r="BE129" s="476">
        <v>30</v>
      </c>
      <c r="BF129" s="476">
        <v>2745612</v>
      </c>
      <c r="BG129" s="476">
        <v>0</v>
      </c>
      <c r="BH129" s="476">
        <v>0</v>
      </c>
      <c r="BI129" s="476">
        <v>0</v>
      </c>
      <c r="BJ129" s="476">
        <v>12</v>
      </c>
      <c r="BK129" s="476">
        <v>0</v>
      </c>
      <c r="BL129" s="476">
        <v>0</v>
      </c>
      <c r="BM129" s="476">
        <v>0</v>
      </c>
      <c r="BN129" s="476">
        <v>0</v>
      </c>
      <c r="BO129" s="476">
        <v>0</v>
      </c>
      <c r="BP129" s="476">
        <v>0</v>
      </c>
      <c r="BQ129" s="476">
        <v>723</v>
      </c>
      <c r="BR129" s="476">
        <v>0</v>
      </c>
      <c r="BS129" s="476">
        <v>0</v>
      </c>
      <c r="BT129" s="476">
        <v>0</v>
      </c>
      <c r="BU129" s="476">
        <v>0</v>
      </c>
      <c r="BV129" s="476">
        <v>0</v>
      </c>
      <c r="BW129" s="476">
        <v>0</v>
      </c>
      <c r="BX129" s="476">
        <v>0</v>
      </c>
      <c r="BY129" s="476">
        <v>0</v>
      </c>
      <c r="BZ129" s="476">
        <v>0</v>
      </c>
      <c r="CA129" s="476">
        <v>0</v>
      </c>
      <c r="CB129" s="476">
        <v>0</v>
      </c>
      <c r="CC129" s="476">
        <v>0</v>
      </c>
      <c r="CD129" s="476">
        <v>0</v>
      </c>
      <c r="CE129" s="476">
        <v>0</v>
      </c>
      <c r="CF129" s="476">
        <v>0</v>
      </c>
      <c r="CG129" s="476">
        <v>0</v>
      </c>
      <c r="CH129" s="476">
        <v>0</v>
      </c>
      <c r="CI129" s="476">
        <v>0</v>
      </c>
      <c r="CJ129" s="476">
        <v>4</v>
      </c>
      <c r="CK129" s="476">
        <v>0</v>
      </c>
      <c r="CL129" s="476">
        <v>0</v>
      </c>
      <c r="CM129" s="476">
        <v>0</v>
      </c>
      <c r="CN129" s="476">
        <v>0</v>
      </c>
      <c r="CO129" s="476">
        <v>1</v>
      </c>
      <c r="CP129" s="476">
        <v>0</v>
      </c>
      <c r="CQ129" s="476">
        <v>0</v>
      </c>
      <c r="CR129" s="476">
        <v>316.29700000000003</v>
      </c>
      <c r="CS129" s="476">
        <v>0</v>
      </c>
      <c r="CT129" s="476">
        <v>0</v>
      </c>
      <c r="CU129" s="476">
        <v>0</v>
      </c>
      <c r="CV129" s="476">
        <v>0</v>
      </c>
      <c r="CW129" s="476">
        <v>0</v>
      </c>
      <c r="CX129" s="476">
        <v>0</v>
      </c>
      <c r="CY129" s="476">
        <v>0</v>
      </c>
      <c r="CZ129" s="476">
        <v>0</v>
      </c>
      <c r="DA129" s="476">
        <v>0</v>
      </c>
      <c r="DB129" s="476">
        <v>1892919</v>
      </c>
      <c r="DC129" s="476">
        <v>0</v>
      </c>
      <c r="DD129" s="476">
        <v>0</v>
      </c>
      <c r="DE129" s="476">
        <v>229686</v>
      </c>
      <c r="DF129" s="476">
        <v>229686</v>
      </c>
      <c r="DG129" s="476">
        <v>37.288000000000004</v>
      </c>
      <c r="DH129" s="476">
        <v>0</v>
      </c>
      <c r="DI129" s="476">
        <v>0</v>
      </c>
      <c r="DJ129" s="476">
        <v>0</v>
      </c>
      <c r="DK129" s="476">
        <v>3185</v>
      </c>
      <c r="DL129" s="476">
        <v>0</v>
      </c>
      <c r="DM129" s="476">
        <v>216953</v>
      </c>
      <c r="DN129" s="476">
        <v>746</v>
      </c>
      <c r="DO129" s="476">
        <v>0</v>
      </c>
      <c r="DP129" s="476">
        <v>0</v>
      </c>
      <c r="DQ129" s="476">
        <v>0</v>
      </c>
      <c r="DR129" s="476">
        <v>0</v>
      </c>
      <c r="DS129" s="476">
        <v>0</v>
      </c>
      <c r="DT129" s="476">
        <v>0</v>
      </c>
      <c r="DU129" s="476">
        <v>0</v>
      </c>
      <c r="DV129" s="476">
        <v>0</v>
      </c>
      <c r="DW129" s="476">
        <v>0</v>
      </c>
      <c r="DX129" s="476">
        <v>0</v>
      </c>
      <c r="DY129" s="476">
        <v>0</v>
      </c>
      <c r="DZ129" s="476">
        <v>0</v>
      </c>
      <c r="EA129" s="476">
        <v>4.9000000000000002E-2</v>
      </c>
      <c r="EB129" s="476">
        <v>0</v>
      </c>
      <c r="EC129" s="476">
        <v>5.65</v>
      </c>
      <c r="ED129" s="476">
        <v>40024</v>
      </c>
      <c r="EE129" s="476">
        <v>0</v>
      </c>
      <c r="EF129" s="476">
        <v>0</v>
      </c>
      <c r="EG129" s="476">
        <v>0</v>
      </c>
      <c r="EH129" s="476">
        <v>177675</v>
      </c>
      <c r="EI129" s="476">
        <v>0</v>
      </c>
      <c r="EJ129" s="476">
        <v>0</v>
      </c>
      <c r="EK129" s="476">
        <v>6.6430000000000007</v>
      </c>
      <c r="EL129" s="476">
        <v>0.57800000000000007</v>
      </c>
      <c r="EM129" s="476">
        <v>1.43</v>
      </c>
      <c r="EN129" s="476">
        <v>0.876</v>
      </c>
      <c r="EO129" s="476">
        <v>0</v>
      </c>
      <c r="EP129" s="476">
        <v>0</v>
      </c>
      <c r="EQ129" s="476">
        <v>8.9980000000000011</v>
      </c>
      <c r="ER129" s="476">
        <v>0</v>
      </c>
      <c r="ES129" s="476">
        <v>28.844000000000001</v>
      </c>
      <c r="ET129" s="476">
        <v>0</v>
      </c>
      <c r="EU129" s="476">
        <v>0</v>
      </c>
      <c r="EV129" s="476">
        <v>0</v>
      </c>
      <c r="EW129" s="476">
        <v>0</v>
      </c>
      <c r="EX129" s="476">
        <v>0</v>
      </c>
      <c r="EY129" s="476">
        <v>0</v>
      </c>
      <c r="EZ129" s="476">
        <v>2614385</v>
      </c>
      <c r="FA129" s="476">
        <v>0</v>
      </c>
      <c r="FB129" s="476">
        <v>2744836</v>
      </c>
      <c r="FC129" s="476">
        <v>0</v>
      </c>
      <c r="FD129" s="476">
        <v>0</v>
      </c>
      <c r="FE129" s="476">
        <v>354508</v>
      </c>
      <c r="FF129" s="476">
        <v>59205</v>
      </c>
      <c r="FG129" s="476">
        <v>6.3017999999999991E-2</v>
      </c>
      <c r="FH129" s="476">
        <v>2.6953999999999999E-2</v>
      </c>
      <c r="FI129" s="476">
        <v>0</v>
      </c>
      <c r="FJ129" s="476">
        <v>0</v>
      </c>
      <c r="FK129" s="476">
        <v>445.726</v>
      </c>
      <c r="FL129" s="476">
        <v>3158549</v>
      </c>
      <c r="FM129" s="476">
        <v>0</v>
      </c>
      <c r="FN129" s="476">
        <v>0</v>
      </c>
      <c r="FO129" s="476">
        <v>0</v>
      </c>
      <c r="FP129" s="476">
        <v>0</v>
      </c>
      <c r="FQ129" s="476">
        <v>0</v>
      </c>
      <c r="FR129" s="476">
        <v>0</v>
      </c>
      <c r="FS129" s="476">
        <v>0</v>
      </c>
      <c r="FT129" s="476">
        <v>0</v>
      </c>
      <c r="FU129" s="476">
        <v>0</v>
      </c>
      <c r="FV129" s="476">
        <v>0</v>
      </c>
      <c r="FW129" s="476">
        <v>0</v>
      </c>
      <c r="FX129" s="476">
        <v>0</v>
      </c>
      <c r="FY129" s="476">
        <v>0</v>
      </c>
      <c r="FZ129" s="476">
        <v>0</v>
      </c>
      <c r="GA129" s="476">
        <v>0</v>
      </c>
      <c r="GB129" s="476">
        <v>0</v>
      </c>
      <c r="GC129" s="476">
        <v>0</v>
      </c>
      <c r="GD129" s="476">
        <v>0</v>
      </c>
      <c r="GE129" s="476">
        <v>0</v>
      </c>
      <c r="GF129" s="476">
        <v>0</v>
      </c>
      <c r="GG129" s="476">
        <v>0</v>
      </c>
      <c r="GH129" s="476">
        <v>0</v>
      </c>
      <c r="GI129" s="476">
        <v>0</v>
      </c>
      <c r="GJ129" s="476">
        <v>0</v>
      </c>
      <c r="GK129" s="476">
        <v>0</v>
      </c>
      <c r="GL129" s="476">
        <v>0</v>
      </c>
      <c r="GM129" s="476">
        <v>0</v>
      </c>
      <c r="GN129" s="476">
        <v>0</v>
      </c>
      <c r="GO129" s="476">
        <v>0</v>
      </c>
      <c r="GP129" s="476">
        <v>0</v>
      </c>
      <c r="GQ129" s="476">
        <v>3027322</v>
      </c>
      <c r="GR129" s="476">
        <v>0</v>
      </c>
      <c r="GS129" s="476">
        <v>0</v>
      </c>
      <c r="GT129" s="476">
        <v>0</v>
      </c>
      <c r="GU129" s="476">
        <v>0</v>
      </c>
      <c r="GV129" s="476">
        <v>0</v>
      </c>
      <c r="GW129" s="476">
        <v>0</v>
      </c>
      <c r="GX129" s="476">
        <v>0</v>
      </c>
      <c r="GY129" s="476">
        <v>0</v>
      </c>
      <c r="GZ129" s="476">
        <v>0</v>
      </c>
      <c r="HA129" s="476">
        <v>0</v>
      </c>
      <c r="HB129" s="476">
        <v>0</v>
      </c>
      <c r="HC129" s="476">
        <v>4.2206E-2</v>
      </c>
      <c r="HD129" s="476">
        <v>0</v>
      </c>
      <c r="HE129" s="476">
        <v>0</v>
      </c>
      <c r="HF129" s="476">
        <v>338643</v>
      </c>
      <c r="HG129" s="476">
        <v>6160</v>
      </c>
      <c r="HH129" s="476">
        <v>44520</v>
      </c>
      <c r="HI129" s="476">
        <v>0</v>
      </c>
      <c r="HJ129" s="476">
        <v>3163</v>
      </c>
      <c r="HK129" s="476">
        <v>0</v>
      </c>
      <c r="HL129" s="476">
        <v>0</v>
      </c>
      <c r="HM129" s="476">
        <v>0</v>
      </c>
      <c r="HN129" s="476">
        <v>0</v>
      </c>
      <c r="HO129" s="476">
        <v>0</v>
      </c>
      <c r="HP129" s="476">
        <v>0</v>
      </c>
      <c r="HQ129" s="476">
        <v>0</v>
      </c>
      <c r="HR129" s="476">
        <v>0</v>
      </c>
      <c r="HS129" s="476">
        <v>2613609</v>
      </c>
      <c r="HT129" s="476">
        <v>59205</v>
      </c>
      <c r="HU129" s="476">
        <v>0</v>
      </c>
      <c r="HV129" s="476">
        <v>0</v>
      </c>
      <c r="HW129" s="476">
        <v>0</v>
      </c>
      <c r="HX129" s="476">
        <v>73</v>
      </c>
      <c r="HY129" s="476">
        <v>48</v>
      </c>
      <c r="HZ129" s="476">
        <v>27</v>
      </c>
      <c r="IA129" s="476">
        <v>3</v>
      </c>
      <c r="IB129" s="476">
        <v>7</v>
      </c>
      <c r="IC129" s="476">
        <v>158</v>
      </c>
      <c r="ID129" s="476">
        <v>0</v>
      </c>
      <c r="IE129" s="476">
        <v>0</v>
      </c>
      <c r="IF129" s="476">
        <v>0</v>
      </c>
      <c r="IG129" s="476">
        <v>10</v>
      </c>
      <c r="IH129" s="476">
        <v>72.275000000000006</v>
      </c>
      <c r="II129" s="476">
        <v>0</v>
      </c>
      <c r="IJ129" s="476">
        <v>13.203000000000001</v>
      </c>
      <c r="IK129" s="476">
        <v>0</v>
      </c>
      <c r="IL129" s="476">
        <v>0</v>
      </c>
      <c r="IM129" s="476">
        <v>0</v>
      </c>
      <c r="IN129" s="476">
        <v>0</v>
      </c>
      <c r="IO129" s="476">
        <v>0</v>
      </c>
      <c r="IP129" s="476">
        <v>0</v>
      </c>
      <c r="IQ129" s="476">
        <v>13.203000000000001</v>
      </c>
      <c r="IR129" s="476">
        <v>8133</v>
      </c>
      <c r="IS129" s="476">
        <v>0</v>
      </c>
      <c r="IT129" s="476">
        <v>0</v>
      </c>
      <c r="IU129" s="476">
        <v>0</v>
      </c>
      <c r="IV129" s="476">
        <v>0</v>
      </c>
      <c r="IW129" s="476">
        <v>6160</v>
      </c>
      <c r="IX129" s="476">
        <v>0</v>
      </c>
      <c r="IY129" s="476">
        <v>0</v>
      </c>
      <c r="IZ129" s="476">
        <v>0</v>
      </c>
      <c r="JA129" s="476">
        <v>0</v>
      </c>
      <c r="JB129" s="476">
        <v>0</v>
      </c>
      <c r="JC129" s="476">
        <v>0</v>
      </c>
      <c r="JD129" s="476">
        <v>0</v>
      </c>
      <c r="JE129" s="476">
        <v>0</v>
      </c>
      <c r="JF129" s="476">
        <v>0</v>
      </c>
      <c r="JG129" s="476">
        <v>0</v>
      </c>
      <c r="JH129" s="476">
        <v>0</v>
      </c>
      <c r="JI129" s="476">
        <v>0</v>
      </c>
      <c r="JJ129" s="476">
        <v>0</v>
      </c>
      <c r="JK129" s="476">
        <v>0</v>
      </c>
      <c r="JL129" s="476">
        <v>0</v>
      </c>
      <c r="JM129" s="476">
        <v>0</v>
      </c>
      <c r="JN129" s="476">
        <v>0</v>
      </c>
      <c r="JO129" s="476">
        <v>0</v>
      </c>
      <c r="JP129" s="476">
        <v>0</v>
      </c>
      <c r="JQ129" s="476">
        <v>0</v>
      </c>
      <c r="JR129" s="476">
        <v>0</v>
      </c>
      <c r="JS129" s="476">
        <v>0</v>
      </c>
      <c r="JT129" s="476">
        <v>0</v>
      </c>
      <c r="JU129" s="476">
        <v>4743</v>
      </c>
      <c r="JV129" s="476">
        <v>0</v>
      </c>
      <c r="JW129" s="476">
        <v>0</v>
      </c>
      <c r="JX129" s="476">
        <v>0</v>
      </c>
      <c r="JY129" s="476">
        <v>0</v>
      </c>
      <c r="JZ129" s="476">
        <v>0</v>
      </c>
      <c r="KA129" s="476">
        <v>0</v>
      </c>
      <c r="KB129" s="476">
        <v>0</v>
      </c>
      <c r="KC129" s="476">
        <v>0</v>
      </c>
      <c r="KD129" s="476">
        <v>4743</v>
      </c>
      <c r="KE129" s="476">
        <v>7262</v>
      </c>
      <c r="KF129" s="476">
        <v>0</v>
      </c>
      <c r="KG129" s="476">
        <v>0</v>
      </c>
      <c r="KH129" s="476">
        <v>3027322</v>
      </c>
      <c r="KI129" s="476">
        <v>0</v>
      </c>
      <c r="KJ129" s="476">
        <v>5</v>
      </c>
      <c r="KK129" s="476">
        <v>5</v>
      </c>
      <c r="KL129" s="476">
        <v>3080</v>
      </c>
      <c r="KM129" s="476">
        <v>3080</v>
      </c>
      <c r="KN129" s="476">
        <v>0</v>
      </c>
    </row>
    <row r="130" spans="1:300" x14ac:dyDescent="0.25">
      <c r="A130" s="476">
        <v>40976</v>
      </c>
      <c r="B130" s="476">
        <v>108802</v>
      </c>
      <c r="C130" s="476">
        <v>9</v>
      </c>
      <c r="D130" s="476">
        <v>2024</v>
      </c>
      <c r="E130" s="476">
        <v>6160</v>
      </c>
      <c r="F130" s="476">
        <v>0</v>
      </c>
      <c r="G130" s="476">
        <v>1198.0550000000001</v>
      </c>
      <c r="H130" s="476">
        <v>1166.932</v>
      </c>
      <c r="I130" s="476">
        <v>1166.932</v>
      </c>
      <c r="J130" s="476">
        <v>1198.0550000000001</v>
      </c>
      <c r="K130" s="476">
        <v>0</v>
      </c>
      <c r="L130" s="476">
        <v>6160</v>
      </c>
      <c r="M130" s="476">
        <v>0</v>
      </c>
      <c r="N130" s="476">
        <v>0</v>
      </c>
      <c r="O130" s="476">
        <v>0</v>
      </c>
      <c r="P130" s="476">
        <v>1203.9480000000001</v>
      </c>
      <c r="Q130" s="476">
        <v>0</v>
      </c>
      <c r="R130" s="476">
        <v>499499</v>
      </c>
      <c r="S130" s="476">
        <v>414.88400000000001</v>
      </c>
      <c r="T130" s="476">
        <v>0</v>
      </c>
      <c r="U130" s="476">
        <v>0</v>
      </c>
      <c r="V130" s="476">
        <v>370.00700000000001</v>
      </c>
      <c r="W130" s="476">
        <v>227919</v>
      </c>
      <c r="X130" s="476">
        <v>227919</v>
      </c>
      <c r="Y130" s="476">
        <v>0</v>
      </c>
      <c r="Z130" s="476">
        <v>0</v>
      </c>
      <c r="AA130" s="476">
        <v>0</v>
      </c>
      <c r="AB130" s="476">
        <v>0</v>
      </c>
      <c r="AC130" s="476">
        <v>0</v>
      </c>
      <c r="AD130" s="476" t="s">
        <v>314</v>
      </c>
      <c r="AE130" s="476">
        <v>0</v>
      </c>
      <c r="AF130" s="476">
        <v>0</v>
      </c>
      <c r="AG130" s="476">
        <v>0</v>
      </c>
      <c r="AH130" s="476">
        <v>0</v>
      </c>
      <c r="AI130" s="476">
        <v>0</v>
      </c>
      <c r="AJ130" s="476">
        <v>6160</v>
      </c>
      <c r="AK130" s="476" t="s">
        <v>651</v>
      </c>
      <c r="AL130" s="476" t="s">
        <v>352</v>
      </c>
      <c r="AM130" s="476">
        <v>0</v>
      </c>
      <c r="AN130" s="476">
        <v>0</v>
      </c>
      <c r="AO130" s="476">
        <v>0</v>
      </c>
      <c r="AP130" s="476">
        <v>0</v>
      </c>
      <c r="AQ130" s="476">
        <v>0</v>
      </c>
      <c r="AR130" s="476">
        <v>0</v>
      </c>
      <c r="AS130" s="476">
        <v>0</v>
      </c>
      <c r="AT130" s="476">
        <v>0</v>
      </c>
      <c r="AU130" s="476">
        <v>0</v>
      </c>
      <c r="AV130" s="476">
        <v>0</v>
      </c>
      <c r="AW130" s="476">
        <v>12957636</v>
      </c>
      <c r="AX130" s="476">
        <v>12757970</v>
      </c>
      <c r="AY130" s="476">
        <v>0</v>
      </c>
      <c r="AZ130" s="476">
        <v>499499</v>
      </c>
      <c r="BA130" s="476">
        <v>107.417</v>
      </c>
      <c r="BB130" s="476">
        <v>23017</v>
      </c>
      <c r="BC130" s="476">
        <v>22870</v>
      </c>
      <c r="BD130" s="476">
        <v>54</v>
      </c>
      <c r="BE130" s="476">
        <v>147</v>
      </c>
      <c r="BF130" s="476">
        <v>11521402</v>
      </c>
      <c r="BG130" s="476">
        <v>0</v>
      </c>
      <c r="BH130" s="476">
        <v>0</v>
      </c>
      <c r="BI130" s="476">
        <v>0</v>
      </c>
      <c r="BJ130" s="476">
        <v>12</v>
      </c>
      <c r="BK130" s="476">
        <v>0</v>
      </c>
      <c r="BL130" s="476">
        <v>0</v>
      </c>
      <c r="BM130" s="476">
        <v>0</v>
      </c>
      <c r="BN130" s="476">
        <v>0</v>
      </c>
      <c r="BO130" s="476">
        <v>0</v>
      </c>
      <c r="BP130" s="476">
        <v>0</v>
      </c>
      <c r="BQ130" s="476">
        <v>590</v>
      </c>
      <c r="BR130" s="476">
        <v>0</v>
      </c>
      <c r="BS130" s="476">
        <v>0</v>
      </c>
      <c r="BT130" s="476">
        <v>0</v>
      </c>
      <c r="BU130" s="476">
        <v>0</v>
      </c>
      <c r="BV130" s="476">
        <v>0</v>
      </c>
      <c r="BW130" s="476">
        <v>0</v>
      </c>
      <c r="BX130" s="476">
        <v>0</v>
      </c>
      <c r="BY130" s="476">
        <v>0</v>
      </c>
      <c r="BZ130" s="476">
        <v>0</v>
      </c>
      <c r="CA130" s="476">
        <v>0</v>
      </c>
      <c r="CB130" s="476">
        <v>0</v>
      </c>
      <c r="CC130" s="476">
        <v>0</v>
      </c>
      <c r="CD130" s="476">
        <v>0</v>
      </c>
      <c r="CE130" s="476">
        <v>0</v>
      </c>
      <c r="CF130" s="476">
        <v>0</v>
      </c>
      <c r="CG130" s="476">
        <v>0</v>
      </c>
      <c r="CH130" s="476">
        <v>202262</v>
      </c>
      <c r="CI130" s="476">
        <v>0</v>
      </c>
      <c r="CJ130" s="476">
        <v>4</v>
      </c>
      <c r="CK130" s="476">
        <v>0</v>
      </c>
      <c r="CL130" s="476">
        <v>0</v>
      </c>
      <c r="CM130" s="476">
        <v>0</v>
      </c>
      <c r="CN130" s="476">
        <v>0</v>
      </c>
      <c r="CO130" s="476">
        <v>1</v>
      </c>
      <c r="CP130" s="476">
        <v>0</v>
      </c>
      <c r="CQ130" s="476">
        <v>5.6670000000000007</v>
      </c>
      <c r="CR130" s="476">
        <v>1198.0550000000001</v>
      </c>
      <c r="CS130" s="476">
        <v>0</v>
      </c>
      <c r="CT130" s="476">
        <v>0</v>
      </c>
      <c r="CU130" s="476">
        <v>0</v>
      </c>
      <c r="CV130" s="476">
        <v>0</v>
      </c>
      <c r="CW130" s="476">
        <v>0</v>
      </c>
      <c r="CX130" s="476">
        <v>0</v>
      </c>
      <c r="CY130" s="476">
        <v>0</v>
      </c>
      <c r="CZ130" s="476">
        <v>0</v>
      </c>
      <c r="DA130" s="476">
        <v>0</v>
      </c>
      <c r="DB130" s="476">
        <v>7188138</v>
      </c>
      <c r="DC130" s="476">
        <v>0</v>
      </c>
      <c r="DD130" s="476">
        <v>0</v>
      </c>
      <c r="DE130" s="476">
        <v>1624663</v>
      </c>
      <c r="DF130" s="476">
        <v>1624663</v>
      </c>
      <c r="DG130" s="476">
        <v>263.75</v>
      </c>
      <c r="DH130" s="476">
        <v>0</v>
      </c>
      <c r="DI130" s="476">
        <v>0</v>
      </c>
      <c r="DJ130" s="476">
        <v>0</v>
      </c>
      <c r="DK130" s="476">
        <v>1067</v>
      </c>
      <c r="DL130" s="476">
        <v>0</v>
      </c>
      <c r="DM130" s="476">
        <v>712423</v>
      </c>
      <c r="DN130" s="476">
        <v>2449</v>
      </c>
      <c r="DO130" s="476">
        <v>0</v>
      </c>
      <c r="DP130" s="476">
        <v>0</v>
      </c>
      <c r="DQ130" s="476">
        <v>0</v>
      </c>
      <c r="DR130" s="476">
        <v>0</v>
      </c>
      <c r="DS130" s="476">
        <v>0</v>
      </c>
      <c r="DT130" s="476">
        <v>0</v>
      </c>
      <c r="DU130" s="476">
        <v>0</v>
      </c>
      <c r="DV130" s="476">
        <v>0</v>
      </c>
      <c r="DW130" s="476">
        <v>0</v>
      </c>
      <c r="DX130" s="476">
        <v>0</v>
      </c>
      <c r="DY130" s="476">
        <v>0</v>
      </c>
      <c r="DZ130" s="476">
        <v>0</v>
      </c>
      <c r="EA130" s="476">
        <v>0</v>
      </c>
      <c r="EB130" s="476">
        <v>0</v>
      </c>
      <c r="EC130" s="476">
        <v>24.508000000000003</v>
      </c>
      <c r="ED130" s="476">
        <v>173611</v>
      </c>
      <c r="EE130" s="476">
        <v>0</v>
      </c>
      <c r="EF130" s="476">
        <v>0</v>
      </c>
      <c r="EG130" s="476">
        <v>0</v>
      </c>
      <c r="EH130" s="476">
        <v>541261</v>
      </c>
      <c r="EI130" s="476">
        <v>0</v>
      </c>
      <c r="EJ130" s="476">
        <v>0</v>
      </c>
      <c r="EK130" s="476">
        <v>24.505000000000003</v>
      </c>
      <c r="EL130" s="476">
        <v>8.900000000000001E-2</v>
      </c>
      <c r="EM130" s="476">
        <v>0.28300000000000003</v>
      </c>
      <c r="EN130" s="476">
        <v>2.7010000000000001</v>
      </c>
      <c r="EO130" s="476">
        <v>0</v>
      </c>
      <c r="EP130" s="476">
        <v>0</v>
      </c>
      <c r="EQ130" s="476">
        <v>27.489000000000001</v>
      </c>
      <c r="ER130" s="476">
        <v>0</v>
      </c>
      <c r="ES130" s="476">
        <v>87.869</v>
      </c>
      <c r="ET130" s="476">
        <v>0</v>
      </c>
      <c r="EU130" s="476">
        <v>0</v>
      </c>
      <c r="EV130" s="476">
        <v>0</v>
      </c>
      <c r="EW130" s="476">
        <v>0</v>
      </c>
      <c r="EX130" s="476">
        <v>0</v>
      </c>
      <c r="EY130" s="476">
        <v>0</v>
      </c>
      <c r="EZ130" s="476">
        <v>11021903</v>
      </c>
      <c r="FA130" s="476">
        <v>0</v>
      </c>
      <c r="FB130" s="476">
        <v>11518806</v>
      </c>
      <c r="FC130" s="476">
        <v>0</v>
      </c>
      <c r="FD130" s="476">
        <v>0</v>
      </c>
      <c r="FE130" s="476">
        <v>1487623</v>
      </c>
      <c r="FF130" s="476">
        <v>248444</v>
      </c>
      <c r="FG130" s="476">
        <v>6.3017999999999991E-2</v>
      </c>
      <c r="FH130" s="476">
        <v>2.6953999999999999E-2</v>
      </c>
      <c r="FI130" s="476">
        <v>0</v>
      </c>
      <c r="FJ130" s="476">
        <v>0</v>
      </c>
      <c r="FK130" s="476">
        <v>1870.4</v>
      </c>
      <c r="FL130" s="476">
        <v>13457135</v>
      </c>
      <c r="FM130" s="476">
        <v>0</v>
      </c>
      <c r="FN130" s="476">
        <v>0</v>
      </c>
      <c r="FO130" s="476">
        <v>0</v>
      </c>
      <c r="FP130" s="476">
        <v>0</v>
      </c>
      <c r="FQ130" s="476">
        <v>0</v>
      </c>
      <c r="FR130" s="476">
        <v>0</v>
      </c>
      <c r="FS130" s="476">
        <v>0</v>
      </c>
      <c r="FT130" s="476">
        <v>0</v>
      </c>
      <c r="FU130" s="476">
        <v>0</v>
      </c>
      <c r="FV130" s="476">
        <v>0</v>
      </c>
      <c r="FW130" s="476">
        <v>0</v>
      </c>
      <c r="FX130" s="476">
        <v>0</v>
      </c>
      <c r="FY130" s="476">
        <v>0</v>
      </c>
      <c r="FZ130" s="476">
        <v>0</v>
      </c>
      <c r="GA130" s="476">
        <v>0</v>
      </c>
      <c r="GB130" s="476">
        <v>33779</v>
      </c>
      <c r="GC130" s="476">
        <v>33779</v>
      </c>
      <c r="GD130" s="476">
        <v>3.6340000000000003</v>
      </c>
      <c r="GE130" s="476">
        <v>0</v>
      </c>
      <c r="GF130" s="476">
        <v>0</v>
      </c>
      <c r="GG130" s="476">
        <v>0</v>
      </c>
      <c r="GH130" s="476">
        <v>0</v>
      </c>
      <c r="GI130" s="476">
        <v>0</v>
      </c>
      <c r="GJ130" s="476">
        <v>0</v>
      </c>
      <c r="GK130" s="476">
        <v>0</v>
      </c>
      <c r="GL130" s="476">
        <v>0</v>
      </c>
      <c r="GM130" s="476">
        <v>0</v>
      </c>
      <c r="GN130" s="476">
        <v>0</v>
      </c>
      <c r="GO130" s="476">
        <v>0</v>
      </c>
      <c r="GP130" s="476">
        <v>0</v>
      </c>
      <c r="GQ130" s="476">
        <v>12755374</v>
      </c>
      <c r="GR130" s="476">
        <v>0</v>
      </c>
      <c r="GS130" s="476">
        <v>0</v>
      </c>
      <c r="GT130" s="476">
        <v>0</v>
      </c>
      <c r="GU130" s="476">
        <v>0</v>
      </c>
      <c r="GV130" s="476">
        <v>0</v>
      </c>
      <c r="GW130" s="476">
        <v>0</v>
      </c>
      <c r="GX130" s="476">
        <v>0</v>
      </c>
      <c r="GY130" s="476">
        <v>0</v>
      </c>
      <c r="GZ130" s="476">
        <v>0</v>
      </c>
      <c r="HA130" s="476">
        <v>0</v>
      </c>
      <c r="HB130" s="476">
        <v>323396213</v>
      </c>
      <c r="HC130" s="476">
        <v>4.2206E-2</v>
      </c>
      <c r="HD130" s="476">
        <v>202262</v>
      </c>
      <c r="HE130" s="476">
        <v>0</v>
      </c>
      <c r="HF130" s="476">
        <v>1285959</v>
      </c>
      <c r="HG130" s="476">
        <v>4928</v>
      </c>
      <c r="HH130" s="476">
        <v>406146</v>
      </c>
      <c r="HI130" s="476">
        <v>0</v>
      </c>
      <c r="HJ130" s="476">
        <v>11981</v>
      </c>
      <c r="HK130" s="476">
        <v>0</v>
      </c>
      <c r="HL130" s="476">
        <v>0</v>
      </c>
      <c r="HM130" s="476">
        <v>0</v>
      </c>
      <c r="HN130" s="476">
        <v>0</v>
      </c>
      <c r="HO130" s="476">
        <v>0</v>
      </c>
      <c r="HP130" s="476">
        <v>0</v>
      </c>
      <c r="HQ130" s="476">
        <v>0</v>
      </c>
      <c r="HR130" s="476">
        <v>0</v>
      </c>
      <c r="HS130" s="476">
        <v>11019307</v>
      </c>
      <c r="HT130" s="476">
        <v>248444</v>
      </c>
      <c r="HU130" s="476">
        <v>0</v>
      </c>
      <c r="HV130" s="476">
        <v>0</v>
      </c>
      <c r="HW130" s="476">
        <v>0</v>
      </c>
      <c r="HX130" s="476">
        <v>203</v>
      </c>
      <c r="HY130" s="476">
        <v>196</v>
      </c>
      <c r="HZ130" s="476">
        <v>223</v>
      </c>
      <c r="IA130" s="476">
        <v>264</v>
      </c>
      <c r="IB130" s="476">
        <v>169</v>
      </c>
      <c r="IC130" s="476">
        <v>1055</v>
      </c>
      <c r="ID130" s="476">
        <v>0</v>
      </c>
      <c r="IE130" s="476">
        <v>0</v>
      </c>
      <c r="IF130" s="476">
        <v>0</v>
      </c>
      <c r="IG130" s="476">
        <v>8</v>
      </c>
      <c r="IH130" s="476">
        <v>659.34300000000007</v>
      </c>
      <c r="II130" s="476">
        <v>0</v>
      </c>
      <c r="IJ130" s="476">
        <v>370.00700000000001</v>
      </c>
      <c r="IK130" s="476">
        <v>0</v>
      </c>
      <c r="IL130" s="476">
        <v>0</v>
      </c>
      <c r="IM130" s="476">
        <v>0</v>
      </c>
      <c r="IN130" s="476">
        <v>0</v>
      </c>
      <c r="IO130" s="476">
        <v>0</v>
      </c>
      <c r="IP130" s="476">
        <v>0</v>
      </c>
      <c r="IQ130" s="476">
        <v>370.00700000000001</v>
      </c>
      <c r="IR130" s="476">
        <v>227919</v>
      </c>
      <c r="IS130" s="476">
        <v>0</v>
      </c>
      <c r="IT130" s="476">
        <v>0</v>
      </c>
      <c r="IU130" s="476">
        <v>0</v>
      </c>
      <c r="IV130" s="476">
        <v>0</v>
      </c>
      <c r="IW130" s="476">
        <v>6160</v>
      </c>
      <c r="IX130" s="476">
        <v>0</v>
      </c>
      <c r="IY130" s="476">
        <v>0</v>
      </c>
      <c r="IZ130" s="476">
        <v>0</v>
      </c>
      <c r="JA130" s="476">
        <v>0</v>
      </c>
      <c r="JB130" s="476">
        <v>0</v>
      </c>
      <c r="JC130" s="476">
        <v>0</v>
      </c>
      <c r="JD130" s="476">
        <v>0</v>
      </c>
      <c r="JE130" s="476">
        <v>0</v>
      </c>
      <c r="JF130" s="476">
        <v>0</v>
      </c>
      <c r="JG130" s="476">
        <v>0</v>
      </c>
      <c r="JH130" s="476">
        <v>0</v>
      </c>
      <c r="JI130" s="476">
        <v>0</v>
      </c>
      <c r="JJ130" s="476">
        <v>0</v>
      </c>
      <c r="JK130" s="476">
        <v>0</v>
      </c>
      <c r="JL130" s="476">
        <v>0</v>
      </c>
      <c r="JM130" s="476">
        <v>0</v>
      </c>
      <c r="JN130" s="476">
        <v>32469</v>
      </c>
      <c r="JO130" s="476">
        <v>0</v>
      </c>
      <c r="JP130" s="476">
        <v>3.6340000000000003</v>
      </c>
      <c r="JQ130" s="476">
        <v>0</v>
      </c>
      <c r="JR130" s="476">
        <v>0</v>
      </c>
      <c r="JS130" s="476">
        <v>33779</v>
      </c>
      <c r="JT130" s="476">
        <v>0</v>
      </c>
      <c r="JU130" s="476">
        <v>23284</v>
      </c>
      <c r="JV130" s="476">
        <v>0</v>
      </c>
      <c r="JW130" s="476">
        <v>0</v>
      </c>
      <c r="JX130" s="476">
        <v>0</v>
      </c>
      <c r="JY130" s="476">
        <v>0</v>
      </c>
      <c r="JZ130" s="476">
        <v>0</v>
      </c>
      <c r="KA130" s="476">
        <v>0</v>
      </c>
      <c r="KB130" s="476">
        <v>0</v>
      </c>
      <c r="KC130" s="476">
        <v>0</v>
      </c>
      <c r="KD130" s="476">
        <v>23284</v>
      </c>
      <c r="KE130" s="476">
        <v>7262</v>
      </c>
      <c r="KF130" s="476">
        <v>0</v>
      </c>
      <c r="KG130" s="476">
        <v>0</v>
      </c>
      <c r="KH130" s="476">
        <v>12755374</v>
      </c>
      <c r="KI130" s="476">
        <v>0</v>
      </c>
      <c r="KJ130" s="476">
        <v>0</v>
      </c>
      <c r="KK130" s="476">
        <v>8</v>
      </c>
      <c r="KL130" s="476">
        <v>0</v>
      </c>
      <c r="KM130" s="476">
        <v>4928</v>
      </c>
      <c r="KN130" s="476">
        <v>0</v>
      </c>
    </row>
    <row r="131" spans="1:300" x14ac:dyDescent="0.25">
      <c r="A131" s="476">
        <v>40976</v>
      </c>
      <c r="B131" s="476">
        <v>108804</v>
      </c>
      <c r="C131" s="476">
        <v>9</v>
      </c>
      <c r="D131" s="476">
        <v>2024</v>
      </c>
      <c r="E131" s="476">
        <v>6160</v>
      </c>
      <c r="F131" s="476">
        <v>0</v>
      </c>
      <c r="G131" s="476">
        <v>437.673</v>
      </c>
      <c r="H131" s="476">
        <v>400.041</v>
      </c>
      <c r="I131" s="476">
        <v>400.041</v>
      </c>
      <c r="J131" s="476">
        <v>437.673</v>
      </c>
      <c r="K131" s="476">
        <v>0</v>
      </c>
      <c r="L131" s="476">
        <v>6160</v>
      </c>
      <c r="M131" s="476">
        <v>0</v>
      </c>
      <c r="N131" s="476">
        <v>0</v>
      </c>
      <c r="O131" s="476">
        <v>0</v>
      </c>
      <c r="P131" s="476">
        <v>437.673</v>
      </c>
      <c r="Q131" s="476">
        <v>0</v>
      </c>
      <c r="R131" s="476">
        <v>181584</v>
      </c>
      <c r="S131" s="476">
        <v>414.88400000000001</v>
      </c>
      <c r="T131" s="476">
        <v>0</v>
      </c>
      <c r="U131" s="476">
        <v>0</v>
      </c>
      <c r="V131" s="476">
        <v>135.44</v>
      </c>
      <c r="W131" s="476">
        <v>83429</v>
      </c>
      <c r="X131" s="476">
        <v>83429</v>
      </c>
      <c r="Y131" s="476">
        <v>0</v>
      </c>
      <c r="Z131" s="476">
        <v>0</v>
      </c>
      <c r="AA131" s="476">
        <v>0</v>
      </c>
      <c r="AB131" s="476">
        <v>0</v>
      </c>
      <c r="AC131" s="476">
        <v>0</v>
      </c>
      <c r="AD131" s="476" t="s">
        <v>314</v>
      </c>
      <c r="AE131" s="476">
        <v>0</v>
      </c>
      <c r="AF131" s="476">
        <v>0</v>
      </c>
      <c r="AG131" s="476">
        <v>0</v>
      </c>
      <c r="AH131" s="476">
        <v>0</v>
      </c>
      <c r="AI131" s="476">
        <v>0</v>
      </c>
      <c r="AJ131" s="476">
        <v>6160</v>
      </c>
      <c r="AK131" s="476" t="s">
        <v>651</v>
      </c>
      <c r="AL131" s="476" t="s">
        <v>460</v>
      </c>
      <c r="AM131" s="476">
        <v>0</v>
      </c>
      <c r="AN131" s="476">
        <v>0</v>
      </c>
      <c r="AO131" s="476">
        <v>0</v>
      </c>
      <c r="AP131" s="476">
        <v>0</v>
      </c>
      <c r="AQ131" s="476">
        <v>0</v>
      </c>
      <c r="AR131" s="476">
        <v>0</v>
      </c>
      <c r="AS131" s="476">
        <v>0</v>
      </c>
      <c r="AT131" s="476">
        <v>0</v>
      </c>
      <c r="AU131" s="476">
        <v>0</v>
      </c>
      <c r="AV131" s="476">
        <v>0</v>
      </c>
      <c r="AW131" s="476">
        <v>5184651</v>
      </c>
      <c r="AX131" s="476">
        <v>5112128</v>
      </c>
      <c r="AY131" s="476">
        <v>0</v>
      </c>
      <c r="AZ131" s="476">
        <v>181584</v>
      </c>
      <c r="BA131" s="476">
        <v>20.5</v>
      </c>
      <c r="BB131" s="476">
        <v>0</v>
      </c>
      <c r="BC131" s="476">
        <v>0</v>
      </c>
      <c r="BD131" s="476">
        <v>0</v>
      </c>
      <c r="BE131" s="476">
        <v>0</v>
      </c>
      <c r="BF131" s="476">
        <v>4512922</v>
      </c>
      <c r="BG131" s="476">
        <v>0</v>
      </c>
      <c r="BH131" s="476">
        <v>0</v>
      </c>
      <c r="BI131" s="476">
        <v>0</v>
      </c>
      <c r="BJ131" s="476">
        <v>12</v>
      </c>
      <c r="BK131" s="476">
        <v>0</v>
      </c>
      <c r="BL131" s="476">
        <v>0</v>
      </c>
      <c r="BM131" s="476">
        <v>0</v>
      </c>
      <c r="BN131" s="476">
        <v>0</v>
      </c>
      <c r="BO131" s="476">
        <v>0</v>
      </c>
      <c r="BP131" s="476">
        <v>0</v>
      </c>
      <c r="BQ131" s="476">
        <v>708</v>
      </c>
      <c r="BR131" s="476">
        <v>0</v>
      </c>
      <c r="BS131" s="476">
        <v>0</v>
      </c>
      <c r="BT131" s="476">
        <v>0</v>
      </c>
      <c r="BU131" s="476">
        <v>0</v>
      </c>
      <c r="BV131" s="476">
        <v>0</v>
      </c>
      <c r="BW131" s="476">
        <v>0</v>
      </c>
      <c r="BX131" s="476">
        <v>0</v>
      </c>
      <c r="BY131" s="476">
        <v>0</v>
      </c>
      <c r="BZ131" s="476">
        <v>0</v>
      </c>
      <c r="CA131" s="476">
        <v>0</v>
      </c>
      <c r="CB131" s="476">
        <v>0</v>
      </c>
      <c r="CC131" s="476">
        <v>0</v>
      </c>
      <c r="CD131" s="476">
        <v>0</v>
      </c>
      <c r="CE131" s="476">
        <v>0</v>
      </c>
      <c r="CF131" s="476">
        <v>0</v>
      </c>
      <c r="CG131" s="476">
        <v>0</v>
      </c>
      <c r="CH131" s="476">
        <v>73890</v>
      </c>
      <c r="CI131" s="476">
        <v>0</v>
      </c>
      <c r="CJ131" s="476">
        <v>4</v>
      </c>
      <c r="CK131" s="476">
        <v>0</v>
      </c>
      <c r="CL131" s="476">
        <v>0</v>
      </c>
      <c r="CM131" s="476">
        <v>0</v>
      </c>
      <c r="CN131" s="476">
        <v>0</v>
      </c>
      <c r="CO131" s="476">
        <v>1</v>
      </c>
      <c r="CP131" s="476">
        <v>2.8040000000000003</v>
      </c>
      <c r="CQ131" s="476">
        <v>11.667</v>
      </c>
      <c r="CR131" s="476">
        <v>437.673</v>
      </c>
      <c r="CS131" s="476">
        <v>0</v>
      </c>
      <c r="CT131" s="476">
        <v>0</v>
      </c>
      <c r="CU131" s="476">
        <v>0</v>
      </c>
      <c r="CV131" s="476">
        <v>0</v>
      </c>
      <c r="CW131" s="476">
        <v>0</v>
      </c>
      <c r="CX131" s="476">
        <v>0</v>
      </c>
      <c r="CY131" s="476">
        <v>0</v>
      </c>
      <c r="CZ131" s="476">
        <v>0</v>
      </c>
      <c r="DA131" s="476">
        <v>0</v>
      </c>
      <c r="DB131" s="476">
        <v>2464197</v>
      </c>
      <c r="DC131" s="476">
        <v>0</v>
      </c>
      <c r="DD131" s="476">
        <v>0</v>
      </c>
      <c r="DE131" s="476">
        <v>746575</v>
      </c>
      <c r="DF131" s="476">
        <v>788201</v>
      </c>
      <c r="DG131" s="476">
        <v>121.2</v>
      </c>
      <c r="DH131" s="476">
        <v>0</v>
      </c>
      <c r="DI131" s="476">
        <v>41626</v>
      </c>
      <c r="DJ131" s="476">
        <v>0</v>
      </c>
      <c r="DK131" s="476">
        <v>2957</v>
      </c>
      <c r="DL131" s="476">
        <v>0</v>
      </c>
      <c r="DM131" s="476">
        <v>397624</v>
      </c>
      <c r="DN131" s="476">
        <v>1367</v>
      </c>
      <c r="DO131" s="476">
        <v>0</v>
      </c>
      <c r="DP131" s="476">
        <v>0</v>
      </c>
      <c r="DQ131" s="476">
        <v>0</v>
      </c>
      <c r="DR131" s="476">
        <v>0</v>
      </c>
      <c r="DS131" s="476">
        <v>0</v>
      </c>
      <c r="DT131" s="476">
        <v>0</v>
      </c>
      <c r="DU131" s="476">
        <v>0</v>
      </c>
      <c r="DV131" s="476">
        <v>0</v>
      </c>
      <c r="DW131" s="476">
        <v>0</v>
      </c>
      <c r="DX131" s="476">
        <v>0</v>
      </c>
      <c r="DY131" s="476">
        <v>0</v>
      </c>
      <c r="DZ131" s="476">
        <v>0</v>
      </c>
      <c r="EA131" s="476">
        <v>5.3000000000000005E-2</v>
      </c>
      <c r="EB131" s="476">
        <v>0</v>
      </c>
      <c r="EC131" s="476">
        <v>48.832000000000001</v>
      </c>
      <c r="ED131" s="476">
        <v>345918</v>
      </c>
      <c r="EE131" s="476">
        <v>0</v>
      </c>
      <c r="EF131" s="476">
        <v>0</v>
      </c>
      <c r="EG131" s="476">
        <v>0</v>
      </c>
      <c r="EH131" s="476">
        <v>53073</v>
      </c>
      <c r="EI131" s="476">
        <v>0</v>
      </c>
      <c r="EJ131" s="476">
        <v>0</v>
      </c>
      <c r="EK131" s="476">
        <v>2.2869999999999999</v>
      </c>
      <c r="EL131" s="476">
        <v>0</v>
      </c>
      <c r="EM131" s="476">
        <v>0.32</v>
      </c>
      <c r="EN131" s="476">
        <v>0.10600000000000001</v>
      </c>
      <c r="EO131" s="476">
        <v>0</v>
      </c>
      <c r="EP131" s="476">
        <v>0</v>
      </c>
      <c r="EQ131" s="476">
        <v>2.766</v>
      </c>
      <c r="ER131" s="476">
        <v>0</v>
      </c>
      <c r="ES131" s="476">
        <v>8.6159999999999997</v>
      </c>
      <c r="ET131" s="476">
        <v>0</v>
      </c>
      <c r="EU131" s="476">
        <v>0</v>
      </c>
      <c r="EV131" s="476">
        <v>0</v>
      </c>
      <c r="EW131" s="476">
        <v>0</v>
      </c>
      <c r="EX131" s="476">
        <v>0</v>
      </c>
      <c r="EY131" s="476">
        <v>0</v>
      </c>
      <c r="EZ131" s="476">
        <v>4432112</v>
      </c>
      <c r="FA131" s="476">
        <v>0</v>
      </c>
      <c r="FB131" s="476">
        <v>4612329</v>
      </c>
      <c r="FC131" s="476">
        <v>0</v>
      </c>
      <c r="FD131" s="476">
        <v>0</v>
      </c>
      <c r="FE131" s="476">
        <v>582701</v>
      </c>
      <c r="FF131" s="476">
        <v>97315</v>
      </c>
      <c r="FG131" s="476">
        <v>6.3017999999999991E-2</v>
      </c>
      <c r="FH131" s="476">
        <v>2.6953999999999999E-2</v>
      </c>
      <c r="FI131" s="476">
        <v>0</v>
      </c>
      <c r="FJ131" s="476">
        <v>0</v>
      </c>
      <c r="FK131" s="476">
        <v>732.63400000000001</v>
      </c>
      <c r="FL131" s="476">
        <v>5366235</v>
      </c>
      <c r="FM131" s="476">
        <v>0</v>
      </c>
      <c r="FN131" s="476">
        <v>0</v>
      </c>
      <c r="FO131" s="476">
        <v>0</v>
      </c>
      <c r="FP131" s="476">
        <v>0</v>
      </c>
      <c r="FQ131" s="476">
        <v>0</v>
      </c>
      <c r="FR131" s="476">
        <v>0</v>
      </c>
      <c r="FS131" s="476">
        <v>0</v>
      </c>
      <c r="FT131" s="476">
        <v>0</v>
      </c>
      <c r="FU131" s="476">
        <v>0</v>
      </c>
      <c r="FV131" s="476">
        <v>0</v>
      </c>
      <c r="FW131" s="476">
        <v>0</v>
      </c>
      <c r="FX131" s="476">
        <v>0</v>
      </c>
      <c r="FY131" s="476">
        <v>0</v>
      </c>
      <c r="FZ131" s="476">
        <v>0</v>
      </c>
      <c r="GA131" s="476">
        <v>0</v>
      </c>
      <c r="GB131" s="476">
        <v>332266</v>
      </c>
      <c r="GC131" s="476">
        <v>332266</v>
      </c>
      <c r="GD131" s="476">
        <v>34.866</v>
      </c>
      <c r="GE131" s="476">
        <v>0</v>
      </c>
      <c r="GF131" s="476">
        <v>0</v>
      </c>
      <c r="GG131" s="476">
        <v>0</v>
      </c>
      <c r="GH131" s="476">
        <v>0</v>
      </c>
      <c r="GI131" s="476">
        <v>0</v>
      </c>
      <c r="GJ131" s="476">
        <v>0</v>
      </c>
      <c r="GK131" s="476">
        <v>0</v>
      </c>
      <c r="GL131" s="476">
        <v>0</v>
      </c>
      <c r="GM131" s="476">
        <v>0</v>
      </c>
      <c r="GN131" s="476">
        <v>0</v>
      </c>
      <c r="GO131" s="476">
        <v>0</v>
      </c>
      <c r="GP131" s="476">
        <v>0</v>
      </c>
      <c r="GQ131" s="476">
        <v>5110761</v>
      </c>
      <c r="GR131" s="476">
        <v>0</v>
      </c>
      <c r="GS131" s="476">
        <v>0</v>
      </c>
      <c r="GT131" s="476">
        <v>0</v>
      </c>
      <c r="GU131" s="476">
        <v>0</v>
      </c>
      <c r="GV131" s="476">
        <v>0</v>
      </c>
      <c r="GW131" s="476">
        <v>0</v>
      </c>
      <c r="GX131" s="476">
        <v>0</v>
      </c>
      <c r="GY131" s="476">
        <v>0</v>
      </c>
      <c r="GZ131" s="476">
        <v>0</v>
      </c>
      <c r="HA131" s="476">
        <v>0</v>
      </c>
      <c r="HB131" s="476">
        <v>323396213</v>
      </c>
      <c r="HC131" s="476">
        <v>4.2206E-2</v>
      </c>
      <c r="HD131" s="476">
        <v>73890</v>
      </c>
      <c r="HE131" s="476">
        <v>0</v>
      </c>
      <c r="HF131" s="476">
        <v>440845</v>
      </c>
      <c r="HG131" s="476">
        <v>616</v>
      </c>
      <c r="HH131" s="476">
        <v>0</v>
      </c>
      <c r="HI131" s="476">
        <v>0</v>
      </c>
      <c r="HJ131" s="476">
        <v>4377</v>
      </c>
      <c r="HK131" s="476">
        <v>4810</v>
      </c>
      <c r="HL131" s="476">
        <v>1797</v>
      </c>
      <c r="HM131" s="476">
        <v>0</v>
      </c>
      <c r="HN131" s="476">
        <v>0</v>
      </c>
      <c r="HO131" s="476">
        <v>0</v>
      </c>
      <c r="HP131" s="476">
        <v>94167</v>
      </c>
      <c r="HQ131" s="476">
        <v>0</v>
      </c>
      <c r="HR131" s="476">
        <v>0</v>
      </c>
      <c r="HS131" s="476">
        <v>4430745</v>
      </c>
      <c r="HT131" s="476">
        <v>97315</v>
      </c>
      <c r="HU131" s="476">
        <v>0</v>
      </c>
      <c r="HV131" s="476">
        <v>0</v>
      </c>
      <c r="HW131" s="476">
        <v>0</v>
      </c>
      <c r="HX131" s="476">
        <v>34</v>
      </c>
      <c r="HY131" s="476">
        <v>81</v>
      </c>
      <c r="HZ131" s="476">
        <v>89</v>
      </c>
      <c r="IA131" s="476">
        <v>131</v>
      </c>
      <c r="IB131" s="476">
        <v>137</v>
      </c>
      <c r="IC131" s="476">
        <v>472</v>
      </c>
      <c r="ID131" s="476">
        <v>0</v>
      </c>
      <c r="IE131" s="476">
        <v>0</v>
      </c>
      <c r="IF131" s="476">
        <v>0</v>
      </c>
      <c r="IG131" s="476">
        <v>1</v>
      </c>
      <c r="IH131" s="476">
        <v>0</v>
      </c>
      <c r="II131" s="476">
        <v>342.42500000000001</v>
      </c>
      <c r="IJ131" s="476">
        <v>135.44</v>
      </c>
      <c r="IK131" s="476">
        <v>0</v>
      </c>
      <c r="IL131" s="476">
        <v>0</v>
      </c>
      <c r="IM131" s="476">
        <v>0</v>
      </c>
      <c r="IN131" s="476">
        <v>0</v>
      </c>
      <c r="IO131" s="476">
        <v>0</v>
      </c>
      <c r="IP131" s="476">
        <v>342.42500000000001</v>
      </c>
      <c r="IQ131" s="476">
        <v>135.44</v>
      </c>
      <c r="IR131" s="476">
        <v>83429</v>
      </c>
      <c r="IS131" s="476">
        <v>0</v>
      </c>
      <c r="IT131" s="476">
        <v>0</v>
      </c>
      <c r="IU131" s="476">
        <v>0</v>
      </c>
      <c r="IV131" s="476">
        <v>0</v>
      </c>
      <c r="IW131" s="476">
        <v>6160</v>
      </c>
      <c r="IX131" s="476">
        <v>0</v>
      </c>
      <c r="IY131" s="476">
        <v>0</v>
      </c>
      <c r="IZ131" s="476">
        <v>94167</v>
      </c>
      <c r="JA131" s="476">
        <v>0</v>
      </c>
      <c r="JB131" s="476">
        <v>0</v>
      </c>
      <c r="JC131" s="476">
        <v>0</v>
      </c>
      <c r="JD131" s="476">
        <v>0</v>
      </c>
      <c r="JE131" s="476">
        <v>0</v>
      </c>
      <c r="JF131" s="476">
        <v>0</v>
      </c>
      <c r="JG131" s="476">
        <v>0</v>
      </c>
      <c r="JH131" s="476">
        <v>0</v>
      </c>
      <c r="JI131" s="476">
        <v>0</v>
      </c>
      <c r="JJ131" s="476">
        <v>0</v>
      </c>
      <c r="JK131" s="476">
        <v>0</v>
      </c>
      <c r="JL131" s="476">
        <v>0</v>
      </c>
      <c r="JM131" s="476">
        <v>0</v>
      </c>
      <c r="JN131" s="476">
        <v>32469</v>
      </c>
      <c r="JO131" s="476">
        <v>0</v>
      </c>
      <c r="JP131" s="476">
        <v>28.942</v>
      </c>
      <c r="JQ131" s="476">
        <v>5.9240000000000004</v>
      </c>
      <c r="JR131" s="476">
        <v>0</v>
      </c>
      <c r="JS131" s="476">
        <v>269026</v>
      </c>
      <c r="JT131" s="476">
        <v>63240</v>
      </c>
      <c r="JU131" s="476">
        <v>0</v>
      </c>
      <c r="JV131" s="476">
        <v>0</v>
      </c>
      <c r="JW131" s="476">
        <v>0</v>
      </c>
      <c r="JX131" s="476">
        <v>0</v>
      </c>
      <c r="JY131" s="476">
        <v>0</v>
      </c>
      <c r="JZ131" s="476">
        <v>0</v>
      </c>
      <c r="KA131" s="476">
        <v>0</v>
      </c>
      <c r="KB131" s="476">
        <v>0</v>
      </c>
      <c r="KC131" s="476">
        <v>0</v>
      </c>
      <c r="KD131" s="476">
        <v>0</v>
      </c>
      <c r="KE131" s="476">
        <v>7262</v>
      </c>
      <c r="KF131" s="476">
        <v>0</v>
      </c>
      <c r="KG131" s="476">
        <v>0</v>
      </c>
      <c r="KH131" s="476">
        <v>5110761</v>
      </c>
      <c r="KI131" s="476">
        <v>0</v>
      </c>
      <c r="KJ131" s="476">
        <v>0</v>
      </c>
      <c r="KK131" s="476">
        <v>1</v>
      </c>
      <c r="KL131" s="476">
        <v>0</v>
      </c>
      <c r="KM131" s="476">
        <v>616</v>
      </c>
      <c r="KN131" s="476">
        <v>0</v>
      </c>
    </row>
    <row r="132" spans="1:300" x14ac:dyDescent="0.25">
      <c r="A132" s="476">
        <v>40976</v>
      </c>
      <c r="B132" s="476">
        <v>108807</v>
      </c>
      <c r="C132" s="476">
        <v>9</v>
      </c>
      <c r="D132" s="476">
        <v>2024</v>
      </c>
      <c r="E132" s="476">
        <v>6160</v>
      </c>
      <c r="F132" s="476">
        <v>0</v>
      </c>
      <c r="G132" s="476">
        <v>68253.657000000007</v>
      </c>
      <c r="H132" s="476">
        <v>65195.034</v>
      </c>
      <c r="I132" s="476">
        <v>65195.034</v>
      </c>
      <c r="J132" s="476">
        <v>68253.657000000007</v>
      </c>
      <c r="K132" s="476">
        <v>0</v>
      </c>
      <c r="L132" s="476">
        <v>6160</v>
      </c>
      <c r="M132" s="476">
        <v>0</v>
      </c>
      <c r="N132" s="476">
        <v>0</v>
      </c>
      <c r="O132" s="476">
        <v>0</v>
      </c>
      <c r="P132" s="476">
        <v>68253.657000000007</v>
      </c>
      <c r="Q132" s="476">
        <v>0</v>
      </c>
      <c r="R132" s="476">
        <v>28317350</v>
      </c>
      <c r="S132" s="476">
        <v>414.88400000000001</v>
      </c>
      <c r="T132" s="476">
        <v>0</v>
      </c>
      <c r="U132" s="476">
        <v>0</v>
      </c>
      <c r="V132" s="476">
        <v>27788.793000000001</v>
      </c>
      <c r="W132" s="476">
        <v>17117508</v>
      </c>
      <c r="X132" s="476">
        <v>17117508</v>
      </c>
      <c r="Y132" s="476">
        <v>0</v>
      </c>
      <c r="Z132" s="476">
        <v>0</v>
      </c>
      <c r="AA132" s="476">
        <v>0</v>
      </c>
      <c r="AB132" s="476">
        <v>0</v>
      </c>
      <c r="AC132" s="476">
        <v>0</v>
      </c>
      <c r="AD132" s="476" t="s">
        <v>314</v>
      </c>
      <c r="AE132" s="476">
        <v>0</v>
      </c>
      <c r="AF132" s="476">
        <v>0</v>
      </c>
      <c r="AG132" s="476">
        <v>0</v>
      </c>
      <c r="AH132" s="476">
        <v>0</v>
      </c>
      <c r="AI132" s="476">
        <v>0</v>
      </c>
      <c r="AJ132" s="476">
        <v>6160</v>
      </c>
      <c r="AK132" s="476" t="s">
        <v>651</v>
      </c>
      <c r="AL132" s="476" t="s">
        <v>95</v>
      </c>
      <c r="AM132" s="476">
        <v>0</v>
      </c>
      <c r="AN132" s="476">
        <v>0</v>
      </c>
      <c r="AO132" s="476">
        <v>0</v>
      </c>
      <c r="AP132" s="476">
        <v>0</v>
      </c>
      <c r="AQ132" s="476">
        <v>0</v>
      </c>
      <c r="AR132" s="476">
        <v>0</v>
      </c>
      <c r="AS132" s="476">
        <v>0</v>
      </c>
      <c r="AT132" s="476">
        <v>0</v>
      </c>
      <c r="AU132" s="476">
        <v>0</v>
      </c>
      <c r="AV132" s="476">
        <v>0</v>
      </c>
      <c r="AW132" s="476">
        <v>763521908</v>
      </c>
      <c r="AX132" s="476">
        <v>752154654</v>
      </c>
      <c r="AY132" s="476">
        <v>0</v>
      </c>
      <c r="AZ132" s="476">
        <v>28317350</v>
      </c>
      <c r="BA132" s="476">
        <v>2384.25</v>
      </c>
      <c r="BB132" s="476">
        <v>0</v>
      </c>
      <c r="BC132" s="476">
        <v>0</v>
      </c>
      <c r="BD132" s="476">
        <v>0</v>
      </c>
      <c r="BE132" s="476">
        <v>0</v>
      </c>
      <c r="BF132" s="476">
        <v>675624301</v>
      </c>
      <c r="BG132" s="476">
        <v>0</v>
      </c>
      <c r="BH132" s="476">
        <v>0</v>
      </c>
      <c r="BI132" s="476">
        <v>0</v>
      </c>
      <c r="BJ132" s="476">
        <v>12</v>
      </c>
      <c r="BK132" s="476">
        <v>0</v>
      </c>
      <c r="BL132" s="476">
        <v>0</v>
      </c>
      <c r="BM132" s="476">
        <v>0</v>
      </c>
      <c r="BN132" s="476">
        <v>0</v>
      </c>
      <c r="BO132" s="476">
        <v>0</v>
      </c>
      <c r="BP132" s="476">
        <v>0</v>
      </c>
      <c r="BQ132" s="476">
        <v>0</v>
      </c>
      <c r="BR132" s="476">
        <v>0</v>
      </c>
      <c r="BS132" s="476">
        <v>0</v>
      </c>
      <c r="BT132" s="476">
        <v>0</v>
      </c>
      <c r="BU132" s="476">
        <v>0</v>
      </c>
      <c r="BV132" s="476">
        <v>0</v>
      </c>
      <c r="BW132" s="476">
        <v>0</v>
      </c>
      <c r="BX132" s="476">
        <v>0</v>
      </c>
      <c r="BY132" s="476">
        <v>0</v>
      </c>
      <c r="BZ132" s="476">
        <v>0</v>
      </c>
      <c r="CA132" s="476">
        <v>0</v>
      </c>
      <c r="CB132" s="476">
        <v>0</v>
      </c>
      <c r="CC132" s="476">
        <v>0</v>
      </c>
      <c r="CD132" s="476">
        <v>0</v>
      </c>
      <c r="CE132" s="476">
        <v>0</v>
      </c>
      <c r="CF132" s="476">
        <v>0</v>
      </c>
      <c r="CG132" s="476">
        <v>0</v>
      </c>
      <c r="CH132" s="476">
        <v>11522939</v>
      </c>
      <c r="CI132" s="476">
        <v>0</v>
      </c>
      <c r="CJ132" s="476">
        <v>4</v>
      </c>
      <c r="CK132" s="476">
        <v>0</v>
      </c>
      <c r="CL132" s="476">
        <v>0</v>
      </c>
      <c r="CM132" s="476">
        <v>0</v>
      </c>
      <c r="CN132" s="476">
        <v>0</v>
      </c>
      <c r="CO132" s="476">
        <v>1</v>
      </c>
      <c r="CP132" s="476">
        <v>5.3000000000000005E-2</v>
      </c>
      <c r="CQ132" s="476">
        <v>187.25</v>
      </c>
      <c r="CR132" s="476">
        <v>68253.657000000007</v>
      </c>
      <c r="CS132" s="476">
        <v>0</v>
      </c>
      <c r="CT132" s="476">
        <v>0</v>
      </c>
      <c r="CU132" s="476">
        <v>0</v>
      </c>
      <c r="CV132" s="476">
        <v>0</v>
      </c>
      <c r="CW132" s="476">
        <v>0</v>
      </c>
      <c r="CX132" s="476">
        <v>0</v>
      </c>
      <c r="CY132" s="476">
        <v>0</v>
      </c>
      <c r="CZ132" s="476">
        <v>0</v>
      </c>
      <c r="DA132" s="476">
        <v>0</v>
      </c>
      <c r="DB132" s="476">
        <v>401592293</v>
      </c>
      <c r="DC132" s="476">
        <v>0</v>
      </c>
      <c r="DD132" s="476">
        <v>0</v>
      </c>
      <c r="DE132" s="476">
        <v>100806728</v>
      </c>
      <c r="DF132" s="476">
        <v>100807515</v>
      </c>
      <c r="DG132" s="476">
        <v>16365.1</v>
      </c>
      <c r="DH132" s="476">
        <v>0</v>
      </c>
      <c r="DI132" s="476">
        <v>787</v>
      </c>
      <c r="DJ132" s="476">
        <v>0</v>
      </c>
      <c r="DK132" s="476">
        <v>0</v>
      </c>
      <c r="DL132" s="476">
        <v>0</v>
      </c>
      <c r="DM132" s="476">
        <v>45283913</v>
      </c>
      <c r="DN132" s="476">
        <v>155685</v>
      </c>
      <c r="DO132" s="476">
        <v>0</v>
      </c>
      <c r="DP132" s="476">
        <v>0</v>
      </c>
      <c r="DQ132" s="476">
        <v>0</v>
      </c>
      <c r="DR132" s="476">
        <v>0</v>
      </c>
      <c r="DS132" s="476">
        <v>0</v>
      </c>
      <c r="DT132" s="476">
        <v>0</v>
      </c>
      <c r="DU132" s="476">
        <v>0</v>
      </c>
      <c r="DV132" s="476">
        <v>0</v>
      </c>
      <c r="DW132" s="476">
        <v>0</v>
      </c>
      <c r="DX132" s="476">
        <v>0</v>
      </c>
      <c r="DY132" s="476">
        <v>0</v>
      </c>
      <c r="DZ132" s="476">
        <v>0</v>
      </c>
      <c r="EA132" s="476">
        <v>3.1520000000000001</v>
      </c>
      <c r="EB132" s="476">
        <v>0</v>
      </c>
      <c r="EC132" s="476">
        <v>1916.1680000000001</v>
      </c>
      <c r="ED132" s="476">
        <v>13573826</v>
      </c>
      <c r="EE132" s="476">
        <v>0</v>
      </c>
      <c r="EF132" s="476">
        <v>0</v>
      </c>
      <c r="EG132" s="476">
        <v>3.0720000000000001</v>
      </c>
      <c r="EH132" s="476">
        <v>31840960</v>
      </c>
      <c r="EI132" s="476">
        <v>24812</v>
      </c>
      <c r="EJ132" s="476">
        <v>1.0070000000000001</v>
      </c>
      <c r="EK132" s="476">
        <v>814.19500000000005</v>
      </c>
      <c r="EL132" s="476">
        <v>22.13</v>
      </c>
      <c r="EM132" s="476">
        <v>657.27700000000004</v>
      </c>
      <c r="EN132" s="476">
        <v>134.4</v>
      </c>
      <c r="EO132" s="476">
        <v>0</v>
      </c>
      <c r="EP132" s="476">
        <v>0</v>
      </c>
      <c r="EQ132" s="476">
        <v>1638.596</v>
      </c>
      <c r="ER132" s="476">
        <v>25.493000000000002</v>
      </c>
      <c r="ES132" s="476">
        <v>5169.1040000000003</v>
      </c>
      <c r="ET132" s="476">
        <v>0</v>
      </c>
      <c r="EU132" s="476">
        <v>0</v>
      </c>
      <c r="EV132" s="476">
        <v>0</v>
      </c>
      <c r="EW132" s="476">
        <v>0</v>
      </c>
      <c r="EX132" s="476">
        <v>0</v>
      </c>
      <c r="EY132" s="476">
        <v>0</v>
      </c>
      <c r="EZ132" s="476">
        <v>650350294</v>
      </c>
      <c r="FA132" s="476">
        <v>0</v>
      </c>
      <c r="FB132" s="476">
        <v>678511959</v>
      </c>
      <c r="FC132" s="476">
        <v>0</v>
      </c>
      <c r="FD132" s="476">
        <v>0</v>
      </c>
      <c r="FE132" s="476">
        <v>87235407</v>
      </c>
      <c r="FF132" s="476">
        <v>14568953</v>
      </c>
      <c r="FG132" s="476">
        <v>6.3017999999999991E-2</v>
      </c>
      <c r="FH132" s="476">
        <v>2.6953999999999999E-2</v>
      </c>
      <c r="FI132" s="476">
        <v>0</v>
      </c>
      <c r="FJ132" s="476">
        <v>0</v>
      </c>
      <c r="FK132" s="476">
        <v>109681.76000000001</v>
      </c>
      <c r="FL132" s="476">
        <v>791839258</v>
      </c>
      <c r="FM132" s="476">
        <v>0</v>
      </c>
      <c r="FN132" s="476">
        <v>0</v>
      </c>
      <c r="FO132" s="476">
        <v>2161908</v>
      </c>
      <c r="FP132" s="476">
        <v>738389</v>
      </c>
      <c r="FQ132" s="476">
        <v>2900297</v>
      </c>
      <c r="FR132" s="476">
        <v>2161908</v>
      </c>
      <c r="FS132" s="476">
        <v>0</v>
      </c>
      <c r="FT132" s="476">
        <v>0</v>
      </c>
      <c r="FU132" s="476">
        <v>0</v>
      </c>
      <c r="FV132" s="476">
        <v>0</v>
      </c>
      <c r="FW132" s="476">
        <v>0</v>
      </c>
      <c r="FX132" s="476">
        <v>0</v>
      </c>
      <c r="FY132" s="476">
        <v>0</v>
      </c>
      <c r="FZ132" s="476">
        <v>0</v>
      </c>
      <c r="GA132" s="476">
        <v>0</v>
      </c>
      <c r="GB132" s="476">
        <v>13001904</v>
      </c>
      <c r="GC132" s="476">
        <v>13001904</v>
      </c>
      <c r="GD132" s="476">
        <v>1420.027</v>
      </c>
      <c r="GE132" s="476">
        <v>0</v>
      </c>
      <c r="GF132" s="476">
        <v>0</v>
      </c>
      <c r="GG132" s="476">
        <v>0</v>
      </c>
      <c r="GH132" s="476">
        <v>0</v>
      </c>
      <c r="GI132" s="476">
        <v>0</v>
      </c>
      <c r="GJ132" s="476">
        <v>0</v>
      </c>
      <c r="GK132" s="476">
        <v>0</v>
      </c>
      <c r="GL132" s="476">
        <v>0</v>
      </c>
      <c r="GM132" s="476">
        <v>0</v>
      </c>
      <c r="GN132" s="476">
        <v>0</v>
      </c>
      <c r="GO132" s="476">
        <v>0</v>
      </c>
      <c r="GP132" s="476">
        <v>0</v>
      </c>
      <c r="GQ132" s="476">
        <v>751998969</v>
      </c>
      <c r="GR132" s="476">
        <v>0</v>
      </c>
      <c r="GS132" s="476">
        <v>0</v>
      </c>
      <c r="GT132" s="476">
        <v>0</v>
      </c>
      <c r="GU132" s="476">
        <v>0</v>
      </c>
      <c r="GV132" s="476">
        <v>0</v>
      </c>
      <c r="GW132" s="476">
        <v>0</v>
      </c>
      <c r="GX132" s="476">
        <v>0</v>
      </c>
      <c r="GY132" s="476">
        <v>0</v>
      </c>
      <c r="GZ132" s="476">
        <v>0</v>
      </c>
      <c r="HA132" s="476">
        <v>0</v>
      </c>
      <c r="HB132" s="476">
        <v>323396213</v>
      </c>
      <c r="HC132" s="476">
        <v>4.2206E-2</v>
      </c>
      <c r="HD132" s="476">
        <v>11522939</v>
      </c>
      <c r="HE132" s="476">
        <v>0</v>
      </c>
      <c r="HF132" s="476">
        <v>71844927</v>
      </c>
      <c r="HG132" s="476">
        <v>298753</v>
      </c>
      <c r="HH132" s="476">
        <v>20197205</v>
      </c>
      <c r="HI132" s="476">
        <v>0</v>
      </c>
      <c r="HJ132" s="476">
        <v>682537</v>
      </c>
      <c r="HK132" s="476">
        <v>128584</v>
      </c>
      <c r="HL132" s="476">
        <v>14462</v>
      </c>
      <c r="HM132" s="476">
        <v>4628000</v>
      </c>
      <c r="HN132" s="476">
        <v>14061</v>
      </c>
      <c r="HO132" s="476">
        <v>0</v>
      </c>
      <c r="HP132" s="476">
        <v>0</v>
      </c>
      <c r="HQ132" s="476">
        <v>0</v>
      </c>
      <c r="HR132" s="476">
        <v>0</v>
      </c>
      <c r="HS132" s="476">
        <v>650194609</v>
      </c>
      <c r="HT132" s="476">
        <v>14568953</v>
      </c>
      <c r="HU132" s="476">
        <v>0</v>
      </c>
      <c r="HV132" s="476">
        <v>0</v>
      </c>
      <c r="HW132" s="476">
        <v>0</v>
      </c>
      <c r="HX132" s="476">
        <v>7050</v>
      </c>
      <c r="HY132" s="476">
        <v>11816</v>
      </c>
      <c r="HZ132" s="476">
        <v>16070</v>
      </c>
      <c r="IA132" s="476">
        <v>15654</v>
      </c>
      <c r="IB132" s="476">
        <v>13985</v>
      </c>
      <c r="IC132" s="476">
        <v>64575</v>
      </c>
      <c r="ID132" s="476">
        <v>0</v>
      </c>
      <c r="IE132" s="476">
        <v>0</v>
      </c>
      <c r="IF132" s="476">
        <v>0</v>
      </c>
      <c r="IG132" s="476">
        <v>485</v>
      </c>
      <c r="IH132" s="476">
        <v>32788.415000000001</v>
      </c>
      <c r="II132" s="476">
        <v>0</v>
      </c>
      <c r="IJ132" s="476">
        <v>27788.793000000001</v>
      </c>
      <c r="IK132" s="476">
        <v>0</v>
      </c>
      <c r="IL132" s="476">
        <v>847</v>
      </c>
      <c r="IM132" s="476">
        <v>107</v>
      </c>
      <c r="IN132" s="476">
        <v>36</v>
      </c>
      <c r="IO132" s="476">
        <v>990</v>
      </c>
      <c r="IP132" s="476">
        <v>0</v>
      </c>
      <c r="IQ132" s="476">
        <v>27788.793000000001</v>
      </c>
      <c r="IR132" s="476">
        <v>17117508</v>
      </c>
      <c r="IS132" s="476">
        <v>0</v>
      </c>
      <c r="IT132" s="476">
        <v>4235000</v>
      </c>
      <c r="IU132" s="476">
        <v>321000</v>
      </c>
      <c r="IV132" s="476">
        <v>72000</v>
      </c>
      <c r="IW132" s="476">
        <v>6160</v>
      </c>
      <c r="IX132" s="476">
        <v>0</v>
      </c>
      <c r="IY132" s="476">
        <v>0</v>
      </c>
      <c r="IZ132" s="476">
        <v>0</v>
      </c>
      <c r="JA132" s="476">
        <v>0</v>
      </c>
      <c r="JB132" s="476">
        <v>0</v>
      </c>
      <c r="JC132" s="476">
        <v>0</v>
      </c>
      <c r="JD132" s="476">
        <v>1</v>
      </c>
      <c r="JE132" s="476">
        <v>14061</v>
      </c>
      <c r="JF132" s="476">
        <v>0</v>
      </c>
      <c r="JG132" s="476">
        <v>0</v>
      </c>
      <c r="JH132" s="476">
        <v>0</v>
      </c>
      <c r="JI132" s="476">
        <v>0</v>
      </c>
      <c r="JJ132" s="476">
        <v>0</v>
      </c>
      <c r="JK132" s="476">
        <v>0</v>
      </c>
      <c r="JL132" s="476">
        <v>0</v>
      </c>
      <c r="JM132" s="476">
        <v>0</v>
      </c>
      <c r="JN132" s="476">
        <v>32469</v>
      </c>
      <c r="JO132" s="476">
        <v>286.23700000000002</v>
      </c>
      <c r="JP132" s="476">
        <v>1005.9440000000001</v>
      </c>
      <c r="JQ132" s="476">
        <v>127.846</v>
      </c>
      <c r="JR132" s="476">
        <v>2286518</v>
      </c>
      <c r="JS132" s="476">
        <v>9350612</v>
      </c>
      <c r="JT132" s="476">
        <v>1364774</v>
      </c>
      <c r="JU132" s="476">
        <v>0</v>
      </c>
      <c r="JV132" s="476">
        <v>0</v>
      </c>
      <c r="JW132" s="476">
        <v>0</v>
      </c>
      <c r="JX132" s="476">
        <v>0</v>
      </c>
      <c r="JY132" s="476">
        <v>0</v>
      </c>
      <c r="JZ132" s="476">
        <v>0</v>
      </c>
      <c r="KA132" s="476">
        <v>0</v>
      </c>
      <c r="KB132" s="476">
        <v>0</v>
      </c>
      <c r="KC132" s="476">
        <v>0</v>
      </c>
      <c r="KD132" s="476">
        <v>0</v>
      </c>
      <c r="KE132" s="476">
        <v>7262</v>
      </c>
      <c r="KF132" s="476">
        <v>0</v>
      </c>
      <c r="KG132" s="476">
        <v>0</v>
      </c>
      <c r="KH132" s="476">
        <v>751998969</v>
      </c>
      <c r="KI132" s="476">
        <v>0</v>
      </c>
      <c r="KJ132" s="476">
        <v>263</v>
      </c>
      <c r="KK132" s="476">
        <v>222</v>
      </c>
      <c r="KL132" s="476">
        <v>162004</v>
      </c>
      <c r="KM132" s="476">
        <v>136749</v>
      </c>
      <c r="KN132" s="476">
        <v>0</v>
      </c>
    </row>
    <row r="133" spans="1:300" x14ac:dyDescent="0.25">
      <c r="A133" s="476">
        <v>40976</v>
      </c>
      <c r="B133" s="476">
        <v>108808</v>
      </c>
      <c r="C133" s="476">
        <v>9</v>
      </c>
      <c r="D133" s="476">
        <v>2024</v>
      </c>
      <c r="E133" s="476">
        <v>6160</v>
      </c>
      <c r="F133" s="476">
        <v>0</v>
      </c>
      <c r="G133" s="476">
        <v>5409.81</v>
      </c>
      <c r="H133" s="476">
        <v>4945.4639999999999</v>
      </c>
      <c r="I133" s="476">
        <v>4945.4639999999999</v>
      </c>
      <c r="J133" s="476">
        <v>5409.81</v>
      </c>
      <c r="K133" s="476">
        <v>0</v>
      </c>
      <c r="L133" s="476">
        <v>6160</v>
      </c>
      <c r="M133" s="476">
        <v>0</v>
      </c>
      <c r="N133" s="476">
        <v>0</v>
      </c>
      <c r="O133" s="476">
        <v>0</v>
      </c>
      <c r="P133" s="476">
        <v>5409.81</v>
      </c>
      <c r="Q133" s="476">
        <v>0</v>
      </c>
      <c r="R133" s="476">
        <v>2244444</v>
      </c>
      <c r="S133" s="476">
        <v>414.88400000000001</v>
      </c>
      <c r="T133" s="476">
        <v>0</v>
      </c>
      <c r="U133" s="476">
        <v>0</v>
      </c>
      <c r="V133" s="476">
        <v>1335.335</v>
      </c>
      <c r="W133" s="476">
        <v>1957067</v>
      </c>
      <c r="X133" s="476">
        <v>1957067</v>
      </c>
      <c r="Y133" s="476">
        <v>0</v>
      </c>
      <c r="Z133" s="476">
        <v>0</v>
      </c>
      <c r="AA133" s="476">
        <v>0</v>
      </c>
      <c r="AB133" s="476">
        <v>0</v>
      </c>
      <c r="AC133" s="476">
        <v>0</v>
      </c>
      <c r="AD133" s="476" t="s">
        <v>314</v>
      </c>
      <c r="AE133" s="476">
        <v>0</v>
      </c>
      <c r="AF133" s="476">
        <v>0</v>
      </c>
      <c r="AG133" s="476">
        <v>0</v>
      </c>
      <c r="AH133" s="476">
        <v>0</v>
      </c>
      <c r="AI133" s="476">
        <v>0</v>
      </c>
      <c r="AJ133" s="476">
        <v>6160</v>
      </c>
      <c r="AK133" s="476" t="s">
        <v>651</v>
      </c>
      <c r="AL133" s="476" t="s">
        <v>88</v>
      </c>
      <c r="AM133" s="476">
        <v>0</v>
      </c>
      <c r="AN133" s="476">
        <v>0</v>
      </c>
      <c r="AO133" s="476">
        <v>0</v>
      </c>
      <c r="AP133" s="476">
        <v>0</v>
      </c>
      <c r="AQ133" s="476">
        <v>0</v>
      </c>
      <c r="AR133" s="476">
        <v>0</v>
      </c>
      <c r="AS133" s="476">
        <v>0</v>
      </c>
      <c r="AT133" s="476">
        <v>0</v>
      </c>
      <c r="AU133" s="476">
        <v>0</v>
      </c>
      <c r="AV133" s="476">
        <v>0</v>
      </c>
      <c r="AW133" s="476">
        <v>59165516</v>
      </c>
      <c r="AX133" s="476">
        <v>58262814</v>
      </c>
      <c r="AY133" s="476">
        <v>0</v>
      </c>
      <c r="AZ133" s="476">
        <v>2244444</v>
      </c>
      <c r="BA133" s="476">
        <v>0</v>
      </c>
      <c r="BB133" s="476">
        <v>115086</v>
      </c>
      <c r="BC133" s="476">
        <v>114352</v>
      </c>
      <c r="BD133" s="476">
        <v>270</v>
      </c>
      <c r="BE133" s="476">
        <v>734</v>
      </c>
      <c r="BF133" s="476">
        <v>52538440</v>
      </c>
      <c r="BG133" s="476">
        <v>0</v>
      </c>
      <c r="BH133" s="476">
        <v>0</v>
      </c>
      <c r="BI133" s="476">
        <v>0</v>
      </c>
      <c r="BJ133" s="476">
        <v>12</v>
      </c>
      <c r="BK133" s="476">
        <v>0</v>
      </c>
      <c r="BL133" s="476">
        <v>0</v>
      </c>
      <c r="BM133" s="476">
        <v>0</v>
      </c>
      <c r="BN133" s="476">
        <v>0</v>
      </c>
      <c r="BO133" s="476">
        <v>0</v>
      </c>
      <c r="BP133" s="476">
        <v>0</v>
      </c>
      <c r="BQ133" s="476">
        <v>8</v>
      </c>
      <c r="BR133" s="476">
        <v>0</v>
      </c>
      <c r="BS133" s="476">
        <v>0</v>
      </c>
      <c r="BT133" s="476">
        <v>0</v>
      </c>
      <c r="BU133" s="476">
        <v>0</v>
      </c>
      <c r="BV133" s="476">
        <v>0</v>
      </c>
      <c r="BW133" s="476">
        <v>0</v>
      </c>
      <c r="BX133" s="476">
        <v>0</v>
      </c>
      <c r="BY133" s="476">
        <v>0</v>
      </c>
      <c r="BZ133" s="476">
        <v>0</v>
      </c>
      <c r="CA133" s="476">
        <v>0</v>
      </c>
      <c r="CB133" s="476">
        <v>0</v>
      </c>
      <c r="CC133" s="476">
        <v>0</v>
      </c>
      <c r="CD133" s="476">
        <v>0</v>
      </c>
      <c r="CE133" s="476">
        <v>0</v>
      </c>
      <c r="CF133" s="476">
        <v>0</v>
      </c>
      <c r="CG133" s="476">
        <v>0</v>
      </c>
      <c r="CH133" s="476">
        <v>913312</v>
      </c>
      <c r="CI133" s="476">
        <v>0</v>
      </c>
      <c r="CJ133" s="476">
        <v>4</v>
      </c>
      <c r="CK133" s="476">
        <v>0</v>
      </c>
      <c r="CL133" s="476">
        <v>0</v>
      </c>
      <c r="CM133" s="476">
        <v>0</v>
      </c>
      <c r="CN133" s="476">
        <v>0</v>
      </c>
      <c r="CO133" s="476">
        <v>1</v>
      </c>
      <c r="CP133" s="476">
        <v>0</v>
      </c>
      <c r="CQ133" s="476">
        <v>0</v>
      </c>
      <c r="CR133" s="476">
        <v>5409.81</v>
      </c>
      <c r="CS133" s="476">
        <v>0</v>
      </c>
      <c r="CT133" s="476">
        <v>0</v>
      </c>
      <c r="CU133" s="476">
        <v>0</v>
      </c>
      <c r="CV133" s="476">
        <v>0</v>
      </c>
      <c r="CW133" s="476">
        <v>0</v>
      </c>
      <c r="CX133" s="476">
        <v>0</v>
      </c>
      <c r="CY133" s="476">
        <v>0</v>
      </c>
      <c r="CZ133" s="476">
        <v>0</v>
      </c>
      <c r="DA133" s="476">
        <v>0</v>
      </c>
      <c r="DB133" s="476">
        <v>30463367</v>
      </c>
      <c r="DC133" s="476">
        <v>0</v>
      </c>
      <c r="DD133" s="476">
        <v>0</v>
      </c>
      <c r="DE133" s="476">
        <v>6980662</v>
      </c>
      <c r="DF133" s="476">
        <v>6980662</v>
      </c>
      <c r="DG133" s="476">
        <v>1133.25</v>
      </c>
      <c r="DH133" s="476">
        <v>0</v>
      </c>
      <c r="DI133" s="476">
        <v>0</v>
      </c>
      <c r="DJ133" s="476">
        <v>0</v>
      </c>
      <c r="DK133" s="476">
        <v>0</v>
      </c>
      <c r="DL133" s="476">
        <v>0</v>
      </c>
      <c r="DM133" s="476">
        <v>2872799</v>
      </c>
      <c r="DN133" s="476">
        <v>9877</v>
      </c>
      <c r="DO133" s="476">
        <v>0</v>
      </c>
      <c r="DP133" s="476">
        <v>0</v>
      </c>
      <c r="DQ133" s="476">
        <v>0</v>
      </c>
      <c r="DR133" s="476">
        <v>0</v>
      </c>
      <c r="DS133" s="476">
        <v>0</v>
      </c>
      <c r="DT133" s="476">
        <v>0</v>
      </c>
      <c r="DU133" s="476">
        <v>0</v>
      </c>
      <c r="DV133" s="476">
        <v>0</v>
      </c>
      <c r="DW133" s="476">
        <v>0</v>
      </c>
      <c r="DX133" s="476">
        <v>0</v>
      </c>
      <c r="DY133" s="476">
        <v>0</v>
      </c>
      <c r="DZ133" s="476">
        <v>0</v>
      </c>
      <c r="EA133" s="476">
        <v>0.115</v>
      </c>
      <c r="EB133" s="476">
        <v>0</v>
      </c>
      <c r="EC133" s="476">
        <v>24.29</v>
      </c>
      <c r="ED133" s="476">
        <v>172066</v>
      </c>
      <c r="EE133" s="476">
        <v>0</v>
      </c>
      <c r="EF133" s="476">
        <v>0</v>
      </c>
      <c r="EG133" s="476">
        <v>0</v>
      </c>
      <c r="EH133" s="476">
        <v>2710610</v>
      </c>
      <c r="EI133" s="476">
        <v>0</v>
      </c>
      <c r="EJ133" s="476">
        <v>0</v>
      </c>
      <c r="EK133" s="476">
        <v>105.05300000000001</v>
      </c>
      <c r="EL133" s="476">
        <v>0.41700000000000004</v>
      </c>
      <c r="EM133" s="476">
        <v>25.22</v>
      </c>
      <c r="EN133" s="476">
        <v>9.73</v>
      </c>
      <c r="EO133" s="476">
        <v>0</v>
      </c>
      <c r="EP133" s="476">
        <v>0</v>
      </c>
      <c r="EQ133" s="476">
        <v>140.11799999999999</v>
      </c>
      <c r="ER133" s="476">
        <v>0</v>
      </c>
      <c r="ES133" s="476">
        <v>440.04400000000004</v>
      </c>
      <c r="ET133" s="476">
        <v>0</v>
      </c>
      <c r="EU133" s="476">
        <v>0</v>
      </c>
      <c r="EV133" s="476">
        <v>0</v>
      </c>
      <c r="EW133" s="476">
        <v>0</v>
      </c>
      <c r="EX133" s="476">
        <v>0</v>
      </c>
      <c r="EY133" s="476">
        <v>0</v>
      </c>
      <c r="EZ133" s="476">
        <v>50346221</v>
      </c>
      <c r="FA133" s="476">
        <v>0</v>
      </c>
      <c r="FB133" s="476">
        <v>52580055</v>
      </c>
      <c r="FC133" s="476">
        <v>0</v>
      </c>
      <c r="FD133" s="476">
        <v>0</v>
      </c>
      <c r="FE133" s="476">
        <v>6783670</v>
      </c>
      <c r="FF133" s="476">
        <v>1132923</v>
      </c>
      <c r="FG133" s="476">
        <v>6.3017999999999991E-2</v>
      </c>
      <c r="FH133" s="476">
        <v>2.6953999999999999E-2</v>
      </c>
      <c r="FI133" s="476">
        <v>0</v>
      </c>
      <c r="FJ133" s="476">
        <v>0</v>
      </c>
      <c r="FK133" s="476">
        <v>8529.1610000000001</v>
      </c>
      <c r="FL133" s="476">
        <v>61409960</v>
      </c>
      <c r="FM133" s="476">
        <v>0</v>
      </c>
      <c r="FN133" s="476">
        <v>0</v>
      </c>
      <c r="FO133" s="476">
        <v>8905</v>
      </c>
      <c r="FP133" s="476">
        <v>0</v>
      </c>
      <c r="FQ133" s="476">
        <v>35242</v>
      </c>
      <c r="FR133" s="476">
        <v>8905</v>
      </c>
      <c r="FS133" s="476">
        <v>26337</v>
      </c>
      <c r="FT133" s="476">
        <v>0</v>
      </c>
      <c r="FU133" s="476">
        <v>0</v>
      </c>
      <c r="FV133" s="476">
        <v>0</v>
      </c>
      <c r="FW133" s="476">
        <v>0</v>
      </c>
      <c r="FX133" s="476">
        <v>0</v>
      </c>
      <c r="FY133" s="476">
        <v>0</v>
      </c>
      <c r="FZ133" s="476">
        <v>0</v>
      </c>
      <c r="GA133" s="476">
        <v>0</v>
      </c>
      <c r="GB133" s="476">
        <v>2835996</v>
      </c>
      <c r="GC133" s="476">
        <v>2835996</v>
      </c>
      <c r="GD133" s="476">
        <v>324.22800000000001</v>
      </c>
      <c r="GE133" s="476">
        <v>0</v>
      </c>
      <c r="GF133" s="476">
        <v>0</v>
      </c>
      <c r="GG133" s="476">
        <v>0</v>
      </c>
      <c r="GH133" s="476">
        <v>0</v>
      </c>
      <c r="GI133" s="476">
        <v>0</v>
      </c>
      <c r="GJ133" s="476">
        <v>0</v>
      </c>
      <c r="GK133" s="476">
        <v>0</v>
      </c>
      <c r="GL133" s="476">
        <v>0</v>
      </c>
      <c r="GM133" s="476">
        <v>0</v>
      </c>
      <c r="GN133" s="476">
        <v>0</v>
      </c>
      <c r="GO133" s="476">
        <v>0</v>
      </c>
      <c r="GP133" s="476">
        <v>0</v>
      </c>
      <c r="GQ133" s="476">
        <v>58252204</v>
      </c>
      <c r="GR133" s="476">
        <v>0</v>
      </c>
      <c r="GS133" s="476">
        <v>0</v>
      </c>
      <c r="GT133" s="476">
        <v>0</v>
      </c>
      <c r="GU133" s="476">
        <v>0</v>
      </c>
      <c r="GV133" s="476">
        <v>0</v>
      </c>
      <c r="GW133" s="476">
        <v>0</v>
      </c>
      <c r="GX133" s="476">
        <v>0</v>
      </c>
      <c r="GY133" s="476">
        <v>0</v>
      </c>
      <c r="GZ133" s="476">
        <v>0</v>
      </c>
      <c r="HA133" s="476">
        <v>0</v>
      </c>
      <c r="HB133" s="476">
        <v>323396213</v>
      </c>
      <c r="HC133" s="476">
        <v>4.2206E-2</v>
      </c>
      <c r="HD133" s="476">
        <v>913312</v>
      </c>
      <c r="HE133" s="476">
        <v>0</v>
      </c>
      <c r="HF133" s="476">
        <v>5449901</v>
      </c>
      <c r="HG133" s="476">
        <v>49279</v>
      </c>
      <c r="HH133" s="476">
        <v>1438776</v>
      </c>
      <c r="HI133" s="476">
        <v>0</v>
      </c>
      <c r="HJ133" s="476">
        <v>54098</v>
      </c>
      <c r="HK133" s="476">
        <v>10591</v>
      </c>
      <c r="HL133" s="476">
        <v>6392</v>
      </c>
      <c r="HM133" s="476">
        <v>306000</v>
      </c>
      <c r="HN133" s="476">
        <v>5532</v>
      </c>
      <c r="HO133" s="476">
        <v>0</v>
      </c>
      <c r="HP133" s="476">
        <v>0</v>
      </c>
      <c r="HQ133" s="476">
        <v>0</v>
      </c>
      <c r="HR133" s="476">
        <v>0</v>
      </c>
      <c r="HS133" s="476">
        <v>50335611</v>
      </c>
      <c r="HT133" s="476">
        <v>1132923</v>
      </c>
      <c r="HU133" s="476">
        <v>0</v>
      </c>
      <c r="HV133" s="476">
        <v>0</v>
      </c>
      <c r="HW133" s="476">
        <v>0</v>
      </c>
      <c r="HX133" s="476">
        <v>552</v>
      </c>
      <c r="HY133" s="476">
        <v>981</v>
      </c>
      <c r="HZ133" s="476">
        <v>1333</v>
      </c>
      <c r="IA133" s="476">
        <v>897</v>
      </c>
      <c r="IB133" s="476">
        <v>754</v>
      </c>
      <c r="IC133" s="476">
        <v>4517</v>
      </c>
      <c r="ID133" s="476">
        <v>0</v>
      </c>
      <c r="IE133" s="476">
        <v>1225.6380000000001</v>
      </c>
      <c r="IF133" s="476">
        <v>6.6720000000000006</v>
      </c>
      <c r="IG133" s="476">
        <v>80</v>
      </c>
      <c r="IH133" s="476">
        <v>2335.7280000000001</v>
      </c>
      <c r="II133" s="476">
        <v>0</v>
      </c>
      <c r="IJ133" s="476">
        <v>2567.645</v>
      </c>
      <c r="IK133" s="476">
        <v>0</v>
      </c>
      <c r="IL133" s="476">
        <v>53</v>
      </c>
      <c r="IM133" s="476">
        <v>13</v>
      </c>
      <c r="IN133" s="476">
        <v>1</v>
      </c>
      <c r="IO133" s="476">
        <v>67</v>
      </c>
      <c r="IP133" s="476">
        <v>0</v>
      </c>
      <c r="IQ133" s="476">
        <v>1335.335</v>
      </c>
      <c r="IR133" s="476">
        <v>822548</v>
      </c>
      <c r="IS133" s="476">
        <v>0</v>
      </c>
      <c r="IT133" s="476">
        <v>265000</v>
      </c>
      <c r="IU133" s="476">
        <v>39000</v>
      </c>
      <c r="IV133" s="476">
        <v>2000</v>
      </c>
      <c r="IW133" s="476">
        <v>6160</v>
      </c>
      <c r="IX133" s="476">
        <v>1132464</v>
      </c>
      <c r="IY133" s="476">
        <v>2055</v>
      </c>
      <c r="IZ133" s="476">
        <v>0</v>
      </c>
      <c r="JA133" s="476">
        <v>0</v>
      </c>
      <c r="JB133" s="476">
        <v>0</v>
      </c>
      <c r="JC133" s="476">
        <v>0</v>
      </c>
      <c r="JD133" s="476">
        <v>0</v>
      </c>
      <c r="JE133" s="476">
        <v>0</v>
      </c>
      <c r="JF133" s="476">
        <v>1</v>
      </c>
      <c r="JG133" s="476">
        <v>5532</v>
      </c>
      <c r="JH133" s="476">
        <v>0</v>
      </c>
      <c r="JI133" s="476">
        <v>0</v>
      </c>
      <c r="JJ133" s="476">
        <v>0</v>
      </c>
      <c r="JK133" s="476">
        <v>0</v>
      </c>
      <c r="JL133" s="476">
        <v>0</v>
      </c>
      <c r="JM133" s="476">
        <v>0</v>
      </c>
      <c r="JN133" s="476">
        <v>32469</v>
      </c>
      <c r="JO133" s="476">
        <v>166.08500000000001</v>
      </c>
      <c r="JP133" s="476">
        <v>129.67500000000001</v>
      </c>
      <c r="JQ133" s="476">
        <v>28.468</v>
      </c>
      <c r="JR133" s="476">
        <v>1326720</v>
      </c>
      <c r="JS133" s="476">
        <v>1205376</v>
      </c>
      <c r="JT133" s="476">
        <v>303900</v>
      </c>
      <c r="JU133" s="476">
        <v>116421</v>
      </c>
      <c r="JV133" s="476">
        <v>0</v>
      </c>
      <c r="JW133" s="476">
        <v>0</v>
      </c>
      <c r="JX133" s="476">
        <v>0</v>
      </c>
      <c r="JY133" s="476">
        <v>0</v>
      </c>
      <c r="JZ133" s="476">
        <v>0</v>
      </c>
      <c r="KA133" s="476">
        <v>0</v>
      </c>
      <c r="KB133" s="476">
        <v>0</v>
      </c>
      <c r="KC133" s="476">
        <v>0</v>
      </c>
      <c r="KD133" s="476">
        <v>116421</v>
      </c>
      <c r="KE133" s="476">
        <v>7262</v>
      </c>
      <c r="KF133" s="476">
        <v>0</v>
      </c>
      <c r="KG133" s="476">
        <v>0</v>
      </c>
      <c r="KH133" s="476">
        <v>58252204</v>
      </c>
      <c r="KI133" s="476">
        <v>0</v>
      </c>
      <c r="KJ133" s="476">
        <v>38</v>
      </c>
      <c r="KK133" s="476">
        <v>42</v>
      </c>
      <c r="KL133" s="476">
        <v>23407</v>
      </c>
      <c r="KM133" s="476">
        <v>25871</v>
      </c>
      <c r="KN133" s="476">
        <v>0</v>
      </c>
    </row>
    <row r="134" spans="1:300" x14ac:dyDescent="0.25">
      <c r="A134" s="476">
        <v>40976</v>
      </c>
      <c r="B134" s="476">
        <v>108809</v>
      </c>
      <c r="C134" s="476">
        <v>9</v>
      </c>
      <c r="D134" s="476">
        <v>2024</v>
      </c>
      <c r="E134" s="476">
        <v>6160</v>
      </c>
      <c r="F134" s="476">
        <v>0</v>
      </c>
      <c r="G134" s="476">
        <v>229.49800000000002</v>
      </c>
      <c r="H134" s="476">
        <v>217.48100000000002</v>
      </c>
      <c r="I134" s="476">
        <v>217.48100000000002</v>
      </c>
      <c r="J134" s="476">
        <v>229.49800000000002</v>
      </c>
      <c r="K134" s="476">
        <v>0</v>
      </c>
      <c r="L134" s="476">
        <v>6160</v>
      </c>
      <c r="M134" s="476">
        <v>0</v>
      </c>
      <c r="N134" s="476">
        <v>0</v>
      </c>
      <c r="O134" s="476">
        <v>0</v>
      </c>
      <c r="P134" s="476">
        <v>229.82500000000002</v>
      </c>
      <c r="Q134" s="476">
        <v>0</v>
      </c>
      <c r="R134" s="476">
        <v>95351</v>
      </c>
      <c r="S134" s="476">
        <v>414.88400000000001</v>
      </c>
      <c r="T134" s="476">
        <v>0</v>
      </c>
      <c r="U134" s="476">
        <v>0</v>
      </c>
      <c r="V134" s="476">
        <v>86.317000000000007</v>
      </c>
      <c r="W134" s="476">
        <v>118620</v>
      </c>
      <c r="X134" s="476">
        <v>118620</v>
      </c>
      <c r="Y134" s="476">
        <v>0</v>
      </c>
      <c r="Z134" s="476">
        <v>0</v>
      </c>
      <c r="AA134" s="476">
        <v>0</v>
      </c>
      <c r="AB134" s="476">
        <v>0</v>
      </c>
      <c r="AC134" s="476">
        <v>0</v>
      </c>
      <c r="AD134" s="476" t="s">
        <v>314</v>
      </c>
      <c r="AE134" s="476">
        <v>0</v>
      </c>
      <c r="AF134" s="476">
        <v>0</v>
      </c>
      <c r="AG134" s="476">
        <v>0</v>
      </c>
      <c r="AH134" s="476">
        <v>0</v>
      </c>
      <c r="AI134" s="476">
        <v>0</v>
      </c>
      <c r="AJ134" s="476">
        <v>6160</v>
      </c>
      <c r="AK134" s="476" t="s">
        <v>651</v>
      </c>
      <c r="AL134" s="476" t="s">
        <v>116</v>
      </c>
      <c r="AM134" s="476">
        <v>0</v>
      </c>
      <c r="AN134" s="476">
        <v>0</v>
      </c>
      <c r="AO134" s="476">
        <v>0</v>
      </c>
      <c r="AP134" s="476">
        <v>0</v>
      </c>
      <c r="AQ134" s="476">
        <v>0</v>
      </c>
      <c r="AR134" s="476">
        <v>0</v>
      </c>
      <c r="AS134" s="476">
        <v>0</v>
      </c>
      <c r="AT134" s="476">
        <v>0</v>
      </c>
      <c r="AU134" s="476">
        <v>0</v>
      </c>
      <c r="AV134" s="476">
        <v>0</v>
      </c>
      <c r="AW134" s="476">
        <v>2704668</v>
      </c>
      <c r="AX134" s="476">
        <v>2666803</v>
      </c>
      <c r="AY134" s="476">
        <v>0</v>
      </c>
      <c r="AZ134" s="476">
        <v>95351</v>
      </c>
      <c r="BA134" s="476">
        <v>0</v>
      </c>
      <c r="BB134" s="476">
        <v>3837</v>
      </c>
      <c r="BC134" s="476">
        <v>3812</v>
      </c>
      <c r="BD134" s="476">
        <v>9</v>
      </c>
      <c r="BE134" s="476">
        <v>24</v>
      </c>
      <c r="BF134" s="476">
        <v>2400449</v>
      </c>
      <c r="BG134" s="476">
        <v>0</v>
      </c>
      <c r="BH134" s="476">
        <v>0</v>
      </c>
      <c r="BI134" s="476">
        <v>0</v>
      </c>
      <c r="BJ134" s="476">
        <v>12</v>
      </c>
      <c r="BK134" s="476">
        <v>0</v>
      </c>
      <c r="BL134" s="476">
        <v>0</v>
      </c>
      <c r="BM134" s="476">
        <v>0</v>
      </c>
      <c r="BN134" s="476">
        <v>0</v>
      </c>
      <c r="BO134" s="476">
        <v>0</v>
      </c>
      <c r="BP134" s="476">
        <v>0</v>
      </c>
      <c r="BQ134" s="476">
        <v>737</v>
      </c>
      <c r="BR134" s="476">
        <v>0</v>
      </c>
      <c r="BS134" s="476">
        <v>0</v>
      </c>
      <c r="BT134" s="476">
        <v>0</v>
      </c>
      <c r="BU134" s="476">
        <v>0</v>
      </c>
      <c r="BV134" s="476">
        <v>0</v>
      </c>
      <c r="BW134" s="476">
        <v>0</v>
      </c>
      <c r="BX134" s="476">
        <v>0</v>
      </c>
      <c r="BY134" s="476">
        <v>0</v>
      </c>
      <c r="BZ134" s="476">
        <v>0</v>
      </c>
      <c r="CA134" s="476">
        <v>0</v>
      </c>
      <c r="CB134" s="476">
        <v>0</v>
      </c>
      <c r="CC134" s="476">
        <v>0</v>
      </c>
      <c r="CD134" s="476">
        <v>0</v>
      </c>
      <c r="CE134" s="476">
        <v>0</v>
      </c>
      <c r="CF134" s="476">
        <v>0</v>
      </c>
      <c r="CG134" s="476">
        <v>0</v>
      </c>
      <c r="CH134" s="476">
        <v>38745</v>
      </c>
      <c r="CI134" s="476">
        <v>0</v>
      </c>
      <c r="CJ134" s="476">
        <v>4</v>
      </c>
      <c r="CK134" s="476">
        <v>0</v>
      </c>
      <c r="CL134" s="476">
        <v>0</v>
      </c>
      <c r="CM134" s="476">
        <v>0</v>
      </c>
      <c r="CN134" s="476">
        <v>0</v>
      </c>
      <c r="CO134" s="476">
        <v>1</v>
      </c>
      <c r="CP134" s="476">
        <v>0</v>
      </c>
      <c r="CQ134" s="476">
        <v>0</v>
      </c>
      <c r="CR134" s="476">
        <v>229.49800000000002</v>
      </c>
      <c r="CS134" s="476">
        <v>0</v>
      </c>
      <c r="CT134" s="476">
        <v>0</v>
      </c>
      <c r="CU134" s="476">
        <v>0</v>
      </c>
      <c r="CV134" s="476">
        <v>0</v>
      </c>
      <c r="CW134" s="476">
        <v>0</v>
      </c>
      <c r="CX134" s="476">
        <v>0</v>
      </c>
      <c r="CY134" s="476">
        <v>0</v>
      </c>
      <c r="CZ134" s="476">
        <v>0</v>
      </c>
      <c r="DA134" s="476">
        <v>0</v>
      </c>
      <c r="DB134" s="476">
        <v>1339653</v>
      </c>
      <c r="DC134" s="476">
        <v>0</v>
      </c>
      <c r="DD134" s="476">
        <v>0</v>
      </c>
      <c r="DE134" s="476">
        <v>351574</v>
      </c>
      <c r="DF134" s="476">
        <v>351574</v>
      </c>
      <c r="DG134" s="476">
        <v>57.075000000000003</v>
      </c>
      <c r="DH134" s="476">
        <v>0</v>
      </c>
      <c r="DI134" s="476">
        <v>0</v>
      </c>
      <c r="DJ134" s="476">
        <v>0</v>
      </c>
      <c r="DK134" s="476">
        <v>3407</v>
      </c>
      <c r="DL134" s="476">
        <v>0</v>
      </c>
      <c r="DM134" s="476">
        <v>248792</v>
      </c>
      <c r="DN134" s="476">
        <v>855</v>
      </c>
      <c r="DO134" s="476">
        <v>0</v>
      </c>
      <c r="DP134" s="476">
        <v>0</v>
      </c>
      <c r="DQ134" s="476">
        <v>0</v>
      </c>
      <c r="DR134" s="476">
        <v>0</v>
      </c>
      <c r="DS134" s="476">
        <v>0</v>
      </c>
      <c r="DT134" s="476">
        <v>0</v>
      </c>
      <c r="DU134" s="476">
        <v>0</v>
      </c>
      <c r="DV134" s="476">
        <v>0</v>
      </c>
      <c r="DW134" s="476">
        <v>0</v>
      </c>
      <c r="DX134" s="476">
        <v>0</v>
      </c>
      <c r="DY134" s="476">
        <v>0</v>
      </c>
      <c r="DZ134" s="476">
        <v>0</v>
      </c>
      <c r="EA134" s="476">
        <v>0</v>
      </c>
      <c r="EB134" s="476">
        <v>0</v>
      </c>
      <c r="EC134" s="476">
        <v>2.58</v>
      </c>
      <c r="ED134" s="476">
        <v>18276</v>
      </c>
      <c r="EE134" s="476">
        <v>0</v>
      </c>
      <c r="EF134" s="476">
        <v>0</v>
      </c>
      <c r="EG134" s="476">
        <v>0</v>
      </c>
      <c r="EH134" s="476">
        <v>231371</v>
      </c>
      <c r="EI134" s="476">
        <v>0</v>
      </c>
      <c r="EJ134" s="476">
        <v>0</v>
      </c>
      <c r="EK134" s="476">
        <v>10.944000000000001</v>
      </c>
      <c r="EL134" s="476">
        <v>0</v>
      </c>
      <c r="EM134" s="476">
        <v>0.318</v>
      </c>
      <c r="EN134" s="476">
        <v>0.755</v>
      </c>
      <c r="EO134" s="476">
        <v>0</v>
      </c>
      <c r="EP134" s="476">
        <v>0</v>
      </c>
      <c r="EQ134" s="476">
        <v>12.017000000000001</v>
      </c>
      <c r="ER134" s="476">
        <v>0</v>
      </c>
      <c r="ES134" s="476">
        <v>37.561</v>
      </c>
      <c r="ET134" s="476">
        <v>0</v>
      </c>
      <c r="EU134" s="476">
        <v>0</v>
      </c>
      <c r="EV134" s="476">
        <v>0</v>
      </c>
      <c r="EW134" s="476">
        <v>0</v>
      </c>
      <c r="EX134" s="476">
        <v>0</v>
      </c>
      <c r="EY134" s="476">
        <v>0</v>
      </c>
      <c r="EZ134" s="476">
        <v>2305098</v>
      </c>
      <c r="FA134" s="476">
        <v>0</v>
      </c>
      <c r="FB134" s="476">
        <v>2399569</v>
      </c>
      <c r="FC134" s="476">
        <v>0</v>
      </c>
      <c r="FD134" s="476">
        <v>0</v>
      </c>
      <c r="FE134" s="476">
        <v>309942</v>
      </c>
      <c r="FF134" s="476">
        <v>51763</v>
      </c>
      <c r="FG134" s="476">
        <v>6.3017999999999991E-2</v>
      </c>
      <c r="FH134" s="476">
        <v>2.6953999999999999E-2</v>
      </c>
      <c r="FI134" s="476">
        <v>0</v>
      </c>
      <c r="FJ134" s="476">
        <v>0</v>
      </c>
      <c r="FK134" s="476">
        <v>389.69200000000001</v>
      </c>
      <c r="FL134" s="476">
        <v>2800019</v>
      </c>
      <c r="FM134" s="476">
        <v>0</v>
      </c>
      <c r="FN134" s="476">
        <v>0</v>
      </c>
      <c r="FO134" s="476">
        <v>0</v>
      </c>
      <c r="FP134" s="476">
        <v>0</v>
      </c>
      <c r="FQ134" s="476">
        <v>0</v>
      </c>
      <c r="FR134" s="476">
        <v>0</v>
      </c>
      <c r="FS134" s="476">
        <v>0</v>
      </c>
      <c r="FT134" s="476">
        <v>0</v>
      </c>
      <c r="FU134" s="476">
        <v>0</v>
      </c>
      <c r="FV134" s="476">
        <v>0</v>
      </c>
      <c r="FW134" s="476">
        <v>0</v>
      </c>
      <c r="FX134" s="476">
        <v>0</v>
      </c>
      <c r="FY134" s="476">
        <v>0</v>
      </c>
      <c r="FZ134" s="476">
        <v>0</v>
      </c>
      <c r="GA134" s="476">
        <v>0</v>
      </c>
      <c r="GB134" s="476">
        <v>0</v>
      </c>
      <c r="GC134" s="476">
        <v>0</v>
      </c>
      <c r="GD134" s="476">
        <v>0</v>
      </c>
      <c r="GE134" s="476">
        <v>0</v>
      </c>
      <c r="GF134" s="476">
        <v>0</v>
      </c>
      <c r="GG134" s="476">
        <v>0</v>
      </c>
      <c r="GH134" s="476">
        <v>0</v>
      </c>
      <c r="GI134" s="476">
        <v>0</v>
      </c>
      <c r="GJ134" s="476">
        <v>0</v>
      </c>
      <c r="GK134" s="476">
        <v>0</v>
      </c>
      <c r="GL134" s="476">
        <v>0</v>
      </c>
      <c r="GM134" s="476">
        <v>0</v>
      </c>
      <c r="GN134" s="476">
        <v>0</v>
      </c>
      <c r="GO134" s="476">
        <v>0</v>
      </c>
      <c r="GP134" s="476">
        <v>0</v>
      </c>
      <c r="GQ134" s="476">
        <v>2665923</v>
      </c>
      <c r="GR134" s="476">
        <v>0</v>
      </c>
      <c r="GS134" s="476">
        <v>0</v>
      </c>
      <c r="GT134" s="476">
        <v>0</v>
      </c>
      <c r="GU134" s="476">
        <v>0</v>
      </c>
      <c r="GV134" s="476">
        <v>0</v>
      </c>
      <c r="GW134" s="476">
        <v>0</v>
      </c>
      <c r="GX134" s="476">
        <v>0</v>
      </c>
      <c r="GY134" s="476">
        <v>0</v>
      </c>
      <c r="GZ134" s="476">
        <v>0</v>
      </c>
      <c r="HA134" s="476">
        <v>0</v>
      </c>
      <c r="HB134" s="476">
        <v>323396213</v>
      </c>
      <c r="HC134" s="476">
        <v>4.2206E-2</v>
      </c>
      <c r="HD134" s="476">
        <v>38745</v>
      </c>
      <c r="HE134" s="476">
        <v>0</v>
      </c>
      <c r="HF134" s="476">
        <v>239664</v>
      </c>
      <c r="HG134" s="476">
        <v>1848</v>
      </c>
      <c r="HH134" s="476">
        <v>93311</v>
      </c>
      <c r="HI134" s="476">
        <v>0</v>
      </c>
      <c r="HJ134" s="476">
        <v>2295</v>
      </c>
      <c r="HK134" s="476">
        <v>0</v>
      </c>
      <c r="HL134" s="476">
        <v>0</v>
      </c>
      <c r="HM134" s="476">
        <v>0</v>
      </c>
      <c r="HN134" s="476">
        <v>0</v>
      </c>
      <c r="HO134" s="476">
        <v>0</v>
      </c>
      <c r="HP134" s="476">
        <v>0</v>
      </c>
      <c r="HQ134" s="476">
        <v>0</v>
      </c>
      <c r="HR134" s="476">
        <v>0</v>
      </c>
      <c r="HS134" s="476">
        <v>2304218</v>
      </c>
      <c r="HT134" s="476">
        <v>51763</v>
      </c>
      <c r="HU134" s="476">
        <v>0</v>
      </c>
      <c r="HV134" s="476">
        <v>0</v>
      </c>
      <c r="HW134" s="476">
        <v>0</v>
      </c>
      <c r="HX134" s="476">
        <v>19</v>
      </c>
      <c r="HY134" s="476">
        <v>47</v>
      </c>
      <c r="HZ134" s="476">
        <v>65</v>
      </c>
      <c r="IA134" s="476">
        <v>59</v>
      </c>
      <c r="IB134" s="476">
        <v>36</v>
      </c>
      <c r="IC134" s="476">
        <v>226</v>
      </c>
      <c r="ID134" s="476">
        <v>0</v>
      </c>
      <c r="IE134" s="476">
        <v>62.823</v>
      </c>
      <c r="IF134" s="476">
        <v>24.037000000000003</v>
      </c>
      <c r="IG134" s="476">
        <v>3</v>
      </c>
      <c r="IH134" s="476">
        <v>151.483</v>
      </c>
      <c r="II134" s="476">
        <v>0</v>
      </c>
      <c r="IJ134" s="476">
        <v>173.17700000000002</v>
      </c>
      <c r="IK134" s="476">
        <v>0</v>
      </c>
      <c r="IL134" s="476">
        <v>0</v>
      </c>
      <c r="IM134" s="476">
        <v>0</v>
      </c>
      <c r="IN134" s="476">
        <v>0</v>
      </c>
      <c r="IO134" s="476">
        <v>0</v>
      </c>
      <c r="IP134" s="476">
        <v>0</v>
      </c>
      <c r="IQ134" s="476">
        <v>86.317000000000007</v>
      </c>
      <c r="IR134" s="476">
        <v>53170</v>
      </c>
      <c r="IS134" s="476">
        <v>0</v>
      </c>
      <c r="IT134" s="476">
        <v>0</v>
      </c>
      <c r="IU134" s="476">
        <v>0</v>
      </c>
      <c r="IV134" s="476">
        <v>0</v>
      </c>
      <c r="IW134" s="476">
        <v>6160</v>
      </c>
      <c r="IX134" s="476">
        <v>58047</v>
      </c>
      <c r="IY134" s="476">
        <v>7403</v>
      </c>
      <c r="IZ134" s="476">
        <v>0</v>
      </c>
      <c r="JA134" s="476">
        <v>0</v>
      </c>
      <c r="JB134" s="476">
        <v>0</v>
      </c>
      <c r="JC134" s="476">
        <v>0</v>
      </c>
      <c r="JD134" s="476">
        <v>0</v>
      </c>
      <c r="JE134" s="476">
        <v>0</v>
      </c>
      <c r="JF134" s="476">
        <v>0</v>
      </c>
      <c r="JG134" s="476">
        <v>0</v>
      </c>
      <c r="JH134" s="476">
        <v>0</v>
      </c>
      <c r="JI134" s="476">
        <v>0</v>
      </c>
      <c r="JJ134" s="476">
        <v>0</v>
      </c>
      <c r="JK134" s="476">
        <v>0</v>
      </c>
      <c r="JL134" s="476">
        <v>0</v>
      </c>
      <c r="JM134" s="476">
        <v>0</v>
      </c>
      <c r="JN134" s="476">
        <v>32469</v>
      </c>
      <c r="JO134" s="476">
        <v>0</v>
      </c>
      <c r="JP134" s="476">
        <v>0</v>
      </c>
      <c r="JQ134" s="476">
        <v>0</v>
      </c>
      <c r="JR134" s="476">
        <v>0</v>
      </c>
      <c r="JS134" s="476">
        <v>0</v>
      </c>
      <c r="JT134" s="476">
        <v>0</v>
      </c>
      <c r="JU134" s="476">
        <v>3881</v>
      </c>
      <c r="JV134" s="476">
        <v>0</v>
      </c>
      <c r="JW134" s="476">
        <v>0</v>
      </c>
      <c r="JX134" s="476">
        <v>0</v>
      </c>
      <c r="JY134" s="476">
        <v>0</v>
      </c>
      <c r="JZ134" s="476">
        <v>0</v>
      </c>
      <c r="KA134" s="476">
        <v>0</v>
      </c>
      <c r="KB134" s="476">
        <v>0</v>
      </c>
      <c r="KC134" s="476">
        <v>0</v>
      </c>
      <c r="KD134" s="476">
        <v>3881</v>
      </c>
      <c r="KE134" s="476">
        <v>7262</v>
      </c>
      <c r="KF134" s="476">
        <v>0</v>
      </c>
      <c r="KG134" s="476">
        <v>0</v>
      </c>
      <c r="KH134" s="476">
        <v>2665923</v>
      </c>
      <c r="KI134" s="476">
        <v>0</v>
      </c>
      <c r="KJ134" s="476">
        <v>2</v>
      </c>
      <c r="KK134" s="476">
        <v>1</v>
      </c>
      <c r="KL134" s="476">
        <v>1232</v>
      </c>
      <c r="KM134" s="476">
        <v>616</v>
      </c>
      <c r="KN134" s="476">
        <v>0</v>
      </c>
    </row>
    <row r="135" spans="1:300" x14ac:dyDescent="0.25">
      <c r="B135" s="476">
        <v>108810</v>
      </c>
      <c r="C135" s="476">
        <v>0</v>
      </c>
      <c r="D135" s="476">
        <v>0</v>
      </c>
      <c r="E135" s="476">
        <v>6160</v>
      </c>
      <c r="F135" s="476">
        <v>0</v>
      </c>
      <c r="G135" s="476">
        <v>0</v>
      </c>
      <c r="H135" s="476">
        <v>0</v>
      </c>
      <c r="I135" s="476">
        <v>0</v>
      </c>
      <c r="J135" s="476">
        <v>0</v>
      </c>
      <c r="K135" s="476">
        <v>0</v>
      </c>
      <c r="L135" s="476">
        <v>0</v>
      </c>
      <c r="M135" s="476">
        <v>0</v>
      </c>
      <c r="N135" s="476">
        <v>0</v>
      </c>
      <c r="O135" s="476">
        <v>0</v>
      </c>
      <c r="P135" s="476">
        <v>0</v>
      </c>
      <c r="Q135" s="476">
        <v>0</v>
      </c>
      <c r="R135" s="476">
        <v>0</v>
      </c>
      <c r="S135" s="476">
        <v>414.88400000000001</v>
      </c>
      <c r="T135" s="476">
        <v>0</v>
      </c>
      <c r="U135" s="476">
        <v>0</v>
      </c>
      <c r="V135" s="476">
        <v>0</v>
      </c>
      <c r="W135" s="476">
        <v>0</v>
      </c>
      <c r="X135" s="476">
        <v>0</v>
      </c>
      <c r="Y135" s="476">
        <v>0</v>
      </c>
      <c r="Z135" s="476">
        <v>0</v>
      </c>
      <c r="AA135" s="476">
        <v>0</v>
      </c>
      <c r="AB135" s="476">
        <v>0</v>
      </c>
      <c r="AC135" s="476">
        <v>0</v>
      </c>
      <c r="AD135" s="476">
        <v>0</v>
      </c>
      <c r="AE135" s="476">
        <v>0</v>
      </c>
      <c r="AF135" s="476">
        <v>0</v>
      </c>
      <c r="AG135" s="476">
        <v>0</v>
      </c>
      <c r="AH135" s="476">
        <v>0</v>
      </c>
      <c r="AI135" s="476">
        <v>0</v>
      </c>
      <c r="AJ135" s="476">
        <v>6160</v>
      </c>
      <c r="AK135" s="476">
        <v>0</v>
      </c>
      <c r="AL135" s="476" t="s">
        <v>1067</v>
      </c>
      <c r="AM135" s="476">
        <v>0</v>
      </c>
      <c r="AN135" s="476">
        <v>0</v>
      </c>
      <c r="AO135" s="476">
        <v>0</v>
      </c>
      <c r="AP135" s="476">
        <v>0</v>
      </c>
      <c r="AQ135" s="476">
        <v>0</v>
      </c>
      <c r="AR135" s="476">
        <v>0</v>
      </c>
      <c r="AS135" s="476">
        <v>0</v>
      </c>
      <c r="AT135" s="476">
        <v>0</v>
      </c>
      <c r="AU135" s="476">
        <v>0</v>
      </c>
      <c r="AV135" s="476">
        <v>0</v>
      </c>
      <c r="AW135" s="476">
        <v>0</v>
      </c>
      <c r="AX135" s="476">
        <v>0</v>
      </c>
      <c r="AY135" s="476">
        <v>0</v>
      </c>
      <c r="AZ135" s="476">
        <v>0</v>
      </c>
      <c r="BA135" s="476">
        <v>0</v>
      </c>
      <c r="BB135" s="476">
        <v>0</v>
      </c>
      <c r="BC135" s="476">
        <v>0</v>
      </c>
      <c r="BD135" s="476">
        <v>0</v>
      </c>
      <c r="BE135" s="476">
        <v>0</v>
      </c>
      <c r="BF135" s="476">
        <v>0</v>
      </c>
      <c r="BG135" s="476">
        <v>0</v>
      </c>
      <c r="BH135" s="476">
        <v>0</v>
      </c>
      <c r="BI135" s="476">
        <v>0</v>
      </c>
      <c r="BJ135" s="476">
        <v>0</v>
      </c>
      <c r="BK135" s="476">
        <v>0</v>
      </c>
      <c r="BL135" s="476">
        <v>0</v>
      </c>
      <c r="BM135" s="476">
        <v>0</v>
      </c>
      <c r="BN135" s="476">
        <v>0</v>
      </c>
      <c r="BO135" s="476">
        <v>0</v>
      </c>
      <c r="BP135" s="476">
        <v>0</v>
      </c>
      <c r="BQ135" s="476">
        <v>0</v>
      </c>
      <c r="BR135" s="476">
        <v>0</v>
      </c>
      <c r="BS135" s="476">
        <v>0</v>
      </c>
      <c r="BT135" s="476">
        <v>0</v>
      </c>
      <c r="BU135" s="476">
        <v>0</v>
      </c>
      <c r="BV135" s="476">
        <v>0</v>
      </c>
      <c r="BW135" s="476">
        <v>0</v>
      </c>
      <c r="BX135" s="476">
        <v>0</v>
      </c>
      <c r="BY135" s="476">
        <v>0</v>
      </c>
      <c r="BZ135" s="476">
        <v>0</v>
      </c>
      <c r="CA135" s="476">
        <v>0</v>
      </c>
      <c r="CB135" s="476">
        <v>0</v>
      </c>
      <c r="CC135" s="476">
        <v>0</v>
      </c>
      <c r="CD135" s="476">
        <v>0</v>
      </c>
      <c r="CE135" s="476">
        <v>0</v>
      </c>
      <c r="CF135" s="476">
        <v>0</v>
      </c>
      <c r="CG135" s="476">
        <v>0</v>
      </c>
      <c r="CH135" s="476">
        <v>0</v>
      </c>
      <c r="CI135" s="476">
        <v>0</v>
      </c>
      <c r="CJ135" s="476">
        <v>0</v>
      </c>
      <c r="CK135" s="476">
        <v>0</v>
      </c>
      <c r="CL135" s="476">
        <v>0</v>
      </c>
      <c r="CM135" s="476">
        <v>0</v>
      </c>
      <c r="CN135" s="476">
        <v>0</v>
      </c>
      <c r="CO135" s="476">
        <v>0</v>
      </c>
      <c r="CP135" s="476">
        <v>0</v>
      </c>
      <c r="CQ135" s="476">
        <v>0</v>
      </c>
      <c r="CR135" s="476">
        <v>0</v>
      </c>
      <c r="CS135" s="476">
        <v>0</v>
      </c>
      <c r="CT135" s="476">
        <v>0</v>
      </c>
      <c r="CU135" s="476">
        <v>0</v>
      </c>
      <c r="CV135" s="476">
        <v>0</v>
      </c>
      <c r="CW135" s="476">
        <v>0</v>
      </c>
      <c r="CX135" s="476">
        <v>0</v>
      </c>
      <c r="CY135" s="476">
        <v>0</v>
      </c>
      <c r="CZ135" s="476">
        <v>0</v>
      </c>
      <c r="DA135" s="476">
        <v>0</v>
      </c>
      <c r="DB135" s="476">
        <v>0</v>
      </c>
      <c r="DC135" s="476">
        <v>0</v>
      </c>
      <c r="DD135" s="476">
        <v>0</v>
      </c>
      <c r="DE135" s="476">
        <v>0</v>
      </c>
      <c r="DF135" s="476">
        <v>0</v>
      </c>
      <c r="DG135" s="476">
        <v>0</v>
      </c>
      <c r="DH135" s="476">
        <v>0</v>
      </c>
      <c r="DI135" s="476">
        <v>0</v>
      </c>
      <c r="DJ135" s="476">
        <v>0</v>
      </c>
      <c r="DK135" s="476">
        <v>0</v>
      </c>
      <c r="DL135" s="476">
        <v>0</v>
      </c>
      <c r="DM135" s="476">
        <v>0</v>
      </c>
      <c r="DN135" s="476">
        <v>0</v>
      </c>
      <c r="DO135" s="476">
        <v>0</v>
      </c>
      <c r="DP135" s="476">
        <v>0</v>
      </c>
      <c r="DQ135" s="476">
        <v>0</v>
      </c>
      <c r="DR135" s="476">
        <v>0</v>
      </c>
      <c r="DS135" s="476">
        <v>0</v>
      </c>
      <c r="DT135" s="476">
        <v>0</v>
      </c>
      <c r="DU135" s="476">
        <v>0</v>
      </c>
      <c r="DV135" s="476">
        <v>0</v>
      </c>
      <c r="DW135" s="476">
        <v>0</v>
      </c>
      <c r="DX135" s="476">
        <v>0</v>
      </c>
      <c r="DY135" s="476">
        <v>0</v>
      </c>
      <c r="DZ135" s="476">
        <v>0</v>
      </c>
      <c r="EA135" s="476">
        <v>0</v>
      </c>
      <c r="EB135" s="476">
        <v>0</v>
      </c>
      <c r="EC135" s="476">
        <v>0</v>
      </c>
      <c r="ED135" s="476">
        <v>0</v>
      </c>
      <c r="EE135" s="476">
        <v>0</v>
      </c>
      <c r="EF135" s="476">
        <v>0</v>
      </c>
      <c r="EG135" s="476">
        <v>0</v>
      </c>
      <c r="EH135" s="476">
        <v>0</v>
      </c>
      <c r="EI135" s="476">
        <v>0</v>
      </c>
      <c r="EJ135" s="476">
        <v>0</v>
      </c>
      <c r="EK135" s="476">
        <v>0</v>
      </c>
      <c r="EL135" s="476">
        <v>0</v>
      </c>
      <c r="EM135" s="476">
        <v>0</v>
      </c>
      <c r="EN135" s="476">
        <v>0</v>
      </c>
      <c r="EO135" s="476">
        <v>0</v>
      </c>
      <c r="EP135" s="476">
        <v>0</v>
      </c>
      <c r="EQ135" s="476">
        <v>0</v>
      </c>
      <c r="ER135" s="476">
        <v>0</v>
      </c>
      <c r="ES135" s="476">
        <v>0</v>
      </c>
      <c r="ET135" s="476">
        <v>0</v>
      </c>
      <c r="EU135" s="476">
        <v>0</v>
      </c>
      <c r="EV135" s="476">
        <v>0</v>
      </c>
      <c r="EW135" s="476">
        <v>0</v>
      </c>
      <c r="EX135" s="476">
        <v>0</v>
      </c>
      <c r="EY135" s="476">
        <v>0</v>
      </c>
      <c r="EZ135" s="476">
        <v>0</v>
      </c>
      <c r="FA135" s="476">
        <v>0</v>
      </c>
      <c r="FB135" s="476">
        <v>0</v>
      </c>
      <c r="FC135" s="476">
        <v>0</v>
      </c>
      <c r="FD135" s="476">
        <v>0</v>
      </c>
      <c r="FE135" s="476">
        <v>0</v>
      </c>
      <c r="FF135" s="476">
        <v>0</v>
      </c>
      <c r="FG135" s="476">
        <v>6.3017999999999991E-2</v>
      </c>
      <c r="FH135" s="476">
        <v>2.6953999999999999E-2</v>
      </c>
      <c r="FI135" s="476">
        <v>0</v>
      </c>
      <c r="FJ135" s="476">
        <v>0</v>
      </c>
      <c r="FK135" s="476">
        <v>0</v>
      </c>
      <c r="FL135" s="476">
        <v>0</v>
      </c>
      <c r="FM135" s="476">
        <v>0</v>
      </c>
      <c r="FN135" s="476">
        <v>0</v>
      </c>
      <c r="FO135" s="476">
        <v>0</v>
      </c>
      <c r="FP135" s="476">
        <v>0</v>
      </c>
      <c r="FQ135" s="476">
        <v>0</v>
      </c>
      <c r="FR135" s="476">
        <v>0</v>
      </c>
      <c r="FS135" s="476">
        <v>0</v>
      </c>
      <c r="FT135" s="476">
        <v>0</v>
      </c>
      <c r="FU135" s="476">
        <v>0</v>
      </c>
      <c r="FV135" s="476">
        <v>0</v>
      </c>
      <c r="FW135" s="476">
        <v>0</v>
      </c>
      <c r="FX135" s="476">
        <v>0</v>
      </c>
      <c r="FY135" s="476">
        <v>0</v>
      </c>
      <c r="FZ135" s="476">
        <v>0</v>
      </c>
      <c r="GA135" s="476">
        <v>0</v>
      </c>
      <c r="GB135" s="476">
        <v>0</v>
      </c>
      <c r="GC135" s="476">
        <v>0</v>
      </c>
      <c r="GD135" s="476">
        <v>0</v>
      </c>
      <c r="GE135" s="476">
        <v>0</v>
      </c>
      <c r="GF135" s="476">
        <v>0</v>
      </c>
      <c r="GG135" s="476">
        <v>0</v>
      </c>
      <c r="GH135" s="476">
        <v>0</v>
      </c>
      <c r="GI135" s="476">
        <v>0</v>
      </c>
      <c r="GJ135" s="476">
        <v>0</v>
      </c>
      <c r="GK135" s="476">
        <v>0</v>
      </c>
      <c r="GL135" s="476">
        <v>0</v>
      </c>
      <c r="GM135" s="476">
        <v>0</v>
      </c>
      <c r="GN135" s="476">
        <v>0</v>
      </c>
      <c r="GO135" s="476">
        <v>0</v>
      </c>
      <c r="GP135" s="476">
        <v>0</v>
      </c>
      <c r="GQ135" s="476">
        <v>0</v>
      </c>
      <c r="GR135" s="476">
        <v>0</v>
      </c>
      <c r="GS135" s="476">
        <v>0</v>
      </c>
      <c r="GT135" s="476">
        <v>0</v>
      </c>
      <c r="GU135" s="476">
        <v>0</v>
      </c>
      <c r="GV135" s="476">
        <v>0</v>
      </c>
      <c r="GW135" s="476">
        <v>0</v>
      </c>
      <c r="GX135" s="476">
        <v>0</v>
      </c>
      <c r="GY135" s="476">
        <v>0</v>
      </c>
      <c r="GZ135" s="476">
        <v>0</v>
      </c>
      <c r="HA135" s="476">
        <v>0</v>
      </c>
      <c r="HB135" s="476">
        <v>0</v>
      </c>
      <c r="HC135" s="476">
        <v>4.2206E-2</v>
      </c>
      <c r="HD135" s="476">
        <v>0</v>
      </c>
      <c r="HE135" s="476">
        <v>0</v>
      </c>
      <c r="HF135" s="476">
        <v>0</v>
      </c>
      <c r="HG135" s="476">
        <v>0</v>
      </c>
      <c r="HH135" s="476">
        <v>0</v>
      </c>
      <c r="HI135" s="476">
        <v>0</v>
      </c>
      <c r="HJ135" s="476">
        <v>0</v>
      </c>
      <c r="HK135" s="476">
        <v>0</v>
      </c>
      <c r="HL135" s="476">
        <v>0</v>
      </c>
      <c r="HM135" s="476">
        <v>0</v>
      </c>
      <c r="HN135" s="476">
        <v>0</v>
      </c>
      <c r="HO135" s="476">
        <v>0</v>
      </c>
      <c r="HP135" s="476">
        <v>0</v>
      </c>
      <c r="HQ135" s="476">
        <v>0</v>
      </c>
      <c r="HR135" s="476">
        <v>0</v>
      </c>
      <c r="HS135" s="476">
        <v>0</v>
      </c>
      <c r="HT135" s="476">
        <v>0</v>
      </c>
      <c r="HU135" s="476">
        <v>0</v>
      </c>
      <c r="HV135" s="476">
        <v>0</v>
      </c>
      <c r="HW135" s="476">
        <v>0</v>
      </c>
      <c r="HX135" s="476">
        <v>0</v>
      </c>
      <c r="HY135" s="476">
        <v>0</v>
      </c>
      <c r="HZ135" s="476">
        <v>0</v>
      </c>
      <c r="IA135" s="476">
        <v>0</v>
      </c>
      <c r="IB135" s="476">
        <v>0</v>
      </c>
      <c r="IC135" s="476">
        <v>0</v>
      </c>
      <c r="ID135" s="476">
        <v>0</v>
      </c>
      <c r="IE135" s="476">
        <v>0</v>
      </c>
      <c r="IF135" s="476">
        <v>0</v>
      </c>
      <c r="IG135" s="476">
        <v>0</v>
      </c>
      <c r="IH135" s="476">
        <v>0</v>
      </c>
      <c r="II135" s="476">
        <v>0</v>
      </c>
      <c r="IJ135" s="476">
        <v>0</v>
      </c>
      <c r="IK135" s="476">
        <v>0</v>
      </c>
      <c r="IL135" s="476">
        <v>0</v>
      </c>
      <c r="IM135" s="476">
        <v>0</v>
      </c>
      <c r="IN135" s="476">
        <v>0</v>
      </c>
      <c r="IO135" s="476">
        <v>0</v>
      </c>
      <c r="IP135" s="476">
        <v>0</v>
      </c>
      <c r="IQ135" s="476">
        <v>0</v>
      </c>
      <c r="IR135" s="476">
        <v>0</v>
      </c>
      <c r="IS135" s="476">
        <v>0</v>
      </c>
      <c r="IT135" s="476">
        <v>0</v>
      </c>
      <c r="IU135" s="476">
        <v>0</v>
      </c>
      <c r="IV135" s="476">
        <v>0</v>
      </c>
      <c r="IW135" s="476">
        <v>0</v>
      </c>
      <c r="IX135" s="476">
        <v>0</v>
      </c>
      <c r="IY135" s="476">
        <v>0</v>
      </c>
      <c r="IZ135" s="476">
        <v>0</v>
      </c>
      <c r="JA135" s="476">
        <v>0</v>
      </c>
      <c r="JB135" s="476">
        <v>0</v>
      </c>
      <c r="JC135" s="476">
        <v>0</v>
      </c>
      <c r="JD135" s="476">
        <v>0</v>
      </c>
      <c r="JE135" s="476">
        <v>0</v>
      </c>
      <c r="JF135" s="476">
        <v>0</v>
      </c>
      <c r="JG135" s="476">
        <v>0</v>
      </c>
      <c r="JH135" s="476">
        <v>0</v>
      </c>
      <c r="JI135" s="476">
        <v>0</v>
      </c>
      <c r="JJ135" s="476">
        <v>0</v>
      </c>
      <c r="JK135" s="476">
        <v>0</v>
      </c>
      <c r="JL135" s="476">
        <v>0</v>
      </c>
      <c r="JM135" s="476">
        <v>0</v>
      </c>
      <c r="JN135" s="476">
        <v>0</v>
      </c>
      <c r="JO135" s="476">
        <v>0</v>
      </c>
      <c r="JP135" s="476">
        <v>0</v>
      </c>
      <c r="JQ135" s="476">
        <v>0</v>
      </c>
      <c r="JR135" s="476">
        <v>0</v>
      </c>
      <c r="JS135" s="476">
        <v>0</v>
      </c>
      <c r="JT135" s="476">
        <v>0</v>
      </c>
      <c r="JU135" s="476">
        <v>0</v>
      </c>
      <c r="JV135" s="476">
        <v>0</v>
      </c>
      <c r="JW135" s="476">
        <v>0</v>
      </c>
      <c r="JX135" s="476">
        <v>0</v>
      </c>
      <c r="JY135" s="476">
        <v>0</v>
      </c>
      <c r="JZ135" s="476">
        <v>0</v>
      </c>
      <c r="KA135" s="476">
        <v>0</v>
      </c>
      <c r="KB135" s="476">
        <v>0</v>
      </c>
      <c r="KC135" s="476">
        <v>0</v>
      </c>
      <c r="KD135" s="476">
        <v>0</v>
      </c>
      <c r="KE135" s="476">
        <v>0</v>
      </c>
      <c r="KF135" s="476">
        <v>0</v>
      </c>
      <c r="KG135" s="476">
        <v>0</v>
      </c>
      <c r="KH135" s="476">
        <v>0</v>
      </c>
      <c r="KI135" s="476">
        <v>0</v>
      </c>
      <c r="KJ135" s="476">
        <v>0</v>
      </c>
      <c r="KK135" s="476">
        <v>0</v>
      </c>
      <c r="KL135" s="476">
        <v>0</v>
      </c>
      <c r="KM135" s="476">
        <v>0</v>
      </c>
      <c r="KN135" s="476">
        <v>0</v>
      </c>
    </row>
    <row r="136" spans="1:300" x14ac:dyDescent="0.25">
      <c r="A136" s="476">
        <v>40976</v>
      </c>
      <c r="B136" s="476">
        <v>111801</v>
      </c>
      <c r="C136" s="476">
        <v>9</v>
      </c>
      <c r="D136" s="476">
        <v>2024</v>
      </c>
      <c r="E136" s="476">
        <v>6160</v>
      </c>
      <c r="F136" s="476">
        <v>0</v>
      </c>
      <c r="G136" s="476">
        <v>46.74</v>
      </c>
      <c r="H136" s="476">
        <v>31.903000000000002</v>
      </c>
      <c r="I136" s="476">
        <v>31.903000000000002</v>
      </c>
      <c r="J136" s="476">
        <v>46.74</v>
      </c>
      <c r="K136" s="476">
        <v>0</v>
      </c>
      <c r="L136" s="476">
        <v>6160</v>
      </c>
      <c r="M136" s="476">
        <v>0</v>
      </c>
      <c r="N136" s="476">
        <v>0</v>
      </c>
      <c r="O136" s="476">
        <v>0</v>
      </c>
      <c r="P136" s="476">
        <v>44.343000000000004</v>
      </c>
      <c r="Q136" s="476">
        <v>0</v>
      </c>
      <c r="R136" s="476">
        <v>18397</v>
      </c>
      <c r="S136" s="476">
        <v>414.88400000000001</v>
      </c>
      <c r="T136" s="476">
        <v>0</v>
      </c>
      <c r="U136" s="476">
        <v>0</v>
      </c>
      <c r="V136" s="476">
        <v>3.2070000000000003</v>
      </c>
      <c r="W136" s="476">
        <v>1975</v>
      </c>
      <c r="X136" s="476">
        <v>1975</v>
      </c>
      <c r="Y136" s="476">
        <v>0</v>
      </c>
      <c r="Z136" s="476">
        <v>0</v>
      </c>
      <c r="AA136" s="476">
        <v>0</v>
      </c>
      <c r="AB136" s="476">
        <v>0</v>
      </c>
      <c r="AC136" s="476">
        <v>0</v>
      </c>
      <c r="AD136" s="476" t="s">
        <v>314</v>
      </c>
      <c r="AE136" s="476">
        <v>0</v>
      </c>
      <c r="AF136" s="476">
        <v>0</v>
      </c>
      <c r="AG136" s="476">
        <v>0</v>
      </c>
      <c r="AH136" s="476">
        <v>0</v>
      </c>
      <c r="AI136" s="476">
        <v>0</v>
      </c>
      <c r="AJ136" s="476">
        <v>6160</v>
      </c>
      <c r="AK136" s="476" t="s">
        <v>651</v>
      </c>
      <c r="AL136" s="476" t="s">
        <v>461</v>
      </c>
      <c r="AM136" s="476">
        <v>0</v>
      </c>
      <c r="AN136" s="476">
        <v>0</v>
      </c>
      <c r="AO136" s="476">
        <v>0</v>
      </c>
      <c r="AP136" s="476">
        <v>0</v>
      </c>
      <c r="AQ136" s="476">
        <v>0</v>
      </c>
      <c r="AR136" s="476">
        <v>0</v>
      </c>
      <c r="AS136" s="476">
        <v>0</v>
      </c>
      <c r="AT136" s="476">
        <v>0</v>
      </c>
      <c r="AU136" s="476">
        <v>0</v>
      </c>
      <c r="AV136" s="476">
        <v>0</v>
      </c>
      <c r="AW136" s="476">
        <v>618371</v>
      </c>
      <c r="AX136" s="476">
        <v>611088</v>
      </c>
      <c r="AY136" s="476">
        <v>0</v>
      </c>
      <c r="AZ136" s="476">
        <v>18397</v>
      </c>
      <c r="BA136" s="476">
        <v>0</v>
      </c>
      <c r="BB136" s="476">
        <v>0</v>
      </c>
      <c r="BC136" s="476">
        <v>0</v>
      </c>
      <c r="BD136" s="476">
        <v>0</v>
      </c>
      <c r="BE136" s="476">
        <v>0</v>
      </c>
      <c r="BF136" s="476">
        <v>544706</v>
      </c>
      <c r="BG136" s="476">
        <v>0</v>
      </c>
      <c r="BH136" s="476">
        <v>0</v>
      </c>
      <c r="BI136" s="476">
        <v>0</v>
      </c>
      <c r="BJ136" s="476">
        <v>12</v>
      </c>
      <c r="BK136" s="476">
        <v>0</v>
      </c>
      <c r="BL136" s="476">
        <v>0</v>
      </c>
      <c r="BM136" s="476">
        <v>0</v>
      </c>
      <c r="BN136" s="476">
        <v>0</v>
      </c>
      <c r="BO136" s="476">
        <v>0</v>
      </c>
      <c r="BP136" s="476">
        <v>0</v>
      </c>
      <c r="BQ136" s="476">
        <v>765</v>
      </c>
      <c r="BR136" s="476">
        <v>0</v>
      </c>
      <c r="BS136" s="476">
        <v>0</v>
      </c>
      <c r="BT136" s="476">
        <v>0</v>
      </c>
      <c r="BU136" s="476">
        <v>0</v>
      </c>
      <c r="BV136" s="476">
        <v>0</v>
      </c>
      <c r="BW136" s="476">
        <v>0</v>
      </c>
      <c r="BX136" s="476">
        <v>0</v>
      </c>
      <c r="BY136" s="476">
        <v>0</v>
      </c>
      <c r="BZ136" s="476">
        <v>0</v>
      </c>
      <c r="CA136" s="476">
        <v>0</v>
      </c>
      <c r="CB136" s="476">
        <v>0</v>
      </c>
      <c r="CC136" s="476">
        <v>0</v>
      </c>
      <c r="CD136" s="476">
        <v>0</v>
      </c>
      <c r="CE136" s="476">
        <v>0</v>
      </c>
      <c r="CF136" s="476">
        <v>0</v>
      </c>
      <c r="CG136" s="476">
        <v>0</v>
      </c>
      <c r="CH136" s="476">
        <v>7891</v>
      </c>
      <c r="CI136" s="476">
        <v>0</v>
      </c>
      <c r="CJ136" s="476">
        <v>4</v>
      </c>
      <c r="CK136" s="476">
        <v>0</v>
      </c>
      <c r="CL136" s="476">
        <v>0</v>
      </c>
      <c r="CM136" s="476">
        <v>0</v>
      </c>
      <c r="CN136" s="476">
        <v>0</v>
      </c>
      <c r="CO136" s="476">
        <v>1</v>
      </c>
      <c r="CP136" s="476">
        <v>0</v>
      </c>
      <c r="CQ136" s="476">
        <v>0</v>
      </c>
      <c r="CR136" s="476">
        <v>46.74</v>
      </c>
      <c r="CS136" s="476">
        <v>0</v>
      </c>
      <c r="CT136" s="476">
        <v>0</v>
      </c>
      <c r="CU136" s="476">
        <v>0</v>
      </c>
      <c r="CV136" s="476">
        <v>0</v>
      </c>
      <c r="CW136" s="476">
        <v>0</v>
      </c>
      <c r="CX136" s="476">
        <v>0</v>
      </c>
      <c r="CY136" s="476">
        <v>0</v>
      </c>
      <c r="CZ136" s="476">
        <v>0</v>
      </c>
      <c r="DA136" s="476">
        <v>0</v>
      </c>
      <c r="DB136" s="476">
        <v>89855</v>
      </c>
      <c r="DC136" s="476">
        <v>0</v>
      </c>
      <c r="DD136" s="476">
        <v>0</v>
      </c>
      <c r="DE136" s="476">
        <v>51743</v>
      </c>
      <c r="DF136" s="476">
        <v>51743</v>
      </c>
      <c r="DG136" s="476">
        <v>8.4</v>
      </c>
      <c r="DH136" s="476">
        <v>0</v>
      </c>
      <c r="DI136" s="476">
        <v>0</v>
      </c>
      <c r="DJ136" s="476">
        <v>0</v>
      </c>
      <c r="DK136" s="476">
        <v>3864</v>
      </c>
      <c r="DL136" s="476">
        <v>0</v>
      </c>
      <c r="DM136" s="476">
        <v>283312</v>
      </c>
      <c r="DN136" s="476">
        <v>607</v>
      </c>
      <c r="DO136" s="476">
        <v>0</v>
      </c>
      <c r="DP136" s="476">
        <v>0</v>
      </c>
      <c r="DQ136" s="476">
        <v>0</v>
      </c>
      <c r="DR136" s="476">
        <v>0</v>
      </c>
      <c r="DS136" s="476">
        <v>0</v>
      </c>
      <c r="DT136" s="476">
        <v>0</v>
      </c>
      <c r="DU136" s="476">
        <v>0</v>
      </c>
      <c r="DV136" s="476">
        <v>0</v>
      </c>
      <c r="DW136" s="476">
        <v>0</v>
      </c>
      <c r="DX136" s="476">
        <v>0</v>
      </c>
      <c r="DY136" s="476">
        <v>0</v>
      </c>
      <c r="DZ136" s="476">
        <v>0</v>
      </c>
      <c r="EA136" s="476">
        <v>0</v>
      </c>
      <c r="EB136" s="476">
        <v>0</v>
      </c>
      <c r="EC136" s="476">
        <v>0</v>
      </c>
      <c r="ED136" s="476">
        <v>0</v>
      </c>
      <c r="EE136" s="476">
        <v>0</v>
      </c>
      <c r="EF136" s="476">
        <v>0</v>
      </c>
      <c r="EG136" s="476">
        <v>0</v>
      </c>
      <c r="EH136" s="476">
        <v>0</v>
      </c>
      <c r="EI136" s="476">
        <v>177256</v>
      </c>
      <c r="EJ136" s="476">
        <v>7.194</v>
      </c>
      <c r="EK136" s="476">
        <v>0</v>
      </c>
      <c r="EL136" s="476">
        <v>0</v>
      </c>
      <c r="EM136" s="476">
        <v>0</v>
      </c>
      <c r="EN136" s="476">
        <v>0</v>
      </c>
      <c r="EO136" s="476">
        <v>0</v>
      </c>
      <c r="EP136" s="476">
        <v>0</v>
      </c>
      <c r="EQ136" s="476">
        <v>7.194</v>
      </c>
      <c r="ER136" s="476">
        <v>0</v>
      </c>
      <c r="ES136" s="476">
        <v>0</v>
      </c>
      <c r="ET136" s="476">
        <v>0</v>
      </c>
      <c r="EU136" s="476">
        <v>0</v>
      </c>
      <c r="EV136" s="476">
        <v>0</v>
      </c>
      <c r="EW136" s="476">
        <v>0</v>
      </c>
      <c r="EX136" s="476">
        <v>0</v>
      </c>
      <c r="EY136" s="476">
        <v>0</v>
      </c>
      <c r="EZ136" s="476">
        <v>529011</v>
      </c>
      <c r="FA136" s="476">
        <v>0</v>
      </c>
      <c r="FB136" s="476">
        <v>546800</v>
      </c>
      <c r="FC136" s="476">
        <v>0</v>
      </c>
      <c r="FD136" s="476">
        <v>0</v>
      </c>
      <c r="FE136" s="476">
        <v>70331</v>
      </c>
      <c r="FF136" s="476">
        <v>11746</v>
      </c>
      <c r="FG136" s="476">
        <v>6.3017999999999991E-2</v>
      </c>
      <c r="FH136" s="476">
        <v>2.6953999999999999E-2</v>
      </c>
      <c r="FI136" s="476">
        <v>0</v>
      </c>
      <c r="FJ136" s="476">
        <v>0</v>
      </c>
      <c r="FK136" s="476">
        <v>88.427999999999997</v>
      </c>
      <c r="FL136" s="476">
        <v>636768</v>
      </c>
      <c r="FM136" s="476">
        <v>0</v>
      </c>
      <c r="FN136" s="476">
        <v>0</v>
      </c>
      <c r="FO136" s="476">
        <v>0</v>
      </c>
      <c r="FP136" s="476">
        <v>0</v>
      </c>
      <c r="FQ136" s="476">
        <v>0</v>
      </c>
      <c r="FR136" s="476">
        <v>0</v>
      </c>
      <c r="FS136" s="476">
        <v>0</v>
      </c>
      <c r="FT136" s="476">
        <v>0</v>
      </c>
      <c r="FU136" s="476">
        <v>0</v>
      </c>
      <c r="FV136" s="476">
        <v>0</v>
      </c>
      <c r="FW136" s="476">
        <v>0</v>
      </c>
      <c r="FX136" s="476">
        <v>0</v>
      </c>
      <c r="FY136" s="476">
        <v>0</v>
      </c>
      <c r="FZ136" s="476">
        <v>0</v>
      </c>
      <c r="GA136" s="476">
        <v>0</v>
      </c>
      <c r="GB136" s="476">
        <v>81590</v>
      </c>
      <c r="GC136" s="476">
        <v>81590</v>
      </c>
      <c r="GD136" s="476">
        <v>7.6430000000000007</v>
      </c>
      <c r="GE136" s="476">
        <v>0</v>
      </c>
      <c r="GF136" s="476">
        <v>0</v>
      </c>
      <c r="GG136" s="476">
        <v>0</v>
      </c>
      <c r="GH136" s="476">
        <v>0</v>
      </c>
      <c r="GI136" s="476">
        <v>0</v>
      </c>
      <c r="GJ136" s="476">
        <v>0</v>
      </c>
      <c r="GK136" s="476">
        <v>0</v>
      </c>
      <c r="GL136" s="476">
        <v>0</v>
      </c>
      <c r="GM136" s="476">
        <v>0</v>
      </c>
      <c r="GN136" s="476">
        <v>0</v>
      </c>
      <c r="GO136" s="476">
        <v>0</v>
      </c>
      <c r="GP136" s="476">
        <v>0</v>
      </c>
      <c r="GQ136" s="476">
        <v>610480</v>
      </c>
      <c r="GR136" s="476">
        <v>0</v>
      </c>
      <c r="GS136" s="476">
        <v>0</v>
      </c>
      <c r="GT136" s="476">
        <v>0</v>
      </c>
      <c r="GU136" s="476">
        <v>0</v>
      </c>
      <c r="GV136" s="476">
        <v>0</v>
      </c>
      <c r="GW136" s="476">
        <v>0</v>
      </c>
      <c r="GX136" s="476">
        <v>0</v>
      </c>
      <c r="GY136" s="476">
        <v>0</v>
      </c>
      <c r="GZ136" s="476">
        <v>0</v>
      </c>
      <c r="HA136" s="476">
        <v>0</v>
      </c>
      <c r="HB136" s="476">
        <v>323396213</v>
      </c>
      <c r="HC136" s="476">
        <v>4.2206E-2</v>
      </c>
      <c r="HD136" s="476">
        <v>7891</v>
      </c>
      <c r="HE136" s="476">
        <v>0</v>
      </c>
      <c r="HF136" s="476">
        <v>35157</v>
      </c>
      <c r="HG136" s="476">
        <v>0</v>
      </c>
      <c r="HH136" s="476">
        <v>0</v>
      </c>
      <c r="HI136" s="476">
        <v>0</v>
      </c>
      <c r="HJ136" s="476">
        <v>467</v>
      </c>
      <c r="HK136" s="476">
        <v>463</v>
      </c>
      <c r="HL136" s="476">
        <v>11</v>
      </c>
      <c r="HM136" s="476">
        <v>0</v>
      </c>
      <c r="HN136" s="476">
        <v>0</v>
      </c>
      <c r="HO136" s="476">
        <v>0</v>
      </c>
      <c r="HP136" s="476">
        <v>0</v>
      </c>
      <c r="HQ136" s="476">
        <v>0</v>
      </c>
      <c r="HR136" s="476">
        <v>0</v>
      </c>
      <c r="HS136" s="476">
        <v>528403</v>
      </c>
      <c r="HT136" s="476">
        <v>11746</v>
      </c>
      <c r="HU136" s="476">
        <v>0</v>
      </c>
      <c r="HV136" s="476">
        <v>0</v>
      </c>
      <c r="HW136" s="476">
        <v>0</v>
      </c>
      <c r="HX136" s="476">
        <v>5</v>
      </c>
      <c r="HY136" s="476">
        <v>5</v>
      </c>
      <c r="HZ136" s="476">
        <v>6</v>
      </c>
      <c r="IA136" s="476">
        <v>7</v>
      </c>
      <c r="IB136" s="476">
        <v>10</v>
      </c>
      <c r="IC136" s="476">
        <v>33</v>
      </c>
      <c r="ID136" s="476">
        <v>0</v>
      </c>
      <c r="IE136" s="476">
        <v>0</v>
      </c>
      <c r="IF136" s="476">
        <v>0</v>
      </c>
      <c r="IG136" s="476">
        <v>0</v>
      </c>
      <c r="IH136" s="476">
        <v>0</v>
      </c>
      <c r="II136" s="476">
        <v>0</v>
      </c>
      <c r="IJ136" s="476">
        <v>3.2070000000000003</v>
      </c>
      <c r="IK136" s="476">
        <v>8.1</v>
      </c>
      <c r="IL136" s="476">
        <v>0</v>
      </c>
      <c r="IM136" s="476">
        <v>0</v>
      </c>
      <c r="IN136" s="476">
        <v>0</v>
      </c>
      <c r="IO136" s="476">
        <v>0</v>
      </c>
      <c r="IP136" s="476">
        <v>8.1</v>
      </c>
      <c r="IQ136" s="476">
        <v>3.2070000000000003</v>
      </c>
      <c r="IR136" s="476">
        <v>1975</v>
      </c>
      <c r="IS136" s="476">
        <v>2228</v>
      </c>
      <c r="IT136" s="476">
        <v>0</v>
      </c>
      <c r="IU136" s="476">
        <v>0</v>
      </c>
      <c r="IV136" s="476">
        <v>0</v>
      </c>
      <c r="IW136" s="476">
        <v>6160</v>
      </c>
      <c r="IX136" s="476">
        <v>0</v>
      </c>
      <c r="IY136" s="476">
        <v>0</v>
      </c>
      <c r="IZ136" s="476">
        <v>2228</v>
      </c>
      <c r="JA136" s="476">
        <v>0</v>
      </c>
      <c r="JB136" s="476">
        <v>0</v>
      </c>
      <c r="JC136" s="476">
        <v>0</v>
      </c>
      <c r="JD136" s="476">
        <v>0</v>
      </c>
      <c r="JE136" s="476">
        <v>0</v>
      </c>
      <c r="JF136" s="476">
        <v>0</v>
      </c>
      <c r="JG136" s="476">
        <v>0</v>
      </c>
      <c r="JH136" s="476">
        <v>0</v>
      </c>
      <c r="JI136" s="476">
        <v>0</v>
      </c>
      <c r="JJ136" s="476">
        <v>0</v>
      </c>
      <c r="JK136" s="476">
        <v>0</v>
      </c>
      <c r="JL136" s="476">
        <v>0</v>
      </c>
      <c r="JM136" s="476">
        <v>0</v>
      </c>
      <c r="JN136" s="476">
        <v>32469</v>
      </c>
      <c r="JO136" s="476">
        <v>0</v>
      </c>
      <c r="JP136" s="476">
        <v>0</v>
      </c>
      <c r="JQ136" s="476">
        <v>7.6430000000000007</v>
      </c>
      <c r="JR136" s="476">
        <v>0</v>
      </c>
      <c r="JS136" s="476">
        <v>0</v>
      </c>
      <c r="JT136" s="476">
        <v>81590</v>
      </c>
      <c r="JU136" s="476">
        <v>0</v>
      </c>
      <c r="JV136" s="476">
        <v>0</v>
      </c>
      <c r="JW136" s="476">
        <v>0</v>
      </c>
      <c r="JX136" s="476">
        <v>0</v>
      </c>
      <c r="JY136" s="476">
        <v>0</v>
      </c>
      <c r="JZ136" s="476">
        <v>0</v>
      </c>
      <c r="KA136" s="476">
        <v>0</v>
      </c>
      <c r="KB136" s="476">
        <v>0</v>
      </c>
      <c r="KC136" s="476">
        <v>0</v>
      </c>
      <c r="KD136" s="476">
        <v>0</v>
      </c>
      <c r="KE136" s="476">
        <v>7262</v>
      </c>
      <c r="KF136" s="476">
        <v>0</v>
      </c>
      <c r="KG136" s="476">
        <v>0</v>
      </c>
      <c r="KH136" s="476">
        <v>610480</v>
      </c>
      <c r="KI136" s="476">
        <v>0</v>
      </c>
      <c r="KJ136" s="476">
        <v>0</v>
      </c>
      <c r="KK136" s="476">
        <v>0</v>
      </c>
      <c r="KL136" s="476">
        <v>0</v>
      </c>
      <c r="KM136" s="476">
        <v>0</v>
      </c>
      <c r="KN136" s="476">
        <v>0</v>
      </c>
    </row>
    <row r="137" spans="1:300" x14ac:dyDescent="0.25">
      <c r="A137" s="476">
        <v>40976</v>
      </c>
      <c r="B137" s="476">
        <v>123803</v>
      </c>
      <c r="C137" s="476">
        <v>9</v>
      </c>
      <c r="D137" s="476">
        <v>2024</v>
      </c>
      <c r="E137" s="476">
        <v>6160</v>
      </c>
      <c r="F137" s="476">
        <v>0</v>
      </c>
      <c r="G137" s="476">
        <v>286.935</v>
      </c>
      <c r="H137" s="476">
        <v>284.78100000000001</v>
      </c>
      <c r="I137" s="476">
        <v>284.78100000000001</v>
      </c>
      <c r="J137" s="476">
        <v>286.935</v>
      </c>
      <c r="K137" s="476">
        <v>0</v>
      </c>
      <c r="L137" s="476">
        <v>6160</v>
      </c>
      <c r="M137" s="476">
        <v>0</v>
      </c>
      <c r="N137" s="476">
        <v>0</v>
      </c>
      <c r="O137" s="476">
        <v>0</v>
      </c>
      <c r="P137" s="476">
        <v>286.935</v>
      </c>
      <c r="Q137" s="476">
        <v>0</v>
      </c>
      <c r="R137" s="476">
        <v>119045</v>
      </c>
      <c r="S137" s="476">
        <v>414.88400000000001</v>
      </c>
      <c r="T137" s="476">
        <v>0</v>
      </c>
      <c r="U137" s="476">
        <v>0</v>
      </c>
      <c r="V137" s="476">
        <v>0</v>
      </c>
      <c r="W137" s="476">
        <v>0</v>
      </c>
      <c r="X137" s="476">
        <v>0</v>
      </c>
      <c r="Y137" s="476">
        <v>0</v>
      </c>
      <c r="Z137" s="476">
        <v>0</v>
      </c>
      <c r="AA137" s="476">
        <v>0</v>
      </c>
      <c r="AB137" s="476">
        <v>0</v>
      </c>
      <c r="AC137" s="476">
        <v>0</v>
      </c>
      <c r="AD137" s="476" t="s">
        <v>314</v>
      </c>
      <c r="AE137" s="476">
        <v>0</v>
      </c>
      <c r="AF137" s="476">
        <v>0</v>
      </c>
      <c r="AG137" s="476">
        <v>0</v>
      </c>
      <c r="AH137" s="476">
        <v>0</v>
      </c>
      <c r="AI137" s="476">
        <v>0</v>
      </c>
      <c r="AJ137" s="476">
        <v>6160</v>
      </c>
      <c r="AK137" s="476" t="s">
        <v>651</v>
      </c>
      <c r="AL137" s="476" t="s">
        <v>354</v>
      </c>
      <c r="AM137" s="476">
        <v>0</v>
      </c>
      <c r="AN137" s="476">
        <v>0</v>
      </c>
      <c r="AO137" s="476">
        <v>0</v>
      </c>
      <c r="AP137" s="476">
        <v>0</v>
      </c>
      <c r="AQ137" s="476">
        <v>0</v>
      </c>
      <c r="AR137" s="476">
        <v>0</v>
      </c>
      <c r="AS137" s="476">
        <v>0</v>
      </c>
      <c r="AT137" s="476">
        <v>0</v>
      </c>
      <c r="AU137" s="476">
        <v>0</v>
      </c>
      <c r="AV137" s="476">
        <v>0</v>
      </c>
      <c r="AW137" s="476">
        <v>3080705</v>
      </c>
      <c r="AX137" s="476">
        <v>3032478</v>
      </c>
      <c r="AY137" s="476">
        <v>0</v>
      </c>
      <c r="AZ137" s="476">
        <v>119045</v>
      </c>
      <c r="BA137" s="476">
        <v>34</v>
      </c>
      <c r="BB137" s="476">
        <v>0</v>
      </c>
      <c r="BC137" s="476">
        <v>0</v>
      </c>
      <c r="BD137" s="476">
        <v>0</v>
      </c>
      <c r="BE137" s="476">
        <v>0</v>
      </c>
      <c r="BF137" s="476">
        <v>2724573</v>
      </c>
      <c r="BG137" s="476">
        <v>0</v>
      </c>
      <c r="BH137" s="476">
        <v>0</v>
      </c>
      <c r="BI137" s="476">
        <v>0</v>
      </c>
      <c r="BJ137" s="476">
        <v>12</v>
      </c>
      <c r="BK137" s="476">
        <v>0</v>
      </c>
      <c r="BL137" s="476">
        <v>0</v>
      </c>
      <c r="BM137" s="476">
        <v>0</v>
      </c>
      <c r="BN137" s="476">
        <v>0</v>
      </c>
      <c r="BO137" s="476">
        <v>0</v>
      </c>
      <c r="BP137" s="476">
        <v>0</v>
      </c>
      <c r="BQ137" s="476">
        <v>726</v>
      </c>
      <c r="BR137" s="476">
        <v>0</v>
      </c>
      <c r="BS137" s="476">
        <v>0</v>
      </c>
      <c r="BT137" s="476">
        <v>0</v>
      </c>
      <c r="BU137" s="476">
        <v>0</v>
      </c>
      <c r="BV137" s="476">
        <v>0</v>
      </c>
      <c r="BW137" s="476">
        <v>0</v>
      </c>
      <c r="BX137" s="476">
        <v>0</v>
      </c>
      <c r="BY137" s="476">
        <v>0</v>
      </c>
      <c r="BZ137" s="476">
        <v>0</v>
      </c>
      <c r="CA137" s="476">
        <v>0</v>
      </c>
      <c r="CB137" s="476">
        <v>0</v>
      </c>
      <c r="CC137" s="476">
        <v>0</v>
      </c>
      <c r="CD137" s="476">
        <v>0</v>
      </c>
      <c r="CE137" s="476">
        <v>0</v>
      </c>
      <c r="CF137" s="476">
        <v>0</v>
      </c>
      <c r="CG137" s="476">
        <v>0</v>
      </c>
      <c r="CH137" s="476">
        <v>48442</v>
      </c>
      <c r="CI137" s="476">
        <v>0</v>
      </c>
      <c r="CJ137" s="476">
        <v>4</v>
      </c>
      <c r="CK137" s="476">
        <v>0</v>
      </c>
      <c r="CL137" s="476">
        <v>0</v>
      </c>
      <c r="CM137" s="476">
        <v>0</v>
      </c>
      <c r="CN137" s="476">
        <v>0</v>
      </c>
      <c r="CO137" s="476">
        <v>1</v>
      </c>
      <c r="CP137" s="476">
        <v>0</v>
      </c>
      <c r="CQ137" s="476">
        <v>1.5830000000000002</v>
      </c>
      <c r="CR137" s="476">
        <v>286.935</v>
      </c>
      <c r="CS137" s="476">
        <v>0</v>
      </c>
      <c r="CT137" s="476">
        <v>0</v>
      </c>
      <c r="CU137" s="476">
        <v>0</v>
      </c>
      <c r="CV137" s="476">
        <v>0</v>
      </c>
      <c r="CW137" s="476">
        <v>0</v>
      </c>
      <c r="CX137" s="476">
        <v>0</v>
      </c>
      <c r="CY137" s="476">
        <v>0</v>
      </c>
      <c r="CZ137" s="476">
        <v>0</v>
      </c>
      <c r="DA137" s="476">
        <v>0</v>
      </c>
      <c r="DB137" s="476">
        <v>1747499</v>
      </c>
      <c r="DC137" s="476">
        <v>0</v>
      </c>
      <c r="DD137" s="476">
        <v>0</v>
      </c>
      <c r="DE137" s="476">
        <v>505263</v>
      </c>
      <c r="DF137" s="476">
        <v>505263</v>
      </c>
      <c r="DG137" s="476">
        <v>82.025000000000006</v>
      </c>
      <c r="DH137" s="476">
        <v>0</v>
      </c>
      <c r="DI137" s="476">
        <v>0</v>
      </c>
      <c r="DJ137" s="476">
        <v>0</v>
      </c>
      <c r="DK137" s="476">
        <v>3241</v>
      </c>
      <c r="DL137" s="476">
        <v>0</v>
      </c>
      <c r="DM137" s="476">
        <v>69255</v>
      </c>
      <c r="DN137" s="476">
        <v>215</v>
      </c>
      <c r="DO137" s="476">
        <v>0</v>
      </c>
      <c r="DP137" s="476">
        <v>0</v>
      </c>
      <c r="DQ137" s="476">
        <v>0</v>
      </c>
      <c r="DR137" s="476">
        <v>0</v>
      </c>
      <c r="DS137" s="476">
        <v>0</v>
      </c>
      <c r="DT137" s="476">
        <v>0</v>
      </c>
      <c r="DU137" s="476">
        <v>0</v>
      </c>
      <c r="DV137" s="476">
        <v>0</v>
      </c>
      <c r="DW137" s="476">
        <v>0</v>
      </c>
      <c r="DX137" s="476">
        <v>0</v>
      </c>
      <c r="DY137" s="476">
        <v>0</v>
      </c>
      <c r="DZ137" s="476">
        <v>0</v>
      </c>
      <c r="EA137" s="476">
        <v>0</v>
      </c>
      <c r="EB137" s="476">
        <v>0</v>
      </c>
      <c r="EC137" s="476">
        <v>7.742</v>
      </c>
      <c r="ED137" s="476">
        <v>54843</v>
      </c>
      <c r="EE137" s="476">
        <v>0</v>
      </c>
      <c r="EF137" s="476">
        <v>0</v>
      </c>
      <c r="EG137" s="476">
        <v>0</v>
      </c>
      <c r="EH137" s="476">
        <v>7915</v>
      </c>
      <c r="EI137" s="476">
        <v>0</v>
      </c>
      <c r="EJ137" s="476">
        <v>0</v>
      </c>
      <c r="EK137" s="476">
        <v>0</v>
      </c>
      <c r="EL137" s="476">
        <v>0</v>
      </c>
      <c r="EM137" s="476">
        <v>0</v>
      </c>
      <c r="EN137" s="476">
        <v>0.25700000000000001</v>
      </c>
      <c r="EO137" s="476">
        <v>0</v>
      </c>
      <c r="EP137" s="476">
        <v>0</v>
      </c>
      <c r="EQ137" s="476">
        <v>0.25700000000000001</v>
      </c>
      <c r="ER137" s="476">
        <v>0</v>
      </c>
      <c r="ES137" s="476">
        <v>1.2850000000000001</v>
      </c>
      <c r="ET137" s="476">
        <v>0</v>
      </c>
      <c r="EU137" s="476">
        <v>0</v>
      </c>
      <c r="EV137" s="476">
        <v>0</v>
      </c>
      <c r="EW137" s="476">
        <v>0</v>
      </c>
      <c r="EX137" s="476">
        <v>0</v>
      </c>
      <c r="EY137" s="476">
        <v>0</v>
      </c>
      <c r="EZ137" s="476">
        <v>2621934</v>
      </c>
      <c r="FA137" s="476">
        <v>0</v>
      </c>
      <c r="FB137" s="476">
        <v>2740764</v>
      </c>
      <c r="FC137" s="476">
        <v>0</v>
      </c>
      <c r="FD137" s="476">
        <v>0</v>
      </c>
      <c r="FE137" s="476">
        <v>351792</v>
      </c>
      <c r="FF137" s="476">
        <v>58752</v>
      </c>
      <c r="FG137" s="476">
        <v>6.3017999999999991E-2</v>
      </c>
      <c r="FH137" s="476">
        <v>2.6953999999999999E-2</v>
      </c>
      <c r="FI137" s="476">
        <v>0</v>
      </c>
      <c r="FJ137" s="476">
        <v>0</v>
      </c>
      <c r="FK137" s="476">
        <v>442.31100000000004</v>
      </c>
      <c r="FL137" s="476">
        <v>3199750</v>
      </c>
      <c r="FM137" s="476">
        <v>0</v>
      </c>
      <c r="FN137" s="476">
        <v>0</v>
      </c>
      <c r="FO137" s="476">
        <v>15442</v>
      </c>
      <c r="FP137" s="476">
        <v>0</v>
      </c>
      <c r="FQ137" s="476">
        <v>15442</v>
      </c>
      <c r="FR137" s="476">
        <v>15442</v>
      </c>
      <c r="FS137" s="476">
        <v>0</v>
      </c>
      <c r="FT137" s="476">
        <v>0</v>
      </c>
      <c r="FU137" s="476">
        <v>0</v>
      </c>
      <c r="FV137" s="476">
        <v>0</v>
      </c>
      <c r="FW137" s="476">
        <v>0</v>
      </c>
      <c r="FX137" s="476">
        <v>0</v>
      </c>
      <c r="FY137" s="476">
        <v>0</v>
      </c>
      <c r="FZ137" s="476">
        <v>0</v>
      </c>
      <c r="GA137" s="476">
        <v>0</v>
      </c>
      <c r="GB137" s="476">
        <v>15595</v>
      </c>
      <c r="GC137" s="476">
        <v>15595</v>
      </c>
      <c r="GD137" s="476">
        <v>1.897</v>
      </c>
      <c r="GE137" s="476">
        <v>0</v>
      </c>
      <c r="GF137" s="476">
        <v>0</v>
      </c>
      <c r="GG137" s="476">
        <v>0</v>
      </c>
      <c r="GH137" s="476">
        <v>0</v>
      </c>
      <c r="GI137" s="476">
        <v>0</v>
      </c>
      <c r="GJ137" s="476">
        <v>0</v>
      </c>
      <c r="GK137" s="476">
        <v>0</v>
      </c>
      <c r="GL137" s="476">
        <v>0</v>
      </c>
      <c r="GM137" s="476">
        <v>0</v>
      </c>
      <c r="GN137" s="476">
        <v>0</v>
      </c>
      <c r="GO137" s="476">
        <v>0</v>
      </c>
      <c r="GP137" s="476">
        <v>0</v>
      </c>
      <c r="GQ137" s="476">
        <v>3032263</v>
      </c>
      <c r="GR137" s="476">
        <v>0</v>
      </c>
      <c r="GS137" s="476">
        <v>0</v>
      </c>
      <c r="GT137" s="476">
        <v>0</v>
      </c>
      <c r="GU137" s="476">
        <v>0</v>
      </c>
      <c r="GV137" s="476">
        <v>0</v>
      </c>
      <c r="GW137" s="476">
        <v>0</v>
      </c>
      <c r="GX137" s="476">
        <v>0</v>
      </c>
      <c r="GY137" s="476">
        <v>0</v>
      </c>
      <c r="GZ137" s="476">
        <v>0</v>
      </c>
      <c r="HA137" s="476">
        <v>0</v>
      </c>
      <c r="HB137" s="476">
        <v>323396213</v>
      </c>
      <c r="HC137" s="476">
        <v>4.2206E-2</v>
      </c>
      <c r="HD137" s="476">
        <v>48442</v>
      </c>
      <c r="HE137" s="476">
        <v>0</v>
      </c>
      <c r="HF137" s="476">
        <v>313829</v>
      </c>
      <c r="HG137" s="476">
        <v>3080</v>
      </c>
      <c r="HH137" s="476">
        <v>66968</v>
      </c>
      <c r="HI137" s="476">
        <v>0</v>
      </c>
      <c r="HJ137" s="476">
        <v>2869</v>
      </c>
      <c r="HK137" s="476">
        <v>648</v>
      </c>
      <c r="HL137" s="476">
        <v>316</v>
      </c>
      <c r="HM137" s="476">
        <v>0</v>
      </c>
      <c r="HN137" s="476">
        <v>0</v>
      </c>
      <c r="HO137" s="476">
        <v>0</v>
      </c>
      <c r="HP137" s="476">
        <v>0</v>
      </c>
      <c r="HQ137" s="476">
        <v>0</v>
      </c>
      <c r="HR137" s="476">
        <v>0</v>
      </c>
      <c r="HS137" s="476">
        <v>2621719</v>
      </c>
      <c r="HT137" s="476">
        <v>58752</v>
      </c>
      <c r="HU137" s="476">
        <v>0</v>
      </c>
      <c r="HV137" s="476">
        <v>0</v>
      </c>
      <c r="HW137" s="476">
        <v>0</v>
      </c>
      <c r="HX137" s="476">
        <v>28</v>
      </c>
      <c r="HY137" s="476">
        <v>16</v>
      </c>
      <c r="HZ137" s="476">
        <v>77</v>
      </c>
      <c r="IA137" s="476">
        <v>98</v>
      </c>
      <c r="IB137" s="476">
        <v>98</v>
      </c>
      <c r="IC137" s="476">
        <v>317</v>
      </c>
      <c r="ID137" s="476">
        <v>0</v>
      </c>
      <c r="IE137" s="476">
        <v>0</v>
      </c>
      <c r="IF137" s="476">
        <v>0</v>
      </c>
      <c r="IG137" s="476">
        <v>5</v>
      </c>
      <c r="IH137" s="476">
        <v>108.717</v>
      </c>
      <c r="II137" s="476">
        <v>0</v>
      </c>
      <c r="IJ137" s="476">
        <v>0</v>
      </c>
      <c r="IK137" s="476">
        <v>0</v>
      </c>
      <c r="IL137" s="476">
        <v>0</v>
      </c>
      <c r="IM137" s="476">
        <v>0</v>
      </c>
      <c r="IN137" s="476">
        <v>0</v>
      </c>
      <c r="IO137" s="476">
        <v>0</v>
      </c>
      <c r="IP137" s="476">
        <v>0</v>
      </c>
      <c r="IQ137" s="476">
        <v>0</v>
      </c>
      <c r="IR137" s="476">
        <v>0</v>
      </c>
      <c r="IS137" s="476">
        <v>0</v>
      </c>
      <c r="IT137" s="476">
        <v>0</v>
      </c>
      <c r="IU137" s="476">
        <v>0</v>
      </c>
      <c r="IV137" s="476">
        <v>0</v>
      </c>
      <c r="IW137" s="476">
        <v>6160</v>
      </c>
      <c r="IX137" s="476">
        <v>0</v>
      </c>
      <c r="IY137" s="476">
        <v>0</v>
      </c>
      <c r="IZ137" s="476">
        <v>0</v>
      </c>
      <c r="JA137" s="476">
        <v>0</v>
      </c>
      <c r="JB137" s="476">
        <v>0</v>
      </c>
      <c r="JC137" s="476">
        <v>0</v>
      </c>
      <c r="JD137" s="476">
        <v>0</v>
      </c>
      <c r="JE137" s="476">
        <v>0</v>
      </c>
      <c r="JF137" s="476">
        <v>0</v>
      </c>
      <c r="JG137" s="476">
        <v>0</v>
      </c>
      <c r="JH137" s="476">
        <v>0</v>
      </c>
      <c r="JI137" s="476">
        <v>0</v>
      </c>
      <c r="JJ137" s="476">
        <v>0</v>
      </c>
      <c r="JK137" s="476">
        <v>0</v>
      </c>
      <c r="JL137" s="476">
        <v>0</v>
      </c>
      <c r="JM137" s="476">
        <v>0</v>
      </c>
      <c r="JN137" s="476">
        <v>32469</v>
      </c>
      <c r="JO137" s="476">
        <v>1.56</v>
      </c>
      <c r="JP137" s="476">
        <v>0.33700000000000002</v>
      </c>
      <c r="JQ137" s="476">
        <v>0</v>
      </c>
      <c r="JR137" s="476">
        <v>12462</v>
      </c>
      <c r="JS137" s="476">
        <v>3133</v>
      </c>
      <c r="JT137" s="476">
        <v>0</v>
      </c>
      <c r="JU137" s="476">
        <v>0</v>
      </c>
      <c r="JV137" s="476">
        <v>0</v>
      </c>
      <c r="JW137" s="476">
        <v>0</v>
      </c>
      <c r="JX137" s="476">
        <v>0</v>
      </c>
      <c r="JY137" s="476">
        <v>0</v>
      </c>
      <c r="JZ137" s="476">
        <v>0</v>
      </c>
      <c r="KA137" s="476">
        <v>0</v>
      </c>
      <c r="KB137" s="476">
        <v>0</v>
      </c>
      <c r="KC137" s="476">
        <v>0</v>
      </c>
      <c r="KD137" s="476">
        <v>0</v>
      </c>
      <c r="KE137" s="476">
        <v>7262</v>
      </c>
      <c r="KF137" s="476">
        <v>0</v>
      </c>
      <c r="KG137" s="476">
        <v>0</v>
      </c>
      <c r="KH137" s="476">
        <v>3032263</v>
      </c>
      <c r="KI137" s="476">
        <v>0</v>
      </c>
      <c r="KJ137" s="476">
        <v>3</v>
      </c>
      <c r="KK137" s="476">
        <v>2</v>
      </c>
      <c r="KL137" s="476">
        <v>1848</v>
      </c>
      <c r="KM137" s="476">
        <v>1232</v>
      </c>
      <c r="KN137" s="476">
        <v>0</v>
      </c>
    </row>
    <row r="138" spans="1:300" x14ac:dyDescent="0.25">
      <c r="A138" s="476">
        <v>40976</v>
      </c>
      <c r="B138" s="476">
        <v>123805</v>
      </c>
      <c r="C138" s="476">
        <v>9</v>
      </c>
      <c r="D138" s="476">
        <v>2024</v>
      </c>
      <c r="E138" s="476">
        <v>6160</v>
      </c>
      <c r="F138" s="476">
        <v>0</v>
      </c>
      <c r="G138" s="476">
        <v>489.11200000000002</v>
      </c>
      <c r="H138" s="476">
        <v>483.91800000000001</v>
      </c>
      <c r="I138" s="476">
        <v>483.91800000000001</v>
      </c>
      <c r="J138" s="476">
        <v>489.11200000000002</v>
      </c>
      <c r="K138" s="476">
        <v>0</v>
      </c>
      <c r="L138" s="476">
        <v>6160</v>
      </c>
      <c r="M138" s="476">
        <v>0</v>
      </c>
      <c r="N138" s="476">
        <v>0</v>
      </c>
      <c r="O138" s="476">
        <v>0</v>
      </c>
      <c r="P138" s="476">
        <v>490.11700000000002</v>
      </c>
      <c r="Q138" s="476">
        <v>0</v>
      </c>
      <c r="R138" s="476">
        <v>203342</v>
      </c>
      <c r="S138" s="476">
        <v>414.88400000000001</v>
      </c>
      <c r="T138" s="476">
        <v>0</v>
      </c>
      <c r="U138" s="476">
        <v>0</v>
      </c>
      <c r="V138" s="476">
        <v>285.55</v>
      </c>
      <c r="W138" s="476">
        <v>175895</v>
      </c>
      <c r="X138" s="476">
        <v>175895</v>
      </c>
      <c r="Y138" s="476">
        <v>0</v>
      </c>
      <c r="Z138" s="476">
        <v>0</v>
      </c>
      <c r="AA138" s="476">
        <v>0</v>
      </c>
      <c r="AB138" s="476">
        <v>0</v>
      </c>
      <c r="AC138" s="476">
        <v>0</v>
      </c>
      <c r="AD138" s="476" t="s">
        <v>314</v>
      </c>
      <c r="AE138" s="476">
        <v>0</v>
      </c>
      <c r="AF138" s="476">
        <v>0</v>
      </c>
      <c r="AG138" s="476">
        <v>0</v>
      </c>
      <c r="AH138" s="476">
        <v>0</v>
      </c>
      <c r="AI138" s="476">
        <v>0</v>
      </c>
      <c r="AJ138" s="476">
        <v>6160</v>
      </c>
      <c r="AK138" s="476" t="s">
        <v>651</v>
      </c>
      <c r="AL138" s="476" t="s">
        <v>4</v>
      </c>
      <c r="AM138" s="476">
        <v>0</v>
      </c>
      <c r="AN138" s="476">
        <v>0</v>
      </c>
      <c r="AO138" s="476">
        <v>0</v>
      </c>
      <c r="AP138" s="476">
        <v>0</v>
      </c>
      <c r="AQ138" s="476">
        <v>0</v>
      </c>
      <c r="AR138" s="476">
        <v>0</v>
      </c>
      <c r="AS138" s="476">
        <v>0</v>
      </c>
      <c r="AT138" s="476">
        <v>0</v>
      </c>
      <c r="AU138" s="476">
        <v>0</v>
      </c>
      <c r="AV138" s="476">
        <v>0</v>
      </c>
      <c r="AW138" s="476">
        <v>5550450</v>
      </c>
      <c r="AX138" s="476">
        <v>5468945</v>
      </c>
      <c r="AY138" s="476">
        <v>0</v>
      </c>
      <c r="AZ138" s="476">
        <v>203342</v>
      </c>
      <c r="BA138" s="476">
        <v>1</v>
      </c>
      <c r="BB138" s="476">
        <v>10230</v>
      </c>
      <c r="BC138" s="476">
        <v>10165</v>
      </c>
      <c r="BD138" s="476">
        <v>24</v>
      </c>
      <c r="BE138" s="476">
        <v>65</v>
      </c>
      <c r="BF138" s="476">
        <v>4929500</v>
      </c>
      <c r="BG138" s="476">
        <v>0</v>
      </c>
      <c r="BH138" s="476">
        <v>0</v>
      </c>
      <c r="BI138" s="476">
        <v>0</v>
      </c>
      <c r="BJ138" s="476">
        <v>12</v>
      </c>
      <c r="BK138" s="476">
        <v>0</v>
      </c>
      <c r="BL138" s="476">
        <v>0</v>
      </c>
      <c r="BM138" s="476">
        <v>0</v>
      </c>
      <c r="BN138" s="476">
        <v>0</v>
      </c>
      <c r="BO138" s="476">
        <v>0</v>
      </c>
      <c r="BP138" s="476">
        <v>0</v>
      </c>
      <c r="BQ138" s="476">
        <v>695</v>
      </c>
      <c r="BR138" s="476">
        <v>0</v>
      </c>
      <c r="BS138" s="476">
        <v>0</v>
      </c>
      <c r="BT138" s="476">
        <v>0</v>
      </c>
      <c r="BU138" s="476">
        <v>0</v>
      </c>
      <c r="BV138" s="476">
        <v>0</v>
      </c>
      <c r="BW138" s="476">
        <v>0</v>
      </c>
      <c r="BX138" s="476">
        <v>0</v>
      </c>
      <c r="BY138" s="476">
        <v>0</v>
      </c>
      <c r="BZ138" s="476">
        <v>0</v>
      </c>
      <c r="CA138" s="476">
        <v>0</v>
      </c>
      <c r="CB138" s="476">
        <v>0</v>
      </c>
      <c r="CC138" s="476">
        <v>0</v>
      </c>
      <c r="CD138" s="476">
        <v>0</v>
      </c>
      <c r="CE138" s="476">
        <v>0</v>
      </c>
      <c r="CF138" s="476">
        <v>0</v>
      </c>
      <c r="CG138" s="476">
        <v>0</v>
      </c>
      <c r="CH138" s="476">
        <v>82574</v>
      </c>
      <c r="CI138" s="476">
        <v>0</v>
      </c>
      <c r="CJ138" s="476">
        <v>4</v>
      </c>
      <c r="CK138" s="476">
        <v>0</v>
      </c>
      <c r="CL138" s="476">
        <v>0</v>
      </c>
      <c r="CM138" s="476">
        <v>0</v>
      </c>
      <c r="CN138" s="476">
        <v>0</v>
      </c>
      <c r="CO138" s="476">
        <v>1</v>
      </c>
      <c r="CP138" s="476">
        <v>0</v>
      </c>
      <c r="CQ138" s="476">
        <v>0</v>
      </c>
      <c r="CR138" s="476">
        <v>489.11200000000002</v>
      </c>
      <c r="CS138" s="476">
        <v>0</v>
      </c>
      <c r="CT138" s="476">
        <v>0</v>
      </c>
      <c r="CU138" s="476">
        <v>0</v>
      </c>
      <c r="CV138" s="476">
        <v>0</v>
      </c>
      <c r="CW138" s="476">
        <v>0</v>
      </c>
      <c r="CX138" s="476">
        <v>0</v>
      </c>
      <c r="CY138" s="476">
        <v>0</v>
      </c>
      <c r="CZ138" s="476">
        <v>0</v>
      </c>
      <c r="DA138" s="476">
        <v>0</v>
      </c>
      <c r="DB138" s="476">
        <v>2980867</v>
      </c>
      <c r="DC138" s="476">
        <v>0</v>
      </c>
      <c r="DD138" s="476">
        <v>0</v>
      </c>
      <c r="DE138" s="476">
        <v>738952</v>
      </c>
      <c r="DF138" s="476">
        <v>738952</v>
      </c>
      <c r="DG138" s="476">
        <v>119.96300000000001</v>
      </c>
      <c r="DH138" s="476">
        <v>0</v>
      </c>
      <c r="DI138" s="476">
        <v>0</v>
      </c>
      <c r="DJ138" s="476">
        <v>0</v>
      </c>
      <c r="DK138" s="476">
        <v>2750</v>
      </c>
      <c r="DL138" s="476">
        <v>0</v>
      </c>
      <c r="DM138" s="476">
        <v>292027</v>
      </c>
      <c r="DN138" s="476">
        <v>1004</v>
      </c>
      <c r="DO138" s="476">
        <v>0</v>
      </c>
      <c r="DP138" s="476">
        <v>0</v>
      </c>
      <c r="DQ138" s="476">
        <v>0</v>
      </c>
      <c r="DR138" s="476">
        <v>0</v>
      </c>
      <c r="DS138" s="476">
        <v>0</v>
      </c>
      <c r="DT138" s="476">
        <v>0</v>
      </c>
      <c r="DU138" s="476">
        <v>0</v>
      </c>
      <c r="DV138" s="476">
        <v>0</v>
      </c>
      <c r="DW138" s="476">
        <v>0</v>
      </c>
      <c r="DX138" s="476">
        <v>0</v>
      </c>
      <c r="DY138" s="476">
        <v>0</v>
      </c>
      <c r="DZ138" s="476">
        <v>0</v>
      </c>
      <c r="EA138" s="476">
        <v>0</v>
      </c>
      <c r="EB138" s="476">
        <v>0</v>
      </c>
      <c r="EC138" s="476">
        <v>26.267000000000003</v>
      </c>
      <c r="ED138" s="476">
        <v>186071</v>
      </c>
      <c r="EE138" s="476">
        <v>0</v>
      </c>
      <c r="EF138" s="476">
        <v>0</v>
      </c>
      <c r="EG138" s="476">
        <v>0</v>
      </c>
      <c r="EH138" s="476">
        <v>106960</v>
      </c>
      <c r="EI138" s="476">
        <v>0</v>
      </c>
      <c r="EJ138" s="476">
        <v>0</v>
      </c>
      <c r="EK138" s="476">
        <v>4.3029999999999999</v>
      </c>
      <c r="EL138" s="476">
        <v>0</v>
      </c>
      <c r="EM138" s="476">
        <v>0</v>
      </c>
      <c r="EN138" s="476">
        <v>0.89100000000000001</v>
      </c>
      <c r="EO138" s="476">
        <v>0</v>
      </c>
      <c r="EP138" s="476">
        <v>0</v>
      </c>
      <c r="EQ138" s="476">
        <v>5.194</v>
      </c>
      <c r="ER138" s="476">
        <v>0</v>
      </c>
      <c r="ES138" s="476">
        <v>17.364000000000001</v>
      </c>
      <c r="ET138" s="476">
        <v>0</v>
      </c>
      <c r="EU138" s="476">
        <v>0</v>
      </c>
      <c r="EV138" s="476">
        <v>0</v>
      </c>
      <c r="EW138" s="476">
        <v>0</v>
      </c>
      <c r="EX138" s="476">
        <v>0</v>
      </c>
      <c r="EY138" s="476">
        <v>0</v>
      </c>
      <c r="EZ138" s="476">
        <v>4726158</v>
      </c>
      <c r="FA138" s="476">
        <v>0</v>
      </c>
      <c r="FB138" s="476">
        <v>4928431</v>
      </c>
      <c r="FC138" s="476">
        <v>0</v>
      </c>
      <c r="FD138" s="476">
        <v>0</v>
      </c>
      <c r="FE138" s="476">
        <v>636489</v>
      </c>
      <c r="FF138" s="476">
        <v>106298</v>
      </c>
      <c r="FG138" s="476">
        <v>6.3017999999999991E-2</v>
      </c>
      <c r="FH138" s="476">
        <v>2.6953999999999999E-2</v>
      </c>
      <c r="FI138" s="476">
        <v>0</v>
      </c>
      <c r="FJ138" s="476">
        <v>0</v>
      </c>
      <c r="FK138" s="476">
        <v>800.26200000000006</v>
      </c>
      <c r="FL138" s="476">
        <v>5753792</v>
      </c>
      <c r="FM138" s="476">
        <v>0</v>
      </c>
      <c r="FN138" s="476">
        <v>0</v>
      </c>
      <c r="FO138" s="476">
        <v>0</v>
      </c>
      <c r="FP138" s="476">
        <v>0</v>
      </c>
      <c r="FQ138" s="476">
        <v>0</v>
      </c>
      <c r="FR138" s="476">
        <v>0</v>
      </c>
      <c r="FS138" s="476">
        <v>0</v>
      </c>
      <c r="FT138" s="476">
        <v>0</v>
      </c>
      <c r="FU138" s="476">
        <v>0</v>
      </c>
      <c r="FV138" s="476">
        <v>0</v>
      </c>
      <c r="FW138" s="476">
        <v>0</v>
      </c>
      <c r="FX138" s="476">
        <v>0</v>
      </c>
      <c r="FY138" s="476">
        <v>0</v>
      </c>
      <c r="FZ138" s="476">
        <v>0</v>
      </c>
      <c r="GA138" s="476">
        <v>0</v>
      </c>
      <c r="GB138" s="476">
        <v>0</v>
      </c>
      <c r="GC138" s="476">
        <v>0</v>
      </c>
      <c r="GD138" s="476">
        <v>0</v>
      </c>
      <c r="GE138" s="476">
        <v>0</v>
      </c>
      <c r="GF138" s="476">
        <v>0</v>
      </c>
      <c r="GG138" s="476">
        <v>0</v>
      </c>
      <c r="GH138" s="476">
        <v>0</v>
      </c>
      <c r="GI138" s="476">
        <v>0</v>
      </c>
      <c r="GJ138" s="476">
        <v>0</v>
      </c>
      <c r="GK138" s="476">
        <v>0</v>
      </c>
      <c r="GL138" s="476">
        <v>0</v>
      </c>
      <c r="GM138" s="476">
        <v>0</v>
      </c>
      <c r="GN138" s="476">
        <v>0</v>
      </c>
      <c r="GO138" s="476">
        <v>0</v>
      </c>
      <c r="GP138" s="476">
        <v>0</v>
      </c>
      <c r="GQ138" s="476">
        <v>5467876</v>
      </c>
      <c r="GR138" s="476">
        <v>0</v>
      </c>
      <c r="GS138" s="476">
        <v>0</v>
      </c>
      <c r="GT138" s="476">
        <v>0</v>
      </c>
      <c r="GU138" s="476">
        <v>0</v>
      </c>
      <c r="GV138" s="476">
        <v>0</v>
      </c>
      <c r="GW138" s="476">
        <v>0</v>
      </c>
      <c r="GX138" s="476">
        <v>0</v>
      </c>
      <c r="GY138" s="476">
        <v>0</v>
      </c>
      <c r="GZ138" s="476">
        <v>0</v>
      </c>
      <c r="HA138" s="476">
        <v>0</v>
      </c>
      <c r="HB138" s="476">
        <v>323396213</v>
      </c>
      <c r="HC138" s="476">
        <v>4.2206E-2</v>
      </c>
      <c r="HD138" s="476">
        <v>82574</v>
      </c>
      <c r="HE138" s="476">
        <v>0</v>
      </c>
      <c r="HF138" s="476">
        <v>533278</v>
      </c>
      <c r="HG138" s="476">
        <v>6160</v>
      </c>
      <c r="HH138" s="476">
        <v>186196</v>
      </c>
      <c r="HI138" s="476">
        <v>0</v>
      </c>
      <c r="HJ138" s="476">
        <v>4891</v>
      </c>
      <c r="HK138" s="476">
        <v>0</v>
      </c>
      <c r="HL138" s="476">
        <v>0</v>
      </c>
      <c r="HM138" s="476">
        <v>0</v>
      </c>
      <c r="HN138" s="476">
        <v>0</v>
      </c>
      <c r="HO138" s="476">
        <v>0</v>
      </c>
      <c r="HP138" s="476">
        <v>0</v>
      </c>
      <c r="HQ138" s="476">
        <v>0</v>
      </c>
      <c r="HR138" s="476">
        <v>0</v>
      </c>
      <c r="HS138" s="476">
        <v>4725089</v>
      </c>
      <c r="HT138" s="476">
        <v>106298</v>
      </c>
      <c r="HU138" s="476">
        <v>0</v>
      </c>
      <c r="HV138" s="476">
        <v>0</v>
      </c>
      <c r="HW138" s="476">
        <v>0</v>
      </c>
      <c r="HX138" s="476">
        <v>74</v>
      </c>
      <c r="HY138" s="476">
        <v>34</v>
      </c>
      <c r="HZ138" s="476">
        <v>51</v>
      </c>
      <c r="IA138" s="476">
        <v>199</v>
      </c>
      <c r="IB138" s="476">
        <v>110</v>
      </c>
      <c r="IC138" s="476">
        <v>468</v>
      </c>
      <c r="ID138" s="476">
        <v>0</v>
      </c>
      <c r="IE138" s="476">
        <v>0</v>
      </c>
      <c r="IF138" s="476">
        <v>0</v>
      </c>
      <c r="IG138" s="476">
        <v>10</v>
      </c>
      <c r="IH138" s="476">
        <v>302.27300000000002</v>
      </c>
      <c r="II138" s="476">
        <v>0</v>
      </c>
      <c r="IJ138" s="476">
        <v>285.55</v>
      </c>
      <c r="IK138" s="476">
        <v>0</v>
      </c>
      <c r="IL138" s="476">
        <v>0</v>
      </c>
      <c r="IM138" s="476">
        <v>0</v>
      </c>
      <c r="IN138" s="476">
        <v>0</v>
      </c>
      <c r="IO138" s="476">
        <v>0</v>
      </c>
      <c r="IP138" s="476">
        <v>0</v>
      </c>
      <c r="IQ138" s="476">
        <v>285.55</v>
      </c>
      <c r="IR138" s="476">
        <v>175895</v>
      </c>
      <c r="IS138" s="476">
        <v>0</v>
      </c>
      <c r="IT138" s="476">
        <v>0</v>
      </c>
      <c r="IU138" s="476">
        <v>0</v>
      </c>
      <c r="IV138" s="476">
        <v>0</v>
      </c>
      <c r="IW138" s="476">
        <v>6160</v>
      </c>
      <c r="IX138" s="476">
        <v>0</v>
      </c>
      <c r="IY138" s="476">
        <v>0</v>
      </c>
      <c r="IZ138" s="476">
        <v>0</v>
      </c>
      <c r="JA138" s="476">
        <v>0</v>
      </c>
      <c r="JB138" s="476">
        <v>0</v>
      </c>
      <c r="JC138" s="476">
        <v>0</v>
      </c>
      <c r="JD138" s="476">
        <v>0</v>
      </c>
      <c r="JE138" s="476">
        <v>0</v>
      </c>
      <c r="JF138" s="476">
        <v>0</v>
      </c>
      <c r="JG138" s="476">
        <v>0</v>
      </c>
      <c r="JH138" s="476">
        <v>0</v>
      </c>
      <c r="JI138" s="476">
        <v>0</v>
      </c>
      <c r="JJ138" s="476">
        <v>0</v>
      </c>
      <c r="JK138" s="476">
        <v>0</v>
      </c>
      <c r="JL138" s="476">
        <v>0</v>
      </c>
      <c r="JM138" s="476">
        <v>0</v>
      </c>
      <c r="JN138" s="476">
        <v>32469</v>
      </c>
      <c r="JO138" s="476">
        <v>0</v>
      </c>
      <c r="JP138" s="476">
        <v>0</v>
      </c>
      <c r="JQ138" s="476">
        <v>0</v>
      </c>
      <c r="JR138" s="476">
        <v>0</v>
      </c>
      <c r="JS138" s="476">
        <v>0</v>
      </c>
      <c r="JT138" s="476">
        <v>0</v>
      </c>
      <c r="JU138" s="476">
        <v>10349</v>
      </c>
      <c r="JV138" s="476">
        <v>0</v>
      </c>
      <c r="JW138" s="476">
        <v>0</v>
      </c>
      <c r="JX138" s="476">
        <v>0</v>
      </c>
      <c r="JY138" s="476">
        <v>0</v>
      </c>
      <c r="JZ138" s="476">
        <v>0</v>
      </c>
      <c r="KA138" s="476">
        <v>0</v>
      </c>
      <c r="KB138" s="476">
        <v>0</v>
      </c>
      <c r="KC138" s="476">
        <v>0</v>
      </c>
      <c r="KD138" s="476">
        <v>10349</v>
      </c>
      <c r="KE138" s="476">
        <v>7262</v>
      </c>
      <c r="KF138" s="476">
        <v>0</v>
      </c>
      <c r="KG138" s="476">
        <v>0</v>
      </c>
      <c r="KH138" s="476">
        <v>5467876</v>
      </c>
      <c r="KI138" s="476">
        <v>0</v>
      </c>
      <c r="KJ138" s="476">
        <v>5</v>
      </c>
      <c r="KK138" s="476">
        <v>5</v>
      </c>
      <c r="KL138" s="476">
        <v>3080</v>
      </c>
      <c r="KM138" s="476">
        <v>3080</v>
      </c>
      <c r="KN138" s="476">
        <v>0</v>
      </c>
    </row>
    <row r="139" spans="1:300" x14ac:dyDescent="0.25">
      <c r="A139" s="476">
        <v>40976</v>
      </c>
      <c r="B139" s="476">
        <v>123807</v>
      </c>
      <c r="C139" s="476">
        <v>9</v>
      </c>
      <c r="D139" s="476">
        <v>2024</v>
      </c>
      <c r="E139" s="476">
        <v>6160</v>
      </c>
      <c r="F139" s="476">
        <v>0</v>
      </c>
      <c r="G139" s="476">
        <v>1989.557</v>
      </c>
      <c r="H139" s="476">
        <v>1821.9160000000002</v>
      </c>
      <c r="I139" s="476">
        <v>1821.9160000000002</v>
      </c>
      <c r="J139" s="476">
        <v>1989.557</v>
      </c>
      <c r="K139" s="476">
        <v>0</v>
      </c>
      <c r="L139" s="476">
        <v>6160</v>
      </c>
      <c r="M139" s="476">
        <v>0</v>
      </c>
      <c r="N139" s="476">
        <v>0</v>
      </c>
      <c r="O139" s="476">
        <v>0</v>
      </c>
      <c r="P139" s="476">
        <v>1989.557</v>
      </c>
      <c r="Q139" s="476">
        <v>0</v>
      </c>
      <c r="R139" s="476">
        <v>825435</v>
      </c>
      <c r="S139" s="476">
        <v>414.88400000000001</v>
      </c>
      <c r="T139" s="476">
        <v>0</v>
      </c>
      <c r="U139" s="476">
        <v>0</v>
      </c>
      <c r="V139" s="476">
        <v>862.798</v>
      </c>
      <c r="W139" s="476">
        <v>531472</v>
      </c>
      <c r="X139" s="476">
        <v>531472</v>
      </c>
      <c r="Y139" s="476">
        <v>0</v>
      </c>
      <c r="Z139" s="476">
        <v>0</v>
      </c>
      <c r="AA139" s="476">
        <v>0</v>
      </c>
      <c r="AB139" s="476">
        <v>0</v>
      </c>
      <c r="AC139" s="476">
        <v>0</v>
      </c>
      <c r="AD139" s="476" t="s">
        <v>314</v>
      </c>
      <c r="AE139" s="476">
        <v>0</v>
      </c>
      <c r="AF139" s="476">
        <v>0</v>
      </c>
      <c r="AG139" s="476">
        <v>0</v>
      </c>
      <c r="AH139" s="476">
        <v>0</v>
      </c>
      <c r="AI139" s="476">
        <v>0</v>
      </c>
      <c r="AJ139" s="476">
        <v>6160</v>
      </c>
      <c r="AK139" s="476" t="s">
        <v>651</v>
      </c>
      <c r="AL139" s="476" t="s">
        <v>355</v>
      </c>
      <c r="AM139" s="476">
        <v>0</v>
      </c>
      <c r="AN139" s="476">
        <v>0</v>
      </c>
      <c r="AO139" s="476">
        <v>0</v>
      </c>
      <c r="AP139" s="476">
        <v>0</v>
      </c>
      <c r="AQ139" s="476">
        <v>0</v>
      </c>
      <c r="AR139" s="476">
        <v>0</v>
      </c>
      <c r="AS139" s="476">
        <v>0</v>
      </c>
      <c r="AT139" s="476">
        <v>0</v>
      </c>
      <c r="AU139" s="476">
        <v>0</v>
      </c>
      <c r="AV139" s="476">
        <v>0</v>
      </c>
      <c r="AW139" s="476">
        <v>22333077</v>
      </c>
      <c r="AX139" s="476">
        <v>21999827</v>
      </c>
      <c r="AY139" s="476">
        <v>0</v>
      </c>
      <c r="AZ139" s="476">
        <v>825435</v>
      </c>
      <c r="BA139" s="476">
        <v>0</v>
      </c>
      <c r="BB139" s="476">
        <v>0</v>
      </c>
      <c r="BC139" s="476">
        <v>0</v>
      </c>
      <c r="BD139" s="476">
        <v>0</v>
      </c>
      <c r="BE139" s="476">
        <v>0</v>
      </c>
      <c r="BF139" s="476">
        <v>19778234</v>
      </c>
      <c r="BG139" s="476">
        <v>0</v>
      </c>
      <c r="BH139" s="476">
        <v>0</v>
      </c>
      <c r="BI139" s="476">
        <v>0</v>
      </c>
      <c r="BJ139" s="476">
        <v>12</v>
      </c>
      <c r="BK139" s="476">
        <v>0</v>
      </c>
      <c r="BL139" s="476">
        <v>0</v>
      </c>
      <c r="BM139" s="476">
        <v>0</v>
      </c>
      <c r="BN139" s="476">
        <v>0</v>
      </c>
      <c r="BO139" s="476">
        <v>0</v>
      </c>
      <c r="BP139" s="476">
        <v>0</v>
      </c>
      <c r="BQ139" s="476">
        <v>489</v>
      </c>
      <c r="BR139" s="476">
        <v>0</v>
      </c>
      <c r="BS139" s="476">
        <v>0</v>
      </c>
      <c r="BT139" s="476">
        <v>0</v>
      </c>
      <c r="BU139" s="476">
        <v>0</v>
      </c>
      <c r="BV139" s="476">
        <v>0</v>
      </c>
      <c r="BW139" s="476">
        <v>0</v>
      </c>
      <c r="BX139" s="476">
        <v>0</v>
      </c>
      <c r="BY139" s="476">
        <v>0</v>
      </c>
      <c r="BZ139" s="476">
        <v>0</v>
      </c>
      <c r="CA139" s="476">
        <v>0</v>
      </c>
      <c r="CB139" s="476">
        <v>0</v>
      </c>
      <c r="CC139" s="476">
        <v>0</v>
      </c>
      <c r="CD139" s="476">
        <v>0</v>
      </c>
      <c r="CE139" s="476">
        <v>0</v>
      </c>
      <c r="CF139" s="476">
        <v>0</v>
      </c>
      <c r="CG139" s="476">
        <v>0</v>
      </c>
      <c r="CH139" s="476">
        <v>335887</v>
      </c>
      <c r="CI139" s="476">
        <v>0</v>
      </c>
      <c r="CJ139" s="476">
        <v>4</v>
      </c>
      <c r="CK139" s="476">
        <v>0</v>
      </c>
      <c r="CL139" s="476">
        <v>0</v>
      </c>
      <c r="CM139" s="476">
        <v>0</v>
      </c>
      <c r="CN139" s="476">
        <v>0</v>
      </c>
      <c r="CO139" s="476">
        <v>1</v>
      </c>
      <c r="CP139" s="476">
        <v>0</v>
      </c>
      <c r="CQ139" s="476">
        <v>0</v>
      </c>
      <c r="CR139" s="476">
        <v>1989.557</v>
      </c>
      <c r="CS139" s="476">
        <v>0</v>
      </c>
      <c r="CT139" s="476">
        <v>0</v>
      </c>
      <c r="CU139" s="476">
        <v>0</v>
      </c>
      <c r="CV139" s="476">
        <v>0</v>
      </c>
      <c r="CW139" s="476">
        <v>0</v>
      </c>
      <c r="CX139" s="476">
        <v>0</v>
      </c>
      <c r="CY139" s="476">
        <v>0</v>
      </c>
      <c r="CZ139" s="476">
        <v>0</v>
      </c>
      <c r="DA139" s="476">
        <v>0</v>
      </c>
      <c r="DB139" s="476">
        <v>11222748</v>
      </c>
      <c r="DC139" s="476">
        <v>0</v>
      </c>
      <c r="DD139" s="476">
        <v>0</v>
      </c>
      <c r="DE139" s="476">
        <v>3292599</v>
      </c>
      <c r="DF139" s="476">
        <v>3292599</v>
      </c>
      <c r="DG139" s="476">
        <v>534.52499999999998</v>
      </c>
      <c r="DH139" s="476">
        <v>0</v>
      </c>
      <c r="DI139" s="476">
        <v>0</v>
      </c>
      <c r="DJ139" s="476">
        <v>0</v>
      </c>
      <c r="DK139" s="476">
        <v>0</v>
      </c>
      <c r="DL139" s="476">
        <v>0</v>
      </c>
      <c r="DM139" s="476">
        <v>766999</v>
      </c>
      <c r="DN139" s="476">
        <v>2637</v>
      </c>
      <c r="DO139" s="476">
        <v>0</v>
      </c>
      <c r="DP139" s="476">
        <v>0</v>
      </c>
      <c r="DQ139" s="476">
        <v>0</v>
      </c>
      <c r="DR139" s="476">
        <v>0</v>
      </c>
      <c r="DS139" s="476">
        <v>0</v>
      </c>
      <c r="DT139" s="476">
        <v>0</v>
      </c>
      <c r="DU139" s="476">
        <v>0</v>
      </c>
      <c r="DV139" s="476">
        <v>0</v>
      </c>
      <c r="DW139" s="476">
        <v>0</v>
      </c>
      <c r="DX139" s="476">
        <v>0</v>
      </c>
      <c r="DY139" s="476">
        <v>0</v>
      </c>
      <c r="DZ139" s="476">
        <v>0</v>
      </c>
      <c r="EA139" s="476">
        <v>0</v>
      </c>
      <c r="EB139" s="476">
        <v>0</v>
      </c>
      <c r="EC139" s="476">
        <v>11.905000000000001</v>
      </c>
      <c r="ED139" s="476">
        <v>84333</v>
      </c>
      <c r="EE139" s="476">
        <v>0</v>
      </c>
      <c r="EF139" s="476">
        <v>0</v>
      </c>
      <c r="EG139" s="476">
        <v>0</v>
      </c>
      <c r="EH139" s="476">
        <v>685303</v>
      </c>
      <c r="EI139" s="476">
        <v>0</v>
      </c>
      <c r="EJ139" s="476">
        <v>0</v>
      </c>
      <c r="EK139" s="476">
        <v>28.176000000000002</v>
      </c>
      <c r="EL139" s="476">
        <v>0</v>
      </c>
      <c r="EM139" s="476">
        <v>5.24</v>
      </c>
      <c r="EN139" s="476">
        <v>2.2010000000000001</v>
      </c>
      <c r="EO139" s="476">
        <v>0</v>
      </c>
      <c r="EP139" s="476">
        <v>0</v>
      </c>
      <c r="EQ139" s="476">
        <v>35.617000000000004</v>
      </c>
      <c r="ER139" s="476">
        <v>0</v>
      </c>
      <c r="ES139" s="476">
        <v>111.253</v>
      </c>
      <c r="ET139" s="476">
        <v>0</v>
      </c>
      <c r="EU139" s="476">
        <v>0</v>
      </c>
      <c r="EV139" s="476">
        <v>0</v>
      </c>
      <c r="EW139" s="476">
        <v>0</v>
      </c>
      <c r="EX139" s="476">
        <v>0</v>
      </c>
      <c r="EY139" s="476">
        <v>0</v>
      </c>
      <c r="EZ139" s="476">
        <v>19019605</v>
      </c>
      <c r="FA139" s="476">
        <v>0</v>
      </c>
      <c r="FB139" s="476">
        <v>19842403</v>
      </c>
      <c r="FC139" s="476">
        <v>0</v>
      </c>
      <c r="FD139" s="476">
        <v>0</v>
      </c>
      <c r="FE139" s="476">
        <v>2553730</v>
      </c>
      <c r="FF139" s="476">
        <v>426492</v>
      </c>
      <c r="FG139" s="476">
        <v>6.3017999999999991E-2</v>
      </c>
      <c r="FH139" s="476">
        <v>2.6953999999999999E-2</v>
      </c>
      <c r="FI139" s="476">
        <v>0</v>
      </c>
      <c r="FJ139" s="476">
        <v>0</v>
      </c>
      <c r="FK139" s="476">
        <v>3210.8250000000003</v>
      </c>
      <c r="FL139" s="476">
        <v>23158512</v>
      </c>
      <c r="FM139" s="476">
        <v>0</v>
      </c>
      <c r="FN139" s="476">
        <v>0</v>
      </c>
      <c r="FO139" s="476">
        <v>31480</v>
      </c>
      <c r="FP139" s="476">
        <v>26146</v>
      </c>
      <c r="FQ139" s="476">
        <v>57626</v>
      </c>
      <c r="FR139" s="476">
        <v>31480</v>
      </c>
      <c r="FS139" s="476">
        <v>0</v>
      </c>
      <c r="FT139" s="476">
        <v>0</v>
      </c>
      <c r="FU139" s="476">
        <v>0</v>
      </c>
      <c r="FV139" s="476">
        <v>0</v>
      </c>
      <c r="FW139" s="476">
        <v>0</v>
      </c>
      <c r="FX139" s="476">
        <v>0</v>
      </c>
      <c r="FY139" s="476">
        <v>0</v>
      </c>
      <c r="FZ139" s="476">
        <v>0</v>
      </c>
      <c r="GA139" s="476">
        <v>0</v>
      </c>
      <c r="GB139" s="476">
        <v>1271050</v>
      </c>
      <c r="GC139" s="476">
        <v>1271050</v>
      </c>
      <c r="GD139" s="476">
        <v>132.024</v>
      </c>
      <c r="GE139" s="476">
        <v>0</v>
      </c>
      <c r="GF139" s="476">
        <v>0</v>
      </c>
      <c r="GG139" s="476">
        <v>0</v>
      </c>
      <c r="GH139" s="476">
        <v>0</v>
      </c>
      <c r="GI139" s="476">
        <v>0</v>
      </c>
      <c r="GJ139" s="476">
        <v>0</v>
      </c>
      <c r="GK139" s="476">
        <v>0</v>
      </c>
      <c r="GL139" s="476">
        <v>0</v>
      </c>
      <c r="GM139" s="476">
        <v>0</v>
      </c>
      <c r="GN139" s="476">
        <v>0</v>
      </c>
      <c r="GO139" s="476">
        <v>0</v>
      </c>
      <c r="GP139" s="476">
        <v>0</v>
      </c>
      <c r="GQ139" s="476">
        <v>21997190</v>
      </c>
      <c r="GR139" s="476">
        <v>0</v>
      </c>
      <c r="GS139" s="476">
        <v>0</v>
      </c>
      <c r="GT139" s="476">
        <v>0</v>
      </c>
      <c r="GU139" s="476">
        <v>0</v>
      </c>
      <c r="GV139" s="476">
        <v>0</v>
      </c>
      <c r="GW139" s="476">
        <v>0</v>
      </c>
      <c r="GX139" s="476">
        <v>0</v>
      </c>
      <c r="GY139" s="476">
        <v>0</v>
      </c>
      <c r="GZ139" s="476">
        <v>0</v>
      </c>
      <c r="HA139" s="476">
        <v>0</v>
      </c>
      <c r="HB139" s="476">
        <v>323396213</v>
      </c>
      <c r="HC139" s="476">
        <v>4.2206E-2</v>
      </c>
      <c r="HD139" s="476">
        <v>335887</v>
      </c>
      <c r="HE139" s="476">
        <v>0</v>
      </c>
      <c r="HF139" s="476">
        <v>2007751</v>
      </c>
      <c r="HG139" s="476">
        <v>14784</v>
      </c>
      <c r="HH139" s="476">
        <v>520298</v>
      </c>
      <c r="HI139" s="476">
        <v>0</v>
      </c>
      <c r="HJ139" s="476">
        <v>19896</v>
      </c>
      <c r="HK139" s="476">
        <v>5837</v>
      </c>
      <c r="HL139" s="476">
        <v>3343</v>
      </c>
      <c r="HM139" s="476">
        <v>128000</v>
      </c>
      <c r="HN139" s="476">
        <v>0</v>
      </c>
      <c r="HO139" s="476">
        <v>0</v>
      </c>
      <c r="HP139" s="476">
        <v>0</v>
      </c>
      <c r="HQ139" s="476">
        <v>0</v>
      </c>
      <c r="HR139" s="476">
        <v>0</v>
      </c>
      <c r="HS139" s="476">
        <v>19016968</v>
      </c>
      <c r="HT139" s="476">
        <v>426492</v>
      </c>
      <c r="HU139" s="476">
        <v>0</v>
      </c>
      <c r="HV139" s="476">
        <v>0</v>
      </c>
      <c r="HW139" s="476">
        <v>0</v>
      </c>
      <c r="HX139" s="476">
        <v>94</v>
      </c>
      <c r="HY139" s="476">
        <v>172</v>
      </c>
      <c r="HZ139" s="476">
        <v>602</v>
      </c>
      <c r="IA139" s="476">
        <v>924</v>
      </c>
      <c r="IB139" s="476">
        <v>289</v>
      </c>
      <c r="IC139" s="476">
        <v>2081</v>
      </c>
      <c r="ID139" s="476">
        <v>0</v>
      </c>
      <c r="IE139" s="476">
        <v>0</v>
      </c>
      <c r="IF139" s="476">
        <v>0</v>
      </c>
      <c r="IG139" s="476">
        <v>24</v>
      </c>
      <c r="IH139" s="476">
        <v>844.65800000000002</v>
      </c>
      <c r="II139" s="476">
        <v>0</v>
      </c>
      <c r="IJ139" s="476">
        <v>862.798</v>
      </c>
      <c r="IK139" s="476">
        <v>0</v>
      </c>
      <c r="IL139" s="476">
        <v>25</v>
      </c>
      <c r="IM139" s="476">
        <v>1</v>
      </c>
      <c r="IN139" s="476">
        <v>0</v>
      </c>
      <c r="IO139" s="476">
        <v>26</v>
      </c>
      <c r="IP139" s="476">
        <v>0</v>
      </c>
      <c r="IQ139" s="476">
        <v>862.798</v>
      </c>
      <c r="IR139" s="476">
        <v>531472</v>
      </c>
      <c r="IS139" s="476">
        <v>0</v>
      </c>
      <c r="IT139" s="476">
        <v>125000</v>
      </c>
      <c r="IU139" s="476">
        <v>3000</v>
      </c>
      <c r="IV139" s="476">
        <v>0</v>
      </c>
      <c r="IW139" s="476">
        <v>6160</v>
      </c>
      <c r="IX139" s="476">
        <v>0</v>
      </c>
      <c r="IY139" s="476">
        <v>0</v>
      </c>
      <c r="IZ139" s="476">
        <v>0</v>
      </c>
      <c r="JA139" s="476">
        <v>0</v>
      </c>
      <c r="JB139" s="476">
        <v>0</v>
      </c>
      <c r="JC139" s="476">
        <v>0</v>
      </c>
      <c r="JD139" s="476">
        <v>0</v>
      </c>
      <c r="JE139" s="476">
        <v>0</v>
      </c>
      <c r="JF139" s="476">
        <v>0</v>
      </c>
      <c r="JG139" s="476">
        <v>0</v>
      </c>
      <c r="JH139" s="476">
        <v>0</v>
      </c>
      <c r="JI139" s="476">
        <v>0</v>
      </c>
      <c r="JJ139" s="476">
        <v>0</v>
      </c>
      <c r="JK139" s="476">
        <v>0</v>
      </c>
      <c r="JL139" s="476">
        <v>0</v>
      </c>
      <c r="JM139" s="476">
        <v>0</v>
      </c>
      <c r="JN139" s="476">
        <v>32469</v>
      </c>
      <c r="JO139" s="476">
        <v>6.8950000000000005</v>
      </c>
      <c r="JP139" s="476">
        <v>86.823999999999998</v>
      </c>
      <c r="JQ139" s="476">
        <v>38.305</v>
      </c>
      <c r="JR139" s="476">
        <v>55079</v>
      </c>
      <c r="JS139" s="476">
        <v>807060</v>
      </c>
      <c r="JT139" s="476">
        <v>408911</v>
      </c>
      <c r="JU139" s="476">
        <v>0</v>
      </c>
      <c r="JV139" s="476">
        <v>0</v>
      </c>
      <c r="JW139" s="476">
        <v>0</v>
      </c>
      <c r="JX139" s="476">
        <v>0</v>
      </c>
      <c r="JY139" s="476">
        <v>0</v>
      </c>
      <c r="JZ139" s="476">
        <v>0</v>
      </c>
      <c r="KA139" s="476">
        <v>0</v>
      </c>
      <c r="KB139" s="476">
        <v>0</v>
      </c>
      <c r="KC139" s="476">
        <v>0</v>
      </c>
      <c r="KD139" s="476">
        <v>0</v>
      </c>
      <c r="KE139" s="476">
        <v>7262</v>
      </c>
      <c r="KF139" s="476">
        <v>0</v>
      </c>
      <c r="KG139" s="476">
        <v>0</v>
      </c>
      <c r="KH139" s="476">
        <v>21997190</v>
      </c>
      <c r="KI139" s="476">
        <v>0</v>
      </c>
      <c r="KJ139" s="476">
        <v>8</v>
      </c>
      <c r="KK139" s="476">
        <v>16</v>
      </c>
      <c r="KL139" s="476">
        <v>4928</v>
      </c>
      <c r="KM139" s="476">
        <v>9856</v>
      </c>
      <c r="KN139" s="476">
        <v>0</v>
      </c>
    </row>
    <row r="140" spans="1:300" x14ac:dyDescent="0.25">
      <c r="A140" s="476">
        <v>40976</v>
      </c>
      <c r="B140" s="476">
        <v>130801</v>
      </c>
      <c r="C140" s="476">
        <v>9</v>
      </c>
      <c r="D140" s="476">
        <v>2024</v>
      </c>
      <c r="E140" s="476">
        <v>6160</v>
      </c>
      <c r="F140" s="476">
        <v>0</v>
      </c>
      <c r="G140" s="476">
        <v>61.257000000000005</v>
      </c>
      <c r="H140" s="476">
        <v>39.703000000000003</v>
      </c>
      <c r="I140" s="476">
        <v>39.703000000000003</v>
      </c>
      <c r="J140" s="476">
        <v>61.257000000000005</v>
      </c>
      <c r="K140" s="476">
        <v>0</v>
      </c>
      <c r="L140" s="476">
        <v>6160</v>
      </c>
      <c r="M140" s="476">
        <v>0</v>
      </c>
      <c r="N140" s="476">
        <v>0</v>
      </c>
      <c r="O140" s="476">
        <v>0</v>
      </c>
      <c r="P140" s="476">
        <v>62.767000000000003</v>
      </c>
      <c r="Q140" s="476">
        <v>0</v>
      </c>
      <c r="R140" s="476">
        <v>26041</v>
      </c>
      <c r="S140" s="476">
        <v>414.88400000000001</v>
      </c>
      <c r="T140" s="476">
        <v>0</v>
      </c>
      <c r="U140" s="476">
        <v>0</v>
      </c>
      <c r="V140" s="476">
        <v>0.06</v>
      </c>
      <c r="W140" s="476">
        <v>37</v>
      </c>
      <c r="X140" s="476">
        <v>37</v>
      </c>
      <c r="Y140" s="476">
        <v>0</v>
      </c>
      <c r="Z140" s="476">
        <v>0</v>
      </c>
      <c r="AA140" s="476">
        <v>0</v>
      </c>
      <c r="AB140" s="476">
        <v>0</v>
      </c>
      <c r="AC140" s="476">
        <v>0</v>
      </c>
      <c r="AD140" s="476" t="s">
        <v>314</v>
      </c>
      <c r="AE140" s="476">
        <v>0</v>
      </c>
      <c r="AF140" s="476">
        <v>0</v>
      </c>
      <c r="AG140" s="476">
        <v>0</v>
      </c>
      <c r="AH140" s="476">
        <v>0</v>
      </c>
      <c r="AI140" s="476">
        <v>0</v>
      </c>
      <c r="AJ140" s="476">
        <v>6160</v>
      </c>
      <c r="AK140" s="476" t="s">
        <v>651</v>
      </c>
      <c r="AL140" s="476" t="s">
        <v>441</v>
      </c>
      <c r="AM140" s="476">
        <v>0</v>
      </c>
      <c r="AN140" s="476">
        <v>0</v>
      </c>
      <c r="AO140" s="476">
        <v>0</v>
      </c>
      <c r="AP140" s="476">
        <v>0</v>
      </c>
      <c r="AQ140" s="476">
        <v>0</v>
      </c>
      <c r="AR140" s="476">
        <v>0</v>
      </c>
      <c r="AS140" s="476">
        <v>0</v>
      </c>
      <c r="AT140" s="476">
        <v>0</v>
      </c>
      <c r="AU140" s="476">
        <v>0</v>
      </c>
      <c r="AV140" s="476">
        <v>0</v>
      </c>
      <c r="AW140" s="476">
        <v>1057571</v>
      </c>
      <c r="AX140" s="476">
        <v>1049071</v>
      </c>
      <c r="AY140" s="476">
        <v>0</v>
      </c>
      <c r="AZ140" s="476">
        <v>26041</v>
      </c>
      <c r="BA140" s="476">
        <v>0</v>
      </c>
      <c r="BB140" s="476">
        <v>0</v>
      </c>
      <c r="BC140" s="476">
        <v>0</v>
      </c>
      <c r="BD140" s="476">
        <v>0</v>
      </c>
      <c r="BE140" s="476">
        <v>0</v>
      </c>
      <c r="BF140" s="476">
        <v>929745</v>
      </c>
      <c r="BG140" s="476">
        <v>0</v>
      </c>
      <c r="BH140" s="476">
        <v>0</v>
      </c>
      <c r="BI140" s="476">
        <v>0</v>
      </c>
      <c r="BJ140" s="476">
        <v>12</v>
      </c>
      <c r="BK140" s="476">
        <v>0</v>
      </c>
      <c r="BL140" s="476">
        <v>0</v>
      </c>
      <c r="BM140" s="476">
        <v>0</v>
      </c>
      <c r="BN140" s="476">
        <v>0</v>
      </c>
      <c r="BO140" s="476">
        <v>0</v>
      </c>
      <c r="BP140" s="476">
        <v>0</v>
      </c>
      <c r="BQ140" s="476">
        <v>764</v>
      </c>
      <c r="BR140" s="476">
        <v>0</v>
      </c>
      <c r="BS140" s="476">
        <v>0</v>
      </c>
      <c r="BT140" s="476">
        <v>0</v>
      </c>
      <c r="BU140" s="476">
        <v>0</v>
      </c>
      <c r="BV140" s="476">
        <v>0</v>
      </c>
      <c r="BW140" s="476">
        <v>0</v>
      </c>
      <c r="BX140" s="476">
        <v>0</v>
      </c>
      <c r="BY140" s="476">
        <v>0</v>
      </c>
      <c r="BZ140" s="476">
        <v>0</v>
      </c>
      <c r="CA140" s="476">
        <v>0</v>
      </c>
      <c r="CB140" s="476">
        <v>0</v>
      </c>
      <c r="CC140" s="476">
        <v>0</v>
      </c>
      <c r="CD140" s="476">
        <v>0</v>
      </c>
      <c r="CE140" s="476">
        <v>0</v>
      </c>
      <c r="CF140" s="476">
        <v>0</v>
      </c>
      <c r="CG140" s="476">
        <v>0</v>
      </c>
      <c r="CH140" s="476">
        <v>10342</v>
      </c>
      <c r="CI140" s="476">
        <v>0</v>
      </c>
      <c r="CJ140" s="476">
        <v>4</v>
      </c>
      <c r="CK140" s="476">
        <v>0</v>
      </c>
      <c r="CL140" s="476">
        <v>0</v>
      </c>
      <c r="CM140" s="476">
        <v>0</v>
      </c>
      <c r="CN140" s="476">
        <v>0</v>
      </c>
      <c r="CO140" s="476">
        <v>1</v>
      </c>
      <c r="CP140" s="476">
        <v>0</v>
      </c>
      <c r="CQ140" s="476">
        <v>0</v>
      </c>
      <c r="CR140" s="476">
        <v>61.257000000000005</v>
      </c>
      <c r="CS140" s="476">
        <v>0</v>
      </c>
      <c r="CT140" s="476">
        <v>0</v>
      </c>
      <c r="CU140" s="476">
        <v>0</v>
      </c>
      <c r="CV140" s="476">
        <v>0</v>
      </c>
      <c r="CW140" s="476">
        <v>0</v>
      </c>
      <c r="CX140" s="476">
        <v>0</v>
      </c>
      <c r="CY140" s="476">
        <v>0</v>
      </c>
      <c r="CZ140" s="476">
        <v>0</v>
      </c>
      <c r="DA140" s="476">
        <v>0</v>
      </c>
      <c r="DB140" s="476">
        <v>33902</v>
      </c>
      <c r="DC140" s="476">
        <v>0</v>
      </c>
      <c r="DD140" s="476">
        <v>0</v>
      </c>
      <c r="DE140" s="476">
        <v>95863</v>
      </c>
      <c r="DF140" s="476">
        <v>95863</v>
      </c>
      <c r="DG140" s="476">
        <v>15.563000000000001</v>
      </c>
      <c r="DH140" s="476">
        <v>0</v>
      </c>
      <c r="DI140" s="476">
        <v>0</v>
      </c>
      <c r="DJ140" s="476">
        <v>0</v>
      </c>
      <c r="DK140" s="476">
        <v>3845</v>
      </c>
      <c r="DL140" s="476">
        <v>0</v>
      </c>
      <c r="DM140" s="476">
        <v>746600</v>
      </c>
      <c r="DN140" s="476">
        <v>1843</v>
      </c>
      <c r="DO140" s="476">
        <v>0</v>
      </c>
      <c r="DP140" s="476">
        <v>0</v>
      </c>
      <c r="DQ140" s="476">
        <v>0</v>
      </c>
      <c r="DR140" s="476">
        <v>0</v>
      </c>
      <c r="DS140" s="476">
        <v>0</v>
      </c>
      <c r="DT140" s="476">
        <v>0</v>
      </c>
      <c r="DU140" s="476">
        <v>0</v>
      </c>
      <c r="DV140" s="476">
        <v>0</v>
      </c>
      <c r="DW140" s="476">
        <v>0</v>
      </c>
      <c r="DX140" s="476">
        <v>0</v>
      </c>
      <c r="DY140" s="476">
        <v>0</v>
      </c>
      <c r="DZ140" s="476">
        <v>0</v>
      </c>
      <c r="EA140" s="476">
        <v>0</v>
      </c>
      <c r="EB140" s="476">
        <v>0</v>
      </c>
      <c r="EC140" s="476">
        <v>4.4720000000000004</v>
      </c>
      <c r="ED140" s="476">
        <v>31679</v>
      </c>
      <c r="EE140" s="476">
        <v>0</v>
      </c>
      <c r="EF140" s="476">
        <v>0</v>
      </c>
      <c r="EG140" s="476">
        <v>0.14300000000000002</v>
      </c>
      <c r="EH140" s="476">
        <v>50074</v>
      </c>
      <c r="EI140" s="476">
        <v>456027</v>
      </c>
      <c r="EJ140" s="476">
        <v>18.507999999999999</v>
      </c>
      <c r="EK140" s="476">
        <v>2.1150000000000002</v>
      </c>
      <c r="EL140" s="476">
        <v>0</v>
      </c>
      <c r="EM140" s="476">
        <v>0.35600000000000004</v>
      </c>
      <c r="EN140" s="476">
        <v>6.6000000000000003E-2</v>
      </c>
      <c r="EO140" s="476">
        <v>0</v>
      </c>
      <c r="EP140" s="476">
        <v>0</v>
      </c>
      <c r="EQ140" s="476">
        <v>21.188000000000002</v>
      </c>
      <c r="ER140" s="476">
        <v>0</v>
      </c>
      <c r="ES140" s="476">
        <v>8.1289999999999996</v>
      </c>
      <c r="ET140" s="476">
        <v>0</v>
      </c>
      <c r="EU140" s="476">
        <v>0</v>
      </c>
      <c r="EV140" s="476">
        <v>0</v>
      </c>
      <c r="EW140" s="476">
        <v>0</v>
      </c>
      <c r="EX140" s="476">
        <v>0</v>
      </c>
      <c r="EY140" s="476">
        <v>0</v>
      </c>
      <c r="EZ140" s="476">
        <v>908975</v>
      </c>
      <c r="FA140" s="476">
        <v>0</v>
      </c>
      <c r="FB140" s="476">
        <v>933174</v>
      </c>
      <c r="FC140" s="476">
        <v>0</v>
      </c>
      <c r="FD140" s="476">
        <v>0</v>
      </c>
      <c r="FE140" s="476">
        <v>120047</v>
      </c>
      <c r="FF140" s="476">
        <v>20049</v>
      </c>
      <c r="FG140" s="476">
        <v>6.3017999999999991E-2</v>
      </c>
      <c r="FH140" s="476">
        <v>2.6953999999999999E-2</v>
      </c>
      <c r="FI140" s="476">
        <v>0</v>
      </c>
      <c r="FJ140" s="476">
        <v>0</v>
      </c>
      <c r="FK140" s="476">
        <v>150.93600000000001</v>
      </c>
      <c r="FL140" s="476">
        <v>1083612</v>
      </c>
      <c r="FM140" s="476">
        <v>0</v>
      </c>
      <c r="FN140" s="476">
        <v>0</v>
      </c>
      <c r="FO140" s="476">
        <v>0</v>
      </c>
      <c r="FP140" s="476">
        <v>0</v>
      </c>
      <c r="FQ140" s="476">
        <v>0</v>
      </c>
      <c r="FR140" s="476">
        <v>0</v>
      </c>
      <c r="FS140" s="476">
        <v>0</v>
      </c>
      <c r="FT140" s="476">
        <v>0</v>
      </c>
      <c r="FU140" s="476">
        <v>0</v>
      </c>
      <c r="FV140" s="476">
        <v>0</v>
      </c>
      <c r="FW140" s="476">
        <v>0</v>
      </c>
      <c r="FX140" s="476">
        <v>0</v>
      </c>
      <c r="FY140" s="476">
        <v>0</v>
      </c>
      <c r="FZ140" s="476">
        <v>0</v>
      </c>
      <c r="GA140" s="476">
        <v>0</v>
      </c>
      <c r="GB140" s="476">
        <v>3424</v>
      </c>
      <c r="GC140" s="476">
        <v>3424</v>
      </c>
      <c r="GD140" s="476">
        <v>0.36599999999999999</v>
      </c>
      <c r="GE140" s="476">
        <v>0</v>
      </c>
      <c r="GF140" s="476">
        <v>0</v>
      </c>
      <c r="GG140" s="476">
        <v>0</v>
      </c>
      <c r="GH140" s="476">
        <v>0</v>
      </c>
      <c r="GI140" s="476">
        <v>0</v>
      </c>
      <c r="GJ140" s="476">
        <v>0</v>
      </c>
      <c r="GK140" s="476">
        <v>0</v>
      </c>
      <c r="GL140" s="476">
        <v>0</v>
      </c>
      <c r="GM140" s="476">
        <v>0</v>
      </c>
      <c r="GN140" s="476">
        <v>0</v>
      </c>
      <c r="GO140" s="476">
        <v>0</v>
      </c>
      <c r="GP140" s="476">
        <v>0</v>
      </c>
      <c r="GQ140" s="476">
        <v>1047229</v>
      </c>
      <c r="GR140" s="476">
        <v>0</v>
      </c>
      <c r="GS140" s="476">
        <v>0</v>
      </c>
      <c r="GT140" s="476">
        <v>0</v>
      </c>
      <c r="GU140" s="476">
        <v>0</v>
      </c>
      <c r="GV140" s="476">
        <v>0</v>
      </c>
      <c r="GW140" s="476">
        <v>0</v>
      </c>
      <c r="GX140" s="476">
        <v>0</v>
      </c>
      <c r="GY140" s="476">
        <v>0</v>
      </c>
      <c r="GZ140" s="476">
        <v>0</v>
      </c>
      <c r="HA140" s="476">
        <v>0</v>
      </c>
      <c r="HB140" s="476">
        <v>323396213</v>
      </c>
      <c r="HC140" s="476">
        <v>4.2206E-2</v>
      </c>
      <c r="HD140" s="476">
        <v>10342</v>
      </c>
      <c r="HE140" s="476">
        <v>0</v>
      </c>
      <c r="HF140" s="476">
        <v>43753</v>
      </c>
      <c r="HG140" s="476">
        <v>0</v>
      </c>
      <c r="HH140" s="476">
        <v>3710</v>
      </c>
      <c r="HI140" s="476">
        <v>0</v>
      </c>
      <c r="HJ140" s="476">
        <v>613</v>
      </c>
      <c r="HK140" s="476">
        <v>481</v>
      </c>
      <c r="HL140" s="476">
        <v>109</v>
      </c>
      <c r="HM140" s="476">
        <v>0</v>
      </c>
      <c r="HN140" s="476">
        <v>0</v>
      </c>
      <c r="HO140" s="476">
        <v>0</v>
      </c>
      <c r="HP140" s="476">
        <v>0</v>
      </c>
      <c r="HQ140" s="476">
        <v>0</v>
      </c>
      <c r="HR140" s="476">
        <v>0</v>
      </c>
      <c r="HS140" s="476">
        <v>907133</v>
      </c>
      <c r="HT140" s="476">
        <v>20049</v>
      </c>
      <c r="HU140" s="476">
        <v>0</v>
      </c>
      <c r="HV140" s="476">
        <v>0</v>
      </c>
      <c r="HW140" s="476">
        <v>0</v>
      </c>
      <c r="HX140" s="476">
        <v>17</v>
      </c>
      <c r="HY140" s="476">
        <v>2</v>
      </c>
      <c r="HZ140" s="476">
        <v>0</v>
      </c>
      <c r="IA140" s="476">
        <v>1</v>
      </c>
      <c r="IB140" s="476">
        <v>40</v>
      </c>
      <c r="IC140" s="476">
        <v>60</v>
      </c>
      <c r="ID140" s="476">
        <v>0</v>
      </c>
      <c r="IE140" s="476">
        <v>0</v>
      </c>
      <c r="IF140" s="476">
        <v>0</v>
      </c>
      <c r="IG140" s="476">
        <v>0</v>
      </c>
      <c r="IH140" s="476">
        <v>6.0230000000000006</v>
      </c>
      <c r="II140" s="476">
        <v>0</v>
      </c>
      <c r="IJ140" s="476">
        <v>0.06</v>
      </c>
      <c r="IK140" s="476">
        <v>17.023</v>
      </c>
      <c r="IL140" s="476">
        <v>0</v>
      </c>
      <c r="IM140" s="476">
        <v>0</v>
      </c>
      <c r="IN140" s="476">
        <v>0</v>
      </c>
      <c r="IO140" s="476">
        <v>0</v>
      </c>
      <c r="IP140" s="476">
        <v>17.023</v>
      </c>
      <c r="IQ140" s="476">
        <v>0.06</v>
      </c>
      <c r="IR140" s="476">
        <v>37</v>
      </c>
      <c r="IS140" s="476">
        <v>4681</v>
      </c>
      <c r="IT140" s="476">
        <v>0</v>
      </c>
      <c r="IU140" s="476">
        <v>0</v>
      </c>
      <c r="IV140" s="476">
        <v>0</v>
      </c>
      <c r="IW140" s="476">
        <v>6160</v>
      </c>
      <c r="IX140" s="476">
        <v>0</v>
      </c>
      <c r="IY140" s="476">
        <v>0</v>
      </c>
      <c r="IZ140" s="476">
        <v>4681</v>
      </c>
      <c r="JA140" s="476">
        <v>0</v>
      </c>
      <c r="JB140" s="476">
        <v>0</v>
      </c>
      <c r="JC140" s="476">
        <v>0</v>
      </c>
      <c r="JD140" s="476">
        <v>0</v>
      </c>
      <c r="JE140" s="476">
        <v>0</v>
      </c>
      <c r="JF140" s="476">
        <v>0</v>
      </c>
      <c r="JG140" s="476">
        <v>0</v>
      </c>
      <c r="JH140" s="476">
        <v>0</v>
      </c>
      <c r="JI140" s="476">
        <v>0</v>
      </c>
      <c r="JJ140" s="476">
        <v>0</v>
      </c>
      <c r="JK140" s="476">
        <v>0</v>
      </c>
      <c r="JL140" s="476">
        <v>0</v>
      </c>
      <c r="JM140" s="476">
        <v>0</v>
      </c>
      <c r="JN140" s="476">
        <v>32469</v>
      </c>
      <c r="JO140" s="476">
        <v>0</v>
      </c>
      <c r="JP140" s="476">
        <v>0.35000000000000003</v>
      </c>
      <c r="JQ140" s="476">
        <v>1.6E-2</v>
      </c>
      <c r="JR140" s="476">
        <v>0</v>
      </c>
      <c r="JS140" s="476">
        <v>3253</v>
      </c>
      <c r="JT140" s="476">
        <v>171</v>
      </c>
      <c r="JU140" s="476">
        <v>0</v>
      </c>
      <c r="JV140" s="476">
        <v>0</v>
      </c>
      <c r="JW140" s="476">
        <v>0</v>
      </c>
      <c r="JX140" s="476">
        <v>0</v>
      </c>
      <c r="JY140" s="476">
        <v>0</v>
      </c>
      <c r="JZ140" s="476">
        <v>0</v>
      </c>
      <c r="KA140" s="476">
        <v>0</v>
      </c>
      <c r="KB140" s="476">
        <v>0</v>
      </c>
      <c r="KC140" s="476">
        <v>0</v>
      </c>
      <c r="KD140" s="476">
        <v>0</v>
      </c>
      <c r="KE140" s="476">
        <v>7262</v>
      </c>
      <c r="KF140" s="476">
        <v>0</v>
      </c>
      <c r="KG140" s="476">
        <v>0</v>
      </c>
      <c r="KH140" s="476">
        <v>1047229</v>
      </c>
      <c r="KI140" s="476">
        <v>0</v>
      </c>
      <c r="KJ140" s="476">
        <v>0</v>
      </c>
      <c r="KK140" s="476">
        <v>0</v>
      </c>
      <c r="KL140" s="476">
        <v>0</v>
      </c>
      <c r="KM140" s="476">
        <v>0</v>
      </c>
      <c r="KN140" s="476">
        <v>0</v>
      </c>
    </row>
    <row r="141" spans="1:300" x14ac:dyDescent="0.25">
      <c r="A141" s="476">
        <v>40976</v>
      </c>
      <c r="B141" s="476">
        <v>152802</v>
      </c>
      <c r="C141" s="476">
        <v>9</v>
      </c>
      <c r="D141" s="476">
        <v>2024</v>
      </c>
      <c r="E141" s="476">
        <v>6160</v>
      </c>
      <c r="F141" s="476">
        <v>0</v>
      </c>
      <c r="G141" s="476">
        <v>240.65200000000002</v>
      </c>
      <c r="H141" s="476">
        <v>237.18900000000002</v>
      </c>
      <c r="I141" s="476">
        <v>237.18900000000002</v>
      </c>
      <c r="J141" s="476">
        <v>240.65200000000002</v>
      </c>
      <c r="K141" s="476">
        <v>0</v>
      </c>
      <c r="L141" s="476">
        <v>6160</v>
      </c>
      <c r="M141" s="476">
        <v>0</v>
      </c>
      <c r="N141" s="476">
        <v>0</v>
      </c>
      <c r="O141" s="476">
        <v>0</v>
      </c>
      <c r="P141" s="476">
        <v>240.65200000000002</v>
      </c>
      <c r="Q141" s="476">
        <v>0</v>
      </c>
      <c r="R141" s="476">
        <v>99843</v>
      </c>
      <c r="S141" s="476">
        <v>414.88400000000001</v>
      </c>
      <c r="T141" s="476">
        <v>0</v>
      </c>
      <c r="U141" s="476">
        <v>0</v>
      </c>
      <c r="V141" s="476">
        <v>0</v>
      </c>
      <c r="W141" s="476">
        <v>0</v>
      </c>
      <c r="X141" s="476">
        <v>0</v>
      </c>
      <c r="Y141" s="476">
        <v>0</v>
      </c>
      <c r="Z141" s="476">
        <v>0</v>
      </c>
      <c r="AA141" s="476">
        <v>0</v>
      </c>
      <c r="AB141" s="476">
        <v>0</v>
      </c>
      <c r="AC141" s="476">
        <v>0</v>
      </c>
      <c r="AD141" s="476" t="s">
        <v>314</v>
      </c>
      <c r="AE141" s="476">
        <v>0</v>
      </c>
      <c r="AF141" s="476">
        <v>0</v>
      </c>
      <c r="AG141" s="476">
        <v>0</v>
      </c>
      <c r="AH141" s="476">
        <v>0</v>
      </c>
      <c r="AI141" s="476">
        <v>0</v>
      </c>
      <c r="AJ141" s="476">
        <v>6160</v>
      </c>
      <c r="AK141" s="476" t="s">
        <v>651</v>
      </c>
      <c r="AL141" s="476" t="s">
        <v>89</v>
      </c>
      <c r="AM141" s="476">
        <v>0</v>
      </c>
      <c r="AN141" s="476">
        <v>0</v>
      </c>
      <c r="AO141" s="476">
        <v>0</v>
      </c>
      <c r="AP141" s="476">
        <v>0</v>
      </c>
      <c r="AQ141" s="476">
        <v>0</v>
      </c>
      <c r="AR141" s="476">
        <v>0</v>
      </c>
      <c r="AS141" s="476">
        <v>0</v>
      </c>
      <c r="AT141" s="476">
        <v>0</v>
      </c>
      <c r="AU141" s="476">
        <v>0</v>
      </c>
      <c r="AV141" s="476">
        <v>0</v>
      </c>
      <c r="AW141" s="476">
        <v>2587317</v>
      </c>
      <c r="AX141" s="476">
        <v>2547053</v>
      </c>
      <c r="AY141" s="476">
        <v>0</v>
      </c>
      <c r="AZ141" s="476">
        <v>99843</v>
      </c>
      <c r="BA141" s="476">
        <v>11.25</v>
      </c>
      <c r="BB141" s="476">
        <v>0</v>
      </c>
      <c r="BC141" s="476">
        <v>0</v>
      </c>
      <c r="BD141" s="476">
        <v>0</v>
      </c>
      <c r="BE141" s="476">
        <v>0</v>
      </c>
      <c r="BF141" s="476">
        <v>2300285</v>
      </c>
      <c r="BG141" s="476">
        <v>0</v>
      </c>
      <c r="BH141" s="476">
        <v>0</v>
      </c>
      <c r="BI141" s="476">
        <v>0</v>
      </c>
      <c r="BJ141" s="476">
        <v>12</v>
      </c>
      <c r="BK141" s="476">
        <v>0</v>
      </c>
      <c r="BL141" s="476">
        <v>0</v>
      </c>
      <c r="BM141" s="476">
        <v>0</v>
      </c>
      <c r="BN141" s="476">
        <v>0</v>
      </c>
      <c r="BO141" s="476">
        <v>0</v>
      </c>
      <c r="BP141" s="476">
        <v>0</v>
      </c>
      <c r="BQ141" s="476">
        <v>733</v>
      </c>
      <c r="BR141" s="476">
        <v>0</v>
      </c>
      <c r="BS141" s="476">
        <v>0</v>
      </c>
      <c r="BT141" s="476">
        <v>0</v>
      </c>
      <c r="BU141" s="476">
        <v>0</v>
      </c>
      <c r="BV141" s="476">
        <v>0</v>
      </c>
      <c r="BW141" s="476">
        <v>0</v>
      </c>
      <c r="BX141" s="476">
        <v>0</v>
      </c>
      <c r="BY141" s="476">
        <v>0</v>
      </c>
      <c r="BZ141" s="476">
        <v>0</v>
      </c>
      <c r="CA141" s="476">
        <v>0</v>
      </c>
      <c r="CB141" s="476">
        <v>0</v>
      </c>
      <c r="CC141" s="476">
        <v>0</v>
      </c>
      <c r="CD141" s="476">
        <v>0</v>
      </c>
      <c r="CE141" s="476">
        <v>0</v>
      </c>
      <c r="CF141" s="476">
        <v>0</v>
      </c>
      <c r="CG141" s="476">
        <v>0</v>
      </c>
      <c r="CH141" s="476">
        <v>40628</v>
      </c>
      <c r="CI141" s="476">
        <v>0</v>
      </c>
      <c r="CJ141" s="476">
        <v>4</v>
      </c>
      <c r="CK141" s="476">
        <v>0</v>
      </c>
      <c r="CL141" s="476">
        <v>0</v>
      </c>
      <c r="CM141" s="476">
        <v>0</v>
      </c>
      <c r="CN141" s="476">
        <v>0</v>
      </c>
      <c r="CO141" s="476">
        <v>1</v>
      </c>
      <c r="CP141" s="476">
        <v>0</v>
      </c>
      <c r="CQ141" s="476">
        <v>0.5</v>
      </c>
      <c r="CR141" s="476">
        <v>240.65200000000002</v>
      </c>
      <c r="CS141" s="476">
        <v>0</v>
      </c>
      <c r="CT141" s="476">
        <v>0</v>
      </c>
      <c r="CU141" s="476">
        <v>0</v>
      </c>
      <c r="CV141" s="476">
        <v>0</v>
      </c>
      <c r="CW141" s="476">
        <v>0</v>
      </c>
      <c r="CX141" s="476">
        <v>0</v>
      </c>
      <c r="CY141" s="476">
        <v>0</v>
      </c>
      <c r="CZ141" s="476">
        <v>0</v>
      </c>
      <c r="DA141" s="476">
        <v>0</v>
      </c>
      <c r="DB141" s="476">
        <v>1461051</v>
      </c>
      <c r="DC141" s="476">
        <v>0</v>
      </c>
      <c r="DD141" s="476">
        <v>0</v>
      </c>
      <c r="DE141" s="476">
        <v>404626</v>
      </c>
      <c r="DF141" s="476">
        <v>404626</v>
      </c>
      <c r="DG141" s="476">
        <v>65.688000000000002</v>
      </c>
      <c r="DH141" s="476">
        <v>0</v>
      </c>
      <c r="DI141" s="476">
        <v>0</v>
      </c>
      <c r="DJ141" s="476">
        <v>0</v>
      </c>
      <c r="DK141" s="476">
        <v>3358</v>
      </c>
      <c r="DL141" s="476">
        <v>0</v>
      </c>
      <c r="DM141" s="476">
        <v>105810</v>
      </c>
      <c r="DN141" s="476">
        <v>364</v>
      </c>
      <c r="DO141" s="476">
        <v>0</v>
      </c>
      <c r="DP141" s="476">
        <v>0</v>
      </c>
      <c r="DQ141" s="476">
        <v>0</v>
      </c>
      <c r="DR141" s="476">
        <v>0</v>
      </c>
      <c r="DS141" s="476">
        <v>0</v>
      </c>
      <c r="DT141" s="476">
        <v>0</v>
      </c>
      <c r="DU141" s="476">
        <v>0</v>
      </c>
      <c r="DV141" s="476">
        <v>0</v>
      </c>
      <c r="DW141" s="476">
        <v>0</v>
      </c>
      <c r="DX141" s="476">
        <v>0</v>
      </c>
      <c r="DY141" s="476">
        <v>0</v>
      </c>
      <c r="DZ141" s="476">
        <v>0</v>
      </c>
      <c r="EA141" s="476">
        <v>0</v>
      </c>
      <c r="EB141" s="476">
        <v>0</v>
      </c>
      <c r="EC141" s="476">
        <v>3.8030000000000004</v>
      </c>
      <c r="ED141" s="476">
        <v>26940</v>
      </c>
      <c r="EE141" s="476">
        <v>0</v>
      </c>
      <c r="EF141" s="476">
        <v>0</v>
      </c>
      <c r="EG141" s="476">
        <v>0</v>
      </c>
      <c r="EH141" s="476">
        <v>79234</v>
      </c>
      <c r="EI141" s="476">
        <v>0</v>
      </c>
      <c r="EJ141" s="476">
        <v>0</v>
      </c>
      <c r="EK141" s="476">
        <v>2.226</v>
      </c>
      <c r="EL141" s="476">
        <v>0</v>
      </c>
      <c r="EM141" s="476">
        <v>0</v>
      </c>
      <c r="EN141" s="476">
        <v>1.2370000000000001</v>
      </c>
      <c r="EO141" s="476">
        <v>0</v>
      </c>
      <c r="EP141" s="476">
        <v>0</v>
      </c>
      <c r="EQ141" s="476">
        <v>3.4630000000000001</v>
      </c>
      <c r="ER141" s="476">
        <v>0</v>
      </c>
      <c r="ES141" s="476">
        <v>12.863000000000001</v>
      </c>
      <c r="ET141" s="476">
        <v>0</v>
      </c>
      <c r="EU141" s="476">
        <v>0</v>
      </c>
      <c r="EV141" s="476">
        <v>0</v>
      </c>
      <c r="EW141" s="476">
        <v>0</v>
      </c>
      <c r="EX141" s="476">
        <v>0</v>
      </c>
      <c r="EY141" s="476">
        <v>0</v>
      </c>
      <c r="EZ141" s="476">
        <v>2200442</v>
      </c>
      <c r="FA141" s="476">
        <v>0</v>
      </c>
      <c r="FB141" s="476">
        <v>2299921</v>
      </c>
      <c r="FC141" s="476">
        <v>0</v>
      </c>
      <c r="FD141" s="476">
        <v>0</v>
      </c>
      <c r="FE141" s="476">
        <v>297008</v>
      </c>
      <c r="FF141" s="476">
        <v>49603</v>
      </c>
      <c r="FG141" s="476">
        <v>6.3017999999999991E-2</v>
      </c>
      <c r="FH141" s="476">
        <v>2.6953999999999999E-2</v>
      </c>
      <c r="FI141" s="476">
        <v>0</v>
      </c>
      <c r="FJ141" s="476">
        <v>0</v>
      </c>
      <c r="FK141" s="476">
        <v>373.43100000000004</v>
      </c>
      <c r="FL141" s="476">
        <v>2687160</v>
      </c>
      <c r="FM141" s="476">
        <v>0</v>
      </c>
      <c r="FN141" s="476">
        <v>0</v>
      </c>
      <c r="FO141" s="476">
        <v>0</v>
      </c>
      <c r="FP141" s="476">
        <v>0</v>
      </c>
      <c r="FQ141" s="476">
        <v>0</v>
      </c>
      <c r="FR141" s="476">
        <v>0</v>
      </c>
      <c r="FS141" s="476">
        <v>0</v>
      </c>
      <c r="FT141" s="476">
        <v>0</v>
      </c>
      <c r="FU141" s="476">
        <v>0</v>
      </c>
      <c r="FV141" s="476">
        <v>0</v>
      </c>
      <c r="FW141" s="476">
        <v>0</v>
      </c>
      <c r="FX141" s="476">
        <v>0</v>
      </c>
      <c r="FY141" s="476">
        <v>0</v>
      </c>
      <c r="FZ141" s="476">
        <v>0</v>
      </c>
      <c r="GA141" s="476">
        <v>0</v>
      </c>
      <c r="GB141" s="476">
        <v>0</v>
      </c>
      <c r="GC141" s="476">
        <v>0</v>
      </c>
      <c r="GD141" s="476">
        <v>0</v>
      </c>
      <c r="GE141" s="476">
        <v>0</v>
      </c>
      <c r="GF141" s="476">
        <v>0</v>
      </c>
      <c r="GG141" s="476">
        <v>0</v>
      </c>
      <c r="GH141" s="476">
        <v>0</v>
      </c>
      <c r="GI141" s="476">
        <v>0</v>
      </c>
      <c r="GJ141" s="476">
        <v>0</v>
      </c>
      <c r="GK141" s="476">
        <v>0</v>
      </c>
      <c r="GL141" s="476">
        <v>0</v>
      </c>
      <c r="GM141" s="476">
        <v>0</v>
      </c>
      <c r="GN141" s="476">
        <v>0</v>
      </c>
      <c r="GO141" s="476">
        <v>0</v>
      </c>
      <c r="GP141" s="476">
        <v>0</v>
      </c>
      <c r="GQ141" s="476">
        <v>2546689</v>
      </c>
      <c r="GR141" s="476">
        <v>0</v>
      </c>
      <c r="GS141" s="476">
        <v>0</v>
      </c>
      <c r="GT141" s="476">
        <v>0</v>
      </c>
      <c r="GU141" s="476">
        <v>0</v>
      </c>
      <c r="GV141" s="476">
        <v>0</v>
      </c>
      <c r="GW141" s="476">
        <v>0</v>
      </c>
      <c r="GX141" s="476">
        <v>0</v>
      </c>
      <c r="GY141" s="476">
        <v>0</v>
      </c>
      <c r="GZ141" s="476">
        <v>0</v>
      </c>
      <c r="HA141" s="476">
        <v>0</v>
      </c>
      <c r="HB141" s="476">
        <v>323396213</v>
      </c>
      <c r="HC141" s="476">
        <v>4.2206E-2</v>
      </c>
      <c r="HD141" s="476">
        <v>40628</v>
      </c>
      <c r="HE141" s="476">
        <v>0</v>
      </c>
      <c r="HF141" s="476">
        <v>261382</v>
      </c>
      <c r="HG141" s="476">
        <v>616</v>
      </c>
      <c r="HH141" s="476">
        <v>64029</v>
      </c>
      <c r="HI141" s="476">
        <v>0</v>
      </c>
      <c r="HJ141" s="476">
        <v>2407</v>
      </c>
      <c r="HK141" s="476">
        <v>0</v>
      </c>
      <c r="HL141" s="476">
        <v>0</v>
      </c>
      <c r="HM141" s="476">
        <v>0</v>
      </c>
      <c r="HN141" s="476">
        <v>0</v>
      </c>
      <c r="HO141" s="476">
        <v>0</v>
      </c>
      <c r="HP141" s="476">
        <v>0</v>
      </c>
      <c r="HQ141" s="476">
        <v>0</v>
      </c>
      <c r="HR141" s="476">
        <v>0</v>
      </c>
      <c r="HS141" s="476">
        <v>2200078</v>
      </c>
      <c r="HT141" s="476">
        <v>49603</v>
      </c>
      <c r="HU141" s="476">
        <v>0</v>
      </c>
      <c r="HV141" s="476">
        <v>0</v>
      </c>
      <c r="HW141" s="476">
        <v>0</v>
      </c>
      <c r="HX141" s="476">
        <v>28</v>
      </c>
      <c r="HY141" s="476">
        <v>42</v>
      </c>
      <c r="HZ141" s="476">
        <v>43</v>
      </c>
      <c r="IA141" s="476">
        <v>53</v>
      </c>
      <c r="IB141" s="476">
        <v>90</v>
      </c>
      <c r="IC141" s="476">
        <v>256</v>
      </c>
      <c r="ID141" s="476">
        <v>0</v>
      </c>
      <c r="IE141" s="476">
        <v>0</v>
      </c>
      <c r="IF141" s="476">
        <v>0</v>
      </c>
      <c r="IG141" s="476">
        <v>1</v>
      </c>
      <c r="IH141" s="476">
        <v>103.94500000000001</v>
      </c>
      <c r="II141" s="476">
        <v>0</v>
      </c>
      <c r="IJ141" s="476">
        <v>0</v>
      </c>
      <c r="IK141" s="476">
        <v>0</v>
      </c>
      <c r="IL141" s="476">
        <v>0</v>
      </c>
      <c r="IM141" s="476">
        <v>0</v>
      </c>
      <c r="IN141" s="476">
        <v>0</v>
      </c>
      <c r="IO141" s="476">
        <v>0</v>
      </c>
      <c r="IP141" s="476">
        <v>0</v>
      </c>
      <c r="IQ141" s="476">
        <v>0</v>
      </c>
      <c r="IR141" s="476">
        <v>0</v>
      </c>
      <c r="IS141" s="476">
        <v>0</v>
      </c>
      <c r="IT141" s="476">
        <v>0</v>
      </c>
      <c r="IU141" s="476">
        <v>0</v>
      </c>
      <c r="IV141" s="476">
        <v>0</v>
      </c>
      <c r="IW141" s="476">
        <v>6160</v>
      </c>
      <c r="IX141" s="476">
        <v>0</v>
      </c>
      <c r="IY141" s="476">
        <v>0</v>
      </c>
      <c r="IZ141" s="476">
        <v>0</v>
      </c>
      <c r="JA141" s="476">
        <v>0</v>
      </c>
      <c r="JB141" s="476">
        <v>0</v>
      </c>
      <c r="JC141" s="476">
        <v>0</v>
      </c>
      <c r="JD141" s="476">
        <v>0</v>
      </c>
      <c r="JE141" s="476">
        <v>0</v>
      </c>
      <c r="JF141" s="476">
        <v>0</v>
      </c>
      <c r="JG141" s="476">
        <v>0</v>
      </c>
      <c r="JH141" s="476">
        <v>0</v>
      </c>
      <c r="JI141" s="476">
        <v>0</v>
      </c>
      <c r="JJ141" s="476">
        <v>0</v>
      </c>
      <c r="JK141" s="476">
        <v>0</v>
      </c>
      <c r="JL141" s="476">
        <v>0</v>
      </c>
      <c r="JM141" s="476">
        <v>0</v>
      </c>
      <c r="JN141" s="476">
        <v>32469</v>
      </c>
      <c r="JO141" s="476">
        <v>0</v>
      </c>
      <c r="JP141" s="476">
        <v>0</v>
      </c>
      <c r="JQ141" s="476">
        <v>0</v>
      </c>
      <c r="JR141" s="476">
        <v>0</v>
      </c>
      <c r="JS141" s="476">
        <v>0</v>
      </c>
      <c r="JT141" s="476">
        <v>0</v>
      </c>
      <c r="JU141" s="476">
        <v>0</v>
      </c>
      <c r="JV141" s="476">
        <v>0</v>
      </c>
      <c r="JW141" s="476">
        <v>0</v>
      </c>
      <c r="JX141" s="476">
        <v>0</v>
      </c>
      <c r="JY141" s="476">
        <v>0</v>
      </c>
      <c r="JZ141" s="476">
        <v>0</v>
      </c>
      <c r="KA141" s="476">
        <v>0</v>
      </c>
      <c r="KB141" s="476">
        <v>0</v>
      </c>
      <c r="KC141" s="476">
        <v>0</v>
      </c>
      <c r="KD141" s="476">
        <v>0</v>
      </c>
      <c r="KE141" s="476">
        <v>7262</v>
      </c>
      <c r="KF141" s="476">
        <v>0</v>
      </c>
      <c r="KG141" s="476">
        <v>0</v>
      </c>
      <c r="KH141" s="476">
        <v>2546689</v>
      </c>
      <c r="KI141" s="476">
        <v>0</v>
      </c>
      <c r="KJ141" s="476">
        <v>1</v>
      </c>
      <c r="KK141" s="476">
        <v>0</v>
      </c>
      <c r="KL141" s="476">
        <v>616</v>
      </c>
      <c r="KM141" s="476">
        <v>0</v>
      </c>
      <c r="KN141" s="476">
        <v>0</v>
      </c>
    </row>
    <row r="142" spans="1:300" x14ac:dyDescent="0.25">
      <c r="A142" s="476">
        <v>40976</v>
      </c>
      <c r="B142" s="476">
        <v>152803</v>
      </c>
      <c r="C142" s="476">
        <v>9</v>
      </c>
      <c r="D142" s="476">
        <v>2024</v>
      </c>
      <c r="E142" s="476">
        <v>6160</v>
      </c>
      <c r="F142" s="476">
        <v>0</v>
      </c>
      <c r="G142" s="476">
        <v>145.77000000000001</v>
      </c>
      <c r="H142" s="476">
        <v>143.916</v>
      </c>
      <c r="I142" s="476">
        <v>143.916</v>
      </c>
      <c r="J142" s="476">
        <v>145.77000000000001</v>
      </c>
      <c r="K142" s="476">
        <v>0</v>
      </c>
      <c r="L142" s="476">
        <v>6160</v>
      </c>
      <c r="M142" s="476">
        <v>0</v>
      </c>
      <c r="N142" s="476">
        <v>0</v>
      </c>
      <c r="O142" s="476">
        <v>0</v>
      </c>
      <c r="P142" s="476">
        <v>145.77000000000001</v>
      </c>
      <c r="Q142" s="476">
        <v>0</v>
      </c>
      <c r="R142" s="476">
        <v>60478</v>
      </c>
      <c r="S142" s="476">
        <v>414.88400000000001</v>
      </c>
      <c r="T142" s="476">
        <v>0</v>
      </c>
      <c r="U142" s="476">
        <v>0</v>
      </c>
      <c r="V142" s="476">
        <v>0.253</v>
      </c>
      <c r="W142" s="476">
        <v>156</v>
      </c>
      <c r="X142" s="476">
        <v>156</v>
      </c>
      <c r="Y142" s="476">
        <v>0</v>
      </c>
      <c r="Z142" s="476">
        <v>0</v>
      </c>
      <c r="AA142" s="476">
        <v>0</v>
      </c>
      <c r="AB142" s="476">
        <v>0</v>
      </c>
      <c r="AC142" s="476">
        <v>0</v>
      </c>
      <c r="AD142" s="476" t="s">
        <v>314</v>
      </c>
      <c r="AE142" s="476">
        <v>0</v>
      </c>
      <c r="AF142" s="476">
        <v>0</v>
      </c>
      <c r="AG142" s="476">
        <v>0</v>
      </c>
      <c r="AH142" s="476">
        <v>0</v>
      </c>
      <c r="AI142" s="476">
        <v>0</v>
      </c>
      <c r="AJ142" s="476">
        <v>6160</v>
      </c>
      <c r="AK142" s="476" t="s">
        <v>651</v>
      </c>
      <c r="AL142" s="476" t="s">
        <v>466</v>
      </c>
      <c r="AM142" s="476">
        <v>0</v>
      </c>
      <c r="AN142" s="476">
        <v>0</v>
      </c>
      <c r="AO142" s="476">
        <v>0</v>
      </c>
      <c r="AP142" s="476">
        <v>0</v>
      </c>
      <c r="AQ142" s="476">
        <v>0</v>
      </c>
      <c r="AR142" s="476">
        <v>0</v>
      </c>
      <c r="AS142" s="476">
        <v>0</v>
      </c>
      <c r="AT142" s="476">
        <v>0</v>
      </c>
      <c r="AU142" s="476">
        <v>0</v>
      </c>
      <c r="AV142" s="476">
        <v>0</v>
      </c>
      <c r="AW142" s="476">
        <v>1699497</v>
      </c>
      <c r="AX142" s="476">
        <v>1675400</v>
      </c>
      <c r="AY142" s="476">
        <v>0</v>
      </c>
      <c r="AZ142" s="476">
        <v>60478</v>
      </c>
      <c r="BA142" s="476">
        <v>4</v>
      </c>
      <c r="BB142" s="476">
        <v>0</v>
      </c>
      <c r="BC142" s="476">
        <v>0</v>
      </c>
      <c r="BD142" s="476">
        <v>0</v>
      </c>
      <c r="BE142" s="476">
        <v>0</v>
      </c>
      <c r="BF142" s="476">
        <v>1505273</v>
      </c>
      <c r="BG142" s="476">
        <v>0</v>
      </c>
      <c r="BH142" s="476">
        <v>0</v>
      </c>
      <c r="BI142" s="476">
        <v>0</v>
      </c>
      <c r="BJ142" s="476">
        <v>12</v>
      </c>
      <c r="BK142" s="476">
        <v>0</v>
      </c>
      <c r="BL142" s="476">
        <v>0</v>
      </c>
      <c r="BM142" s="476">
        <v>0</v>
      </c>
      <c r="BN142" s="476">
        <v>0</v>
      </c>
      <c r="BO142" s="476">
        <v>0</v>
      </c>
      <c r="BP142" s="476">
        <v>0</v>
      </c>
      <c r="BQ142" s="476">
        <v>748</v>
      </c>
      <c r="BR142" s="476">
        <v>0</v>
      </c>
      <c r="BS142" s="476">
        <v>0</v>
      </c>
      <c r="BT142" s="476">
        <v>0</v>
      </c>
      <c r="BU142" s="476">
        <v>0</v>
      </c>
      <c r="BV142" s="476">
        <v>0</v>
      </c>
      <c r="BW142" s="476">
        <v>0</v>
      </c>
      <c r="BX142" s="476">
        <v>0</v>
      </c>
      <c r="BY142" s="476">
        <v>0</v>
      </c>
      <c r="BZ142" s="476">
        <v>0</v>
      </c>
      <c r="CA142" s="476">
        <v>0</v>
      </c>
      <c r="CB142" s="476">
        <v>0</v>
      </c>
      <c r="CC142" s="476">
        <v>0</v>
      </c>
      <c r="CD142" s="476">
        <v>0</v>
      </c>
      <c r="CE142" s="476">
        <v>0</v>
      </c>
      <c r="CF142" s="476">
        <v>0</v>
      </c>
      <c r="CG142" s="476">
        <v>0</v>
      </c>
      <c r="CH142" s="476">
        <v>24610</v>
      </c>
      <c r="CI142" s="476">
        <v>0</v>
      </c>
      <c r="CJ142" s="476">
        <v>4</v>
      </c>
      <c r="CK142" s="476">
        <v>0</v>
      </c>
      <c r="CL142" s="476">
        <v>0</v>
      </c>
      <c r="CM142" s="476">
        <v>0</v>
      </c>
      <c r="CN142" s="476">
        <v>0</v>
      </c>
      <c r="CO142" s="476">
        <v>1</v>
      </c>
      <c r="CP142" s="476">
        <v>0.53</v>
      </c>
      <c r="CQ142" s="476">
        <v>12</v>
      </c>
      <c r="CR142" s="476">
        <v>145.77000000000001</v>
      </c>
      <c r="CS142" s="476">
        <v>0</v>
      </c>
      <c r="CT142" s="476">
        <v>0</v>
      </c>
      <c r="CU142" s="476">
        <v>0</v>
      </c>
      <c r="CV142" s="476">
        <v>0</v>
      </c>
      <c r="CW142" s="476">
        <v>0</v>
      </c>
      <c r="CX142" s="476">
        <v>0</v>
      </c>
      <c r="CY142" s="476">
        <v>0</v>
      </c>
      <c r="CZ142" s="476">
        <v>0</v>
      </c>
      <c r="DA142" s="476">
        <v>0</v>
      </c>
      <c r="DB142" s="476">
        <v>860654</v>
      </c>
      <c r="DC142" s="476">
        <v>0</v>
      </c>
      <c r="DD142" s="476">
        <v>0</v>
      </c>
      <c r="DE142" s="476">
        <v>290899</v>
      </c>
      <c r="DF142" s="476">
        <v>298767</v>
      </c>
      <c r="DG142" s="476">
        <v>47.225000000000001</v>
      </c>
      <c r="DH142" s="476">
        <v>0</v>
      </c>
      <c r="DI142" s="476">
        <v>7868</v>
      </c>
      <c r="DJ142" s="476">
        <v>0</v>
      </c>
      <c r="DK142" s="476">
        <v>3588</v>
      </c>
      <c r="DL142" s="476">
        <v>0</v>
      </c>
      <c r="DM142" s="476">
        <v>174935</v>
      </c>
      <c r="DN142" s="476">
        <v>513</v>
      </c>
      <c r="DO142" s="476">
        <v>0</v>
      </c>
      <c r="DP142" s="476">
        <v>0</v>
      </c>
      <c r="DQ142" s="476">
        <v>0</v>
      </c>
      <c r="DR142" s="476">
        <v>0</v>
      </c>
      <c r="DS142" s="476">
        <v>0</v>
      </c>
      <c r="DT142" s="476">
        <v>0</v>
      </c>
      <c r="DU142" s="476">
        <v>0</v>
      </c>
      <c r="DV142" s="476">
        <v>0</v>
      </c>
      <c r="DW142" s="476">
        <v>0</v>
      </c>
      <c r="DX142" s="476">
        <v>0</v>
      </c>
      <c r="DY142" s="476">
        <v>0</v>
      </c>
      <c r="DZ142" s="476">
        <v>0</v>
      </c>
      <c r="EA142" s="476">
        <v>8.0000000000000002E-3</v>
      </c>
      <c r="EB142" s="476">
        <v>0</v>
      </c>
      <c r="EC142" s="476">
        <v>17.602</v>
      </c>
      <c r="ED142" s="476">
        <v>124690</v>
      </c>
      <c r="EE142" s="476">
        <v>0</v>
      </c>
      <c r="EF142" s="476">
        <v>0</v>
      </c>
      <c r="EG142" s="476">
        <v>0</v>
      </c>
      <c r="EH142" s="476">
        <v>24910</v>
      </c>
      <c r="EI142" s="476">
        <v>0</v>
      </c>
      <c r="EJ142" s="476">
        <v>0</v>
      </c>
      <c r="EK142" s="476">
        <v>0.8</v>
      </c>
      <c r="EL142" s="476">
        <v>0</v>
      </c>
      <c r="EM142" s="476">
        <v>0.52800000000000002</v>
      </c>
      <c r="EN142" s="476">
        <v>4.0000000000000001E-3</v>
      </c>
      <c r="EO142" s="476">
        <v>0</v>
      </c>
      <c r="EP142" s="476">
        <v>0</v>
      </c>
      <c r="EQ142" s="476">
        <v>1.34</v>
      </c>
      <c r="ER142" s="476">
        <v>0</v>
      </c>
      <c r="ES142" s="476">
        <v>4.0440000000000005</v>
      </c>
      <c r="ET142" s="476">
        <v>0</v>
      </c>
      <c r="EU142" s="476">
        <v>0</v>
      </c>
      <c r="EV142" s="476">
        <v>0</v>
      </c>
      <c r="EW142" s="476">
        <v>0</v>
      </c>
      <c r="EX142" s="476">
        <v>0</v>
      </c>
      <c r="EY142" s="476">
        <v>0</v>
      </c>
      <c r="EZ142" s="476">
        <v>1448583</v>
      </c>
      <c r="FA142" s="476">
        <v>0</v>
      </c>
      <c r="FB142" s="476">
        <v>1508548</v>
      </c>
      <c r="FC142" s="476">
        <v>0</v>
      </c>
      <c r="FD142" s="476">
        <v>0</v>
      </c>
      <c r="FE142" s="476">
        <v>194358</v>
      </c>
      <c r="FF142" s="476">
        <v>32459</v>
      </c>
      <c r="FG142" s="476">
        <v>6.3017999999999991E-2</v>
      </c>
      <c r="FH142" s="476">
        <v>2.6953999999999999E-2</v>
      </c>
      <c r="FI142" s="476">
        <v>0</v>
      </c>
      <c r="FJ142" s="476">
        <v>0</v>
      </c>
      <c r="FK142" s="476">
        <v>244.36800000000002</v>
      </c>
      <c r="FL142" s="476">
        <v>1759975</v>
      </c>
      <c r="FM142" s="476">
        <v>0</v>
      </c>
      <c r="FN142" s="476">
        <v>0</v>
      </c>
      <c r="FO142" s="476">
        <v>0</v>
      </c>
      <c r="FP142" s="476">
        <v>0</v>
      </c>
      <c r="FQ142" s="476">
        <v>0</v>
      </c>
      <c r="FR142" s="476">
        <v>0</v>
      </c>
      <c r="FS142" s="476">
        <v>0</v>
      </c>
      <c r="FT142" s="476">
        <v>0</v>
      </c>
      <c r="FU142" s="476">
        <v>0</v>
      </c>
      <c r="FV142" s="476">
        <v>0</v>
      </c>
      <c r="FW142" s="476">
        <v>0</v>
      </c>
      <c r="FX142" s="476">
        <v>0</v>
      </c>
      <c r="FY142" s="476">
        <v>0</v>
      </c>
      <c r="FZ142" s="476">
        <v>0</v>
      </c>
      <c r="GA142" s="476">
        <v>0</v>
      </c>
      <c r="GB142" s="476">
        <v>5267</v>
      </c>
      <c r="GC142" s="476">
        <v>5267</v>
      </c>
      <c r="GD142" s="476">
        <v>0.51400000000000001</v>
      </c>
      <c r="GE142" s="476">
        <v>0</v>
      </c>
      <c r="GF142" s="476">
        <v>0</v>
      </c>
      <c r="GG142" s="476">
        <v>0</v>
      </c>
      <c r="GH142" s="476">
        <v>0</v>
      </c>
      <c r="GI142" s="476">
        <v>0</v>
      </c>
      <c r="GJ142" s="476">
        <v>0</v>
      </c>
      <c r="GK142" s="476">
        <v>0</v>
      </c>
      <c r="GL142" s="476">
        <v>0</v>
      </c>
      <c r="GM142" s="476">
        <v>0</v>
      </c>
      <c r="GN142" s="476">
        <v>0</v>
      </c>
      <c r="GO142" s="476">
        <v>0</v>
      </c>
      <c r="GP142" s="476">
        <v>0</v>
      </c>
      <c r="GQ142" s="476">
        <v>1674887</v>
      </c>
      <c r="GR142" s="476">
        <v>0</v>
      </c>
      <c r="GS142" s="476">
        <v>0</v>
      </c>
      <c r="GT142" s="476">
        <v>0</v>
      </c>
      <c r="GU142" s="476">
        <v>0</v>
      </c>
      <c r="GV142" s="476">
        <v>0</v>
      </c>
      <c r="GW142" s="476">
        <v>0</v>
      </c>
      <c r="GX142" s="476">
        <v>0</v>
      </c>
      <c r="GY142" s="476">
        <v>0</v>
      </c>
      <c r="GZ142" s="476">
        <v>0</v>
      </c>
      <c r="HA142" s="476">
        <v>0</v>
      </c>
      <c r="HB142" s="476">
        <v>323396213</v>
      </c>
      <c r="HC142" s="476">
        <v>4.2206E-2</v>
      </c>
      <c r="HD142" s="476">
        <v>24610</v>
      </c>
      <c r="HE142" s="476">
        <v>0</v>
      </c>
      <c r="HF142" s="476">
        <v>158595</v>
      </c>
      <c r="HG142" s="476">
        <v>4928</v>
      </c>
      <c r="HH142" s="476">
        <v>0</v>
      </c>
      <c r="HI142" s="476">
        <v>0</v>
      </c>
      <c r="HJ142" s="476">
        <v>1458</v>
      </c>
      <c r="HK142" s="476">
        <v>2470</v>
      </c>
      <c r="HL142" s="476">
        <v>1318</v>
      </c>
      <c r="HM142" s="476">
        <v>0</v>
      </c>
      <c r="HN142" s="476">
        <v>0</v>
      </c>
      <c r="HO142" s="476">
        <v>0</v>
      </c>
      <c r="HP142" s="476">
        <v>0</v>
      </c>
      <c r="HQ142" s="476">
        <v>0</v>
      </c>
      <c r="HR142" s="476">
        <v>0</v>
      </c>
      <c r="HS142" s="476">
        <v>1448070</v>
      </c>
      <c r="HT142" s="476">
        <v>32459</v>
      </c>
      <c r="HU142" s="476">
        <v>0</v>
      </c>
      <c r="HV142" s="476">
        <v>0</v>
      </c>
      <c r="HW142" s="476">
        <v>0</v>
      </c>
      <c r="HX142" s="476">
        <v>11</v>
      </c>
      <c r="HY142" s="476">
        <v>27</v>
      </c>
      <c r="HZ142" s="476">
        <v>31</v>
      </c>
      <c r="IA142" s="476">
        <v>61</v>
      </c>
      <c r="IB142" s="476">
        <v>53</v>
      </c>
      <c r="IC142" s="476">
        <v>183</v>
      </c>
      <c r="ID142" s="476">
        <v>0</v>
      </c>
      <c r="IE142" s="476">
        <v>0</v>
      </c>
      <c r="IF142" s="476">
        <v>0</v>
      </c>
      <c r="IG142" s="476">
        <v>8</v>
      </c>
      <c r="IH142" s="476">
        <v>0</v>
      </c>
      <c r="II142" s="476">
        <v>0</v>
      </c>
      <c r="IJ142" s="476">
        <v>0.253</v>
      </c>
      <c r="IK142" s="476">
        <v>0</v>
      </c>
      <c r="IL142" s="476">
        <v>0</v>
      </c>
      <c r="IM142" s="476">
        <v>0</v>
      </c>
      <c r="IN142" s="476">
        <v>0</v>
      </c>
      <c r="IO142" s="476">
        <v>0</v>
      </c>
      <c r="IP142" s="476">
        <v>0</v>
      </c>
      <c r="IQ142" s="476">
        <v>0.253</v>
      </c>
      <c r="IR142" s="476">
        <v>156</v>
      </c>
      <c r="IS142" s="476">
        <v>0</v>
      </c>
      <c r="IT142" s="476">
        <v>0</v>
      </c>
      <c r="IU142" s="476">
        <v>0</v>
      </c>
      <c r="IV142" s="476">
        <v>0</v>
      </c>
      <c r="IW142" s="476">
        <v>6160</v>
      </c>
      <c r="IX142" s="476">
        <v>0</v>
      </c>
      <c r="IY142" s="476">
        <v>0</v>
      </c>
      <c r="IZ142" s="476">
        <v>0</v>
      </c>
      <c r="JA142" s="476">
        <v>0</v>
      </c>
      <c r="JB142" s="476">
        <v>0</v>
      </c>
      <c r="JC142" s="476">
        <v>0</v>
      </c>
      <c r="JD142" s="476">
        <v>0</v>
      </c>
      <c r="JE142" s="476">
        <v>0</v>
      </c>
      <c r="JF142" s="476">
        <v>0</v>
      </c>
      <c r="JG142" s="476">
        <v>0</v>
      </c>
      <c r="JH142" s="476">
        <v>0</v>
      </c>
      <c r="JI142" s="476">
        <v>0</v>
      </c>
      <c r="JJ142" s="476">
        <v>0</v>
      </c>
      <c r="JK142" s="476">
        <v>0</v>
      </c>
      <c r="JL142" s="476">
        <v>0</v>
      </c>
      <c r="JM142" s="476">
        <v>0</v>
      </c>
      <c r="JN142" s="476">
        <v>40471</v>
      </c>
      <c r="JO142" s="476">
        <v>4.5999999999999999E-2</v>
      </c>
      <c r="JP142" s="476">
        <v>7.0000000000000007E-2</v>
      </c>
      <c r="JQ142" s="476">
        <v>0.39800000000000002</v>
      </c>
      <c r="JR142" s="476">
        <v>367</v>
      </c>
      <c r="JS142" s="476">
        <v>651</v>
      </c>
      <c r="JT142" s="476">
        <v>4249</v>
      </c>
      <c r="JU142" s="476">
        <v>0</v>
      </c>
      <c r="JV142" s="476">
        <v>0</v>
      </c>
      <c r="JW142" s="476">
        <v>0</v>
      </c>
      <c r="JX142" s="476">
        <v>0</v>
      </c>
      <c r="JY142" s="476">
        <v>0</v>
      </c>
      <c r="JZ142" s="476">
        <v>0</v>
      </c>
      <c r="KA142" s="476">
        <v>0</v>
      </c>
      <c r="KB142" s="476">
        <v>0</v>
      </c>
      <c r="KC142" s="476">
        <v>0</v>
      </c>
      <c r="KD142" s="476">
        <v>0</v>
      </c>
      <c r="KE142" s="476">
        <v>7262</v>
      </c>
      <c r="KF142" s="476">
        <v>0</v>
      </c>
      <c r="KG142" s="476">
        <v>0</v>
      </c>
      <c r="KH142" s="476">
        <v>1674887</v>
      </c>
      <c r="KI142" s="476">
        <v>0</v>
      </c>
      <c r="KJ142" s="476">
        <v>4</v>
      </c>
      <c r="KK142" s="476">
        <v>4</v>
      </c>
      <c r="KL142" s="476">
        <v>2464</v>
      </c>
      <c r="KM142" s="476">
        <v>2464</v>
      </c>
      <c r="KN142" s="476">
        <v>0</v>
      </c>
    </row>
    <row r="143" spans="1:300" x14ac:dyDescent="0.25">
      <c r="A143" s="476">
        <v>40976</v>
      </c>
      <c r="B143" s="476">
        <v>152806</v>
      </c>
      <c r="C143" s="476">
        <v>9</v>
      </c>
      <c r="D143" s="476">
        <v>2024</v>
      </c>
      <c r="E143" s="476">
        <v>6160</v>
      </c>
      <c r="F143" s="476">
        <v>0</v>
      </c>
      <c r="G143" s="476">
        <v>164.77500000000001</v>
      </c>
      <c r="H143" s="476">
        <v>140.18100000000001</v>
      </c>
      <c r="I143" s="476">
        <v>140.18100000000001</v>
      </c>
      <c r="J143" s="476">
        <v>164.77500000000001</v>
      </c>
      <c r="K143" s="476">
        <v>0</v>
      </c>
      <c r="L143" s="476">
        <v>6160</v>
      </c>
      <c r="M143" s="476">
        <v>0</v>
      </c>
      <c r="N143" s="476">
        <v>0</v>
      </c>
      <c r="O143" s="476">
        <v>0</v>
      </c>
      <c r="P143" s="476">
        <v>164.488</v>
      </c>
      <c r="Q143" s="476">
        <v>0</v>
      </c>
      <c r="R143" s="476">
        <v>68243</v>
      </c>
      <c r="S143" s="476">
        <v>414.88400000000001</v>
      </c>
      <c r="T143" s="476">
        <v>0</v>
      </c>
      <c r="U143" s="476">
        <v>0</v>
      </c>
      <c r="V143" s="476">
        <v>0</v>
      </c>
      <c r="W143" s="476">
        <v>0</v>
      </c>
      <c r="X143" s="476">
        <v>0</v>
      </c>
      <c r="Y143" s="476">
        <v>0</v>
      </c>
      <c r="Z143" s="476">
        <v>0</v>
      </c>
      <c r="AA143" s="476">
        <v>0</v>
      </c>
      <c r="AB143" s="476">
        <v>0</v>
      </c>
      <c r="AC143" s="476">
        <v>0</v>
      </c>
      <c r="AD143" s="476" t="s">
        <v>314</v>
      </c>
      <c r="AE143" s="476">
        <v>0</v>
      </c>
      <c r="AF143" s="476">
        <v>0</v>
      </c>
      <c r="AG143" s="476">
        <v>0</v>
      </c>
      <c r="AH143" s="476">
        <v>0</v>
      </c>
      <c r="AI143" s="476">
        <v>0</v>
      </c>
      <c r="AJ143" s="476">
        <v>6160</v>
      </c>
      <c r="AK143" s="476" t="s">
        <v>651</v>
      </c>
      <c r="AL143" s="476" t="s">
        <v>535</v>
      </c>
      <c r="AM143" s="476">
        <v>0</v>
      </c>
      <c r="AN143" s="476">
        <v>0</v>
      </c>
      <c r="AO143" s="476">
        <v>0</v>
      </c>
      <c r="AP143" s="476">
        <v>0</v>
      </c>
      <c r="AQ143" s="476">
        <v>0</v>
      </c>
      <c r="AR143" s="476">
        <v>0</v>
      </c>
      <c r="AS143" s="476">
        <v>0</v>
      </c>
      <c r="AT143" s="476">
        <v>0</v>
      </c>
      <c r="AU143" s="476">
        <v>0</v>
      </c>
      <c r="AV143" s="476">
        <v>0</v>
      </c>
      <c r="AW143" s="476">
        <v>2063188</v>
      </c>
      <c r="AX143" s="476">
        <v>2065119</v>
      </c>
      <c r="AY143" s="476">
        <v>0</v>
      </c>
      <c r="AZ143" s="476">
        <v>68243</v>
      </c>
      <c r="BA143" s="476">
        <v>0</v>
      </c>
      <c r="BB143" s="476">
        <v>0</v>
      </c>
      <c r="BC143" s="476">
        <v>0</v>
      </c>
      <c r="BD143" s="476">
        <v>0</v>
      </c>
      <c r="BE143" s="476">
        <v>0</v>
      </c>
      <c r="BF143" s="476">
        <v>1853998</v>
      </c>
      <c r="BG143" s="476">
        <v>0</v>
      </c>
      <c r="BH143" s="476">
        <v>0</v>
      </c>
      <c r="BI143" s="476">
        <v>0</v>
      </c>
      <c r="BJ143" s="476">
        <v>12</v>
      </c>
      <c r="BK143" s="476">
        <v>0</v>
      </c>
      <c r="BL143" s="476">
        <v>0</v>
      </c>
      <c r="BM143" s="476">
        <v>0</v>
      </c>
      <c r="BN143" s="476">
        <v>0</v>
      </c>
      <c r="BO143" s="476">
        <v>0</v>
      </c>
      <c r="BP143" s="476">
        <v>0</v>
      </c>
      <c r="BQ143" s="476">
        <v>748</v>
      </c>
      <c r="BR143" s="476">
        <v>0</v>
      </c>
      <c r="BS143" s="476">
        <v>0</v>
      </c>
      <c r="BT143" s="476">
        <v>0</v>
      </c>
      <c r="BU143" s="476">
        <v>0</v>
      </c>
      <c r="BV143" s="476">
        <v>0</v>
      </c>
      <c r="BW143" s="476">
        <v>0</v>
      </c>
      <c r="BX143" s="476">
        <v>0</v>
      </c>
      <c r="BY143" s="476">
        <v>0</v>
      </c>
      <c r="BZ143" s="476">
        <v>0</v>
      </c>
      <c r="CA143" s="476">
        <v>0</v>
      </c>
      <c r="CB143" s="476">
        <v>0</v>
      </c>
      <c r="CC143" s="476">
        <v>0</v>
      </c>
      <c r="CD143" s="476">
        <v>0</v>
      </c>
      <c r="CE143" s="476">
        <v>0</v>
      </c>
      <c r="CF143" s="476">
        <v>0</v>
      </c>
      <c r="CG143" s="476">
        <v>0</v>
      </c>
      <c r="CH143" s="476">
        <v>0</v>
      </c>
      <c r="CI143" s="476">
        <v>0</v>
      </c>
      <c r="CJ143" s="476">
        <v>4</v>
      </c>
      <c r="CK143" s="476">
        <v>0</v>
      </c>
      <c r="CL143" s="476">
        <v>0</v>
      </c>
      <c r="CM143" s="476">
        <v>0</v>
      </c>
      <c r="CN143" s="476">
        <v>0</v>
      </c>
      <c r="CO143" s="476">
        <v>1</v>
      </c>
      <c r="CP143" s="476">
        <v>0</v>
      </c>
      <c r="CQ143" s="476">
        <v>0</v>
      </c>
      <c r="CR143" s="476">
        <v>164.77500000000001</v>
      </c>
      <c r="CS143" s="476">
        <v>0</v>
      </c>
      <c r="CT143" s="476">
        <v>0</v>
      </c>
      <c r="CU143" s="476">
        <v>0</v>
      </c>
      <c r="CV143" s="476">
        <v>0</v>
      </c>
      <c r="CW143" s="476">
        <v>0</v>
      </c>
      <c r="CX143" s="476">
        <v>0</v>
      </c>
      <c r="CY143" s="476">
        <v>0</v>
      </c>
      <c r="CZ143" s="476">
        <v>0</v>
      </c>
      <c r="DA143" s="476">
        <v>0</v>
      </c>
      <c r="DB143" s="476">
        <v>863495</v>
      </c>
      <c r="DC143" s="476">
        <v>0</v>
      </c>
      <c r="DD143" s="476">
        <v>0</v>
      </c>
      <c r="DE143" s="476">
        <v>202967</v>
      </c>
      <c r="DF143" s="476">
        <v>202967</v>
      </c>
      <c r="DG143" s="476">
        <v>32.950000000000003</v>
      </c>
      <c r="DH143" s="476">
        <v>0</v>
      </c>
      <c r="DI143" s="476">
        <v>0</v>
      </c>
      <c r="DJ143" s="476">
        <v>0</v>
      </c>
      <c r="DK143" s="476">
        <v>3597</v>
      </c>
      <c r="DL143" s="476">
        <v>0</v>
      </c>
      <c r="DM143" s="476">
        <v>561539</v>
      </c>
      <c r="DN143" s="476">
        <v>1931</v>
      </c>
      <c r="DO143" s="476">
        <v>0</v>
      </c>
      <c r="DP143" s="476">
        <v>0</v>
      </c>
      <c r="DQ143" s="476">
        <v>0</v>
      </c>
      <c r="DR143" s="476">
        <v>0</v>
      </c>
      <c r="DS143" s="476">
        <v>0</v>
      </c>
      <c r="DT143" s="476">
        <v>0</v>
      </c>
      <c r="DU143" s="476">
        <v>0</v>
      </c>
      <c r="DV143" s="476">
        <v>0</v>
      </c>
      <c r="DW143" s="476">
        <v>0</v>
      </c>
      <c r="DX143" s="476">
        <v>0</v>
      </c>
      <c r="DY143" s="476">
        <v>0</v>
      </c>
      <c r="DZ143" s="476">
        <v>0</v>
      </c>
      <c r="EA143" s="476">
        <v>0</v>
      </c>
      <c r="EB143" s="476">
        <v>0</v>
      </c>
      <c r="EC143" s="476">
        <v>13.623000000000001</v>
      </c>
      <c r="ED143" s="476">
        <v>96503</v>
      </c>
      <c r="EE143" s="476">
        <v>0</v>
      </c>
      <c r="EF143" s="476">
        <v>0</v>
      </c>
      <c r="EG143" s="476">
        <v>0</v>
      </c>
      <c r="EH143" s="476">
        <v>466967</v>
      </c>
      <c r="EI143" s="476">
        <v>0</v>
      </c>
      <c r="EJ143" s="476">
        <v>0</v>
      </c>
      <c r="EK143" s="476">
        <v>23.581</v>
      </c>
      <c r="EL143" s="476">
        <v>0</v>
      </c>
      <c r="EM143" s="476">
        <v>0</v>
      </c>
      <c r="EN143" s="476">
        <v>1.0130000000000001</v>
      </c>
      <c r="EO143" s="476">
        <v>0</v>
      </c>
      <c r="EP143" s="476">
        <v>0</v>
      </c>
      <c r="EQ143" s="476">
        <v>24.594000000000001</v>
      </c>
      <c r="ER143" s="476">
        <v>0</v>
      </c>
      <c r="ES143" s="476">
        <v>75.808000000000007</v>
      </c>
      <c r="ET143" s="476">
        <v>0</v>
      </c>
      <c r="EU143" s="476">
        <v>0</v>
      </c>
      <c r="EV143" s="476">
        <v>0</v>
      </c>
      <c r="EW143" s="476">
        <v>0</v>
      </c>
      <c r="EX143" s="476">
        <v>0</v>
      </c>
      <c r="EY143" s="476">
        <v>0</v>
      </c>
      <c r="EZ143" s="476">
        <v>1785755</v>
      </c>
      <c r="FA143" s="476">
        <v>0</v>
      </c>
      <c r="FB143" s="476">
        <v>1852067</v>
      </c>
      <c r="FC143" s="476">
        <v>0</v>
      </c>
      <c r="FD143" s="476">
        <v>0</v>
      </c>
      <c r="FE143" s="476">
        <v>239385</v>
      </c>
      <c r="FF143" s="476">
        <v>39979</v>
      </c>
      <c r="FG143" s="476">
        <v>6.3017999999999991E-2</v>
      </c>
      <c r="FH143" s="476">
        <v>2.6953999999999999E-2</v>
      </c>
      <c r="FI143" s="476">
        <v>0</v>
      </c>
      <c r="FJ143" s="476">
        <v>0</v>
      </c>
      <c r="FK143" s="476">
        <v>300.98099999999999</v>
      </c>
      <c r="FL143" s="476">
        <v>2131431</v>
      </c>
      <c r="FM143" s="476">
        <v>0</v>
      </c>
      <c r="FN143" s="476">
        <v>0</v>
      </c>
      <c r="FO143" s="476">
        <v>0</v>
      </c>
      <c r="FP143" s="476">
        <v>0</v>
      </c>
      <c r="FQ143" s="476">
        <v>0</v>
      </c>
      <c r="FR143" s="476">
        <v>0</v>
      </c>
      <c r="FS143" s="476">
        <v>0</v>
      </c>
      <c r="FT143" s="476">
        <v>0</v>
      </c>
      <c r="FU143" s="476">
        <v>0</v>
      </c>
      <c r="FV143" s="476">
        <v>0</v>
      </c>
      <c r="FW143" s="476">
        <v>0</v>
      </c>
      <c r="FX143" s="476">
        <v>0</v>
      </c>
      <c r="FY143" s="476">
        <v>0</v>
      </c>
      <c r="FZ143" s="476">
        <v>0</v>
      </c>
      <c r="GA143" s="476">
        <v>0</v>
      </c>
      <c r="GB143" s="476">
        <v>0</v>
      </c>
      <c r="GC143" s="476">
        <v>0</v>
      </c>
      <c r="GD143" s="476">
        <v>0</v>
      </c>
      <c r="GE143" s="476">
        <v>0</v>
      </c>
      <c r="GF143" s="476">
        <v>0</v>
      </c>
      <c r="GG143" s="476">
        <v>0</v>
      </c>
      <c r="GH143" s="476">
        <v>0</v>
      </c>
      <c r="GI143" s="476">
        <v>0</v>
      </c>
      <c r="GJ143" s="476">
        <v>0</v>
      </c>
      <c r="GK143" s="476">
        <v>0</v>
      </c>
      <c r="GL143" s="476">
        <v>0</v>
      </c>
      <c r="GM143" s="476">
        <v>0</v>
      </c>
      <c r="GN143" s="476">
        <v>0</v>
      </c>
      <c r="GO143" s="476">
        <v>0</v>
      </c>
      <c r="GP143" s="476">
        <v>0</v>
      </c>
      <c r="GQ143" s="476">
        <v>2063188</v>
      </c>
      <c r="GR143" s="476">
        <v>0</v>
      </c>
      <c r="GS143" s="476">
        <v>0</v>
      </c>
      <c r="GT143" s="476">
        <v>0</v>
      </c>
      <c r="GU143" s="476">
        <v>0</v>
      </c>
      <c r="GV143" s="476">
        <v>0</v>
      </c>
      <c r="GW143" s="476">
        <v>0</v>
      </c>
      <c r="GX143" s="476">
        <v>0</v>
      </c>
      <c r="GY143" s="476">
        <v>0</v>
      </c>
      <c r="GZ143" s="476">
        <v>0</v>
      </c>
      <c r="HA143" s="476">
        <v>0</v>
      </c>
      <c r="HB143" s="476">
        <v>0</v>
      </c>
      <c r="HC143" s="476">
        <v>4.2206E-2</v>
      </c>
      <c r="HD143" s="476">
        <v>0</v>
      </c>
      <c r="HE143" s="476">
        <v>0</v>
      </c>
      <c r="HF143" s="476">
        <v>154479</v>
      </c>
      <c r="HG143" s="476">
        <v>15400</v>
      </c>
      <c r="HH143" s="476">
        <v>52539</v>
      </c>
      <c r="HI143" s="476">
        <v>0</v>
      </c>
      <c r="HJ143" s="476">
        <v>1648</v>
      </c>
      <c r="HK143" s="476">
        <v>0</v>
      </c>
      <c r="HL143" s="476">
        <v>0</v>
      </c>
      <c r="HM143" s="476">
        <v>0</v>
      </c>
      <c r="HN143" s="476">
        <v>0</v>
      </c>
      <c r="HO143" s="476">
        <v>0</v>
      </c>
      <c r="HP143" s="476">
        <v>0</v>
      </c>
      <c r="HQ143" s="476">
        <v>0</v>
      </c>
      <c r="HR143" s="476">
        <v>0</v>
      </c>
      <c r="HS143" s="476">
        <v>1783824</v>
      </c>
      <c r="HT143" s="476">
        <v>39979</v>
      </c>
      <c r="HU143" s="476">
        <v>0</v>
      </c>
      <c r="HV143" s="476">
        <v>0</v>
      </c>
      <c r="HW143" s="476">
        <v>0</v>
      </c>
      <c r="HX143" s="476">
        <v>15</v>
      </c>
      <c r="HY143" s="476">
        <v>21</v>
      </c>
      <c r="HZ143" s="476">
        <v>17</v>
      </c>
      <c r="IA143" s="476">
        <v>45</v>
      </c>
      <c r="IB143" s="476">
        <v>31</v>
      </c>
      <c r="IC143" s="476">
        <v>129</v>
      </c>
      <c r="ID143" s="476">
        <v>0</v>
      </c>
      <c r="IE143" s="476">
        <v>0</v>
      </c>
      <c r="IF143" s="476">
        <v>0</v>
      </c>
      <c r="IG143" s="476">
        <v>25</v>
      </c>
      <c r="IH143" s="476">
        <v>85.292000000000002</v>
      </c>
      <c r="II143" s="476">
        <v>0</v>
      </c>
      <c r="IJ143" s="476">
        <v>0</v>
      </c>
      <c r="IK143" s="476">
        <v>0</v>
      </c>
      <c r="IL143" s="476">
        <v>0</v>
      </c>
      <c r="IM143" s="476">
        <v>0</v>
      </c>
      <c r="IN143" s="476">
        <v>0</v>
      </c>
      <c r="IO143" s="476">
        <v>0</v>
      </c>
      <c r="IP143" s="476">
        <v>0</v>
      </c>
      <c r="IQ143" s="476">
        <v>0</v>
      </c>
      <c r="IR143" s="476">
        <v>0</v>
      </c>
      <c r="IS143" s="476">
        <v>0</v>
      </c>
      <c r="IT143" s="476">
        <v>0</v>
      </c>
      <c r="IU143" s="476">
        <v>0</v>
      </c>
      <c r="IV143" s="476">
        <v>0</v>
      </c>
      <c r="IW143" s="476">
        <v>6160</v>
      </c>
      <c r="IX143" s="476">
        <v>0</v>
      </c>
      <c r="IY143" s="476">
        <v>0</v>
      </c>
      <c r="IZ143" s="476">
        <v>0</v>
      </c>
      <c r="JA143" s="476">
        <v>0</v>
      </c>
      <c r="JB143" s="476">
        <v>0</v>
      </c>
      <c r="JC143" s="476">
        <v>0</v>
      </c>
      <c r="JD143" s="476">
        <v>0</v>
      </c>
      <c r="JE143" s="476">
        <v>0</v>
      </c>
      <c r="JF143" s="476">
        <v>0</v>
      </c>
      <c r="JG143" s="476">
        <v>0</v>
      </c>
      <c r="JH143" s="476">
        <v>0</v>
      </c>
      <c r="JI143" s="476">
        <v>0</v>
      </c>
      <c r="JJ143" s="476">
        <v>0</v>
      </c>
      <c r="JK143" s="476">
        <v>0</v>
      </c>
      <c r="JL143" s="476">
        <v>0</v>
      </c>
      <c r="JM143" s="476">
        <v>0</v>
      </c>
      <c r="JN143" s="476">
        <v>32469</v>
      </c>
      <c r="JO143" s="476">
        <v>0</v>
      </c>
      <c r="JP143" s="476">
        <v>0</v>
      </c>
      <c r="JQ143" s="476">
        <v>0</v>
      </c>
      <c r="JR143" s="476">
        <v>0</v>
      </c>
      <c r="JS143" s="476">
        <v>0</v>
      </c>
      <c r="JT143" s="476">
        <v>0</v>
      </c>
      <c r="JU143" s="476">
        <v>0</v>
      </c>
      <c r="JV143" s="476">
        <v>0</v>
      </c>
      <c r="JW143" s="476">
        <v>0</v>
      </c>
      <c r="JX143" s="476">
        <v>0</v>
      </c>
      <c r="JY143" s="476">
        <v>0</v>
      </c>
      <c r="JZ143" s="476">
        <v>0</v>
      </c>
      <c r="KA143" s="476">
        <v>0</v>
      </c>
      <c r="KB143" s="476">
        <v>0</v>
      </c>
      <c r="KC143" s="476">
        <v>0</v>
      </c>
      <c r="KD143" s="476">
        <v>0</v>
      </c>
      <c r="KE143" s="476">
        <v>7262</v>
      </c>
      <c r="KF143" s="476">
        <v>0</v>
      </c>
      <c r="KG143" s="476">
        <v>0</v>
      </c>
      <c r="KH143" s="476">
        <v>2063188</v>
      </c>
      <c r="KI143" s="476">
        <v>0</v>
      </c>
      <c r="KJ143" s="476">
        <v>13</v>
      </c>
      <c r="KK143" s="476">
        <v>12</v>
      </c>
      <c r="KL143" s="476">
        <v>8008</v>
      </c>
      <c r="KM143" s="476">
        <v>7392</v>
      </c>
      <c r="KN143" s="476">
        <v>0</v>
      </c>
    </row>
    <row r="144" spans="1:300" x14ac:dyDescent="0.25">
      <c r="A144" s="476">
        <v>40976</v>
      </c>
      <c r="B144" s="476">
        <v>161802</v>
      </c>
      <c r="C144" s="476">
        <v>9</v>
      </c>
      <c r="D144" s="476">
        <v>2024</v>
      </c>
      <c r="E144" s="476">
        <v>6160</v>
      </c>
      <c r="F144" s="476">
        <v>0</v>
      </c>
      <c r="G144" s="476">
        <v>764.64300000000003</v>
      </c>
      <c r="H144" s="476">
        <v>692.06700000000001</v>
      </c>
      <c r="I144" s="476">
        <v>692.06700000000001</v>
      </c>
      <c r="J144" s="476">
        <v>764.64300000000003</v>
      </c>
      <c r="K144" s="476">
        <v>0</v>
      </c>
      <c r="L144" s="476">
        <v>6160</v>
      </c>
      <c r="M144" s="476">
        <v>0</v>
      </c>
      <c r="N144" s="476">
        <v>0</v>
      </c>
      <c r="O144" s="476">
        <v>0</v>
      </c>
      <c r="P144" s="476">
        <v>764.85</v>
      </c>
      <c r="Q144" s="476">
        <v>0</v>
      </c>
      <c r="R144" s="476">
        <v>317324</v>
      </c>
      <c r="S144" s="476">
        <v>414.88400000000001</v>
      </c>
      <c r="T144" s="476">
        <v>0</v>
      </c>
      <c r="U144" s="476">
        <v>0</v>
      </c>
      <c r="V144" s="476">
        <v>68.725000000000009</v>
      </c>
      <c r="W144" s="476">
        <v>42334</v>
      </c>
      <c r="X144" s="476">
        <v>42334</v>
      </c>
      <c r="Y144" s="476">
        <v>0</v>
      </c>
      <c r="Z144" s="476">
        <v>0</v>
      </c>
      <c r="AA144" s="476">
        <v>0</v>
      </c>
      <c r="AB144" s="476">
        <v>0</v>
      </c>
      <c r="AC144" s="476">
        <v>0</v>
      </c>
      <c r="AD144" s="476" t="s">
        <v>314</v>
      </c>
      <c r="AE144" s="476">
        <v>0</v>
      </c>
      <c r="AF144" s="476">
        <v>0</v>
      </c>
      <c r="AG144" s="476">
        <v>0</v>
      </c>
      <c r="AH144" s="476">
        <v>0</v>
      </c>
      <c r="AI144" s="476">
        <v>0</v>
      </c>
      <c r="AJ144" s="476">
        <v>6160</v>
      </c>
      <c r="AK144" s="476" t="s">
        <v>651</v>
      </c>
      <c r="AL144" s="476" t="s">
        <v>357</v>
      </c>
      <c r="AM144" s="476">
        <v>0</v>
      </c>
      <c r="AN144" s="476">
        <v>0</v>
      </c>
      <c r="AO144" s="476">
        <v>0</v>
      </c>
      <c r="AP144" s="476">
        <v>0</v>
      </c>
      <c r="AQ144" s="476">
        <v>0</v>
      </c>
      <c r="AR144" s="476">
        <v>0</v>
      </c>
      <c r="AS144" s="476">
        <v>0</v>
      </c>
      <c r="AT144" s="476">
        <v>0</v>
      </c>
      <c r="AU144" s="476">
        <v>0</v>
      </c>
      <c r="AV144" s="476">
        <v>0</v>
      </c>
      <c r="AW144" s="476">
        <v>8829179</v>
      </c>
      <c r="AX144" s="476">
        <v>8703565</v>
      </c>
      <c r="AY144" s="476">
        <v>0</v>
      </c>
      <c r="AZ144" s="476">
        <v>317324</v>
      </c>
      <c r="BA144" s="476">
        <v>0</v>
      </c>
      <c r="BB144" s="476">
        <v>0</v>
      </c>
      <c r="BC144" s="476">
        <v>0</v>
      </c>
      <c r="BD144" s="476">
        <v>0</v>
      </c>
      <c r="BE144" s="476">
        <v>0</v>
      </c>
      <c r="BF144" s="476">
        <v>7836919</v>
      </c>
      <c r="BG144" s="476">
        <v>0</v>
      </c>
      <c r="BH144" s="476">
        <v>0</v>
      </c>
      <c r="BI144" s="476">
        <v>0</v>
      </c>
      <c r="BJ144" s="476">
        <v>12</v>
      </c>
      <c r="BK144" s="476">
        <v>0</v>
      </c>
      <c r="BL144" s="476">
        <v>0</v>
      </c>
      <c r="BM144" s="476">
        <v>0</v>
      </c>
      <c r="BN144" s="476">
        <v>0</v>
      </c>
      <c r="BO144" s="476">
        <v>0</v>
      </c>
      <c r="BP144" s="476">
        <v>0</v>
      </c>
      <c r="BQ144" s="476">
        <v>663</v>
      </c>
      <c r="BR144" s="476">
        <v>0</v>
      </c>
      <c r="BS144" s="476">
        <v>0</v>
      </c>
      <c r="BT144" s="476">
        <v>0</v>
      </c>
      <c r="BU144" s="476">
        <v>0</v>
      </c>
      <c r="BV144" s="476">
        <v>0</v>
      </c>
      <c r="BW144" s="476">
        <v>0</v>
      </c>
      <c r="BX144" s="476">
        <v>0</v>
      </c>
      <c r="BY144" s="476">
        <v>0</v>
      </c>
      <c r="BZ144" s="476">
        <v>0</v>
      </c>
      <c r="CA144" s="476">
        <v>0</v>
      </c>
      <c r="CB144" s="476">
        <v>0</v>
      </c>
      <c r="CC144" s="476">
        <v>0</v>
      </c>
      <c r="CD144" s="476">
        <v>0</v>
      </c>
      <c r="CE144" s="476">
        <v>0</v>
      </c>
      <c r="CF144" s="476">
        <v>0</v>
      </c>
      <c r="CG144" s="476">
        <v>0</v>
      </c>
      <c r="CH144" s="476">
        <v>129091</v>
      </c>
      <c r="CI144" s="476">
        <v>0</v>
      </c>
      <c r="CJ144" s="476">
        <v>4</v>
      </c>
      <c r="CK144" s="476">
        <v>0</v>
      </c>
      <c r="CL144" s="476">
        <v>0</v>
      </c>
      <c r="CM144" s="476">
        <v>0</v>
      </c>
      <c r="CN144" s="476">
        <v>0</v>
      </c>
      <c r="CO144" s="476">
        <v>1</v>
      </c>
      <c r="CP144" s="476">
        <v>0</v>
      </c>
      <c r="CQ144" s="476">
        <v>0</v>
      </c>
      <c r="CR144" s="476">
        <v>764.64300000000003</v>
      </c>
      <c r="CS144" s="476">
        <v>0</v>
      </c>
      <c r="CT144" s="476">
        <v>0</v>
      </c>
      <c r="CU144" s="476">
        <v>0</v>
      </c>
      <c r="CV144" s="476">
        <v>0</v>
      </c>
      <c r="CW144" s="476">
        <v>0</v>
      </c>
      <c r="CX144" s="476">
        <v>0</v>
      </c>
      <c r="CY144" s="476">
        <v>0</v>
      </c>
      <c r="CZ144" s="476">
        <v>0</v>
      </c>
      <c r="DA144" s="476">
        <v>0</v>
      </c>
      <c r="DB144" s="476">
        <v>4263036</v>
      </c>
      <c r="DC144" s="476">
        <v>0</v>
      </c>
      <c r="DD144" s="476">
        <v>0</v>
      </c>
      <c r="DE144" s="476">
        <v>1023461</v>
      </c>
      <c r="DF144" s="476">
        <v>1023461</v>
      </c>
      <c r="DG144" s="476">
        <v>166.15</v>
      </c>
      <c r="DH144" s="476">
        <v>0</v>
      </c>
      <c r="DI144" s="476">
        <v>0</v>
      </c>
      <c r="DJ144" s="476">
        <v>0</v>
      </c>
      <c r="DK144" s="476">
        <v>2237</v>
      </c>
      <c r="DL144" s="476">
        <v>0</v>
      </c>
      <c r="DM144" s="476">
        <v>1011341</v>
      </c>
      <c r="DN144" s="476">
        <v>3477</v>
      </c>
      <c r="DO144" s="476">
        <v>0</v>
      </c>
      <c r="DP144" s="476">
        <v>0</v>
      </c>
      <c r="DQ144" s="476">
        <v>0</v>
      </c>
      <c r="DR144" s="476">
        <v>0</v>
      </c>
      <c r="DS144" s="476">
        <v>0</v>
      </c>
      <c r="DT144" s="476">
        <v>0</v>
      </c>
      <c r="DU144" s="476">
        <v>0</v>
      </c>
      <c r="DV144" s="476">
        <v>0</v>
      </c>
      <c r="DW144" s="476">
        <v>0</v>
      </c>
      <c r="DX144" s="476">
        <v>0</v>
      </c>
      <c r="DY144" s="476">
        <v>0</v>
      </c>
      <c r="DZ144" s="476">
        <v>0</v>
      </c>
      <c r="EA144" s="476">
        <v>0</v>
      </c>
      <c r="EB144" s="476">
        <v>0</v>
      </c>
      <c r="EC144" s="476">
        <v>82.66</v>
      </c>
      <c r="ED144" s="476">
        <v>585550</v>
      </c>
      <c r="EE144" s="476">
        <v>0</v>
      </c>
      <c r="EF144" s="476">
        <v>0</v>
      </c>
      <c r="EG144" s="476">
        <v>0</v>
      </c>
      <c r="EH144" s="476">
        <v>429268</v>
      </c>
      <c r="EI144" s="476">
        <v>0</v>
      </c>
      <c r="EJ144" s="476">
        <v>0</v>
      </c>
      <c r="EK144" s="476">
        <v>18.358000000000001</v>
      </c>
      <c r="EL144" s="476">
        <v>2.8000000000000001E-2</v>
      </c>
      <c r="EM144" s="476">
        <v>0.70800000000000007</v>
      </c>
      <c r="EN144" s="476">
        <v>2.4980000000000002</v>
      </c>
      <c r="EO144" s="476">
        <v>0</v>
      </c>
      <c r="EP144" s="476">
        <v>0</v>
      </c>
      <c r="EQ144" s="476">
        <v>21.564</v>
      </c>
      <c r="ER144" s="476">
        <v>0</v>
      </c>
      <c r="ES144" s="476">
        <v>69.688000000000002</v>
      </c>
      <c r="ET144" s="476">
        <v>0</v>
      </c>
      <c r="EU144" s="476">
        <v>0</v>
      </c>
      <c r="EV144" s="476">
        <v>0</v>
      </c>
      <c r="EW144" s="476">
        <v>0</v>
      </c>
      <c r="EX144" s="476">
        <v>0</v>
      </c>
      <c r="EY144" s="476">
        <v>0</v>
      </c>
      <c r="EZ144" s="476">
        <v>7522683</v>
      </c>
      <c r="FA144" s="476">
        <v>0</v>
      </c>
      <c r="FB144" s="476">
        <v>7836530</v>
      </c>
      <c r="FC144" s="476">
        <v>0</v>
      </c>
      <c r="FD144" s="476">
        <v>0</v>
      </c>
      <c r="FE144" s="476">
        <v>1011889</v>
      </c>
      <c r="FF144" s="476">
        <v>168993</v>
      </c>
      <c r="FG144" s="476">
        <v>6.3017999999999991E-2</v>
      </c>
      <c r="FH144" s="476">
        <v>2.6953999999999999E-2</v>
      </c>
      <c r="FI144" s="476">
        <v>0</v>
      </c>
      <c r="FJ144" s="476">
        <v>0</v>
      </c>
      <c r="FK144" s="476">
        <v>1272.2560000000001</v>
      </c>
      <c r="FL144" s="476">
        <v>9146503</v>
      </c>
      <c r="FM144" s="476">
        <v>0</v>
      </c>
      <c r="FN144" s="476">
        <v>0</v>
      </c>
      <c r="FO144" s="476">
        <v>0</v>
      </c>
      <c r="FP144" s="476">
        <v>0</v>
      </c>
      <c r="FQ144" s="476">
        <v>0</v>
      </c>
      <c r="FR144" s="476">
        <v>0</v>
      </c>
      <c r="FS144" s="476">
        <v>0</v>
      </c>
      <c r="FT144" s="476">
        <v>0</v>
      </c>
      <c r="FU144" s="476">
        <v>0</v>
      </c>
      <c r="FV144" s="476">
        <v>0</v>
      </c>
      <c r="FW144" s="476">
        <v>0</v>
      </c>
      <c r="FX144" s="476">
        <v>0</v>
      </c>
      <c r="FY144" s="476">
        <v>0</v>
      </c>
      <c r="FZ144" s="476">
        <v>0</v>
      </c>
      <c r="GA144" s="476">
        <v>0</v>
      </c>
      <c r="GB144" s="476">
        <v>495436</v>
      </c>
      <c r="GC144" s="476">
        <v>495436</v>
      </c>
      <c r="GD144" s="476">
        <v>51.012</v>
      </c>
      <c r="GE144" s="476">
        <v>0</v>
      </c>
      <c r="GF144" s="476">
        <v>0</v>
      </c>
      <c r="GG144" s="476">
        <v>0</v>
      </c>
      <c r="GH144" s="476">
        <v>0</v>
      </c>
      <c r="GI144" s="476">
        <v>0</v>
      </c>
      <c r="GJ144" s="476">
        <v>0</v>
      </c>
      <c r="GK144" s="476">
        <v>0</v>
      </c>
      <c r="GL144" s="476">
        <v>0</v>
      </c>
      <c r="GM144" s="476">
        <v>0</v>
      </c>
      <c r="GN144" s="476">
        <v>0</v>
      </c>
      <c r="GO144" s="476">
        <v>0</v>
      </c>
      <c r="GP144" s="476">
        <v>0</v>
      </c>
      <c r="GQ144" s="476">
        <v>8700088</v>
      </c>
      <c r="GR144" s="476">
        <v>0</v>
      </c>
      <c r="GS144" s="476">
        <v>0</v>
      </c>
      <c r="GT144" s="476">
        <v>0</v>
      </c>
      <c r="GU144" s="476">
        <v>0</v>
      </c>
      <c r="GV144" s="476">
        <v>0</v>
      </c>
      <c r="GW144" s="476">
        <v>0</v>
      </c>
      <c r="GX144" s="476">
        <v>0</v>
      </c>
      <c r="GY144" s="476">
        <v>0</v>
      </c>
      <c r="GZ144" s="476">
        <v>0</v>
      </c>
      <c r="HA144" s="476">
        <v>0</v>
      </c>
      <c r="HB144" s="476">
        <v>323396213</v>
      </c>
      <c r="HC144" s="476">
        <v>4.2206E-2</v>
      </c>
      <c r="HD144" s="476">
        <v>129091</v>
      </c>
      <c r="HE144" s="476">
        <v>0</v>
      </c>
      <c r="HF144" s="476">
        <v>762658</v>
      </c>
      <c r="HG144" s="476">
        <v>37575</v>
      </c>
      <c r="HH144" s="476">
        <v>138955</v>
      </c>
      <c r="HI144" s="476">
        <v>0</v>
      </c>
      <c r="HJ144" s="476">
        <v>7646</v>
      </c>
      <c r="HK144" s="476">
        <v>2239</v>
      </c>
      <c r="HL144" s="476">
        <v>849</v>
      </c>
      <c r="HM144" s="476">
        <v>51000</v>
      </c>
      <c r="HN144" s="476">
        <v>0</v>
      </c>
      <c r="HO144" s="476">
        <v>0</v>
      </c>
      <c r="HP144" s="476">
        <v>0</v>
      </c>
      <c r="HQ144" s="476">
        <v>0</v>
      </c>
      <c r="HR144" s="476">
        <v>0</v>
      </c>
      <c r="HS144" s="476">
        <v>7519206</v>
      </c>
      <c r="HT144" s="476">
        <v>168993</v>
      </c>
      <c r="HU144" s="476">
        <v>0</v>
      </c>
      <c r="HV144" s="476">
        <v>0</v>
      </c>
      <c r="HW144" s="476">
        <v>0</v>
      </c>
      <c r="HX144" s="476">
        <v>38</v>
      </c>
      <c r="HY144" s="476">
        <v>31</v>
      </c>
      <c r="HZ144" s="476">
        <v>72</v>
      </c>
      <c r="IA144" s="476">
        <v>179</v>
      </c>
      <c r="IB144" s="476">
        <v>310</v>
      </c>
      <c r="IC144" s="476">
        <v>630</v>
      </c>
      <c r="ID144" s="476">
        <v>0</v>
      </c>
      <c r="IE144" s="476">
        <v>0</v>
      </c>
      <c r="IF144" s="476">
        <v>0</v>
      </c>
      <c r="IG144" s="476">
        <v>61</v>
      </c>
      <c r="IH144" s="476">
        <v>225.58200000000002</v>
      </c>
      <c r="II144" s="476">
        <v>0</v>
      </c>
      <c r="IJ144" s="476">
        <v>68.725000000000009</v>
      </c>
      <c r="IK144" s="476">
        <v>0</v>
      </c>
      <c r="IL144" s="476">
        <v>9</v>
      </c>
      <c r="IM144" s="476">
        <v>2</v>
      </c>
      <c r="IN144" s="476">
        <v>0</v>
      </c>
      <c r="IO144" s="476">
        <v>11</v>
      </c>
      <c r="IP144" s="476">
        <v>0</v>
      </c>
      <c r="IQ144" s="476">
        <v>68.725000000000009</v>
      </c>
      <c r="IR144" s="476">
        <v>42334</v>
      </c>
      <c r="IS144" s="476">
        <v>0</v>
      </c>
      <c r="IT144" s="476">
        <v>45000</v>
      </c>
      <c r="IU144" s="476">
        <v>6000</v>
      </c>
      <c r="IV144" s="476">
        <v>0</v>
      </c>
      <c r="IW144" s="476">
        <v>6160</v>
      </c>
      <c r="IX144" s="476">
        <v>0</v>
      </c>
      <c r="IY144" s="476">
        <v>0</v>
      </c>
      <c r="IZ144" s="476">
        <v>0</v>
      </c>
      <c r="JA144" s="476">
        <v>0</v>
      </c>
      <c r="JB144" s="476">
        <v>0</v>
      </c>
      <c r="JC144" s="476">
        <v>0</v>
      </c>
      <c r="JD144" s="476">
        <v>0</v>
      </c>
      <c r="JE144" s="476">
        <v>0</v>
      </c>
      <c r="JF144" s="476">
        <v>0</v>
      </c>
      <c r="JG144" s="476">
        <v>0</v>
      </c>
      <c r="JH144" s="476">
        <v>0</v>
      </c>
      <c r="JI144" s="476">
        <v>0</v>
      </c>
      <c r="JJ144" s="476">
        <v>0</v>
      </c>
      <c r="JK144" s="476">
        <v>0</v>
      </c>
      <c r="JL144" s="476">
        <v>0</v>
      </c>
      <c r="JM144" s="476">
        <v>0</v>
      </c>
      <c r="JN144" s="476">
        <v>32469</v>
      </c>
      <c r="JO144" s="476">
        <v>0.317</v>
      </c>
      <c r="JP144" s="476">
        <v>34.984999999999999</v>
      </c>
      <c r="JQ144" s="476">
        <v>15.71</v>
      </c>
      <c r="JR144" s="476">
        <v>2532</v>
      </c>
      <c r="JS144" s="476">
        <v>325198</v>
      </c>
      <c r="JT144" s="476">
        <v>167706</v>
      </c>
      <c r="JU144" s="476">
        <v>0</v>
      </c>
      <c r="JV144" s="476">
        <v>0</v>
      </c>
      <c r="JW144" s="476">
        <v>0</v>
      </c>
      <c r="JX144" s="476">
        <v>0</v>
      </c>
      <c r="JY144" s="476">
        <v>0</v>
      </c>
      <c r="JZ144" s="476">
        <v>0</v>
      </c>
      <c r="KA144" s="476">
        <v>0</v>
      </c>
      <c r="KB144" s="476">
        <v>0</v>
      </c>
      <c r="KC144" s="476">
        <v>0</v>
      </c>
      <c r="KD144" s="476">
        <v>0</v>
      </c>
      <c r="KE144" s="476">
        <v>7262</v>
      </c>
      <c r="KF144" s="476">
        <v>0</v>
      </c>
      <c r="KG144" s="476">
        <v>0</v>
      </c>
      <c r="KH144" s="476">
        <v>8700088</v>
      </c>
      <c r="KI144" s="476">
        <v>0</v>
      </c>
      <c r="KJ144" s="476">
        <v>44</v>
      </c>
      <c r="KK144" s="476">
        <v>17</v>
      </c>
      <c r="KL144" s="476">
        <v>27103</v>
      </c>
      <c r="KM144" s="476">
        <v>10472</v>
      </c>
      <c r="KN144" s="476">
        <v>0</v>
      </c>
    </row>
    <row r="145" spans="1:300" x14ac:dyDescent="0.25">
      <c r="A145" s="476">
        <v>40976</v>
      </c>
      <c r="B145" s="476">
        <v>161807</v>
      </c>
      <c r="C145" s="476">
        <v>9</v>
      </c>
      <c r="D145" s="476">
        <v>2024</v>
      </c>
      <c r="E145" s="476">
        <v>6160</v>
      </c>
      <c r="F145" s="476">
        <v>0</v>
      </c>
      <c r="G145" s="476">
        <v>9387.8130000000001</v>
      </c>
      <c r="H145" s="476">
        <v>8395.0259999999998</v>
      </c>
      <c r="I145" s="476">
        <v>8395.0259999999998</v>
      </c>
      <c r="J145" s="476">
        <v>9387.8130000000001</v>
      </c>
      <c r="K145" s="476">
        <v>0</v>
      </c>
      <c r="L145" s="476">
        <v>6160</v>
      </c>
      <c r="M145" s="476">
        <v>0</v>
      </c>
      <c r="N145" s="476">
        <v>0</v>
      </c>
      <c r="O145" s="476">
        <v>0</v>
      </c>
      <c r="P145" s="476">
        <v>9409.973</v>
      </c>
      <c r="Q145" s="476">
        <v>0</v>
      </c>
      <c r="R145" s="476">
        <v>3904047</v>
      </c>
      <c r="S145" s="476">
        <v>414.88400000000001</v>
      </c>
      <c r="T145" s="476">
        <v>0</v>
      </c>
      <c r="U145" s="476">
        <v>0</v>
      </c>
      <c r="V145" s="476">
        <v>2855.4870000000001</v>
      </c>
      <c r="W145" s="476">
        <v>1758940</v>
      </c>
      <c r="X145" s="476">
        <v>1758940</v>
      </c>
      <c r="Y145" s="476">
        <v>0</v>
      </c>
      <c r="Z145" s="476">
        <v>0</v>
      </c>
      <c r="AA145" s="476">
        <v>0</v>
      </c>
      <c r="AB145" s="476">
        <v>0</v>
      </c>
      <c r="AC145" s="476">
        <v>0</v>
      </c>
      <c r="AD145" s="476" t="s">
        <v>314</v>
      </c>
      <c r="AE145" s="476">
        <v>0</v>
      </c>
      <c r="AF145" s="476">
        <v>0</v>
      </c>
      <c r="AG145" s="476">
        <v>0</v>
      </c>
      <c r="AH145" s="476">
        <v>0</v>
      </c>
      <c r="AI145" s="476">
        <v>0</v>
      </c>
      <c r="AJ145" s="476">
        <v>6160</v>
      </c>
      <c r="AK145" s="476" t="s">
        <v>651</v>
      </c>
      <c r="AL145" s="476" t="s">
        <v>759</v>
      </c>
      <c r="AM145" s="476">
        <v>0</v>
      </c>
      <c r="AN145" s="476">
        <v>0</v>
      </c>
      <c r="AO145" s="476">
        <v>0</v>
      </c>
      <c r="AP145" s="476">
        <v>0</v>
      </c>
      <c r="AQ145" s="476">
        <v>0</v>
      </c>
      <c r="AR145" s="476">
        <v>0</v>
      </c>
      <c r="AS145" s="476">
        <v>0</v>
      </c>
      <c r="AT145" s="476">
        <v>0</v>
      </c>
      <c r="AU145" s="476">
        <v>0</v>
      </c>
      <c r="AV145" s="476">
        <v>0</v>
      </c>
      <c r="AW145" s="476">
        <v>104207678</v>
      </c>
      <c r="AX145" s="476">
        <v>102652582</v>
      </c>
      <c r="AY145" s="476">
        <v>0</v>
      </c>
      <c r="AZ145" s="476">
        <v>3904047</v>
      </c>
      <c r="BA145" s="476">
        <v>159.667</v>
      </c>
      <c r="BB145" s="476">
        <v>199909</v>
      </c>
      <c r="BC145" s="476">
        <v>198635</v>
      </c>
      <c r="BD145" s="476">
        <v>469</v>
      </c>
      <c r="BE145" s="476">
        <v>1274</v>
      </c>
      <c r="BF145" s="476">
        <v>92562990</v>
      </c>
      <c r="BG145" s="476">
        <v>0</v>
      </c>
      <c r="BH145" s="476">
        <v>0</v>
      </c>
      <c r="BI145" s="476">
        <v>0</v>
      </c>
      <c r="BJ145" s="476">
        <v>12</v>
      </c>
      <c r="BK145" s="476">
        <v>0</v>
      </c>
      <c r="BL145" s="476">
        <v>0</v>
      </c>
      <c r="BM145" s="476">
        <v>0</v>
      </c>
      <c r="BN145" s="476">
        <v>0</v>
      </c>
      <c r="BO145" s="476">
        <v>0</v>
      </c>
      <c r="BP145" s="476">
        <v>0</v>
      </c>
      <c r="BQ145" s="476">
        <v>0</v>
      </c>
      <c r="BR145" s="476">
        <v>0</v>
      </c>
      <c r="BS145" s="476">
        <v>0</v>
      </c>
      <c r="BT145" s="476">
        <v>0</v>
      </c>
      <c r="BU145" s="476">
        <v>0</v>
      </c>
      <c r="BV145" s="476">
        <v>0</v>
      </c>
      <c r="BW145" s="476">
        <v>0</v>
      </c>
      <c r="BX145" s="476">
        <v>0</v>
      </c>
      <c r="BY145" s="476">
        <v>0</v>
      </c>
      <c r="BZ145" s="476">
        <v>0</v>
      </c>
      <c r="CA145" s="476">
        <v>0</v>
      </c>
      <c r="CB145" s="476">
        <v>0</v>
      </c>
      <c r="CC145" s="476">
        <v>0</v>
      </c>
      <c r="CD145" s="476">
        <v>0</v>
      </c>
      <c r="CE145" s="476">
        <v>0</v>
      </c>
      <c r="CF145" s="476">
        <v>0</v>
      </c>
      <c r="CG145" s="476">
        <v>0</v>
      </c>
      <c r="CH145" s="476">
        <v>1584900</v>
      </c>
      <c r="CI145" s="476">
        <v>0</v>
      </c>
      <c r="CJ145" s="476">
        <v>4</v>
      </c>
      <c r="CK145" s="476">
        <v>0</v>
      </c>
      <c r="CL145" s="476">
        <v>0</v>
      </c>
      <c r="CM145" s="476">
        <v>0</v>
      </c>
      <c r="CN145" s="476">
        <v>0</v>
      </c>
      <c r="CO145" s="476">
        <v>1</v>
      </c>
      <c r="CP145" s="476">
        <v>0</v>
      </c>
      <c r="CQ145" s="476">
        <v>0</v>
      </c>
      <c r="CR145" s="476">
        <v>9387.8130000000001</v>
      </c>
      <c r="CS145" s="476">
        <v>0</v>
      </c>
      <c r="CT145" s="476">
        <v>0</v>
      </c>
      <c r="CU145" s="476">
        <v>0</v>
      </c>
      <c r="CV145" s="476">
        <v>0</v>
      </c>
      <c r="CW145" s="476">
        <v>0</v>
      </c>
      <c r="CX145" s="476">
        <v>0</v>
      </c>
      <c r="CY145" s="476">
        <v>0</v>
      </c>
      <c r="CZ145" s="476">
        <v>0</v>
      </c>
      <c r="DA145" s="476">
        <v>0</v>
      </c>
      <c r="DB145" s="476">
        <v>51712186</v>
      </c>
      <c r="DC145" s="476">
        <v>0</v>
      </c>
      <c r="DD145" s="476">
        <v>0</v>
      </c>
      <c r="DE145" s="476">
        <v>10684354</v>
      </c>
      <c r="DF145" s="476">
        <v>10684354</v>
      </c>
      <c r="DG145" s="476">
        <v>1734.5130000000001</v>
      </c>
      <c r="DH145" s="476">
        <v>0</v>
      </c>
      <c r="DI145" s="476">
        <v>0</v>
      </c>
      <c r="DJ145" s="476">
        <v>0</v>
      </c>
      <c r="DK145" s="476">
        <v>0</v>
      </c>
      <c r="DL145" s="476">
        <v>0</v>
      </c>
      <c r="DM145" s="476">
        <v>8298431</v>
      </c>
      <c r="DN145" s="476">
        <v>28530</v>
      </c>
      <c r="DO145" s="476">
        <v>0</v>
      </c>
      <c r="DP145" s="476">
        <v>0</v>
      </c>
      <c r="DQ145" s="476">
        <v>0</v>
      </c>
      <c r="DR145" s="476">
        <v>0</v>
      </c>
      <c r="DS145" s="476">
        <v>0</v>
      </c>
      <c r="DT145" s="476">
        <v>0</v>
      </c>
      <c r="DU145" s="476">
        <v>0</v>
      </c>
      <c r="DV145" s="476">
        <v>0</v>
      </c>
      <c r="DW145" s="476">
        <v>0</v>
      </c>
      <c r="DX145" s="476">
        <v>0</v>
      </c>
      <c r="DY145" s="476">
        <v>0</v>
      </c>
      <c r="DZ145" s="476">
        <v>0</v>
      </c>
      <c r="EA145" s="476">
        <v>0.13800000000000001</v>
      </c>
      <c r="EB145" s="476">
        <v>0</v>
      </c>
      <c r="EC145" s="476">
        <v>190.941</v>
      </c>
      <c r="ED145" s="476">
        <v>1352595</v>
      </c>
      <c r="EE145" s="476">
        <v>0</v>
      </c>
      <c r="EF145" s="476">
        <v>0</v>
      </c>
      <c r="EG145" s="476">
        <v>0</v>
      </c>
      <c r="EH145" s="476">
        <v>6974366</v>
      </c>
      <c r="EI145" s="476">
        <v>0</v>
      </c>
      <c r="EJ145" s="476">
        <v>0</v>
      </c>
      <c r="EK145" s="476">
        <v>298.11700000000002</v>
      </c>
      <c r="EL145" s="476">
        <v>0</v>
      </c>
      <c r="EM145" s="476">
        <v>44.559000000000005</v>
      </c>
      <c r="EN145" s="476">
        <v>20.702000000000002</v>
      </c>
      <c r="EO145" s="476">
        <v>0</v>
      </c>
      <c r="EP145" s="476">
        <v>0</v>
      </c>
      <c r="EQ145" s="476">
        <v>363.51600000000002</v>
      </c>
      <c r="ER145" s="476">
        <v>0</v>
      </c>
      <c r="ES145" s="476">
        <v>1132.2280000000001</v>
      </c>
      <c r="ET145" s="476">
        <v>0</v>
      </c>
      <c r="EU145" s="476">
        <v>0</v>
      </c>
      <c r="EV145" s="476">
        <v>0</v>
      </c>
      <c r="EW145" s="476">
        <v>0</v>
      </c>
      <c r="EX145" s="476">
        <v>0</v>
      </c>
      <c r="EY145" s="476">
        <v>0</v>
      </c>
      <c r="EZ145" s="476">
        <v>88705013</v>
      </c>
      <c r="FA145" s="476">
        <v>0</v>
      </c>
      <c r="FB145" s="476">
        <v>92579256</v>
      </c>
      <c r="FC145" s="476">
        <v>0</v>
      </c>
      <c r="FD145" s="476">
        <v>0</v>
      </c>
      <c r="FE145" s="476">
        <v>11951569</v>
      </c>
      <c r="FF145" s="476">
        <v>1996000</v>
      </c>
      <c r="FG145" s="476">
        <v>6.3017999999999991E-2</v>
      </c>
      <c r="FH145" s="476">
        <v>2.6953999999999999E-2</v>
      </c>
      <c r="FI145" s="476">
        <v>0</v>
      </c>
      <c r="FJ145" s="476">
        <v>0</v>
      </c>
      <c r="FK145" s="476">
        <v>15026.800999999999</v>
      </c>
      <c r="FL145" s="476">
        <v>108111725</v>
      </c>
      <c r="FM145" s="476">
        <v>0</v>
      </c>
      <c r="FN145" s="476">
        <v>0</v>
      </c>
      <c r="FO145" s="476">
        <v>0</v>
      </c>
      <c r="FP145" s="476">
        <v>0</v>
      </c>
      <c r="FQ145" s="476">
        <v>0</v>
      </c>
      <c r="FR145" s="476">
        <v>0</v>
      </c>
      <c r="FS145" s="476">
        <v>0</v>
      </c>
      <c r="FT145" s="476">
        <v>0</v>
      </c>
      <c r="FU145" s="476">
        <v>0</v>
      </c>
      <c r="FV145" s="476">
        <v>0</v>
      </c>
      <c r="FW145" s="476">
        <v>0</v>
      </c>
      <c r="FX145" s="476">
        <v>0</v>
      </c>
      <c r="FY145" s="476">
        <v>0</v>
      </c>
      <c r="FZ145" s="476">
        <v>0</v>
      </c>
      <c r="GA145" s="476">
        <v>0</v>
      </c>
      <c r="GB145" s="476">
        <v>6064928</v>
      </c>
      <c r="GC145" s="476">
        <v>6064928</v>
      </c>
      <c r="GD145" s="476">
        <v>629.27100000000007</v>
      </c>
      <c r="GE145" s="476">
        <v>0</v>
      </c>
      <c r="GF145" s="476">
        <v>0</v>
      </c>
      <c r="GG145" s="476">
        <v>0</v>
      </c>
      <c r="GH145" s="476">
        <v>0</v>
      </c>
      <c r="GI145" s="476">
        <v>0</v>
      </c>
      <c r="GJ145" s="476">
        <v>0</v>
      </c>
      <c r="GK145" s="476">
        <v>0</v>
      </c>
      <c r="GL145" s="476">
        <v>0</v>
      </c>
      <c r="GM145" s="476">
        <v>0</v>
      </c>
      <c r="GN145" s="476">
        <v>0</v>
      </c>
      <c r="GO145" s="476">
        <v>0</v>
      </c>
      <c r="GP145" s="476">
        <v>0</v>
      </c>
      <c r="GQ145" s="476">
        <v>102622778</v>
      </c>
      <c r="GR145" s="476">
        <v>0</v>
      </c>
      <c r="GS145" s="476">
        <v>0</v>
      </c>
      <c r="GT145" s="476">
        <v>0</v>
      </c>
      <c r="GU145" s="476">
        <v>0</v>
      </c>
      <c r="GV145" s="476">
        <v>0</v>
      </c>
      <c r="GW145" s="476">
        <v>0</v>
      </c>
      <c r="GX145" s="476">
        <v>0</v>
      </c>
      <c r="GY145" s="476">
        <v>0</v>
      </c>
      <c r="GZ145" s="476">
        <v>0</v>
      </c>
      <c r="HA145" s="476">
        <v>0</v>
      </c>
      <c r="HB145" s="476">
        <v>323396213</v>
      </c>
      <c r="HC145" s="476">
        <v>4.2206E-2</v>
      </c>
      <c r="HD145" s="476">
        <v>1584900</v>
      </c>
      <c r="HE145" s="476">
        <v>0</v>
      </c>
      <c r="HF145" s="476">
        <v>9251319</v>
      </c>
      <c r="HG145" s="476">
        <v>159540</v>
      </c>
      <c r="HH145" s="476">
        <v>1738254</v>
      </c>
      <c r="HI145" s="476">
        <v>0</v>
      </c>
      <c r="HJ145" s="476">
        <v>93878</v>
      </c>
      <c r="HK145" s="476">
        <v>29572</v>
      </c>
      <c r="HL145" s="476">
        <v>16498</v>
      </c>
      <c r="HM145" s="476">
        <v>704000</v>
      </c>
      <c r="HN145" s="476">
        <v>1868721</v>
      </c>
      <c r="HO145" s="476">
        <v>0</v>
      </c>
      <c r="HP145" s="476">
        <v>0</v>
      </c>
      <c r="HQ145" s="476">
        <v>0</v>
      </c>
      <c r="HR145" s="476">
        <v>0</v>
      </c>
      <c r="HS145" s="476">
        <v>88675209</v>
      </c>
      <c r="HT145" s="476">
        <v>1996000</v>
      </c>
      <c r="HU145" s="476">
        <v>0</v>
      </c>
      <c r="HV145" s="476">
        <v>0</v>
      </c>
      <c r="HW145" s="476">
        <v>0</v>
      </c>
      <c r="HX145" s="476">
        <v>1361</v>
      </c>
      <c r="HY145" s="476">
        <v>1353</v>
      </c>
      <c r="HZ145" s="476">
        <v>1419</v>
      </c>
      <c r="IA145" s="476">
        <v>1622</v>
      </c>
      <c r="IB145" s="476">
        <v>1187</v>
      </c>
      <c r="IC145" s="476">
        <v>6942</v>
      </c>
      <c r="ID145" s="476">
        <v>0</v>
      </c>
      <c r="IE145" s="476">
        <v>0</v>
      </c>
      <c r="IF145" s="476">
        <v>0</v>
      </c>
      <c r="IG145" s="476">
        <v>259</v>
      </c>
      <c r="IH145" s="476">
        <v>2821.9050000000002</v>
      </c>
      <c r="II145" s="476">
        <v>0</v>
      </c>
      <c r="IJ145" s="476">
        <v>2855.4870000000001</v>
      </c>
      <c r="IK145" s="476">
        <v>0</v>
      </c>
      <c r="IL145" s="476">
        <v>95</v>
      </c>
      <c r="IM145" s="476">
        <v>71</v>
      </c>
      <c r="IN145" s="476">
        <v>8</v>
      </c>
      <c r="IO145" s="476">
        <v>174</v>
      </c>
      <c r="IP145" s="476">
        <v>0</v>
      </c>
      <c r="IQ145" s="476">
        <v>2855.4870000000001</v>
      </c>
      <c r="IR145" s="476">
        <v>1758940</v>
      </c>
      <c r="IS145" s="476">
        <v>0</v>
      </c>
      <c r="IT145" s="476">
        <v>475000</v>
      </c>
      <c r="IU145" s="476">
        <v>213000</v>
      </c>
      <c r="IV145" s="476">
        <v>16000</v>
      </c>
      <c r="IW145" s="476">
        <v>6160</v>
      </c>
      <c r="IX145" s="476">
        <v>0</v>
      </c>
      <c r="IY145" s="476">
        <v>0</v>
      </c>
      <c r="IZ145" s="476">
        <v>0</v>
      </c>
      <c r="JA145" s="476">
        <v>0</v>
      </c>
      <c r="JB145" s="476">
        <v>35</v>
      </c>
      <c r="JC145" s="476">
        <v>683584</v>
      </c>
      <c r="JD145" s="476">
        <v>78</v>
      </c>
      <c r="JE145" s="476">
        <v>772899</v>
      </c>
      <c r="JF145" s="476">
        <v>73</v>
      </c>
      <c r="JG145" s="476">
        <v>376738</v>
      </c>
      <c r="JH145" s="476">
        <v>35500</v>
      </c>
      <c r="JI145" s="476">
        <v>0</v>
      </c>
      <c r="JJ145" s="476">
        <v>0</v>
      </c>
      <c r="JK145" s="476">
        <v>0</v>
      </c>
      <c r="JL145" s="476">
        <v>0</v>
      </c>
      <c r="JM145" s="476">
        <v>0</v>
      </c>
      <c r="JN145" s="476">
        <v>32469</v>
      </c>
      <c r="JO145" s="476">
        <v>83.343000000000004</v>
      </c>
      <c r="JP145" s="476">
        <v>310.69499999999999</v>
      </c>
      <c r="JQ145" s="476">
        <v>235.233</v>
      </c>
      <c r="JR145" s="476">
        <v>665761</v>
      </c>
      <c r="JS145" s="476">
        <v>2888022</v>
      </c>
      <c r="JT145" s="476">
        <v>2511145</v>
      </c>
      <c r="JU145" s="476">
        <v>202228</v>
      </c>
      <c r="JV145" s="476">
        <v>0</v>
      </c>
      <c r="JW145" s="476">
        <v>0</v>
      </c>
      <c r="JX145" s="476">
        <v>0</v>
      </c>
      <c r="JY145" s="476">
        <v>0</v>
      </c>
      <c r="JZ145" s="476">
        <v>0</v>
      </c>
      <c r="KA145" s="476">
        <v>0</v>
      </c>
      <c r="KB145" s="476">
        <v>0</v>
      </c>
      <c r="KC145" s="476">
        <v>0</v>
      </c>
      <c r="KD145" s="476">
        <v>202228</v>
      </c>
      <c r="KE145" s="476">
        <v>7262</v>
      </c>
      <c r="KF145" s="476">
        <v>0</v>
      </c>
      <c r="KG145" s="476">
        <v>0</v>
      </c>
      <c r="KH145" s="476">
        <v>102622778</v>
      </c>
      <c r="KI145" s="476">
        <v>0</v>
      </c>
      <c r="KJ145" s="476">
        <v>172</v>
      </c>
      <c r="KK145" s="476">
        <v>87</v>
      </c>
      <c r="KL145" s="476">
        <v>105950</v>
      </c>
      <c r="KM145" s="476">
        <v>53591</v>
      </c>
      <c r="KN145" s="476">
        <v>0</v>
      </c>
    </row>
    <row r="146" spans="1:300" x14ac:dyDescent="0.25">
      <c r="A146" s="476">
        <v>40976</v>
      </c>
      <c r="B146" s="476">
        <v>165802</v>
      </c>
      <c r="C146" s="476">
        <v>9</v>
      </c>
      <c r="D146" s="476">
        <v>2024</v>
      </c>
      <c r="E146" s="476">
        <v>6160</v>
      </c>
      <c r="F146" s="476">
        <v>0</v>
      </c>
      <c r="G146" s="476">
        <v>371.053</v>
      </c>
      <c r="H146" s="476">
        <v>364.47800000000001</v>
      </c>
      <c r="I146" s="476">
        <v>364.47800000000001</v>
      </c>
      <c r="J146" s="476">
        <v>371.053</v>
      </c>
      <c r="K146" s="476">
        <v>0</v>
      </c>
      <c r="L146" s="476">
        <v>6160</v>
      </c>
      <c r="M146" s="476">
        <v>0</v>
      </c>
      <c r="N146" s="476">
        <v>0</v>
      </c>
      <c r="O146" s="476">
        <v>0</v>
      </c>
      <c r="P146" s="476">
        <v>370.99</v>
      </c>
      <c r="Q146" s="476">
        <v>0</v>
      </c>
      <c r="R146" s="476">
        <v>153918</v>
      </c>
      <c r="S146" s="476">
        <v>414.88400000000001</v>
      </c>
      <c r="T146" s="476">
        <v>0</v>
      </c>
      <c r="U146" s="476">
        <v>0</v>
      </c>
      <c r="V146" s="476">
        <v>15.522</v>
      </c>
      <c r="W146" s="476">
        <v>9561</v>
      </c>
      <c r="X146" s="476">
        <v>9561</v>
      </c>
      <c r="Y146" s="476">
        <v>0</v>
      </c>
      <c r="Z146" s="476">
        <v>0</v>
      </c>
      <c r="AA146" s="476">
        <v>0</v>
      </c>
      <c r="AB146" s="476">
        <v>0</v>
      </c>
      <c r="AC146" s="476">
        <v>0</v>
      </c>
      <c r="AD146" s="476" t="s">
        <v>314</v>
      </c>
      <c r="AE146" s="476">
        <v>0</v>
      </c>
      <c r="AF146" s="476">
        <v>0</v>
      </c>
      <c r="AG146" s="476">
        <v>0</v>
      </c>
      <c r="AH146" s="476">
        <v>0</v>
      </c>
      <c r="AI146" s="476">
        <v>0</v>
      </c>
      <c r="AJ146" s="476">
        <v>6160</v>
      </c>
      <c r="AK146" s="476" t="s">
        <v>651</v>
      </c>
      <c r="AL146" s="476" t="s">
        <v>90</v>
      </c>
      <c r="AM146" s="476">
        <v>0</v>
      </c>
      <c r="AN146" s="476">
        <v>0</v>
      </c>
      <c r="AO146" s="476">
        <v>0</v>
      </c>
      <c r="AP146" s="476">
        <v>0</v>
      </c>
      <c r="AQ146" s="476">
        <v>0</v>
      </c>
      <c r="AR146" s="476">
        <v>0</v>
      </c>
      <c r="AS146" s="476">
        <v>0</v>
      </c>
      <c r="AT146" s="476">
        <v>0</v>
      </c>
      <c r="AU146" s="476">
        <v>0</v>
      </c>
      <c r="AV146" s="476">
        <v>0</v>
      </c>
      <c r="AW146" s="476">
        <v>3494138</v>
      </c>
      <c r="AX146" s="476">
        <v>3431972</v>
      </c>
      <c r="AY146" s="476">
        <v>0</v>
      </c>
      <c r="AZ146" s="476">
        <v>153918</v>
      </c>
      <c r="BA146" s="476">
        <v>13.417</v>
      </c>
      <c r="BB146" s="476">
        <v>7908</v>
      </c>
      <c r="BC146" s="476">
        <v>7858</v>
      </c>
      <c r="BD146" s="476">
        <v>18.553000000000001</v>
      </c>
      <c r="BE146" s="476">
        <v>50</v>
      </c>
      <c r="BF146" s="476">
        <v>3116318</v>
      </c>
      <c r="BG146" s="476">
        <v>0</v>
      </c>
      <c r="BH146" s="476">
        <v>0</v>
      </c>
      <c r="BI146" s="476">
        <v>0</v>
      </c>
      <c r="BJ146" s="476">
        <v>12</v>
      </c>
      <c r="BK146" s="476">
        <v>0</v>
      </c>
      <c r="BL146" s="476">
        <v>0</v>
      </c>
      <c r="BM146" s="476">
        <v>0</v>
      </c>
      <c r="BN146" s="476">
        <v>0</v>
      </c>
      <c r="BO146" s="476">
        <v>0</v>
      </c>
      <c r="BP146" s="476">
        <v>0</v>
      </c>
      <c r="BQ146" s="476">
        <v>714</v>
      </c>
      <c r="BR146" s="476">
        <v>0</v>
      </c>
      <c r="BS146" s="476">
        <v>0</v>
      </c>
      <c r="BT146" s="476">
        <v>0</v>
      </c>
      <c r="BU146" s="476">
        <v>0</v>
      </c>
      <c r="BV146" s="476">
        <v>0</v>
      </c>
      <c r="BW146" s="476">
        <v>0</v>
      </c>
      <c r="BX146" s="476">
        <v>0</v>
      </c>
      <c r="BY146" s="476">
        <v>0</v>
      </c>
      <c r="BZ146" s="476">
        <v>0</v>
      </c>
      <c r="CA146" s="476">
        <v>0</v>
      </c>
      <c r="CB146" s="476">
        <v>0</v>
      </c>
      <c r="CC146" s="476">
        <v>0</v>
      </c>
      <c r="CD146" s="476">
        <v>0</v>
      </c>
      <c r="CE146" s="476">
        <v>0</v>
      </c>
      <c r="CF146" s="476">
        <v>0</v>
      </c>
      <c r="CG146" s="476">
        <v>0</v>
      </c>
      <c r="CH146" s="476">
        <v>62643</v>
      </c>
      <c r="CI146" s="476">
        <v>0</v>
      </c>
      <c r="CJ146" s="476">
        <v>4</v>
      </c>
      <c r="CK146" s="476">
        <v>0</v>
      </c>
      <c r="CL146" s="476">
        <v>0</v>
      </c>
      <c r="CM146" s="476">
        <v>0</v>
      </c>
      <c r="CN146" s="476">
        <v>0</v>
      </c>
      <c r="CO146" s="476">
        <v>1</v>
      </c>
      <c r="CP146" s="476">
        <v>0</v>
      </c>
      <c r="CQ146" s="476">
        <v>0</v>
      </c>
      <c r="CR146" s="476">
        <v>371.053</v>
      </c>
      <c r="CS146" s="476">
        <v>0</v>
      </c>
      <c r="CT146" s="476">
        <v>0</v>
      </c>
      <c r="CU146" s="476">
        <v>0</v>
      </c>
      <c r="CV146" s="476">
        <v>0</v>
      </c>
      <c r="CW146" s="476">
        <v>0</v>
      </c>
      <c r="CX146" s="476">
        <v>0</v>
      </c>
      <c r="CY146" s="476">
        <v>0</v>
      </c>
      <c r="CZ146" s="476">
        <v>0</v>
      </c>
      <c r="DA146" s="476">
        <v>0</v>
      </c>
      <c r="DB146" s="476">
        <v>2245134</v>
      </c>
      <c r="DC146" s="476">
        <v>0</v>
      </c>
      <c r="DD146" s="476">
        <v>0</v>
      </c>
      <c r="DE146" s="476">
        <v>257020</v>
      </c>
      <c r="DF146" s="476">
        <v>257020</v>
      </c>
      <c r="DG146" s="476">
        <v>41.725000000000001</v>
      </c>
      <c r="DH146" s="476">
        <v>0</v>
      </c>
      <c r="DI146" s="476">
        <v>0</v>
      </c>
      <c r="DJ146" s="476">
        <v>0</v>
      </c>
      <c r="DK146" s="476">
        <v>3044</v>
      </c>
      <c r="DL146" s="476">
        <v>0</v>
      </c>
      <c r="DM146" s="476">
        <v>124181</v>
      </c>
      <c r="DN146" s="476">
        <v>427</v>
      </c>
      <c r="DO146" s="476">
        <v>0</v>
      </c>
      <c r="DP146" s="476">
        <v>0</v>
      </c>
      <c r="DQ146" s="476">
        <v>0</v>
      </c>
      <c r="DR146" s="476">
        <v>0</v>
      </c>
      <c r="DS146" s="476">
        <v>0</v>
      </c>
      <c r="DT146" s="476">
        <v>0</v>
      </c>
      <c r="DU146" s="476">
        <v>0</v>
      </c>
      <c r="DV146" s="476">
        <v>0</v>
      </c>
      <c r="DW146" s="476">
        <v>0</v>
      </c>
      <c r="DX146" s="476">
        <v>0</v>
      </c>
      <c r="DY146" s="476">
        <v>0</v>
      </c>
      <c r="DZ146" s="476">
        <v>0</v>
      </c>
      <c r="EA146" s="476">
        <v>0</v>
      </c>
      <c r="EB146" s="476">
        <v>0</v>
      </c>
      <c r="EC146" s="476">
        <v>0</v>
      </c>
      <c r="ED146" s="476">
        <v>0</v>
      </c>
      <c r="EE146" s="476">
        <v>0</v>
      </c>
      <c r="EF146" s="476">
        <v>0</v>
      </c>
      <c r="EG146" s="476">
        <v>0</v>
      </c>
      <c r="EH146" s="476">
        <v>124608</v>
      </c>
      <c r="EI146" s="476">
        <v>0</v>
      </c>
      <c r="EJ146" s="476">
        <v>0</v>
      </c>
      <c r="EK146" s="476">
        <v>6.3230000000000004</v>
      </c>
      <c r="EL146" s="476">
        <v>0</v>
      </c>
      <c r="EM146" s="476">
        <v>0</v>
      </c>
      <c r="EN146" s="476">
        <v>0.252</v>
      </c>
      <c r="EO146" s="476">
        <v>0</v>
      </c>
      <c r="EP146" s="476">
        <v>0</v>
      </c>
      <c r="EQ146" s="476">
        <v>6.5750000000000002</v>
      </c>
      <c r="ER146" s="476">
        <v>0</v>
      </c>
      <c r="ES146" s="476">
        <v>20.228999999999999</v>
      </c>
      <c r="ET146" s="476">
        <v>0</v>
      </c>
      <c r="EU146" s="476">
        <v>0</v>
      </c>
      <c r="EV146" s="476">
        <v>0</v>
      </c>
      <c r="EW146" s="476">
        <v>0</v>
      </c>
      <c r="EX146" s="476">
        <v>0</v>
      </c>
      <c r="EY146" s="476">
        <v>0</v>
      </c>
      <c r="EZ146" s="476">
        <v>2962400</v>
      </c>
      <c r="FA146" s="476">
        <v>0</v>
      </c>
      <c r="FB146" s="476">
        <v>3115841</v>
      </c>
      <c r="FC146" s="476">
        <v>0</v>
      </c>
      <c r="FD146" s="476">
        <v>0</v>
      </c>
      <c r="FE146" s="476">
        <v>402373</v>
      </c>
      <c r="FF146" s="476">
        <v>67199</v>
      </c>
      <c r="FG146" s="476">
        <v>6.3017999999999991E-2</v>
      </c>
      <c r="FH146" s="476">
        <v>2.6953999999999999E-2</v>
      </c>
      <c r="FI146" s="476">
        <v>0</v>
      </c>
      <c r="FJ146" s="476">
        <v>0</v>
      </c>
      <c r="FK146" s="476">
        <v>505.90700000000004</v>
      </c>
      <c r="FL146" s="476">
        <v>3648056</v>
      </c>
      <c r="FM146" s="476">
        <v>0</v>
      </c>
      <c r="FN146" s="476">
        <v>0</v>
      </c>
      <c r="FO146" s="476">
        <v>0</v>
      </c>
      <c r="FP146" s="476">
        <v>0</v>
      </c>
      <c r="FQ146" s="476">
        <v>0</v>
      </c>
      <c r="FR146" s="476">
        <v>0</v>
      </c>
      <c r="FS146" s="476">
        <v>0</v>
      </c>
      <c r="FT146" s="476">
        <v>0</v>
      </c>
      <c r="FU146" s="476">
        <v>0</v>
      </c>
      <c r="FV146" s="476">
        <v>0</v>
      </c>
      <c r="FW146" s="476">
        <v>0</v>
      </c>
      <c r="FX146" s="476">
        <v>0</v>
      </c>
      <c r="FY146" s="476">
        <v>0</v>
      </c>
      <c r="FZ146" s="476">
        <v>0</v>
      </c>
      <c r="GA146" s="476">
        <v>0</v>
      </c>
      <c r="GB146" s="476">
        <v>0</v>
      </c>
      <c r="GC146" s="476">
        <v>0</v>
      </c>
      <c r="GD146" s="476">
        <v>0</v>
      </c>
      <c r="GE146" s="476">
        <v>0</v>
      </c>
      <c r="GF146" s="476">
        <v>0</v>
      </c>
      <c r="GG146" s="476">
        <v>0</v>
      </c>
      <c r="GH146" s="476">
        <v>0</v>
      </c>
      <c r="GI146" s="476">
        <v>0</v>
      </c>
      <c r="GJ146" s="476">
        <v>0</v>
      </c>
      <c r="GK146" s="476">
        <v>0</v>
      </c>
      <c r="GL146" s="476">
        <v>0</v>
      </c>
      <c r="GM146" s="476">
        <v>0</v>
      </c>
      <c r="GN146" s="476">
        <v>0</v>
      </c>
      <c r="GO146" s="476">
        <v>0</v>
      </c>
      <c r="GP146" s="476">
        <v>0</v>
      </c>
      <c r="GQ146" s="476">
        <v>3431495</v>
      </c>
      <c r="GR146" s="476">
        <v>0</v>
      </c>
      <c r="GS146" s="476">
        <v>0</v>
      </c>
      <c r="GT146" s="476">
        <v>0</v>
      </c>
      <c r="GU146" s="476">
        <v>0</v>
      </c>
      <c r="GV146" s="476">
        <v>0</v>
      </c>
      <c r="GW146" s="476">
        <v>0</v>
      </c>
      <c r="GX146" s="476">
        <v>0</v>
      </c>
      <c r="GY146" s="476">
        <v>0</v>
      </c>
      <c r="GZ146" s="476">
        <v>0</v>
      </c>
      <c r="HA146" s="476">
        <v>0</v>
      </c>
      <c r="HB146" s="476">
        <v>323396213</v>
      </c>
      <c r="HC146" s="476">
        <v>4.2206E-2</v>
      </c>
      <c r="HD146" s="476">
        <v>62643</v>
      </c>
      <c r="HE146" s="476">
        <v>0</v>
      </c>
      <c r="HF146" s="476">
        <v>401655</v>
      </c>
      <c r="HG146" s="476">
        <v>3696</v>
      </c>
      <c r="HH146" s="476">
        <v>63025</v>
      </c>
      <c r="HI146" s="476">
        <v>0</v>
      </c>
      <c r="HJ146" s="476">
        <v>3711</v>
      </c>
      <c r="HK146" s="476">
        <v>0</v>
      </c>
      <c r="HL146" s="476">
        <v>0</v>
      </c>
      <c r="HM146" s="476">
        <v>0</v>
      </c>
      <c r="HN146" s="476">
        <v>0</v>
      </c>
      <c r="HO146" s="476">
        <v>0</v>
      </c>
      <c r="HP146" s="476">
        <v>0</v>
      </c>
      <c r="HQ146" s="476">
        <v>0</v>
      </c>
      <c r="HR146" s="476">
        <v>0</v>
      </c>
      <c r="HS146" s="476">
        <v>2961923</v>
      </c>
      <c r="HT146" s="476">
        <v>67199</v>
      </c>
      <c r="HU146" s="476">
        <v>0</v>
      </c>
      <c r="HV146" s="476">
        <v>0</v>
      </c>
      <c r="HW146" s="476">
        <v>0</v>
      </c>
      <c r="HX146" s="476">
        <v>44</v>
      </c>
      <c r="HY146" s="476">
        <v>31</v>
      </c>
      <c r="HZ146" s="476">
        <v>55</v>
      </c>
      <c r="IA146" s="476">
        <v>23</v>
      </c>
      <c r="IB146" s="476">
        <v>17</v>
      </c>
      <c r="IC146" s="476">
        <v>170</v>
      </c>
      <c r="ID146" s="476">
        <v>0</v>
      </c>
      <c r="IE146" s="476">
        <v>0</v>
      </c>
      <c r="IF146" s="476">
        <v>0</v>
      </c>
      <c r="IG146" s="476">
        <v>6</v>
      </c>
      <c r="IH146" s="476">
        <v>102.31500000000001</v>
      </c>
      <c r="II146" s="476">
        <v>0</v>
      </c>
      <c r="IJ146" s="476">
        <v>15.522</v>
      </c>
      <c r="IK146" s="476">
        <v>0</v>
      </c>
      <c r="IL146" s="476">
        <v>0</v>
      </c>
      <c r="IM146" s="476">
        <v>0</v>
      </c>
      <c r="IN146" s="476">
        <v>0</v>
      </c>
      <c r="IO146" s="476">
        <v>0</v>
      </c>
      <c r="IP146" s="476">
        <v>0</v>
      </c>
      <c r="IQ146" s="476">
        <v>15.522</v>
      </c>
      <c r="IR146" s="476">
        <v>9561</v>
      </c>
      <c r="IS146" s="476">
        <v>0</v>
      </c>
      <c r="IT146" s="476">
        <v>0</v>
      </c>
      <c r="IU146" s="476">
        <v>0</v>
      </c>
      <c r="IV146" s="476">
        <v>0</v>
      </c>
      <c r="IW146" s="476">
        <v>6160</v>
      </c>
      <c r="IX146" s="476">
        <v>0</v>
      </c>
      <c r="IY146" s="476">
        <v>0</v>
      </c>
      <c r="IZ146" s="476">
        <v>0</v>
      </c>
      <c r="JA146" s="476">
        <v>0</v>
      </c>
      <c r="JB146" s="476">
        <v>0</v>
      </c>
      <c r="JC146" s="476">
        <v>0</v>
      </c>
      <c r="JD146" s="476">
        <v>0</v>
      </c>
      <c r="JE146" s="476">
        <v>0</v>
      </c>
      <c r="JF146" s="476">
        <v>0</v>
      </c>
      <c r="JG146" s="476">
        <v>0</v>
      </c>
      <c r="JH146" s="476">
        <v>0</v>
      </c>
      <c r="JI146" s="476">
        <v>0</v>
      </c>
      <c r="JJ146" s="476">
        <v>0</v>
      </c>
      <c r="JK146" s="476">
        <v>0</v>
      </c>
      <c r="JL146" s="476">
        <v>0</v>
      </c>
      <c r="JM146" s="476">
        <v>0</v>
      </c>
      <c r="JN146" s="476">
        <v>32469</v>
      </c>
      <c r="JO146" s="476">
        <v>0</v>
      </c>
      <c r="JP146" s="476">
        <v>0</v>
      </c>
      <c r="JQ146" s="476">
        <v>0</v>
      </c>
      <c r="JR146" s="476">
        <v>0</v>
      </c>
      <c r="JS146" s="476">
        <v>0</v>
      </c>
      <c r="JT146" s="476">
        <v>0</v>
      </c>
      <c r="JU146" s="476">
        <v>8000</v>
      </c>
      <c r="JV146" s="476">
        <v>0</v>
      </c>
      <c r="JW146" s="476">
        <v>0</v>
      </c>
      <c r="JX146" s="476">
        <v>0</v>
      </c>
      <c r="JY146" s="476">
        <v>0</v>
      </c>
      <c r="JZ146" s="476">
        <v>0</v>
      </c>
      <c r="KA146" s="476">
        <v>0</v>
      </c>
      <c r="KB146" s="476">
        <v>0</v>
      </c>
      <c r="KC146" s="476">
        <v>0</v>
      </c>
      <c r="KD146" s="476">
        <v>8193</v>
      </c>
      <c r="KE146" s="476">
        <v>7262</v>
      </c>
      <c r="KF146" s="476">
        <v>0</v>
      </c>
      <c r="KG146" s="476">
        <v>0</v>
      </c>
      <c r="KH146" s="476">
        <v>3431495</v>
      </c>
      <c r="KI146" s="476">
        <v>0</v>
      </c>
      <c r="KJ146" s="476">
        <v>0</v>
      </c>
      <c r="KK146" s="476">
        <v>6</v>
      </c>
      <c r="KL146" s="476">
        <v>0</v>
      </c>
      <c r="KM146" s="476">
        <v>3696</v>
      </c>
      <c r="KN146" s="476">
        <v>0</v>
      </c>
    </row>
    <row r="147" spans="1:300" x14ac:dyDescent="0.25">
      <c r="A147" s="476">
        <v>40976</v>
      </c>
      <c r="B147" s="476">
        <v>170802</v>
      </c>
      <c r="C147" s="476">
        <v>9</v>
      </c>
      <c r="D147" s="476">
        <v>2024</v>
      </c>
      <c r="E147" s="476">
        <v>6160</v>
      </c>
      <c r="F147" s="476">
        <v>0</v>
      </c>
      <c r="G147" s="476">
        <v>80.637</v>
      </c>
      <c r="H147" s="476">
        <v>50.517000000000003</v>
      </c>
      <c r="I147" s="476">
        <v>50.517000000000003</v>
      </c>
      <c r="J147" s="476">
        <v>80.637</v>
      </c>
      <c r="K147" s="476">
        <v>0</v>
      </c>
      <c r="L147" s="476">
        <v>6160</v>
      </c>
      <c r="M147" s="476">
        <v>0</v>
      </c>
      <c r="N147" s="476">
        <v>0</v>
      </c>
      <c r="O147" s="476">
        <v>0</v>
      </c>
      <c r="P147" s="476">
        <v>80.903000000000006</v>
      </c>
      <c r="Q147" s="476">
        <v>0</v>
      </c>
      <c r="R147" s="476">
        <v>33565</v>
      </c>
      <c r="S147" s="476">
        <v>414.88400000000001</v>
      </c>
      <c r="T147" s="476">
        <v>0</v>
      </c>
      <c r="U147" s="476">
        <v>0</v>
      </c>
      <c r="V147" s="476">
        <v>0</v>
      </c>
      <c r="W147" s="476">
        <v>0</v>
      </c>
      <c r="X147" s="476">
        <v>0</v>
      </c>
      <c r="Y147" s="476">
        <v>0</v>
      </c>
      <c r="Z147" s="476">
        <v>0</v>
      </c>
      <c r="AA147" s="476">
        <v>0</v>
      </c>
      <c r="AB147" s="476">
        <v>0</v>
      </c>
      <c r="AC147" s="476">
        <v>0</v>
      </c>
      <c r="AD147" s="476" t="s">
        <v>314</v>
      </c>
      <c r="AE147" s="476">
        <v>0</v>
      </c>
      <c r="AF147" s="476">
        <v>0</v>
      </c>
      <c r="AG147" s="476">
        <v>0</v>
      </c>
      <c r="AH147" s="476">
        <v>0</v>
      </c>
      <c r="AI147" s="476">
        <v>0</v>
      </c>
      <c r="AJ147" s="476">
        <v>6160</v>
      </c>
      <c r="AK147" s="476" t="s">
        <v>651</v>
      </c>
      <c r="AL147" s="476" t="s">
        <v>805</v>
      </c>
      <c r="AM147" s="476">
        <v>0</v>
      </c>
      <c r="AN147" s="476">
        <v>0</v>
      </c>
      <c r="AO147" s="476">
        <v>0</v>
      </c>
      <c r="AP147" s="476">
        <v>0</v>
      </c>
      <c r="AQ147" s="476">
        <v>0</v>
      </c>
      <c r="AR147" s="476">
        <v>0</v>
      </c>
      <c r="AS147" s="476">
        <v>0</v>
      </c>
      <c r="AT147" s="476">
        <v>0</v>
      </c>
      <c r="AU147" s="476">
        <v>0</v>
      </c>
      <c r="AV147" s="476">
        <v>0</v>
      </c>
      <c r="AW147" s="476">
        <v>1106500</v>
      </c>
      <c r="AX147" s="476">
        <v>1108508</v>
      </c>
      <c r="AY147" s="476">
        <v>0</v>
      </c>
      <c r="AZ147" s="476">
        <v>33565</v>
      </c>
      <c r="BA147" s="476">
        <v>0</v>
      </c>
      <c r="BB147" s="476">
        <v>0</v>
      </c>
      <c r="BC147" s="476">
        <v>0</v>
      </c>
      <c r="BD147" s="476">
        <v>0</v>
      </c>
      <c r="BE147" s="476">
        <v>0</v>
      </c>
      <c r="BF147" s="476">
        <v>992519</v>
      </c>
      <c r="BG147" s="476">
        <v>0</v>
      </c>
      <c r="BH147" s="476">
        <v>0</v>
      </c>
      <c r="BI147" s="476">
        <v>0</v>
      </c>
      <c r="BJ147" s="476">
        <v>12</v>
      </c>
      <c r="BK147" s="476">
        <v>0</v>
      </c>
      <c r="BL147" s="476">
        <v>0</v>
      </c>
      <c r="BM147" s="476">
        <v>0</v>
      </c>
      <c r="BN147" s="476">
        <v>0</v>
      </c>
      <c r="BO147" s="476">
        <v>0</v>
      </c>
      <c r="BP147" s="476">
        <v>0</v>
      </c>
      <c r="BQ147" s="476">
        <v>762</v>
      </c>
      <c r="BR147" s="476">
        <v>0</v>
      </c>
      <c r="BS147" s="476">
        <v>0</v>
      </c>
      <c r="BT147" s="476">
        <v>0</v>
      </c>
      <c r="BU147" s="476">
        <v>0</v>
      </c>
      <c r="BV147" s="476">
        <v>0</v>
      </c>
      <c r="BW147" s="476">
        <v>0</v>
      </c>
      <c r="BX147" s="476">
        <v>0</v>
      </c>
      <c r="BY147" s="476">
        <v>0</v>
      </c>
      <c r="BZ147" s="476">
        <v>0</v>
      </c>
      <c r="CA147" s="476">
        <v>0</v>
      </c>
      <c r="CB147" s="476">
        <v>0</v>
      </c>
      <c r="CC147" s="476">
        <v>0</v>
      </c>
      <c r="CD147" s="476">
        <v>0</v>
      </c>
      <c r="CE147" s="476">
        <v>0</v>
      </c>
      <c r="CF147" s="476">
        <v>0</v>
      </c>
      <c r="CG147" s="476">
        <v>0</v>
      </c>
      <c r="CH147" s="476">
        <v>0</v>
      </c>
      <c r="CI147" s="476">
        <v>0</v>
      </c>
      <c r="CJ147" s="476">
        <v>4</v>
      </c>
      <c r="CK147" s="476">
        <v>0</v>
      </c>
      <c r="CL147" s="476">
        <v>0</v>
      </c>
      <c r="CM147" s="476">
        <v>0</v>
      </c>
      <c r="CN147" s="476">
        <v>0</v>
      </c>
      <c r="CO147" s="476">
        <v>1</v>
      </c>
      <c r="CP147" s="476">
        <v>0</v>
      </c>
      <c r="CQ147" s="476">
        <v>0</v>
      </c>
      <c r="CR147" s="476">
        <v>80.637</v>
      </c>
      <c r="CS147" s="476">
        <v>0</v>
      </c>
      <c r="CT147" s="476">
        <v>0</v>
      </c>
      <c r="CU147" s="476">
        <v>0</v>
      </c>
      <c r="CV147" s="476">
        <v>0</v>
      </c>
      <c r="CW147" s="476">
        <v>0</v>
      </c>
      <c r="CX147" s="476">
        <v>0</v>
      </c>
      <c r="CY147" s="476">
        <v>0</v>
      </c>
      <c r="CZ147" s="476">
        <v>0</v>
      </c>
      <c r="DA147" s="476">
        <v>0</v>
      </c>
      <c r="DB147" s="476">
        <v>311178</v>
      </c>
      <c r="DC147" s="476">
        <v>0</v>
      </c>
      <c r="DD147" s="476">
        <v>0</v>
      </c>
      <c r="DE147" s="476">
        <v>24177</v>
      </c>
      <c r="DF147" s="476">
        <v>24177</v>
      </c>
      <c r="DG147" s="476">
        <v>3.9250000000000003</v>
      </c>
      <c r="DH147" s="476">
        <v>0</v>
      </c>
      <c r="DI147" s="476">
        <v>0</v>
      </c>
      <c r="DJ147" s="476">
        <v>0</v>
      </c>
      <c r="DK147" s="476">
        <v>3818</v>
      </c>
      <c r="DL147" s="476">
        <v>0</v>
      </c>
      <c r="DM147" s="476">
        <v>584029</v>
      </c>
      <c r="DN147" s="476">
        <v>2008</v>
      </c>
      <c r="DO147" s="476">
        <v>0</v>
      </c>
      <c r="DP147" s="476">
        <v>0</v>
      </c>
      <c r="DQ147" s="476">
        <v>0</v>
      </c>
      <c r="DR147" s="476">
        <v>0</v>
      </c>
      <c r="DS147" s="476">
        <v>0</v>
      </c>
      <c r="DT147" s="476">
        <v>0</v>
      </c>
      <c r="DU147" s="476">
        <v>0</v>
      </c>
      <c r="DV147" s="476">
        <v>0</v>
      </c>
      <c r="DW147" s="476">
        <v>0</v>
      </c>
      <c r="DX147" s="476">
        <v>0</v>
      </c>
      <c r="DY147" s="476">
        <v>0</v>
      </c>
      <c r="DZ147" s="476">
        <v>0</v>
      </c>
      <c r="EA147" s="476">
        <v>0</v>
      </c>
      <c r="EB147" s="476">
        <v>0</v>
      </c>
      <c r="EC147" s="476">
        <v>0</v>
      </c>
      <c r="ED147" s="476">
        <v>0</v>
      </c>
      <c r="EE147" s="476">
        <v>0</v>
      </c>
      <c r="EF147" s="476">
        <v>0</v>
      </c>
      <c r="EG147" s="476">
        <v>0</v>
      </c>
      <c r="EH147" s="476">
        <v>586037</v>
      </c>
      <c r="EI147" s="476">
        <v>0</v>
      </c>
      <c r="EJ147" s="476">
        <v>0</v>
      </c>
      <c r="EK147" s="476">
        <v>0</v>
      </c>
      <c r="EL147" s="476">
        <v>0</v>
      </c>
      <c r="EM147" s="476">
        <v>27.731000000000002</v>
      </c>
      <c r="EN147" s="476">
        <v>2.3890000000000002</v>
      </c>
      <c r="EO147" s="476">
        <v>0</v>
      </c>
      <c r="EP147" s="476">
        <v>0</v>
      </c>
      <c r="EQ147" s="476">
        <v>30.12</v>
      </c>
      <c r="ER147" s="476">
        <v>0</v>
      </c>
      <c r="ES147" s="476">
        <v>95.138000000000005</v>
      </c>
      <c r="ET147" s="476">
        <v>0</v>
      </c>
      <c r="EU147" s="476">
        <v>0</v>
      </c>
      <c r="EV147" s="476">
        <v>0</v>
      </c>
      <c r="EW147" s="476">
        <v>0</v>
      </c>
      <c r="EX147" s="476">
        <v>0</v>
      </c>
      <c r="EY147" s="476">
        <v>0</v>
      </c>
      <c r="EZ147" s="476">
        <v>958954</v>
      </c>
      <c r="FA147" s="476">
        <v>0</v>
      </c>
      <c r="FB147" s="476">
        <v>990511</v>
      </c>
      <c r="FC147" s="476">
        <v>0</v>
      </c>
      <c r="FD147" s="476">
        <v>0</v>
      </c>
      <c r="FE147" s="476">
        <v>128152</v>
      </c>
      <c r="FF147" s="476">
        <v>21402</v>
      </c>
      <c r="FG147" s="476">
        <v>6.3017999999999991E-2</v>
      </c>
      <c r="FH147" s="476">
        <v>2.6953999999999999E-2</v>
      </c>
      <c r="FI147" s="476">
        <v>0</v>
      </c>
      <c r="FJ147" s="476">
        <v>0</v>
      </c>
      <c r="FK147" s="476">
        <v>161.12700000000001</v>
      </c>
      <c r="FL147" s="476">
        <v>1140065</v>
      </c>
      <c r="FM147" s="476">
        <v>0</v>
      </c>
      <c r="FN147" s="476">
        <v>0</v>
      </c>
      <c r="FO147" s="476">
        <v>0</v>
      </c>
      <c r="FP147" s="476">
        <v>0</v>
      </c>
      <c r="FQ147" s="476">
        <v>0</v>
      </c>
      <c r="FR147" s="476">
        <v>0</v>
      </c>
      <c r="FS147" s="476">
        <v>0</v>
      </c>
      <c r="FT147" s="476">
        <v>0</v>
      </c>
      <c r="FU147" s="476">
        <v>0</v>
      </c>
      <c r="FV147" s="476">
        <v>0</v>
      </c>
      <c r="FW147" s="476">
        <v>0</v>
      </c>
      <c r="FX147" s="476">
        <v>0</v>
      </c>
      <c r="FY147" s="476">
        <v>0</v>
      </c>
      <c r="FZ147" s="476">
        <v>0</v>
      </c>
      <c r="GA147" s="476">
        <v>0</v>
      </c>
      <c r="GB147" s="476">
        <v>0</v>
      </c>
      <c r="GC147" s="476">
        <v>0</v>
      </c>
      <c r="GD147" s="476">
        <v>0</v>
      </c>
      <c r="GE147" s="476">
        <v>0</v>
      </c>
      <c r="GF147" s="476">
        <v>0</v>
      </c>
      <c r="GG147" s="476">
        <v>0</v>
      </c>
      <c r="GH147" s="476">
        <v>0</v>
      </c>
      <c r="GI147" s="476">
        <v>0</v>
      </c>
      <c r="GJ147" s="476">
        <v>0</v>
      </c>
      <c r="GK147" s="476">
        <v>0</v>
      </c>
      <c r="GL147" s="476">
        <v>0</v>
      </c>
      <c r="GM147" s="476">
        <v>0</v>
      </c>
      <c r="GN147" s="476">
        <v>0</v>
      </c>
      <c r="GO147" s="476">
        <v>0</v>
      </c>
      <c r="GP147" s="476">
        <v>0</v>
      </c>
      <c r="GQ147" s="476">
        <v>1106500</v>
      </c>
      <c r="GR147" s="476">
        <v>0</v>
      </c>
      <c r="GS147" s="476">
        <v>0</v>
      </c>
      <c r="GT147" s="476">
        <v>0</v>
      </c>
      <c r="GU147" s="476">
        <v>0</v>
      </c>
      <c r="GV147" s="476">
        <v>0</v>
      </c>
      <c r="GW147" s="476">
        <v>0</v>
      </c>
      <c r="GX147" s="476">
        <v>0</v>
      </c>
      <c r="GY147" s="476">
        <v>0</v>
      </c>
      <c r="GZ147" s="476">
        <v>0</v>
      </c>
      <c r="HA147" s="476">
        <v>0</v>
      </c>
      <c r="HB147" s="476">
        <v>0</v>
      </c>
      <c r="HC147" s="476">
        <v>4.2206E-2</v>
      </c>
      <c r="HD147" s="476">
        <v>0</v>
      </c>
      <c r="HE147" s="476">
        <v>0</v>
      </c>
      <c r="HF147" s="476">
        <v>55670</v>
      </c>
      <c r="HG147" s="476">
        <v>7392</v>
      </c>
      <c r="HH147" s="476">
        <v>7259</v>
      </c>
      <c r="HI147" s="476">
        <v>0</v>
      </c>
      <c r="HJ147" s="476">
        <v>806</v>
      </c>
      <c r="HK147" s="476">
        <v>0</v>
      </c>
      <c r="HL147" s="476">
        <v>0</v>
      </c>
      <c r="HM147" s="476">
        <v>0</v>
      </c>
      <c r="HN147" s="476">
        <v>0</v>
      </c>
      <c r="HO147" s="476">
        <v>0</v>
      </c>
      <c r="HP147" s="476">
        <v>0</v>
      </c>
      <c r="HQ147" s="476">
        <v>0</v>
      </c>
      <c r="HR147" s="476">
        <v>0</v>
      </c>
      <c r="HS147" s="476">
        <v>956946</v>
      </c>
      <c r="HT147" s="476">
        <v>21402</v>
      </c>
      <c r="HU147" s="476">
        <v>0</v>
      </c>
      <c r="HV147" s="476">
        <v>0</v>
      </c>
      <c r="HW147" s="476">
        <v>0</v>
      </c>
      <c r="HX147" s="476">
        <v>13</v>
      </c>
      <c r="HY147" s="476">
        <v>2</v>
      </c>
      <c r="HZ147" s="476">
        <v>1</v>
      </c>
      <c r="IA147" s="476">
        <v>0</v>
      </c>
      <c r="IB147" s="476">
        <v>1</v>
      </c>
      <c r="IC147" s="476">
        <v>17</v>
      </c>
      <c r="ID147" s="476">
        <v>0</v>
      </c>
      <c r="IE147" s="476">
        <v>0</v>
      </c>
      <c r="IF147" s="476">
        <v>0</v>
      </c>
      <c r="IG147" s="476">
        <v>12</v>
      </c>
      <c r="IH147" s="476">
        <v>11.785</v>
      </c>
      <c r="II147" s="476">
        <v>0</v>
      </c>
      <c r="IJ147" s="476">
        <v>0</v>
      </c>
      <c r="IK147" s="476">
        <v>0</v>
      </c>
      <c r="IL147" s="476">
        <v>0</v>
      </c>
      <c r="IM147" s="476">
        <v>0</v>
      </c>
      <c r="IN147" s="476">
        <v>0</v>
      </c>
      <c r="IO147" s="476">
        <v>0</v>
      </c>
      <c r="IP147" s="476">
        <v>0</v>
      </c>
      <c r="IQ147" s="476">
        <v>0</v>
      </c>
      <c r="IR147" s="476">
        <v>0</v>
      </c>
      <c r="IS147" s="476">
        <v>0</v>
      </c>
      <c r="IT147" s="476">
        <v>0</v>
      </c>
      <c r="IU147" s="476">
        <v>0</v>
      </c>
      <c r="IV147" s="476">
        <v>0</v>
      </c>
      <c r="IW147" s="476">
        <v>6160</v>
      </c>
      <c r="IX147" s="476">
        <v>0</v>
      </c>
      <c r="IY147" s="476">
        <v>0</v>
      </c>
      <c r="IZ147" s="476">
        <v>0</v>
      </c>
      <c r="JA147" s="476">
        <v>0</v>
      </c>
      <c r="JB147" s="476">
        <v>0</v>
      </c>
      <c r="JC147" s="476">
        <v>0</v>
      </c>
      <c r="JD147" s="476">
        <v>0</v>
      </c>
      <c r="JE147" s="476">
        <v>0</v>
      </c>
      <c r="JF147" s="476">
        <v>0</v>
      </c>
      <c r="JG147" s="476">
        <v>0</v>
      </c>
      <c r="JH147" s="476">
        <v>0</v>
      </c>
      <c r="JI147" s="476">
        <v>0</v>
      </c>
      <c r="JJ147" s="476">
        <v>0</v>
      </c>
      <c r="JK147" s="476">
        <v>0</v>
      </c>
      <c r="JL147" s="476">
        <v>0</v>
      </c>
      <c r="JM147" s="476">
        <v>0</v>
      </c>
      <c r="JN147" s="476">
        <v>0</v>
      </c>
      <c r="JO147" s="476">
        <v>0</v>
      </c>
      <c r="JP147" s="476">
        <v>0</v>
      </c>
      <c r="JQ147" s="476">
        <v>0</v>
      </c>
      <c r="JR147" s="476">
        <v>0</v>
      </c>
      <c r="JS147" s="476">
        <v>0</v>
      </c>
      <c r="JT147" s="476">
        <v>0</v>
      </c>
      <c r="JU147" s="476">
        <v>0</v>
      </c>
      <c r="JV147" s="476">
        <v>0</v>
      </c>
      <c r="JW147" s="476">
        <v>0</v>
      </c>
      <c r="JX147" s="476">
        <v>0</v>
      </c>
      <c r="JY147" s="476">
        <v>0</v>
      </c>
      <c r="JZ147" s="476">
        <v>0</v>
      </c>
      <c r="KA147" s="476">
        <v>0</v>
      </c>
      <c r="KB147" s="476">
        <v>0</v>
      </c>
      <c r="KC147" s="476">
        <v>0</v>
      </c>
      <c r="KD147" s="476">
        <v>0</v>
      </c>
      <c r="KE147" s="476">
        <v>7262</v>
      </c>
      <c r="KF147" s="476">
        <v>0</v>
      </c>
      <c r="KG147" s="476">
        <v>0</v>
      </c>
      <c r="KH147" s="476">
        <v>1106500</v>
      </c>
      <c r="KI147" s="476">
        <v>0</v>
      </c>
      <c r="KJ147" s="476">
        <v>6</v>
      </c>
      <c r="KK147" s="476">
        <v>6</v>
      </c>
      <c r="KL147" s="476">
        <v>3696</v>
      </c>
      <c r="KM147" s="476">
        <v>3696</v>
      </c>
      <c r="KN147" s="476">
        <v>0</v>
      </c>
    </row>
    <row r="148" spans="1:300" x14ac:dyDescent="0.25">
      <c r="A148" s="476">
        <v>40976</v>
      </c>
      <c r="B148" s="476">
        <v>174801</v>
      </c>
      <c r="C148" s="476">
        <v>9</v>
      </c>
      <c r="D148" s="476">
        <v>2024</v>
      </c>
      <c r="E148" s="476">
        <v>6160</v>
      </c>
      <c r="F148" s="476">
        <v>0</v>
      </c>
      <c r="G148" s="476">
        <v>245.655</v>
      </c>
      <c r="H148" s="476">
        <v>241.733</v>
      </c>
      <c r="I148" s="476">
        <v>241.733</v>
      </c>
      <c r="J148" s="476">
        <v>245.655</v>
      </c>
      <c r="K148" s="476">
        <v>0</v>
      </c>
      <c r="L148" s="476">
        <v>6160</v>
      </c>
      <c r="M148" s="476">
        <v>0</v>
      </c>
      <c r="N148" s="476">
        <v>0</v>
      </c>
      <c r="O148" s="476">
        <v>0</v>
      </c>
      <c r="P148" s="476">
        <v>245.78800000000001</v>
      </c>
      <c r="Q148" s="476">
        <v>0</v>
      </c>
      <c r="R148" s="476">
        <v>101974</v>
      </c>
      <c r="S148" s="476">
        <v>414.88400000000001</v>
      </c>
      <c r="T148" s="476">
        <v>0</v>
      </c>
      <c r="U148" s="476">
        <v>0</v>
      </c>
      <c r="V148" s="476">
        <v>4.8650000000000002</v>
      </c>
      <c r="W148" s="476">
        <v>2997</v>
      </c>
      <c r="X148" s="476">
        <v>2997</v>
      </c>
      <c r="Y148" s="476">
        <v>0</v>
      </c>
      <c r="Z148" s="476">
        <v>0</v>
      </c>
      <c r="AA148" s="476">
        <v>0</v>
      </c>
      <c r="AB148" s="476">
        <v>0</v>
      </c>
      <c r="AC148" s="476">
        <v>0</v>
      </c>
      <c r="AD148" s="476" t="s">
        <v>314</v>
      </c>
      <c r="AE148" s="476">
        <v>0</v>
      </c>
      <c r="AF148" s="476">
        <v>0</v>
      </c>
      <c r="AG148" s="476">
        <v>0</v>
      </c>
      <c r="AH148" s="476">
        <v>0</v>
      </c>
      <c r="AI148" s="476">
        <v>0</v>
      </c>
      <c r="AJ148" s="476">
        <v>6160</v>
      </c>
      <c r="AK148" s="476" t="s">
        <v>651</v>
      </c>
      <c r="AL148" s="476" t="s">
        <v>359</v>
      </c>
      <c r="AM148" s="476">
        <v>0</v>
      </c>
      <c r="AN148" s="476">
        <v>0</v>
      </c>
      <c r="AO148" s="476">
        <v>0</v>
      </c>
      <c r="AP148" s="476">
        <v>0</v>
      </c>
      <c r="AQ148" s="476">
        <v>0</v>
      </c>
      <c r="AR148" s="476">
        <v>0</v>
      </c>
      <c r="AS148" s="476">
        <v>0</v>
      </c>
      <c r="AT148" s="476">
        <v>0</v>
      </c>
      <c r="AU148" s="476">
        <v>0</v>
      </c>
      <c r="AV148" s="476">
        <v>0</v>
      </c>
      <c r="AW148" s="476">
        <v>2146028</v>
      </c>
      <c r="AX148" s="476">
        <v>2104956</v>
      </c>
      <c r="AY148" s="476">
        <v>0</v>
      </c>
      <c r="AZ148" s="476">
        <v>101974</v>
      </c>
      <c r="BA148" s="476">
        <v>0</v>
      </c>
      <c r="BB148" s="476">
        <v>0</v>
      </c>
      <c r="BC148" s="476">
        <v>0</v>
      </c>
      <c r="BD148" s="476">
        <v>0</v>
      </c>
      <c r="BE148" s="476">
        <v>0</v>
      </c>
      <c r="BF148" s="476">
        <v>1917932</v>
      </c>
      <c r="BG148" s="476">
        <v>0</v>
      </c>
      <c r="BH148" s="476">
        <v>0</v>
      </c>
      <c r="BI148" s="476">
        <v>0</v>
      </c>
      <c r="BJ148" s="476">
        <v>12</v>
      </c>
      <c r="BK148" s="476">
        <v>0</v>
      </c>
      <c r="BL148" s="476">
        <v>0</v>
      </c>
      <c r="BM148" s="476">
        <v>0</v>
      </c>
      <c r="BN148" s="476">
        <v>0</v>
      </c>
      <c r="BO148" s="476">
        <v>0</v>
      </c>
      <c r="BP148" s="476">
        <v>0</v>
      </c>
      <c r="BQ148" s="476">
        <v>733</v>
      </c>
      <c r="BR148" s="476">
        <v>0</v>
      </c>
      <c r="BS148" s="476">
        <v>0</v>
      </c>
      <c r="BT148" s="476">
        <v>0</v>
      </c>
      <c r="BU148" s="476">
        <v>0</v>
      </c>
      <c r="BV148" s="476">
        <v>0</v>
      </c>
      <c r="BW148" s="476">
        <v>0</v>
      </c>
      <c r="BX148" s="476">
        <v>0</v>
      </c>
      <c r="BY148" s="476">
        <v>0</v>
      </c>
      <c r="BZ148" s="476">
        <v>0</v>
      </c>
      <c r="CA148" s="476">
        <v>0</v>
      </c>
      <c r="CB148" s="476">
        <v>0</v>
      </c>
      <c r="CC148" s="476">
        <v>0</v>
      </c>
      <c r="CD148" s="476">
        <v>0</v>
      </c>
      <c r="CE148" s="476">
        <v>0</v>
      </c>
      <c r="CF148" s="476">
        <v>0</v>
      </c>
      <c r="CG148" s="476">
        <v>0</v>
      </c>
      <c r="CH148" s="476">
        <v>41473</v>
      </c>
      <c r="CI148" s="476">
        <v>0</v>
      </c>
      <c r="CJ148" s="476">
        <v>4</v>
      </c>
      <c r="CK148" s="476">
        <v>0</v>
      </c>
      <c r="CL148" s="476">
        <v>0</v>
      </c>
      <c r="CM148" s="476">
        <v>0</v>
      </c>
      <c r="CN148" s="476">
        <v>0</v>
      </c>
      <c r="CO148" s="476">
        <v>1</v>
      </c>
      <c r="CP148" s="476">
        <v>0</v>
      </c>
      <c r="CQ148" s="476">
        <v>0</v>
      </c>
      <c r="CR148" s="476">
        <v>245.655</v>
      </c>
      <c r="CS148" s="476">
        <v>0</v>
      </c>
      <c r="CT148" s="476">
        <v>0</v>
      </c>
      <c r="CU148" s="476">
        <v>0</v>
      </c>
      <c r="CV148" s="476">
        <v>0</v>
      </c>
      <c r="CW148" s="476">
        <v>0</v>
      </c>
      <c r="CX148" s="476">
        <v>0</v>
      </c>
      <c r="CY148" s="476">
        <v>0</v>
      </c>
      <c r="CZ148" s="476">
        <v>0</v>
      </c>
      <c r="DA148" s="476">
        <v>0</v>
      </c>
      <c r="DB148" s="476">
        <v>1489041</v>
      </c>
      <c r="DC148" s="476">
        <v>0</v>
      </c>
      <c r="DD148" s="476">
        <v>0</v>
      </c>
      <c r="DE148" s="476">
        <v>27950</v>
      </c>
      <c r="DF148" s="476">
        <v>27950</v>
      </c>
      <c r="DG148" s="476">
        <v>4.5380000000000003</v>
      </c>
      <c r="DH148" s="476">
        <v>0</v>
      </c>
      <c r="DI148" s="476">
        <v>0</v>
      </c>
      <c r="DJ148" s="476">
        <v>0</v>
      </c>
      <c r="DK148" s="476">
        <v>3347</v>
      </c>
      <c r="DL148" s="476">
        <v>0</v>
      </c>
      <c r="DM148" s="476">
        <v>116609</v>
      </c>
      <c r="DN148" s="476">
        <v>401</v>
      </c>
      <c r="DO148" s="476">
        <v>0</v>
      </c>
      <c r="DP148" s="476">
        <v>0</v>
      </c>
      <c r="DQ148" s="476">
        <v>0</v>
      </c>
      <c r="DR148" s="476">
        <v>0</v>
      </c>
      <c r="DS148" s="476">
        <v>0</v>
      </c>
      <c r="DT148" s="476">
        <v>0</v>
      </c>
      <c r="DU148" s="476">
        <v>0</v>
      </c>
      <c r="DV148" s="476">
        <v>0</v>
      </c>
      <c r="DW148" s="476">
        <v>0</v>
      </c>
      <c r="DX148" s="476">
        <v>0</v>
      </c>
      <c r="DY148" s="476">
        <v>0</v>
      </c>
      <c r="DZ148" s="476">
        <v>0</v>
      </c>
      <c r="EA148" s="476">
        <v>0</v>
      </c>
      <c r="EB148" s="476">
        <v>0</v>
      </c>
      <c r="EC148" s="476">
        <v>5.2430000000000003</v>
      </c>
      <c r="ED148" s="476">
        <v>37141</v>
      </c>
      <c r="EE148" s="476">
        <v>0</v>
      </c>
      <c r="EF148" s="476">
        <v>0</v>
      </c>
      <c r="EG148" s="476">
        <v>0</v>
      </c>
      <c r="EH148" s="476">
        <v>79869</v>
      </c>
      <c r="EI148" s="476">
        <v>0</v>
      </c>
      <c r="EJ148" s="476">
        <v>0</v>
      </c>
      <c r="EK148" s="476">
        <v>3.3220000000000001</v>
      </c>
      <c r="EL148" s="476">
        <v>0</v>
      </c>
      <c r="EM148" s="476">
        <v>0</v>
      </c>
      <c r="EN148" s="476">
        <v>0.6</v>
      </c>
      <c r="EO148" s="476">
        <v>0</v>
      </c>
      <c r="EP148" s="476">
        <v>0</v>
      </c>
      <c r="EQ148" s="476">
        <v>3.9220000000000002</v>
      </c>
      <c r="ER148" s="476">
        <v>0</v>
      </c>
      <c r="ES148" s="476">
        <v>12.966000000000001</v>
      </c>
      <c r="ET148" s="476">
        <v>0</v>
      </c>
      <c r="EU148" s="476">
        <v>0</v>
      </c>
      <c r="EV148" s="476">
        <v>0</v>
      </c>
      <c r="EW148" s="476">
        <v>0</v>
      </c>
      <c r="EX148" s="476">
        <v>0</v>
      </c>
      <c r="EY148" s="476">
        <v>0</v>
      </c>
      <c r="EZ148" s="476">
        <v>1815958</v>
      </c>
      <c r="FA148" s="476">
        <v>0</v>
      </c>
      <c r="FB148" s="476">
        <v>1917531</v>
      </c>
      <c r="FC148" s="476">
        <v>0</v>
      </c>
      <c r="FD148" s="476">
        <v>0</v>
      </c>
      <c r="FE148" s="476">
        <v>247640</v>
      </c>
      <c r="FF148" s="476">
        <v>41358</v>
      </c>
      <c r="FG148" s="476">
        <v>6.3017999999999991E-2</v>
      </c>
      <c r="FH148" s="476">
        <v>2.6953999999999999E-2</v>
      </c>
      <c r="FI148" s="476">
        <v>0</v>
      </c>
      <c r="FJ148" s="476">
        <v>0</v>
      </c>
      <c r="FK148" s="476">
        <v>311.36</v>
      </c>
      <c r="FL148" s="476">
        <v>2248002</v>
      </c>
      <c r="FM148" s="476">
        <v>0</v>
      </c>
      <c r="FN148" s="476">
        <v>0</v>
      </c>
      <c r="FO148" s="476">
        <v>0</v>
      </c>
      <c r="FP148" s="476">
        <v>0</v>
      </c>
      <c r="FQ148" s="476">
        <v>0</v>
      </c>
      <c r="FR148" s="476">
        <v>0</v>
      </c>
      <c r="FS148" s="476">
        <v>0</v>
      </c>
      <c r="FT148" s="476">
        <v>0</v>
      </c>
      <c r="FU148" s="476">
        <v>0</v>
      </c>
      <c r="FV148" s="476">
        <v>0</v>
      </c>
      <c r="FW148" s="476">
        <v>0</v>
      </c>
      <c r="FX148" s="476">
        <v>0</v>
      </c>
      <c r="FY148" s="476">
        <v>0</v>
      </c>
      <c r="FZ148" s="476">
        <v>0</v>
      </c>
      <c r="GA148" s="476">
        <v>0</v>
      </c>
      <c r="GB148" s="476">
        <v>0</v>
      </c>
      <c r="GC148" s="476">
        <v>0</v>
      </c>
      <c r="GD148" s="476">
        <v>0</v>
      </c>
      <c r="GE148" s="476">
        <v>0</v>
      </c>
      <c r="GF148" s="476">
        <v>0</v>
      </c>
      <c r="GG148" s="476">
        <v>0</v>
      </c>
      <c r="GH148" s="476">
        <v>0</v>
      </c>
      <c r="GI148" s="476">
        <v>0</v>
      </c>
      <c r="GJ148" s="476">
        <v>0</v>
      </c>
      <c r="GK148" s="476">
        <v>0</v>
      </c>
      <c r="GL148" s="476">
        <v>0</v>
      </c>
      <c r="GM148" s="476">
        <v>0</v>
      </c>
      <c r="GN148" s="476">
        <v>0</v>
      </c>
      <c r="GO148" s="476">
        <v>0</v>
      </c>
      <c r="GP148" s="476">
        <v>0</v>
      </c>
      <c r="GQ148" s="476">
        <v>2104555</v>
      </c>
      <c r="GR148" s="476">
        <v>0</v>
      </c>
      <c r="GS148" s="476">
        <v>0</v>
      </c>
      <c r="GT148" s="476">
        <v>0</v>
      </c>
      <c r="GU148" s="476">
        <v>0</v>
      </c>
      <c r="GV148" s="476">
        <v>0</v>
      </c>
      <c r="GW148" s="476">
        <v>0</v>
      </c>
      <c r="GX148" s="476">
        <v>0</v>
      </c>
      <c r="GY148" s="476">
        <v>0</v>
      </c>
      <c r="GZ148" s="476">
        <v>0</v>
      </c>
      <c r="HA148" s="476">
        <v>0</v>
      </c>
      <c r="HB148" s="476">
        <v>323396213</v>
      </c>
      <c r="HC148" s="476">
        <v>4.2206E-2</v>
      </c>
      <c r="HD148" s="476">
        <v>41473</v>
      </c>
      <c r="HE148" s="476">
        <v>0</v>
      </c>
      <c r="HF148" s="476">
        <v>266390</v>
      </c>
      <c r="HG148" s="476">
        <v>3696</v>
      </c>
      <c r="HH148" s="476">
        <v>8391</v>
      </c>
      <c r="HI148" s="476">
        <v>0</v>
      </c>
      <c r="HJ148" s="476">
        <v>2457</v>
      </c>
      <c r="HK148" s="476">
        <v>0</v>
      </c>
      <c r="HL148" s="476">
        <v>0</v>
      </c>
      <c r="HM148" s="476">
        <v>0</v>
      </c>
      <c r="HN148" s="476">
        <v>0</v>
      </c>
      <c r="HO148" s="476">
        <v>0</v>
      </c>
      <c r="HP148" s="476">
        <v>0</v>
      </c>
      <c r="HQ148" s="476">
        <v>0</v>
      </c>
      <c r="HR148" s="476">
        <v>0</v>
      </c>
      <c r="HS148" s="476">
        <v>1815557</v>
      </c>
      <c r="HT148" s="476">
        <v>41358</v>
      </c>
      <c r="HU148" s="476">
        <v>0</v>
      </c>
      <c r="HV148" s="476">
        <v>0</v>
      </c>
      <c r="HW148" s="476">
        <v>0</v>
      </c>
      <c r="HX148" s="476">
        <v>0</v>
      </c>
      <c r="HY148" s="476">
        <v>3</v>
      </c>
      <c r="HZ148" s="476">
        <v>11</v>
      </c>
      <c r="IA148" s="476">
        <v>2</v>
      </c>
      <c r="IB148" s="476">
        <v>2</v>
      </c>
      <c r="IC148" s="476">
        <v>18</v>
      </c>
      <c r="ID148" s="476">
        <v>0</v>
      </c>
      <c r="IE148" s="476">
        <v>0</v>
      </c>
      <c r="IF148" s="476">
        <v>0</v>
      </c>
      <c r="IG148" s="476">
        <v>6</v>
      </c>
      <c r="IH148" s="476">
        <v>13.622</v>
      </c>
      <c r="II148" s="476">
        <v>0</v>
      </c>
      <c r="IJ148" s="476">
        <v>4.8650000000000002</v>
      </c>
      <c r="IK148" s="476">
        <v>0</v>
      </c>
      <c r="IL148" s="476">
        <v>0</v>
      </c>
      <c r="IM148" s="476">
        <v>0</v>
      </c>
      <c r="IN148" s="476">
        <v>0</v>
      </c>
      <c r="IO148" s="476">
        <v>0</v>
      </c>
      <c r="IP148" s="476">
        <v>0</v>
      </c>
      <c r="IQ148" s="476">
        <v>4.8650000000000002</v>
      </c>
      <c r="IR148" s="476">
        <v>2997</v>
      </c>
      <c r="IS148" s="476">
        <v>0</v>
      </c>
      <c r="IT148" s="476">
        <v>0</v>
      </c>
      <c r="IU148" s="476">
        <v>0</v>
      </c>
      <c r="IV148" s="476">
        <v>0</v>
      </c>
      <c r="IW148" s="476">
        <v>6160</v>
      </c>
      <c r="IX148" s="476">
        <v>0</v>
      </c>
      <c r="IY148" s="476">
        <v>0</v>
      </c>
      <c r="IZ148" s="476">
        <v>0</v>
      </c>
      <c r="JA148" s="476">
        <v>0</v>
      </c>
      <c r="JB148" s="476">
        <v>0</v>
      </c>
      <c r="JC148" s="476">
        <v>0</v>
      </c>
      <c r="JD148" s="476">
        <v>0</v>
      </c>
      <c r="JE148" s="476">
        <v>0</v>
      </c>
      <c r="JF148" s="476">
        <v>0</v>
      </c>
      <c r="JG148" s="476">
        <v>0</v>
      </c>
      <c r="JH148" s="476">
        <v>0</v>
      </c>
      <c r="JI148" s="476">
        <v>0</v>
      </c>
      <c r="JJ148" s="476">
        <v>0</v>
      </c>
      <c r="JK148" s="476">
        <v>0</v>
      </c>
      <c r="JL148" s="476">
        <v>0</v>
      </c>
      <c r="JM148" s="476">
        <v>0</v>
      </c>
      <c r="JN148" s="476">
        <v>32469</v>
      </c>
      <c r="JO148" s="476">
        <v>0</v>
      </c>
      <c r="JP148" s="476">
        <v>0</v>
      </c>
      <c r="JQ148" s="476">
        <v>0</v>
      </c>
      <c r="JR148" s="476">
        <v>0</v>
      </c>
      <c r="JS148" s="476">
        <v>0</v>
      </c>
      <c r="JT148" s="476">
        <v>0</v>
      </c>
      <c r="JU148" s="476">
        <v>0</v>
      </c>
      <c r="JV148" s="476">
        <v>0</v>
      </c>
      <c r="JW148" s="476">
        <v>0</v>
      </c>
      <c r="JX148" s="476">
        <v>0</v>
      </c>
      <c r="JY148" s="476">
        <v>0</v>
      </c>
      <c r="JZ148" s="476">
        <v>0</v>
      </c>
      <c r="KA148" s="476">
        <v>0</v>
      </c>
      <c r="KB148" s="476">
        <v>0</v>
      </c>
      <c r="KC148" s="476">
        <v>0</v>
      </c>
      <c r="KD148" s="476">
        <v>0</v>
      </c>
      <c r="KE148" s="476">
        <v>7262</v>
      </c>
      <c r="KF148" s="476">
        <v>0</v>
      </c>
      <c r="KG148" s="476">
        <v>0</v>
      </c>
      <c r="KH148" s="476">
        <v>2104555</v>
      </c>
      <c r="KI148" s="476">
        <v>0</v>
      </c>
      <c r="KJ148" s="476">
        <v>4</v>
      </c>
      <c r="KK148" s="476">
        <v>2</v>
      </c>
      <c r="KL148" s="476">
        <v>2464</v>
      </c>
      <c r="KM148" s="476">
        <v>1232</v>
      </c>
      <c r="KN148" s="476">
        <v>0</v>
      </c>
    </row>
    <row r="149" spans="1:300" x14ac:dyDescent="0.25">
      <c r="A149" s="476">
        <v>40976</v>
      </c>
      <c r="B149" s="476">
        <v>178801</v>
      </c>
      <c r="C149" s="476">
        <v>9</v>
      </c>
      <c r="D149" s="476">
        <v>2024</v>
      </c>
      <c r="E149" s="476">
        <v>6160</v>
      </c>
      <c r="F149" s="476">
        <v>0</v>
      </c>
      <c r="G149" s="476">
        <v>159.773</v>
      </c>
      <c r="H149" s="476">
        <v>159.36500000000001</v>
      </c>
      <c r="I149" s="476">
        <v>159.36500000000001</v>
      </c>
      <c r="J149" s="476">
        <v>159.773</v>
      </c>
      <c r="K149" s="476">
        <v>0</v>
      </c>
      <c r="L149" s="476">
        <v>6160</v>
      </c>
      <c r="M149" s="476">
        <v>0</v>
      </c>
      <c r="N149" s="476">
        <v>0</v>
      </c>
      <c r="O149" s="476">
        <v>0</v>
      </c>
      <c r="P149" s="476">
        <v>159.773</v>
      </c>
      <c r="Q149" s="476">
        <v>0</v>
      </c>
      <c r="R149" s="476">
        <v>66287</v>
      </c>
      <c r="S149" s="476">
        <v>414.88400000000001</v>
      </c>
      <c r="T149" s="476">
        <v>0</v>
      </c>
      <c r="U149" s="476">
        <v>0</v>
      </c>
      <c r="V149" s="476">
        <v>22.625</v>
      </c>
      <c r="W149" s="476">
        <v>13937</v>
      </c>
      <c r="X149" s="476">
        <v>13937</v>
      </c>
      <c r="Y149" s="476">
        <v>0</v>
      </c>
      <c r="Z149" s="476">
        <v>0</v>
      </c>
      <c r="AA149" s="476">
        <v>0</v>
      </c>
      <c r="AB149" s="476">
        <v>0</v>
      </c>
      <c r="AC149" s="476">
        <v>0</v>
      </c>
      <c r="AD149" s="476" t="s">
        <v>314</v>
      </c>
      <c r="AE149" s="476">
        <v>0</v>
      </c>
      <c r="AF149" s="476">
        <v>0</v>
      </c>
      <c r="AG149" s="476">
        <v>0</v>
      </c>
      <c r="AH149" s="476">
        <v>0</v>
      </c>
      <c r="AI149" s="476">
        <v>0</v>
      </c>
      <c r="AJ149" s="476">
        <v>6160</v>
      </c>
      <c r="AK149" s="476" t="s">
        <v>651</v>
      </c>
      <c r="AL149" s="476" t="s">
        <v>93</v>
      </c>
      <c r="AM149" s="476">
        <v>0</v>
      </c>
      <c r="AN149" s="476">
        <v>0</v>
      </c>
      <c r="AO149" s="476">
        <v>0</v>
      </c>
      <c r="AP149" s="476">
        <v>0</v>
      </c>
      <c r="AQ149" s="476">
        <v>0</v>
      </c>
      <c r="AR149" s="476">
        <v>0</v>
      </c>
      <c r="AS149" s="476">
        <v>0</v>
      </c>
      <c r="AT149" s="476">
        <v>0</v>
      </c>
      <c r="AU149" s="476">
        <v>0</v>
      </c>
      <c r="AV149" s="476">
        <v>0</v>
      </c>
      <c r="AW149" s="476">
        <v>1756316</v>
      </c>
      <c r="AX149" s="476">
        <v>1729574</v>
      </c>
      <c r="AY149" s="476">
        <v>0</v>
      </c>
      <c r="AZ149" s="476">
        <v>66287</v>
      </c>
      <c r="BA149" s="476">
        <v>12.75</v>
      </c>
      <c r="BB149" s="476">
        <v>0</v>
      </c>
      <c r="BC149" s="476">
        <v>0</v>
      </c>
      <c r="BD149" s="476">
        <v>0</v>
      </c>
      <c r="BE149" s="476">
        <v>0</v>
      </c>
      <c r="BF149" s="476">
        <v>1560693</v>
      </c>
      <c r="BG149" s="476">
        <v>0</v>
      </c>
      <c r="BH149" s="476">
        <v>0</v>
      </c>
      <c r="BI149" s="476">
        <v>0</v>
      </c>
      <c r="BJ149" s="476">
        <v>12</v>
      </c>
      <c r="BK149" s="476">
        <v>0</v>
      </c>
      <c r="BL149" s="476">
        <v>0</v>
      </c>
      <c r="BM149" s="476">
        <v>0</v>
      </c>
      <c r="BN149" s="476">
        <v>0</v>
      </c>
      <c r="BO149" s="476">
        <v>0</v>
      </c>
      <c r="BP149" s="476">
        <v>0</v>
      </c>
      <c r="BQ149" s="476">
        <v>745</v>
      </c>
      <c r="BR149" s="476">
        <v>0</v>
      </c>
      <c r="BS149" s="476">
        <v>0</v>
      </c>
      <c r="BT149" s="476">
        <v>0</v>
      </c>
      <c r="BU149" s="476">
        <v>0</v>
      </c>
      <c r="BV149" s="476">
        <v>0</v>
      </c>
      <c r="BW149" s="476">
        <v>0</v>
      </c>
      <c r="BX149" s="476">
        <v>0</v>
      </c>
      <c r="BY149" s="476">
        <v>0</v>
      </c>
      <c r="BZ149" s="476">
        <v>0</v>
      </c>
      <c r="CA149" s="476">
        <v>0</v>
      </c>
      <c r="CB149" s="476">
        <v>0</v>
      </c>
      <c r="CC149" s="476">
        <v>0</v>
      </c>
      <c r="CD149" s="476">
        <v>0</v>
      </c>
      <c r="CE149" s="476">
        <v>0</v>
      </c>
      <c r="CF149" s="476">
        <v>0</v>
      </c>
      <c r="CG149" s="476">
        <v>0</v>
      </c>
      <c r="CH149" s="476">
        <v>26974</v>
      </c>
      <c r="CI149" s="476">
        <v>0</v>
      </c>
      <c r="CJ149" s="476">
        <v>4</v>
      </c>
      <c r="CK149" s="476">
        <v>0</v>
      </c>
      <c r="CL149" s="476">
        <v>0</v>
      </c>
      <c r="CM149" s="476">
        <v>0</v>
      </c>
      <c r="CN149" s="476">
        <v>0</v>
      </c>
      <c r="CO149" s="476">
        <v>1</v>
      </c>
      <c r="CP149" s="476">
        <v>0</v>
      </c>
      <c r="CQ149" s="476">
        <v>1.333</v>
      </c>
      <c r="CR149" s="476">
        <v>159.773</v>
      </c>
      <c r="CS149" s="476">
        <v>0</v>
      </c>
      <c r="CT149" s="476">
        <v>0</v>
      </c>
      <c r="CU149" s="476">
        <v>0</v>
      </c>
      <c r="CV149" s="476">
        <v>0</v>
      </c>
      <c r="CW149" s="476">
        <v>0</v>
      </c>
      <c r="CX149" s="476">
        <v>0</v>
      </c>
      <c r="CY149" s="476">
        <v>0</v>
      </c>
      <c r="CZ149" s="476">
        <v>0</v>
      </c>
      <c r="DA149" s="476">
        <v>0</v>
      </c>
      <c r="DB149" s="476">
        <v>972192</v>
      </c>
      <c r="DC149" s="476">
        <v>0</v>
      </c>
      <c r="DD149" s="476">
        <v>0</v>
      </c>
      <c r="DE149" s="476">
        <v>279427</v>
      </c>
      <c r="DF149" s="476">
        <v>279427</v>
      </c>
      <c r="DG149" s="476">
        <v>45.363</v>
      </c>
      <c r="DH149" s="476">
        <v>0</v>
      </c>
      <c r="DI149" s="476">
        <v>0</v>
      </c>
      <c r="DJ149" s="476">
        <v>0</v>
      </c>
      <c r="DK149" s="476">
        <v>3550</v>
      </c>
      <c r="DL149" s="476">
        <v>0</v>
      </c>
      <c r="DM149" s="476">
        <v>77012</v>
      </c>
      <c r="DN149" s="476">
        <v>232</v>
      </c>
      <c r="DO149" s="476">
        <v>0</v>
      </c>
      <c r="DP149" s="476">
        <v>0</v>
      </c>
      <c r="DQ149" s="476">
        <v>0</v>
      </c>
      <c r="DR149" s="476">
        <v>0</v>
      </c>
      <c r="DS149" s="476">
        <v>0</v>
      </c>
      <c r="DT149" s="476">
        <v>0</v>
      </c>
      <c r="DU149" s="476">
        <v>0</v>
      </c>
      <c r="DV149" s="476">
        <v>0</v>
      </c>
      <c r="DW149" s="476">
        <v>0</v>
      </c>
      <c r="DX149" s="476">
        <v>0</v>
      </c>
      <c r="DY149" s="476">
        <v>0</v>
      </c>
      <c r="DZ149" s="476">
        <v>0</v>
      </c>
      <c r="EA149" s="476">
        <v>0</v>
      </c>
      <c r="EB149" s="476">
        <v>0</v>
      </c>
      <c r="EC149" s="476">
        <v>7.7930000000000001</v>
      </c>
      <c r="ED149" s="476">
        <v>55204</v>
      </c>
      <c r="EE149" s="476">
        <v>0</v>
      </c>
      <c r="EF149" s="476">
        <v>0</v>
      </c>
      <c r="EG149" s="476">
        <v>0</v>
      </c>
      <c r="EH149" s="476">
        <v>12566</v>
      </c>
      <c r="EI149" s="476">
        <v>0</v>
      </c>
      <c r="EJ149" s="476">
        <v>0</v>
      </c>
      <c r="EK149" s="476">
        <v>0</v>
      </c>
      <c r="EL149" s="476">
        <v>0</v>
      </c>
      <c r="EM149" s="476">
        <v>0</v>
      </c>
      <c r="EN149" s="476">
        <v>0.40800000000000003</v>
      </c>
      <c r="EO149" s="476">
        <v>0</v>
      </c>
      <c r="EP149" s="476">
        <v>0</v>
      </c>
      <c r="EQ149" s="476">
        <v>0.40800000000000003</v>
      </c>
      <c r="ER149" s="476">
        <v>0</v>
      </c>
      <c r="ES149" s="476">
        <v>2.04</v>
      </c>
      <c r="ET149" s="476">
        <v>0</v>
      </c>
      <c r="EU149" s="476">
        <v>0</v>
      </c>
      <c r="EV149" s="476">
        <v>0</v>
      </c>
      <c r="EW149" s="476">
        <v>0</v>
      </c>
      <c r="EX149" s="476">
        <v>0</v>
      </c>
      <c r="EY149" s="476">
        <v>0</v>
      </c>
      <c r="EZ149" s="476">
        <v>1494406</v>
      </c>
      <c r="FA149" s="476">
        <v>0</v>
      </c>
      <c r="FB149" s="476">
        <v>1560461</v>
      </c>
      <c r="FC149" s="476">
        <v>0</v>
      </c>
      <c r="FD149" s="476">
        <v>0</v>
      </c>
      <c r="FE149" s="476">
        <v>201514</v>
      </c>
      <c r="FF149" s="476">
        <v>33654</v>
      </c>
      <c r="FG149" s="476">
        <v>6.3017999999999991E-2</v>
      </c>
      <c r="FH149" s="476">
        <v>2.6953999999999999E-2</v>
      </c>
      <c r="FI149" s="476">
        <v>0</v>
      </c>
      <c r="FJ149" s="476">
        <v>0</v>
      </c>
      <c r="FK149" s="476">
        <v>253.36500000000001</v>
      </c>
      <c r="FL149" s="476">
        <v>1822603</v>
      </c>
      <c r="FM149" s="476">
        <v>0</v>
      </c>
      <c r="FN149" s="476">
        <v>0</v>
      </c>
      <c r="FO149" s="476">
        <v>0</v>
      </c>
      <c r="FP149" s="476">
        <v>0</v>
      </c>
      <c r="FQ149" s="476">
        <v>0</v>
      </c>
      <c r="FR149" s="476">
        <v>0</v>
      </c>
      <c r="FS149" s="476">
        <v>0</v>
      </c>
      <c r="FT149" s="476">
        <v>0</v>
      </c>
      <c r="FU149" s="476">
        <v>0</v>
      </c>
      <c r="FV149" s="476">
        <v>0</v>
      </c>
      <c r="FW149" s="476">
        <v>0</v>
      </c>
      <c r="FX149" s="476">
        <v>0</v>
      </c>
      <c r="FY149" s="476">
        <v>0</v>
      </c>
      <c r="FZ149" s="476">
        <v>0</v>
      </c>
      <c r="GA149" s="476">
        <v>0</v>
      </c>
      <c r="GB149" s="476">
        <v>0</v>
      </c>
      <c r="GC149" s="476">
        <v>0</v>
      </c>
      <c r="GD149" s="476">
        <v>0</v>
      </c>
      <c r="GE149" s="476">
        <v>0</v>
      </c>
      <c r="GF149" s="476">
        <v>0</v>
      </c>
      <c r="GG149" s="476">
        <v>0</v>
      </c>
      <c r="GH149" s="476">
        <v>0</v>
      </c>
      <c r="GI149" s="476">
        <v>0</v>
      </c>
      <c r="GJ149" s="476">
        <v>0</v>
      </c>
      <c r="GK149" s="476">
        <v>0</v>
      </c>
      <c r="GL149" s="476">
        <v>0</v>
      </c>
      <c r="GM149" s="476">
        <v>0</v>
      </c>
      <c r="GN149" s="476">
        <v>0</v>
      </c>
      <c r="GO149" s="476">
        <v>0</v>
      </c>
      <c r="GP149" s="476">
        <v>0</v>
      </c>
      <c r="GQ149" s="476">
        <v>1729342</v>
      </c>
      <c r="GR149" s="476">
        <v>0</v>
      </c>
      <c r="GS149" s="476">
        <v>0</v>
      </c>
      <c r="GT149" s="476">
        <v>0</v>
      </c>
      <c r="GU149" s="476">
        <v>0</v>
      </c>
      <c r="GV149" s="476">
        <v>0</v>
      </c>
      <c r="GW149" s="476">
        <v>0</v>
      </c>
      <c r="GX149" s="476">
        <v>0</v>
      </c>
      <c r="GY149" s="476">
        <v>0</v>
      </c>
      <c r="GZ149" s="476">
        <v>0</v>
      </c>
      <c r="HA149" s="476">
        <v>0</v>
      </c>
      <c r="HB149" s="476">
        <v>323396213</v>
      </c>
      <c r="HC149" s="476">
        <v>4.2206E-2</v>
      </c>
      <c r="HD149" s="476">
        <v>26974</v>
      </c>
      <c r="HE149" s="476">
        <v>0</v>
      </c>
      <c r="HF149" s="476">
        <v>175620</v>
      </c>
      <c r="HG149" s="476">
        <v>3080</v>
      </c>
      <c r="HH149" s="476">
        <v>37595</v>
      </c>
      <c r="HI149" s="476">
        <v>0</v>
      </c>
      <c r="HJ149" s="476">
        <v>1598</v>
      </c>
      <c r="HK149" s="476">
        <v>0</v>
      </c>
      <c r="HL149" s="476">
        <v>0</v>
      </c>
      <c r="HM149" s="476">
        <v>0</v>
      </c>
      <c r="HN149" s="476">
        <v>0</v>
      </c>
      <c r="HO149" s="476">
        <v>0</v>
      </c>
      <c r="HP149" s="476">
        <v>0</v>
      </c>
      <c r="HQ149" s="476">
        <v>0</v>
      </c>
      <c r="HR149" s="476">
        <v>0</v>
      </c>
      <c r="HS149" s="476">
        <v>1494174</v>
      </c>
      <c r="HT149" s="476">
        <v>33654</v>
      </c>
      <c r="HU149" s="476">
        <v>0</v>
      </c>
      <c r="HV149" s="476">
        <v>0</v>
      </c>
      <c r="HW149" s="476">
        <v>0</v>
      </c>
      <c r="HX149" s="476">
        <v>2</v>
      </c>
      <c r="HY149" s="476">
        <v>11</v>
      </c>
      <c r="HZ149" s="476">
        <v>34</v>
      </c>
      <c r="IA149" s="476">
        <v>46</v>
      </c>
      <c r="IB149" s="476">
        <v>79</v>
      </c>
      <c r="IC149" s="476">
        <v>172</v>
      </c>
      <c r="ID149" s="476">
        <v>0</v>
      </c>
      <c r="IE149" s="476">
        <v>0</v>
      </c>
      <c r="IF149" s="476">
        <v>0</v>
      </c>
      <c r="IG149" s="476">
        <v>5</v>
      </c>
      <c r="IH149" s="476">
        <v>61.033000000000001</v>
      </c>
      <c r="II149" s="476">
        <v>0</v>
      </c>
      <c r="IJ149" s="476">
        <v>22.625</v>
      </c>
      <c r="IK149" s="476">
        <v>0</v>
      </c>
      <c r="IL149" s="476">
        <v>0</v>
      </c>
      <c r="IM149" s="476">
        <v>0</v>
      </c>
      <c r="IN149" s="476">
        <v>0</v>
      </c>
      <c r="IO149" s="476">
        <v>0</v>
      </c>
      <c r="IP149" s="476">
        <v>0</v>
      </c>
      <c r="IQ149" s="476">
        <v>22.625</v>
      </c>
      <c r="IR149" s="476">
        <v>13937</v>
      </c>
      <c r="IS149" s="476">
        <v>0</v>
      </c>
      <c r="IT149" s="476">
        <v>0</v>
      </c>
      <c r="IU149" s="476">
        <v>0</v>
      </c>
      <c r="IV149" s="476">
        <v>0</v>
      </c>
      <c r="IW149" s="476">
        <v>6160</v>
      </c>
      <c r="IX149" s="476">
        <v>0</v>
      </c>
      <c r="IY149" s="476">
        <v>0</v>
      </c>
      <c r="IZ149" s="476">
        <v>0</v>
      </c>
      <c r="JA149" s="476">
        <v>0</v>
      </c>
      <c r="JB149" s="476">
        <v>0</v>
      </c>
      <c r="JC149" s="476">
        <v>0</v>
      </c>
      <c r="JD149" s="476">
        <v>0</v>
      </c>
      <c r="JE149" s="476">
        <v>0</v>
      </c>
      <c r="JF149" s="476">
        <v>0</v>
      </c>
      <c r="JG149" s="476">
        <v>0</v>
      </c>
      <c r="JH149" s="476">
        <v>0</v>
      </c>
      <c r="JI149" s="476">
        <v>0</v>
      </c>
      <c r="JJ149" s="476">
        <v>0</v>
      </c>
      <c r="JK149" s="476">
        <v>0</v>
      </c>
      <c r="JL149" s="476">
        <v>0</v>
      </c>
      <c r="JM149" s="476">
        <v>0</v>
      </c>
      <c r="JN149" s="476">
        <v>32469</v>
      </c>
      <c r="JO149" s="476">
        <v>0</v>
      </c>
      <c r="JP149" s="476">
        <v>0</v>
      </c>
      <c r="JQ149" s="476">
        <v>0</v>
      </c>
      <c r="JR149" s="476">
        <v>0</v>
      </c>
      <c r="JS149" s="476">
        <v>0</v>
      </c>
      <c r="JT149" s="476">
        <v>0</v>
      </c>
      <c r="JU149" s="476">
        <v>0</v>
      </c>
      <c r="JV149" s="476">
        <v>0</v>
      </c>
      <c r="JW149" s="476">
        <v>0</v>
      </c>
      <c r="JX149" s="476">
        <v>0</v>
      </c>
      <c r="JY149" s="476">
        <v>0</v>
      </c>
      <c r="JZ149" s="476">
        <v>0</v>
      </c>
      <c r="KA149" s="476">
        <v>0</v>
      </c>
      <c r="KB149" s="476">
        <v>0</v>
      </c>
      <c r="KC149" s="476">
        <v>0</v>
      </c>
      <c r="KD149" s="476">
        <v>0</v>
      </c>
      <c r="KE149" s="476">
        <v>7262</v>
      </c>
      <c r="KF149" s="476">
        <v>0</v>
      </c>
      <c r="KG149" s="476">
        <v>0</v>
      </c>
      <c r="KH149" s="476">
        <v>1729342</v>
      </c>
      <c r="KI149" s="476">
        <v>0</v>
      </c>
      <c r="KJ149" s="476">
        <v>5</v>
      </c>
      <c r="KK149" s="476">
        <v>0</v>
      </c>
      <c r="KL149" s="476">
        <v>3080</v>
      </c>
      <c r="KM149" s="476">
        <v>0</v>
      </c>
      <c r="KN149" s="476">
        <v>0</v>
      </c>
    </row>
    <row r="150" spans="1:300" x14ac:dyDescent="0.25">
      <c r="A150" s="476">
        <v>40976</v>
      </c>
      <c r="B150" s="476">
        <v>178807</v>
      </c>
      <c r="C150" s="476">
        <v>9</v>
      </c>
      <c r="D150" s="476">
        <v>2024</v>
      </c>
      <c r="E150" s="476">
        <v>6160</v>
      </c>
      <c r="F150" s="476">
        <v>0</v>
      </c>
      <c r="G150" s="476">
        <v>126.78200000000001</v>
      </c>
      <c r="H150" s="476">
        <v>121.54400000000001</v>
      </c>
      <c r="I150" s="476">
        <v>121.54400000000001</v>
      </c>
      <c r="J150" s="476">
        <v>126.78200000000001</v>
      </c>
      <c r="K150" s="476">
        <v>0</v>
      </c>
      <c r="L150" s="476">
        <v>6160</v>
      </c>
      <c r="M150" s="476">
        <v>0</v>
      </c>
      <c r="N150" s="476">
        <v>0</v>
      </c>
      <c r="O150" s="476">
        <v>0</v>
      </c>
      <c r="P150" s="476">
        <v>126.78200000000001</v>
      </c>
      <c r="Q150" s="476">
        <v>0</v>
      </c>
      <c r="R150" s="476">
        <v>52600</v>
      </c>
      <c r="S150" s="476">
        <v>414.88400000000001</v>
      </c>
      <c r="T150" s="476">
        <v>0</v>
      </c>
      <c r="U150" s="476">
        <v>0</v>
      </c>
      <c r="V150" s="476">
        <v>3.0020000000000002</v>
      </c>
      <c r="W150" s="476">
        <v>1849</v>
      </c>
      <c r="X150" s="476">
        <v>1849</v>
      </c>
      <c r="Y150" s="476">
        <v>0</v>
      </c>
      <c r="Z150" s="476">
        <v>0</v>
      </c>
      <c r="AA150" s="476">
        <v>0</v>
      </c>
      <c r="AB150" s="476">
        <v>0</v>
      </c>
      <c r="AC150" s="476">
        <v>0</v>
      </c>
      <c r="AD150" s="476" t="s">
        <v>314</v>
      </c>
      <c r="AE150" s="476">
        <v>0</v>
      </c>
      <c r="AF150" s="476">
        <v>0</v>
      </c>
      <c r="AG150" s="476">
        <v>0</v>
      </c>
      <c r="AH150" s="476">
        <v>0</v>
      </c>
      <c r="AI150" s="476">
        <v>0</v>
      </c>
      <c r="AJ150" s="476">
        <v>6160</v>
      </c>
      <c r="AK150" s="476" t="s">
        <v>651</v>
      </c>
      <c r="AL150" s="476" t="s">
        <v>68</v>
      </c>
      <c r="AM150" s="476">
        <v>0</v>
      </c>
      <c r="AN150" s="476">
        <v>0</v>
      </c>
      <c r="AO150" s="476">
        <v>0</v>
      </c>
      <c r="AP150" s="476">
        <v>0</v>
      </c>
      <c r="AQ150" s="476">
        <v>0</v>
      </c>
      <c r="AR150" s="476">
        <v>0</v>
      </c>
      <c r="AS150" s="476">
        <v>0</v>
      </c>
      <c r="AT150" s="476">
        <v>0</v>
      </c>
      <c r="AU150" s="476">
        <v>0</v>
      </c>
      <c r="AV150" s="476">
        <v>0</v>
      </c>
      <c r="AW150" s="476">
        <v>1212521</v>
      </c>
      <c r="AX150" s="476">
        <v>1191507</v>
      </c>
      <c r="AY150" s="476">
        <v>0</v>
      </c>
      <c r="AZ150" s="476">
        <v>52600</v>
      </c>
      <c r="BA150" s="476">
        <v>0</v>
      </c>
      <c r="BB150" s="476">
        <v>0</v>
      </c>
      <c r="BC150" s="476">
        <v>0</v>
      </c>
      <c r="BD150" s="476">
        <v>0</v>
      </c>
      <c r="BE150" s="476">
        <v>0</v>
      </c>
      <c r="BF150" s="476">
        <v>1081192</v>
      </c>
      <c r="BG150" s="476">
        <v>0</v>
      </c>
      <c r="BH150" s="476">
        <v>0</v>
      </c>
      <c r="BI150" s="476">
        <v>0</v>
      </c>
      <c r="BJ150" s="476">
        <v>12</v>
      </c>
      <c r="BK150" s="476">
        <v>0</v>
      </c>
      <c r="BL150" s="476">
        <v>0</v>
      </c>
      <c r="BM150" s="476">
        <v>0</v>
      </c>
      <c r="BN150" s="476">
        <v>0</v>
      </c>
      <c r="BO150" s="476">
        <v>0</v>
      </c>
      <c r="BP150" s="476">
        <v>0</v>
      </c>
      <c r="BQ150" s="476">
        <v>751</v>
      </c>
      <c r="BR150" s="476">
        <v>0</v>
      </c>
      <c r="BS150" s="476">
        <v>0</v>
      </c>
      <c r="BT150" s="476">
        <v>0</v>
      </c>
      <c r="BU150" s="476">
        <v>0</v>
      </c>
      <c r="BV150" s="476">
        <v>0</v>
      </c>
      <c r="BW150" s="476">
        <v>0</v>
      </c>
      <c r="BX150" s="476">
        <v>0</v>
      </c>
      <c r="BY150" s="476">
        <v>0</v>
      </c>
      <c r="BZ150" s="476">
        <v>0</v>
      </c>
      <c r="CA150" s="476">
        <v>0</v>
      </c>
      <c r="CB150" s="476">
        <v>0</v>
      </c>
      <c r="CC150" s="476">
        <v>0</v>
      </c>
      <c r="CD150" s="476">
        <v>0</v>
      </c>
      <c r="CE150" s="476">
        <v>0</v>
      </c>
      <c r="CF150" s="476">
        <v>0</v>
      </c>
      <c r="CG150" s="476">
        <v>0</v>
      </c>
      <c r="CH150" s="476">
        <v>21404</v>
      </c>
      <c r="CI150" s="476">
        <v>0</v>
      </c>
      <c r="CJ150" s="476">
        <v>4</v>
      </c>
      <c r="CK150" s="476">
        <v>0</v>
      </c>
      <c r="CL150" s="476">
        <v>0</v>
      </c>
      <c r="CM150" s="476">
        <v>0</v>
      </c>
      <c r="CN150" s="476">
        <v>0</v>
      </c>
      <c r="CO150" s="476">
        <v>1</v>
      </c>
      <c r="CP150" s="476">
        <v>0</v>
      </c>
      <c r="CQ150" s="476">
        <v>0</v>
      </c>
      <c r="CR150" s="476">
        <v>126.78200000000001</v>
      </c>
      <c r="CS150" s="476">
        <v>0</v>
      </c>
      <c r="CT150" s="476">
        <v>0</v>
      </c>
      <c r="CU150" s="476">
        <v>0</v>
      </c>
      <c r="CV150" s="476">
        <v>0</v>
      </c>
      <c r="CW150" s="476">
        <v>0</v>
      </c>
      <c r="CX150" s="476">
        <v>0</v>
      </c>
      <c r="CY150" s="476">
        <v>0</v>
      </c>
      <c r="CZ150" s="476">
        <v>0</v>
      </c>
      <c r="DA150" s="476">
        <v>0</v>
      </c>
      <c r="DB150" s="476">
        <v>748694</v>
      </c>
      <c r="DC150" s="476">
        <v>0</v>
      </c>
      <c r="DD150" s="476">
        <v>0</v>
      </c>
      <c r="DE150" s="476">
        <v>67989</v>
      </c>
      <c r="DF150" s="476">
        <v>67989</v>
      </c>
      <c r="DG150" s="476">
        <v>11.038</v>
      </c>
      <c r="DH150" s="476">
        <v>0</v>
      </c>
      <c r="DI150" s="476">
        <v>0</v>
      </c>
      <c r="DJ150" s="476">
        <v>0</v>
      </c>
      <c r="DK150" s="476">
        <v>3643</v>
      </c>
      <c r="DL150" s="476">
        <v>0</v>
      </c>
      <c r="DM150" s="476">
        <v>113403</v>
      </c>
      <c r="DN150" s="476">
        <v>390</v>
      </c>
      <c r="DO150" s="476">
        <v>0</v>
      </c>
      <c r="DP150" s="476">
        <v>0</v>
      </c>
      <c r="DQ150" s="476">
        <v>0</v>
      </c>
      <c r="DR150" s="476">
        <v>0</v>
      </c>
      <c r="DS150" s="476">
        <v>0</v>
      </c>
      <c r="DT150" s="476">
        <v>0</v>
      </c>
      <c r="DU150" s="476">
        <v>0</v>
      </c>
      <c r="DV150" s="476">
        <v>0</v>
      </c>
      <c r="DW150" s="476">
        <v>0</v>
      </c>
      <c r="DX150" s="476">
        <v>0</v>
      </c>
      <c r="DY150" s="476">
        <v>0</v>
      </c>
      <c r="DZ150" s="476">
        <v>0</v>
      </c>
      <c r="EA150" s="476">
        <v>0</v>
      </c>
      <c r="EB150" s="476">
        <v>0</v>
      </c>
      <c r="EC150" s="476">
        <v>1.5820000000000001</v>
      </c>
      <c r="ED150" s="476">
        <v>11207</v>
      </c>
      <c r="EE150" s="476">
        <v>0</v>
      </c>
      <c r="EF150" s="476">
        <v>0</v>
      </c>
      <c r="EG150" s="476">
        <v>0</v>
      </c>
      <c r="EH150" s="476">
        <v>102586</v>
      </c>
      <c r="EI150" s="476">
        <v>0</v>
      </c>
      <c r="EJ150" s="476">
        <v>0</v>
      </c>
      <c r="EK150" s="476">
        <v>4.665</v>
      </c>
      <c r="EL150" s="476">
        <v>0</v>
      </c>
      <c r="EM150" s="476">
        <v>0.10300000000000001</v>
      </c>
      <c r="EN150" s="476">
        <v>0.47000000000000003</v>
      </c>
      <c r="EO150" s="476">
        <v>0</v>
      </c>
      <c r="EP150" s="476">
        <v>0</v>
      </c>
      <c r="EQ150" s="476">
        <v>5.2380000000000004</v>
      </c>
      <c r="ER150" s="476">
        <v>0</v>
      </c>
      <c r="ES150" s="476">
        <v>16.654</v>
      </c>
      <c r="ET150" s="476">
        <v>0</v>
      </c>
      <c r="EU150" s="476">
        <v>0</v>
      </c>
      <c r="EV150" s="476">
        <v>0</v>
      </c>
      <c r="EW150" s="476">
        <v>0</v>
      </c>
      <c r="EX150" s="476">
        <v>0</v>
      </c>
      <c r="EY150" s="476">
        <v>0</v>
      </c>
      <c r="EZ150" s="476">
        <v>1028592</v>
      </c>
      <c r="FA150" s="476">
        <v>0</v>
      </c>
      <c r="FB150" s="476">
        <v>1080802</v>
      </c>
      <c r="FC150" s="476">
        <v>0</v>
      </c>
      <c r="FD150" s="476">
        <v>0</v>
      </c>
      <c r="FE150" s="476">
        <v>139601</v>
      </c>
      <c r="FF150" s="476">
        <v>23314</v>
      </c>
      <c r="FG150" s="476">
        <v>6.3017999999999991E-2</v>
      </c>
      <c r="FH150" s="476">
        <v>2.6953999999999999E-2</v>
      </c>
      <c r="FI150" s="476">
        <v>0</v>
      </c>
      <c r="FJ150" s="476">
        <v>0</v>
      </c>
      <c r="FK150" s="476">
        <v>175.52200000000002</v>
      </c>
      <c r="FL150" s="476">
        <v>1265121</v>
      </c>
      <c r="FM150" s="476">
        <v>0</v>
      </c>
      <c r="FN150" s="476">
        <v>0</v>
      </c>
      <c r="FO150" s="476">
        <v>0</v>
      </c>
      <c r="FP150" s="476">
        <v>0</v>
      </c>
      <c r="FQ150" s="476">
        <v>0</v>
      </c>
      <c r="FR150" s="476">
        <v>0</v>
      </c>
      <c r="FS150" s="476">
        <v>0</v>
      </c>
      <c r="FT150" s="476">
        <v>0</v>
      </c>
      <c r="FU150" s="476">
        <v>0</v>
      </c>
      <c r="FV150" s="476">
        <v>0</v>
      </c>
      <c r="FW150" s="476">
        <v>0</v>
      </c>
      <c r="FX150" s="476">
        <v>0</v>
      </c>
      <c r="FY150" s="476">
        <v>0</v>
      </c>
      <c r="FZ150" s="476">
        <v>0</v>
      </c>
      <c r="GA150" s="476">
        <v>0</v>
      </c>
      <c r="GB150" s="476">
        <v>0</v>
      </c>
      <c r="GC150" s="476">
        <v>0</v>
      </c>
      <c r="GD150" s="476">
        <v>0</v>
      </c>
      <c r="GE150" s="476">
        <v>0</v>
      </c>
      <c r="GF150" s="476">
        <v>0</v>
      </c>
      <c r="GG150" s="476">
        <v>0</v>
      </c>
      <c r="GH150" s="476">
        <v>0</v>
      </c>
      <c r="GI150" s="476">
        <v>0</v>
      </c>
      <c r="GJ150" s="476">
        <v>0</v>
      </c>
      <c r="GK150" s="476">
        <v>0</v>
      </c>
      <c r="GL150" s="476">
        <v>0</v>
      </c>
      <c r="GM150" s="476">
        <v>0</v>
      </c>
      <c r="GN150" s="476">
        <v>0</v>
      </c>
      <c r="GO150" s="476">
        <v>0</v>
      </c>
      <c r="GP150" s="476">
        <v>0</v>
      </c>
      <c r="GQ150" s="476">
        <v>1191117</v>
      </c>
      <c r="GR150" s="476">
        <v>0</v>
      </c>
      <c r="GS150" s="476">
        <v>0</v>
      </c>
      <c r="GT150" s="476">
        <v>0</v>
      </c>
      <c r="GU150" s="476">
        <v>0</v>
      </c>
      <c r="GV150" s="476">
        <v>0</v>
      </c>
      <c r="GW150" s="476">
        <v>0</v>
      </c>
      <c r="GX150" s="476">
        <v>0</v>
      </c>
      <c r="GY150" s="476">
        <v>0</v>
      </c>
      <c r="GZ150" s="476">
        <v>0</v>
      </c>
      <c r="HA150" s="476">
        <v>0</v>
      </c>
      <c r="HB150" s="476">
        <v>323396213</v>
      </c>
      <c r="HC150" s="476">
        <v>4.2206E-2</v>
      </c>
      <c r="HD150" s="476">
        <v>21404</v>
      </c>
      <c r="HE150" s="476">
        <v>0</v>
      </c>
      <c r="HF150" s="476">
        <v>133941</v>
      </c>
      <c r="HG150" s="476">
        <v>3080</v>
      </c>
      <c r="HH150" s="476">
        <v>10578</v>
      </c>
      <c r="HI150" s="476">
        <v>0</v>
      </c>
      <c r="HJ150" s="476">
        <v>1268</v>
      </c>
      <c r="HK150" s="476">
        <v>0</v>
      </c>
      <c r="HL150" s="476">
        <v>0</v>
      </c>
      <c r="HM150" s="476">
        <v>0</v>
      </c>
      <c r="HN150" s="476">
        <v>0</v>
      </c>
      <c r="HO150" s="476">
        <v>0</v>
      </c>
      <c r="HP150" s="476">
        <v>0</v>
      </c>
      <c r="HQ150" s="476">
        <v>0</v>
      </c>
      <c r="HR150" s="476">
        <v>0</v>
      </c>
      <c r="HS150" s="476">
        <v>1028202</v>
      </c>
      <c r="HT150" s="476">
        <v>23314</v>
      </c>
      <c r="HU150" s="476">
        <v>0</v>
      </c>
      <c r="HV150" s="476">
        <v>0</v>
      </c>
      <c r="HW150" s="476">
        <v>0</v>
      </c>
      <c r="HX150" s="476">
        <v>5</v>
      </c>
      <c r="HY150" s="476">
        <v>4</v>
      </c>
      <c r="HZ150" s="476">
        <v>13</v>
      </c>
      <c r="IA150" s="476">
        <v>5</v>
      </c>
      <c r="IB150" s="476">
        <v>16</v>
      </c>
      <c r="IC150" s="476">
        <v>43</v>
      </c>
      <c r="ID150" s="476">
        <v>0</v>
      </c>
      <c r="IE150" s="476">
        <v>0</v>
      </c>
      <c r="IF150" s="476">
        <v>0</v>
      </c>
      <c r="IG150" s="476">
        <v>5</v>
      </c>
      <c r="IH150" s="476">
        <v>17.173000000000002</v>
      </c>
      <c r="II150" s="476">
        <v>0</v>
      </c>
      <c r="IJ150" s="476">
        <v>3.0020000000000002</v>
      </c>
      <c r="IK150" s="476">
        <v>0</v>
      </c>
      <c r="IL150" s="476">
        <v>0</v>
      </c>
      <c r="IM150" s="476">
        <v>0</v>
      </c>
      <c r="IN150" s="476">
        <v>0</v>
      </c>
      <c r="IO150" s="476">
        <v>0</v>
      </c>
      <c r="IP150" s="476">
        <v>0</v>
      </c>
      <c r="IQ150" s="476">
        <v>3.0020000000000002</v>
      </c>
      <c r="IR150" s="476">
        <v>1849</v>
      </c>
      <c r="IS150" s="476">
        <v>0</v>
      </c>
      <c r="IT150" s="476">
        <v>0</v>
      </c>
      <c r="IU150" s="476">
        <v>0</v>
      </c>
      <c r="IV150" s="476">
        <v>0</v>
      </c>
      <c r="IW150" s="476">
        <v>6160</v>
      </c>
      <c r="IX150" s="476">
        <v>0</v>
      </c>
      <c r="IY150" s="476">
        <v>0</v>
      </c>
      <c r="IZ150" s="476">
        <v>0</v>
      </c>
      <c r="JA150" s="476">
        <v>0</v>
      </c>
      <c r="JB150" s="476">
        <v>0</v>
      </c>
      <c r="JC150" s="476">
        <v>0</v>
      </c>
      <c r="JD150" s="476">
        <v>0</v>
      </c>
      <c r="JE150" s="476">
        <v>0</v>
      </c>
      <c r="JF150" s="476">
        <v>0</v>
      </c>
      <c r="JG150" s="476">
        <v>0</v>
      </c>
      <c r="JH150" s="476">
        <v>0</v>
      </c>
      <c r="JI150" s="476">
        <v>0</v>
      </c>
      <c r="JJ150" s="476">
        <v>0</v>
      </c>
      <c r="JK150" s="476">
        <v>0</v>
      </c>
      <c r="JL150" s="476">
        <v>0</v>
      </c>
      <c r="JM150" s="476">
        <v>0</v>
      </c>
      <c r="JN150" s="476">
        <v>32469</v>
      </c>
      <c r="JO150" s="476">
        <v>0</v>
      </c>
      <c r="JP150" s="476">
        <v>0</v>
      </c>
      <c r="JQ150" s="476">
        <v>0</v>
      </c>
      <c r="JR150" s="476">
        <v>0</v>
      </c>
      <c r="JS150" s="476">
        <v>0</v>
      </c>
      <c r="JT150" s="476">
        <v>0</v>
      </c>
      <c r="JU150" s="476">
        <v>0</v>
      </c>
      <c r="JV150" s="476">
        <v>0</v>
      </c>
      <c r="JW150" s="476">
        <v>0</v>
      </c>
      <c r="JX150" s="476">
        <v>0</v>
      </c>
      <c r="JY150" s="476">
        <v>0</v>
      </c>
      <c r="JZ150" s="476">
        <v>0</v>
      </c>
      <c r="KA150" s="476">
        <v>0</v>
      </c>
      <c r="KB150" s="476">
        <v>0</v>
      </c>
      <c r="KC150" s="476">
        <v>0</v>
      </c>
      <c r="KD150" s="476">
        <v>0</v>
      </c>
      <c r="KE150" s="476">
        <v>7262</v>
      </c>
      <c r="KF150" s="476">
        <v>0</v>
      </c>
      <c r="KG150" s="476">
        <v>0</v>
      </c>
      <c r="KH150" s="476">
        <v>1191117</v>
      </c>
      <c r="KI150" s="476">
        <v>0</v>
      </c>
      <c r="KJ150" s="476">
        <v>4</v>
      </c>
      <c r="KK150" s="476">
        <v>1</v>
      </c>
      <c r="KL150" s="476">
        <v>2464</v>
      </c>
      <c r="KM150" s="476">
        <v>616</v>
      </c>
      <c r="KN150" s="476">
        <v>0</v>
      </c>
    </row>
    <row r="151" spans="1:300" x14ac:dyDescent="0.25">
      <c r="A151" s="476">
        <v>40976</v>
      </c>
      <c r="B151" s="476">
        <v>178808</v>
      </c>
      <c r="C151" s="476">
        <v>9</v>
      </c>
      <c r="D151" s="476">
        <v>2024</v>
      </c>
      <c r="E151" s="476">
        <v>6160</v>
      </c>
      <c r="F151" s="476">
        <v>0</v>
      </c>
      <c r="G151" s="476">
        <v>437.65800000000002</v>
      </c>
      <c r="H151" s="476">
        <v>425.11100000000005</v>
      </c>
      <c r="I151" s="476">
        <v>425.11100000000005</v>
      </c>
      <c r="J151" s="476">
        <v>437.65800000000002</v>
      </c>
      <c r="K151" s="476">
        <v>0</v>
      </c>
      <c r="L151" s="476">
        <v>6160</v>
      </c>
      <c r="M151" s="476">
        <v>0</v>
      </c>
      <c r="N151" s="476">
        <v>0</v>
      </c>
      <c r="O151" s="476">
        <v>0</v>
      </c>
      <c r="P151" s="476">
        <v>438.69800000000004</v>
      </c>
      <c r="Q151" s="476">
        <v>0</v>
      </c>
      <c r="R151" s="476">
        <v>182009</v>
      </c>
      <c r="S151" s="476">
        <v>414.88400000000001</v>
      </c>
      <c r="T151" s="476">
        <v>0</v>
      </c>
      <c r="U151" s="476">
        <v>0</v>
      </c>
      <c r="V151" s="476">
        <v>4.165</v>
      </c>
      <c r="W151" s="476">
        <v>2566</v>
      </c>
      <c r="X151" s="476">
        <v>2566</v>
      </c>
      <c r="Y151" s="476">
        <v>0</v>
      </c>
      <c r="Z151" s="476">
        <v>0</v>
      </c>
      <c r="AA151" s="476">
        <v>0</v>
      </c>
      <c r="AB151" s="476">
        <v>0</v>
      </c>
      <c r="AC151" s="476">
        <v>0</v>
      </c>
      <c r="AD151" s="476" t="s">
        <v>314</v>
      </c>
      <c r="AE151" s="476">
        <v>0</v>
      </c>
      <c r="AF151" s="476">
        <v>0</v>
      </c>
      <c r="AG151" s="476">
        <v>0</v>
      </c>
      <c r="AH151" s="476">
        <v>0</v>
      </c>
      <c r="AI151" s="476">
        <v>0</v>
      </c>
      <c r="AJ151" s="476">
        <v>6160</v>
      </c>
      <c r="AK151" s="476" t="s">
        <v>651</v>
      </c>
      <c r="AL151" s="476" t="s">
        <v>99</v>
      </c>
      <c r="AM151" s="476">
        <v>0</v>
      </c>
      <c r="AN151" s="476">
        <v>0</v>
      </c>
      <c r="AO151" s="476">
        <v>0</v>
      </c>
      <c r="AP151" s="476">
        <v>0</v>
      </c>
      <c r="AQ151" s="476">
        <v>0</v>
      </c>
      <c r="AR151" s="476">
        <v>0</v>
      </c>
      <c r="AS151" s="476">
        <v>0</v>
      </c>
      <c r="AT151" s="476">
        <v>0</v>
      </c>
      <c r="AU151" s="476">
        <v>0</v>
      </c>
      <c r="AV151" s="476">
        <v>0</v>
      </c>
      <c r="AW151" s="476">
        <v>3808117</v>
      </c>
      <c r="AX151" s="476">
        <v>3735128</v>
      </c>
      <c r="AY151" s="476">
        <v>0</v>
      </c>
      <c r="AZ151" s="476">
        <v>182009</v>
      </c>
      <c r="BA151" s="476">
        <v>0</v>
      </c>
      <c r="BB151" s="476">
        <v>9328</v>
      </c>
      <c r="BC151" s="476">
        <v>9268</v>
      </c>
      <c r="BD151" s="476">
        <v>21.883000000000003</v>
      </c>
      <c r="BE151" s="476">
        <v>59</v>
      </c>
      <c r="BF151" s="476">
        <v>3404188</v>
      </c>
      <c r="BG151" s="476">
        <v>0</v>
      </c>
      <c r="BH151" s="476">
        <v>0</v>
      </c>
      <c r="BI151" s="476">
        <v>0</v>
      </c>
      <c r="BJ151" s="476">
        <v>12</v>
      </c>
      <c r="BK151" s="476">
        <v>0</v>
      </c>
      <c r="BL151" s="476">
        <v>0</v>
      </c>
      <c r="BM151" s="476">
        <v>0</v>
      </c>
      <c r="BN151" s="476">
        <v>0</v>
      </c>
      <c r="BO151" s="476">
        <v>0</v>
      </c>
      <c r="BP151" s="476">
        <v>0</v>
      </c>
      <c r="BQ151" s="476">
        <v>705</v>
      </c>
      <c r="BR151" s="476">
        <v>0</v>
      </c>
      <c r="BS151" s="476">
        <v>0</v>
      </c>
      <c r="BT151" s="476">
        <v>0</v>
      </c>
      <c r="BU151" s="476">
        <v>0</v>
      </c>
      <c r="BV151" s="476">
        <v>0</v>
      </c>
      <c r="BW151" s="476">
        <v>0</v>
      </c>
      <c r="BX151" s="476">
        <v>0</v>
      </c>
      <c r="BY151" s="476">
        <v>0</v>
      </c>
      <c r="BZ151" s="476">
        <v>0</v>
      </c>
      <c r="CA151" s="476">
        <v>0</v>
      </c>
      <c r="CB151" s="476">
        <v>0</v>
      </c>
      <c r="CC151" s="476">
        <v>0</v>
      </c>
      <c r="CD151" s="476">
        <v>0</v>
      </c>
      <c r="CE151" s="476">
        <v>0</v>
      </c>
      <c r="CF151" s="476">
        <v>0</v>
      </c>
      <c r="CG151" s="476">
        <v>0</v>
      </c>
      <c r="CH151" s="476">
        <v>73888</v>
      </c>
      <c r="CI151" s="476">
        <v>0</v>
      </c>
      <c r="CJ151" s="476">
        <v>4</v>
      </c>
      <c r="CK151" s="476">
        <v>0</v>
      </c>
      <c r="CL151" s="476">
        <v>0</v>
      </c>
      <c r="CM151" s="476">
        <v>0</v>
      </c>
      <c r="CN151" s="476">
        <v>0</v>
      </c>
      <c r="CO151" s="476">
        <v>1</v>
      </c>
      <c r="CP151" s="476">
        <v>0</v>
      </c>
      <c r="CQ151" s="476">
        <v>0</v>
      </c>
      <c r="CR151" s="476">
        <v>437.65800000000002</v>
      </c>
      <c r="CS151" s="476">
        <v>0</v>
      </c>
      <c r="CT151" s="476">
        <v>0</v>
      </c>
      <c r="CU151" s="476">
        <v>0</v>
      </c>
      <c r="CV151" s="476">
        <v>0</v>
      </c>
      <c r="CW151" s="476">
        <v>0</v>
      </c>
      <c r="CX151" s="476">
        <v>0</v>
      </c>
      <c r="CY151" s="476">
        <v>0</v>
      </c>
      <c r="CZ151" s="476">
        <v>0</v>
      </c>
      <c r="DA151" s="476">
        <v>0</v>
      </c>
      <c r="DB151" s="476">
        <v>2617247</v>
      </c>
      <c r="DC151" s="476">
        <v>0</v>
      </c>
      <c r="DD151" s="476">
        <v>0</v>
      </c>
      <c r="DE151" s="476">
        <v>9856</v>
      </c>
      <c r="DF151" s="476">
        <v>9856</v>
      </c>
      <c r="DG151" s="476">
        <v>1.6</v>
      </c>
      <c r="DH151" s="476">
        <v>0</v>
      </c>
      <c r="DI151" s="476">
        <v>0</v>
      </c>
      <c r="DJ151" s="476">
        <v>0</v>
      </c>
      <c r="DK151" s="476">
        <v>2895</v>
      </c>
      <c r="DL151" s="476">
        <v>0</v>
      </c>
      <c r="DM151" s="476">
        <v>245534</v>
      </c>
      <c r="DN151" s="476">
        <v>839</v>
      </c>
      <c r="DO151" s="476">
        <v>0</v>
      </c>
      <c r="DP151" s="476">
        <v>0</v>
      </c>
      <c r="DQ151" s="476">
        <v>0</v>
      </c>
      <c r="DR151" s="476">
        <v>0</v>
      </c>
      <c r="DS151" s="476">
        <v>0</v>
      </c>
      <c r="DT151" s="476">
        <v>0</v>
      </c>
      <c r="DU151" s="476">
        <v>0</v>
      </c>
      <c r="DV151" s="476">
        <v>0</v>
      </c>
      <c r="DW151" s="476">
        <v>0</v>
      </c>
      <c r="DX151" s="476">
        <v>0</v>
      </c>
      <c r="DY151" s="476">
        <v>0</v>
      </c>
      <c r="DZ151" s="476">
        <v>0</v>
      </c>
      <c r="EA151" s="476">
        <v>1.5000000000000001E-2</v>
      </c>
      <c r="EB151" s="476">
        <v>0</v>
      </c>
      <c r="EC151" s="476">
        <v>6.327</v>
      </c>
      <c r="ED151" s="476">
        <v>44819</v>
      </c>
      <c r="EE151" s="476">
        <v>0</v>
      </c>
      <c r="EF151" s="476">
        <v>0</v>
      </c>
      <c r="EG151" s="476">
        <v>0</v>
      </c>
      <c r="EH151" s="476">
        <v>200177</v>
      </c>
      <c r="EI151" s="476">
        <v>0</v>
      </c>
      <c r="EJ151" s="476">
        <v>0</v>
      </c>
      <c r="EK151" s="476">
        <v>9.0240000000000009</v>
      </c>
      <c r="EL151" s="476">
        <v>0</v>
      </c>
      <c r="EM151" s="476">
        <v>0</v>
      </c>
      <c r="EN151" s="476">
        <v>1.07</v>
      </c>
      <c r="EO151" s="476">
        <v>0</v>
      </c>
      <c r="EP151" s="476">
        <v>0</v>
      </c>
      <c r="EQ151" s="476">
        <v>10.109</v>
      </c>
      <c r="ER151" s="476">
        <v>0</v>
      </c>
      <c r="ES151" s="476">
        <v>32.497</v>
      </c>
      <c r="ET151" s="476">
        <v>0</v>
      </c>
      <c r="EU151" s="476">
        <v>0</v>
      </c>
      <c r="EV151" s="476">
        <v>0</v>
      </c>
      <c r="EW151" s="476">
        <v>0</v>
      </c>
      <c r="EX151" s="476">
        <v>0</v>
      </c>
      <c r="EY151" s="476">
        <v>0</v>
      </c>
      <c r="EZ151" s="476">
        <v>3222179</v>
      </c>
      <c r="FA151" s="476">
        <v>0</v>
      </c>
      <c r="FB151" s="476">
        <v>3403289</v>
      </c>
      <c r="FC151" s="476">
        <v>0</v>
      </c>
      <c r="FD151" s="476">
        <v>0</v>
      </c>
      <c r="FE151" s="476">
        <v>439542</v>
      </c>
      <c r="FF151" s="476">
        <v>73407</v>
      </c>
      <c r="FG151" s="476">
        <v>6.3017999999999991E-2</v>
      </c>
      <c r="FH151" s="476">
        <v>2.6953999999999999E-2</v>
      </c>
      <c r="FI151" s="476">
        <v>0</v>
      </c>
      <c r="FJ151" s="476">
        <v>0</v>
      </c>
      <c r="FK151" s="476">
        <v>552.64</v>
      </c>
      <c r="FL151" s="476">
        <v>3990126</v>
      </c>
      <c r="FM151" s="476">
        <v>0</v>
      </c>
      <c r="FN151" s="476">
        <v>0</v>
      </c>
      <c r="FO151" s="476">
        <v>0</v>
      </c>
      <c r="FP151" s="476">
        <v>0</v>
      </c>
      <c r="FQ151" s="476">
        <v>0</v>
      </c>
      <c r="FR151" s="476">
        <v>0</v>
      </c>
      <c r="FS151" s="476">
        <v>0</v>
      </c>
      <c r="FT151" s="476">
        <v>0</v>
      </c>
      <c r="FU151" s="476">
        <v>0</v>
      </c>
      <c r="FV151" s="476">
        <v>0</v>
      </c>
      <c r="FW151" s="476">
        <v>0</v>
      </c>
      <c r="FX151" s="476">
        <v>0</v>
      </c>
      <c r="FY151" s="476">
        <v>0</v>
      </c>
      <c r="FZ151" s="476">
        <v>0</v>
      </c>
      <c r="GA151" s="476">
        <v>0</v>
      </c>
      <c r="GB151" s="476">
        <v>22662</v>
      </c>
      <c r="GC151" s="476">
        <v>22662</v>
      </c>
      <c r="GD151" s="476">
        <v>2.4380000000000002</v>
      </c>
      <c r="GE151" s="476">
        <v>0</v>
      </c>
      <c r="GF151" s="476">
        <v>0</v>
      </c>
      <c r="GG151" s="476">
        <v>0</v>
      </c>
      <c r="GH151" s="476">
        <v>0</v>
      </c>
      <c r="GI151" s="476">
        <v>0</v>
      </c>
      <c r="GJ151" s="476">
        <v>0</v>
      </c>
      <c r="GK151" s="476">
        <v>0</v>
      </c>
      <c r="GL151" s="476">
        <v>0</v>
      </c>
      <c r="GM151" s="476">
        <v>0</v>
      </c>
      <c r="GN151" s="476">
        <v>0</v>
      </c>
      <c r="GO151" s="476">
        <v>0</v>
      </c>
      <c r="GP151" s="476">
        <v>0</v>
      </c>
      <c r="GQ151" s="476">
        <v>3734229</v>
      </c>
      <c r="GR151" s="476">
        <v>0</v>
      </c>
      <c r="GS151" s="476">
        <v>0</v>
      </c>
      <c r="GT151" s="476">
        <v>0</v>
      </c>
      <c r="GU151" s="476">
        <v>0</v>
      </c>
      <c r="GV151" s="476">
        <v>0</v>
      </c>
      <c r="GW151" s="476">
        <v>0</v>
      </c>
      <c r="GX151" s="476">
        <v>0</v>
      </c>
      <c r="GY151" s="476">
        <v>0</v>
      </c>
      <c r="GZ151" s="476">
        <v>0</v>
      </c>
      <c r="HA151" s="476">
        <v>0</v>
      </c>
      <c r="HB151" s="476">
        <v>323396213</v>
      </c>
      <c r="HC151" s="476">
        <v>4.2206E-2</v>
      </c>
      <c r="HD151" s="476">
        <v>73888</v>
      </c>
      <c r="HE151" s="476">
        <v>0</v>
      </c>
      <c r="HF151" s="476">
        <v>468472</v>
      </c>
      <c r="HG151" s="476">
        <v>22175</v>
      </c>
      <c r="HH151" s="476">
        <v>1132</v>
      </c>
      <c r="HI151" s="476">
        <v>0</v>
      </c>
      <c r="HJ151" s="476">
        <v>4377</v>
      </c>
      <c r="HK151" s="476">
        <v>0</v>
      </c>
      <c r="HL151" s="476">
        <v>0</v>
      </c>
      <c r="HM151" s="476">
        <v>0</v>
      </c>
      <c r="HN151" s="476">
        <v>0</v>
      </c>
      <c r="HO151" s="476">
        <v>0</v>
      </c>
      <c r="HP151" s="476">
        <v>0</v>
      </c>
      <c r="HQ151" s="476">
        <v>0</v>
      </c>
      <c r="HR151" s="476">
        <v>0</v>
      </c>
      <c r="HS151" s="476">
        <v>3221280</v>
      </c>
      <c r="HT151" s="476">
        <v>73407</v>
      </c>
      <c r="HU151" s="476">
        <v>0</v>
      </c>
      <c r="HV151" s="476">
        <v>0</v>
      </c>
      <c r="HW151" s="476">
        <v>0</v>
      </c>
      <c r="HX151" s="476">
        <v>5</v>
      </c>
      <c r="HY151" s="476">
        <v>2</v>
      </c>
      <c r="HZ151" s="476">
        <v>0</v>
      </c>
      <c r="IA151" s="476">
        <v>0</v>
      </c>
      <c r="IB151" s="476">
        <v>0</v>
      </c>
      <c r="IC151" s="476">
        <v>6</v>
      </c>
      <c r="ID151" s="476">
        <v>0</v>
      </c>
      <c r="IE151" s="476">
        <v>0</v>
      </c>
      <c r="IF151" s="476">
        <v>0</v>
      </c>
      <c r="IG151" s="476">
        <v>36</v>
      </c>
      <c r="IH151" s="476">
        <v>1.8370000000000002</v>
      </c>
      <c r="II151" s="476">
        <v>0</v>
      </c>
      <c r="IJ151" s="476">
        <v>4.165</v>
      </c>
      <c r="IK151" s="476">
        <v>0</v>
      </c>
      <c r="IL151" s="476">
        <v>0</v>
      </c>
      <c r="IM151" s="476">
        <v>0</v>
      </c>
      <c r="IN151" s="476">
        <v>0</v>
      </c>
      <c r="IO151" s="476">
        <v>0</v>
      </c>
      <c r="IP151" s="476">
        <v>0</v>
      </c>
      <c r="IQ151" s="476">
        <v>4.165</v>
      </c>
      <c r="IR151" s="476">
        <v>2566</v>
      </c>
      <c r="IS151" s="476">
        <v>0</v>
      </c>
      <c r="IT151" s="476">
        <v>0</v>
      </c>
      <c r="IU151" s="476">
        <v>0</v>
      </c>
      <c r="IV151" s="476">
        <v>0</v>
      </c>
      <c r="IW151" s="476">
        <v>6160</v>
      </c>
      <c r="IX151" s="476">
        <v>0</v>
      </c>
      <c r="IY151" s="476">
        <v>0</v>
      </c>
      <c r="IZ151" s="476">
        <v>0</v>
      </c>
      <c r="JA151" s="476">
        <v>0</v>
      </c>
      <c r="JB151" s="476">
        <v>0</v>
      </c>
      <c r="JC151" s="476">
        <v>0</v>
      </c>
      <c r="JD151" s="476">
        <v>0</v>
      </c>
      <c r="JE151" s="476">
        <v>0</v>
      </c>
      <c r="JF151" s="476">
        <v>0</v>
      </c>
      <c r="JG151" s="476">
        <v>0</v>
      </c>
      <c r="JH151" s="476">
        <v>0</v>
      </c>
      <c r="JI151" s="476">
        <v>0</v>
      </c>
      <c r="JJ151" s="476">
        <v>0</v>
      </c>
      <c r="JK151" s="476">
        <v>0</v>
      </c>
      <c r="JL151" s="476">
        <v>0</v>
      </c>
      <c r="JM151" s="476">
        <v>0</v>
      </c>
      <c r="JN151" s="476">
        <v>32469</v>
      </c>
      <c r="JO151" s="476">
        <v>0</v>
      </c>
      <c r="JP151" s="476">
        <v>2.4380000000000002</v>
      </c>
      <c r="JQ151" s="476">
        <v>0</v>
      </c>
      <c r="JR151" s="476">
        <v>0</v>
      </c>
      <c r="JS151" s="476">
        <v>22662</v>
      </c>
      <c r="JT151" s="476">
        <v>0</v>
      </c>
      <c r="JU151" s="476">
        <v>9436</v>
      </c>
      <c r="JV151" s="476">
        <v>0</v>
      </c>
      <c r="JW151" s="476">
        <v>0</v>
      </c>
      <c r="JX151" s="476">
        <v>0</v>
      </c>
      <c r="JY151" s="476">
        <v>0</v>
      </c>
      <c r="JZ151" s="476">
        <v>0</v>
      </c>
      <c r="KA151" s="476">
        <v>0</v>
      </c>
      <c r="KB151" s="476">
        <v>0</v>
      </c>
      <c r="KC151" s="476">
        <v>0</v>
      </c>
      <c r="KD151" s="476">
        <v>9486</v>
      </c>
      <c r="KE151" s="476">
        <v>7262</v>
      </c>
      <c r="KF151" s="476">
        <v>0</v>
      </c>
      <c r="KG151" s="476">
        <v>0</v>
      </c>
      <c r="KH151" s="476">
        <v>3734229</v>
      </c>
      <c r="KI151" s="476">
        <v>0</v>
      </c>
      <c r="KJ151" s="476">
        <v>15</v>
      </c>
      <c r="KK151" s="476">
        <v>21</v>
      </c>
      <c r="KL151" s="476">
        <v>9240</v>
      </c>
      <c r="KM151" s="476">
        <v>12936</v>
      </c>
      <c r="KN151" s="476">
        <v>0</v>
      </c>
    </row>
    <row r="152" spans="1:300" x14ac:dyDescent="0.25">
      <c r="A152" s="476">
        <v>40976</v>
      </c>
      <c r="B152" s="476">
        <v>183801</v>
      </c>
      <c r="C152" s="476">
        <v>9</v>
      </c>
      <c r="D152" s="476">
        <v>2024</v>
      </c>
      <c r="E152" s="476">
        <v>6160</v>
      </c>
      <c r="F152" s="476">
        <v>0</v>
      </c>
      <c r="G152" s="476">
        <v>187.30500000000001</v>
      </c>
      <c r="H152" s="476">
        <v>154.26600000000002</v>
      </c>
      <c r="I152" s="476">
        <v>154.26600000000002</v>
      </c>
      <c r="J152" s="476">
        <v>187.30500000000001</v>
      </c>
      <c r="K152" s="476">
        <v>0</v>
      </c>
      <c r="L152" s="476">
        <v>6160</v>
      </c>
      <c r="M152" s="476">
        <v>0</v>
      </c>
      <c r="N152" s="476">
        <v>0</v>
      </c>
      <c r="O152" s="476">
        <v>0</v>
      </c>
      <c r="P152" s="476">
        <v>187.24800000000002</v>
      </c>
      <c r="Q152" s="476">
        <v>0</v>
      </c>
      <c r="R152" s="476">
        <v>77686</v>
      </c>
      <c r="S152" s="476">
        <v>414.88400000000001</v>
      </c>
      <c r="T152" s="476">
        <v>0</v>
      </c>
      <c r="U152" s="476">
        <v>0</v>
      </c>
      <c r="V152" s="476">
        <v>1.2950000000000002</v>
      </c>
      <c r="W152" s="476">
        <v>1100</v>
      </c>
      <c r="X152" s="476">
        <v>1100</v>
      </c>
      <c r="Y152" s="476">
        <v>0</v>
      </c>
      <c r="Z152" s="476">
        <v>0</v>
      </c>
      <c r="AA152" s="476">
        <v>0</v>
      </c>
      <c r="AB152" s="476">
        <v>0</v>
      </c>
      <c r="AC152" s="476">
        <v>0</v>
      </c>
      <c r="AD152" s="476" t="s">
        <v>314</v>
      </c>
      <c r="AE152" s="476">
        <v>0</v>
      </c>
      <c r="AF152" s="476">
        <v>0</v>
      </c>
      <c r="AG152" s="476">
        <v>0</v>
      </c>
      <c r="AH152" s="476">
        <v>0</v>
      </c>
      <c r="AI152" s="476">
        <v>0</v>
      </c>
      <c r="AJ152" s="476">
        <v>6160</v>
      </c>
      <c r="AK152" s="476" t="s">
        <v>651</v>
      </c>
      <c r="AL152" s="476" t="s">
        <v>71</v>
      </c>
      <c r="AM152" s="476">
        <v>0</v>
      </c>
      <c r="AN152" s="476">
        <v>0</v>
      </c>
      <c r="AO152" s="476">
        <v>0</v>
      </c>
      <c r="AP152" s="476">
        <v>0</v>
      </c>
      <c r="AQ152" s="476">
        <v>0</v>
      </c>
      <c r="AR152" s="476">
        <v>0</v>
      </c>
      <c r="AS152" s="476">
        <v>0</v>
      </c>
      <c r="AT152" s="476">
        <v>0</v>
      </c>
      <c r="AU152" s="476">
        <v>0</v>
      </c>
      <c r="AV152" s="476">
        <v>0</v>
      </c>
      <c r="AW152" s="476">
        <v>1880400</v>
      </c>
      <c r="AX152" s="476">
        <v>1833516</v>
      </c>
      <c r="AY152" s="476">
        <v>0</v>
      </c>
      <c r="AZ152" s="476">
        <v>77686</v>
      </c>
      <c r="BA152" s="476">
        <v>11.583</v>
      </c>
      <c r="BB152" s="476">
        <v>3837</v>
      </c>
      <c r="BC152" s="476">
        <v>3812</v>
      </c>
      <c r="BD152" s="476">
        <v>9</v>
      </c>
      <c r="BE152" s="476">
        <v>24</v>
      </c>
      <c r="BF152" s="476">
        <v>1658289</v>
      </c>
      <c r="BG152" s="476">
        <v>0</v>
      </c>
      <c r="BH152" s="476">
        <v>0</v>
      </c>
      <c r="BI152" s="476">
        <v>0</v>
      </c>
      <c r="BJ152" s="476">
        <v>12</v>
      </c>
      <c r="BK152" s="476">
        <v>0</v>
      </c>
      <c r="BL152" s="476">
        <v>0</v>
      </c>
      <c r="BM152" s="476">
        <v>0</v>
      </c>
      <c r="BN152" s="476">
        <v>0</v>
      </c>
      <c r="BO152" s="476">
        <v>0</v>
      </c>
      <c r="BP152" s="476">
        <v>0</v>
      </c>
      <c r="BQ152" s="476">
        <v>746</v>
      </c>
      <c r="BR152" s="476">
        <v>0</v>
      </c>
      <c r="BS152" s="476">
        <v>0</v>
      </c>
      <c r="BT152" s="476">
        <v>0</v>
      </c>
      <c r="BU152" s="476">
        <v>0</v>
      </c>
      <c r="BV152" s="476">
        <v>0</v>
      </c>
      <c r="BW152" s="476">
        <v>0</v>
      </c>
      <c r="BX152" s="476">
        <v>0</v>
      </c>
      <c r="BY152" s="476">
        <v>0</v>
      </c>
      <c r="BZ152" s="476">
        <v>0</v>
      </c>
      <c r="CA152" s="476">
        <v>0</v>
      </c>
      <c r="CB152" s="476">
        <v>0</v>
      </c>
      <c r="CC152" s="476">
        <v>0</v>
      </c>
      <c r="CD152" s="476">
        <v>0</v>
      </c>
      <c r="CE152" s="476">
        <v>0</v>
      </c>
      <c r="CF152" s="476">
        <v>0</v>
      </c>
      <c r="CG152" s="476">
        <v>0</v>
      </c>
      <c r="CH152" s="476">
        <v>47224</v>
      </c>
      <c r="CI152" s="476">
        <v>0</v>
      </c>
      <c r="CJ152" s="476">
        <v>4</v>
      </c>
      <c r="CK152" s="476">
        <v>0</v>
      </c>
      <c r="CL152" s="476">
        <v>0</v>
      </c>
      <c r="CM152" s="476">
        <v>0</v>
      </c>
      <c r="CN152" s="476">
        <v>0</v>
      </c>
      <c r="CO152" s="476">
        <v>1</v>
      </c>
      <c r="CP152" s="476">
        <v>0</v>
      </c>
      <c r="CQ152" s="476">
        <v>5.5</v>
      </c>
      <c r="CR152" s="476">
        <v>187.30500000000001</v>
      </c>
      <c r="CS152" s="476">
        <v>0</v>
      </c>
      <c r="CT152" s="476">
        <v>0</v>
      </c>
      <c r="CU152" s="476">
        <v>0</v>
      </c>
      <c r="CV152" s="476">
        <v>0</v>
      </c>
      <c r="CW152" s="476">
        <v>0</v>
      </c>
      <c r="CX152" s="476">
        <v>0</v>
      </c>
      <c r="CY152" s="476">
        <v>0</v>
      </c>
      <c r="CZ152" s="476">
        <v>0</v>
      </c>
      <c r="DA152" s="476">
        <v>0</v>
      </c>
      <c r="DB152" s="476">
        <v>944796</v>
      </c>
      <c r="DC152" s="476">
        <v>0</v>
      </c>
      <c r="DD152" s="476">
        <v>0</v>
      </c>
      <c r="DE152" s="476">
        <v>89087</v>
      </c>
      <c r="DF152" s="476">
        <v>89087</v>
      </c>
      <c r="DG152" s="476">
        <v>14.463000000000001</v>
      </c>
      <c r="DH152" s="476">
        <v>0</v>
      </c>
      <c r="DI152" s="476">
        <v>0</v>
      </c>
      <c r="DJ152" s="476">
        <v>0</v>
      </c>
      <c r="DK152" s="476">
        <v>3562</v>
      </c>
      <c r="DL152" s="476">
        <v>0</v>
      </c>
      <c r="DM152" s="476">
        <v>96964</v>
      </c>
      <c r="DN152" s="476">
        <v>315</v>
      </c>
      <c r="DO152" s="476">
        <v>0</v>
      </c>
      <c r="DP152" s="476">
        <v>0</v>
      </c>
      <c r="DQ152" s="476">
        <v>0</v>
      </c>
      <c r="DR152" s="476">
        <v>0</v>
      </c>
      <c r="DS152" s="476">
        <v>0</v>
      </c>
      <c r="DT152" s="476">
        <v>0</v>
      </c>
      <c r="DU152" s="476">
        <v>0</v>
      </c>
      <c r="DV152" s="476">
        <v>0</v>
      </c>
      <c r="DW152" s="476">
        <v>0</v>
      </c>
      <c r="DX152" s="476">
        <v>0</v>
      </c>
      <c r="DY152" s="476">
        <v>0</v>
      </c>
      <c r="DZ152" s="476">
        <v>0</v>
      </c>
      <c r="EA152" s="476">
        <v>0</v>
      </c>
      <c r="EB152" s="476">
        <v>0</v>
      </c>
      <c r="EC152" s="476">
        <v>7.2330000000000005</v>
      </c>
      <c r="ED152" s="476">
        <v>51237</v>
      </c>
      <c r="EE152" s="476">
        <v>0</v>
      </c>
      <c r="EF152" s="476">
        <v>0</v>
      </c>
      <c r="EG152" s="476">
        <v>0</v>
      </c>
      <c r="EH152" s="476">
        <v>40581</v>
      </c>
      <c r="EI152" s="476">
        <v>0</v>
      </c>
      <c r="EJ152" s="476">
        <v>0</v>
      </c>
      <c r="EK152" s="476">
        <v>2.1960000000000002</v>
      </c>
      <c r="EL152" s="476">
        <v>0</v>
      </c>
      <c r="EM152" s="476">
        <v>0</v>
      </c>
      <c r="EN152" s="476">
        <v>0</v>
      </c>
      <c r="EO152" s="476">
        <v>0</v>
      </c>
      <c r="EP152" s="476">
        <v>0</v>
      </c>
      <c r="EQ152" s="476">
        <v>2.1960000000000002</v>
      </c>
      <c r="ER152" s="476">
        <v>0</v>
      </c>
      <c r="ES152" s="476">
        <v>6.5880000000000001</v>
      </c>
      <c r="ET152" s="476">
        <v>0</v>
      </c>
      <c r="EU152" s="476">
        <v>0</v>
      </c>
      <c r="EV152" s="476">
        <v>0</v>
      </c>
      <c r="EW152" s="476">
        <v>0</v>
      </c>
      <c r="EX152" s="476">
        <v>0</v>
      </c>
      <c r="EY152" s="476">
        <v>0</v>
      </c>
      <c r="EZ152" s="476">
        <v>1583642</v>
      </c>
      <c r="FA152" s="476">
        <v>0</v>
      </c>
      <c r="FB152" s="476">
        <v>1660988</v>
      </c>
      <c r="FC152" s="476">
        <v>0</v>
      </c>
      <c r="FD152" s="476">
        <v>0</v>
      </c>
      <c r="FE152" s="476">
        <v>214115</v>
      </c>
      <c r="FF152" s="476">
        <v>35759</v>
      </c>
      <c r="FG152" s="476">
        <v>6.3017999999999991E-2</v>
      </c>
      <c r="FH152" s="476">
        <v>2.6953999999999999E-2</v>
      </c>
      <c r="FI152" s="476">
        <v>0</v>
      </c>
      <c r="FJ152" s="476">
        <v>0</v>
      </c>
      <c r="FK152" s="476">
        <v>269.209</v>
      </c>
      <c r="FL152" s="476">
        <v>1958086</v>
      </c>
      <c r="FM152" s="476">
        <v>0</v>
      </c>
      <c r="FN152" s="476">
        <v>0</v>
      </c>
      <c r="FO152" s="476">
        <v>0</v>
      </c>
      <c r="FP152" s="476">
        <v>0</v>
      </c>
      <c r="FQ152" s="476">
        <v>0</v>
      </c>
      <c r="FR152" s="476">
        <v>0</v>
      </c>
      <c r="FS152" s="476">
        <v>0</v>
      </c>
      <c r="FT152" s="476">
        <v>0</v>
      </c>
      <c r="FU152" s="476">
        <v>0</v>
      </c>
      <c r="FV152" s="476">
        <v>0</v>
      </c>
      <c r="FW152" s="476">
        <v>0</v>
      </c>
      <c r="FX152" s="476">
        <v>0</v>
      </c>
      <c r="FY152" s="476">
        <v>0</v>
      </c>
      <c r="FZ152" s="476">
        <v>0</v>
      </c>
      <c r="GA152" s="476">
        <v>0</v>
      </c>
      <c r="GB152" s="476">
        <v>286236</v>
      </c>
      <c r="GC152" s="476">
        <v>286236</v>
      </c>
      <c r="GD152" s="476">
        <v>30.843</v>
      </c>
      <c r="GE152" s="476">
        <v>0</v>
      </c>
      <c r="GF152" s="476">
        <v>0</v>
      </c>
      <c r="GG152" s="476">
        <v>0</v>
      </c>
      <c r="GH152" s="476">
        <v>0</v>
      </c>
      <c r="GI152" s="476">
        <v>0</v>
      </c>
      <c r="GJ152" s="476">
        <v>0</v>
      </c>
      <c r="GK152" s="476">
        <v>0</v>
      </c>
      <c r="GL152" s="476">
        <v>0</v>
      </c>
      <c r="GM152" s="476">
        <v>0</v>
      </c>
      <c r="GN152" s="476">
        <v>0</v>
      </c>
      <c r="GO152" s="476">
        <v>0</v>
      </c>
      <c r="GP152" s="476">
        <v>0</v>
      </c>
      <c r="GQ152" s="476">
        <v>1833176</v>
      </c>
      <c r="GR152" s="476">
        <v>0</v>
      </c>
      <c r="GS152" s="476">
        <v>0</v>
      </c>
      <c r="GT152" s="476">
        <v>0</v>
      </c>
      <c r="GU152" s="476">
        <v>0</v>
      </c>
      <c r="GV152" s="476">
        <v>0</v>
      </c>
      <c r="GW152" s="476">
        <v>0</v>
      </c>
      <c r="GX152" s="476">
        <v>0</v>
      </c>
      <c r="GY152" s="476">
        <v>0</v>
      </c>
      <c r="GZ152" s="476">
        <v>0</v>
      </c>
      <c r="HA152" s="476">
        <v>0</v>
      </c>
      <c r="HB152" s="476">
        <v>323396213</v>
      </c>
      <c r="HC152" s="476">
        <v>4.2206E-2</v>
      </c>
      <c r="HD152" s="476">
        <v>31622</v>
      </c>
      <c r="HE152" s="476">
        <v>0</v>
      </c>
      <c r="HF152" s="476">
        <v>170001</v>
      </c>
      <c r="HG152" s="476">
        <v>3080</v>
      </c>
      <c r="HH152" s="476">
        <v>0</v>
      </c>
      <c r="HI152" s="476">
        <v>0</v>
      </c>
      <c r="HJ152" s="476">
        <v>1873</v>
      </c>
      <c r="HK152" s="476">
        <v>2146</v>
      </c>
      <c r="HL152" s="476">
        <v>893</v>
      </c>
      <c r="HM152" s="476">
        <v>61000</v>
      </c>
      <c r="HN152" s="476">
        <v>0</v>
      </c>
      <c r="HO152" s="476">
        <v>0</v>
      </c>
      <c r="HP152" s="476">
        <v>0</v>
      </c>
      <c r="HQ152" s="476">
        <v>0</v>
      </c>
      <c r="HR152" s="476">
        <v>0</v>
      </c>
      <c r="HS152" s="476">
        <v>1583302</v>
      </c>
      <c r="HT152" s="476">
        <v>35759</v>
      </c>
      <c r="HU152" s="476">
        <v>15602</v>
      </c>
      <c r="HV152" s="476">
        <v>0</v>
      </c>
      <c r="HW152" s="476">
        <v>0</v>
      </c>
      <c r="HX152" s="476">
        <v>11</v>
      </c>
      <c r="HY152" s="476">
        <v>25</v>
      </c>
      <c r="HZ152" s="476">
        <v>6</v>
      </c>
      <c r="IA152" s="476">
        <v>10</v>
      </c>
      <c r="IB152" s="476">
        <v>7</v>
      </c>
      <c r="IC152" s="476">
        <v>59</v>
      </c>
      <c r="ID152" s="476">
        <v>0</v>
      </c>
      <c r="IE152" s="476">
        <v>0.32700000000000001</v>
      </c>
      <c r="IF152" s="476">
        <v>0</v>
      </c>
      <c r="IG152" s="476">
        <v>5</v>
      </c>
      <c r="IH152" s="476">
        <v>0</v>
      </c>
      <c r="II152" s="476">
        <v>0</v>
      </c>
      <c r="IJ152" s="476">
        <v>1.6220000000000001</v>
      </c>
      <c r="IK152" s="476">
        <v>0</v>
      </c>
      <c r="IL152" s="476">
        <v>3</v>
      </c>
      <c r="IM152" s="476">
        <v>14</v>
      </c>
      <c r="IN152" s="476">
        <v>2</v>
      </c>
      <c r="IO152" s="476">
        <v>19</v>
      </c>
      <c r="IP152" s="476">
        <v>0</v>
      </c>
      <c r="IQ152" s="476">
        <v>1.2950000000000002</v>
      </c>
      <c r="IR152" s="476">
        <v>798</v>
      </c>
      <c r="IS152" s="476">
        <v>0</v>
      </c>
      <c r="IT152" s="476">
        <v>15000</v>
      </c>
      <c r="IU152" s="476">
        <v>42000</v>
      </c>
      <c r="IV152" s="476">
        <v>4000</v>
      </c>
      <c r="IW152" s="476">
        <v>6160</v>
      </c>
      <c r="IX152" s="476">
        <v>302</v>
      </c>
      <c r="IY152" s="476">
        <v>0</v>
      </c>
      <c r="IZ152" s="476">
        <v>0</v>
      </c>
      <c r="JA152" s="476">
        <v>0</v>
      </c>
      <c r="JB152" s="476">
        <v>0</v>
      </c>
      <c r="JC152" s="476">
        <v>0</v>
      </c>
      <c r="JD152" s="476">
        <v>0</v>
      </c>
      <c r="JE152" s="476">
        <v>0</v>
      </c>
      <c r="JF152" s="476">
        <v>0</v>
      </c>
      <c r="JG152" s="476">
        <v>0</v>
      </c>
      <c r="JH152" s="476">
        <v>0</v>
      </c>
      <c r="JI152" s="476">
        <v>0</v>
      </c>
      <c r="JJ152" s="476">
        <v>0</v>
      </c>
      <c r="JK152" s="476">
        <v>0</v>
      </c>
      <c r="JL152" s="476">
        <v>0</v>
      </c>
      <c r="JM152" s="476">
        <v>0</v>
      </c>
      <c r="JN152" s="476">
        <v>32469</v>
      </c>
      <c r="JO152" s="476">
        <v>3.8360000000000003</v>
      </c>
      <c r="JP152" s="476">
        <v>23.707000000000001</v>
      </c>
      <c r="JQ152" s="476">
        <v>3.3000000000000003</v>
      </c>
      <c r="JR152" s="476">
        <v>30643</v>
      </c>
      <c r="JS152" s="476">
        <v>220365</v>
      </c>
      <c r="JT152" s="476">
        <v>35228</v>
      </c>
      <c r="JU152" s="476">
        <v>3881</v>
      </c>
      <c r="JV152" s="476">
        <v>15602</v>
      </c>
      <c r="JW152" s="476">
        <v>0</v>
      </c>
      <c r="JX152" s="476">
        <v>0</v>
      </c>
      <c r="JY152" s="476">
        <v>0</v>
      </c>
      <c r="JZ152" s="476">
        <v>0</v>
      </c>
      <c r="KA152" s="476">
        <v>0</v>
      </c>
      <c r="KB152" s="476">
        <v>0</v>
      </c>
      <c r="KC152" s="476">
        <v>0</v>
      </c>
      <c r="KD152" s="476">
        <v>3881</v>
      </c>
      <c r="KE152" s="476">
        <v>7262</v>
      </c>
      <c r="KF152" s="476">
        <v>0</v>
      </c>
      <c r="KG152" s="476">
        <v>0</v>
      </c>
      <c r="KH152" s="476">
        <v>1833176</v>
      </c>
      <c r="KI152" s="476">
        <v>0</v>
      </c>
      <c r="KJ152" s="476">
        <v>1</v>
      </c>
      <c r="KK152" s="476">
        <v>4</v>
      </c>
      <c r="KL152" s="476">
        <v>616</v>
      </c>
      <c r="KM152" s="476">
        <v>2464</v>
      </c>
      <c r="KN152" s="476">
        <v>0</v>
      </c>
    </row>
    <row r="153" spans="1:300" x14ac:dyDescent="0.25">
      <c r="A153" s="476">
        <v>40976</v>
      </c>
      <c r="B153" s="476">
        <v>184801</v>
      </c>
      <c r="C153" s="476">
        <v>9</v>
      </c>
      <c r="D153" s="476">
        <v>2024</v>
      </c>
      <c r="E153" s="476">
        <v>6160</v>
      </c>
      <c r="F153" s="476">
        <v>0</v>
      </c>
      <c r="G153" s="476">
        <v>138.547</v>
      </c>
      <c r="H153" s="476">
        <v>90.65</v>
      </c>
      <c r="I153" s="476">
        <v>90.65</v>
      </c>
      <c r="J153" s="476">
        <v>138.547</v>
      </c>
      <c r="K153" s="476">
        <v>0</v>
      </c>
      <c r="L153" s="476">
        <v>6160</v>
      </c>
      <c r="M153" s="476">
        <v>0</v>
      </c>
      <c r="N153" s="476">
        <v>0</v>
      </c>
      <c r="O153" s="476">
        <v>0</v>
      </c>
      <c r="P153" s="476">
        <v>138.06</v>
      </c>
      <c r="Q153" s="476">
        <v>0</v>
      </c>
      <c r="R153" s="476">
        <v>57279</v>
      </c>
      <c r="S153" s="476">
        <v>414.88400000000001</v>
      </c>
      <c r="T153" s="476">
        <v>0</v>
      </c>
      <c r="U153" s="476">
        <v>0</v>
      </c>
      <c r="V153" s="476">
        <v>0</v>
      </c>
      <c r="W153" s="476">
        <v>0</v>
      </c>
      <c r="X153" s="476">
        <v>0</v>
      </c>
      <c r="Y153" s="476">
        <v>0</v>
      </c>
      <c r="Z153" s="476">
        <v>0</v>
      </c>
      <c r="AA153" s="476">
        <v>0</v>
      </c>
      <c r="AB153" s="476">
        <v>0</v>
      </c>
      <c r="AC153" s="476">
        <v>0</v>
      </c>
      <c r="AD153" s="476" t="s">
        <v>314</v>
      </c>
      <c r="AE153" s="476">
        <v>0</v>
      </c>
      <c r="AF153" s="476">
        <v>0</v>
      </c>
      <c r="AG153" s="476">
        <v>0</v>
      </c>
      <c r="AH153" s="476">
        <v>0</v>
      </c>
      <c r="AI153" s="476">
        <v>0</v>
      </c>
      <c r="AJ153" s="476">
        <v>6160</v>
      </c>
      <c r="AK153" s="476" t="s">
        <v>651</v>
      </c>
      <c r="AL153" s="476" t="s">
        <v>6</v>
      </c>
      <c r="AM153" s="476">
        <v>0</v>
      </c>
      <c r="AN153" s="476">
        <v>0</v>
      </c>
      <c r="AO153" s="476">
        <v>0</v>
      </c>
      <c r="AP153" s="476">
        <v>0</v>
      </c>
      <c r="AQ153" s="476">
        <v>0</v>
      </c>
      <c r="AR153" s="476">
        <v>0</v>
      </c>
      <c r="AS153" s="476">
        <v>0</v>
      </c>
      <c r="AT153" s="476">
        <v>0</v>
      </c>
      <c r="AU153" s="476">
        <v>0</v>
      </c>
      <c r="AV153" s="476">
        <v>0</v>
      </c>
      <c r="AW153" s="476">
        <v>1479218</v>
      </c>
      <c r="AX153" s="476">
        <v>1456189</v>
      </c>
      <c r="AY153" s="476">
        <v>0</v>
      </c>
      <c r="AZ153" s="476">
        <v>57279</v>
      </c>
      <c r="BA153" s="476">
        <v>3</v>
      </c>
      <c r="BB153" s="476">
        <v>0</v>
      </c>
      <c r="BC153" s="476">
        <v>0</v>
      </c>
      <c r="BD153" s="476">
        <v>0</v>
      </c>
      <c r="BE153" s="476">
        <v>0</v>
      </c>
      <c r="BF153" s="476">
        <v>1313084</v>
      </c>
      <c r="BG153" s="476">
        <v>0</v>
      </c>
      <c r="BH153" s="476">
        <v>0</v>
      </c>
      <c r="BI153" s="476">
        <v>0</v>
      </c>
      <c r="BJ153" s="476">
        <v>12</v>
      </c>
      <c r="BK153" s="476">
        <v>0</v>
      </c>
      <c r="BL153" s="476">
        <v>0</v>
      </c>
      <c r="BM153" s="476">
        <v>0</v>
      </c>
      <c r="BN153" s="476">
        <v>0</v>
      </c>
      <c r="BO153" s="476">
        <v>0</v>
      </c>
      <c r="BP153" s="476">
        <v>0</v>
      </c>
      <c r="BQ153" s="476">
        <v>756</v>
      </c>
      <c r="BR153" s="476">
        <v>0</v>
      </c>
      <c r="BS153" s="476">
        <v>0</v>
      </c>
      <c r="BT153" s="476">
        <v>0</v>
      </c>
      <c r="BU153" s="476">
        <v>0</v>
      </c>
      <c r="BV153" s="476">
        <v>0</v>
      </c>
      <c r="BW153" s="476">
        <v>0</v>
      </c>
      <c r="BX153" s="476">
        <v>0</v>
      </c>
      <c r="BY153" s="476">
        <v>0</v>
      </c>
      <c r="BZ153" s="476">
        <v>0</v>
      </c>
      <c r="CA153" s="476">
        <v>0</v>
      </c>
      <c r="CB153" s="476">
        <v>0</v>
      </c>
      <c r="CC153" s="476">
        <v>0</v>
      </c>
      <c r="CD153" s="476">
        <v>0</v>
      </c>
      <c r="CE153" s="476">
        <v>0</v>
      </c>
      <c r="CF153" s="476">
        <v>0</v>
      </c>
      <c r="CG153" s="476">
        <v>0</v>
      </c>
      <c r="CH153" s="476">
        <v>23390</v>
      </c>
      <c r="CI153" s="476">
        <v>0</v>
      </c>
      <c r="CJ153" s="476">
        <v>4</v>
      </c>
      <c r="CK153" s="476">
        <v>0</v>
      </c>
      <c r="CL153" s="476">
        <v>0</v>
      </c>
      <c r="CM153" s="476">
        <v>0</v>
      </c>
      <c r="CN153" s="476">
        <v>0</v>
      </c>
      <c r="CO153" s="476">
        <v>1</v>
      </c>
      <c r="CP153" s="476">
        <v>0</v>
      </c>
      <c r="CQ153" s="476">
        <v>3.1670000000000003</v>
      </c>
      <c r="CR153" s="476">
        <v>138.547</v>
      </c>
      <c r="CS153" s="476">
        <v>0</v>
      </c>
      <c r="CT153" s="476">
        <v>0</v>
      </c>
      <c r="CU153" s="476">
        <v>0</v>
      </c>
      <c r="CV153" s="476">
        <v>0</v>
      </c>
      <c r="CW153" s="476">
        <v>0</v>
      </c>
      <c r="CX153" s="476">
        <v>0</v>
      </c>
      <c r="CY153" s="476">
        <v>0</v>
      </c>
      <c r="CZ153" s="476">
        <v>0</v>
      </c>
      <c r="DA153" s="476">
        <v>0</v>
      </c>
      <c r="DB153" s="476">
        <v>558391</v>
      </c>
      <c r="DC153" s="476">
        <v>0</v>
      </c>
      <c r="DD153" s="476">
        <v>0</v>
      </c>
      <c r="DE153" s="476">
        <v>94323</v>
      </c>
      <c r="DF153" s="476">
        <v>94323</v>
      </c>
      <c r="DG153" s="476">
        <v>15.313000000000001</v>
      </c>
      <c r="DH153" s="476">
        <v>0</v>
      </c>
      <c r="DI153" s="476">
        <v>0</v>
      </c>
      <c r="DJ153" s="476">
        <v>0</v>
      </c>
      <c r="DK153" s="476">
        <v>3719</v>
      </c>
      <c r="DL153" s="476">
        <v>0</v>
      </c>
      <c r="DM153" s="476">
        <v>104939</v>
      </c>
      <c r="DN153" s="476">
        <v>361</v>
      </c>
      <c r="DO153" s="476">
        <v>0</v>
      </c>
      <c r="DP153" s="476">
        <v>0</v>
      </c>
      <c r="DQ153" s="476">
        <v>0</v>
      </c>
      <c r="DR153" s="476">
        <v>0</v>
      </c>
      <c r="DS153" s="476">
        <v>0</v>
      </c>
      <c r="DT153" s="476">
        <v>0</v>
      </c>
      <c r="DU153" s="476">
        <v>0</v>
      </c>
      <c r="DV153" s="476">
        <v>0</v>
      </c>
      <c r="DW153" s="476">
        <v>0</v>
      </c>
      <c r="DX153" s="476">
        <v>0</v>
      </c>
      <c r="DY153" s="476">
        <v>0</v>
      </c>
      <c r="DZ153" s="476">
        <v>0</v>
      </c>
      <c r="EA153" s="476">
        <v>2.2000000000000002E-2</v>
      </c>
      <c r="EB153" s="476">
        <v>0</v>
      </c>
      <c r="EC153" s="476">
        <v>14.73</v>
      </c>
      <c r="ED153" s="476">
        <v>104345</v>
      </c>
      <c r="EE153" s="476">
        <v>0</v>
      </c>
      <c r="EF153" s="476">
        <v>0</v>
      </c>
      <c r="EG153" s="476">
        <v>0</v>
      </c>
      <c r="EH153" s="476">
        <v>955</v>
      </c>
      <c r="EI153" s="476">
        <v>0</v>
      </c>
      <c r="EJ153" s="476">
        <v>0</v>
      </c>
      <c r="EK153" s="476">
        <v>0</v>
      </c>
      <c r="EL153" s="476">
        <v>0</v>
      </c>
      <c r="EM153" s="476">
        <v>0</v>
      </c>
      <c r="EN153" s="476">
        <v>9.0000000000000011E-3</v>
      </c>
      <c r="EO153" s="476">
        <v>0</v>
      </c>
      <c r="EP153" s="476">
        <v>0</v>
      </c>
      <c r="EQ153" s="476">
        <v>3.1E-2</v>
      </c>
      <c r="ER153" s="476">
        <v>0</v>
      </c>
      <c r="ES153" s="476">
        <v>0.155</v>
      </c>
      <c r="ET153" s="476">
        <v>0</v>
      </c>
      <c r="EU153" s="476">
        <v>0</v>
      </c>
      <c r="EV153" s="476">
        <v>0</v>
      </c>
      <c r="EW153" s="476">
        <v>0</v>
      </c>
      <c r="EX153" s="476">
        <v>0</v>
      </c>
      <c r="EY153" s="476">
        <v>0</v>
      </c>
      <c r="EZ153" s="476">
        <v>1258331</v>
      </c>
      <c r="FA153" s="476">
        <v>0</v>
      </c>
      <c r="FB153" s="476">
        <v>1315249</v>
      </c>
      <c r="FC153" s="476">
        <v>0</v>
      </c>
      <c r="FD153" s="476">
        <v>0</v>
      </c>
      <c r="FE153" s="476">
        <v>169543</v>
      </c>
      <c r="FF153" s="476">
        <v>28315</v>
      </c>
      <c r="FG153" s="476">
        <v>6.3017999999999991E-2</v>
      </c>
      <c r="FH153" s="476">
        <v>2.6953999999999999E-2</v>
      </c>
      <c r="FI153" s="476">
        <v>0</v>
      </c>
      <c r="FJ153" s="476">
        <v>0</v>
      </c>
      <c r="FK153" s="476">
        <v>213.16800000000001</v>
      </c>
      <c r="FL153" s="476">
        <v>1536497</v>
      </c>
      <c r="FM153" s="476">
        <v>0</v>
      </c>
      <c r="FN153" s="476">
        <v>0</v>
      </c>
      <c r="FO153" s="476">
        <v>0</v>
      </c>
      <c r="FP153" s="476">
        <v>0</v>
      </c>
      <c r="FQ153" s="476">
        <v>0</v>
      </c>
      <c r="FR153" s="476">
        <v>0</v>
      </c>
      <c r="FS153" s="476">
        <v>0</v>
      </c>
      <c r="FT153" s="476">
        <v>0</v>
      </c>
      <c r="FU153" s="476">
        <v>0</v>
      </c>
      <c r="FV153" s="476">
        <v>0</v>
      </c>
      <c r="FW153" s="476">
        <v>0</v>
      </c>
      <c r="FX153" s="476">
        <v>0</v>
      </c>
      <c r="FY153" s="476">
        <v>0</v>
      </c>
      <c r="FZ153" s="476">
        <v>0</v>
      </c>
      <c r="GA153" s="476">
        <v>0</v>
      </c>
      <c r="GB153" s="476">
        <v>444549</v>
      </c>
      <c r="GC153" s="476">
        <v>444549</v>
      </c>
      <c r="GD153" s="476">
        <v>47.866</v>
      </c>
      <c r="GE153" s="476">
        <v>0</v>
      </c>
      <c r="GF153" s="476">
        <v>0</v>
      </c>
      <c r="GG153" s="476">
        <v>0</v>
      </c>
      <c r="GH153" s="476">
        <v>0</v>
      </c>
      <c r="GI153" s="476">
        <v>0</v>
      </c>
      <c r="GJ153" s="476">
        <v>0</v>
      </c>
      <c r="GK153" s="476">
        <v>0</v>
      </c>
      <c r="GL153" s="476">
        <v>0</v>
      </c>
      <c r="GM153" s="476">
        <v>0</v>
      </c>
      <c r="GN153" s="476">
        <v>0</v>
      </c>
      <c r="GO153" s="476">
        <v>0</v>
      </c>
      <c r="GP153" s="476">
        <v>0</v>
      </c>
      <c r="GQ153" s="476">
        <v>1455828</v>
      </c>
      <c r="GR153" s="476">
        <v>0</v>
      </c>
      <c r="GS153" s="476">
        <v>0</v>
      </c>
      <c r="GT153" s="476">
        <v>0</v>
      </c>
      <c r="GU153" s="476">
        <v>0</v>
      </c>
      <c r="GV153" s="476">
        <v>0</v>
      </c>
      <c r="GW153" s="476">
        <v>0</v>
      </c>
      <c r="GX153" s="476">
        <v>0</v>
      </c>
      <c r="GY153" s="476">
        <v>0</v>
      </c>
      <c r="GZ153" s="476">
        <v>0</v>
      </c>
      <c r="HA153" s="476">
        <v>0</v>
      </c>
      <c r="HB153" s="476">
        <v>323396213</v>
      </c>
      <c r="HC153" s="476">
        <v>4.2206E-2</v>
      </c>
      <c r="HD153" s="476">
        <v>23390</v>
      </c>
      <c r="HE153" s="476">
        <v>0</v>
      </c>
      <c r="HF153" s="476">
        <v>99896</v>
      </c>
      <c r="HG153" s="476">
        <v>9240</v>
      </c>
      <c r="HH153" s="476">
        <v>0</v>
      </c>
      <c r="HI153" s="476">
        <v>0</v>
      </c>
      <c r="HJ153" s="476">
        <v>1385</v>
      </c>
      <c r="HK153" s="476">
        <v>1600</v>
      </c>
      <c r="HL153" s="476">
        <v>926</v>
      </c>
      <c r="HM153" s="476">
        <v>0</v>
      </c>
      <c r="HN153" s="476">
        <v>0</v>
      </c>
      <c r="HO153" s="476">
        <v>0</v>
      </c>
      <c r="HP153" s="476">
        <v>0</v>
      </c>
      <c r="HQ153" s="476">
        <v>0</v>
      </c>
      <c r="HR153" s="476">
        <v>0</v>
      </c>
      <c r="HS153" s="476">
        <v>1257970</v>
      </c>
      <c r="HT153" s="476">
        <v>28315</v>
      </c>
      <c r="HU153" s="476">
        <v>0</v>
      </c>
      <c r="HV153" s="476">
        <v>0</v>
      </c>
      <c r="HW153" s="476">
        <v>0</v>
      </c>
      <c r="HX153" s="476">
        <v>20</v>
      </c>
      <c r="HY153" s="476">
        <v>23</v>
      </c>
      <c r="HZ153" s="476">
        <v>14</v>
      </c>
      <c r="IA153" s="476">
        <v>6</v>
      </c>
      <c r="IB153" s="476">
        <v>1</v>
      </c>
      <c r="IC153" s="476">
        <v>64</v>
      </c>
      <c r="ID153" s="476">
        <v>0</v>
      </c>
      <c r="IE153" s="476">
        <v>0</v>
      </c>
      <c r="IF153" s="476">
        <v>0</v>
      </c>
      <c r="IG153" s="476">
        <v>15</v>
      </c>
      <c r="IH153" s="476">
        <v>0</v>
      </c>
      <c r="II153" s="476">
        <v>0</v>
      </c>
      <c r="IJ153" s="476">
        <v>0</v>
      </c>
      <c r="IK153" s="476">
        <v>0</v>
      </c>
      <c r="IL153" s="476">
        <v>0</v>
      </c>
      <c r="IM153" s="476">
        <v>0</v>
      </c>
      <c r="IN153" s="476">
        <v>0</v>
      </c>
      <c r="IO153" s="476">
        <v>0</v>
      </c>
      <c r="IP153" s="476">
        <v>0</v>
      </c>
      <c r="IQ153" s="476">
        <v>0</v>
      </c>
      <c r="IR153" s="476">
        <v>0</v>
      </c>
      <c r="IS153" s="476">
        <v>0</v>
      </c>
      <c r="IT153" s="476">
        <v>0</v>
      </c>
      <c r="IU153" s="476">
        <v>0</v>
      </c>
      <c r="IV153" s="476">
        <v>0</v>
      </c>
      <c r="IW153" s="476">
        <v>6160</v>
      </c>
      <c r="IX153" s="476">
        <v>0</v>
      </c>
      <c r="IY153" s="476">
        <v>0</v>
      </c>
      <c r="IZ153" s="476">
        <v>0</v>
      </c>
      <c r="JA153" s="476">
        <v>0</v>
      </c>
      <c r="JB153" s="476">
        <v>0</v>
      </c>
      <c r="JC153" s="476">
        <v>0</v>
      </c>
      <c r="JD153" s="476">
        <v>0</v>
      </c>
      <c r="JE153" s="476">
        <v>0</v>
      </c>
      <c r="JF153" s="476">
        <v>0</v>
      </c>
      <c r="JG153" s="476">
        <v>0</v>
      </c>
      <c r="JH153" s="476">
        <v>0</v>
      </c>
      <c r="JI153" s="476">
        <v>0</v>
      </c>
      <c r="JJ153" s="476">
        <v>0</v>
      </c>
      <c r="JK153" s="476">
        <v>0</v>
      </c>
      <c r="JL153" s="476">
        <v>0</v>
      </c>
      <c r="JM153" s="476">
        <v>0</v>
      </c>
      <c r="JN153" s="476">
        <v>32469</v>
      </c>
      <c r="JO153" s="476">
        <v>8.668000000000001</v>
      </c>
      <c r="JP153" s="476">
        <v>31.264000000000003</v>
      </c>
      <c r="JQ153" s="476">
        <v>7.9340000000000002</v>
      </c>
      <c r="JR153" s="476">
        <v>69242</v>
      </c>
      <c r="JS153" s="476">
        <v>290610</v>
      </c>
      <c r="JT153" s="476">
        <v>84697</v>
      </c>
      <c r="JU153" s="476">
        <v>0</v>
      </c>
      <c r="JV153" s="476">
        <v>0</v>
      </c>
      <c r="JW153" s="476">
        <v>0</v>
      </c>
      <c r="JX153" s="476">
        <v>0</v>
      </c>
      <c r="JY153" s="476">
        <v>0</v>
      </c>
      <c r="JZ153" s="476">
        <v>0</v>
      </c>
      <c r="KA153" s="476">
        <v>0</v>
      </c>
      <c r="KB153" s="476">
        <v>0</v>
      </c>
      <c r="KC153" s="476">
        <v>0</v>
      </c>
      <c r="KD153" s="476">
        <v>0</v>
      </c>
      <c r="KE153" s="476">
        <v>7262</v>
      </c>
      <c r="KF153" s="476">
        <v>0</v>
      </c>
      <c r="KG153" s="476">
        <v>0</v>
      </c>
      <c r="KH153" s="476">
        <v>1455828</v>
      </c>
      <c r="KI153" s="476">
        <v>0</v>
      </c>
      <c r="KJ153" s="476">
        <v>1</v>
      </c>
      <c r="KK153" s="476">
        <v>14</v>
      </c>
      <c r="KL153" s="476">
        <v>616</v>
      </c>
      <c r="KM153" s="476">
        <v>8624</v>
      </c>
      <c r="KN153" s="476">
        <v>0</v>
      </c>
    </row>
    <row r="154" spans="1:300" x14ac:dyDescent="0.25">
      <c r="A154" s="476">
        <v>40976</v>
      </c>
      <c r="B154" s="476">
        <v>193801</v>
      </c>
      <c r="C154" s="476">
        <v>9</v>
      </c>
      <c r="D154" s="476">
        <v>2024</v>
      </c>
      <c r="E154" s="476">
        <v>6160</v>
      </c>
      <c r="F154" s="476">
        <v>0</v>
      </c>
      <c r="G154" s="476">
        <v>171.16300000000001</v>
      </c>
      <c r="H154" s="476">
        <v>122.27300000000001</v>
      </c>
      <c r="I154" s="476">
        <v>122.27300000000001</v>
      </c>
      <c r="J154" s="476">
        <v>171.16300000000001</v>
      </c>
      <c r="K154" s="476">
        <v>0</v>
      </c>
      <c r="L154" s="476">
        <v>6160</v>
      </c>
      <c r="M154" s="476">
        <v>0</v>
      </c>
      <c r="N154" s="476">
        <v>0</v>
      </c>
      <c r="O154" s="476">
        <v>0</v>
      </c>
      <c r="P154" s="476">
        <v>172.363</v>
      </c>
      <c r="Q154" s="476">
        <v>0</v>
      </c>
      <c r="R154" s="476">
        <v>71511</v>
      </c>
      <c r="S154" s="476">
        <v>414.88400000000001</v>
      </c>
      <c r="T154" s="476">
        <v>0</v>
      </c>
      <c r="U154" s="476">
        <v>0</v>
      </c>
      <c r="V154" s="476">
        <v>0</v>
      </c>
      <c r="W154" s="476">
        <v>0</v>
      </c>
      <c r="X154" s="476">
        <v>0</v>
      </c>
      <c r="Y154" s="476">
        <v>0</v>
      </c>
      <c r="Z154" s="476">
        <v>0</v>
      </c>
      <c r="AA154" s="476">
        <v>0</v>
      </c>
      <c r="AB154" s="476">
        <v>0</v>
      </c>
      <c r="AC154" s="476">
        <v>0</v>
      </c>
      <c r="AD154" s="476" t="s">
        <v>314</v>
      </c>
      <c r="AE154" s="476">
        <v>0</v>
      </c>
      <c r="AF154" s="476">
        <v>0</v>
      </c>
      <c r="AG154" s="476">
        <v>0</v>
      </c>
      <c r="AH154" s="476">
        <v>0</v>
      </c>
      <c r="AI154" s="476">
        <v>0</v>
      </c>
      <c r="AJ154" s="476">
        <v>6160</v>
      </c>
      <c r="AK154" s="476" t="s">
        <v>651</v>
      </c>
      <c r="AL154" s="476" t="s">
        <v>72</v>
      </c>
      <c r="AM154" s="476">
        <v>0</v>
      </c>
      <c r="AN154" s="476">
        <v>0</v>
      </c>
      <c r="AO154" s="476">
        <v>0</v>
      </c>
      <c r="AP154" s="476">
        <v>0</v>
      </c>
      <c r="AQ154" s="476">
        <v>0</v>
      </c>
      <c r="AR154" s="476">
        <v>0</v>
      </c>
      <c r="AS154" s="476">
        <v>0</v>
      </c>
      <c r="AT154" s="476">
        <v>0</v>
      </c>
      <c r="AU154" s="476">
        <v>0</v>
      </c>
      <c r="AV154" s="476">
        <v>0</v>
      </c>
      <c r="AW154" s="476">
        <v>2801157</v>
      </c>
      <c r="AX154" s="476">
        <v>2776274</v>
      </c>
      <c r="AY154" s="476">
        <v>0</v>
      </c>
      <c r="AZ154" s="476">
        <v>71511</v>
      </c>
      <c r="BA154" s="476">
        <v>23.833000000000002</v>
      </c>
      <c r="BB154" s="476">
        <v>0</v>
      </c>
      <c r="BC154" s="476">
        <v>0</v>
      </c>
      <c r="BD154" s="476">
        <v>0</v>
      </c>
      <c r="BE154" s="476">
        <v>0</v>
      </c>
      <c r="BF154" s="476">
        <v>2357348</v>
      </c>
      <c r="BG154" s="476">
        <v>0</v>
      </c>
      <c r="BH154" s="476">
        <v>0</v>
      </c>
      <c r="BI154" s="476">
        <v>0</v>
      </c>
      <c r="BJ154" s="476">
        <v>12</v>
      </c>
      <c r="BK154" s="476">
        <v>0</v>
      </c>
      <c r="BL154" s="476">
        <v>0</v>
      </c>
      <c r="BM154" s="476">
        <v>0</v>
      </c>
      <c r="BN154" s="476">
        <v>0</v>
      </c>
      <c r="BO154" s="476">
        <v>0</v>
      </c>
      <c r="BP154" s="476">
        <v>0</v>
      </c>
      <c r="BQ154" s="476">
        <v>751</v>
      </c>
      <c r="BR154" s="476">
        <v>0</v>
      </c>
      <c r="BS154" s="476">
        <v>0</v>
      </c>
      <c r="BT154" s="476">
        <v>0</v>
      </c>
      <c r="BU154" s="476">
        <v>0</v>
      </c>
      <c r="BV154" s="476">
        <v>0</v>
      </c>
      <c r="BW154" s="476">
        <v>0</v>
      </c>
      <c r="BX154" s="476">
        <v>0</v>
      </c>
      <c r="BY154" s="476">
        <v>0</v>
      </c>
      <c r="BZ154" s="476">
        <v>0</v>
      </c>
      <c r="CA154" s="476">
        <v>0</v>
      </c>
      <c r="CB154" s="476">
        <v>0</v>
      </c>
      <c r="CC154" s="476">
        <v>0</v>
      </c>
      <c r="CD154" s="476">
        <v>0</v>
      </c>
      <c r="CE154" s="476">
        <v>0</v>
      </c>
      <c r="CF154" s="476">
        <v>0</v>
      </c>
      <c r="CG154" s="476">
        <v>0</v>
      </c>
      <c r="CH154" s="476">
        <v>28897</v>
      </c>
      <c r="CI154" s="476">
        <v>0</v>
      </c>
      <c r="CJ154" s="476">
        <v>4</v>
      </c>
      <c r="CK154" s="476">
        <v>0</v>
      </c>
      <c r="CL154" s="476">
        <v>0</v>
      </c>
      <c r="CM154" s="476">
        <v>0</v>
      </c>
      <c r="CN154" s="476">
        <v>0</v>
      </c>
      <c r="CO154" s="476">
        <v>1</v>
      </c>
      <c r="CP154" s="476">
        <v>0</v>
      </c>
      <c r="CQ154" s="476">
        <v>0</v>
      </c>
      <c r="CR154" s="476">
        <v>171.16300000000001</v>
      </c>
      <c r="CS154" s="476">
        <v>0</v>
      </c>
      <c r="CT154" s="476">
        <v>0</v>
      </c>
      <c r="CU154" s="476">
        <v>0</v>
      </c>
      <c r="CV154" s="476">
        <v>0</v>
      </c>
      <c r="CW154" s="476">
        <v>0</v>
      </c>
      <c r="CX154" s="476">
        <v>0</v>
      </c>
      <c r="CY154" s="476">
        <v>0</v>
      </c>
      <c r="CZ154" s="476">
        <v>0</v>
      </c>
      <c r="DA154" s="476">
        <v>0</v>
      </c>
      <c r="DB154" s="476">
        <v>215720</v>
      </c>
      <c r="DC154" s="476">
        <v>0</v>
      </c>
      <c r="DD154" s="476">
        <v>0</v>
      </c>
      <c r="DE154" s="476">
        <v>279812</v>
      </c>
      <c r="DF154" s="476">
        <v>279812</v>
      </c>
      <c r="DG154" s="476">
        <v>45.425000000000004</v>
      </c>
      <c r="DH154" s="476">
        <v>0</v>
      </c>
      <c r="DI154" s="476">
        <v>0</v>
      </c>
      <c r="DJ154" s="476">
        <v>0</v>
      </c>
      <c r="DK154" s="476">
        <v>3641</v>
      </c>
      <c r="DL154" s="476">
        <v>0</v>
      </c>
      <c r="DM154" s="476">
        <v>1705046</v>
      </c>
      <c r="DN154" s="476">
        <v>4014</v>
      </c>
      <c r="DO154" s="476">
        <v>0</v>
      </c>
      <c r="DP154" s="476">
        <v>0</v>
      </c>
      <c r="DQ154" s="476">
        <v>0</v>
      </c>
      <c r="DR154" s="476">
        <v>0</v>
      </c>
      <c r="DS154" s="476">
        <v>0</v>
      </c>
      <c r="DT154" s="476">
        <v>0</v>
      </c>
      <c r="DU154" s="476">
        <v>0</v>
      </c>
      <c r="DV154" s="476">
        <v>0</v>
      </c>
      <c r="DW154" s="476">
        <v>0</v>
      </c>
      <c r="DX154" s="476">
        <v>0</v>
      </c>
      <c r="DY154" s="476">
        <v>0</v>
      </c>
      <c r="DZ154" s="476">
        <v>0</v>
      </c>
      <c r="EA154" s="476">
        <v>0</v>
      </c>
      <c r="EB154" s="476">
        <v>0</v>
      </c>
      <c r="EC154" s="476">
        <v>9.5150000000000006</v>
      </c>
      <c r="ED154" s="476">
        <v>67403</v>
      </c>
      <c r="EE154" s="476">
        <v>0</v>
      </c>
      <c r="EF154" s="476">
        <v>0</v>
      </c>
      <c r="EG154" s="476">
        <v>0</v>
      </c>
      <c r="EH154" s="476">
        <v>331253</v>
      </c>
      <c r="EI154" s="476">
        <v>772939</v>
      </c>
      <c r="EJ154" s="476">
        <v>31.37</v>
      </c>
      <c r="EK154" s="476">
        <v>16.343</v>
      </c>
      <c r="EL154" s="476">
        <v>0</v>
      </c>
      <c r="EM154" s="476">
        <v>0.56900000000000006</v>
      </c>
      <c r="EN154" s="476">
        <v>0.60799999999999998</v>
      </c>
      <c r="EO154" s="476">
        <v>0</v>
      </c>
      <c r="EP154" s="476">
        <v>0</v>
      </c>
      <c r="EQ154" s="476">
        <v>48.89</v>
      </c>
      <c r="ER154" s="476">
        <v>0</v>
      </c>
      <c r="ES154" s="476">
        <v>53.776000000000003</v>
      </c>
      <c r="ET154" s="476">
        <v>0</v>
      </c>
      <c r="EU154" s="476">
        <v>0</v>
      </c>
      <c r="EV154" s="476">
        <v>0</v>
      </c>
      <c r="EW154" s="476">
        <v>0</v>
      </c>
      <c r="EX154" s="476">
        <v>0</v>
      </c>
      <c r="EY154" s="476">
        <v>0</v>
      </c>
      <c r="EZ154" s="476">
        <v>2421064</v>
      </c>
      <c r="FA154" s="476">
        <v>0</v>
      </c>
      <c r="FB154" s="476">
        <v>2488561</v>
      </c>
      <c r="FC154" s="476">
        <v>0</v>
      </c>
      <c r="FD154" s="476">
        <v>0</v>
      </c>
      <c r="FE154" s="476">
        <v>304377</v>
      </c>
      <c r="FF154" s="476">
        <v>50833</v>
      </c>
      <c r="FG154" s="476">
        <v>6.3017999999999991E-2</v>
      </c>
      <c r="FH154" s="476">
        <v>2.6953999999999999E-2</v>
      </c>
      <c r="FI154" s="476">
        <v>0</v>
      </c>
      <c r="FJ154" s="476">
        <v>0</v>
      </c>
      <c r="FK154" s="476">
        <v>382.69499999999999</v>
      </c>
      <c r="FL154" s="476">
        <v>2872668</v>
      </c>
      <c r="FM154" s="476">
        <v>0</v>
      </c>
      <c r="FN154" s="476">
        <v>0</v>
      </c>
      <c r="FO154" s="476">
        <v>121996</v>
      </c>
      <c r="FP154" s="476">
        <v>0</v>
      </c>
      <c r="FQ154" s="476">
        <v>121996</v>
      </c>
      <c r="FR154" s="476">
        <v>121996</v>
      </c>
      <c r="FS154" s="476">
        <v>0</v>
      </c>
      <c r="FT154" s="476">
        <v>0</v>
      </c>
      <c r="FU154" s="476">
        <v>0</v>
      </c>
      <c r="FV154" s="476">
        <v>0</v>
      </c>
      <c r="FW154" s="476">
        <v>0</v>
      </c>
      <c r="FX154" s="476">
        <v>0</v>
      </c>
      <c r="FY154" s="476">
        <v>0</v>
      </c>
      <c r="FZ154" s="476">
        <v>0</v>
      </c>
      <c r="GA154" s="476">
        <v>0</v>
      </c>
      <c r="GB154" s="476">
        <v>0</v>
      </c>
      <c r="GC154" s="476">
        <v>0</v>
      </c>
      <c r="GD154" s="476">
        <v>0</v>
      </c>
      <c r="GE154" s="476">
        <v>0</v>
      </c>
      <c r="GF154" s="476">
        <v>0</v>
      </c>
      <c r="GG154" s="476">
        <v>0</v>
      </c>
      <c r="GH154" s="476">
        <v>0</v>
      </c>
      <c r="GI154" s="476">
        <v>0</v>
      </c>
      <c r="GJ154" s="476">
        <v>0</v>
      </c>
      <c r="GK154" s="476">
        <v>0</v>
      </c>
      <c r="GL154" s="476">
        <v>0</v>
      </c>
      <c r="GM154" s="476">
        <v>0</v>
      </c>
      <c r="GN154" s="476">
        <v>0</v>
      </c>
      <c r="GO154" s="476">
        <v>0</v>
      </c>
      <c r="GP154" s="476">
        <v>0</v>
      </c>
      <c r="GQ154" s="476">
        <v>2772260</v>
      </c>
      <c r="GR154" s="476">
        <v>0</v>
      </c>
      <c r="GS154" s="476">
        <v>0</v>
      </c>
      <c r="GT154" s="476">
        <v>0</v>
      </c>
      <c r="GU154" s="476">
        <v>0</v>
      </c>
      <c r="GV154" s="476">
        <v>0</v>
      </c>
      <c r="GW154" s="476">
        <v>0</v>
      </c>
      <c r="GX154" s="476">
        <v>0</v>
      </c>
      <c r="GY154" s="476">
        <v>0</v>
      </c>
      <c r="GZ154" s="476">
        <v>0</v>
      </c>
      <c r="HA154" s="476">
        <v>0</v>
      </c>
      <c r="HB154" s="476">
        <v>323396213</v>
      </c>
      <c r="HC154" s="476">
        <v>4.2206E-2</v>
      </c>
      <c r="HD154" s="476">
        <v>28897</v>
      </c>
      <c r="HE154" s="476">
        <v>0</v>
      </c>
      <c r="HF154" s="476">
        <v>134745</v>
      </c>
      <c r="HG154" s="476">
        <v>2464</v>
      </c>
      <c r="HH154" s="476">
        <v>13835</v>
      </c>
      <c r="HI154" s="476">
        <v>0</v>
      </c>
      <c r="HJ154" s="476">
        <v>1712</v>
      </c>
      <c r="HK154" s="476">
        <v>916</v>
      </c>
      <c r="HL154" s="476">
        <v>359</v>
      </c>
      <c r="HM154" s="476">
        <v>0</v>
      </c>
      <c r="HN154" s="476">
        <v>0</v>
      </c>
      <c r="HO154" s="476">
        <v>0</v>
      </c>
      <c r="HP154" s="476">
        <v>2427</v>
      </c>
      <c r="HQ154" s="476">
        <v>0</v>
      </c>
      <c r="HR154" s="476">
        <v>0</v>
      </c>
      <c r="HS154" s="476">
        <v>2417050</v>
      </c>
      <c r="HT154" s="476">
        <v>50833</v>
      </c>
      <c r="HU154" s="476">
        <v>0</v>
      </c>
      <c r="HV154" s="476">
        <v>0</v>
      </c>
      <c r="HW154" s="476">
        <v>0</v>
      </c>
      <c r="HX154" s="476">
        <v>26</v>
      </c>
      <c r="HY154" s="476">
        <v>42</v>
      </c>
      <c r="HZ154" s="476">
        <v>31</v>
      </c>
      <c r="IA154" s="476">
        <v>12</v>
      </c>
      <c r="IB154" s="476">
        <v>68</v>
      </c>
      <c r="IC154" s="476">
        <v>179</v>
      </c>
      <c r="ID154" s="476">
        <v>0</v>
      </c>
      <c r="IE154" s="476">
        <v>0</v>
      </c>
      <c r="IF154" s="476">
        <v>0</v>
      </c>
      <c r="IG154" s="476">
        <v>4</v>
      </c>
      <c r="IH154" s="476">
        <v>22.46</v>
      </c>
      <c r="II154" s="476">
        <v>8.8239999999999998</v>
      </c>
      <c r="IJ154" s="476">
        <v>0</v>
      </c>
      <c r="IK154" s="476">
        <v>34.652000000000001</v>
      </c>
      <c r="IL154" s="476">
        <v>0</v>
      </c>
      <c r="IM154" s="476">
        <v>0</v>
      </c>
      <c r="IN154" s="476">
        <v>0</v>
      </c>
      <c r="IO154" s="476">
        <v>0</v>
      </c>
      <c r="IP154" s="476">
        <v>43.475999999999999</v>
      </c>
      <c r="IQ154" s="476">
        <v>0</v>
      </c>
      <c r="IR154" s="476">
        <v>0</v>
      </c>
      <c r="IS154" s="476">
        <v>9529</v>
      </c>
      <c r="IT154" s="476">
        <v>0</v>
      </c>
      <c r="IU154" s="476">
        <v>0</v>
      </c>
      <c r="IV154" s="476">
        <v>0</v>
      </c>
      <c r="IW154" s="476">
        <v>6160</v>
      </c>
      <c r="IX154" s="476">
        <v>0</v>
      </c>
      <c r="IY154" s="476">
        <v>0</v>
      </c>
      <c r="IZ154" s="476">
        <v>11956</v>
      </c>
      <c r="JA154" s="476">
        <v>0</v>
      </c>
      <c r="JB154" s="476">
        <v>0</v>
      </c>
      <c r="JC154" s="476">
        <v>0</v>
      </c>
      <c r="JD154" s="476">
        <v>0</v>
      </c>
      <c r="JE154" s="476">
        <v>0</v>
      </c>
      <c r="JF154" s="476">
        <v>0</v>
      </c>
      <c r="JG154" s="476">
        <v>0</v>
      </c>
      <c r="JH154" s="476">
        <v>0</v>
      </c>
      <c r="JI154" s="476">
        <v>0</v>
      </c>
      <c r="JJ154" s="476">
        <v>0</v>
      </c>
      <c r="JK154" s="476">
        <v>0</v>
      </c>
      <c r="JL154" s="476">
        <v>0</v>
      </c>
      <c r="JM154" s="476">
        <v>0</v>
      </c>
      <c r="JN154" s="476">
        <v>32469</v>
      </c>
      <c r="JO154" s="476">
        <v>0</v>
      </c>
      <c r="JP154" s="476">
        <v>0</v>
      </c>
      <c r="JQ154" s="476">
        <v>0</v>
      </c>
      <c r="JR154" s="476">
        <v>0</v>
      </c>
      <c r="JS154" s="476">
        <v>0</v>
      </c>
      <c r="JT154" s="476">
        <v>0</v>
      </c>
      <c r="JU154" s="476">
        <v>0</v>
      </c>
      <c r="JV154" s="476">
        <v>0</v>
      </c>
      <c r="JW154" s="476">
        <v>0</v>
      </c>
      <c r="JX154" s="476">
        <v>0</v>
      </c>
      <c r="JY154" s="476">
        <v>0</v>
      </c>
      <c r="JZ154" s="476">
        <v>0</v>
      </c>
      <c r="KA154" s="476">
        <v>0</v>
      </c>
      <c r="KB154" s="476">
        <v>0</v>
      </c>
      <c r="KC154" s="476">
        <v>0</v>
      </c>
      <c r="KD154" s="476">
        <v>0</v>
      </c>
      <c r="KE154" s="476">
        <v>7262</v>
      </c>
      <c r="KF154" s="476">
        <v>0</v>
      </c>
      <c r="KG154" s="476">
        <v>0</v>
      </c>
      <c r="KH154" s="476">
        <v>2772260</v>
      </c>
      <c r="KI154" s="476">
        <v>0</v>
      </c>
      <c r="KJ154" s="476">
        <v>4</v>
      </c>
      <c r="KK154" s="476">
        <v>0</v>
      </c>
      <c r="KL154" s="476">
        <v>2464</v>
      </c>
      <c r="KM154" s="476">
        <v>0</v>
      </c>
      <c r="KN154" s="476">
        <v>0</v>
      </c>
    </row>
    <row r="155" spans="1:300" x14ac:dyDescent="0.25">
      <c r="A155" s="476">
        <v>40976</v>
      </c>
      <c r="B155" s="476">
        <v>212801</v>
      </c>
      <c r="C155" s="476">
        <v>9</v>
      </c>
      <c r="D155" s="476">
        <v>2024</v>
      </c>
      <c r="E155" s="476">
        <v>6160</v>
      </c>
      <c r="F155" s="476">
        <v>0</v>
      </c>
      <c r="G155" s="476">
        <v>1859.307</v>
      </c>
      <c r="H155" s="476">
        <v>1662.229</v>
      </c>
      <c r="I155" s="476">
        <v>1662.229</v>
      </c>
      <c r="J155" s="476">
        <v>1859.307</v>
      </c>
      <c r="K155" s="476">
        <v>0</v>
      </c>
      <c r="L155" s="476">
        <v>6160</v>
      </c>
      <c r="M155" s="476">
        <v>0</v>
      </c>
      <c r="N155" s="476">
        <v>0</v>
      </c>
      <c r="O155" s="476">
        <v>0</v>
      </c>
      <c r="P155" s="476">
        <v>1861.5250000000001</v>
      </c>
      <c r="Q155" s="476">
        <v>0</v>
      </c>
      <c r="R155" s="476">
        <v>772317</v>
      </c>
      <c r="S155" s="476">
        <v>414.88400000000001</v>
      </c>
      <c r="T155" s="476">
        <v>0</v>
      </c>
      <c r="U155" s="476">
        <v>0</v>
      </c>
      <c r="V155" s="476">
        <v>76.525000000000006</v>
      </c>
      <c r="W155" s="476">
        <v>47138</v>
      </c>
      <c r="X155" s="476">
        <v>47138</v>
      </c>
      <c r="Y155" s="476">
        <v>0</v>
      </c>
      <c r="Z155" s="476">
        <v>0</v>
      </c>
      <c r="AA155" s="476">
        <v>0</v>
      </c>
      <c r="AB155" s="476">
        <v>0</v>
      </c>
      <c r="AC155" s="476">
        <v>0</v>
      </c>
      <c r="AD155" s="476" t="s">
        <v>314</v>
      </c>
      <c r="AE155" s="476">
        <v>0</v>
      </c>
      <c r="AF155" s="476">
        <v>0</v>
      </c>
      <c r="AG155" s="476">
        <v>0</v>
      </c>
      <c r="AH155" s="476">
        <v>0</v>
      </c>
      <c r="AI155" s="476">
        <v>0</v>
      </c>
      <c r="AJ155" s="476">
        <v>6160</v>
      </c>
      <c r="AK155" s="476" t="s">
        <v>651</v>
      </c>
      <c r="AL155" s="476" t="s">
        <v>73</v>
      </c>
      <c r="AM155" s="476">
        <v>0</v>
      </c>
      <c r="AN155" s="476">
        <v>0</v>
      </c>
      <c r="AO155" s="476">
        <v>0</v>
      </c>
      <c r="AP155" s="476">
        <v>0</v>
      </c>
      <c r="AQ155" s="476">
        <v>0</v>
      </c>
      <c r="AR155" s="476">
        <v>0</v>
      </c>
      <c r="AS155" s="476">
        <v>0</v>
      </c>
      <c r="AT155" s="476">
        <v>0</v>
      </c>
      <c r="AU155" s="476">
        <v>0</v>
      </c>
      <c r="AV155" s="476">
        <v>0</v>
      </c>
      <c r="AW155" s="476">
        <v>18449471</v>
      </c>
      <c r="AX155" s="476">
        <v>18140734</v>
      </c>
      <c r="AY155" s="476">
        <v>0</v>
      </c>
      <c r="AZ155" s="476">
        <v>772317</v>
      </c>
      <c r="BA155" s="476">
        <v>41.333000000000006</v>
      </c>
      <c r="BB155" s="476">
        <v>0</v>
      </c>
      <c r="BC155" s="476">
        <v>0</v>
      </c>
      <c r="BD155" s="476">
        <v>0</v>
      </c>
      <c r="BE155" s="476">
        <v>0</v>
      </c>
      <c r="BF155" s="476">
        <v>16426676</v>
      </c>
      <c r="BG155" s="476">
        <v>0</v>
      </c>
      <c r="BH155" s="476">
        <v>0</v>
      </c>
      <c r="BI155" s="476">
        <v>0</v>
      </c>
      <c r="BJ155" s="476">
        <v>12</v>
      </c>
      <c r="BK155" s="476">
        <v>0</v>
      </c>
      <c r="BL155" s="476">
        <v>0</v>
      </c>
      <c r="BM155" s="476">
        <v>0</v>
      </c>
      <c r="BN155" s="476">
        <v>0</v>
      </c>
      <c r="BO155" s="476">
        <v>0</v>
      </c>
      <c r="BP155" s="476">
        <v>0</v>
      </c>
      <c r="BQ155" s="476">
        <v>514</v>
      </c>
      <c r="BR155" s="476">
        <v>0</v>
      </c>
      <c r="BS155" s="476">
        <v>0</v>
      </c>
      <c r="BT155" s="476">
        <v>0</v>
      </c>
      <c r="BU155" s="476">
        <v>0</v>
      </c>
      <c r="BV155" s="476">
        <v>0</v>
      </c>
      <c r="BW155" s="476">
        <v>0</v>
      </c>
      <c r="BX155" s="476">
        <v>0</v>
      </c>
      <c r="BY155" s="476">
        <v>0</v>
      </c>
      <c r="BZ155" s="476">
        <v>0</v>
      </c>
      <c r="CA155" s="476">
        <v>0</v>
      </c>
      <c r="CB155" s="476">
        <v>0</v>
      </c>
      <c r="CC155" s="476">
        <v>0</v>
      </c>
      <c r="CD155" s="476">
        <v>0</v>
      </c>
      <c r="CE155" s="476">
        <v>0</v>
      </c>
      <c r="CF155" s="476">
        <v>0</v>
      </c>
      <c r="CG155" s="476">
        <v>0</v>
      </c>
      <c r="CH155" s="476">
        <v>313898</v>
      </c>
      <c r="CI155" s="476">
        <v>0</v>
      </c>
      <c r="CJ155" s="476">
        <v>4</v>
      </c>
      <c r="CK155" s="476">
        <v>0</v>
      </c>
      <c r="CL155" s="476">
        <v>0</v>
      </c>
      <c r="CM155" s="476">
        <v>0</v>
      </c>
      <c r="CN155" s="476">
        <v>0</v>
      </c>
      <c r="CO155" s="476">
        <v>1</v>
      </c>
      <c r="CP155" s="476">
        <v>0</v>
      </c>
      <c r="CQ155" s="476">
        <v>1.667</v>
      </c>
      <c r="CR155" s="476">
        <v>1859.307</v>
      </c>
      <c r="CS155" s="476">
        <v>0</v>
      </c>
      <c r="CT155" s="476">
        <v>0</v>
      </c>
      <c r="CU155" s="476">
        <v>0</v>
      </c>
      <c r="CV155" s="476">
        <v>0</v>
      </c>
      <c r="CW155" s="476">
        <v>0</v>
      </c>
      <c r="CX155" s="476">
        <v>0</v>
      </c>
      <c r="CY155" s="476">
        <v>0</v>
      </c>
      <c r="CZ155" s="476">
        <v>0</v>
      </c>
      <c r="DA155" s="476">
        <v>0</v>
      </c>
      <c r="DB155" s="476">
        <v>10239098</v>
      </c>
      <c r="DC155" s="476">
        <v>0</v>
      </c>
      <c r="DD155" s="476">
        <v>0</v>
      </c>
      <c r="DE155" s="476">
        <v>1184233</v>
      </c>
      <c r="DF155" s="476">
        <v>1184233</v>
      </c>
      <c r="DG155" s="476">
        <v>192.25</v>
      </c>
      <c r="DH155" s="476">
        <v>0</v>
      </c>
      <c r="DI155" s="476">
        <v>0</v>
      </c>
      <c r="DJ155" s="476">
        <v>0</v>
      </c>
      <c r="DK155" s="476">
        <v>0</v>
      </c>
      <c r="DL155" s="476">
        <v>0</v>
      </c>
      <c r="DM155" s="476">
        <v>1501205</v>
      </c>
      <c r="DN155" s="476">
        <v>5161</v>
      </c>
      <c r="DO155" s="476">
        <v>0</v>
      </c>
      <c r="DP155" s="476">
        <v>0</v>
      </c>
      <c r="DQ155" s="476">
        <v>0</v>
      </c>
      <c r="DR155" s="476">
        <v>0</v>
      </c>
      <c r="DS155" s="476">
        <v>0</v>
      </c>
      <c r="DT155" s="476">
        <v>0</v>
      </c>
      <c r="DU155" s="476">
        <v>0</v>
      </c>
      <c r="DV155" s="476">
        <v>0</v>
      </c>
      <c r="DW155" s="476">
        <v>0</v>
      </c>
      <c r="DX155" s="476">
        <v>0</v>
      </c>
      <c r="DY155" s="476">
        <v>0</v>
      </c>
      <c r="DZ155" s="476">
        <v>0</v>
      </c>
      <c r="EA155" s="476">
        <v>0</v>
      </c>
      <c r="EB155" s="476">
        <v>0</v>
      </c>
      <c r="EC155" s="476">
        <v>46.623000000000005</v>
      </c>
      <c r="ED155" s="476">
        <v>330270</v>
      </c>
      <c r="EE155" s="476">
        <v>0</v>
      </c>
      <c r="EF155" s="476">
        <v>0</v>
      </c>
      <c r="EG155" s="476">
        <v>0</v>
      </c>
      <c r="EH155" s="476">
        <v>1176096</v>
      </c>
      <c r="EI155" s="476">
        <v>0</v>
      </c>
      <c r="EJ155" s="476">
        <v>0</v>
      </c>
      <c r="EK155" s="476">
        <v>49.651000000000003</v>
      </c>
      <c r="EL155" s="476">
        <v>0</v>
      </c>
      <c r="EM155" s="476">
        <v>8.9370000000000012</v>
      </c>
      <c r="EN155" s="476">
        <v>3.0330000000000004</v>
      </c>
      <c r="EO155" s="476">
        <v>0</v>
      </c>
      <c r="EP155" s="476">
        <v>0</v>
      </c>
      <c r="EQ155" s="476">
        <v>61.621000000000002</v>
      </c>
      <c r="ER155" s="476">
        <v>0</v>
      </c>
      <c r="ES155" s="476">
        <v>190.929</v>
      </c>
      <c r="ET155" s="476">
        <v>0</v>
      </c>
      <c r="EU155" s="476">
        <v>0</v>
      </c>
      <c r="EV155" s="476">
        <v>0</v>
      </c>
      <c r="EW155" s="476">
        <v>0</v>
      </c>
      <c r="EX155" s="476">
        <v>0</v>
      </c>
      <c r="EY155" s="476">
        <v>0</v>
      </c>
      <c r="EZ155" s="476">
        <v>15665531</v>
      </c>
      <c r="FA155" s="476">
        <v>0</v>
      </c>
      <c r="FB155" s="476">
        <v>16432687</v>
      </c>
      <c r="FC155" s="476">
        <v>0</v>
      </c>
      <c r="FD155" s="476">
        <v>0</v>
      </c>
      <c r="FE155" s="476">
        <v>2120983</v>
      </c>
      <c r="FF155" s="476">
        <v>354220</v>
      </c>
      <c r="FG155" s="476">
        <v>6.3017999999999991E-2</v>
      </c>
      <c r="FH155" s="476">
        <v>2.6953999999999999E-2</v>
      </c>
      <c r="FI155" s="476">
        <v>0</v>
      </c>
      <c r="FJ155" s="476">
        <v>0</v>
      </c>
      <c r="FK155" s="476">
        <v>2666.7290000000003</v>
      </c>
      <c r="FL155" s="476">
        <v>19221788</v>
      </c>
      <c r="FM155" s="476">
        <v>0</v>
      </c>
      <c r="FN155" s="476">
        <v>0</v>
      </c>
      <c r="FO155" s="476">
        <v>0</v>
      </c>
      <c r="FP155" s="476">
        <v>0</v>
      </c>
      <c r="FQ155" s="476">
        <v>0</v>
      </c>
      <c r="FR155" s="476">
        <v>0</v>
      </c>
      <c r="FS155" s="476">
        <v>0</v>
      </c>
      <c r="FT155" s="476">
        <v>0</v>
      </c>
      <c r="FU155" s="476">
        <v>0</v>
      </c>
      <c r="FV155" s="476">
        <v>0</v>
      </c>
      <c r="FW155" s="476">
        <v>0</v>
      </c>
      <c r="FX155" s="476">
        <v>0</v>
      </c>
      <c r="FY155" s="476">
        <v>0</v>
      </c>
      <c r="FZ155" s="476">
        <v>0</v>
      </c>
      <c r="GA155" s="476">
        <v>0</v>
      </c>
      <c r="GB155" s="476">
        <v>1318857</v>
      </c>
      <c r="GC155" s="476">
        <v>1318857</v>
      </c>
      <c r="GD155" s="476">
        <v>135.45699999999999</v>
      </c>
      <c r="GE155" s="476">
        <v>0</v>
      </c>
      <c r="GF155" s="476">
        <v>0</v>
      </c>
      <c r="GG155" s="476">
        <v>0</v>
      </c>
      <c r="GH155" s="476">
        <v>0</v>
      </c>
      <c r="GI155" s="476">
        <v>0</v>
      </c>
      <c r="GJ155" s="476">
        <v>0</v>
      </c>
      <c r="GK155" s="476">
        <v>0</v>
      </c>
      <c r="GL155" s="476">
        <v>0</v>
      </c>
      <c r="GM155" s="476">
        <v>0</v>
      </c>
      <c r="GN155" s="476">
        <v>0</v>
      </c>
      <c r="GO155" s="476">
        <v>0</v>
      </c>
      <c r="GP155" s="476">
        <v>0</v>
      </c>
      <c r="GQ155" s="476">
        <v>18135573</v>
      </c>
      <c r="GR155" s="476">
        <v>0</v>
      </c>
      <c r="GS155" s="476">
        <v>0</v>
      </c>
      <c r="GT155" s="476">
        <v>0</v>
      </c>
      <c r="GU155" s="476">
        <v>0</v>
      </c>
      <c r="GV155" s="476">
        <v>0</v>
      </c>
      <c r="GW155" s="476">
        <v>0</v>
      </c>
      <c r="GX155" s="476">
        <v>0</v>
      </c>
      <c r="GY155" s="476">
        <v>0</v>
      </c>
      <c r="GZ155" s="476">
        <v>0</v>
      </c>
      <c r="HA155" s="476">
        <v>0</v>
      </c>
      <c r="HB155" s="476">
        <v>323396213</v>
      </c>
      <c r="HC155" s="476">
        <v>4.2206E-2</v>
      </c>
      <c r="HD155" s="476">
        <v>313898</v>
      </c>
      <c r="HE155" s="476">
        <v>0</v>
      </c>
      <c r="HF155" s="476">
        <v>1831776</v>
      </c>
      <c r="HG155" s="476">
        <v>107798</v>
      </c>
      <c r="HH155" s="476">
        <v>157817</v>
      </c>
      <c r="HI155" s="476">
        <v>0</v>
      </c>
      <c r="HJ155" s="476">
        <v>18593</v>
      </c>
      <c r="HK155" s="476">
        <v>7012</v>
      </c>
      <c r="HL155" s="476">
        <v>4160</v>
      </c>
      <c r="HM155" s="476">
        <v>15000</v>
      </c>
      <c r="HN155" s="476">
        <v>0</v>
      </c>
      <c r="HO155" s="476">
        <v>0</v>
      </c>
      <c r="HP155" s="476">
        <v>0</v>
      </c>
      <c r="HQ155" s="476">
        <v>0</v>
      </c>
      <c r="HR155" s="476">
        <v>0</v>
      </c>
      <c r="HS155" s="476">
        <v>15660370</v>
      </c>
      <c r="HT155" s="476">
        <v>354220</v>
      </c>
      <c r="HU155" s="476">
        <v>0</v>
      </c>
      <c r="HV155" s="476">
        <v>0</v>
      </c>
      <c r="HW155" s="476">
        <v>0</v>
      </c>
      <c r="HX155" s="476">
        <v>245</v>
      </c>
      <c r="HY155" s="476">
        <v>216</v>
      </c>
      <c r="HZ155" s="476">
        <v>114</v>
      </c>
      <c r="IA155" s="476">
        <v>100</v>
      </c>
      <c r="IB155" s="476">
        <v>113</v>
      </c>
      <c r="IC155" s="476">
        <v>788</v>
      </c>
      <c r="ID155" s="476">
        <v>0</v>
      </c>
      <c r="IE155" s="476">
        <v>0</v>
      </c>
      <c r="IF155" s="476">
        <v>0</v>
      </c>
      <c r="IG155" s="476">
        <v>175</v>
      </c>
      <c r="IH155" s="476">
        <v>256.202</v>
      </c>
      <c r="II155" s="476">
        <v>0</v>
      </c>
      <c r="IJ155" s="476">
        <v>76.525000000000006</v>
      </c>
      <c r="IK155" s="476">
        <v>0</v>
      </c>
      <c r="IL155" s="476">
        <v>0</v>
      </c>
      <c r="IM155" s="476">
        <v>5</v>
      </c>
      <c r="IN155" s="476">
        <v>0</v>
      </c>
      <c r="IO155" s="476">
        <v>5</v>
      </c>
      <c r="IP155" s="476">
        <v>0</v>
      </c>
      <c r="IQ155" s="476">
        <v>76.525000000000006</v>
      </c>
      <c r="IR155" s="476">
        <v>47138</v>
      </c>
      <c r="IS155" s="476">
        <v>0</v>
      </c>
      <c r="IT155" s="476">
        <v>0</v>
      </c>
      <c r="IU155" s="476">
        <v>15000</v>
      </c>
      <c r="IV155" s="476">
        <v>0</v>
      </c>
      <c r="IW155" s="476">
        <v>6160</v>
      </c>
      <c r="IX155" s="476">
        <v>0</v>
      </c>
      <c r="IY155" s="476">
        <v>0</v>
      </c>
      <c r="IZ155" s="476">
        <v>0</v>
      </c>
      <c r="JA155" s="476">
        <v>0</v>
      </c>
      <c r="JB155" s="476">
        <v>0</v>
      </c>
      <c r="JC155" s="476">
        <v>0</v>
      </c>
      <c r="JD155" s="476">
        <v>0</v>
      </c>
      <c r="JE155" s="476">
        <v>0</v>
      </c>
      <c r="JF155" s="476">
        <v>0</v>
      </c>
      <c r="JG155" s="476">
        <v>0</v>
      </c>
      <c r="JH155" s="476">
        <v>0</v>
      </c>
      <c r="JI155" s="476">
        <v>0</v>
      </c>
      <c r="JJ155" s="476">
        <v>0</v>
      </c>
      <c r="JK155" s="476">
        <v>0</v>
      </c>
      <c r="JL155" s="476">
        <v>0</v>
      </c>
      <c r="JM155" s="476">
        <v>0</v>
      </c>
      <c r="JN155" s="476">
        <v>32469</v>
      </c>
      <c r="JO155" s="476">
        <v>4.8760000000000003</v>
      </c>
      <c r="JP155" s="476">
        <v>82.668000000000006</v>
      </c>
      <c r="JQ155" s="476">
        <v>47.913000000000004</v>
      </c>
      <c r="JR155" s="476">
        <v>38950</v>
      </c>
      <c r="JS155" s="476">
        <v>768429</v>
      </c>
      <c r="JT155" s="476">
        <v>511478</v>
      </c>
      <c r="JU155" s="476">
        <v>0</v>
      </c>
      <c r="JV155" s="476">
        <v>0</v>
      </c>
      <c r="JW155" s="476">
        <v>0</v>
      </c>
      <c r="JX155" s="476">
        <v>0</v>
      </c>
      <c r="JY155" s="476">
        <v>0</v>
      </c>
      <c r="JZ155" s="476">
        <v>0</v>
      </c>
      <c r="KA155" s="476">
        <v>0</v>
      </c>
      <c r="KB155" s="476">
        <v>0</v>
      </c>
      <c r="KC155" s="476">
        <v>0</v>
      </c>
      <c r="KD155" s="476">
        <v>0</v>
      </c>
      <c r="KE155" s="476">
        <v>7262</v>
      </c>
      <c r="KF155" s="476">
        <v>0</v>
      </c>
      <c r="KG155" s="476">
        <v>0</v>
      </c>
      <c r="KH155" s="476">
        <v>18135573</v>
      </c>
      <c r="KI155" s="476">
        <v>0</v>
      </c>
      <c r="KJ155" s="476">
        <v>22</v>
      </c>
      <c r="KK155" s="476">
        <v>153</v>
      </c>
      <c r="KL155" s="476">
        <v>13552</v>
      </c>
      <c r="KM155" s="476">
        <v>94246</v>
      </c>
      <c r="KN155" s="476">
        <v>0</v>
      </c>
    </row>
    <row r="156" spans="1:300" x14ac:dyDescent="0.25">
      <c r="A156" s="476">
        <v>40976</v>
      </c>
      <c r="B156" s="476">
        <v>212804</v>
      </c>
      <c r="C156" s="476">
        <v>9</v>
      </c>
      <c r="D156" s="476">
        <v>2024</v>
      </c>
      <c r="E156" s="476">
        <v>6160</v>
      </c>
      <c r="F156" s="476">
        <v>0</v>
      </c>
      <c r="G156" s="476">
        <v>818.95</v>
      </c>
      <c r="H156" s="476">
        <v>732.48900000000003</v>
      </c>
      <c r="I156" s="476">
        <v>732.48900000000003</v>
      </c>
      <c r="J156" s="476">
        <v>818.95</v>
      </c>
      <c r="K156" s="476">
        <v>0</v>
      </c>
      <c r="L156" s="476">
        <v>6160</v>
      </c>
      <c r="M156" s="476">
        <v>0</v>
      </c>
      <c r="N156" s="476">
        <v>0</v>
      </c>
      <c r="O156" s="476">
        <v>0</v>
      </c>
      <c r="P156" s="476">
        <v>820.46699999999998</v>
      </c>
      <c r="Q156" s="476">
        <v>0</v>
      </c>
      <c r="R156" s="476">
        <v>340399</v>
      </c>
      <c r="S156" s="476">
        <v>414.88400000000001</v>
      </c>
      <c r="T156" s="476">
        <v>0</v>
      </c>
      <c r="U156" s="476">
        <v>0</v>
      </c>
      <c r="V156" s="476">
        <v>23.483000000000001</v>
      </c>
      <c r="W156" s="476">
        <v>14465</v>
      </c>
      <c r="X156" s="476">
        <v>14465</v>
      </c>
      <c r="Y156" s="476">
        <v>0</v>
      </c>
      <c r="Z156" s="476">
        <v>0</v>
      </c>
      <c r="AA156" s="476">
        <v>0</v>
      </c>
      <c r="AB156" s="476">
        <v>0</v>
      </c>
      <c r="AC156" s="476">
        <v>0</v>
      </c>
      <c r="AD156" s="476" t="s">
        <v>314</v>
      </c>
      <c r="AE156" s="476">
        <v>0</v>
      </c>
      <c r="AF156" s="476">
        <v>0</v>
      </c>
      <c r="AG156" s="476">
        <v>0</v>
      </c>
      <c r="AH156" s="476">
        <v>0</v>
      </c>
      <c r="AI156" s="476">
        <v>0</v>
      </c>
      <c r="AJ156" s="476">
        <v>6160</v>
      </c>
      <c r="AK156" s="476" t="s">
        <v>651</v>
      </c>
      <c r="AL156" s="476" t="s">
        <v>462</v>
      </c>
      <c r="AM156" s="476">
        <v>0</v>
      </c>
      <c r="AN156" s="476">
        <v>0</v>
      </c>
      <c r="AO156" s="476">
        <v>0</v>
      </c>
      <c r="AP156" s="476">
        <v>0</v>
      </c>
      <c r="AQ156" s="476">
        <v>0</v>
      </c>
      <c r="AR156" s="476">
        <v>0</v>
      </c>
      <c r="AS156" s="476">
        <v>0</v>
      </c>
      <c r="AT156" s="476">
        <v>0</v>
      </c>
      <c r="AU156" s="476">
        <v>0</v>
      </c>
      <c r="AV156" s="476">
        <v>0</v>
      </c>
      <c r="AW156" s="476">
        <v>8078800</v>
      </c>
      <c r="AX156" s="476">
        <v>7942924</v>
      </c>
      <c r="AY156" s="476">
        <v>0</v>
      </c>
      <c r="AZ156" s="476">
        <v>340399</v>
      </c>
      <c r="BA156" s="476">
        <v>0</v>
      </c>
      <c r="BB156" s="476">
        <v>17454</v>
      </c>
      <c r="BC156" s="476">
        <v>17342</v>
      </c>
      <c r="BD156" s="476">
        <v>40.948</v>
      </c>
      <c r="BE156" s="476">
        <v>111</v>
      </c>
      <c r="BF156" s="476">
        <v>7194674</v>
      </c>
      <c r="BG156" s="476">
        <v>0</v>
      </c>
      <c r="BH156" s="476">
        <v>0</v>
      </c>
      <c r="BI156" s="476">
        <v>0</v>
      </c>
      <c r="BJ156" s="476">
        <v>12</v>
      </c>
      <c r="BK156" s="476">
        <v>0</v>
      </c>
      <c r="BL156" s="476">
        <v>0</v>
      </c>
      <c r="BM156" s="476">
        <v>0</v>
      </c>
      <c r="BN156" s="476">
        <v>0</v>
      </c>
      <c r="BO156" s="476">
        <v>0</v>
      </c>
      <c r="BP156" s="476">
        <v>0</v>
      </c>
      <c r="BQ156" s="476">
        <v>657</v>
      </c>
      <c r="BR156" s="476">
        <v>0</v>
      </c>
      <c r="BS156" s="476">
        <v>0</v>
      </c>
      <c r="BT156" s="476">
        <v>0</v>
      </c>
      <c r="BU156" s="476">
        <v>0</v>
      </c>
      <c r="BV156" s="476">
        <v>0</v>
      </c>
      <c r="BW156" s="476">
        <v>0</v>
      </c>
      <c r="BX156" s="476">
        <v>0</v>
      </c>
      <c r="BY156" s="476">
        <v>0</v>
      </c>
      <c r="BZ156" s="476">
        <v>0</v>
      </c>
      <c r="CA156" s="476">
        <v>0</v>
      </c>
      <c r="CB156" s="476">
        <v>0</v>
      </c>
      <c r="CC156" s="476">
        <v>0</v>
      </c>
      <c r="CD156" s="476">
        <v>0</v>
      </c>
      <c r="CE156" s="476">
        <v>0</v>
      </c>
      <c r="CF156" s="476">
        <v>0</v>
      </c>
      <c r="CG156" s="476">
        <v>0</v>
      </c>
      <c r="CH156" s="476">
        <v>138259</v>
      </c>
      <c r="CI156" s="476">
        <v>0</v>
      </c>
      <c r="CJ156" s="476">
        <v>4</v>
      </c>
      <c r="CK156" s="476">
        <v>0</v>
      </c>
      <c r="CL156" s="476">
        <v>0</v>
      </c>
      <c r="CM156" s="476">
        <v>0</v>
      </c>
      <c r="CN156" s="476">
        <v>0</v>
      </c>
      <c r="CO156" s="476">
        <v>1</v>
      </c>
      <c r="CP156" s="476">
        <v>0</v>
      </c>
      <c r="CQ156" s="476">
        <v>0</v>
      </c>
      <c r="CR156" s="476">
        <v>818.95</v>
      </c>
      <c r="CS156" s="476">
        <v>0</v>
      </c>
      <c r="CT156" s="476">
        <v>0</v>
      </c>
      <c r="CU156" s="476">
        <v>0</v>
      </c>
      <c r="CV156" s="476">
        <v>0</v>
      </c>
      <c r="CW156" s="476">
        <v>0</v>
      </c>
      <c r="CX156" s="476">
        <v>0</v>
      </c>
      <c r="CY156" s="476">
        <v>0</v>
      </c>
      <c r="CZ156" s="476">
        <v>0</v>
      </c>
      <c r="DA156" s="476">
        <v>0</v>
      </c>
      <c r="DB156" s="476">
        <v>4512030</v>
      </c>
      <c r="DC156" s="476">
        <v>0</v>
      </c>
      <c r="DD156" s="476">
        <v>0</v>
      </c>
      <c r="DE156" s="476">
        <v>378677</v>
      </c>
      <c r="DF156" s="476">
        <v>378677</v>
      </c>
      <c r="DG156" s="476">
        <v>61.475000000000001</v>
      </c>
      <c r="DH156" s="476">
        <v>0</v>
      </c>
      <c r="DI156" s="476">
        <v>0</v>
      </c>
      <c r="DJ156" s="476">
        <v>0</v>
      </c>
      <c r="DK156" s="476">
        <v>2138</v>
      </c>
      <c r="DL156" s="476">
        <v>0</v>
      </c>
      <c r="DM156" s="476">
        <v>660598</v>
      </c>
      <c r="DN156" s="476">
        <v>2271</v>
      </c>
      <c r="DO156" s="476">
        <v>0</v>
      </c>
      <c r="DP156" s="476">
        <v>0</v>
      </c>
      <c r="DQ156" s="476">
        <v>0</v>
      </c>
      <c r="DR156" s="476">
        <v>0</v>
      </c>
      <c r="DS156" s="476">
        <v>0</v>
      </c>
      <c r="DT156" s="476">
        <v>0</v>
      </c>
      <c r="DU156" s="476">
        <v>0</v>
      </c>
      <c r="DV156" s="476">
        <v>0</v>
      </c>
      <c r="DW156" s="476">
        <v>0</v>
      </c>
      <c r="DX156" s="476">
        <v>0</v>
      </c>
      <c r="DY156" s="476">
        <v>0</v>
      </c>
      <c r="DZ156" s="476">
        <v>0</v>
      </c>
      <c r="EA156" s="476">
        <v>0</v>
      </c>
      <c r="EB156" s="476">
        <v>0</v>
      </c>
      <c r="EC156" s="476">
        <v>34.767000000000003</v>
      </c>
      <c r="ED156" s="476">
        <v>246284</v>
      </c>
      <c r="EE156" s="476">
        <v>0</v>
      </c>
      <c r="EF156" s="476">
        <v>0</v>
      </c>
      <c r="EG156" s="476">
        <v>0</v>
      </c>
      <c r="EH156" s="476">
        <v>416585</v>
      </c>
      <c r="EI156" s="476">
        <v>0</v>
      </c>
      <c r="EJ156" s="476">
        <v>0</v>
      </c>
      <c r="EK156" s="476">
        <v>18.423000000000002</v>
      </c>
      <c r="EL156" s="476">
        <v>0</v>
      </c>
      <c r="EM156" s="476">
        <v>0</v>
      </c>
      <c r="EN156" s="476">
        <v>2.472</v>
      </c>
      <c r="EO156" s="476">
        <v>0</v>
      </c>
      <c r="EP156" s="476">
        <v>0</v>
      </c>
      <c r="EQ156" s="476">
        <v>20.895</v>
      </c>
      <c r="ER156" s="476">
        <v>0</v>
      </c>
      <c r="ES156" s="476">
        <v>67.629000000000005</v>
      </c>
      <c r="ET156" s="476">
        <v>0</v>
      </c>
      <c r="EU156" s="476">
        <v>0</v>
      </c>
      <c r="EV156" s="476">
        <v>0</v>
      </c>
      <c r="EW156" s="476">
        <v>0</v>
      </c>
      <c r="EX156" s="476">
        <v>0</v>
      </c>
      <c r="EY156" s="476">
        <v>0</v>
      </c>
      <c r="EZ156" s="476">
        <v>6858817</v>
      </c>
      <c r="FA156" s="476">
        <v>0</v>
      </c>
      <c r="FB156" s="476">
        <v>7196833</v>
      </c>
      <c r="FC156" s="476">
        <v>0</v>
      </c>
      <c r="FD156" s="476">
        <v>0</v>
      </c>
      <c r="FE156" s="476">
        <v>928963</v>
      </c>
      <c r="FF156" s="476">
        <v>155144</v>
      </c>
      <c r="FG156" s="476">
        <v>6.3017999999999991E-2</v>
      </c>
      <c r="FH156" s="476">
        <v>2.6953999999999999E-2</v>
      </c>
      <c r="FI156" s="476">
        <v>0</v>
      </c>
      <c r="FJ156" s="476">
        <v>0</v>
      </c>
      <c r="FK156" s="476">
        <v>1167.9930000000002</v>
      </c>
      <c r="FL156" s="476">
        <v>8419199</v>
      </c>
      <c r="FM156" s="476">
        <v>0</v>
      </c>
      <c r="FN156" s="476">
        <v>0</v>
      </c>
      <c r="FO156" s="476">
        <v>0</v>
      </c>
      <c r="FP156" s="476">
        <v>0</v>
      </c>
      <c r="FQ156" s="476">
        <v>0</v>
      </c>
      <c r="FR156" s="476">
        <v>0</v>
      </c>
      <c r="FS156" s="476">
        <v>0</v>
      </c>
      <c r="FT156" s="476">
        <v>0</v>
      </c>
      <c r="FU156" s="476">
        <v>0</v>
      </c>
      <c r="FV156" s="476">
        <v>0</v>
      </c>
      <c r="FW156" s="476">
        <v>0</v>
      </c>
      <c r="FX156" s="476">
        <v>0</v>
      </c>
      <c r="FY156" s="476">
        <v>0</v>
      </c>
      <c r="FZ156" s="476">
        <v>0</v>
      </c>
      <c r="GA156" s="476">
        <v>0</v>
      </c>
      <c r="GB156" s="476">
        <v>612973</v>
      </c>
      <c r="GC156" s="476">
        <v>612973</v>
      </c>
      <c r="GD156" s="476">
        <v>65.566000000000003</v>
      </c>
      <c r="GE156" s="476">
        <v>0</v>
      </c>
      <c r="GF156" s="476">
        <v>0</v>
      </c>
      <c r="GG156" s="476">
        <v>0</v>
      </c>
      <c r="GH156" s="476">
        <v>0</v>
      </c>
      <c r="GI156" s="476">
        <v>0</v>
      </c>
      <c r="GJ156" s="476">
        <v>0</v>
      </c>
      <c r="GK156" s="476">
        <v>0</v>
      </c>
      <c r="GL156" s="476">
        <v>0</v>
      </c>
      <c r="GM156" s="476">
        <v>0</v>
      </c>
      <c r="GN156" s="476">
        <v>0</v>
      </c>
      <c r="GO156" s="476">
        <v>0</v>
      </c>
      <c r="GP156" s="476">
        <v>0</v>
      </c>
      <c r="GQ156" s="476">
        <v>7940541</v>
      </c>
      <c r="GR156" s="476">
        <v>0</v>
      </c>
      <c r="GS156" s="476">
        <v>0</v>
      </c>
      <c r="GT156" s="476">
        <v>0</v>
      </c>
      <c r="GU156" s="476">
        <v>0</v>
      </c>
      <c r="GV156" s="476">
        <v>0</v>
      </c>
      <c r="GW156" s="476">
        <v>0</v>
      </c>
      <c r="GX156" s="476">
        <v>0</v>
      </c>
      <c r="GY156" s="476">
        <v>0</v>
      </c>
      <c r="GZ156" s="476">
        <v>0</v>
      </c>
      <c r="HA156" s="476">
        <v>0</v>
      </c>
      <c r="HB156" s="476">
        <v>323396213</v>
      </c>
      <c r="HC156" s="476">
        <v>4.2206E-2</v>
      </c>
      <c r="HD156" s="476">
        <v>138259</v>
      </c>
      <c r="HE156" s="476">
        <v>0</v>
      </c>
      <c r="HF156" s="476">
        <v>807203</v>
      </c>
      <c r="HG156" s="476">
        <v>38807</v>
      </c>
      <c r="HH156" s="476">
        <v>58006</v>
      </c>
      <c r="HI156" s="476">
        <v>0</v>
      </c>
      <c r="HJ156" s="476">
        <v>8190</v>
      </c>
      <c r="HK156" s="476">
        <v>2636</v>
      </c>
      <c r="HL156" s="476">
        <v>1906</v>
      </c>
      <c r="HM156" s="476">
        <v>84000</v>
      </c>
      <c r="HN156" s="476">
        <v>0</v>
      </c>
      <c r="HO156" s="476">
        <v>0</v>
      </c>
      <c r="HP156" s="476">
        <v>0</v>
      </c>
      <c r="HQ156" s="476">
        <v>0</v>
      </c>
      <c r="HR156" s="476">
        <v>0</v>
      </c>
      <c r="HS156" s="476">
        <v>6856434</v>
      </c>
      <c r="HT156" s="476">
        <v>155144</v>
      </c>
      <c r="HU156" s="476">
        <v>0</v>
      </c>
      <c r="HV156" s="476">
        <v>0</v>
      </c>
      <c r="HW156" s="476">
        <v>0</v>
      </c>
      <c r="HX156" s="476">
        <v>52</v>
      </c>
      <c r="HY156" s="476">
        <v>33</v>
      </c>
      <c r="HZ156" s="476">
        <v>93</v>
      </c>
      <c r="IA156" s="476">
        <v>45</v>
      </c>
      <c r="IB156" s="476">
        <v>25</v>
      </c>
      <c r="IC156" s="476">
        <v>248</v>
      </c>
      <c r="ID156" s="476">
        <v>0</v>
      </c>
      <c r="IE156" s="476">
        <v>0</v>
      </c>
      <c r="IF156" s="476">
        <v>0</v>
      </c>
      <c r="IG156" s="476">
        <v>63</v>
      </c>
      <c r="IH156" s="476">
        <v>94.167000000000002</v>
      </c>
      <c r="II156" s="476">
        <v>0</v>
      </c>
      <c r="IJ156" s="476">
        <v>23.483000000000001</v>
      </c>
      <c r="IK156" s="476">
        <v>0</v>
      </c>
      <c r="IL156" s="476">
        <v>9</v>
      </c>
      <c r="IM156" s="476">
        <v>13</v>
      </c>
      <c r="IN156" s="476">
        <v>0</v>
      </c>
      <c r="IO156" s="476">
        <v>22</v>
      </c>
      <c r="IP156" s="476">
        <v>0</v>
      </c>
      <c r="IQ156" s="476">
        <v>23.483000000000001</v>
      </c>
      <c r="IR156" s="476">
        <v>14465</v>
      </c>
      <c r="IS156" s="476">
        <v>0</v>
      </c>
      <c r="IT156" s="476">
        <v>45000</v>
      </c>
      <c r="IU156" s="476">
        <v>39000</v>
      </c>
      <c r="IV156" s="476">
        <v>0</v>
      </c>
      <c r="IW156" s="476">
        <v>6160</v>
      </c>
      <c r="IX156" s="476">
        <v>0</v>
      </c>
      <c r="IY156" s="476">
        <v>0</v>
      </c>
      <c r="IZ156" s="476">
        <v>0</v>
      </c>
      <c r="JA156" s="476">
        <v>0</v>
      </c>
      <c r="JB156" s="476">
        <v>0</v>
      </c>
      <c r="JC156" s="476">
        <v>0</v>
      </c>
      <c r="JD156" s="476">
        <v>0</v>
      </c>
      <c r="JE156" s="476">
        <v>0</v>
      </c>
      <c r="JF156" s="476">
        <v>0</v>
      </c>
      <c r="JG156" s="476">
        <v>0</v>
      </c>
      <c r="JH156" s="476">
        <v>0</v>
      </c>
      <c r="JI156" s="476">
        <v>0</v>
      </c>
      <c r="JJ156" s="476">
        <v>0</v>
      </c>
      <c r="JK156" s="476">
        <v>0</v>
      </c>
      <c r="JL156" s="476">
        <v>0</v>
      </c>
      <c r="JM156" s="476">
        <v>0</v>
      </c>
      <c r="JN156" s="476">
        <v>32469</v>
      </c>
      <c r="JO156" s="476">
        <v>18.97</v>
      </c>
      <c r="JP156" s="476">
        <v>26.078000000000003</v>
      </c>
      <c r="JQ156" s="476">
        <v>20.518000000000001</v>
      </c>
      <c r="JR156" s="476">
        <v>151536</v>
      </c>
      <c r="JS156" s="476">
        <v>242404</v>
      </c>
      <c r="JT156" s="476">
        <v>219033</v>
      </c>
      <c r="JU156" s="476">
        <v>17656</v>
      </c>
      <c r="JV156" s="476">
        <v>0</v>
      </c>
      <c r="JW156" s="476">
        <v>0</v>
      </c>
      <c r="JX156" s="476">
        <v>0</v>
      </c>
      <c r="JY156" s="476">
        <v>0</v>
      </c>
      <c r="JZ156" s="476">
        <v>0</v>
      </c>
      <c r="KA156" s="476">
        <v>0</v>
      </c>
      <c r="KB156" s="476">
        <v>0</v>
      </c>
      <c r="KC156" s="476">
        <v>0</v>
      </c>
      <c r="KD156" s="476">
        <v>17679</v>
      </c>
      <c r="KE156" s="476">
        <v>7262</v>
      </c>
      <c r="KF156" s="476">
        <v>0</v>
      </c>
      <c r="KG156" s="476">
        <v>0</v>
      </c>
      <c r="KH156" s="476">
        <v>7940541</v>
      </c>
      <c r="KI156" s="476">
        <v>0</v>
      </c>
      <c r="KJ156" s="476">
        <v>24</v>
      </c>
      <c r="KK156" s="476">
        <v>39</v>
      </c>
      <c r="KL156" s="476">
        <v>14784</v>
      </c>
      <c r="KM156" s="476">
        <v>24023</v>
      </c>
      <c r="KN156" s="476">
        <v>0</v>
      </c>
    </row>
    <row r="157" spans="1:300" x14ac:dyDescent="0.25">
      <c r="A157" s="476">
        <v>40976</v>
      </c>
      <c r="B157" s="476">
        <v>213801</v>
      </c>
      <c r="C157" s="476">
        <v>9</v>
      </c>
      <c r="D157" s="476">
        <v>2024</v>
      </c>
      <c r="E157" s="476">
        <v>6160</v>
      </c>
      <c r="F157" s="476">
        <v>0</v>
      </c>
      <c r="G157" s="476">
        <v>98.152000000000001</v>
      </c>
      <c r="H157" s="476">
        <v>79.168999999999997</v>
      </c>
      <c r="I157" s="476">
        <v>79.168999999999997</v>
      </c>
      <c r="J157" s="476">
        <v>98.152000000000001</v>
      </c>
      <c r="K157" s="476">
        <v>0</v>
      </c>
      <c r="L157" s="476">
        <v>6160</v>
      </c>
      <c r="M157" s="476">
        <v>0</v>
      </c>
      <c r="N157" s="476">
        <v>0</v>
      </c>
      <c r="O157" s="476">
        <v>0</v>
      </c>
      <c r="P157" s="476">
        <v>94.50500000000001</v>
      </c>
      <c r="Q157" s="476">
        <v>0</v>
      </c>
      <c r="R157" s="476">
        <v>39209</v>
      </c>
      <c r="S157" s="476">
        <v>414.88400000000001</v>
      </c>
      <c r="T157" s="476">
        <v>0</v>
      </c>
      <c r="U157" s="476">
        <v>0</v>
      </c>
      <c r="V157" s="476">
        <v>0</v>
      </c>
      <c r="W157" s="476">
        <v>0</v>
      </c>
      <c r="X157" s="476">
        <v>0</v>
      </c>
      <c r="Y157" s="476">
        <v>0</v>
      </c>
      <c r="Z157" s="476">
        <v>0</v>
      </c>
      <c r="AA157" s="476">
        <v>0</v>
      </c>
      <c r="AB157" s="476">
        <v>0</v>
      </c>
      <c r="AC157" s="476">
        <v>0</v>
      </c>
      <c r="AD157" s="476" t="s">
        <v>314</v>
      </c>
      <c r="AE157" s="476">
        <v>0</v>
      </c>
      <c r="AF157" s="476">
        <v>0</v>
      </c>
      <c r="AG157" s="476">
        <v>0</v>
      </c>
      <c r="AH157" s="476">
        <v>0</v>
      </c>
      <c r="AI157" s="476">
        <v>0</v>
      </c>
      <c r="AJ157" s="476">
        <v>6160</v>
      </c>
      <c r="AK157" s="476" t="s">
        <v>651</v>
      </c>
      <c r="AL157" s="476" t="s">
        <v>74</v>
      </c>
      <c r="AM157" s="476">
        <v>0</v>
      </c>
      <c r="AN157" s="476">
        <v>0</v>
      </c>
      <c r="AO157" s="476">
        <v>0</v>
      </c>
      <c r="AP157" s="476">
        <v>0</v>
      </c>
      <c r="AQ157" s="476">
        <v>0</v>
      </c>
      <c r="AR157" s="476">
        <v>0</v>
      </c>
      <c r="AS157" s="476">
        <v>0</v>
      </c>
      <c r="AT157" s="476">
        <v>0</v>
      </c>
      <c r="AU157" s="476">
        <v>0</v>
      </c>
      <c r="AV157" s="476">
        <v>0</v>
      </c>
      <c r="AW157" s="476">
        <v>1171703</v>
      </c>
      <c r="AX157" s="476">
        <v>1155840</v>
      </c>
      <c r="AY157" s="476">
        <v>0</v>
      </c>
      <c r="AZ157" s="476">
        <v>39209</v>
      </c>
      <c r="BA157" s="476">
        <v>12</v>
      </c>
      <c r="BB157" s="476">
        <v>0</v>
      </c>
      <c r="BC157" s="476">
        <v>0</v>
      </c>
      <c r="BD157" s="476">
        <v>0</v>
      </c>
      <c r="BE157" s="476">
        <v>0</v>
      </c>
      <c r="BF157" s="476">
        <v>1036342</v>
      </c>
      <c r="BG157" s="476">
        <v>0</v>
      </c>
      <c r="BH157" s="476">
        <v>0</v>
      </c>
      <c r="BI157" s="476">
        <v>0</v>
      </c>
      <c r="BJ157" s="476">
        <v>12</v>
      </c>
      <c r="BK157" s="476">
        <v>0</v>
      </c>
      <c r="BL157" s="476">
        <v>0</v>
      </c>
      <c r="BM157" s="476">
        <v>0</v>
      </c>
      <c r="BN157" s="476">
        <v>0</v>
      </c>
      <c r="BO157" s="476">
        <v>0</v>
      </c>
      <c r="BP157" s="476">
        <v>0</v>
      </c>
      <c r="BQ157" s="476">
        <v>758</v>
      </c>
      <c r="BR157" s="476">
        <v>0</v>
      </c>
      <c r="BS157" s="476">
        <v>0</v>
      </c>
      <c r="BT157" s="476">
        <v>0</v>
      </c>
      <c r="BU157" s="476">
        <v>0</v>
      </c>
      <c r="BV157" s="476">
        <v>0</v>
      </c>
      <c r="BW157" s="476">
        <v>0</v>
      </c>
      <c r="BX157" s="476">
        <v>0</v>
      </c>
      <c r="BY157" s="476">
        <v>0</v>
      </c>
      <c r="BZ157" s="476">
        <v>0</v>
      </c>
      <c r="CA157" s="476">
        <v>0</v>
      </c>
      <c r="CB157" s="476">
        <v>0</v>
      </c>
      <c r="CC157" s="476">
        <v>0</v>
      </c>
      <c r="CD157" s="476">
        <v>0</v>
      </c>
      <c r="CE157" s="476">
        <v>0</v>
      </c>
      <c r="CF157" s="476">
        <v>0</v>
      </c>
      <c r="CG157" s="476">
        <v>0</v>
      </c>
      <c r="CH157" s="476">
        <v>16571</v>
      </c>
      <c r="CI157" s="476">
        <v>0</v>
      </c>
      <c r="CJ157" s="476">
        <v>4</v>
      </c>
      <c r="CK157" s="476">
        <v>0</v>
      </c>
      <c r="CL157" s="476">
        <v>0</v>
      </c>
      <c r="CM157" s="476">
        <v>0</v>
      </c>
      <c r="CN157" s="476">
        <v>0</v>
      </c>
      <c r="CO157" s="476">
        <v>1</v>
      </c>
      <c r="CP157" s="476">
        <v>0</v>
      </c>
      <c r="CQ157" s="476">
        <v>4.1669999999999998</v>
      </c>
      <c r="CR157" s="476">
        <v>98.152000000000001</v>
      </c>
      <c r="CS157" s="476">
        <v>0</v>
      </c>
      <c r="CT157" s="476">
        <v>0</v>
      </c>
      <c r="CU157" s="476">
        <v>0</v>
      </c>
      <c r="CV157" s="476">
        <v>0</v>
      </c>
      <c r="CW157" s="476">
        <v>0</v>
      </c>
      <c r="CX157" s="476">
        <v>0</v>
      </c>
      <c r="CY157" s="476">
        <v>0</v>
      </c>
      <c r="CZ157" s="476">
        <v>0</v>
      </c>
      <c r="DA157" s="476">
        <v>0</v>
      </c>
      <c r="DB157" s="476">
        <v>248937</v>
      </c>
      <c r="DC157" s="476">
        <v>0</v>
      </c>
      <c r="DD157" s="476">
        <v>0</v>
      </c>
      <c r="DE157" s="476">
        <v>99559</v>
      </c>
      <c r="DF157" s="476">
        <v>127894</v>
      </c>
      <c r="DG157" s="476">
        <v>16.163</v>
      </c>
      <c r="DH157" s="476">
        <v>0</v>
      </c>
      <c r="DI157" s="476">
        <v>0</v>
      </c>
      <c r="DJ157" s="476">
        <v>0</v>
      </c>
      <c r="DK157" s="476">
        <v>3747</v>
      </c>
      <c r="DL157" s="476">
        <v>0</v>
      </c>
      <c r="DM157" s="476">
        <v>444737</v>
      </c>
      <c r="DN157" s="476">
        <v>708</v>
      </c>
      <c r="DO157" s="476">
        <v>0</v>
      </c>
      <c r="DP157" s="476">
        <v>0</v>
      </c>
      <c r="DQ157" s="476">
        <v>0</v>
      </c>
      <c r="DR157" s="476">
        <v>0</v>
      </c>
      <c r="DS157" s="476">
        <v>0</v>
      </c>
      <c r="DT157" s="476">
        <v>0</v>
      </c>
      <c r="DU157" s="476">
        <v>0</v>
      </c>
      <c r="DV157" s="476">
        <v>0</v>
      </c>
      <c r="DW157" s="476">
        <v>0</v>
      </c>
      <c r="DX157" s="476">
        <v>0</v>
      </c>
      <c r="DY157" s="476">
        <v>0</v>
      </c>
      <c r="DZ157" s="476">
        <v>0</v>
      </c>
      <c r="EA157" s="476">
        <v>0</v>
      </c>
      <c r="EB157" s="476">
        <v>5.89</v>
      </c>
      <c r="EC157" s="476">
        <v>12.613000000000001</v>
      </c>
      <c r="ED157" s="476">
        <v>89348</v>
      </c>
      <c r="EE157" s="476">
        <v>0</v>
      </c>
      <c r="EF157" s="476">
        <v>0</v>
      </c>
      <c r="EG157" s="476">
        <v>0</v>
      </c>
      <c r="EH157" s="476">
        <v>117364</v>
      </c>
      <c r="EI157" s="476">
        <v>0</v>
      </c>
      <c r="EJ157" s="476">
        <v>0</v>
      </c>
      <c r="EK157" s="476">
        <v>0.39600000000000002</v>
      </c>
      <c r="EL157" s="476">
        <v>0</v>
      </c>
      <c r="EM157" s="476">
        <v>0</v>
      </c>
      <c r="EN157" s="476">
        <v>3.9E-2</v>
      </c>
      <c r="EO157" s="476">
        <v>0</v>
      </c>
      <c r="EP157" s="476">
        <v>0</v>
      </c>
      <c r="EQ157" s="476">
        <v>6.3250000000000002</v>
      </c>
      <c r="ER157" s="476">
        <v>0</v>
      </c>
      <c r="ES157" s="476">
        <v>19.053000000000001</v>
      </c>
      <c r="ET157" s="476">
        <v>0</v>
      </c>
      <c r="EU157" s="476">
        <v>0</v>
      </c>
      <c r="EV157" s="476">
        <v>0</v>
      </c>
      <c r="EW157" s="476">
        <v>0</v>
      </c>
      <c r="EX157" s="476">
        <v>0</v>
      </c>
      <c r="EY157" s="476">
        <v>0</v>
      </c>
      <c r="EZ157" s="476">
        <v>999682</v>
      </c>
      <c r="FA157" s="476">
        <v>0</v>
      </c>
      <c r="FB157" s="476">
        <v>1038183</v>
      </c>
      <c r="FC157" s="476">
        <v>0</v>
      </c>
      <c r="FD157" s="476">
        <v>0</v>
      </c>
      <c r="FE157" s="476">
        <v>133811</v>
      </c>
      <c r="FF157" s="476">
        <v>22347</v>
      </c>
      <c r="FG157" s="476">
        <v>6.3017999999999991E-2</v>
      </c>
      <c r="FH157" s="476">
        <v>2.6953999999999999E-2</v>
      </c>
      <c r="FI157" s="476">
        <v>0</v>
      </c>
      <c r="FJ157" s="476">
        <v>0</v>
      </c>
      <c r="FK157" s="476">
        <v>168.24100000000001</v>
      </c>
      <c r="FL157" s="476">
        <v>1210912</v>
      </c>
      <c r="FM157" s="476">
        <v>0</v>
      </c>
      <c r="FN157" s="476">
        <v>0</v>
      </c>
      <c r="FO157" s="476">
        <v>0</v>
      </c>
      <c r="FP157" s="476">
        <v>0</v>
      </c>
      <c r="FQ157" s="476">
        <v>0</v>
      </c>
      <c r="FR157" s="476">
        <v>0</v>
      </c>
      <c r="FS157" s="476">
        <v>0</v>
      </c>
      <c r="FT157" s="476">
        <v>0</v>
      </c>
      <c r="FU157" s="476">
        <v>0</v>
      </c>
      <c r="FV157" s="476">
        <v>0</v>
      </c>
      <c r="FW157" s="476">
        <v>0</v>
      </c>
      <c r="FX157" s="476">
        <v>0</v>
      </c>
      <c r="FY157" s="476">
        <v>0</v>
      </c>
      <c r="FZ157" s="476">
        <v>0</v>
      </c>
      <c r="GA157" s="476">
        <v>0</v>
      </c>
      <c r="GB157" s="476">
        <v>115984</v>
      </c>
      <c r="GC157" s="476">
        <v>115984</v>
      </c>
      <c r="GD157" s="476">
        <v>12.658000000000001</v>
      </c>
      <c r="GE157" s="476">
        <v>0</v>
      </c>
      <c r="GF157" s="476">
        <v>0</v>
      </c>
      <c r="GG157" s="476">
        <v>0</v>
      </c>
      <c r="GH157" s="476">
        <v>0</v>
      </c>
      <c r="GI157" s="476">
        <v>0</v>
      </c>
      <c r="GJ157" s="476">
        <v>0</v>
      </c>
      <c r="GK157" s="476">
        <v>0</v>
      </c>
      <c r="GL157" s="476">
        <v>0</v>
      </c>
      <c r="GM157" s="476">
        <v>0</v>
      </c>
      <c r="GN157" s="476">
        <v>0</v>
      </c>
      <c r="GO157" s="476">
        <v>0</v>
      </c>
      <c r="GP157" s="476">
        <v>0</v>
      </c>
      <c r="GQ157" s="476">
        <v>1155132</v>
      </c>
      <c r="GR157" s="476">
        <v>0</v>
      </c>
      <c r="GS157" s="476">
        <v>0</v>
      </c>
      <c r="GT157" s="476">
        <v>0</v>
      </c>
      <c r="GU157" s="476">
        <v>0</v>
      </c>
      <c r="GV157" s="476">
        <v>0</v>
      </c>
      <c r="GW157" s="476">
        <v>0</v>
      </c>
      <c r="GX157" s="476">
        <v>0</v>
      </c>
      <c r="GY157" s="476">
        <v>0</v>
      </c>
      <c r="GZ157" s="476">
        <v>0</v>
      </c>
      <c r="HA157" s="476">
        <v>0</v>
      </c>
      <c r="HB157" s="476">
        <v>323396213</v>
      </c>
      <c r="HC157" s="476">
        <v>4.2206E-2</v>
      </c>
      <c r="HD157" s="476">
        <v>16571</v>
      </c>
      <c r="HE157" s="476">
        <v>0</v>
      </c>
      <c r="HF157" s="476">
        <v>87244</v>
      </c>
      <c r="HG157" s="476">
        <v>9856</v>
      </c>
      <c r="HH157" s="476">
        <v>0</v>
      </c>
      <c r="HI157" s="476">
        <v>0</v>
      </c>
      <c r="HJ157" s="476">
        <v>982</v>
      </c>
      <c r="HK157" s="476">
        <v>1961</v>
      </c>
      <c r="HL157" s="476">
        <v>588</v>
      </c>
      <c r="HM157" s="476">
        <v>0</v>
      </c>
      <c r="HN157" s="476">
        <v>0</v>
      </c>
      <c r="HO157" s="476">
        <v>0</v>
      </c>
      <c r="HP157" s="476">
        <v>0</v>
      </c>
      <c r="HQ157" s="476">
        <v>0</v>
      </c>
      <c r="HR157" s="476">
        <v>0</v>
      </c>
      <c r="HS157" s="476">
        <v>998974</v>
      </c>
      <c r="HT157" s="476">
        <v>22347</v>
      </c>
      <c r="HU157" s="476">
        <v>0</v>
      </c>
      <c r="HV157" s="476">
        <v>0</v>
      </c>
      <c r="HW157" s="476">
        <v>0</v>
      </c>
      <c r="HX157" s="476">
        <v>16</v>
      </c>
      <c r="HY157" s="476">
        <v>6</v>
      </c>
      <c r="HZ157" s="476">
        <v>15</v>
      </c>
      <c r="IA157" s="476">
        <v>3</v>
      </c>
      <c r="IB157" s="476">
        <v>24</v>
      </c>
      <c r="IC157" s="476">
        <v>64</v>
      </c>
      <c r="ID157" s="476">
        <v>23</v>
      </c>
      <c r="IE157" s="476">
        <v>0</v>
      </c>
      <c r="IF157" s="476">
        <v>0</v>
      </c>
      <c r="IG157" s="476">
        <v>16</v>
      </c>
      <c r="IH157" s="476">
        <v>0</v>
      </c>
      <c r="II157" s="476">
        <v>0</v>
      </c>
      <c r="IJ157" s="476">
        <v>0</v>
      </c>
      <c r="IK157" s="476">
        <v>0</v>
      </c>
      <c r="IL157" s="476">
        <v>0</v>
      </c>
      <c r="IM157" s="476">
        <v>0</v>
      </c>
      <c r="IN157" s="476">
        <v>0</v>
      </c>
      <c r="IO157" s="476">
        <v>0</v>
      </c>
      <c r="IP157" s="476">
        <v>0</v>
      </c>
      <c r="IQ157" s="476">
        <v>0</v>
      </c>
      <c r="IR157" s="476">
        <v>0</v>
      </c>
      <c r="IS157" s="476">
        <v>0</v>
      </c>
      <c r="IT157" s="476">
        <v>0</v>
      </c>
      <c r="IU157" s="476">
        <v>0</v>
      </c>
      <c r="IV157" s="476">
        <v>0</v>
      </c>
      <c r="IW157" s="476">
        <v>6160</v>
      </c>
      <c r="IX157" s="476">
        <v>0</v>
      </c>
      <c r="IY157" s="476">
        <v>0</v>
      </c>
      <c r="IZ157" s="476">
        <v>0</v>
      </c>
      <c r="JA157" s="476">
        <v>28335</v>
      </c>
      <c r="JB157" s="476">
        <v>0</v>
      </c>
      <c r="JC157" s="476">
        <v>0</v>
      </c>
      <c r="JD157" s="476">
        <v>0</v>
      </c>
      <c r="JE157" s="476">
        <v>0</v>
      </c>
      <c r="JF157" s="476">
        <v>0</v>
      </c>
      <c r="JG157" s="476">
        <v>0</v>
      </c>
      <c r="JH157" s="476">
        <v>0</v>
      </c>
      <c r="JI157" s="476">
        <v>0</v>
      </c>
      <c r="JJ157" s="476">
        <v>0</v>
      </c>
      <c r="JK157" s="476">
        <v>0</v>
      </c>
      <c r="JL157" s="476">
        <v>0</v>
      </c>
      <c r="JM157" s="476">
        <v>0</v>
      </c>
      <c r="JN157" s="476">
        <v>32469</v>
      </c>
      <c r="JO157" s="476">
        <v>3.2990000000000004</v>
      </c>
      <c r="JP157" s="476">
        <v>7.4490000000000007</v>
      </c>
      <c r="JQ157" s="476">
        <v>1.9100000000000001</v>
      </c>
      <c r="JR157" s="476">
        <v>26353</v>
      </c>
      <c r="JS157" s="476">
        <v>69241</v>
      </c>
      <c r="JT157" s="476">
        <v>20390</v>
      </c>
      <c r="JU157" s="476">
        <v>0</v>
      </c>
      <c r="JV157" s="476">
        <v>0</v>
      </c>
      <c r="JW157" s="476">
        <v>0</v>
      </c>
      <c r="JX157" s="476">
        <v>0</v>
      </c>
      <c r="JY157" s="476">
        <v>0</v>
      </c>
      <c r="JZ157" s="476">
        <v>0</v>
      </c>
      <c r="KA157" s="476">
        <v>0</v>
      </c>
      <c r="KB157" s="476">
        <v>0</v>
      </c>
      <c r="KC157" s="476">
        <v>0</v>
      </c>
      <c r="KD157" s="476">
        <v>0</v>
      </c>
      <c r="KE157" s="476">
        <v>7262</v>
      </c>
      <c r="KF157" s="476">
        <v>0</v>
      </c>
      <c r="KG157" s="476">
        <v>0</v>
      </c>
      <c r="KH157" s="476">
        <v>1155132</v>
      </c>
      <c r="KI157" s="476">
        <v>0</v>
      </c>
      <c r="KJ157" s="476">
        <v>2</v>
      </c>
      <c r="KK157" s="476">
        <v>14</v>
      </c>
      <c r="KL157" s="476">
        <v>1232</v>
      </c>
      <c r="KM157" s="476">
        <v>8624</v>
      </c>
      <c r="KN157" s="476">
        <v>0</v>
      </c>
    </row>
    <row r="158" spans="1:300" x14ac:dyDescent="0.25">
      <c r="A158" s="476">
        <v>40976</v>
      </c>
      <c r="B158" s="476">
        <v>220801</v>
      </c>
      <c r="C158" s="476">
        <v>9</v>
      </c>
      <c r="D158" s="476">
        <v>2024</v>
      </c>
      <c r="E158" s="476">
        <v>6160</v>
      </c>
      <c r="F158" s="476">
        <v>0</v>
      </c>
      <c r="G158" s="476">
        <v>321.34500000000003</v>
      </c>
      <c r="H158" s="476">
        <v>314.13300000000004</v>
      </c>
      <c r="I158" s="476">
        <v>314.13300000000004</v>
      </c>
      <c r="J158" s="476">
        <v>321.34500000000003</v>
      </c>
      <c r="K158" s="476">
        <v>0</v>
      </c>
      <c r="L158" s="476">
        <v>6160</v>
      </c>
      <c r="M158" s="476">
        <v>0</v>
      </c>
      <c r="N158" s="476">
        <v>0</v>
      </c>
      <c r="O158" s="476">
        <v>0</v>
      </c>
      <c r="P158" s="476">
        <v>321.11</v>
      </c>
      <c r="Q158" s="476">
        <v>0</v>
      </c>
      <c r="R158" s="476">
        <v>133223</v>
      </c>
      <c r="S158" s="476">
        <v>414.88400000000001</v>
      </c>
      <c r="T158" s="476">
        <v>0</v>
      </c>
      <c r="U158" s="476">
        <v>0</v>
      </c>
      <c r="V158" s="476">
        <v>4.7549999999999999</v>
      </c>
      <c r="W158" s="476">
        <v>3799</v>
      </c>
      <c r="X158" s="476">
        <v>3799</v>
      </c>
      <c r="Y158" s="476">
        <v>0</v>
      </c>
      <c r="Z158" s="476">
        <v>0</v>
      </c>
      <c r="AA158" s="476">
        <v>0</v>
      </c>
      <c r="AB158" s="476">
        <v>0</v>
      </c>
      <c r="AC158" s="476">
        <v>0</v>
      </c>
      <c r="AD158" s="476" t="s">
        <v>314</v>
      </c>
      <c r="AE158" s="476">
        <v>0</v>
      </c>
      <c r="AF158" s="476">
        <v>0</v>
      </c>
      <c r="AG158" s="476">
        <v>0</v>
      </c>
      <c r="AH158" s="476">
        <v>0</v>
      </c>
      <c r="AI158" s="476">
        <v>0</v>
      </c>
      <c r="AJ158" s="476">
        <v>6160</v>
      </c>
      <c r="AK158" s="476" t="s">
        <v>651</v>
      </c>
      <c r="AL158" s="476" t="s">
        <v>75</v>
      </c>
      <c r="AM158" s="476">
        <v>0</v>
      </c>
      <c r="AN158" s="476">
        <v>0</v>
      </c>
      <c r="AO158" s="476">
        <v>0</v>
      </c>
      <c r="AP158" s="476">
        <v>0</v>
      </c>
      <c r="AQ158" s="476">
        <v>0</v>
      </c>
      <c r="AR158" s="476">
        <v>0</v>
      </c>
      <c r="AS158" s="476">
        <v>0</v>
      </c>
      <c r="AT158" s="476">
        <v>0</v>
      </c>
      <c r="AU158" s="476">
        <v>0</v>
      </c>
      <c r="AV158" s="476">
        <v>0</v>
      </c>
      <c r="AW158" s="476">
        <v>2877525</v>
      </c>
      <c r="AX158" s="476">
        <v>2823756</v>
      </c>
      <c r="AY158" s="476">
        <v>0</v>
      </c>
      <c r="AZ158" s="476">
        <v>133223</v>
      </c>
      <c r="BA158" s="476">
        <v>1.8330000000000002</v>
      </c>
      <c r="BB158" s="476">
        <v>0</v>
      </c>
      <c r="BC158" s="476">
        <v>0</v>
      </c>
      <c r="BD158" s="476">
        <v>0</v>
      </c>
      <c r="BE158" s="476">
        <v>0</v>
      </c>
      <c r="BF158" s="476">
        <v>2568783</v>
      </c>
      <c r="BG158" s="476">
        <v>0</v>
      </c>
      <c r="BH158" s="476">
        <v>0</v>
      </c>
      <c r="BI158" s="476">
        <v>0</v>
      </c>
      <c r="BJ158" s="476">
        <v>12</v>
      </c>
      <c r="BK158" s="476">
        <v>0</v>
      </c>
      <c r="BL158" s="476">
        <v>0</v>
      </c>
      <c r="BM158" s="476">
        <v>0</v>
      </c>
      <c r="BN158" s="476">
        <v>0</v>
      </c>
      <c r="BO158" s="476">
        <v>0</v>
      </c>
      <c r="BP158" s="476">
        <v>0</v>
      </c>
      <c r="BQ158" s="476">
        <v>722</v>
      </c>
      <c r="BR158" s="476">
        <v>0</v>
      </c>
      <c r="BS158" s="476">
        <v>0</v>
      </c>
      <c r="BT158" s="476">
        <v>0</v>
      </c>
      <c r="BU158" s="476">
        <v>0</v>
      </c>
      <c r="BV158" s="476">
        <v>0</v>
      </c>
      <c r="BW158" s="476">
        <v>0</v>
      </c>
      <c r="BX158" s="476">
        <v>0</v>
      </c>
      <c r="BY158" s="476">
        <v>0</v>
      </c>
      <c r="BZ158" s="476">
        <v>0</v>
      </c>
      <c r="CA158" s="476">
        <v>0</v>
      </c>
      <c r="CB158" s="476">
        <v>0</v>
      </c>
      <c r="CC158" s="476">
        <v>0</v>
      </c>
      <c r="CD158" s="476">
        <v>0</v>
      </c>
      <c r="CE158" s="476">
        <v>0</v>
      </c>
      <c r="CF158" s="476">
        <v>0</v>
      </c>
      <c r="CG158" s="476">
        <v>0</v>
      </c>
      <c r="CH158" s="476">
        <v>54251</v>
      </c>
      <c r="CI158" s="476">
        <v>0</v>
      </c>
      <c r="CJ158" s="476">
        <v>4</v>
      </c>
      <c r="CK158" s="476">
        <v>0</v>
      </c>
      <c r="CL158" s="476">
        <v>0</v>
      </c>
      <c r="CM158" s="476">
        <v>0</v>
      </c>
      <c r="CN158" s="476">
        <v>0</v>
      </c>
      <c r="CO158" s="476">
        <v>1</v>
      </c>
      <c r="CP158" s="476">
        <v>0</v>
      </c>
      <c r="CQ158" s="476">
        <v>2</v>
      </c>
      <c r="CR158" s="476">
        <v>321.34500000000003</v>
      </c>
      <c r="CS158" s="476">
        <v>0</v>
      </c>
      <c r="CT158" s="476">
        <v>0</v>
      </c>
      <c r="CU158" s="476">
        <v>0</v>
      </c>
      <c r="CV158" s="476">
        <v>0</v>
      </c>
      <c r="CW158" s="476">
        <v>0</v>
      </c>
      <c r="CX158" s="476">
        <v>0</v>
      </c>
      <c r="CY158" s="476">
        <v>0</v>
      </c>
      <c r="CZ158" s="476">
        <v>0</v>
      </c>
      <c r="DA158" s="476">
        <v>0</v>
      </c>
      <c r="DB158" s="476">
        <v>1935015</v>
      </c>
      <c r="DC158" s="476">
        <v>0</v>
      </c>
      <c r="DD158" s="476">
        <v>0</v>
      </c>
      <c r="DE158" s="476">
        <v>75535</v>
      </c>
      <c r="DF158" s="476">
        <v>75535</v>
      </c>
      <c r="DG158" s="476">
        <v>12.263</v>
      </c>
      <c r="DH158" s="476">
        <v>0</v>
      </c>
      <c r="DI158" s="476">
        <v>0</v>
      </c>
      <c r="DJ158" s="476">
        <v>0</v>
      </c>
      <c r="DK158" s="476">
        <v>3168</v>
      </c>
      <c r="DL158" s="476">
        <v>0</v>
      </c>
      <c r="DM158" s="476">
        <v>140232</v>
      </c>
      <c r="DN158" s="476">
        <v>482</v>
      </c>
      <c r="DO158" s="476">
        <v>0</v>
      </c>
      <c r="DP158" s="476">
        <v>0</v>
      </c>
      <c r="DQ158" s="476">
        <v>0</v>
      </c>
      <c r="DR158" s="476">
        <v>0</v>
      </c>
      <c r="DS158" s="476">
        <v>0</v>
      </c>
      <c r="DT158" s="476">
        <v>0</v>
      </c>
      <c r="DU158" s="476">
        <v>0</v>
      </c>
      <c r="DV158" s="476">
        <v>0</v>
      </c>
      <c r="DW158" s="476">
        <v>0</v>
      </c>
      <c r="DX158" s="476">
        <v>0</v>
      </c>
      <c r="DY158" s="476">
        <v>0</v>
      </c>
      <c r="DZ158" s="476">
        <v>0</v>
      </c>
      <c r="EA158" s="476">
        <v>0</v>
      </c>
      <c r="EB158" s="476">
        <v>0</v>
      </c>
      <c r="EC158" s="476">
        <v>13.138</v>
      </c>
      <c r="ED158" s="476">
        <v>93067</v>
      </c>
      <c r="EE158" s="476">
        <v>0</v>
      </c>
      <c r="EF158" s="476">
        <v>0</v>
      </c>
      <c r="EG158" s="476">
        <v>0</v>
      </c>
      <c r="EH158" s="476">
        <v>47647</v>
      </c>
      <c r="EI158" s="476">
        <v>0</v>
      </c>
      <c r="EJ158" s="476">
        <v>0</v>
      </c>
      <c r="EK158" s="476">
        <v>1.2050000000000001</v>
      </c>
      <c r="EL158" s="476">
        <v>0</v>
      </c>
      <c r="EM158" s="476">
        <v>0</v>
      </c>
      <c r="EN158" s="476">
        <v>0.82400000000000007</v>
      </c>
      <c r="EO158" s="476">
        <v>0</v>
      </c>
      <c r="EP158" s="476">
        <v>0</v>
      </c>
      <c r="EQ158" s="476">
        <v>2.0289999999999999</v>
      </c>
      <c r="ER158" s="476">
        <v>0</v>
      </c>
      <c r="ES158" s="476">
        <v>7.7350000000000003</v>
      </c>
      <c r="ET158" s="476">
        <v>0</v>
      </c>
      <c r="EU158" s="476">
        <v>0</v>
      </c>
      <c r="EV158" s="476">
        <v>0</v>
      </c>
      <c r="EW158" s="476">
        <v>0</v>
      </c>
      <c r="EX158" s="476">
        <v>0</v>
      </c>
      <c r="EY158" s="476">
        <v>0</v>
      </c>
      <c r="EZ158" s="476">
        <v>2436687</v>
      </c>
      <c r="FA158" s="476">
        <v>0</v>
      </c>
      <c r="FB158" s="476">
        <v>2569428</v>
      </c>
      <c r="FC158" s="476">
        <v>0</v>
      </c>
      <c r="FD158" s="476">
        <v>0</v>
      </c>
      <c r="FE158" s="476">
        <v>331677</v>
      </c>
      <c r="FF158" s="476">
        <v>55392</v>
      </c>
      <c r="FG158" s="476">
        <v>6.3017999999999991E-2</v>
      </c>
      <c r="FH158" s="476">
        <v>2.6953999999999999E-2</v>
      </c>
      <c r="FI158" s="476">
        <v>0</v>
      </c>
      <c r="FJ158" s="476">
        <v>0</v>
      </c>
      <c r="FK158" s="476">
        <v>417.02</v>
      </c>
      <c r="FL158" s="476">
        <v>3010748</v>
      </c>
      <c r="FM158" s="476">
        <v>0</v>
      </c>
      <c r="FN158" s="476">
        <v>0</v>
      </c>
      <c r="FO158" s="476">
        <v>0</v>
      </c>
      <c r="FP158" s="476">
        <v>0</v>
      </c>
      <c r="FQ158" s="476">
        <v>0</v>
      </c>
      <c r="FR158" s="476">
        <v>0</v>
      </c>
      <c r="FS158" s="476">
        <v>0</v>
      </c>
      <c r="FT158" s="476">
        <v>0</v>
      </c>
      <c r="FU158" s="476">
        <v>0</v>
      </c>
      <c r="FV158" s="476">
        <v>0</v>
      </c>
      <c r="FW158" s="476">
        <v>0</v>
      </c>
      <c r="FX158" s="476">
        <v>0</v>
      </c>
      <c r="FY158" s="476">
        <v>0</v>
      </c>
      <c r="FZ158" s="476">
        <v>0</v>
      </c>
      <c r="GA158" s="476">
        <v>0</v>
      </c>
      <c r="GB158" s="476">
        <v>51262</v>
      </c>
      <c r="GC158" s="476">
        <v>51262</v>
      </c>
      <c r="GD158" s="476">
        <v>5.1829999999999998</v>
      </c>
      <c r="GE158" s="476">
        <v>0</v>
      </c>
      <c r="GF158" s="476">
        <v>0</v>
      </c>
      <c r="GG158" s="476">
        <v>0</v>
      </c>
      <c r="GH158" s="476">
        <v>0</v>
      </c>
      <c r="GI158" s="476">
        <v>0</v>
      </c>
      <c r="GJ158" s="476">
        <v>0</v>
      </c>
      <c r="GK158" s="476">
        <v>0</v>
      </c>
      <c r="GL158" s="476">
        <v>0</v>
      </c>
      <c r="GM158" s="476">
        <v>0</v>
      </c>
      <c r="GN158" s="476">
        <v>0</v>
      </c>
      <c r="GO158" s="476">
        <v>0</v>
      </c>
      <c r="GP158" s="476">
        <v>0</v>
      </c>
      <c r="GQ158" s="476">
        <v>2823274</v>
      </c>
      <c r="GR158" s="476">
        <v>0</v>
      </c>
      <c r="GS158" s="476">
        <v>0</v>
      </c>
      <c r="GT158" s="476">
        <v>0</v>
      </c>
      <c r="GU158" s="476">
        <v>0</v>
      </c>
      <c r="GV158" s="476">
        <v>0</v>
      </c>
      <c r="GW158" s="476">
        <v>0</v>
      </c>
      <c r="GX158" s="476">
        <v>0</v>
      </c>
      <c r="GY158" s="476">
        <v>0</v>
      </c>
      <c r="GZ158" s="476">
        <v>0</v>
      </c>
      <c r="HA158" s="476">
        <v>0</v>
      </c>
      <c r="HB158" s="476">
        <v>323396213</v>
      </c>
      <c r="HC158" s="476">
        <v>4.2206E-2</v>
      </c>
      <c r="HD158" s="476">
        <v>54251</v>
      </c>
      <c r="HE158" s="476">
        <v>0</v>
      </c>
      <c r="HF158" s="476">
        <v>346175</v>
      </c>
      <c r="HG158" s="476">
        <v>0</v>
      </c>
      <c r="HH158" s="476">
        <v>4070</v>
      </c>
      <c r="HI158" s="476">
        <v>0</v>
      </c>
      <c r="HJ158" s="476">
        <v>3213</v>
      </c>
      <c r="HK158" s="476">
        <v>833</v>
      </c>
      <c r="HL158" s="476">
        <v>294</v>
      </c>
      <c r="HM158" s="476">
        <v>9000</v>
      </c>
      <c r="HN158" s="476">
        <v>0</v>
      </c>
      <c r="HO158" s="476">
        <v>0</v>
      </c>
      <c r="HP158" s="476">
        <v>0</v>
      </c>
      <c r="HQ158" s="476">
        <v>0</v>
      </c>
      <c r="HR158" s="476">
        <v>0</v>
      </c>
      <c r="HS158" s="476">
        <v>2436205</v>
      </c>
      <c r="HT158" s="476">
        <v>55392</v>
      </c>
      <c r="HU158" s="476">
        <v>0</v>
      </c>
      <c r="HV158" s="476">
        <v>0</v>
      </c>
      <c r="HW158" s="476">
        <v>0</v>
      </c>
      <c r="HX158" s="476">
        <v>19</v>
      </c>
      <c r="HY158" s="476">
        <v>5</v>
      </c>
      <c r="HZ158" s="476">
        <v>10</v>
      </c>
      <c r="IA158" s="476">
        <v>8</v>
      </c>
      <c r="IB158" s="476">
        <v>8</v>
      </c>
      <c r="IC158" s="476">
        <v>50</v>
      </c>
      <c r="ID158" s="476">
        <v>0</v>
      </c>
      <c r="IE158" s="476">
        <v>0.94200000000000006</v>
      </c>
      <c r="IF158" s="476">
        <v>0</v>
      </c>
      <c r="IG158" s="476">
        <v>0</v>
      </c>
      <c r="IH158" s="476">
        <v>6.6070000000000002</v>
      </c>
      <c r="II158" s="476">
        <v>0</v>
      </c>
      <c r="IJ158" s="476">
        <v>5.6970000000000001</v>
      </c>
      <c r="IK158" s="476">
        <v>0</v>
      </c>
      <c r="IL158" s="476">
        <v>0</v>
      </c>
      <c r="IM158" s="476">
        <v>3</v>
      </c>
      <c r="IN158" s="476">
        <v>0</v>
      </c>
      <c r="IO158" s="476">
        <v>3</v>
      </c>
      <c r="IP158" s="476">
        <v>0</v>
      </c>
      <c r="IQ158" s="476">
        <v>4.7549999999999999</v>
      </c>
      <c r="IR158" s="476">
        <v>2929</v>
      </c>
      <c r="IS158" s="476">
        <v>0</v>
      </c>
      <c r="IT158" s="476">
        <v>0</v>
      </c>
      <c r="IU158" s="476">
        <v>9000</v>
      </c>
      <c r="IV158" s="476">
        <v>0</v>
      </c>
      <c r="IW158" s="476">
        <v>6160</v>
      </c>
      <c r="IX158" s="476">
        <v>870</v>
      </c>
      <c r="IY158" s="476">
        <v>0</v>
      </c>
      <c r="IZ158" s="476">
        <v>0</v>
      </c>
      <c r="JA158" s="476">
        <v>0</v>
      </c>
      <c r="JB158" s="476">
        <v>0</v>
      </c>
      <c r="JC158" s="476">
        <v>0</v>
      </c>
      <c r="JD158" s="476">
        <v>0</v>
      </c>
      <c r="JE158" s="476">
        <v>0</v>
      </c>
      <c r="JF158" s="476">
        <v>0</v>
      </c>
      <c r="JG158" s="476">
        <v>0</v>
      </c>
      <c r="JH158" s="476">
        <v>0</v>
      </c>
      <c r="JI158" s="476">
        <v>0</v>
      </c>
      <c r="JJ158" s="476">
        <v>0</v>
      </c>
      <c r="JK158" s="476">
        <v>0</v>
      </c>
      <c r="JL158" s="476">
        <v>0</v>
      </c>
      <c r="JM158" s="476">
        <v>0</v>
      </c>
      <c r="JN158" s="476">
        <v>32469</v>
      </c>
      <c r="JO158" s="476">
        <v>0</v>
      </c>
      <c r="JP158" s="476">
        <v>2.948</v>
      </c>
      <c r="JQ158" s="476">
        <v>2.2350000000000003</v>
      </c>
      <c r="JR158" s="476">
        <v>0</v>
      </c>
      <c r="JS158" s="476">
        <v>27403</v>
      </c>
      <c r="JT158" s="476">
        <v>23859</v>
      </c>
      <c r="JU158" s="476">
        <v>0</v>
      </c>
      <c r="JV158" s="476">
        <v>0</v>
      </c>
      <c r="JW158" s="476">
        <v>0</v>
      </c>
      <c r="JX158" s="476">
        <v>0</v>
      </c>
      <c r="JY158" s="476">
        <v>0</v>
      </c>
      <c r="JZ158" s="476">
        <v>0</v>
      </c>
      <c r="KA158" s="476">
        <v>0</v>
      </c>
      <c r="KB158" s="476">
        <v>0</v>
      </c>
      <c r="KC158" s="476">
        <v>0</v>
      </c>
      <c r="KD158" s="476">
        <v>0</v>
      </c>
      <c r="KE158" s="476">
        <v>7262</v>
      </c>
      <c r="KF158" s="476">
        <v>0</v>
      </c>
      <c r="KG158" s="476">
        <v>0</v>
      </c>
      <c r="KH158" s="476">
        <v>2823274</v>
      </c>
      <c r="KI158" s="476">
        <v>0</v>
      </c>
      <c r="KJ158" s="476">
        <v>0</v>
      </c>
      <c r="KK158" s="476">
        <v>0</v>
      </c>
      <c r="KL158" s="476">
        <v>0</v>
      </c>
      <c r="KM158" s="476">
        <v>0</v>
      </c>
      <c r="KN158" s="476">
        <v>0</v>
      </c>
    </row>
    <row r="159" spans="1:300" x14ac:dyDescent="0.25">
      <c r="A159" s="476">
        <v>40976</v>
      </c>
      <c r="B159" s="476">
        <v>220802</v>
      </c>
      <c r="C159" s="476">
        <v>9</v>
      </c>
      <c r="D159" s="476">
        <v>2024</v>
      </c>
      <c r="E159" s="476">
        <v>6160</v>
      </c>
      <c r="F159" s="476">
        <v>0</v>
      </c>
      <c r="G159" s="476">
        <v>1442.3920000000001</v>
      </c>
      <c r="H159" s="476">
        <v>1414.2170000000001</v>
      </c>
      <c r="I159" s="476">
        <v>1414.2170000000001</v>
      </c>
      <c r="J159" s="476">
        <v>1442.3920000000001</v>
      </c>
      <c r="K159" s="476">
        <v>0</v>
      </c>
      <c r="L159" s="476">
        <v>6160</v>
      </c>
      <c r="M159" s="476">
        <v>0</v>
      </c>
      <c r="N159" s="476">
        <v>0</v>
      </c>
      <c r="O159" s="476">
        <v>0</v>
      </c>
      <c r="P159" s="476">
        <v>1443.6470000000002</v>
      </c>
      <c r="Q159" s="476">
        <v>0</v>
      </c>
      <c r="R159" s="476">
        <v>598946</v>
      </c>
      <c r="S159" s="476">
        <v>414.88400000000001</v>
      </c>
      <c r="T159" s="476">
        <v>0</v>
      </c>
      <c r="U159" s="476">
        <v>0</v>
      </c>
      <c r="V159" s="476">
        <v>134.27500000000001</v>
      </c>
      <c r="W159" s="476">
        <v>82712</v>
      </c>
      <c r="X159" s="476">
        <v>82712</v>
      </c>
      <c r="Y159" s="476">
        <v>0</v>
      </c>
      <c r="Z159" s="476">
        <v>0</v>
      </c>
      <c r="AA159" s="476">
        <v>0</v>
      </c>
      <c r="AB159" s="476">
        <v>0</v>
      </c>
      <c r="AC159" s="476">
        <v>0</v>
      </c>
      <c r="AD159" s="476" t="s">
        <v>314</v>
      </c>
      <c r="AE159" s="476">
        <v>0</v>
      </c>
      <c r="AF159" s="476">
        <v>0</v>
      </c>
      <c r="AG159" s="476">
        <v>0</v>
      </c>
      <c r="AH159" s="476">
        <v>0</v>
      </c>
      <c r="AI159" s="476">
        <v>0</v>
      </c>
      <c r="AJ159" s="476">
        <v>6160</v>
      </c>
      <c r="AK159" s="476" t="s">
        <v>651</v>
      </c>
      <c r="AL159" s="476" t="s">
        <v>76</v>
      </c>
      <c r="AM159" s="476">
        <v>0</v>
      </c>
      <c r="AN159" s="476">
        <v>0</v>
      </c>
      <c r="AO159" s="476">
        <v>0</v>
      </c>
      <c r="AP159" s="476">
        <v>0</v>
      </c>
      <c r="AQ159" s="476">
        <v>0</v>
      </c>
      <c r="AR159" s="476">
        <v>0</v>
      </c>
      <c r="AS159" s="476">
        <v>0</v>
      </c>
      <c r="AT159" s="476">
        <v>0</v>
      </c>
      <c r="AU159" s="476">
        <v>0</v>
      </c>
      <c r="AV159" s="476">
        <v>0</v>
      </c>
      <c r="AW159" s="476">
        <v>13304634</v>
      </c>
      <c r="AX159" s="476">
        <v>13062932</v>
      </c>
      <c r="AY159" s="476">
        <v>0</v>
      </c>
      <c r="AZ159" s="476">
        <v>598946</v>
      </c>
      <c r="BA159" s="476">
        <v>33.5</v>
      </c>
      <c r="BB159" s="476">
        <v>0</v>
      </c>
      <c r="BC159" s="476">
        <v>0</v>
      </c>
      <c r="BD159" s="476">
        <v>0</v>
      </c>
      <c r="BE159" s="476">
        <v>0</v>
      </c>
      <c r="BF159" s="476">
        <v>11872853</v>
      </c>
      <c r="BG159" s="476">
        <v>0</v>
      </c>
      <c r="BH159" s="476">
        <v>0</v>
      </c>
      <c r="BI159" s="476">
        <v>0</v>
      </c>
      <c r="BJ159" s="476">
        <v>12</v>
      </c>
      <c r="BK159" s="476">
        <v>0</v>
      </c>
      <c r="BL159" s="476">
        <v>0</v>
      </c>
      <c r="BM159" s="476">
        <v>0</v>
      </c>
      <c r="BN159" s="476">
        <v>0</v>
      </c>
      <c r="BO159" s="476">
        <v>0</v>
      </c>
      <c r="BP159" s="476">
        <v>0</v>
      </c>
      <c r="BQ159" s="476">
        <v>552</v>
      </c>
      <c r="BR159" s="476">
        <v>0</v>
      </c>
      <c r="BS159" s="476">
        <v>0</v>
      </c>
      <c r="BT159" s="476">
        <v>0</v>
      </c>
      <c r="BU159" s="476">
        <v>0</v>
      </c>
      <c r="BV159" s="476">
        <v>0</v>
      </c>
      <c r="BW159" s="476">
        <v>0</v>
      </c>
      <c r="BX159" s="476">
        <v>0</v>
      </c>
      <c r="BY159" s="476">
        <v>0</v>
      </c>
      <c r="BZ159" s="476">
        <v>0</v>
      </c>
      <c r="CA159" s="476">
        <v>0</v>
      </c>
      <c r="CB159" s="476">
        <v>0</v>
      </c>
      <c r="CC159" s="476">
        <v>0</v>
      </c>
      <c r="CD159" s="476">
        <v>0</v>
      </c>
      <c r="CE159" s="476">
        <v>0</v>
      </c>
      <c r="CF159" s="476">
        <v>0</v>
      </c>
      <c r="CG159" s="476">
        <v>0</v>
      </c>
      <c r="CH159" s="476">
        <v>243512</v>
      </c>
      <c r="CI159" s="476">
        <v>0</v>
      </c>
      <c r="CJ159" s="476">
        <v>4</v>
      </c>
      <c r="CK159" s="476">
        <v>0</v>
      </c>
      <c r="CL159" s="476">
        <v>0</v>
      </c>
      <c r="CM159" s="476">
        <v>0</v>
      </c>
      <c r="CN159" s="476">
        <v>0</v>
      </c>
      <c r="CO159" s="476">
        <v>1</v>
      </c>
      <c r="CP159" s="476">
        <v>0</v>
      </c>
      <c r="CQ159" s="476">
        <v>0</v>
      </c>
      <c r="CR159" s="476">
        <v>1442.3920000000001</v>
      </c>
      <c r="CS159" s="476">
        <v>0</v>
      </c>
      <c r="CT159" s="476">
        <v>0</v>
      </c>
      <c r="CU159" s="476">
        <v>0</v>
      </c>
      <c r="CV159" s="476">
        <v>0</v>
      </c>
      <c r="CW159" s="476">
        <v>0</v>
      </c>
      <c r="CX159" s="476">
        <v>0</v>
      </c>
      <c r="CY159" s="476">
        <v>0</v>
      </c>
      <c r="CZ159" s="476">
        <v>0</v>
      </c>
      <c r="DA159" s="476">
        <v>0</v>
      </c>
      <c r="DB159" s="476">
        <v>8711379</v>
      </c>
      <c r="DC159" s="476">
        <v>0</v>
      </c>
      <c r="DD159" s="476">
        <v>0</v>
      </c>
      <c r="DE159" s="476">
        <v>699606</v>
      </c>
      <c r="DF159" s="476">
        <v>699606</v>
      </c>
      <c r="DG159" s="476">
        <v>113.575</v>
      </c>
      <c r="DH159" s="476">
        <v>0</v>
      </c>
      <c r="DI159" s="476">
        <v>0</v>
      </c>
      <c r="DJ159" s="476">
        <v>0</v>
      </c>
      <c r="DK159" s="476">
        <v>458</v>
      </c>
      <c r="DL159" s="476">
        <v>0</v>
      </c>
      <c r="DM159" s="476">
        <v>526342</v>
      </c>
      <c r="DN159" s="476">
        <v>1810</v>
      </c>
      <c r="DO159" s="476">
        <v>0</v>
      </c>
      <c r="DP159" s="476">
        <v>0</v>
      </c>
      <c r="DQ159" s="476">
        <v>0</v>
      </c>
      <c r="DR159" s="476">
        <v>0</v>
      </c>
      <c r="DS159" s="476">
        <v>0</v>
      </c>
      <c r="DT159" s="476">
        <v>0</v>
      </c>
      <c r="DU159" s="476">
        <v>0</v>
      </c>
      <c r="DV159" s="476">
        <v>0</v>
      </c>
      <c r="DW159" s="476">
        <v>0</v>
      </c>
      <c r="DX159" s="476">
        <v>0</v>
      </c>
      <c r="DY159" s="476">
        <v>0</v>
      </c>
      <c r="DZ159" s="476">
        <v>0</v>
      </c>
      <c r="EA159" s="476">
        <v>0</v>
      </c>
      <c r="EB159" s="476">
        <v>0</v>
      </c>
      <c r="EC159" s="476">
        <v>27.433</v>
      </c>
      <c r="ED159" s="476">
        <v>194331</v>
      </c>
      <c r="EE159" s="476">
        <v>0</v>
      </c>
      <c r="EF159" s="476">
        <v>0</v>
      </c>
      <c r="EG159" s="476">
        <v>0</v>
      </c>
      <c r="EH159" s="476">
        <v>333821</v>
      </c>
      <c r="EI159" s="476">
        <v>0</v>
      </c>
      <c r="EJ159" s="476">
        <v>0</v>
      </c>
      <c r="EK159" s="476">
        <v>13.698</v>
      </c>
      <c r="EL159" s="476">
        <v>5.7000000000000002E-2</v>
      </c>
      <c r="EM159" s="476">
        <v>1.6280000000000001</v>
      </c>
      <c r="EN159" s="476">
        <v>1.643</v>
      </c>
      <c r="EO159" s="476">
        <v>0</v>
      </c>
      <c r="EP159" s="476">
        <v>0</v>
      </c>
      <c r="EQ159" s="476">
        <v>16.969000000000001</v>
      </c>
      <c r="ER159" s="476">
        <v>0</v>
      </c>
      <c r="ES159" s="476">
        <v>54.193000000000005</v>
      </c>
      <c r="ET159" s="476">
        <v>0</v>
      </c>
      <c r="EU159" s="476">
        <v>0</v>
      </c>
      <c r="EV159" s="476">
        <v>0</v>
      </c>
      <c r="EW159" s="476">
        <v>0</v>
      </c>
      <c r="EX159" s="476">
        <v>0</v>
      </c>
      <c r="EY159" s="476">
        <v>0</v>
      </c>
      <c r="EZ159" s="476">
        <v>11273907</v>
      </c>
      <c r="FA159" s="476">
        <v>0</v>
      </c>
      <c r="FB159" s="476">
        <v>11871043</v>
      </c>
      <c r="FC159" s="476">
        <v>0</v>
      </c>
      <c r="FD159" s="476">
        <v>0</v>
      </c>
      <c r="FE159" s="476">
        <v>1533002</v>
      </c>
      <c r="FF159" s="476">
        <v>256023</v>
      </c>
      <c r="FG159" s="476">
        <v>6.3017999999999991E-2</v>
      </c>
      <c r="FH159" s="476">
        <v>2.6953999999999999E-2</v>
      </c>
      <c r="FI159" s="476">
        <v>0</v>
      </c>
      <c r="FJ159" s="476">
        <v>0</v>
      </c>
      <c r="FK159" s="476">
        <v>1927.4550000000002</v>
      </c>
      <c r="FL159" s="476">
        <v>13903580</v>
      </c>
      <c r="FM159" s="476">
        <v>0</v>
      </c>
      <c r="FN159" s="476">
        <v>0</v>
      </c>
      <c r="FO159" s="476">
        <v>0</v>
      </c>
      <c r="FP159" s="476">
        <v>0</v>
      </c>
      <c r="FQ159" s="476">
        <v>0</v>
      </c>
      <c r="FR159" s="476">
        <v>0</v>
      </c>
      <c r="FS159" s="476">
        <v>0</v>
      </c>
      <c r="FT159" s="476">
        <v>0</v>
      </c>
      <c r="FU159" s="476">
        <v>0</v>
      </c>
      <c r="FV159" s="476">
        <v>0</v>
      </c>
      <c r="FW159" s="476">
        <v>0</v>
      </c>
      <c r="FX159" s="476">
        <v>0</v>
      </c>
      <c r="FY159" s="476">
        <v>0</v>
      </c>
      <c r="FZ159" s="476">
        <v>0</v>
      </c>
      <c r="GA159" s="476">
        <v>0</v>
      </c>
      <c r="GB159" s="476">
        <v>89516</v>
      </c>
      <c r="GC159" s="476">
        <v>89516</v>
      </c>
      <c r="GD159" s="476">
        <v>11.206000000000001</v>
      </c>
      <c r="GE159" s="476">
        <v>0</v>
      </c>
      <c r="GF159" s="476">
        <v>0</v>
      </c>
      <c r="GG159" s="476">
        <v>0</v>
      </c>
      <c r="GH159" s="476">
        <v>0</v>
      </c>
      <c r="GI159" s="476">
        <v>0</v>
      </c>
      <c r="GJ159" s="476">
        <v>0</v>
      </c>
      <c r="GK159" s="476">
        <v>0</v>
      </c>
      <c r="GL159" s="476">
        <v>0</v>
      </c>
      <c r="GM159" s="476">
        <v>0</v>
      </c>
      <c r="GN159" s="476">
        <v>0</v>
      </c>
      <c r="GO159" s="476">
        <v>0</v>
      </c>
      <c r="GP159" s="476">
        <v>0</v>
      </c>
      <c r="GQ159" s="476">
        <v>13061122</v>
      </c>
      <c r="GR159" s="476">
        <v>0</v>
      </c>
      <c r="GS159" s="476">
        <v>0</v>
      </c>
      <c r="GT159" s="476">
        <v>0</v>
      </c>
      <c r="GU159" s="476">
        <v>0</v>
      </c>
      <c r="GV159" s="476">
        <v>0</v>
      </c>
      <c r="GW159" s="476">
        <v>0</v>
      </c>
      <c r="GX159" s="476">
        <v>0</v>
      </c>
      <c r="GY159" s="476">
        <v>0</v>
      </c>
      <c r="GZ159" s="476">
        <v>0</v>
      </c>
      <c r="HA159" s="476">
        <v>0</v>
      </c>
      <c r="HB159" s="476">
        <v>323396213</v>
      </c>
      <c r="HC159" s="476">
        <v>4.2206E-2</v>
      </c>
      <c r="HD159" s="476">
        <v>243512</v>
      </c>
      <c r="HE159" s="476">
        <v>0</v>
      </c>
      <c r="HF159" s="476">
        <v>1558467</v>
      </c>
      <c r="HG159" s="476">
        <v>14168</v>
      </c>
      <c r="HH159" s="476">
        <v>174429</v>
      </c>
      <c r="HI159" s="476">
        <v>0</v>
      </c>
      <c r="HJ159" s="476">
        <v>14424</v>
      </c>
      <c r="HK159" s="476">
        <v>0</v>
      </c>
      <c r="HL159" s="476">
        <v>0</v>
      </c>
      <c r="HM159" s="476">
        <v>0</v>
      </c>
      <c r="HN159" s="476">
        <v>0</v>
      </c>
      <c r="HO159" s="476">
        <v>0</v>
      </c>
      <c r="HP159" s="476">
        <v>0</v>
      </c>
      <c r="HQ159" s="476">
        <v>0</v>
      </c>
      <c r="HR159" s="476">
        <v>0</v>
      </c>
      <c r="HS159" s="476">
        <v>11272097</v>
      </c>
      <c r="HT159" s="476">
        <v>256023</v>
      </c>
      <c r="HU159" s="476">
        <v>0</v>
      </c>
      <c r="HV159" s="476">
        <v>0</v>
      </c>
      <c r="HW159" s="476">
        <v>0</v>
      </c>
      <c r="HX159" s="476">
        <v>150</v>
      </c>
      <c r="HY159" s="476">
        <v>104</v>
      </c>
      <c r="HZ159" s="476">
        <v>99</v>
      </c>
      <c r="IA159" s="476">
        <v>78</v>
      </c>
      <c r="IB159" s="476">
        <v>36</v>
      </c>
      <c r="IC159" s="476">
        <v>467</v>
      </c>
      <c r="ID159" s="476">
        <v>0</v>
      </c>
      <c r="IE159" s="476">
        <v>0</v>
      </c>
      <c r="IF159" s="476">
        <v>0</v>
      </c>
      <c r="IG159" s="476">
        <v>23</v>
      </c>
      <c r="IH159" s="476">
        <v>283.17</v>
      </c>
      <c r="II159" s="476">
        <v>0</v>
      </c>
      <c r="IJ159" s="476">
        <v>134.27500000000001</v>
      </c>
      <c r="IK159" s="476">
        <v>0</v>
      </c>
      <c r="IL159" s="476">
        <v>0</v>
      </c>
      <c r="IM159" s="476">
        <v>0</v>
      </c>
      <c r="IN159" s="476">
        <v>0</v>
      </c>
      <c r="IO159" s="476">
        <v>0</v>
      </c>
      <c r="IP159" s="476">
        <v>0</v>
      </c>
      <c r="IQ159" s="476">
        <v>134.27500000000001</v>
      </c>
      <c r="IR159" s="476">
        <v>82712</v>
      </c>
      <c r="IS159" s="476">
        <v>0</v>
      </c>
      <c r="IT159" s="476">
        <v>0</v>
      </c>
      <c r="IU159" s="476">
        <v>0</v>
      </c>
      <c r="IV159" s="476">
        <v>0</v>
      </c>
      <c r="IW159" s="476">
        <v>6160</v>
      </c>
      <c r="IX159" s="476">
        <v>0</v>
      </c>
      <c r="IY159" s="476">
        <v>0</v>
      </c>
      <c r="IZ159" s="476">
        <v>0</v>
      </c>
      <c r="JA159" s="476">
        <v>0</v>
      </c>
      <c r="JB159" s="476">
        <v>0</v>
      </c>
      <c r="JC159" s="476">
        <v>0</v>
      </c>
      <c r="JD159" s="476">
        <v>0</v>
      </c>
      <c r="JE159" s="476">
        <v>0</v>
      </c>
      <c r="JF159" s="476">
        <v>0</v>
      </c>
      <c r="JG159" s="476">
        <v>0</v>
      </c>
      <c r="JH159" s="476">
        <v>0</v>
      </c>
      <c r="JI159" s="476">
        <v>0</v>
      </c>
      <c r="JJ159" s="476">
        <v>0</v>
      </c>
      <c r="JK159" s="476">
        <v>0</v>
      </c>
      <c r="JL159" s="476">
        <v>0</v>
      </c>
      <c r="JM159" s="476">
        <v>0</v>
      </c>
      <c r="JN159" s="476">
        <v>32469</v>
      </c>
      <c r="JO159" s="476">
        <v>11.206000000000001</v>
      </c>
      <c r="JP159" s="476">
        <v>0</v>
      </c>
      <c r="JQ159" s="476">
        <v>0</v>
      </c>
      <c r="JR159" s="476">
        <v>89516</v>
      </c>
      <c r="JS159" s="476">
        <v>0</v>
      </c>
      <c r="JT159" s="476">
        <v>0</v>
      </c>
      <c r="JU159" s="476">
        <v>0</v>
      </c>
      <c r="JV159" s="476">
        <v>0</v>
      </c>
      <c r="JW159" s="476">
        <v>0</v>
      </c>
      <c r="JX159" s="476">
        <v>0</v>
      </c>
      <c r="JY159" s="476">
        <v>0</v>
      </c>
      <c r="JZ159" s="476">
        <v>0</v>
      </c>
      <c r="KA159" s="476">
        <v>0</v>
      </c>
      <c r="KB159" s="476">
        <v>0</v>
      </c>
      <c r="KC159" s="476">
        <v>0</v>
      </c>
      <c r="KD159" s="476">
        <v>0</v>
      </c>
      <c r="KE159" s="476">
        <v>7262</v>
      </c>
      <c r="KF159" s="476">
        <v>0</v>
      </c>
      <c r="KG159" s="476">
        <v>0</v>
      </c>
      <c r="KH159" s="476">
        <v>13061122</v>
      </c>
      <c r="KI159" s="476">
        <v>0</v>
      </c>
      <c r="KJ159" s="476">
        <v>10</v>
      </c>
      <c r="KK159" s="476">
        <v>13</v>
      </c>
      <c r="KL159" s="476">
        <v>6160</v>
      </c>
      <c r="KM159" s="476">
        <v>8008</v>
      </c>
      <c r="KN159" s="476">
        <v>0</v>
      </c>
    </row>
    <row r="160" spans="1:300" x14ac:dyDescent="0.25">
      <c r="A160" s="476">
        <v>40976</v>
      </c>
      <c r="B160" s="476">
        <v>220809</v>
      </c>
      <c r="C160" s="476">
        <v>9</v>
      </c>
      <c r="D160" s="476">
        <v>2024</v>
      </c>
      <c r="E160" s="476">
        <v>6160</v>
      </c>
      <c r="F160" s="476">
        <v>0</v>
      </c>
      <c r="G160" s="476">
        <v>592.07000000000005</v>
      </c>
      <c r="H160" s="476">
        <v>534.98300000000006</v>
      </c>
      <c r="I160" s="476">
        <v>534.98300000000006</v>
      </c>
      <c r="J160" s="476">
        <v>592.07000000000005</v>
      </c>
      <c r="K160" s="476">
        <v>0</v>
      </c>
      <c r="L160" s="476">
        <v>6160</v>
      </c>
      <c r="M160" s="476">
        <v>0</v>
      </c>
      <c r="N160" s="476">
        <v>0</v>
      </c>
      <c r="O160" s="476">
        <v>0</v>
      </c>
      <c r="P160" s="476">
        <v>592.07000000000005</v>
      </c>
      <c r="Q160" s="476">
        <v>0</v>
      </c>
      <c r="R160" s="476">
        <v>245640</v>
      </c>
      <c r="S160" s="476">
        <v>414.88400000000001</v>
      </c>
      <c r="T160" s="476">
        <v>0</v>
      </c>
      <c r="U160" s="476">
        <v>0</v>
      </c>
      <c r="V160" s="476">
        <v>7.2350000000000003</v>
      </c>
      <c r="W160" s="476">
        <v>4457</v>
      </c>
      <c r="X160" s="476">
        <v>4457</v>
      </c>
      <c r="Y160" s="476">
        <v>0</v>
      </c>
      <c r="Z160" s="476">
        <v>0</v>
      </c>
      <c r="AA160" s="476">
        <v>0</v>
      </c>
      <c r="AB160" s="476">
        <v>0</v>
      </c>
      <c r="AC160" s="476">
        <v>0</v>
      </c>
      <c r="AD160" s="476" t="s">
        <v>314</v>
      </c>
      <c r="AE160" s="476">
        <v>0</v>
      </c>
      <c r="AF160" s="476">
        <v>0</v>
      </c>
      <c r="AG160" s="476">
        <v>0</v>
      </c>
      <c r="AH160" s="476">
        <v>0</v>
      </c>
      <c r="AI160" s="476">
        <v>0</v>
      </c>
      <c r="AJ160" s="476">
        <v>6160</v>
      </c>
      <c r="AK160" s="476" t="s">
        <v>651</v>
      </c>
      <c r="AL160" s="476" t="s">
        <v>77</v>
      </c>
      <c r="AM160" s="476">
        <v>0</v>
      </c>
      <c r="AN160" s="476">
        <v>0</v>
      </c>
      <c r="AO160" s="476">
        <v>0</v>
      </c>
      <c r="AP160" s="476">
        <v>0</v>
      </c>
      <c r="AQ160" s="476">
        <v>0</v>
      </c>
      <c r="AR160" s="476">
        <v>0</v>
      </c>
      <c r="AS160" s="476">
        <v>0</v>
      </c>
      <c r="AT160" s="476">
        <v>0</v>
      </c>
      <c r="AU160" s="476">
        <v>0</v>
      </c>
      <c r="AV160" s="476">
        <v>0</v>
      </c>
      <c r="AW160" s="476">
        <v>5454555</v>
      </c>
      <c r="AX160" s="476">
        <v>5355441</v>
      </c>
      <c r="AY160" s="476">
        <v>0</v>
      </c>
      <c r="AZ160" s="476">
        <v>245640</v>
      </c>
      <c r="BA160" s="476">
        <v>7.25</v>
      </c>
      <c r="BB160" s="476">
        <v>4263</v>
      </c>
      <c r="BC160" s="476">
        <v>4235</v>
      </c>
      <c r="BD160" s="476">
        <v>10</v>
      </c>
      <c r="BE160" s="476">
        <v>27</v>
      </c>
      <c r="BF160" s="476">
        <v>4864945</v>
      </c>
      <c r="BG160" s="476">
        <v>0</v>
      </c>
      <c r="BH160" s="476">
        <v>0</v>
      </c>
      <c r="BI160" s="476">
        <v>0</v>
      </c>
      <c r="BJ160" s="476">
        <v>12</v>
      </c>
      <c r="BK160" s="476">
        <v>0</v>
      </c>
      <c r="BL160" s="476">
        <v>0</v>
      </c>
      <c r="BM160" s="476">
        <v>0</v>
      </c>
      <c r="BN160" s="476">
        <v>0</v>
      </c>
      <c r="BO160" s="476">
        <v>0</v>
      </c>
      <c r="BP160" s="476">
        <v>0</v>
      </c>
      <c r="BQ160" s="476">
        <v>688</v>
      </c>
      <c r="BR160" s="476">
        <v>0</v>
      </c>
      <c r="BS160" s="476">
        <v>0</v>
      </c>
      <c r="BT160" s="476">
        <v>0</v>
      </c>
      <c r="BU160" s="476">
        <v>0</v>
      </c>
      <c r="BV160" s="476">
        <v>0</v>
      </c>
      <c r="BW160" s="476">
        <v>0</v>
      </c>
      <c r="BX160" s="476">
        <v>0</v>
      </c>
      <c r="BY160" s="476">
        <v>0</v>
      </c>
      <c r="BZ160" s="476">
        <v>0</v>
      </c>
      <c r="CA160" s="476">
        <v>0</v>
      </c>
      <c r="CB160" s="476">
        <v>0</v>
      </c>
      <c r="CC160" s="476">
        <v>0</v>
      </c>
      <c r="CD160" s="476">
        <v>0</v>
      </c>
      <c r="CE160" s="476">
        <v>0</v>
      </c>
      <c r="CF160" s="476">
        <v>0</v>
      </c>
      <c r="CG160" s="476">
        <v>0</v>
      </c>
      <c r="CH160" s="476">
        <v>99956</v>
      </c>
      <c r="CI160" s="476">
        <v>0</v>
      </c>
      <c r="CJ160" s="476">
        <v>4</v>
      </c>
      <c r="CK160" s="476">
        <v>0</v>
      </c>
      <c r="CL160" s="476">
        <v>0</v>
      </c>
      <c r="CM160" s="476">
        <v>0</v>
      </c>
      <c r="CN160" s="476">
        <v>0</v>
      </c>
      <c r="CO160" s="476">
        <v>1</v>
      </c>
      <c r="CP160" s="476">
        <v>0</v>
      </c>
      <c r="CQ160" s="476">
        <v>1.75</v>
      </c>
      <c r="CR160" s="476">
        <v>592.07000000000005</v>
      </c>
      <c r="CS160" s="476">
        <v>0</v>
      </c>
      <c r="CT160" s="476">
        <v>0</v>
      </c>
      <c r="CU160" s="476">
        <v>0</v>
      </c>
      <c r="CV160" s="476">
        <v>0</v>
      </c>
      <c r="CW160" s="476">
        <v>0</v>
      </c>
      <c r="CX160" s="476">
        <v>0</v>
      </c>
      <c r="CY160" s="476">
        <v>0</v>
      </c>
      <c r="CZ160" s="476">
        <v>0</v>
      </c>
      <c r="DA160" s="476">
        <v>0</v>
      </c>
      <c r="DB160" s="476">
        <v>3295420</v>
      </c>
      <c r="DC160" s="476">
        <v>0</v>
      </c>
      <c r="DD160" s="476">
        <v>0</v>
      </c>
      <c r="DE160" s="476">
        <v>166547</v>
      </c>
      <c r="DF160" s="476">
        <v>166547</v>
      </c>
      <c r="DG160" s="476">
        <v>27.038</v>
      </c>
      <c r="DH160" s="476">
        <v>0</v>
      </c>
      <c r="DI160" s="476">
        <v>0</v>
      </c>
      <c r="DJ160" s="476">
        <v>0</v>
      </c>
      <c r="DK160" s="476">
        <v>2624</v>
      </c>
      <c r="DL160" s="476">
        <v>0</v>
      </c>
      <c r="DM160" s="476">
        <v>236891</v>
      </c>
      <c r="DN160" s="476">
        <v>814</v>
      </c>
      <c r="DO160" s="476">
        <v>0</v>
      </c>
      <c r="DP160" s="476">
        <v>0</v>
      </c>
      <c r="DQ160" s="476">
        <v>0</v>
      </c>
      <c r="DR160" s="476">
        <v>0</v>
      </c>
      <c r="DS160" s="476">
        <v>0</v>
      </c>
      <c r="DT160" s="476">
        <v>0</v>
      </c>
      <c r="DU160" s="476">
        <v>0</v>
      </c>
      <c r="DV160" s="476">
        <v>0</v>
      </c>
      <c r="DW160" s="476">
        <v>0</v>
      </c>
      <c r="DX160" s="476">
        <v>0</v>
      </c>
      <c r="DY160" s="476">
        <v>0</v>
      </c>
      <c r="DZ160" s="476">
        <v>0</v>
      </c>
      <c r="EA160" s="476">
        <v>0</v>
      </c>
      <c r="EB160" s="476">
        <v>0</v>
      </c>
      <c r="EC160" s="476">
        <v>21.422000000000001</v>
      </c>
      <c r="ED160" s="476">
        <v>151750</v>
      </c>
      <c r="EE160" s="476">
        <v>0</v>
      </c>
      <c r="EF160" s="476">
        <v>0</v>
      </c>
      <c r="EG160" s="476">
        <v>0</v>
      </c>
      <c r="EH160" s="476">
        <v>85955</v>
      </c>
      <c r="EI160" s="476">
        <v>0</v>
      </c>
      <c r="EJ160" s="476">
        <v>0</v>
      </c>
      <c r="EK160" s="476">
        <v>3.3880000000000003</v>
      </c>
      <c r="EL160" s="476">
        <v>0</v>
      </c>
      <c r="EM160" s="476">
        <v>0.23500000000000001</v>
      </c>
      <c r="EN160" s="476">
        <v>0.61699999999999999</v>
      </c>
      <c r="EO160" s="476">
        <v>0</v>
      </c>
      <c r="EP160" s="476">
        <v>0</v>
      </c>
      <c r="EQ160" s="476">
        <v>4.24</v>
      </c>
      <c r="ER160" s="476">
        <v>0</v>
      </c>
      <c r="ES160" s="476">
        <v>13.954000000000001</v>
      </c>
      <c r="ET160" s="476">
        <v>0</v>
      </c>
      <c r="EU160" s="476">
        <v>0</v>
      </c>
      <c r="EV160" s="476">
        <v>0</v>
      </c>
      <c r="EW160" s="476">
        <v>0</v>
      </c>
      <c r="EX160" s="476">
        <v>0</v>
      </c>
      <c r="EY160" s="476">
        <v>0</v>
      </c>
      <c r="EZ160" s="476">
        <v>4622382</v>
      </c>
      <c r="FA160" s="476">
        <v>0</v>
      </c>
      <c r="FB160" s="476">
        <v>4867180</v>
      </c>
      <c r="FC160" s="476">
        <v>0</v>
      </c>
      <c r="FD160" s="476">
        <v>0</v>
      </c>
      <c r="FE160" s="476">
        <v>628153</v>
      </c>
      <c r="FF160" s="476">
        <v>104906</v>
      </c>
      <c r="FG160" s="476">
        <v>6.3017999999999991E-2</v>
      </c>
      <c r="FH160" s="476">
        <v>2.6953999999999999E-2</v>
      </c>
      <c r="FI160" s="476">
        <v>0</v>
      </c>
      <c r="FJ160" s="476">
        <v>0</v>
      </c>
      <c r="FK160" s="476">
        <v>789.78200000000004</v>
      </c>
      <c r="FL160" s="476">
        <v>5700195</v>
      </c>
      <c r="FM160" s="476">
        <v>0</v>
      </c>
      <c r="FN160" s="476">
        <v>0</v>
      </c>
      <c r="FO160" s="476">
        <v>0</v>
      </c>
      <c r="FP160" s="476">
        <v>0</v>
      </c>
      <c r="FQ160" s="476">
        <v>0</v>
      </c>
      <c r="FR160" s="476">
        <v>0</v>
      </c>
      <c r="FS160" s="476">
        <v>0</v>
      </c>
      <c r="FT160" s="476">
        <v>0</v>
      </c>
      <c r="FU160" s="476">
        <v>0</v>
      </c>
      <c r="FV160" s="476">
        <v>0</v>
      </c>
      <c r="FW160" s="476">
        <v>0</v>
      </c>
      <c r="FX160" s="476">
        <v>0</v>
      </c>
      <c r="FY160" s="476">
        <v>0</v>
      </c>
      <c r="FZ160" s="476">
        <v>0</v>
      </c>
      <c r="GA160" s="476">
        <v>0</v>
      </c>
      <c r="GB160" s="476">
        <v>506105</v>
      </c>
      <c r="GC160" s="476">
        <v>506105</v>
      </c>
      <c r="GD160" s="476">
        <v>52.847000000000001</v>
      </c>
      <c r="GE160" s="476">
        <v>0</v>
      </c>
      <c r="GF160" s="476">
        <v>0</v>
      </c>
      <c r="GG160" s="476">
        <v>0</v>
      </c>
      <c r="GH160" s="476">
        <v>0</v>
      </c>
      <c r="GI160" s="476">
        <v>0</v>
      </c>
      <c r="GJ160" s="476">
        <v>0</v>
      </c>
      <c r="GK160" s="476">
        <v>0</v>
      </c>
      <c r="GL160" s="476">
        <v>0</v>
      </c>
      <c r="GM160" s="476">
        <v>0</v>
      </c>
      <c r="GN160" s="476">
        <v>0</v>
      </c>
      <c r="GO160" s="476">
        <v>0</v>
      </c>
      <c r="GP160" s="476">
        <v>0</v>
      </c>
      <c r="GQ160" s="476">
        <v>5354599</v>
      </c>
      <c r="GR160" s="476">
        <v>0</v>
      </c>
      <c r="GS160" s="476">
        <v>0</v>
      </c>
      <c r="GT160" s="476">
        <v>0</v>
      </c>
      <c r="GU160" s="476">
        <v>0</v>
      </c>
      <c r="GV160" s="476">
        <v>0</v>
      </c>
      <c r="GW160" s="476">
        <v>0</v>
      </c>
      <c r="GX160" s="476">
        <v>0</v>
      </c>
      <c r="GY160" s="476">
        <v>0</v>
      </c>
      <c r="GZ160" s="476">
        <v>0</v>
      </c>
      <c r="HA160" s="476">
        <v>0</v>
      </c>
      <c r="HB160" s="476">
        <v>323396213</v>
      </c>
      <c r="HC160" s="476">
        <v>4.2206E-2</v>
      </c>
      <c r="HD160" s="476">
        <v>99956</v>
      </c>
      <c r="HE160" s="476">
        <v>0</v>
      </c>
      <c r="HF160" s="476">
        <v>589551</v>
      </c>
      <c r="HG160" s="476">
        <v>10472</v>
      </c>
      <c r="HH160" s="476">
        <v>2504</v>
      </c>
      <c r="HI160" s="476">
        <v>0</v>
      </c>
      <c r="HJ160" s="476">
        <v>5921</v>
      </c>
      <c r="HK160" s="476">
        <v>2729</v>
      </c>
      <c r="HL160" s="476">
        <v>348</v>
      </c>
      <c r="HM160" s="476">
        <v>42000</v>
      </c>
      <c r="HN160" s="476">
        <v>0</v>
      </c>
      <c r="HO160" s="476">
        <v>0</v>
      </c>
      <c r="HP160" s="476">
        <v>0</v>
      </c>
      <c r="HQ160" s="476">
        <v>0</v>
      </c>
      <c r="HR160" s="476">
        <v>0</v>
      </c>
      <c r="HS160" s="476">
        <v>4621540</v>
      </c>
      <c r="HT160" s="476">
        <v>104906</v>
      </c>
      <c r="HU160" s="476">
        <v>0</v>
      </c>
      <c r="HV160" s="476">
        <v>0</v>
      </c>
      <c r="HW160" s="476">
        <v>0</v>
      </c>
      <c r="HX160" s="476">
        <v>32</v>
      </c>
      <c r="HY160" s="476">
        <v>27</v>
      </c>
      <c r="HZ160" s="476">
        <v>13</v>
      </c>
      <c r="IA160" s="476">
        <v>22</v>
      </c>
      <c r="IB160" s="476">
        <v>16</v>
      </c>
      <c r="IC160" s="476">
        <v>110</v>
      </c>
      <c r="ID160" s="476">
        <v>0</v>
      </c>
      <c r="IE160" s="476">
        <v>0</v>
      </c>
      <c r="IF160" s="476">
        <v>0</v>
      </c>
      <c r="IG160" s="476">
        <v>17</v>
      </c>
      <c r="IH160" s="476">
        <v>4.0650000000000004</v>
      </c>
      <c r="II160" s="476">
        <v>0</v>
      </c>
      <c r="IJ160" s="476">
        <v>7.2350000000000003</v>
      </c>
      <c r="IK160" s="476">
        <v>0</v>
      </c>
      <c r="IL160" s="476">
        <v>3</v>
      </c>
      <c r="IM160" s="476">
        <v>9</v>
      </c>
      <c r="IN160" s="476">
        <v>0</v>
      </c>
      <c r="IO160" s="476">
        <v>12</v>
      </c>
      <c r="IP160" s="476">
        <v>0</v>
      </c>
      <c r="IQ160" s="476">
        <v>7.2350000000000003</v>
      </c>
      <c r="IR160" s="476">
        <v>4457</v>
      </c>
      <c r="IS160" s="476">
        <v>0</v>
      </c>
      <c r="IT160" s="476">
        <v>15000</v>
      </c>
      <c r="IU160" s="476">
        <v>27000</v>
      </c>
      <c r="IV160" s="476">
        <v>0</v>
      </c>
      <c r="IW160" s="476">
        <v>6160</v>
      </c>
      <c r="IX160" s="476">
        <v>0</v>
      </c>
      <c r="IY160" s="476">
        <v>0</v>
      </c>
      <c r="IZ160" s="476">
        <v>0</v>
      </c>
      <c r="JA160" s="476">
        <v>0</v>
      </c>
      <c r="JB160" s="476">
        <v>0</v>
      </c>
      <c r="JC160" s="476">
        <v>0</v>
      </c>
      <c r="JD160" s="476">
        <v>0</v>
      </c>
      <c r="JE160" s="476">
        <v>0</v>
      </c>
      <c r="JF160" s="476">
        <v>0</v>
      </c>
      <c r="JG160" s="476">
        <v>0</v>
      </c>
      <c r="JH160" s="476">
        <v>0</v>
      </c>
      <c r="JI160" s="476">
        <v>0</v>
      </c>
      <c r="JJ160" s="476">
        <v>0</v>
      </c>
      <c r="JK160" s="476">
        <v>0</v>
      </c>
      <c r="JL160" s="476">
        <v>0</v>
      </c>
      <c r="JM160" s="476">
        <v>0</v>
      </c>
      <c r="JN160" s="476">
        <v>32469</v>
      </c>
      <c r="JO160" s="476">
        <v>2.5790000000000002</v>
      </c>
      <c r="JP160" s="476">
        <v>37.045999999999999</v>
      </c>
      <c r="JQ160" s="476">
        <v>13.222000000000001</v>
      </c>
      <c r="JR160" s="476">
        <v>20602</v>
      </c>
      <c r="JS160" s="476">
        <v>344356</v>
      </c>
      <c r="JT160" s="476">
        <v>141147</v>
      </c>
      <c r="JU160" s="476">
        <v>4312</v>
      </c>
      <c r="JV160" s="476">
        <v>0</v>
      </c>
      <c r="JW160" s="476">
        <v>0</v>
      </c>
      <c r="JX160" s="476">
        <v>0</v>
      </c>
      <c r="JY160" s="476">
        <v>0</v>
      </c>
      <c r="JZ160" s="476">
        <v>0</v>
      </c>
      <c r="KA160" s="476">
        <v>0</v>
      </c>
      <c r="KB160" s="476">
        <v>0</v>
      </c>
      <c r="KC160" s="476">
        <v>0</v>
      </c>
      <c r="KD160" s="476">
        <v>4312</v>
      </c>
      <c r="KE160" s="476">
        <v>7262</v>
      </c>
      <c r="KF160" s="476">
        <v>0</v>
      </c>
      <c r="KG160" s="476">
        <v>0</v>
      </c>
      <c r="KH160" s="476">
        <v>5354599</v>
      </c>
      <c r="KI160" s="476">
        <v>0</v>
      </c>
      <c r="KJ160" s="476">
        <v>5</v>
      </c>
      <c r="KK160" s="476">
        <v>12</v>
      </c>
      <c r="KL160" s="476">
        <v>3080</v>
      </c>
      <c r="KM160" s="476">
        <v>7392</v>
      </c>
      <c r="KN160" s="476">
        <v>0</v>
      </c>
    </row>
    <row r="161" spans="1:300" x14ac:dyDescent="0.25">
      <c r="A161" s="476">
        <v>40976</v>
      </c>
      <c r="B161" s="476">
        <v>220810</v>
      </c>
      <c r="C161" s="476">
        <v>9</v>
      </c>
      <c r="D161" s="476">
        <v>2024</v>
      </c>
      <c r="E161" s="476">
        <v>6160</v>
      </c>
      <c r="F161" s="476">
        <v>0</v>
      </c>
      <c r="G161" s="476">
        <v>827.02300000000002</v>
      </c>
      <c r="H161" s="476">
        <v>759.48200000000008</v>
      </c>
      <c r="I161" s="476">
        <v>759.48200000000008</v>
      </c>
      <c r="J161" s="476">
        <v>827.02300000000002</v>
      </c>
      <c r="K161" s="476">
        <v>0</v>
      </c>
      <c r="L161" s="476">
        <v>6160</v>
      </c>
      <c r="M161" s="476">
        <v>0</v>
      </c>
      <c r="N161" s="476">
        <v>0</v>
      </c>
      <c r="O161" s="476">
        <v>0</v>
      </c>
      <c r="P161" s="476">
        <v>827.02300000000002</v>
      </c>
      <c r="Q161" s="476">
        <v>0</v>
      </c>
      <c r="R161" s="476">
        <v>343119</v>
      </c>
      <c r="S161" s="476">
        <v>414.88400000000001</v>
      </c>
      <c r="T161" s="476">
        <v>0</v>
      </c>
      <c r="U161" s="476">
        <v>0</v>
      </c>
      <c r="V161" s="476">
        <v>19.855</v>
      </c>
      <c r="W161" s="476">
        <v>12230</v>
      </c>
      <c r="X161" s="476">
        <v>12230</v>
      </c>
      <c r="Y161" s="476">
        <v>0</v>
      </c>
      <c r="Z161" s="476">
        <v>0</v>
      </c>
      <c r="AA161" s="476">
        <v>0</v>
      </c>
      <c r="AB161" s="476">
        <v>0</v>
      </c>
      <c r="AC161" s="476">
        <v>0</v>
      </c>
      <c r="AD161" s="476" t="s">
        <v>314</v>
      </c>
      <c r="AE161" s="476">
        <v>0</v>
      </c>
      <c r="AF161" s="476">
        <v>0</v>
      </c>
      <c r="AG161" s="476">
        <v>0</v>
      </c>
      <c r="AH161" s="476">
        <v>0</v>
      </c>
      <c r="AI161" s="476">
        <v>0</v>
      </c>
      <c r="AJ161" s="476">
        <v>6160</v>
      </c>
      <c r="AK161" s="476" t="s">
        <v>651</v>
      </c>
      <c r="AL161" s="476" t="s">
        <v>0</v>
      </c>
      <c r="AM161" s="476">
        <v>0</v>
      </c>
      <c r="AN161" s="476">
        <v>0</v>
      </c>
      <c r="AO161" s="476">
        <v>0</v>
      </c>
      <c r="AP161" s="476">
        <v>0</v>
      </c>
      <c r="AQ161" s="476">
        <v>0</v>
      </c>
      <c r="AR161" s="476">
        <v>0</v>
      </c>
      <c r="AS161" s="476">
        <v>0</v>
      </c>
      <c r="AT161" s="476">
        <v>0</v>
      </c>
      <c r="AU161" s="476">
        <v>0</v>
      </c>
      <c r="AV161" s="476">
        <v>0</v>
      </c>
      <c r="AW161" s="476">
        <v>7334864</v>
      </c>
      <c r="AX161" s="476">
        <v>7196539</v>
      </c>
      <c r="AY161" s="476">
        <v>0</v>
      </c>
      <c r="AZ161" s="476">
        <v>343119</v>
      </c>
      <c r="BA161" s="476">
        <v>0</v>
      </c>
      <c r="BB161" s="476">
        <v>0</v>
      </c>
      <c r="BC161" s="476">
        <v>0</v>
      </c>
      <c r="BD161" s="476">
        <v>0</v>
      </c>
      <c r="BE161" s="476">
        <v>0</v>
      </c>
      <c r="BF161" s="476">
        <v>6547006</v>
      </c>
      <c r="BG161" s="476">
        <v>0</v>
      </c>
      <c r="BH161" s="476">
        <v>0</v>
      </c>
      <c r="BI161" s="476">
        <v>0</v>
      </c>
      <c r="BJ161" s="476">
        <v>12</v>
      </c>
      <c r="BK161" s="476">
        <v>0</v>
      </c>
      <c r="BL161" s="476">
        <v>0</v>
      </c>
      <c r="BM161" s="476">
        <v>0</v>
      </c>
      <c r="BN161" s="476">
        <v>0</v>
      </c>
      <c r="BO161" s="476">
        <v>0</v>
      </c>
      <c r="BP161" s="476">
        <v>0</v>
      </c>
      <c r="BQ161" s="476">
        <v>653</v>
      </c>
      <c r="BR161" s="476">
        <v>0</v>
      </c>
      <c r="BS161" s="476">
        <v>0</v>
      </c>
      <c r="BT161" s="476">
        <v>0</v>
      </c>
      <c r="BU161" s="476">
        <v>0</v>
      </c>
      <c r="BV161" s="476">
        <v>0</v>
      </c>
      <c r="BW161" s="476">
        <v>0</v>
      </c>
      <c r="BX161" s="476">
        <v>0</v>
      </c>
      <c r="BY161" s="476">
        <v>0</v>
      </c>
      <c r="BZ161" s="476">
        <v>0</v>
      </c>
      <c r="CA161" s="476">
        <v>0</v>
      </c>
      <c r="CB161" s="476">
        <v>0</v>
      </c>
      <c r="CC161" s="476">
        <v>0</v>
      </c>
      <c r="CD161" s="476">
        <v>0</v>
      </c>
      <c r="CE161" s="476">
        <v>0</v>
      </c>
      <c r="CF161" s="476">
        <v>0</v>
      </c>
      <c r="CG161" s="476">
        <v>0</v>
      </c>
      <c r="CH161" s="476">
        <v>139622</v>
      </c>
      <c r="CI161" s="476">
        <v>0</v>
      </c>
      <c r="CJ161" s="476">
        <v>4</v>
      </c>
      <c r="CK161" s="476">
        <v>0</v>
      </c>
      <c r="CL161" s="476">
        <v>0</v>
      </c>
      <c r="CM161" s="476">
        <v>0</v>
      </c>
      <c r="CN161" s="476">
        <v>0</v>
      </c>
      <c r="CO161" s="476">
        <v>1</v>
      </c>
      <c r="CP161" s="476">
        <v>0</v>
      </c>
      <c r="CQ161" s="476">
        <v>0</v>
      </c>
      <c r="CR161" s="476">
        <v>827.02300000000002</v>
      </c>
      <c r="CS161" s="476">
        <v>0</v>
      </c>
      <c r="CT161" s="476">
        <v>0</v>
      </c>
      <c r="CU161" s="476">
        <v>0</v>
      </c>
      <c r="CV161" s="476">
        <v>0</v>
      </c>
      <c r="CW161" s="476">
        <v>0</v>
      </c>
      <c r="CX161" s="476">
        <v>0</v>
      </c>
      <c r="CY161" s="476">
        <v>0</v>
      </c>
      <c r="CZ161" s="476">
        <v>0</v>
      </c>
      <c r="DA161" s="476">
        <v>0</v>
      </c>
      <c r="DB161" s="476">
        <v>4678303</v>
      </c>
      <c r="DC161" s="476">
        <v>0</v>
      </c>
      <c r="DD161" s="476">
        <v>0</v>
      </c>
      <c r="DE161" s="476">
        <v>26641</v>
      </c>
      <c r="DF161" s="476">
        <v>26641</v>
      </c>
      <c r="DG161" s="476">
        <v>4.3250000000000002</v>
      </c>
      <c r="DH161" s="476">
        <v>0</v>
      </c>
      <c r="DI161" s="476">
        <v>0</v>
      </c>
      <c r="DJ161" s="476">
        <v>0</v>
      </c>
      <c r="DK161" s="476">
        <v>2071</v>
      </c>
      <c r="DL161" s="476">
        <v>0</v>
      </c>
      <c r="DM161" s="476">
        <v>377340</v>
      </c>
      <c r="DN161" s="476">
        <v>1297</v>
      </c>
      <c r="DO161" s="476">
        <v>0</v>
      </c>
      <c r="DP161" s="476">
        <v>0</v>
      </c>
      <c r="DQ161" s="476">
        <v>0</v>
      </c>
      <c r="DR161" s="476">
        <v>0</v>
      </c>
      <c r="DS161" s="476">
        <v>0</v>
      </c>
      <c r="DT161" s="476">
        <v>0</v>
      </c>
      <c r="DU161" s="476">
        <v>0</v>
      </c>
      <c r="DV161" s="476">
        <v>0</v>
      </c>
      <c r="DW161" s="476">
        <v>0</v>
      </c>
      <c r="DX161" s="476">
        <v>0</v>
      </c>
      <c r="DY161" s="476">
        <v>0</v>
      </c>
      <c r="DZ161" s="476">
        <v>0</v>
      </c>
      <c r="EA161" s="476">
        <v>0</v>
      </c>
      <c r="EB161" s="476">
        <v>0</v>
      </c>
      <c r="EC161" s="476">
        <v>6.077</v>
      </c>
      <c r="ED161" s="476">
        <v>43048</v>
      </c>
      <c r="EE161" s="476">
        <v>0</v>
      </c>
      <c r="EF161" s="476">
        <v>0</v>
      </c>
      <c r="EG161" s="476">
        <v>0</v>
      </c>
      <c r="EH161" s="476">
        <v>335589</v>
      </c>
      <c r="EI161" s="476">
        <v>0</v>
      </c>
      <c r="EJ161" s="476">
        <v>0</v>
      </c>
      <c r="EK161" s="476">
        <v>15.685</v>
      </c>
      <c r="EL161" s="476">
        <v>0</v>
      </c>
      <c r="EM161" s="476">
        <v>0</v>
      </c>
      <c r="EN161" s="476">
        <v>1.4850000000000001</v>
      </c>
      <c r="EO161" s="476">
        <v>0</v>
      </c>
      <c r="EP161" s="476">
        <v>0</v>
      </c>
      <c r="EQ161" s="476">
        <v>17.170000000000002</v>
      </c>
      <c r="ER161" s="476">
        <v>0</v>
      </c>
      <c r="ES161" s="476">
        <v>54.480000000000004</v>
      </c>
      <c r="ET161" s="476">
        <v>0</v>
      </c>
      <c r="EU161" s="476">
        <v>0</v>
      </c>
      <c r="EV161" s="476">
        <v>0</v>
      </c>
      <c r="EW161" s="476">
        <v>0</v>
      </c>
      <c r="EX161" s="476">
        <v>0</v>
      </c>
      <c r="EY161" s="476">
        <v>0</v>
      </c>
      <c r="EZ161" s="476">
        <v>6210023</v>
      </c>
      <c r="FA161" s="476">
        <v>0</v>
      </c>
      <c r="FB161" s="476">
        <v>6551845</v>
      </c>
      <c r="FC161" s="476">
        <v>0</v>
      </c>
      <c r="FD161" s="476">
        <v>0</v>
      </c>
      <c r="FE161" s="476">
        <v>845338</v>
      </c>
      <c r="FF161" s="476">
        <v>141178</v>
      </c>
      <c r="FG161" s="476">
        <v>6.3017999999999991E-2</v>
      </c>
      <c r="FH161" s="476">
        <v>2.6953999999999999E-2</v>
      </c>
      <c r="FI161" s="476">
        <v>0</v>
      </c>
      <c r="FJ161" s="476">
        <v>0</v>
      </c>
      <c r="FK161" s="476">
        <v>1062.8499999999999</v>
      </c>
      <c r="FL161" s="476">
        <v>7677983</v>
      </c>
      <c r="FM161" s="476">
        <v>0</v>
      </c>
      <c r="FN161" s="476">
        <v>0</v>
      </c>
      <c r="FO161" s="476">
        <v>0</v>
      </c>
      <c r="FP161" s="476">
        <v>0</v>
      </c>
      <c r="FQ161" s="476">
        <v>0</v>
      </c>
      <c r="FR161" s="476">
        <v>0</v>
      </c>
      <c r="FS161" s="476">
        <v>0</v>
      </c>
      <c r="FT161" s="476">
        <v>0</v>
      </c>
      <c r="FU161" s="476">
        <v>0</v>
      </c>
      <c r="FV161" s="476">
        <v>0</v>
      </c>
      <c r="FW161" s="476">
        <v>0</v>
      </c>
      <c r="FX161" s="476">
        <v>0</v>
      </c>
      <c r="FY161" s="476">
        <v>0</v>
      </c>
      <c r="FZ161" s="476">
        <v>0</v>
      </c>
      <c r="GA161" s="476">
        <v>0</v>
      </c>
      <c r="GB161" s="476">
        <v>483366</v>
      </c>
      <c r="GC161" s="476">
        <v>483366</v>
      </c>
      <c r="GD161" s="476">
        <v>50.371000000000002</v>
      </c>
      <c r="GE161" s="476">
        <v>0</v>
      </c>
      <c r="GF161" s="476">
        <v>0</v>
      </c>
      <c r="GG161" s="476">
        <v>0</v>
      </c>
      <c r="GH161" s="476">
        <v>0</v>
      </c>
      <c r="GI161" s="476">
        <v>0</v>
      </c>
      <c r="GJ161" s="476">
        <v>0</v>
      </c>
      <c r="GK161" s="476">
        <v>0</v>
      </c>
      <c r="GL161" s="476">
        <v>0</v>
      </c>
      <c r="GM161" s="476">
        <v>0</v>
      </c>
      <c r="GN161" s="476">
        <v>0</v>
      </c>
      <c r="GO161" s="476">
        <v>0</v>
      </c>
      <c r="GP161" s="476">
        <v>0</v>
      </c>
      <c r="GQ161" s="476">
        <v>7195242</v>
      </c>
      <c r="GR161" s="476">
        <v>0</v>
      </c>
      <c r="GS161" s="476">
        <v>0</v>
      </c>
      <c r="GT161" s="476">
        <v>0</v>
      </c>
      <c r="GU161" s="476">
        <v>0</v>
      </c>
      <c r="GV161" s="476">
        <v>0</v>
      </c>
      <c r="GW161" s="476">
        <v>0</v>
      </c>
      <c r="GX161" s="476">
        <v>0</v>
      </c>
      <c r="GY161" s="476">
        <v>0</v>
      </c>
      <c r="GZ161" s="476">
        <v>0</v>
      </c>
      <c r="HA161" s="476">
        <v>0</v>
      </c>
      <c r="HB161" s="476">
        <v>323396213</v>
      </c>
      <c r="HC161" s="476">
        <v>4.2206E-2</v>
      </c>
      <c r="HD161" s="476">
        <v>139622</v>
      </c>
      <c r="HE161" s="476">
        <v>0</v>
      </c>
      <c r="HF161" s="476">
        <v>836949</v>
      </c>
      <c r="HG161" s="476">
        <v>26487</v>
      </c>
      <c r="HH161" s="476">
        <v>6123</v>
      </c>
      <c r="HI161" s="476">
        <v>0</v>
      </c>
      <c r="HJ161" s="476">
        <v>8270</v>
      </c>
      <c r="HK161" s="476">
        <v>3904</v>
      </c>
      <c r="HL161" s="476">
        <v>2232</v>
      </c>
      <c r="HM161" s="476">
        <v>90000</v>
      </c>
      <c r="HN161" s="476">
        <v>0</v>
      </c>
      <c r="HO161" s="476">
        <v>0</v>
      </c>
      <c r="HP161" s="476">
        <v>0</v>
      </c>
      <c r="HQ161" s="476">
        <v>0</v>
      </c>
      <c r="HR161" s="476">
        <v>0</v>
      </c>
      <c r="HS161" s="476">
        <v>6208726</v>
      </c>
      <c r="HT161" s="476">
        <v>141178</v>
      </c>
      <c r="HU161" s="476">
        <v>0</v>
      </c>
      <c r="HV161" s="476">
        <v>0</v>
      </c>
      <c r="HW161" s="476">
        <v>0</v>
      </c>
      <c r="HX161" s="476">
        <v>17</v>
      </c>
      <c r="HY161" s="476">
        <v>0</v>
      </c>
      <c r="HZ161" s="476">
        <v>2</v>
      </c>
      <c r="IA161" s="476">
        <v>0</v>
      </c>
      <c r="IB161" s="476">
        <v>0</v>
      </c>
      <c r="IC161" s="476">
        <v>19</v>
      </c>
      <c r="ID161" s="476">
        <v>0</v>
      </c>
      <c r="IE161" s="476">
        <v>0</v>
      </c>
      <c r="IF161" s="476">
        <v>0</v>
      </c>
      <c r="IG161" s="476">
        <v>43</v>
      </c>
      <c r="IH161" s="476">
        <v>9.94</v>
      </c>
      <c r="II161" s="476">
        <v>0</v>
      </c>
      <c r="IJ161" s="476">
        <v>19.855</v>
      </c>
      <c r="IK161" s="476">
        <v>0</v>
      </c>
      <c r="IL161" s="476">
        <v>0</v>
      </c>
      <c r="IM161" s="476">
        <v>30</v>
      </c>
      <c r="IN161" s="476">
        <v>0</v>
      </c>
      <c r="IO161" s="476">
        <v>30</v>
      </c>
      <c r="IP161" s="476">
        <v>0</v>
      </c>
      <c r="IQ161" s="476">
        <v>19.855</v>
      </c>
      <c r="IR161" s="476">
        <v>12230</v>
      </c>
      <c r="IS161" s="476">
        <v>0</v>
      </c>
      <c r="IT161" s="476">
        <v>0</v>
      </c>
      <c r="IU161" s="476">
        <v>90000</v>
      </c>
      <c r="IV161" s="476">
        <v>0</v>
      </c>
      <c r="IW161" s="476">
        <v>6160</v>
      </c>
      <c r="IX161" s="476">
        <v>0</v>
      </c>
      <c r="IY161" s="476">
        <v>0</v>
      </c>
      <c r="IZ161" s="476">
        <v>0</v>
      </c>
      <c r="JA161" s="476">
        <v>0</v>
      </c>
      <c r="JB161" s="476">
        <v>0</v>
      </c>
      <c r="JC161" s="476">
        <v>0</v>
      </c>
      <c r="JD161" s="476">
        <v>0</v>
      </c>
      <c r="JE161" s="476">
        <v>0</v>
      </c>
      <c r="JF161" s="476">
        <v>0</v>
      </c>
      <c r="JG161" s="476">
        <v>0</v>
      </c>
      <c r="JH161" s="476">
        <v>0</v>
      </c>
      <c r="JI161" s="476">
        <v>0</v>
      </c>
      <c r="JJ161" s="476">
        <v>0</v>
      </c>
      <c r="JK161" s="476">
        <v>0</v>
      </c>
      <c r="JL161" s="476">
        <v>0</v>
      </c>
      <c r="JM161" s="476">
        <v>0</v>
      </c>
      <c r="JN161" s="476">
        <v>32469</v>
      </c>
      <c r="JO161" s="476">
        <v>7.8340000000000005</v>
      </c>
      <c r="JP161" s="476">
        <v>24.136000000000003</v>
      </c>
      <c r="JQ161" s="476">
        <v>18.401</v>
      </c>
      <c r="JR161" s="476">
        <v>62580</v>
      </c>
      <c r="JS161" s="476">
        <v>224353</v>
      </c>
      <c r="JT161" s="476">
        <v>196433</v>
      </c>
      <c r="JU161" s="476">
        <v>0</v>
      </c>
      <c r="JV161" s="476">
        <v>0</v>
      </c>
      <c r="JW161" s="476">
        <v>0</v>
      </c>
      <c r="JX161" s="476">
        <v>0</v>
      </c>
      <c r="JY161" s="476">
        <v>0</v>
      </c>
      <c r="JZ161" s="476">
        <v>0</v>
      </c>
      <c r="KA161" s="476">
        <v>0</v>
      </c>
      <c r="KB161" s="476">
        <v>0</v>
      </c>
      <c r="KC161" s="476">
        <v>0</v>
      </c>
      <c r="KD161" s="476">
        <v>0</v>
      </c>
      <c r="KE161" s="476">
        <v>7262</v>
      </c>
      <c r="KF161" s="476">
        <v>0</v>
      </c>
      <c r="KG161" s="476">
        <v>0</v>
      </c>
      <c r="KH161" s="476">
        <v>7195242</v>
      </c>
      <c r="KI161" s="476">
        <v>0</v>
      </c>
      <c r="KJ161" s="476">
        <v>8</v>
      </c>
      <c r="KK161" s="476">
        <v>35</v>
      </c>
      <c r="KL161" s="476">
        <v>4928</v>
      </c>
      <c r="KM161" s="476">
        <v>21560</v>
      </c>
      <c r="KN161" s="476">
        <v>0</v>
      </c>
    </row>
    <row r="162" spans="1:300" x14ac:dyDescent="0.25">
      <c r="A162" s="476">
        <v>40976</v>
      </c>
      <c r="B162" s="476">
        <v>220811</v>
      </c>
      <c r="C162" s="476">
        <v>9</v>
      </c>
      <c r="D162" s="476">
        <v>2024</v>
      </c>
      <c r="E162" s="476">
        <v>6160</v>
      </c>
      <c r="F162" s="476">
        <v>0</v>
      </c>
      <c r="G162" s="476">
        <v>139.61799999999999</v>
      </c>
      <c r="H162" s="476">
        <v>137.011</v>
      </c>
      <c r="I162" s="476">
        <v>137.011</v>
      </c>
      <c r="J162" s="476">
        <v>139.61799999999999</v>
      </c>
      <c r="K162" s="476">
        <v>0</v>
      </c>
      <c r="L162" s="476">
        <v>6160</v>
      </c>
      <c r="M162" s="476">
        <v>0</v>
      </c>
      <c r="N162" s="476">
        <v>0</v>
      </c>
      <c r="O162" s="476">
        <v>0</v>
      </c>
      <c r="P162" s="476">
        <v>139.74299999999999</v>
      </c>
      <c r="Q162" s="476">
        <v>0</v>
      </c>
      <c r="R162" s="476">
        <v>57977</v>
      </c>
      <c r="S162" s="476">
        <v>414.88400000000001</v>
      </c>
      <c r="T162" s="476">
        <v>0</v>
      </c>
      <c r="U162" s="476">
        <v>0</v>
      </c>
      <c r="V162" s="476">
        <v>45.703000000000003</v>
      </c>
      <c r="W162" s="476">
        <v>28152</v>
      </c>
      <c r="X162" s="476">
        <v>28152</v>
      </c>
      <c r="Y162" s="476">
        <v>0</v>
      </c>
      <c r="Z162" s="476">
        <v>0</v>
      </c>
      <c r="AA162" s="476">
        <v>0</v>
      </c>
      <c r="AB162" s="476">
        <v>0</v>
      </c>
      <c r="AC162" s="476">
        <v>0</v>
      </c>
      <c r="AD162" s="476" t="s">
        <v>314</v>
      </c>
      <c r="AE162" s="476">
        <v>0</v>
      </c>
      <c r="AF162" s="476">
        <v>0</v>
      </c>
      <c r="AG162" s="476">
        <v>0</v>
      </c>
      <c r="AH162" s="476">
        <v>0</v>
      </c>
      <c r="AI162" s="476">
        <v>0</v>
      </c>
      <c r="AJ162" s="476">
        <v>6160</v>
      </c>
      <c r="AK162" s="476" t="s">
        <v>651</v>
      </c>
      <c r="AL162" s="476" t="s">
        <v>62</v>
      </c>
      <c r="AM162" s="476">
        <v>0</v>
      </c>
      <c r="AN162" s="476">
        <v>0</v>
      </c>
      <c r="AO162" s="476">
        <v>0</v>
      </c>
      <c r="AP162" s="476">
        <v>0</v>
      </c>
      <c r="AQ162" s="476">
        <v>0</v>
      </c>
      <c r="AR162" s="476">
        <v>0</v>
      </c>
      <c r="AS162" s="476">
        <v>0</v>
      </c>
      <c r="AT162" s="476">
        <v>0</v>
      </c>
      <c r="AU162" s="476">
        <v>0</v>
      </c>
      <c r="AV162" s="476">
        <v>0</v>
      </c>
      <c r="AW162" s="476">
        <v>1534467</v>
      </c>
      <c r="AX162" s="476">
        <v>1511088</v>
      </c>
      <c r="AY162" s="476">
        <v>0</v>
      </c>
      <c r="AZ162" s="476">
        <v>57977</v>
      </c>
      <c r="BA162" s="476">
        <v>12.417</v>
      </c>
      <c r="BB162" s="476">
        <v>2975</v>
      </c>
      <c r="BC162" s="476">
        <v>2957</v>
      </c>
      <c r="BD162" s="476">
        <v>6.9810000000000008</v>
      </c>
      <c r="BE162" s="476">
        <v>19</v>
      </c>
      <c r="BF162" s="476">
        <v>1363596</v>
      </c>
      <c r="BG162" s="476">
        <v>0</v>
      </c>
      <c r="BH162" s="476">
        <v>0</v>
      </c>
      <c r="BI162" s="476">
        <v>0</v>
      </c>
      <c r="BJ162" s="476">
        <v>12</v>
      </c>
      <c r="BK162" s="476">
        <v>0</v>
      </c>
      <c r="BL162" s="476">
        <v>0</v>
      </c>
      <c r="BM162" s="476">
        <v>0</v>
      </c>
      <c r="BN162" s="476">
        <v>0</v>
      </c>
      <c r="BO162" s="476">
        <v>0</v>
      </c>
      <c r="BP162" s="476">
        <v>0</v>
      </c>
      <c r="BQ162" s="476">
        <v>749</v>
      </c>
      <c r="BR162" s="476">
        <v>0</v>
      </c>
      <c r="BS162" s="476">
        <v>0</v>
      </c>
      <c r="BT162" s="476">
        <v>0</v>
      </c>
      <c r="BU162" s="476">
        <v>0</v>
      </c>
      <c r="BV162" s="476">
        <v>0</v>
      </c>
      <c r="BW162" s="476">
        <v>0</v>
      </c>
      <c r="BX162" s="476">
        <v>0</v>
      </c>
      <c r="BY162" s="476">
        <v>0</v>
      </c>
      <c r="BZ162" s="476">
        <v>0</v>
      </c>
      <c r="CA162" s="476">
        <v>0</v>
      </c>
      <c r="CB162" s="476">
        <v>0</v>
      </c>
      <c r="CC162" s="476">
        <v>0</v>
      </c>
      <c r="CD162" s="476">
        <v>0</v>
      </c>
      <c r="CE162" s="476">
        <v>0</v>
      </c>
      <c r="CF162" s="476">
        <v>0</v>
      </c>
      <c r="CG162" s="476">
        <v>0</v>
      </c>
      <c r="CH162" s="476">
        <v>23571</v>
      </c>
      <c r="CI162" s="476">
        <v>0</v>
      </c>
      <c r="CJ162" s="476">
        <v>4</v>
      </c>
      <c r="CK162" s="476">
        <v>0</v>
      </c>
      <c r="CL162" s="476">
        <v>0</v>
      </c>
      <c r="CM162" s="476">
        <v>0</v>
      </c>
      <c r="CN162" s="476">
        <v>0</v>
      </c>
      <c r="CO162" s="476">
        <v>1</v>
      </c>
      <c r="CP162" s="476">
        <v>0</v>
      </c>
      <c r="CQ162" s="476">
        <v>0</v>
      </c>
      <c r="CR162" s="476">
        <v>139.61799999999999</v>
      </c>
      <c r="CS162" s="476">
        <v>0</v>
      </c>
      <c r="CT162" s="476">
        <v>0</v>
      </c>
      <c r="CU162" s="476">
        <v>0</v>
      </c>
      <c r="CV162" s="476">
        <v>0</v>
      </c>
      <c r="CW162" s="476">
        <v>0</v>
      </c>
      <c r="CX162" s="476">
        <v>0</v>
      </c>
      <c r="CY162" s="476">
        <v>0</v>
      </c>
      <c r="CZ162" s="476">
        <v>0</v>
      </c>
      <c r="DA162" s="476">
        <v>0</v>
      </c>
      <c r="DB162" s="476">
        <v>823416</v>
      </c>
      <c r="DC162" s="476">
        <v>0</v>
      </c>
      <c r="DD162" s="476">
        <v>0</v>
      </c>
      <c r="DE162" s="476">
        <v>215749</v>
      </c>
      <c r="DF162" s="476">
        <v>215749</v>
      </c>
      <c r="DG162" s="476">
        <v>35.024999999999999</v>
      </c>
      <c r="DH162" s="476">
        <v>0</v>
      </c>
      <c r="DI162" s="476">
        <v>0</v>
      </c>
      <c r="DJ162" s="476">
        <v>0</v>
      </c>
      <c r="DK162" s="476">
        <v>3605</v>
      </c>
      <c r="DL162" s="476">
        <v>0</v>
      </c>
      <c r="DM162" s="476">
        <v>71118</v>
      </c>
      <c r="DN162" s="476">
        <v>174</v>
      </c>
      <c r="DO162" s="476">
        <v>0</v>
      </c>
      <c r="DP162" s="476">
        <v>0</v>
      </c>
      <c r="DQ162" s="476">
        <v>0</v>
      </c>
      <c r="DR162" s="476">
        <v>0</v>
      </c>
      <c r="DS162" s="476">
        <v>0</v>
      </c>
      <c r="DT162" s="476">
        <v>0</v>
      </c>
      <c r="DU162" s="476">
        <v>0</v>
      </c>
      <c r="DV162" s="476">
        <v>0</v>
      </c>
      <c r="DW162" s="476">
        <v>0</v>
      </c>
      <c r="DX162" s="476">
        <v>0</v>
      </c>
      <c r="DY162" s="476">
        <v>0</v>
      </c>
      <c r="DZ162" s="476">
        <v>0</v>
      </c>
      <c r="EA162" s="476">
        <v>0</v>
      </c>
      <c r="EB162" s="476">
        <v>0</v>
      </c>
      <c r="EC162" s="476">
        <v>0</v>
      </c>
      <c r="ED162" s="476">
        <v>0</v>
      </c>
      <c r="EE162" s="476">
        <v>0</v>
      </c>
      <c r="EF162" s="476">
        <v>0</v>
      </c>
      <c r="EG162" s="476">
        <v>0</v>
      </c>
      <c r="EH162" s="476">
        <v>50739</v>
      </c>
      <c r="EI162" s="476">
        <v>0</v>
      </c>
      <c r="EJ162" s="476">
        <v>0</v>
      </c>
      <c r="EK162" s="476">
        <v>1.9350000000000001</v>
      </c>
      <c r="EL162" s="476">
        <v>0.308</v>
      </c>
      <c r="EM162" s="476">
        <v>0.46400000000000002</v>
      </c>
      <c r="EN162" s="476">
        <v>0.20800000000000002</v>
      </c>
      <c r="EO162" s="476">
        <v>0</v>
      </c>
      <c r="EP162" s="476">
        <v>0</v>
      </c>
      <c r="EQ162" s="476">
        <v>2.6070000000000002</v>
      </c>
      <c r="ER162" s="476">
        <v>0</v>
      </c>
      <c r="ES162" s="476">
        <v>8.2370000000000001</v>
      </c>
      <c r="ET162" s="476">
        <v>0</v>
      </c>
      <c r="EU162" s="476">
        <v>0</v>
      </c>
      <c r="EV162" s="476">
        <v>0</v>
      </c>
      <c r="EW162" s="476">
        <v>0</v>
      </c>
      <c r="EX162" s="476">
        <v>0</v>
      </c>
      <c r="EY162" s="476">
        <v>0</v>
      </c>
      <c r="EZ162" s="476">
        <v>1305619</v>
      </c>
      <c r="FA162" s="476">
        <v>0</v>
      </c>
      <c r="FB162" s="476">
        <v>1363404</v>
      </c>
      <c r="FC162" s="476">
        <v>0</v>
      </c>
      <c r="FD162" s="476">
        <v>0</v>
      </c>
      <c r="FE162" s="476">
        <v>176065</v>
      </c>
      <c r="FF162" s="476">
        <v>29404</v>
      </c>
      <c r="FG162" s="476">
        <v>6.3017999999999991E-2</v>
      </c>
      <c r="FH162" s="476">
        <v>2.6953999999999999E-2</v>
      </c>
      <c r="FI162" s="476">
        <v>0</v>
      </c>
      <c r="FJ162" s="476">
        <v>0</v>
      </c>
      <c r="FK162" s="476">
        <v>221.36800000000002</v>
      </c>
      <c r="FL162" s="476">
        <v>1592444</v>
      </c>
      <c r="FM162" s="476">
        <v>0</v>
      </c>
      <c r="FN162" s="476">
        <v>0</v>
      </c>
      <c r="FO162" s="476">
        <v>0</v>
      </c>
      <c r="FP162" s="476">
        <v>0</v>
      </c>
      <c r="FQ162" s="476">
        <v>0</v>
      </c>
      <c r="FR162" s="476">
        <v>0</v>
      </c>
      <c r="FS162" s="476">
        <v>0</v>
      </c>
      <c r="FT162" s="476">
        <v>0</v>
      </c>
      <c r="FU162" s="476">
        <v>0</v>
      </c>
      <c r="FV162" s="476">
        <v>0</v>
      </c>
      <c r="FW162" s="476">
        <v>0</v>
      </c>
      <c r="FX162" s="476">
        <v>0</v>
      </c>
      <c r="FY162" s="476">
        <v>0</v>
      </c>
      <c r="FZ162" s="476">
        <v>0</v>
      </c>
      <c r="GA162" s="476">
        <v>0</v>
      </c>
      <c r="GB162" s="476">
        <v>0</v>
      </c>
      <c r="GC162" s="476">
        <v>0</v>
      </c>
      <c r="GD162" s="476">
        <v>0</v>
      </c>
      <c r="GE162" s="476">
        <v>0</v>
      </c>
      <c r="GF162" s="476">
        <v>0</v>
      </c>
      <c r="GG162" s="476">
        <v>0</v>
      </c>
      <c r="GH162" s="476">
        <v>0</v>
      </c>
      <c r="GI162" s="476">
        <v>0</v>
      </c>
      <c r="GJ162" s="476">
        <v>0</v>
      </c>
      <c r="GK162" s="476">
        <v>0</v>
      </c>
      <c r="GL162" s="476">
        <v>0</v>
      </c>
      <c r="GM162" s="476">
        <v>0</v>
      </c>
      <c r="GN162" s="476">
        <v>0</v>
      </c>
      <c r="GO162" s="476">
        <v>0</v>
      </c>
      <c r="GP162" s="476">
        <v>0</v>
      </c>
      <c r="GQ162" s="476">
        <v>1510896</v>
      </c>
      <c r="GR162" s="476">
        <v>0</v>
      </c>
      <c r="GS162" s="476">
        <v>0</v>
      </c>
      <c r="GT162" s="476">
        <v>0</v>
      </c>
      <c r="GU162" s="476">
        <v>0</v>
      </c>
      <c r="GV162" s="476">
        <v>0</v>
      </c>
      <c r="GW162" s="476">
        <v>0</v>
      </c>
      <c r="GX162" s="476">
        <v>0</v>
      </c>
      <c r="GY162" s="476">
        <v>0</v>
      </c>
      <c r="GZ162" s="476">
        <v>0</v>
      </c>
      <c r="HA162" s="476">
        <v>0</v>
      </c>
      <c r="HB162" s="476">
        <v>323396213</v>
      </c>
      <c r="HC162" s="476">
        <v>4.2206E-2</v>
      </c>
      <c r="HD162" s="476">
        <v>23571</v>
      </c>
      <c r="HE162" s="476">
        <v>0</v>
      </c>
      <c r="HF162" s="476">
        <v>150986</v>
      </c>
      <c r="HG162" s="476">
        <v>0</v>
      </c>
      <c r="HH162" s="476">
        <v>69630</v>
      </c>
      <c r="HI162" s="476">
        <v>0</v>
      </c>
      <c r="HJ162" s="476">
        <v>1396</v>
      </c>
      <c r="HK162" s="476">
        <v>0</v>
      </c>
      <c r="HL162" s="476">
        <v>0</v>
      </c>
      <c r="HM162" s="476">
        <v>0</v>
      </c>
      <c r="HN162" s="476">
        <v>0</v>
      </c>
      <c r="HO162" s="476">
        <v>0</v>
      </c>
      <c r="HP162" s="476">
        <v>0</v>
      </c>
      <c r="HQ162" s="476">
        <v>0</v>
      </c>
      <c r="HR162" s="476">
        <v>0</v>
      </c>
      <c r="HS162" s="476">
        <v>1305427</v>
      </c>
      <c r="HT162" s="476">
        <v>29404</v>
      </c>
      <c r="HU162" s="476">
        <v>0</v>
      </c>
      <c r="HV162" s="476">
        <v>0</v>
      </c>
      <c r="HW162" s="476">
        <v>0</v>
      </c>
      <c r="HX162" s="476">
        <v>18</v>
      </c>
      <c r="HY162" s="476">
        <v>15</v>
      </c>
      <c r="HZ162" s="476">
        <v>23</v>
      </c>
      <c r="IA162" s="476">
        <v>27</v>
      </c>
      <c r="IB162" s="476">
        <v>53</v>
      </c>
      <c r="IC162" s="476">
        <v>136</v>
      </c>
      <c r="ID162" s="476">
        <v>0</v>
      </c>
      <c r="IE162" s="476">
        <v>0</v>
      </c>
      <c r="IF162" s="476">
        <v>0</v>
      </c>
      <c r="IG162" s="476">
        <v>0</v>
      </c>
      <c r="IH162" s="476">
        <v>113.03800000000001</v>
      </c>
      <c r="II162" s="476">
        <v>0</v>
      </c>
      <c r="IJ162" s="476">
        <v>45.703000000000003</v>
      </c>
      <c r="IK162" s="476">
        <v>0</v>
      </c>
      <c r="IL162" s="476">
        <v>0</v>
      </c>
      <c r="IM162" s="476">
        <v>0</v>
      </c>
      <c r="IN162" s="476">
        <v>0</v>
      </c>
      <c r="IO162" s="476">
        <v>0</v>
      </c>
      <c r="IP162" s="476">
        <v>0</v>
      </c>
      <c r="IQ162" s="476">
        <v>45.703000000000003</v>
      </c>
      <c r="IR162" s="476">
        <v>28152</v>
      </c>
      <c r="IS162" s="476">
        <v>0</v>
      </c>
      <c r="IT162" s="476">
        <v>0</v>
      </c>
      <c r="IU162" s="476">
        <v>0</v>
      </c>
      <c r="IV162" s="476">
        <v>0</v>
      </c>
      <c r="IW162" s="476">
        <v>6160</v>
      </c>
      <c r="IX162" s="476">
        <v>0</v>
      </c>
      <c r="IY162" s="476">
        <v>0</v>
      </c>
      <c r="IZ162" s="476">
        <v>0</v>
      </c>
      <c r="JA162" s="476">
        <v>0</v>
      </c>
      <c r="JB162" s="476">
        <v>0</v>
      </c>
      <c r="JC162" s="476">
        <v>0</v>
      </c>
      <c r="JD162" s="476">
        <v>0</v>
      </c>
      <c r="JE162" s="476">
        <v>0</v>
      </c>
      <c r="JF162" s="476">
        <v>0</v>
      </c>
      <c r="JG162" s="476">
        <v>0</v>
      </c>
      <c r="JH162" s="476">
        <v>0</v>
      </c>
      <c r="JI162" s="476">
        <v>0</v>
      </c>
      <c r="JJ162" s="476">
        <v>0</v>
      </c>
      <c r="JK162" s="476">
        <v>0</v>
      </c>
      <c r="JL162" s="476">
        <v>0</v>
      </c>
      <c r="JM162" s="476">
        <v>0</v>
      </c>
      <c r="JN162" s="476">
        <v>32469</v>
      </c>
      <c r="JO162" s="476">
        <v>0</v>
      </c>
      <c r="JP162" s="476">
        <v>0</v>
      </c>
      <c r="JQ162" s="476">
        <v>0</v>
      </c>
      <c r="JR162" s="476">
        <v>0</v>
      </c>
      <c r="JS162" s="476">
        <v>0</v>
      </c>
      <c r="JT162" s="476">
        <v>0</v>
      </c>
      <c r="JU162" s="476">
        <v>3010</v>
      </c>
      <c r="JV162" s="476">
        <v>0</v>
      </c>
      <c r="JW162" s="476">
        <v>0</v>
      </c>
      <c r="JX162" s="476">
        <v>0</v>
      </c>
      <c r="JY162" s="476">
        <v>0</v>
      </c>
      <c r="JZ162" s="476">
        <v>0</v>
      </c>
      <c r="KA162" s="476">
        <v>0</v>
      </c>
      <c r="KB162" s="476">
        <v>0</v>
      </c>
      <c r="KC162" s="476">
        <v>0</v>
      </c>
      <c r="KD162" s="476">
        <v>3018</v>
      </c>
      <c r="KE162" s="476">
        <v>7262</v>
      </c>
      <c r="KF162" s="476">
        <v>0</v>
      </c>
      <c r="KG162" s="476">
        <v>0</v>
      </c>
      <c r="KH162" s="476">
        <v>1510896</v>
      </c>
      <c r="KI162" s="476">
        <v>0</v>
      </c>
      <c r="KJ162" s="476">
        <v>0</v>
      </c>
      <c r="KK162" s="476">
        <v>0</v>
      </c>
      <c r="KL162" s="476">
        <v>0</v>
      </c>
      <c r="KM162" s="476">
        <v>0</v>
      </c>
      <c r="KN162" s="476">
        <v>0</v>
      </c>
    </row>
    <row r="163" spans="1:300" x14ac:dyDescent="0.25">
      <c r="A163" s="476">
        <v>40976</v>
      </c>
      <c r="B163" s="476">
        <v>220814</v>
      </c>
      <c r="C163" s="476">
        <v>9</v>
      </c>
      <c r="D163" s="476">
        <v>2024</v>
      </c>
      <c r="E163" s="476">
        <v>6160</v>
      </c>
      <c r="F163" s="476">
        <v>0</v>
      </c>
      <c r="G163" s="476">
        <v>314.887</v>
      </c>
      <c r="H163" s="476">
        <v>305.94400000000002</v>
      </c>
      <c r="I163" s="476">
        <v>305.94400000000002</v>
      </c>
      <c r="J163" s="476">
        <v>314.887</v>
      </c>
      <c r="K163" s="476">
        <v>0</v>
      </c>
      <c r="L163" s="476">
        <v>6160</v>
      </c>
      <c r="M163" s="476">
        <v>0</v>
      </c>
      <c r="N163" s="476">
        <v>0</v>
      </c>
      <c r="O163" s="476">
        <v>0</v>
      </c>
      <c r="P163" s="476">
        <v>314.887</v>
      </c>
      <c r="Q163" s="476">
        <v>0</v>
      </c>
      <c r="R163" s="476">
        <v>130642</v>
      </c>
      <c r="S163" s="476">
        <v>414.88400000000001</v>
      </c>
      <c r="T163" s="476">
        <v>0</v>
      </c>
      <c r="U163" s="476">
        <v>0</v>
      </c>
      <c r="V163" s="476">
        <v>33.193000000000005</v>
      </c>
      <c r="W163" s="476">
        <v>20446</v>
      </c>
      <c r="X163" s="476">
        <v>20446</v>
      </c>
      <c r="Y163" s="476">
        <v>0</v>
      </c>
      <c r="Z163" s="476">
        <v>0</v>
      </c>
      <c r="AA163" s="476">
        <v>0</v>
      </c>
      <c r="AB163" s="476">
        <v>0</v>
      </c>
      <c r="AC163" s="476">
        <v>0</v>
      </c>
      <c r="AD163" s="476" t="s">
        <v>314</v>
      </c>
      <c r="AE163" s="476">
        <v>0</v>
      </c>
      <c r="AF163" s="476">
        <v>0</v>
      </c>
      <c r="AG163" s="476">
        <v>0</v>
      </c>
      <c r="AH163" s="476">
        <v>0</v>
      </c>
      <c r="AI163" s="476">
        <v>0</v>
      </c>
      <c r="AJ163" s="476">
        <v>6160</v>
      </c>
      <c r="AK163" s="476" t="s">
        <v>651</v>
      </c>
      <c r="AL163" s="476" t="s">
        <v>360</v>
      </c>
      <c r="AM163" s="476">
        <v>0</v>
      </c>
      <c r="AN163" s="476">
        <v>0</v>
      </c>
      <c r="AO163" s="476">
        <v>0</v>
      </c>
      <c r="AP163" s="476">
        <v>0</v>
      </c>
      <c r="AQ163" s="476">
        <v>0</v>
      </c>
      <c r="AR163" s="476">
        <v>0</v>
      </c>
      <c r="AS163" s="476">
        <v>0</v>
      </c>
      <c r="AT163" s="476">
        <v>0</v>
      </c>
      <c r="AU163" s="476">
        <v>0</v>
      </c>
      <c r="AV163" s="476">
        <v>0</v>
      </c>
      <c r="AW163" s="476">
        <v>2818325</v>
      </c>
      <c r="AX163" s="476">
        <v>2765794</v>
      </c>
      <c r="AY163" s="476">
        <v>0</v>
      </c>
      <c r="AZ163" s="476">
        <v>130642</v>
      </c>
      <c r="BA163" s="476">
        <v>3</v>
      </c>
      <c r="BB163" s="476">
        <v>5541</v>
      </c>
      <c r="BC163" s="476">
        <v>5505</v>
      </c>
      <c r="BD163" s="476">
        <v>13</v>
      </c>
      <c r="BE163" s="476">
        <v>35</v>
      </c>
      <c r="BF163" s="476">
        <v>2517147</v>
      </c>
      <c r="BG163" s="476">
        <v>0</v>
      </c>
      <c r="BH163" s="476">
        <v>0</v>
      </c>
      <c r="BI163" s="476">
        <v>0</v>
      </c>
      <c r="BJ163" s="476">
        <v>12</v>
      </c>
      <c r="BK163" s="476">
        <v>0</v>
      </c>
      <c r="BL163" s="476">
        <v>0</v>
      </c>
      <c r="BM163" s="476">
        <v>0</v>
      </c>
      <c r="BN163" s="476">
        <v>0</v>
      </c>
      <c r="BO163" s="476">
        <v>0</v>
      </c>
      <c r="BP163" s="476">
        <v>0</v>
      </c>
      <c r="BQ163" s="476">
        <v>723</v>
      </c>
      <c r="BR163" s="476">
        <v>0</v>
      </c>
      <c r="BS163" s="476">
        <v>0</v>
      </c>
      <c r="BT163" s="476">
        <v>0</v>
      </c>
      <c r="BU163" s="476">
        <v>0</v>
      </c>
      <c r="BV163" s="476">
        <v>0</v>
      </c>
      <c r="BW163" s="476">
        <v>0</v>
      </c>
      <c r="BX163" s="476">
        <v>0</v>
      </c>
      <c r="BY163" s="476">
        <v>0</v>
      </c>
      <c r="BZ163" s="476">
        <v>0</v>
      </c>
      <c r="CA163" s="476">
        <v>0</v>
      </c>
      <c r="CB163" s="476">
        <v>0</v>
      </c>
      <c r="CC163" s="476">
        <v>0</v>
      </c>
      <c r="CD163" s="476">
        <v>0</v>
      </c>
      <c r="CE163" s="476">
        <v>0</v>
      </c>
      <c r="CF163" s="476">
        <v>0</v>
      </c>
      <c r="CG163" s="476">
        <v>0</v>
      </c>
      <c r="CH163" s="476">
        <v>53161</v>
      </c>
      <c r="CI163" s="476">
        <v>0</v>
      </c>
      <c r="CJ163" s="476">
        <v>4</v>
      </c>
      <c r="CK163" s="476">
        <v>0</v>
      </c>
      <c r="CL163" s="476">
        <v>0</v>
      </c>
      <c r="CM163" s="476">
        <v>0</v>
      </c>
      <c r="CN163" s="476">
        <v>0</v>
      </c>
      <c r="CO163" s="476">
        <v>1</v>
      </c>
      <c r="CP163" s="476">
        <v>0</v>
      </c>
      <c r="CQ163" s="476">
        <v>3.4170000000000003</v>
      </c>
      <c r="CR163" s="476">
        <v>314.887</v>
      </c>
      <c r="CS163" s="476">
        <v>0</v>
      </c>
      <c r="CT163" s="476">
        <v>0</v>
      </c>
      <c r="CU163" s="476">
        <v>0</v>
      </c>
      <c r="CV163" s="476">
        <v>0</v>
      </c>
      <c r="CW163" s="476">
        <v>0</v>
      </c>
      <c r="CX163" s="476">
        <v>0</v>
      </c>
      <c r="CY163" s="476">
        <v>0</v>
      </c>
      <c r="CZ163" s="476">
        <v>0</v>
      </c>
      <c r="DA163" s="476">
        <v>0</v>
      </c>
      <c r="DB163" s="476">
        <v>1865237</v>
      </c>
      <c r="DC163" s="476">
        <v>0</v>
      </c>
      <c r="DD163" s="476">
        <v>0</v>
      </c>
      <c r="DE163" s="476">
        <v>66988</v>
      </c>
      <c r="DF163" s="476">
        <v>66988</v>
      </c>
      <c r="DG163" s="476">
        <v>10.875</v>
      </c>
      <c r="DH163" s="476">
        <v>0</v>
      </c>
      <c r="DI163" s="476">
        <v>0</v>
      </c>
      <c r="DJ163" s="476">
        <v>0</v>
      </c>
      <c r="DK163" s="476">
        <v>3189</v>
      </c>
      <c r="DL163" s="476">
        <v>0</v>
      </c>
      <c r="DM163" s="476">
        <v>192368</v>
      </c>
      <c r="DN163" s="476">
        <v>595</v>
      </c>
      <c r="DO163" s="476">
        <v>0</v>
      </c>
      <c r="DP163" s="476">
        <v>0</v>
      </c>
      <c r="DQ163" s="476">
        <v>0</v>
      </c>
      <c r="DR163" s="476">
        <v>0</v>
      </c>
      <c r="DS163" s="476">
        <v>0</v>
      </c>
      <c r="DT163" s="476">
        <v>0</v>
      </c>
      <c r="DU163" s="476">
        <v>0</v>
      </c>
      <c r="DV163" s="476">
        <v>0</v>
      </c>
      <c r="DW163" s="476">
        <v>0</v>
      </c>
      <c r="DX163" s="476">
        <v>0</v>
      </c>
      <c r="DY163" s="476">
        <v>0</v>
      </c>
      <c r="DZ163" s="476">
        <v>0</v>
      </c>
      <c r="EA163" s="476">
        <v>0</v>
      </c>
      <c r="EB163" s="476">
        <v>0</v>
      </c>
      <c r="EC163" s="476">
        <v>0</v>
      </c>
      <c r="ED163" s="476">
        <v>0</v>
      </c>
      <c r="EE163" s="476">
        <v>0</v>
      </c>
      <c r="EF163" s="476">
        <v>0</v>
      </c>
      <c r="EG163" s="476">
        <v>0</v>
      </c>
      <c r="EH163" s="476">
        <v>173628</v>
      </c>
      <c r="EI163" s="476">
        <v>0</v>
      </c>
      <c r="EJ163" s="476">
        <v>0</v>
      </c>
      <c r="EK163" s="476">
        <v>7.9640000000000004</v>
      </c>
      <c r="EL163" s="476">
        <v>0</v>
      </c>
      <c r="EM163" s="476">
        <v>0.3</v>
      </c>
      <c r="EN163" s="476">
        <v>0.67900000000000005</v>
      </c>
      <c r="EO163" s="476">
        <v>0</v>
      </c>
      <c r="EP163" s="476">
        <v>0</v>
      </c>
      <c r="EQ163" s="476">
        <v>8.9429999999999996</v>
      </c>
      <c r="ER163" s="476">
        <v>0</v>
      </c>
      <c r="ES163" s="476">
        <v>28.187000000000001</v>
      </c>
      <c r="ET163" s="476">
        <v>0</v>
      </c>
      <c r="EU163" s="476">
        <v>0</v>
      </c>
      <c r="EV163" s="476">
        <v>0</v>
      </c>
      <c r="EW163" s="476">
        <v>0</v>
      </c>
      <c r="EX163" s="476">
        <v>0</v>
      </c>
      <c r="EY163" s="476">
        <v>0</v>
      </c>
      <c r="EZ163" s="476">
        <v>2386505</v>
      </c>
      <c r="FA163" s="476">
        <v>0</v>
      </c>
      <c r="FB163" s="476">
        <v>2516517</v>
      </c>
      <c r="FC163" s="476">
        <v>0</v>
      </c>
      <c r="FD163" s="476">
        <v>0</v>
      </c>
      <c r="FE163" s="476">
        <v>325010</v>
      </c>
      <c r="FF163" s="476">
        <v>54279</v>
      </c>
      <c r="FG163" s="476">
        <v>6.3017999999999991E-2</v>
      </c>
      <c r="FH163" s="476">
        <v>2.6953999999999999E-2</v>
      </c>
      <c r="FI163" s="476">
        <v>0</v>
      </c>
      <c r="FJ163" s="476">
        <v>0</v>
      </c>
      <c r="FK163" s="476">
        <v>408.637</v>
      </c>
      <c r="FL163" s="476">
        <v>2948967</v>
      </c>
      <c r="FM163" s="476">
        <v>0</v>
      </c>
      <c r="FN163" s="476">
        <v>0</v>
      </c>
      <c r="FO163" s="476">
        <v>0</v>
      </c>
      <c r="FP163" s="476">
        <v>0</v>
      </c>
      <c r="FQ163" s="476">
        <v>0</v>
      </c>
      <c r="FR163" s="476">
        <v>0</v>
      </c>
      <c r="FS163" s="476">
        <v>0</v>
      </c>
      <c r="FT163" s="476">
        <v>0</v>
      </c>
      <c r="FU163" s="476">
        <v>0</v>
      </c>
      <c r="FV163" s="476">
        <v>0</v>
      </c>
      <c r="FW163" s="476">
        <v>0</v>
      </c>
      <c r="FX163" s="476">
        <v>0</v>
      </c>
      <c r="FY163" s="476">
        <v>0</v>
      </c>
      <c r="FZ163" s="476">
        <v>0</v>
      </c>
      <c r="GA163" s="476">
        <v>0</v>
      </c>
      <c r="GB163" s="476">
        <v>0</v>
      </c>
      <c r="GC163" s="476">
        <v>0</v>
      </c>
      <c r="GD163" s="476">
        <v>0</v>
      </c>
      <c r="GE163" s="476">
        <v>0</v>
      </c>
      <c r="GF163" s="476">
        <v>0</v>
      </c>
      <c r="GG163" s="476">
        <v>0</v>
      </c>
      <c r="GH163" s="476">
        <v>0</v>
      </c>
      <c r="GI163" s="476">
        <v>0</v>
      </c>
      <c r="GJ163" s="476">
        <v>0</v>
      </c>
      <c r="GK163" s="476">
        <v>0</v>
      </c>
      <c r="GL163" s="476">
        <v>0</v>
      </c>
      <c r="GM163" s="476">
        <v>0</v>
      </c>
      <c r="GN163" s="476">
        <v>0</v>
      </c>
      <c r="GO163" s="476">
        <v>0</v>
      </c>
      <c r="GP163" s="476">
        <v>0</v>
      </c>
      <c r="GQ163" s="476">
        <v>2765164</v>
      </c>
      <c r="GR163" s="476">
        <v>0</v>
      </c>
      <c r="GS163" s="476">
        <v>0</v>
      </c>
      <c r="GT163" s="476">
        <v>0</v>
      </c>
      <c r="GU163" s="476">
        <v>0</v>
      </c>
      <c r="GV163" s="476">
        <v>0</v>
      </c>
      <c r="GW163" s="476">
        <v>0</v>
      </c>
      <c r="GX163" s="476">
        <v>0</v>
      </c>
      <c r="GY163" s="476">
        <v>0</v>
      </c>
      <c r="GZ163" s="476">
        <v>0</v>
      </c>
      <c r="HA163" s="476">
        <v>0</v>
      </c>
      <c r="HB163" s="476">
        <v>323396213</v>
      </c>
      <c r="HC163" s="476">
        <v>4.2206E-2</v>
      </c>
      <c r="HD163" s="476">
        <v>53161</v>
      </c>
      <c r="HE163" s="476">
        <v>0</v>
      </c>
      <c r="HF163" s="476">
        <v>337150</v>
      </c>
      <c r="HG163" s="476">
        <v>8624</v>
      </c>
      <c r="HH163" s="476">
        <v>17049</v>
      </c>
      <c r="HI163" s="476">
        <v>0</v>
      </c>
      <c r="HJ163" s="476">
        <v>3149</v>
      </c>
      <c r="HK163" s="476">
        <v>0</v>
      </c>
      <c r="HL163" s="476">
        <v>0</v>
      </c>
      <c r="HM163" s="476">
        <v>0</v>
      </c>
      <c r="HN163" s="476">
        <v>0</v>
      </c>
      <c r="HO163" s="476">
        <v>0</v>
      </c>
      <c r="HP163" s="476">
        <v>0</v>
      </c>
      <c r="HQ163" s="476">
        <v>0</v>
      </c>
      <c r="HR163" s="476">
        <v>0</v>
      </c>
      <c r="HS163" s="476">
        <v>2385875</v>
      </c>
      <c r="HT163" s="476">
        <v>54279</v>
      </c>
      <c r="HU163" s="476">
        <v>0</v>
      </c>
      <c r="HV163" s="476">
        <v>0</v>
      </c>
      <c r="HW163" s="476">
        <v>0</v>
      </c>
      <c r="HX163" s="476">
        <v>10</v>
      </c>
      <c r="HY163" s="476">
        <v>14</v>
      </c>
      <c r="HZ163" s="476">
        <v>2</v>
      </c>
      <c r="IA163" s="476">
        <v>12</v>
      </c>
      <c r="IB163" s="476">
        <v>6</v>
      </c>
      <c r="IC163" s="476">
        <v>44</v>
      </c>
      <c r="ID163" s="476">
        <v>0</v>
      </c>
      <c r="IE163" s="476">
        <v>0</v>
      </c>
      <c r="IF163" s="476">
        <v>0</v>
      </c>
      <c r="IG163" s="476">
        <v>14</v>
      </c>
      <c r="IH163" s="476">
        <v>27.677</v>
      </c>
      <c r="II163" s="476">
        <v>0</v>
      </c>
      <c r="IJ163" s="476">
        <v>33.193000000000005</v>
      </c>
      <c r="IK163" s="476">
        <v>0</v>
      </c>
      <c r="IL163" s="476">
        <v>0</v>
      </c>
      <c r="IM163" s="476">
        <v>0</v>
      </c>
      <c r="IN163" s="476">
        <v>0</v>
      </c>
      <c r="IO163" s="476">
        <v>0</v>
      </c>
      <c r="IP163" s="476">
        <v>0</v>
      </c>
      <c r="IQ163" s="476">
        <v>33.193000000000005</v>
      </c>
      <c r="IR163" s="476">
        <v>20446</v>
      </c>
      <c r="IS163" s="476">
        <v>0</v>
      </c>
      <c r="IT163" s="476">
        <v>0</v>
      </c>
      <c r="IU163" s="476">
        <v>0</v>
      </c>
      <c r="IV163" s="476">
        <v>0</v>
      </c>
      <c r="IW163" s="476">
        <v>6160</v>
      </c>
      <c r="IX163" s="476">
        <v>0</v>
      </c>
      <c r="IY163" s="476">
        <v>0</v>
      </c>
      <c r="IZ163" s="476">
        <v>0</v>
      </c>
      <c r="JA163" s="476">
        <v>0</v>
      </c>
      <c r="JB163" s="476">
        <v>0</v>
      </c>
      <c r="JC163" s="476">
        <v>0</v>
      </c>
      <c r="JD163" s="476">
        <v>0</v>
      </c>
      <c r="JE163" s="476">
        <v>0</v>
      </c>
      <c r="JF163" s="476">
        <v>0</v>
      </c>
      <c r="JG163" s="476">
        <v>0</v>
      </c>
      <c r="JH163" s="476">
        <v>0</v>
      </c>
      <c r="JI163" s="476">
        <v>0</v>
      </c>
      <c r="JJ163" s="476">
        <v>0</v>
      </c>
      <c r="JK163" s="476">
        <v>0</v>
      </c>
      <c r="JL163" s="476">
        <v>0</v>
      </c>
      <c r="JM163" s="476">
        <v>0</v>
      </c>
      <c r="JN163" s="476">
        <v>32469</v>
      </c>
      <c r="JO163" s="476">
        <v>0</v>
      </c>
      <c r="JP163" s="476">
        <v>0</v>
      </c>
      <c r="JQ163" s="476">
        <v>0</v>
      </c>
      <c r="JR163" s="476">
        <v>0</v>
      </c>
      <c r="JS163" s="476">
        <v>0</v>
      </c>
      <c r="JT163" s="476">
        <v>0</v>
      </c>
      <c r="JU163" s="476">
        <v>5605</v>
      </c>
      <c r="JV163" s="476">
        <v>0</v>
      </c>
      <c r="JW163" s="476">
        <v>0</v>
      </c>
      <c r="JX163" s="476">
        <v>0</v>
      </c>
      <c r="JY163" s="476">
        <v>0</v>
      </c>
      <c r="JZ163" s="476">
        <v>0</v>
      </c>
      <c r="KA163" s="476">
        <v>0</v>
      </c>
      <c r="KB163" s="476">
        <v>0</v>
      </c>
      <c r="KC163" s="476">
        <v>0</v>
      </c>
      <c r="KD163" s="476">
        <v>5605</v>
      </c>
      <c r="KE163" s="476">
        <v>7262</v>
      </c>
      <c r="KF163" s="476">
        <v>0</v>
      </c>
      <c r="KG163" s="476">
        <v>0</v>
      </c>
      <c r="KH163" s="476">
        <v>2765164</v>
      </c>
      <c r="KI163" s="476">
        <v>0</v>
      </c>
      <c r="KJ163" s="476">
        <v>6</v>
      </c>
      <c r="KK163" s="476">
        <v>8</v>
      </c>
      <c r="KL163" s="476">
        <v>3696</v>
      </c>
      <c r="KM163" s="476">
        <v>4928</v>
      </c>
      <c r="KN163" s="476">
        <v>0</v>
      </c>
    </row>
    <row r="164" spans="1:300" x14ac:dyDescent="0.25">
      <c r="A164" s="476">
        <v>40976</v>
      </c>
      <c r="B164" s="476">
        <v>220815</v>
      </c>
      <c r="C164" s="476">
        <v>9</v>
      </c>
      <c r="D164" s="476">
        <v>2024</v>
      </c>
      <c r="E164" s="476">
        <v>6160</v>
      </c>
      <c r="F164" s="476">
        <v>0</v>
      </c>
      <c r="G164" s="476">
        <v>606.56299999999999</v>
      </c>
      <c r="H164" s="476">
        <v>594.16899999999998</v>
      </c>
      <c r="I164" s="476">
        <v>594.16899999999998</v>
      </c>
      <c r="J164" s="476">
        <v>606.56299999999999</v>
      </c>
      <c r="K164" s="476">
        <v>0</v>
      </c>
      <c r="L164" s="476">
        <v>6160</v>
      </c>
      <c r="M164" s="476">
        <v>0</v>
      </c>
      <c r="N164" s="476">
        <v>0</v>
      </c>
      <c r="O164" s="476">
        <v>0</v>
      </c>
      <c r="P164" s="476">
        <v>608.95500000000004</v>
      </c>
      <c r="Q164" s="476">
        <v>0</v>
      </c>
      <c r="R164" s="476">
        <v>252646</v>
      </c>
      <c r="S164" s="476">
        <v>414.88400000000001</v>
      </c>
      <c r="T164" s="476">
        <v>0</v>
      </c>
      <c r="U164" s="476">
        <v>0</v>
      </c>
      <c r="V164" s="476">
        <v>78.063000000000002</v>
      </c>
      <c r="W164" s="476">
        <v>48086</v>
      </c>
      <c r="X164" s="476">
        <v>48086</v>
      </c>
      <c r="Y164" s="476">
        <v>0</v>
      </c>
      <c r="Z164" s="476">
        <v>0</v>
      </c>
      <c r="AA164" s="476">
        <v>0</v>
      </c>
      <c r="AB164" s="476">
        <v>0</v>
      </c>
      <c r="AC164" s="476">
        <v>0</v>
      </c>
      <c r="AD164" s="476" t="s">
        <v>314</v>
      </c>
      <c r="AE164" s="476">
        <v>0</v>
      </c>
      <c r="AF164" s="476">
        <v>0</v>
      </c>
      <c r="AG164" s="476">
        <v>0</v>
      </c>
      <c r="AH164" s="476">
        <v>0</v>
      </c>
      <c r="AI164" s="476">
        <v>0</v>
      </c>
      <c r="AJ164" s="476">
        <v>6160</v>
      </c>
      <c r="AK164" s="476" t="s">
        <v>651</v>
      </c>
      <c r="AL164" s="476" t="s">
        <v>361</v>
      </c>
      <c r="AM164" s="476">
        <v>0</v>
      </c>
      <c r="AN164" s="476">
        <v>0</v>
      </c>
      <c r="AO164" s="476">
        <v>0</v>
      </c>
      <c r="AP164" s="476">
        <v>0</v>
      </c>
      <c r="AQ164" s="476">
        <v>0</v>
      </c>
      <c r="AR164" s="476">
        <v>0</v>
      </c>
      <c r="AS164" s="476">
        <v>0</v>
      </c>
      <c r="AT164" s="476">
        <v>0</v>
      </c>
      <c r="AU164" s="476">
        <v>0</v>
      </c>
      <c r="AV164" s="476">
        <v>0</v>
      </c>
      <c r="AW164" s="476">
        <v>6332512</v>
      </c>
      <c r="AX164" s="476">
        <v>6231322</v>
      </c>
      <c r="AY164" s="476">
        <v>0</v>
      </c>
      <c r="AZ164" s="476">
        <v>252646</v>
      </c>
      <c r="BA164" s="476">
        <v>0</v>
      </c>
      <c r="BB164" s="476">
        <v>12788</v>
      </c>
      <c r="BC164" s="476">
        <v>12706</v>
      </c>
      <c r="BD164" s="476">
        <v>30</v>
      </c>
      <c r="BE164" s="476">
        <v>82</v>
      </c>
      <c r="BF164" s="476">
        <v>5634892</v>
      </c>
      <c r="BG164" s="476">
        <v>0</v>
      </c>
      <c r="BH164" s="476">
        <v>0</v>
      </c>
      <c r="BI164" s="476">
        <v>0</v>
      </c>
      <c r="BJ164" s="476">
        <v>12</v>
      </c>
      <c r="BK164" s="476">
        <v>0</v>
      </c>
      <c r="BL164" s="476">
        <v>0</v>
      </c>
      <c r="BM164" s="476">
        <v>0</v>
      </c>
      <c r="BN164" s="476">
        <v>0</v>
      </c>
      <c r="BO164" s="476">
        <v>0</v>
      </c>
      <c r="BP164" s="476">
        <v>0</v>
      </c>
      <c r="BQ164" s="476">
        <v>678</v>
      </c>
      <c r="BR164" s="476">
        <v>0</v>
      </c>
      <c r="BS164" s="476">
        <v>0</v>
      </c>
      <c r="BT164" s="476">
        <v>0</v>
      </c>
      <c r="BU164" s="476">
        <v>0</v>
      </c>
      <c r="BV164" s="476">
        <v>0</v>
      </c>
      <c r="BW164" s="476">
        <v>0</v>
      </c>
      <c r="BX164" s="476">
        <v>0</v>
      </c>
      <c r="BY164" s="476">
        <v>0</v>
      </c>
      <c r="BZ164" s="476">
        <v>0</v>
      </c>
      <c r="CA164" s="476">
        <v>0</v>
      </c>
      <c r="CB164" s="476">
        <v>0</v>
      </c>
      <c r="CC164" s="476">
        <v>0</v>
      </c>
      <c r="CD164" s="476">
        <v>0</v>
      </c>
      <c r="CE164" s="476">
        <v>0</v>
      </c>
      <c r="CF164" s="476">
        <v>0</v>
      </c>
      <c r="CG164" s="476">
        <v>0</v>
      </c>
      <c r="CH164" s="476">
        <v>102403</v>
      </c>
      <c r="CI164" s="476">
        <v>0</v>
      </c>
      <c r="CJ164" s="476">
        <v>4</v>
      </c>
      <c r="CK164" s="476">
        <v>0</v>
      </c>
      <c r="CL164" s="476">
        <v>0</v>
      </c>
      <c r="CM164" s="476">
        <v>0</v>
      </c>
      <c r="CN164" s="476">
        <v>0</v>
      </c>
      <c r="CO164" s="476">
        <v>1</v>
      </c>
      <c r="CP164" s="476">
        <v>0</v>
      </c>
      <c r="CQ164" s="476">
        <v>0</v>
      </c>
      <c r="CR164" s="476">
        <v>606.56299999999999</v>
      </c>
      <c r="CS164" s="476">
        <v>0</v>
      </c>
      <c r="CT164" s="476">
        <v>0</v>
      </c>
      <c r="CU164" s="476">
        <v>0</v>
      </c>
      <c r="CV164" s="476">
        <v>0</v>
      </c>
      <c r="CW164" s="476">
        <v>0</v>
      </c>
      <c r="CX164" s="476">
        <v>0</v>
      </c>
      <c r="CY164" s="476">
        <v>0</v>
      </c>
      <c r="CZ164" s="476">
        <v>0</v>
      </c>
      <c r="DA164" s="476">
        <v>0</v>
      </c>
      <c r="DB164" s="476">
        <v>3598290</v>
      </c>
      <c r="DC164" s="476">
        <v>0</v>
      </c>
      <c r="DD164" s="476">
        <v>0</v>
      </c>
      <c r="DE164" s="476">
        <v>781763</v>
      </c>
      <c r="DF164" s="476">
        <v>781763</v>
      </c>
      <c r="DG164" s="476">
        <v>126.91300000000001</v>
      </c>
      <c r="DH164" s="476">
        <v>0</v>
      </c>
      <c r="DI164" s="476">
        <v>0</v>
      </c>
      <c r="DJ164" s="476">
        <v>0</v>
      </c>
      <c r="DK164" s="476">
        <v>2478</v>
      </c>
      <c r="DL164" s="476">
        <v>0</v>
      </c>
      <c r="DM164" s="476">
        <v>390582</v>
      </c>
      <c r="DN164" s="476">
        <v>1131</v>
      </c>
      <c r="DO164" s="476">
        <v>0</v>
      </c>
      <c r="DP164" s="476">
        <v>0</v>
      </c>
      <c r="DQ164" s="476">
        <v>0</v>
      </c>
      <c r="DR164" s="476">
        <v>0</v>
      </c>
      <c r="DS164" s="476">
        <v>0</v>
      </c>
      <c r="DT164" s="476">
        <v>0</v>
      </c>
      <c r="DU164" s="476">
        <v>0</v>
      </c>
      <c r="DV164" s="476">
        <v>0</v>
      </c>
      <c r="DW164" s="476">
        <v>0</v>
      </c>
      <c r="DX164" s="476">
        <v>0</v>
      </c>
      <c r="DY164" s="476">
        <v>0</v>
      </c>
      <c r="DZ164" s="476">
        <v>0</v>
      </c>
      <c r="EA164" s="476">
        <v>0</v>
      </c>
      <c r="EB164" s="476">
        <v>0</v>
      </c>
      <c r="EC164" s="476">
        <v>11.977</v>
      </c>
      <c r="ED164" s="476">
        <v>84843</v>
      </c>
      <c r="EE164" s="476">
        <v>0</v>
      </c>
      <c r="EF164" s="476">
        <v>0</v>
      </c>
      <c r="EG164" s="476">
        <v>0</v>
      </c>
      <c r="EH164" s="476">
        <v>245162</v>
      </c>
      <c r="EI164" s="476">
        <v>0</v>
      </c>
      <c r="EJ164" s="476">
        <v>0</v>
      </c>
      <c r="EK164" s="476">
        <v>11.085000000000001</v>
      </c>
      <c r="EL164" s="476">
        <v>0</v>
      </c>
      <c r="EM164" s="476">
        <v>0</v>
      </c>
      <c r="EN164" s="476">
        <v>1.3090000000000002</v>
      </c>
      <c r="EO164" s="476">
        <v>0</v>
      </c>
      <c r="EP164" s="476">
        <v>0</v>
      </c>
      <c r="EQ164" s="476">
        <v>12.394</v>
      </c>
      <c r="ER164" s="476">
        <v>0</v>
      </c>
      <c r="ES164" s="476">
        <v>39.800000000000004</v>
      </c>
      <c r="ET164" s="476">
        <v>0</v>
      </c>
      <c r="EU164" s="476">
        <v>0</v>
      </c>
      <c r="EV164" s="476">
        <v>0</v>
      </c>
      <c r="EW164" s="476">
        <v>0</v>
      </c>
      <c r="EX164" s="476">
        <v>0</v>
      </c>
      <c r="EY164" s="476">
        <v>0</v>
      </c>
      <c r="EZ164" s="476">
        <v>5382246</v>
      </c>
      <c r="FA164" s="476">
        <v>0</v>
      </c>
      <c r="FB164" s="476">
        <v>5633679</v>
      </c>
      <c r="FC164" s="476">
        <v>0</v>
      </c>
      <c r="FD164" s="476">
        <v>0</v>
      </c>
      <c r="FE164" s="476">
        <v>727567</v>
      </c>
      <c r="FF164" s="476">
        <v>121509</v>
      </c>
      <c r="FG164" s="476">
        <v>6.3017999999999991E-2</v>
      </c>
      <c r="FH164" s="476">
        <v>2.6953999999999999E-2</v>
      </c>
      <c r="FI164" s="476">
        <v>0</v>
      </c>
      <c r="FJ164" s="476">
        <v>0</v>
      </c>
      <c r="FK164" s="476">
        <v>914.77600000000007</v>
      </c>
      <c r="FL164" s="476">
        <v>6585158</v>
      </c>
      <c r="FM164" s="476">
        <v>0</v>
      </c>
      <c r="FN164" s="476">
        <v>0</v>
      </c>
      <c r="FO164" s="476">
        <v>0</v>
      </c>
      <c r="FP164" s="476">
        <v>0</v>
      </c>
      <c r="FQ164" s="476">
        <v>0</v>
      </c>
      <c r="FR164" s="476">
        <v>0</v>
      </c>
      <c r="FS164" s="476">
        <v>0</v>
      </c>
      <c r="FT164" s="476">
        <v>0</v>
      </c>
      <c r="FU164" s="476">
        <v>0</v>
      </c>
      <c r="FV164" s="476">
        <v>0</v>
      </c>
      <c r="FW164" s="476">
        <v>0</v>
      </c>
      <c r="FX164" s="476">
        <v>0</v>
      </c>
      <c r="FY164" s="476">
        <v>0</v>
      </c>
      <c r="FZ164" s="476">
        <v>0</v>
      </c>
      <c r="GA164" s="476">
        <v>0</v>
      </c>
      <c r="GB164" s="476">
        <v>0</v>
      </c>
      <c r="GC164" s="476">
        <v>0</v>
      </c>
      <c r="GD164" s="476">
        <v>0</v>
      </c>
      <c r="GE164" s="476">
        <v>0</v>
      </c>
      <c r="GF164" s="476">
        <v>0</v>
      </c>
      <c r="GG164" s="476">
        <v>0</v>
      </c>
      <c r="GH164" s="476">
        <v>0</v>
      </c>
      <c r="GI164" s="476">
        <v>0</v>
      </c>
      <c r="GJ164" s="476">
        <v>0</v>
      </c>
      <c r="GK164" s="476">
        <v>0</v>
      </c>
      <c r="GL164" s="476">
        <v>0</v>
      </c>
      <c r="GM164" s="476">
        <v>0</v>
      </c>
      <c r="GN164" s="476">
        <v>0</v>
      </c>
      <c r="GO164" s="476">
        <v>0</v>
      </c>
      <c r="GP164" s="476">
        <v>0</v>
      </c>
      <c r="GQ164" s="476">
        <v>6230109</v>
      </c>
      <c r="GR164" s="476">
        <v>0</v>
      </c>
      <c r="GS164" s="476">
        <v>0</v>
      </c>
      <c r="GT164" s="476">
        <v>0</v>
      </c>
      <c r="GU164" s="476">
        <v>0</v>
      </c>
      <c r="GV164" s="476">
        <v>0</v>
      </c>
      <c r="GW164" s="476">
        <v>0</v>
      </c>
      <c r="GX164" s="476">
        <v>0</v>
      </c>
      <c r="GY164" s="476">
        <v>0</v>
      </c>
      <c r="GZ164" s="476">
        <v>0</v>
      </c>
      <c r="HA164" s="476">
        <v>0</v>
      </c>
      <c r="HB164" s="476">
        <v>323396213</v>
      </c>
      <c r="HC164" s="476">
        <v>4.2206E-2</v>
      </c>
      <c r="HD164" s="476">
        <v>102403</v>
      </c>
      <c r="HE164" s="476">
        <v>0</v>
      </c>
      <c r="HF164" s="476">
        <v>654774</v>
      </c>
      <c r="HG164" s="476">
        <v>9240</v>
      </c>
      <c r="HH164" s="476">
        <v>132172</v>
      </c>
      <c r="HI164" s="476">
        <v>0</v>
      </c>
      <c r="HJ164" s="476">
        <v>6066</v>
      </c>
      <c r="HK164" s="476">
        <v>0</v>
      </c>
      <c r="HL164" s="476">
        <v>0</v>
      </c>
      <c r="HM164" s="476">
        <v>0</v>
      </c>
      <c r="HN164" s="476">
        <v>0</v>
      </c>
      <c r="HO164" s="476">
        <v>0</v>
      </c>
      <c r="HP164" s="476">
        <v>0</v>
      </c>
      <c r="HQ164" s="476">
        <v>0</v>
      </c>
      <c r="HR164" s="476">
        <v>0</v>
      </c>
      <c r="HS164" s="476">
        <v>5381033</v>
      </c>
      <c r="HT164" s="476">
        <v>121509</v>
      </c>
      <c r="HU164" s="476">
        <v>0</v>
      </c>
      <c r="HV164" s="476">
        <v>0</v>
      </c>
      <c r="HW164" s="476">
        <v>0</v>
      </c>
      <c r="HX164" s="476">
        <v>85</v>
      </c>
      <c r="HY164" s="476">
        <v>157</v>
      </c>
      <c r="HZ164" s="476">
        <v>66</v>
      </c>
      <c r="IA164" s="476">
        <v>80</v>
      </c>
      <c r="IB164" s="476">
        <v>120</v>
      </c>
      <c r="IC164" s="476">
        <v>508</v>
      </c>
      <c r="ID164" s="476">
        <v>0</v>
      </c>
      <c r="IE164" s="476">
        <v>0</v>
      </c>
      <c r="IF164" s="476">
        <v>0</v>
      </c>
      <c r="IG164" s="476">
        <v>15</v>
      </c>
      <c r="IH164" s="476">
        <v>214.57</v>
      </c>
      <c r="II164" s="476">
        <v>0</v>
      </c>
      <c r="IJ164" s="476">
        <v>78.063000000000002</v>
      </c>
      <c r="IK164" s="476">
        <v>0</v>
      </c>
      <c r="IL164" s="476">
        <v>0</v>
      </c>
      <c r="IM164" s="476">
        <v>0</v>
      </c>
      <c r="IN164" s="476">
        <v>0</v>
      </c>
      <c r="IO164" s="476">
        <v>0</v>
      </c>
      <c r="IP164" s="476">
        <v>0</v>
      </c>
      <c r="IQ164" s="476">
        <v>78.063000000000002</v>
      </c>
      <c r="IR164" s="476">
        <v>48086</v>
      </c>
      <c r="IS164" s="476">
        <v>0</v>
      </c>
      <c r="IT164" s="476">
        <v>0</v>
      </c>
      <c r="IU164" s="476">
        <v>0</v>
      </c>
      <c r="IV164" s="476">
        <v>0</v>
      </c>
      <c r="IW164" s="476">
        <v>6160</v>
      </c>
      <c r="IX164" s="476">
        <v>0</v>
      </c>
      <c r="IY164" s="476">
        <v>0</v>
      </c>
      <c r="IZ164" s="476">
        <v>0</v>
      </c>
      <c r="JA164" s="476">
        <v>0</v>
      </c>
      <c r="JB164" s="476">
        <v>0</v>
      </c>
      <c r="JC164" s="476">
        <v>0</v>
      </c>
      <c r="JD164" s="476">
        <v>0</v>
      </c>
      <c r="JE164" s="476">
        <v>0</v>
      </c>
      <c r="JF164" s="476">
        <v>0</v>
      </c>
      <c r="JG164" s="476">
        <v>0</v>
      </c>
      <c r="JH164" s="476">
        <v>0</v>
      </c>
      <c r="JI164" s="476">
        <v>0</v>
      </c>
      <c r="JJ164" s="476">
        <v>0</v>
      </c>
      <c r="JK164" s="476">
        <v>0</v>
      </c>
      <c r="JL164" s="476">
        <v>0</v>
      </c>
      <c r="JM164" s="476">
        <v>0</v>
      </c>
      <c r="JN164" s="476">
        <v>32469</v>
      </c>
      <c r="JO164" s="476">
        <v>0</v>
      </c>
      <c r="JP164" s="476">
        <v>0</v>
      </c>
      <c r="JQ164" s="476">
        <v>0</v>
      </c>
      <c r="JR164" s="476">
        <v>0</v>
      </c>
      <c r="JS164" s="476">
        <v>0</v>
      </c>
      <c r="JT164" s="476">
        <v>0</v>
      </c>
      <c r="JU164" s="476">
        <v>12936</v>
      </c>
      <c r="JV164" s="476">
        <v>0</v>
      </c>
      <c r="JW164" s="476">
        <v>0</v>
      </c>
      <c r="JX164" s="476">
        <v>0</v>
      </c>
      <c r="JY164" s="476">
        <v>0</v>
      </c>
      <c r="JZ164" s="476">
        <v>0</v>
      </c>
      <c r="KA164" s="476">
        <v>0</v>
      </c>
      <c r="KB164" s="476">
        <v>0</v>
      </c>
      <c r="KC164" s="476">
        <v>0</v>
      </c>
      <c r="KD164" s="476">
        <v>12936</v>
      </c>
      <c r="KE164" s="476">
        <v>7262</v>
      </c>
      <c r="KF164" s="476">
        <v>0</v>
      </c>
      <c r="KG164" s="476">
        <v>0</v>
      </c>
      <c r="KH164" s="476">
        <v>6230109</v>
      </c>
      <c r="KI164" s="476">
        <v>0</v>
      </c>
      <c r="KJ164" s="476">
        <v>5</v>
      </c>
      <c r="KK164" s="476">
        <v>10</v>
      </c>
      <c r="KL164" s="476">
        <v>3080</v>
      </c>
      <c r="KM164" s="476">
        <v>6160</v>
      </c>
      <c r="KN164" s="476">
        <v>0</v>
      </c>
    </row>
    <row r="165" spans="1:300" x14ac:dyDescent="0.25">
      <c r="A165" s="476">
        <v>40976</v>
      </c>
      <c r="B165" s="476">
        <v>220817</v>
      </c>
      <c r="C165" s="476">
        <v>9</v>
      </c>
      <c r="D165" s="476">
        <v>2024</v>
      </c>
      <c r="E165" s="476">
        <v>6160</v>
      </c>
      <c r="F165" s="476">
        <v>0</v>
      </c>
      <c r="G165" s="476">
        <v>2577.4320000000002</v>
      </c>
      <c r="H165" s="476">
        <v>2376.9900000000002</v>
      </c>
      <c r="I165" s="476">
        <v>2376.9900000000002</v>
      </c>
      <c r="J165" s="476">
        <v>2577.4320000000002</v>
      </c>
      <c r="K165" s="476">
        <v>0</v>
      </c>
      <c r="L165" s="476">
        <v>6160</v>
      </c>
      <c r="M165" s="476">
        <v>0</v>
      </c>
      <c r="N165" s="476">
        <v>0</v>
      </c>
      <c r="O165" s="476">
        <v>0</v>
      </c>
      <c r="P165" s="476">
        <v>2581.6020000000003</v>
      </c>
      <c r="Q165" s="476">
        <v>0</v>
      </c>
      <c r="R165" s="476">
        <v>1071065</v>
      </c>
      <c r="S165" s="476">
        <v>414.88400000000001</v>
      </c>
      <c r="T165" s="476">
        <v>0</v>
      </c>
      <c r="U165" s="476">
        <v>0</v>
      </c>
      <c r="V165" s="476">
        <v>330.327</v>
      </c>
      <c r="W165" s="476">
        <v>203477</v>
      </c>
      <c r="X165" s="476">
        <v>203477</v>
      </c>
      <c r="Y165" s="476">
        <v>0</v>
      </c>
      <c r="Z165" s="476">
        <v>0</v>
      </c>
      <c r="AA165" s="476">
        <v>0</v>
      </c>
      <c r="AB165" s="476">
        <v>0</v>
      </c>
      <c r="AC165" s="476">
        <v>0</v>
      </c>
      <c r="AD165" s="476" t="s">
        <v>314</v>
      </c>
      <c r="AE165" s="476">
        <v>0</v>
      </c>
      <c r="AF165" s="476">
        <v>0</v>
      </c>
      <c r="AG165" s="476">
        <v>0</v>
      </c>
      <c r="AH165" s="476">
        <v>0</v>
      </c>
      <c r="AI165" s="476">
        <v>0</v>
      </c>
      <c r="AJ165" s="476">
        <v>6160</v>
      </c>
      <c r="AK165" s="476" t="s">
        <v>651</v>
      </c>
      <c r="AL165" s="476" t="s">
        <v>362</v>
      </c>
      <c r="AM165" s="476">
        <v>0</v>
      </c>
      <c r="AN165" s="476">
        <v>0</v>
      </c>
      <c r="AO165" s="476">
        <v>0</v>
      </c>
      <c r="AP165" s="476">
        <v>0</v>
      </c>
      <c r="AQ165" s="476">
        <v>0</v>
      </c>
      <c r="AR165" s="476">
        <v>0</v>
      </c>
      <c r="AS165" s="476">
        <v>0</v>
      </c>
      <c r="AT165" s="476">
        <v>0</v>
      </c>
      <c r="AU165" s="476">
        <v>0</v>
      </c>
      <c r="AV165" s="476">
        <v>0</v>
      </c>
      <c r="AW165" s="476">
        <v>26222526</v>
      </c>
      <c r="AX165" s="476">
        <v>25791379</v>
      </c>
      <c r="AY165" s="476">
        <v>0</v>
      </c>
      <c r="AZ165" s="476">
        <v>1071065</v>
      </c>
      <c r="BA165" s="476">
        <v>0</v>
      </c>
      <c r="BB165" s="476">
        <v>54931</v>
      </c>
      <c r="BC165" s="476">
        <v>54581</v>
      </c>
      <c r="BD165" s="476">
        <v>128.87200000000001</v>
      </c>
      <c r="BE165" s="476">
        <v>350</v>
      </c>
      <c r="BF165" s="476">
        <v>23331832</v>
      </c>
      <c r="BG165" s="476">
        <v>0</v>
      </c>
      <c r="BH165" s="476">
        <v>0</v>
      </c>
      <c r="BI165" s="476">
        <v>0</v>
      </c>
      <c r="BJ165" s="476">
        <v>12</v>
      </c>
      <c r="BK165" s="476">
        <v>0</v>
      </c>
      <c r="BL165" s="476">
        <v>0</v>
      </c>
      <c r="BM165" s="476">
        <v>0</v>
      </c>
      <c r="BN165" s="476">
        <v>0</v>
      </c>
      <c r="BO165" s="476">
        <v>0</v>
      </c>
      <c r="BP165" s="476">
        <v>0</v>
      </c>
      <c r="BQ165" s="476">
        <v>404</v>
      </c>
      <c r="BR165" s="476">
        <v>0</v>
      </c>
      <c r="BS165" s="476">
        <v>0</v>
      </c>
      <c r="BT165" s="476">
        <v>0</v>
      </c>
      <c r="BU165" s="476">
        <v>0</v>
      </c>
      <c r="BV165" s="476">
        <v>0</v>
      </c>
      <c r="BW165" s="476">
        <v>0</v>
      </c>
      <c r="BX165" s="476">
        <v>0</v>
      </c>
      <c r="BY165" s="476">
        <v>0</v>
      </c>
      <c r="BZ165" s="476">
        <v>0</v>
      </c>
      <c r="CA165" s="476">
        <v>0</v>
      </c>
      <c r="CB165" s="476">
        <v>0</v>
      </c>
      <c r="CC165" s="476">
        <v>0</v>
      </c>
      <c r="CD165" s="476">
        <v>0</v>
      </c>
      <c r="CE165" s="476">
        <v>0</v>
      </c>
      <c r="CF165" s="476">
        <v>0</v>
      </c>
      <c r="CG165" s="476">
        <v>0</v>
      </c>
      <c r="CH165" s="476">
        <v>435136</v>
      </c>
      <c r="CI165" s="476">
        <v>0</v>
      </c>
      <c r="CJ165" s="476">
        <v>4</v>
      </c>
      <c r="CK165" s="476">
        <v>0</v>
      </c>
      <c r="CL165" s="476">
        <v>0</v>
      </c>
      <c r="CM165" s="476">
        <v>0</v>
      </c>
      <c r="CN165" s="476">
        <v>0</v>
      </c>
      <c r="CO165" s="476">
        <v>1</v>
      </c>
      <c r="CP165" s="476">
        <v>0</v>
      </c>
      <c r="CQ165" s="476">
        <v>0</v>
      </c>
      <c r="CR165" s="476">
        <v>2577.4320000000002</v>
      </c>
      <c r="CS165" s="476">
        <v>0</v>
      </c>
      <c r="CT165" s="476">
        <v>0</v>
      </c>
      <c r="CU165" s="476">
        <v>0</v>
      </c>
      <c r="CV165" s="476">
        <v>0</v>
      </c>
      <c r="CW165" s="476">
        <v>0</v>
      </c>
      <c r="CX165" s="476">
        <v>0</v>
      </c>
      <c r="CY165" s="476">
        <v>0</v>
      </c>
      <c r="CZ165" s="476">
        <v>0</v>
      </c>
      <c r="DA165" s="476">
        <v>0</v>
      </c>
      <c r="DB165" s="476">
        <v>14390505</v>
      </c>
      <c r="DC165" s="476">
        <v>0</v>
      </c>
      <c r="DD165" s="476">
        <v>0</v>
      </c>
      <c r="DE165" s="476">
        <v>2599846</v>
      </c>
      <c r="DF165" s="476">
        <v>2599846</v>
      </c>
      <c r="DG165" s="476">
        <v>422.06300000000005</v>
      </c>
      <c r="DH165" s="476">
        <v>0</v>
      </c>
      <c r="DI165" s="476">
        <v>0</v>
      </c>
      <c r="DJ165" s="476">
        <v>0</v>
      </c>
      <c r="DK165" s="476">
        <v>0</v>
      </c>
      <c r="DL165" s="476">
        <v>0</v>
      </c>
      <c r="DM165" s="476">
        <v>1309710</v>
      </c>
      <c r="DN165" s="476">
        <v>3638</v>
      </c>
      <c r="DO165" s="476">
        <v>0</v>
      </c>
      <c r="DP165" s="476">
        <v>0</v>
      </c>
      <c r="DQ165" s="476">
        <v>0</v>
      </c>
      <c r="DR165" s="476">
        <v>0</v>
      </c>
      <c r="DS165" s="476">
        <v>0</v>
      </c>
      <c r="DT165" s="476">
        <v>0</v>
      </c>
      <c r="DU165" s="476">
        <v>0</v>
      </c>
      <c r="DV165" s="476">
        <v>0</v>
      </c>
      <c r="DW165" s="476">
        <v>0</v>
      </c>
      <c r="DX165" s="476">
        <v>0</v>
      </c>
      <c r="DY165" s="476">
        <v>0</v>
      </c>
      <c r="DZ165" s="476">
        <v>0</v>
      </c>
      <c r="EA165" s="476">
        <v>0</v>
      </c>
      <c r="EB165" s="476">
        <v>0</v>
      </c>
      <c r="EC165" s="476">
        <v>42.178000000000004</v>
      </c>
      <c r="ED165" s="476">
        <v>298782</v>
      </c>
      <c r="EE165" s="476">
        <v>0</v>
      </c>
      <c r="EF165" s="476">
        <v>0</v>
      </c>
      <c r="EG165" s="476">
        <v>0</v>
      </c>
      <c r="EH165" s="476">
        <v>763145</v>
      </c>
      <c r="EI165" s="476">
        <v>0</v>
      </c>
      <c r="EJ165" s="476">
        <v>0</v>
      </c>
      <c r="EK165" s="476">
        <v>30.783000000000001</v>
      </c>
      <c r="EL165" s="476">
        <v>0.06</v>
      </c>
      <c r="EM165" s="476">
        <v>5.1520000000000001</v>
      </c>
      <c r="EN165" s="476">
        <v>3.2170000000000001</v>
      </c>
      <c r="EO165" s="476">
        <v>0</v>
      </c>
      <c r="EP165" s="476">
        <v>0</v>
      </c>
      <c r="EQ165" s="476">
        <v>39.152000000000001</v>
      </c>
      <c r="ER165" s="476">
        <v>0</v>
      </c>
      <c r="ES165" s="476">
        <v>123.89</v>
      </c>
      <c r="ET165" s="476">
        <v>0</v>
      </c>
      <c r="EU165" s="476">
        <v>0</v>
      </c>
      <c r="EV165" s="476">
        <v>0</v>
      </c>
      <c r="EW165" s="476">
        <v>0</v>
      </c>
      <c r="EX165" s="476">
        <v>0</v>
      </c>
      <c r="EY165" s="476">
        <v>0</v>
      </c>
      <c r="EZ165" s="476">
        <v>22275694</v>
      </c>
      <c r="FA165" s="476">
        <v>0</v>
      </c>
      <c r="FB165" s="476">
        <v>23342770</v>
      </c>
      <c r="FC165" s="476">
        <v>0</v>
      </c>
      <c r="FD165" s="476">
        <v>0</v>
      </c>
      <c r="FE165" s="476">
        <v>3012565</v>
      </c>
      <c r="FF165" s="476">
        <v>503120</v>
      </c>
      <c r="FG165" s="476">
        <v>6.3017999999999991E-2</v>
      </c>
      <c r="FH165" s="476">
        <v>2.6953999999999999E-2</v>
      </c>
      <c r="FI165" s="476">
        <v>0</v>
      </c>
      <c r="FJ165" s="476">
        <v>0</v>
      </c>
      <c r="FK165" s="476">
        <v>3787.721</v>
      </c>
      <c r="FL165" s="476">
        <v>27293591</v>
      </c>
      <c r="FM165" s="476">
        <v>0</v>
      </c>
      <c r="FN165" s="476">
        <v>0</v>
      </c>
      <c r="FO165" s="476">
        <v>2650</v>
      </c>
      <c r="FP165" s="476">
        <v>0</v>
      </c>
      <c r="FQ165" s="476">
        <v>2650</v>
      </c>
      <c r="FR165" s="476">
        <v>2650</v>
      </c>
      <c r="FS165" s="476">
        <v>0</v>
      </c>
      <c r="FT165" s="476">
        <v>0</v>
      </c>
      <c r="FU165" s="476">
        <v>0</v>
      </c>
      <c r="FV165" s="476">
        <v>0</v>
      </c>
      <c r="FW165" s="476">
        <v>0</v>
      </c>
      <c r="FX165" s="476">
        <v>0</v>
      </c>
      <c r="FY165" s="476">
        <v>0</v>
      </c>
      <c r="FZ165" s="476">
        <v>0</v>
      </c>
      <c r="GA165" s="476">
        <v>0</v>
      </c>
      <c r="GB165" s="476">
        <v>1557478</v>
      </c>
      <c r="GC165" s="476">
        <v>1557478</v>
      </c>
      <c r="GD165" s="476">
        <v>161.29</v>
      </c>
      <c r="GE165" s="476">
        <v>0</v>
      </c>
      <c r="GF165" s="476">
        <v>0</v>
      </c>
      <c r="GG165" s="476">
        <v>0</v>
      </c>
      <c r="GH165" s="476">
        <v>0</v>
      </c>
      <c r="GI165" s="476">
        <v>0</v>
      </c>
      <c r="GJ165" s="476">
        <v>0</v>
      </c>
      <c r="GK165" s="476">
        <v>0</v>
      </c>
      <c r="GL165" s="476">
        <v>0</v>
      </c>
      <c r="GM165" s="476">
        <v>0</v>
      </c>
      <c r="GN165" s="476">
        <v>0</v>
      </c>
      <c r="GO165" s="476">
        <v>0</v>
      </c>
      <c r="GP165" s="476">
        <v>0</v>
      </c>
      <c r="GQ165" s="476">
        <v>25787390</v>
      </c>
      <c r="GR165" s="476">
        <v>0</v>
      </c>
      <c r="GS165" s="476">
        <v>0</v>
      </c>
      <c r="GT165" s="476">
        <v>0</v>
      </c>
      <c r="GU165" s="476">
        <v>0</v>
      </c>
      <c r="GV165" s="476">
        <v>0</v>
      </c>
      <c r="GW165" s="476">
        <v>0</v>
      </c>
      <c r="GX165" s="476">
        <v>0</v>
      </c>
      <c r="GY165" s="476">
        <v>0</v>
      </c>
      <c r="GZ165" s="476">
        <v>0</v>
      </c>
      <c r="HA165" s="476">
        <v>0</v>
      </c>
      <c r="HB165" s="476">
        <v>323396213</v>
      </c>
      <c r="HC165" s="476">
        <v>4.2206E-2</v>
      </c>
      <c r="HD165" s="476">
        <v>435136</v>
      </c>
      <c r="HE165" s="476">
        <v>0</v>
      </c>
      <c r="HF165" s="476">
        <v>2619443</v>
      </c>
      <c r="HG165" s="476">
        <v>64679</v>
      </c>
      <c r="HH165" s="476">
        <v>419472</v>
      </c>
      <c r="HI165" s="476">
        <v>0</v>
      </c>
      <c r="HJ165" s="476">
        <v>25774</v>
      </c>
      <c r="HK165" s="476">
        <v>7409</v>
      </c>
      <c r="HL165" s="476">
        <v>4868</v>
      </c>
      <c r="HM165" s="476">
        <v>5000</v>
      </c>
      <c r="HN165" s="476">
        <v>77879</v>
      </c>
      <c r="HO165" s="476">
        <v>0</v>
      </c>
      <c r="HP165" s="476">
        <v>0</v>
      </c>
      <c r="HQ165" s="476">
        <v>0</v>
      </c>
      <c r="HR165" s="476">
        <v>0</v>
      </c>
      <c r="HS165" s="476">
        <v>22271705</v>
      </c>
      <c r="HT165" s="476">
        <v>503120</v>
      </c>
      <c r="HU165" s="476">
        <v>0</v>
      </c>
      <c r="HV165" s="476">
        <v>0</v>
      </c>
      <c r="HW165" s="476">
        <v>0</v>
      </c>
      <c r="HX165" s="476">
        <v>426</v>
      </c>
      <c r="HY165" s="476">
        <v>402</v>
      </c>
      <c r="HZ165" s="476">
        <v>312</v>
      </c>
      <c r="IA165" s="476">
        <v>255</v>
      </c>
      <c r="IB165" s="476">
        <v>312</v>
      </c>
      <c r="IC165" s="476">
        <v>1707</v>
      </c>
      <c r="ID165" s="476">
        <v>0</v>
      </c>
      <c r="IE165" s="476">
        <v>0</v>
      </c>
      <c r="IF165" s="476">
        <v>0</v>
      </c>
      <c r="IG165" s="476">
        <v>105</v>
      </c>
      <c r="IH165" s="476">
        <v>680.97700000000009</v>
      </c>
      <c r="II165" s="476">
        <v>0</v>
      </c>
      <c r="IJ165" s="476">
        <v>330.327</v>
      </c>
      <c r="IK165" s="476">
        <v>0</v>
      </c>
      <c r="IL165" s="476">
        <v>1</v>
      </c>
      <c r="IM165" s="476">
        <v>0</v>
      </c>
      <c r="IN165" s="476">
        <v>0</v>
      </c>
      <c r="IO165" s="476">
        <v>1</v>
      </c>
      <c r="IP165" s="476">
        <v>0</v>
      </c>
      <c r="IQ165" s="476">
        <v>330.327</v>
      </c>
      <c r="IR165" s="476">
        <v>203477</v>
      </c>
      <c r="IS165" s="476">
        <v>0</v>
      </c>
      <c r="IT165" s="476">
        <v>5000</v>
      </c>
      <c r="IU165" s="476">
        <v>0</v>
      </c>
      <c r="IV165" s="476">
        <v>0</v>
      </c>
      <c r="IW165" s="476">
        <v>6160</v>
      </c>
      <c r="IX165" s="476">
        <v>0</v>
      </c>
      <c r="IY165" s="476">
        <v>0</v>
      </c>
      <c r="IZ165" s="476">
        <v>0</v>
      </c>
      <c r="JA165" s="476">
        <v>0</v>
      </c>
      <c r="JB165" s="476">
        <v>0</v>
      </c>
      <c r="JC165" s="476">
        <v>0</v>
      </c>
      <c r="JD165" s="476">
        <v>6</v>
      </c>
      <c r="JE165" s="476">
        <v>62757</v>
      </c>
      <c r="JF165" s="476">
        <v>2</v>
      </c>
      <c r="JG165" s="476">
        <v>11622</v>
      </c>
      <c r="JH165" s="476">
        <v>3500</v>
      </c>
      <c r="JI165" s="476">
        <v>0</v>
      </c>
      <c r="JJ165" s="476">
        <v>0</v>
      </c>
      <c r="JK165" s="476">
        <v>0</v>
      </c>
      <c r="JL165" s="476">
        <v>0</v>
      </c>
      <c r="JM165" s="476">
        <v>0</v>
      </c>
      <c r="JN165" s="476">
        <v>32469</v>
      </c>
      <c r="JO165" s="476">
        <v>0</v>
      </c>
      <c r="JP165" s="476">
        <v>119.08800000000001</v>
      </c>
      <c r="JQ165" s="476">
        <v>42.202000000000005</v>
      </c>
      <c r="JR165" s="476">
        <v>0</v>
      </c>
      <c r="JS165" s="476">
        <v>1106966</v>
      </c>
      <c r="JT165" s="476">
        <v>450512</v>
      </c>
      <c r="JU165" s="476">
        <v>55568</v>
      </c>
      <c r="JV165" s="476">
        <v>0</v>
      </c>
      <c r="JW165" s="476">
        <v>0</v>
      </c>
      <c r="JX165" s="476">
        <v>0</v>
      </c>
      <c r="JY165" s="476">
        <v>0</v>
      </c>
      <c r="JZ165" s="476">
        <v>0</v>
      </c>
      <c r="KA165" s="476">
        <v>0</v>
      </c>
      <c r="KB165" s="476">
        <v>0</v>
      </c>
      <c r="KC165" s="476">
        <v>0</v>
      </c>
      <c r="KD165" s="476">
        <v>55624</v>
      </c>
      <c r="KE165" s="476">
        <v>7262</v>
      </c>
      <c r="KF165" s="476">
        <v>0</v>
      </c>
      <c r="KG165" s="476">
        <v>0</v>
      </c>
      <c r="KH165" s="476">
        <v>25787390</v>
      </c>
      <c r="KI165" s="476">
        <v>0</v>
      </c>
      <c r="KJ165" s="476">
        <v>30</v>
      </c>
      <c r="KK165" s="476">
        <v>75</v>
      </c>
      <c r="KL165" s="476">
        <v>18480</v>
      </c>
      <c r="KM165" s="476">
        <v>46199</v>
      </c>
      <c r="KN165" s="476">
        <v>0</v>
      </c>
    </row>
    <row r="166" spans="1:300" x14ac:dyDescent="0.25">
      <c r="A166" s="476">
        <v>40976</v>
      </c>
      <c r="B166" s="476">
        <v>220820</v>
      </c>
      <c r="C166" s="476">
        <v>9</v>
      </c>
      <c r="D166" s="476">
        <v>2024</v>
      </c>
      <c r="E166" s="476">
        <v>6160</v>
      </c>
      <c r="F166" s="476">
        <v>0</v>
      </c>
      <c r="G166" s="476">
        <v>216.27</v>
      </c>
      <c r="H166" s="476">
        <v>212.97800000000001</v>
      </c>
      <c r="I166" s="476">
        <v>212.97800000000001</v>
      </c>
      <c r="J166" s="476">
        <v>216.27</v>
      </c>
      <c r="K166" s="476">
        <v>0</v>
      </c>
      <c r="L166" s="476">
        <v>6160</v>
      </c>
      <c r="M166" s="476">
        <v>0</v>
      </c>
      <c r="N166" s="476">
        <v>0</v>
      </c>
      <c r="O166" s="476">
        <v>0</v>
      </c>
      <c r="P166" s="476">
        <v>216.27</v>
      </c>
      <c r="Q166" s="476">
        <v>0</v>
      </c>
      <c r="R166" s="476">
        <v>89727</v>
      </c>
      <c r="S166" s="476">
        <v>414.88400000000001</v>
      </c>
      <c r="T166" s="476">
        <v>0</v>
      </c>
      <c r="U166" s="476">
        <v>0</v>
      </c>
      <c r="V166" s="476">
        <v>12.262</v>
      </c>
      <c r="W166" s="476">
        <v>7553</v>
      </c>
      <c r="X166" s="476">
        <v>7553</v>
      </c>
      <c r="Y166" s="476">
        <v>0</v>
      </c>
      <c r="Z166" s="476">
        <v>0</v>
      </c>
      <c r="AA166" s="476">
        <v>0</v>
      </c>
      <c r="AB166" s="476">
        <v>0</v>
      </c>
      <c r="AC166" s="476">
        <v>0</v>
      </c>
      <c r="AD166" s="476" t="s">
        <v>314</v>
      </c>
      <c r="AE166" s="476">
        <v>0</v>
      </c>
      <c r="AF166" s="476">
        <v>0</v>
      </c>
      <c r="AG166" s="476">
        <v>0</v>
      </c>
      <c r="AH166" s="476">
        <v>0</v>
      </c>
      <c r="AI166" s="476">
        <v>0</v>
      </c>
      <c r="AJ166" s="476">
        <v>6160</v>
      </c>
      <c r="AK166" s="476" t="s">
        <v>651</v>
      </c>
      <c r="AL166" s="476" t="s">
        <v>807</v>
      </c>
      <c r="AM166" s="476">
        <v>0</v>
      </c>
      <c r="AN166" s="476">
        <v>0</v>
      </c>
      <c r="AO166" s="476">
        <v>0</v>
      </c>
      <c r="AP166" s="476">
        <v>0</v>
      </c>
      <c r="AQ166" s="476">
        <v>0</v>
      </c>
      <c r="AR166" s="476">
        <v>0</v>
      </c>
      <c r="AS166" s="476">
        <v>0</v>
      </c>
      <c r="AT166" s="476">
        <v>0</v>
      </c>
      <c r="AU166" s="476">
        <v>0</v>
      </c>
      <c r="AV166" s="476">
        <v>0</v>
      </c>
      <c r="AW166" s="476">
        <v>2355750</v>
      </c>
      <c r="AX166" s="476">
        <v>2355986</v>
      </c>
      <c r="AY166" s="476">
        <v>0</v>
      </c>
      <c r="AZ166" s="476">
        <v>89727</v>
      </c>
      <c r="BA166" s="476">
        <v>0</v>
      </c>
      <c r="BB166" s="476">
        <v>0</v>
      </c>
      <c r="BC166" s="476">
        <v>0</v>
      </c>
      <c r="BD166" s="476">
        <v>0</v>
      </c>
      <c r="BE166" s="476">
        <v>0</v>
      </c>
      <c r="BF166" s="476">
        <v>2111818</v>
      </c>
      <c r="BG166" s="476">
        <v>0</v>
      </c>
      <c r="BH166" s="476">
        <v>0</v>
      </c>
      <c r="BI166" s="476">
        <v>0</v>
      </c>
      <c r="BJ166" s="476">
        <v>12</v>
      </c>
      <c r="BK166" s="476">
        <v>0</v>
      </c>
      <c r="BL166" s="476">
        <v>0</v>
      </c>
      <c r="BM166" s="476">
        <v>0</v>
      </c>
      <c r="BN166" s="476">
        <v>0</v>
      </c>
      <c r="BO166" s="476">
        <v>0</v>
      </c>
      <c r="BP166" s="476">
        <v>0</v>
      </c>
      <c r="BQ166" s="476">
        <v>737</v>
      </c>
      <c r="BR166" s="476">
        <v>0</v>
      </c>
      <c r="BS166" s="476">
        <v>0</v>
      </c>
      <c r="BT166" s="476">
        <v>0</v>
      </c>
      <c r="BU166" s="476">
        <v>0</v>
      </c>
      <c r="BV166" s="476">
        <v>0</v>
      </c>
      <c r="BW166" s="476">
        <v>0</v>
      </c>
      <c r="BX166" s="476">
        <v>0</v>
      </c>
      <c r="BY166" s="476">
        <v>0</v>
      </c>
      <c r="BZ166" s="476">
        <v>0</v>
      </c>
      <c r="CA166" s="476">
        <v>0</v>
      </c>
      <c r="CB166" s="476">
        <v>0</v>
      </c>
      <c r="CC166" s="476">
        <v>0</v>
      </c>
      <c r="CD166" s="476">
        <v>0</v>
      </c>
      <c r="CE166" s="476">
        <v>0</v>
      </c>
      <c r="CF166" s="476">
        <v>0</v>
      </c>
      <c r="CG166" s="476">
        <v>0</v>
      </c>
      <c r="CH166" s="476">
        <v>0</v>
      </c>
      <c r="CI166" s="476">
        <v>0</v>
      </c>
      <c r="CJ166" s="476">
        <v>4</v>
      </c>
      <c r="CK166" s="476">
        <v>0</v>
      </c>
      <c r="CL166" s="476">
        <v>0</v>
      </c>
      <c r="CM166" s="476">
        <v>0</v>
      </c>
      <c r="CN166" s="476">
        <v>0</v>
      </c>
      <c r="CO166" s="476">
        <v>1</v>
      </c>
      <c r="CP166" s="476">
        <v>0</v>
      </c>
      <c r="CQ166" s="476">
        <v>0</v>
      </c>
      <c r="CR166" s="476">
        <v>216.27</v>
      </c>
      <c r="CS166" s="476">
        <v>0</v>
      </c>
      <c r="CT166" s="476">
        <v>0</v>
      </c>
      <c r="CU166" s="476">
        <v>0</v>
      </c>
      <c r="CV166" s="476">
        <v>0</v>
      </c>
      <c r="CW166" s="476">
        <v>0</v>
      </c>
      <c r="CX166" s="476">
        <v>0</v>
      </c>
      <c r="CY166" s="476">
        <v>0</v>
      </c>
      <c r="CZ166" s="476">
        <v>0</v>
      </c>
      <c r="DA166" s="476">
        <v>0</v>
      </c>
      <c r="DB166" s="476">
        <v>1311915</v>
      </c>
      <c r="DC166" s="476">
        <v>0</v>
      </c>
      <c r="DD166" s="476">
        <v>0</v>
      </c>
      <c r="DE166" s="476">
        <v>396464</v>
      </c>
      <c r="DF166" s="476">
        <v>396464</v>
      </c>
      <c r="DG166" s="476">
        <v>64.363</v>
      </c>
      <c r="DH166" s="476">
        <v>0</v>
      </c>
      <c r="DI166" s="476">
        <v>0</v>
      </c>
      <c r="DJ166" s="476">
        <v>0</v>
      </c>
      <c r="DK166" s="476">
        <v>3418</v>
      </c>
      <c r="DL166" s="476">
        <v>0</v>
      </c>
      <c r="DM166" s="476">
        <v>68545</v>
      </c>
      <c r="DN166" s="476">
        <v>236</v>
      </c>
      <c r="DO166" s="476">
        <v>0</v>
      </c>
      <c r="DP166" s="476">
        <v>0</v>
      </c>
      <c r="DQ166" s="476">
        <v>0</v>
      </c>
      <c r="DR166" s="476">
        <v>0</v>
      </c>
      <c r="DS166" s="476">
        <v>0</v>
      </c>
      <c r="DT166" s="476">
        <v>0</v>
      </c>
      <c r="DU166" s="476">
        <v>0</v>
      </c>
      <c r="DV166" s="476">
        <v>0</v>
      </c>
      <c r="DW166" s="476">
        <v>0</v>
      </c>
      <c r="DX166" s="476">
        <v>0</v>
      </c>
      <c r="DY166" s="476">
        <v>0</v>
      </c>
      <c r="DZ166" s="476">
        <v>0</v>
      </c>
      <c r="EA166" s="476">
        <v>0</v>
      </c>
      <c r="EB166" s="476">
        <v>0</v>
      </c>
      <c r="EC166" s="476">
        <v>0.51300000000000001</v>
      </c>
      <c r="ED166" s="476">
        <v>3634</v>
      </c>
      <c r="EE166" s="476">
        <v>0</v>
      </c>
      <c r="EF166" s="476">
        <v>0</v>
      </c>
      <c r="EG166" s="476">
        <v>0</v>
      </c>
      <c r="EH166" s="476">
        <v>65147</v>
      </c>
      <c r="EI166" s="476">
        <v>0</v>
      </c>
      <c r="EJ166" s="476">
        <v>0</v>
      </c>
      <c r="EK166" s="476">
        <v>2.6670000000000003</v>
      </c>
      <c r="EL166" s="476">
        <v>0</v>
      </c>
      <c r="EM166" s="476">
        <v>0.27500000000000002</v>
      </c>
      <c r="EN166" s="476">
        <v>0.35000000000000003</v>
      </c>
      <c r="EO166" s="476">
        <v>0</v>
      </c>
      <c r="EP166" s="476">
        <v>0</v>
      </c>
      <c r="EQ166" s="476">
        <v>3.2920000000000003</v>
      </c>
      <c r="ER166" s="476">
        <v>0</v>
      </c>
      <c r="ES166" s="476">
        <v>10.576000000000001</v>
      </c>
      <c r="ET166" s="476">
        <v>0</v>
      </c>
      <c r="EU166" s="476">
        <v>0</v>
      </c>
      <c r="EV166" s="476">
        <v>0</v>
      </c>
      <c r="EW166" s="476">
        <v>0</v>
      </c>
      <c r="EX166" s="476">
        <v>0</v>
      </c>
      <c r="EY166" s="476">
        <v>0</v>
      </c>
      <c r="EZ166" s="476">
        <v>2037773</v>
      </c>
      <c r="FA166" s="476">
        <v>0</v>
      </c>
      <c r="FB166" s="476">
        <v>2127264</v>
      </c>
      <c r="FC166" s="476">
        <v>0</v>
      </c>
      <c r="FD166" s="476">
        <v>0</v>
      </c>
      <c r="FE166" s="476">
        <v>272674</v>
      </c>
      <c r="FF166" s="476">
        <v>45539</v>
      </c>
      <c r="FG166" s="476">
        <v>6.3017999999999991E-2</v>
      </c>
      <c r="FH166" s="476">
        <v>2.6953999999999999E-2</v>
      </c>
      <c r="FI166" s="476">
        <v>0</v>
      </c>
      <c r="FJ166" s="476">
        <v>0</v>
      </c>
      <c r="FK166" s="476">
        <v>342.83500000000004</v>
      </c>
      <c r="FL166" s="476">
        <v>2445477</v>
      </c>
      <c r="FM166" s="476">
        <v>0</v>
      </c>
      <c r="FN166" s="476">
        <v>0</v>
      </c>
      <c r="FO166" s="476">
        <v>15682</v>
      </c>
      <c r="FP166" s="476">
        <v>0</v>
      </c>
      <c r="FQ166" s="476">
        <v>15682</v>
      </c>
      <c r="FR166" s="476">
        <v>15682</v>
      </c>
      <c r="FS166" s="476">
        <v>0</v>
      </c>
      <c r="FT166" s="476">
        <v>0</v>
      </c>
      <c r="FU166" s="476">
        <v>0</v>
      </c>
      <c r="FV166" s="476">
        <v>0</v>
      </c>
      <c r="FW166" s="476">
        <v>0</v>
      </c>
      <c r="FX166" s="476">
        <v>0</v>
      </c>
      <c r="FY166" s="476">
        <v>0</v>
      </c>
      <c r="FZ166" s="476">
        <v>0</v>
      </c>
      <c r="GA166" s="476">
        <v>0</v>
      </c>
      <c r="GB166" s="476">
        <v>0</v>
      </c>
      <c r="GC166" s="476">
        <v>0</v>
      </c>
      <c r="GD166" s="476">
        <v>0</v>
      </c>
      <c r="GE166" s="476">
        <v>0</v>
      </c>
      <c r="GF166" s="476">
        <v>0</v>
      </c>
      <c r="GG166" s="476">
        <v>0</v>
      </c>
      <c r="GH166" s="476">
        <v>0</v>
      </c>
      <c r="GI166" s="476">
        <v>0</v>
      </c>
      <c r="GJ166" s="476">
        <v>0</v>
      </c>
      <c r="GK166" s="476">
        <v>0</v>
      </c>
      <c r="GL166" s="476">
        <v>0</v>
      </c>
      <c r="GM166" s="476">
        <v>0</v>
      </c>
      <c r="GN166" s="476">
        <v>0</v>
      </c>
      <c r="GO166" s="476">
        <v>0</v>
      </c>
      <c r="GP166" s="476">
        <v>0</v>
      </c>
      <c r="GQ166" s="476">
        <v>2355750</v>
      </c>
      <c r="GR166" s="476">
        <v>0</v>
      </c>
      <c r="GS166" s="476">
        <v>0</v>
      </c>
      <c r="GT166" s="476">
        <v>0</v>
      </c>
      <c r="GU166" s="476">
        <v>0</v>
      </c>
      <c r="GV166" s="476">
        <v>0</v>
      </c>
      <c r="GW166" s="476">
        <v>0</v>
      </c>
      <c r="GX166" s="476">
        <v>0</v>
      </c>
      <c r="GY166" s="476">
        <v>0</v>
      </c>
      <c r="GZ166" s="476">
        <v>0</v>
      </c>
      <c r="HA166" s="476">
        <v>0</v>
      </c>
      <c r="HB166" s="476">
        <v>0</v>
      </c>
      <c r="HC166" s="476">
        <v>4.2206E-2</v>
      </c>
      <c r="HD166" s="476">
        <v>0</v>
      </c>
      <c r="HE166" s="476">
        <v>0</v>
      </c>
      <c r="HF166" s="476">
        <v>234702</v>
      </c>
      <c r="HG166" s="476">
        <v>12320</v>
      </c>
      <c r="HH166" s="476">
        <v>77920</v>
      </c>
      <c r="HI166" s="476">
        <v>0</v>
      </c>
      <c r="HJ166" s="476">
        <v>2163</v>
      </c>
      <c r="HK166" s="476">
        <v>0</v>
      </c>
      <c r="HL166" s="476">
        <v>0</v>
      </c>
      <c r="HM166" s="476">
        <v>0</v>
      </c>
      <c r="HN166" s="476">
        <v>0</v>
      </c>
      <c r="HO166" s="476">
        <v>0</v>
      </c>
      <c r="HP166" s="476">
        <v>0</v>
      </c>
      <c r="HQ166" s="476">
        <v>0</v>
      </c>
      <c r="HR166" s="476">
        <v>0</v>
      </c>
      <c r="HS166" s="476">
        <v>2037537</v>
      </c>
      <c r="HT166" s="476">
        <v>45539</v>
      </c>
      <c r="HU166" s="476">
        <v>0</v>
      </c>
      <c r="HV166" s="476">
        <v>0</v>
      </c>
      <c r="HW166" s="476">
        <v>0</v>
      </c>
      <c r="HX166" s="476">
        <v>10</v>
      </c>
      <c r="HY166" s="476">
        <v>10</v>
      </c>
      <c r="HZ166" s="476">
        <v>21</v>
      </c>
      <c r="IA166" s="476">
        <v>63</v>
      </c>
      <c r="IB166" s="476">
        <v>138</v>
      </c>
      <c r="IC166" s="476">
        <v>242</v>
      </c>
      <c r="ID166" s="476">
        <v>0</v>
      </c>
      <c r="IE166" s="476">
        <v>0</v>
      </c>
      <c r="IF166" s="476">
        <v>0</v>
      </c>
      <c r="IG166" s="476">
        <v>20</v>
      </c>
      <c r="IH166" s="476">
        <v>126.497</v>
      </c>
      <c r="II166" s="476">
        <v>0</v>
      </c>
      <c r="IJ166" s="476">
        <v>12.262</v>
      </c>
      <c r="IK166" s="476">
        <v>0</v>
      </c>
      <c r="IL166" s="476">
        <v>0</v>
      </c>
      <c r="IM166" s="476">
        <v>0</v>
      </c>
      <c r="IN166" s="476">
        <v>0</v>
      </c>
      <c r="IO166" s="476">
        <v>0</v>
      </c>
      <c r="IP166" s="476">
        <v>0</v>
      </c>
      <c r="IQ166" s="476">
        <v>12.262</v>
      </c>
      <c r="IR166" s="476">
        <v>7553</v>
      </c>
      <c r="IS166" s="476">
        <v>0</v>
      </c>
      <c r="IT166" s="476">
        <v>0</v>
      </c>
      <c r="IU166" s="476">
        <v>0</v>
      </c>
      <c r="IV166" s="476">
        <v>0</v>
      </c>
      <c r="IW166" s="476">
        <v>6160</v>
      </c>
      <c r="IX166" s="476">
        <v>0</v>
      </c>
      <c r="IY166" s="476">
        <v>0</v>
      </c>
      <c r="IZ166" s="476">
        <v>0</v>
      </c>
      <c r="JA166" s="476">
        <v>0</v>
      </c>
      <c r="JB166" s="476">
        <v>0</v>
      </c>
      <c r="JC166" s="476">
        <v>0</v>
      </c>
      <c r="JD166" s="476">
        <v>0</v>
      </c>
      <c r="JE166" s="476">
        <v>0</v>
      </c>
      <c r="JF166" s="476">
        <v>0</v>
      </c>
      <c r="JG166" s="476">
        <v>0</v>
      </c>
      <c r="JH166" s="476">
        <v>0</v>
      </c>
      <c r="JI166" s="476">
        <v>0</v>
      </c>
      <c r="JJ166" s="476">
        <v>0</v>
      </c>
      <c r="JK166" s="476">
        <v>0</v>
      </c>
      <c r="JL166" s="476">
        <v>0</v>
      </c>
      <c r="JM166" s="476">
        <v>0</v>
      </c>
      <c r="JN166" s="476">
        <v>0</v>
      </c>
      <c r="JO166" s="476">
        <v>0</v>
      </c>
      <c r="JP166" s="476">
        <v>0</v>
      </c>
      <c r="JQ166" s="476">
        <v>0</v>
      </c>
      <c r="JR166" s="476">
        <v>0</v>
      </c>
      <c r="JS166" s="476">
        <v>0</v>
      </c>
      <c r="JT166" s="476">
        <v>0</v>
      </c>
      <c r="JU166" s="476">
        <v>0</v>
      </c>
      <c r="JV166" s="476">
        <v>0</v>
      </c>
      <c r="JW166" s="476">
        <v>0</v>
      </c>
      <c r="JX166" s="476">
        <v>0</v>
      </c>
      <c r="JY166" s="476">
        <v>0</v>
      </c>
      <c r="JZ166" s="476">
        <v>0</v>
      </c>
      <c r="KA166" s="476">
        <v>0</v>
      </c>
      <c r="KB166" s="476">
        <v>0</v>
      </c>
      <c r="KC166" s="476">
        <v>0</v>
      </c>
      <c r="KD166" s="476">
        <v>0</v>
      </c>
      <c r="KE166" s="476">
        <v>7262</v>
      </c>
      <c r="KF166" s="476">
        <v>0</v>
      </c>
      <c r="KG166" s="476">
        <v>0</v>
      </c>
      <c r="KH166" s="476">
        <v>2355750</v>
      </c>
      <c r="KI166" s="476">
        <v>0</v>
      </c>
      <c r="KJ166" s="476">
        <v>10</v>
      </c>
      <c r="KK166" s="476">
        <v>10</v>
      </c>
      <c r="KL166" s="476">
        <v>6160</v>
      </c>
      <c r="KM166" s="476">
        <v>6160</v>
      </c>
      <c r="KN166" s="476">
        <v>0</v>
      </c>
    </row>
    <row r="167" spans="1:300" x14ac:dyDescent="0.25">
      <c r="B167" s="476">
        <v>220821</v>
      </c>
      <c r="C167" s="476">
        <v>0</v>
      </c>
      <c r="D167" s="476">
        <v>0</v>
      </c>
      <c r="E167" s="476">
        <v>6160</v>
      </c>
      <c r="F167" s="476">
        <v>0</v>
      </c>
      <c r="G167" s="476">
        <v>0</v>
      </c>
      <c r="H167" s="476">
        <v>0</v>
      </c>
      <c r="I167" s="476">
        <v>0</v>
      </c>
      <c r="J167" s="476">
        <v>0</v>
      </c>
      <c r="K167" s="476">
        <v>0</v>
      </c>
      <c r="L167" s="476">
        <v>0</v>
      </c>
      <c r="M167" s="476">
        <v>0</v>
      </c>
      <c r="N167" s="476">
        <v>0</v>
      </c>
      <c r="O167" s="476">
        <v>0</v>
      </c>
      <c r="P167" s="476">
        <v>0</v>
      </c>
      <c r="Q167" s="476">
        <v>0</v>
      </c>
      <c r="R167" s="476">
        <v>0</v>
      </c>
      <c r="S167" s="476">
        <v>414.88400000000001</v>
      </c>
      <c r="T167" s="476">
        <v>0</v>
      </c>
      <c r="U167" s="476">
        <v>0</v>
      </c>
      <c r="V167" s="476">
        <v>0</v>
      </c>
      <c r="W167" s="476">
        <v>0</v>
      </c>
      <c r="X167" s="476">
        <v>0</v>
      </c>
      <c r="Y167" s="476">
        <v>0</v>
      </c>
      <c r="Z167" s="476">
        <v>0</v>
      </c>
      <c r="AA167" s="476">
        <v>0</v>
      </c>
      <c r="AB167" s="476">
        <v>0</v>
      </c>
      <c r="AC167" s="476">
        <v>0</v>
      </c>
      <c r="AD167" s="476">
        <v>0</v>
      </c>
      <c r="AE167" s="476">
        <v>0</v>
      </c>
      <c r="AF167" s="476">
        <v>0</v>
      </c>
      <c r="AG167" s="476">
        <v>0</v>
      </c>
      <c r="AH167" s="476">
        <v>0</v>
      </c>
      <c r="AI167" s="476">
        <v>0</v>
      </c>
      <c r="AJ167" s="476">
        <v>6160</v>
      </c>
      <c r="AK167" s="476">
        <v>0</v>
      </c>
      <c r="AL167" s="476" t="s">
        <v>1061</v>
      </c>
      <c r="AM167" s="476">
        <v>0</v>
      </c>
      <c r="AN167" s="476">
        <v>0</v>
      </c>
      <c r="AO167" s="476">
        <v>0</v>
      </c>
      <c r="AP167" s="476">
        <v>0</v>
      </c>
      <c r="AQ167" s="476">
        <v>0</v>
      </c>
      <c r="AR167" s="476">
        <v>0</v>
      </c>
      <c r="AS167" s="476">
        <v>0</v>
      </c>
      <c r="AT167" s="476">
        <v>0</v>
      </c>
      <c r="AU167" s="476">
        <v>0</v>
      </c>
      <c r="AV167" s="476">
        <v>0</v>
      </c>
      <c r="AW167" s="476">
        <v>0</v>
      </c>
      <c r="AX167" s="476">
        <v>0</v>
      </c>
      <c r="AY167" s="476">
        <v>0</v>
      </c>
      <c r="AZ167" s="476">
        <v>0</v>
      </c>
      <c r="BA167" s="476">
        <v>0</v>
      </c>
      <c r="BB167" s="476">
        <v>0</v>
      </c>
      <c r="BC167" s="476">
        <v>0</v>
      </c>
      <c r="BD167" s="476">
        <v>0</v>
      </c>
      <c r="BE167" s="476">
        <v>0</v>
      </c>
      <c r="BF167" s="476">
        <v>0</v>
      </c>
      <c r="BG167" s="476">
        <v>0</v>
      </c>
      <c r="BH167" s="476">
        <v>0</v>
      </c>
      <c r="BI167" s="476">
        <v>0</v>
      </c>
      <c r="BJ167" s="476">
        <v>0</v>
      </c>
      <c r="BK167" s="476">
        <v>0</v>
      </c>
      <c r="BL167" s="476">
        <v>0</v>
      </c>
      <c r="BM167" s="476">
        <v>0</v>
      </c>
      <c r="BN167" s="476">
        <v>0</v>
      </c>
      <c r="BO167" s="476">
        <v>0</v>
      </c>
      <c r="BP167" s="476">
        <v>0</v>
      </c>
      <c r="BQ167" s="476">
        <v>0</v>
      </c>
      <c r="BR167" s="476">
        <v>0</v>
      </c>
      <c r="BS167" s="476">
        <v>0</v>
      </c>
      <c r="BT167" s="476">
        <v>0</v>
      </c>
      <c r="BU167" s="476">
        <v>0</v>
      </c>
      <c r="BV167" s="476">
        <v>0</v>
      </c>
      <c r="BW167" s="476">
        <v>0</v>
      </c>
      <c r="BX167" s="476">
        <v>0</v>
      </c>
      <c r="BY167" s="476">
        <v>0</v>
      </c>
      <c r="BZ167" s="476">
        <v>0</v>
      </c>
      <c r="CA167" s="476">
        <v>0</v>
      </c>
      <c r="CB167" s="476">
        <v>0</v>
      </c>
      <c r="CC167" s="476">
        <v>0</v>
      </c>
      <c r="CD167" s="476">
        <v>0</v>
      </c>
      <c r="CE167" s="476">
        <v>0</v>
      </c>
      <c r="CF167" s="476">
        <v>0</v>
      </c>
      <c r="CG167" s="476">
        <v>0</v>
      </c>
      <c r="CH167" s="476">
        <v>0</v>
      </c>
      <c r="CI167" s="476">
        <v>0</v>
      </c>
      <c r="CJ167" s="476">
        <v>0</v>
      </c>
      <c r="CK167" s="476">
        <v>0</v>
      </c>
      <c r="CL167" s="476">
        <v>0</v>
      </c>
      <c r="CM167" s="476">
        <v>0</v>
      </c>
      <c r="CN167" s="476">
        <v>0</v>
      </c>
      <c r="CO167" s="476">
        <v>0</v>
      </c>
      <c r="CP167" s="476">
        <v>0</v>
      </c>
      <c r="CQ167" s="476">
        <v>0</v>
      </c>
      <c r="CR167" s="476">
        <v>0</v>
      </c>
      <c r="CS167" s="476">
        <v>0</v>
      </c>
      <c r="CT167" s="476">
        <v>0</v>
      </c>
      <c r="CU167" s="476">
        <v>0</v>
      </c>
      <c r="CV167" s="476">
        <v>0</v>
      </c>
      <c r="CW167" s="476">
        <v>0</v>
      </c>
      <c r="CX167" s="476">
        <v>0</v>
      </c>
      <c r="CY167" s="476">
        <v>0</v>
      </c>
      <c r="CZ167" s="476">
        <v>0</v>
      </c>
      <c r="DA167" s="476">
        <v>0</v>
      </c>
      <c r="DB167" s="476">
        <v>0</v>
      </c>
      <c r="DC167" s="476">
        <v>0</v>
      </c>
      <c r="DD167" s="476">
        <v>0</v>
      </c>
      <c r="DE167" s="476">
        <v>0</v>
      </c>
      <c r="DF167" s="476">
        <v>0</v>
      </c>
      <c r="DG167" s="476">
        <v>0</v>
      </c>
      <c r="DH167" s="476">
        <v>0</v>
      </c>
      <c r="DI167" s="476">
        <v>0</v>
      </c>
      <c r="DJ167" s="476">
        <v>0</v>
      </c>
      <c r="DK167" s="476">
        <v>0</v>
      </c>
      <c r="DL167" s="476">
        <v>0</v>
      </c>
      <c r="DM167" s="476">
        <v>0</v>
      </c>
      <c r="DN167" s="476">
        <v>0</v>
      </c>
      <c r="DO167" s="476">
        <v>0</v>
      </c>
      <c r="DP167" s="476">
        <v>0</v>
      </c>
      <c r="DQ167" s="476">
        <v>0</v>
      </c>
      <c r="DR167" s="476">
        <v>0</v>
      </c>
      <c r="DS167" s="476">
        <v>0</v>
      </c>
      <c r="DT167" s="476">
        <v>0</v>
      </c>
      <c r="DU167" s="476">
        <v>0</v>
      </c>
      <c r="DV167" s="476">
        <v>0</v>
      </c>
      <c r="DW167" s="476">
        <v>0</v>
      </c>
      <c r="DX167" s="476">
        <v>0</v>
      </c>
      <c r="DY167" s="476">
        <v>0</v>
      </c>
      <c r="DZ167" s="476">
        <v>0</v>
      </c>
      <c r="EA167" s="476">
        <v>0</v>
      </c>
      <c r="EB167" s="476">
        <v>0</v>
      </c>
      <c r="EC167" s="476">
        <v>0</v>
      </c>
      <c r="ED167" s="476">
        <v>0</v>
      </c>
      <c r="EE167" s="476">
        <v>0</v>
      </c>
      <c r="EF167" s="476">
        <v>0</v>
      </c>
      <c r="EG167" s="476">
        <v>0</v>
      </c>
      <c r="EH167" s="476">
        <v>0</v>
      </c>
      <c r="EI167" s="476">
        <v>0</v>
      </c>
      <c r="EJ167" s="476">
        <v>0</v>
      </c>
      <c r="EK167" s="476">
        <v>0</v>
      </c>
      <c r="EL167" s="476">
        <v>0</v>
      </c>
      <c r="EM167" s="476">
        <v>0</v>
      </c>
      <c r="EN167" s="476">
        <v>0</v>
      </c>
      <c r="EO167" s="476">
        <v>0</v>
      </c>
      <c r="EP167" s="476">
        <v>0</v>
      </c>
      <c r="EQ167" s="476">
        <v>0</v>
      </c>
      <c r="ER167" s="476">
        <v>0</v>
      </c>
      <c r="ES167" s="476">
        <v>0</v>
      </c>
      <c r="ET167" s="476">
        <v>0</v>
      </c>
      <c r="EU167" s="476">
        <v>0</v>
      </c>
      <c r="EV167" s="476">
        <v>0</v>
      </c>
      <c r="EW167" s="476">
        <v>0</v>
      </c>
      <c r="EX167" s="476">
        <v>0</v>
      </c>
      <c r="EY167" s="476">
        <v>0</v>
      </c>
      <c r="EZ167" s="476">
        <v>0</v>
      </c>
      <c r="FA167" s="476">
        <v>0</v>
      </c>
      <c r="FB167" s="476">
        <v>0</v>
      </c>
      <c r="FC167" s="476">
        <v>0</v>
      </c>
      <c r="FD167" s="476">
        <v>0</v>
      </c>
      <c r="FE167" s="476">
        <v>0</v>
      </c>
      <c r="FF167" s="476">
        <v>0</v>
      </c>
      <c r="FG167" s="476">
        <v>6.3017999999999991E-2</v>
      </c>
      <c r="FH167" s="476">
        <v>2.6953999999999999E-2</v>
      </c>
      <c r="FI167" s="476">
        <v>0</v>
      </c>
      <c r="FJ167" s="476">
        <v>0</v>
      </c>
      <c r="FK167" s="476">
        <v>0</v>
      </c>
      <c r="FL167" s="476">
        <v>0</v>
      </c>
      <c r="FM167" s="476">
        <v>0</v>
      </c>
      <c r="FN167" s="476">
        <v>0</v>
      </c>
      <c r="FO167" s="476">
        <v>0</v>
      </c>
      <c r="FP167" s="476">
        <v>0</v>
      </c>
      <c r="FQ167" s="476">
        <v>0</v>
      </c>
      <c r="FR167" s="476">
        <v>0</v>
      </c>
      <c r="FS167" s="476">
        <v>0</v>
      </c>
      <c r="FT167" s="476">
        <v>0</v>
      </c>
      <c r="FU167" s="476">
        <v>0</v>
      </c>
      <c r="FV167" s="476">
        <v>0</v>
      </c>
      <c r="FW167" s="476">
        <v>0</v>
      </c>
      <c r="FX167" s="476">
        <v>0</v>
      </c>
      <c r="FY167" s="476">
        <v>0</v>
      </c>
      <c r="FZ167" s="476">
        <v>0</v>
      </c>
      <c r="GA167" s="476">
        <v>0</v>
      </c>
      <c r="GB167" s="476">
        <v>0</v>
      </c>
      <c r="GC167" s="476">
        <v>0</v>
      </c>
      <c r="GD167" s="476">
        <v>0</v>
      </c>
      <c r="GE167" s="476">
        <v>0</v>
      </c>
      <c r="GF167" s="476">
        <v>0</v>
      </c>
      <c r="GG167" s="476">
        <v>0</v>
      </c>
      <c r="GH167" s="476">
        <v>0</v>
      </c>
      <c r="GI167" s="476">
        <v>0</v>
      </c>
      <c r="GJ167" s="476">
        <v>0</v>
      </c>
      <c r="GK167" s="476">
        <v>0</v>
      </c>
      <c r="GL167" s="476">
        <v>0</v>
      </c>
      <c r="GM167" s="476">
        <v>0</v>
      </c>
      <c r="GN167" s="476">
        <v>0</v>
      </c>
      <c r="GO167" s="476">
        <v>0</v>
      </c>
      <c r="GP167" s="476">
        <v>0</v>
      </c>
      <c r="GQ167" s="476">
        <v>0</v>
      </c>
      <c r="GR167" s="476">
        <v>0</v>
      </c>
      <c r="GS167" s="476">
        <v>0</v>
      </c>
      <c r="GT167" s="476">
        <v>0</v>
      </c>
      <c r="GU167" s="476">
        <v>0</v>
      </c>
      <c r="GV167" s="476">
        <v>0</v>
      </c>
      <c r="GW167" s="476">
        <v>0</v>
      </c>
      <c r="GX167" s="476">
        <v>0</v>
      </c>
      <c r="GY167" s="476">
        <v>0</v>
      </c>
      <c r="GZ167" s="476">
        <v>0</v>
      </c>
      <c r="HA167" s="476">
        <v>0</v>
      </c>
      <c r="HB167" s="476">
        <v>0</v>
      </c>
      <c r="HC167" s="476">
        <v>4.2206E-2</v>
      </c>
      <c r="HD167" s="476">
        <v>0</v>
      </c>
      <c r="HE167" s="476">
        <v>0</v>
      </c>
      <c r="HF167" s="476">
        <v>0</v>
      </c>
      <c r="HG167" s="476">
        <v>0</v>
      </c>
      <c r="HH167" s="476">
        <v>0</v>
      </c>
      <c r="HI167" s="476">
        <v>0</v>
      </c>
      <c r="HJ167" s="476">
        <v>0</v>
      </c>
      <c r="HK167" s="476">
        <v>0</v>
      </c>
      <c r="HL167" s="476">
        <v>0</v>
      </c>
      <c r="HM167" s="476">
        <v>0</v>
      </c>
      <c r="HN167" s="476">
        <v>0</v>
      </c>
      <c r="HO167" s="476">
        <v>0</v>
      </c>
      <c r="HP167" s="476">
        <v>0</v>
      </c>
      <c r="HQ167" s="476">
        <v>0</v>
      </c>
      <c r="HR167" s="476">
        <v>0</v>
      </c>
      <c r="HS167" s="476">
        <v>0</v>
      </c>
      <c r="HT167" s="476">
        <v>0</v>
      </c>
      <c r="HU167" s="476">
        <v>0</v>
      </c>
      <c r="HV167" s="476">
        <v>0</v>
      </c>
      <c r="HW167" s="476">
        <v>0</v>
      </c>
      <c r="HX167" s="476">
        <v>0</v>
      </c>
      <c r="HY167" s="476">
        <v>0</v>
      </c>
      <c r="HZ167" s="476">
        <v>0</v>
      </c>
      <c r="IA167" s="476">
        <v>0</v>
      </c>
      <c r="IB167" s="476">
        <v>0</v>
      </c>
      <c r="IC167" s="476">
        <v>0</v>
      </c>
      <c r="ID167" s="476">
        <v>0</v>
      </c>
      <c r="IE167" s="476">
        <v>0</v>
      </c>
      <c r="IF167" s="476">
        <v>0</v>
      </c>
      <c r="IG167" s="476">
        <v>0</v>
      </c>
      <c r="IH167" s="476">
        <v>0</v>
      </c>
      <c r="II167" s="476">
        <v>0</v>
      </c>
      <c r="IJ167" s="476">
        <v>0</v>
      </c>
      <c r="IK167" s="476">
        <v>0</v>
      </c>
      <c r="IL167" s="476">
        <v>0</v>
      </c>
      <c r="IM167" s="476">
        <v>0</v>
      </c>
      <c r="IN167" s="476">
        <v>0</v>
      </c>
      <c r="IO167" s="476">
        <v>0</v>
      </c>
      <c r="IP167" s="476">
        <v>0</v>
      </c>
      <c r="IQ167" s="476">
        <v>0</v>
      </c>
      <c r="IR167" s="476">
        <v>0</v>
      </c>
      <c r="IS167" s="476">
        <v>0</v>
      </c>
      <c r="IT167" s="476">
        <v>0</v>
      </c>
      <c r="IU167" s="476">
        <v>0</v>
      </c>
      <c r="IV167" s="476">
        <v>0</v>
      </c>
      <c r="IW167" s="476">
        <v>0</v>
      </c>
      <c r="IX167" s="476">
        <v>0</v>
      </c>
      <c r="IY167" s="476">
        <v>0</v>
      </c>
      <c r="IZ167" s="476">
        <v>0</v>
      </c>
      <c r="JA167" s="476">
        <v>0</v>
      </c>
      <c r="JB167" s="476">
        <v>0</v>
      </c>
      <c r="JC167" s="476">
        <v>0</v>
      </c>
      <c r="JD167" s="476">
        <v>0</v>
      </c>
      <c r="JE167" s="476">
        <v>0</v>
      </c>
      <c r="JF167" s="476">
        <v>0</v>
      </c>
      <c r="JG167" s="476">
        <v>0</v>
      </c>
      <c r="JH167" s="476">
        <v>0</v>
      </c>
      <c r="JI167" s="476">
        <v>0</v>
      </c>
      <c r="JJ167" s="476">
        <v>0</v>
      </c>
      <c r="JK167" s="476">
        <v>0</v>
      </c>
      <c r="JL167" s="476">
        <v>0</v>
      </c>
      <c r="JM167" s="476">
        <v>0</v>
      </c>
      <c r="JN167" s="476">
        <v>0</v>
      </c>
      <c r="JO167" s="476">
        <v>0</v>
      </c>
      <c r="JP167" s="476">
        <v>0</v>
      </c>
      <c r="JQ167" s="476">
        <v>0</v>
      </c>
      <c r="JR167" s="476">
        <v>0</v>
      </c>
      <c r="JS167" s="476">
        <v>0</v>
      </c>
      <c r="JT167" s="476">
        <v>0</v>
      </c>
      <c r="JU167" s="476">
        <v>0</v>
      </c>
      <c r="JV167" s="476">
        <v>0</v>
      </c>
      <c r="JW167" s="476">
        <v>0</v>
      </c>
      <c r="JX167" s="476">
        <v>0</v>
      </c>
      <c r="JY167" s="476">
        <v>0</v>
      </c>
      <c r="JZ167" s="476">
        <v>0</v>
      </c>
      <c r="KA167" s="476">
        <v>0</v>
      </c>
      <c r="KB167" s="476">
        <v>0</v>
      </c>
      <c r="KC167" s="476">
        <v>0</v>
      </c>
      <c r="KD167" s="476">
        <v>0</v>
      </c>
      <c r="KE167" s="476">
        <v>0</v>
      </c>
      <c r="KF167" s="476">
        <v>0</v>
      </c>
      <c r="KG167" s="476">
        <v>0</v>
      </c>
      <c r="KH167" s="476">
        <v>0</v>
      </c>
      <c r="KI167" s="476">
        <v>0</v>
      </c>
      <c r="KJ167" s="476">
        <v>0</v>
      </c>
      <c r="KK167" s="476">
        <v>0</v>
      </c>
      <c r="KL167" s="476">
        <v>0</v>
      </c>
      <c r="KM167" s="476">
        <v>0</v>
      </c>
      <c r="KN167" s="476">
        <v>0</v>
      </c>
    </row>
    <row r="168" spans="1:300" x14ac:dyDescent="0.25">
      <c r="A168" s="476">
        <v>40976</v>
      </c>
      <c r="B168" s="476">
        <v>221801</v>
      </c>
      <c r="C168" s="476">
        <v>9</v>
      </c>
      <c r="D168" s="476">
        <v>2024</v>
      </c>
      <c r="E168" s="476">
        <v>6160</v>
      </c>
      <c r="F168" s="476">
        <v>0</v>
      </c>
      <c r="G168" s="476">
        <v>15090.17</v>
      </c>
      <c r="H168" s="476">
        <v>14642.723</v>
      </c>
      <c r="I168" s="476">
        <v>14642.723</v>
      </c>
      <c r="J168" s="476">
        <v>15090.17</v>
      </c>
      <c r="K168" s="476">
        <v>0</v>
      </c>
      <c r="L168" s="476">
        <v>6160</v>
      </c>
      <c r="M168" s="476">
        <v>0</v>
      </c>
      <c r="N168" s="476">
        <v>0</v>
      </c>
      <c r="O168" s="476">
        <v>0</v>
      </c>
      <c r="P168" s="476">
        <v>15090.17</v>
      </c>
      <c r="Q168" s="476">
        <v>0</v>
      </c>
      <c r="R168" s="476">
        <v>6260670</v>
      </c>
      <c r="S168" s="476">
        <v>414.88400000000001</v>
      </c>
      <c r="T168" s="476">
        <v>0</v>
      </c>
      <c r="U168" s="476">
        <v>0</v>
      </c>
      <c r="V168" s="476">
        <v>1525.3230000000001</v>
      </c>
      <c r="W168" s="476">
        <v>939578</v>
      </c>
      <c r="X168" s="476">
        <v>939578</v>
      </c>
      <c r="Y168" s="476">
        <v>0</v>
      </c>
      <c r="Z168" s="476">
        <v>0</v>
      </c>
      <c r="AA168" s="476">
        <v>0</v>
      </c>
      <c r="AB168" s="476">
        <v>0</v>
      </c>
      <c r="AC168" s="476">
        <v>0</v>
      </c>
      <c r="AD168" s="476" t="s">
        <v>314</v>
      </c>
      <c r="AE168" s="476">
        <v>0</v>
      </c>
      <c r="AF168" s="476">
        <v>0</v>
      </c>
      <c r="AG168" s="476">
        <v>0</v>
      </c>
      <c r="AH168" s="476">
        <v>0</v>
      </c>
      <c r="AI168" s="476">
        <v>0</v>
      </c>
      <c r="AJ168" s="476">
        <v>6160</v>
      </c>
      <c r="AK168" s="476" t="s">
        <v>651</v>
      </c>
      <c r="AL168" s="476" t="s">
        <v>363</v>
      </c>
      <c r="AM168" s="476">
        <v>0</v>
      </c>
      <c r="AN168" s="476">
        <v>0</v>
      </c>
      <c r="AO168" s="476">
        <v>0</v>
      </c>
      <c r="AP168" s="476">
        <v>0</v>
      </c>
      <c r="AQ168" s="476">
        <v>0</v>
      </c>
      <c r="AR168" s="476">
        <v>0</v>
      </c>
      <c r="AS168" s="476">
        <v>0</v>
      </c>
      <c r="AT168" s="476">
        <v>0</v>
      </c>
      <c r="AU168" s="476">
        <v>0</v>
      </c>
      <c r="AV168" s="476">
        <v>0</v>
      </c>
      <c r="AW168" s="476">
        <v>145801757</v>
      </c>
      <c r="AX168" s="476">
        <v>143283240</v>
      </c>
      <c r="AY168" s="476">
        <v>0</v>
      </c>
      <c r="AZ168" s="476">
        <v>6260670</v>
      </c>
      <c r="BA168" s="476">
        <v>557.83299999999997</v>
      </c>
      <c r="BB168" s="476">
        <v>0</v>
      </c>
      <c r="BC168" s="476">
        <v>0</v>
      </c>
      <c r="BD168" s="476">
        <v>0</v>
      </c>
      <c r="BE168" s="476">
        <v>0</v>
      </c>
      <c r="BF168" s="476">
        <v>129916739</v>
      </c>
      <c r="BG168" s="476">
        <v>0</v>
      </c>
      <c r="BH168" s="476">
        <v>0</v>
      </c>
      <c r="BI168" s="476">
        <v>0</v>
      </c>
      <c r="BJ168" s="476">
        <v>12</v>
      </c>
      <c r="BK168" s="476">
        <v>0</v>
      </c>
      <c r="BL168" s="476">
        <v>0</v>
      </c>
      <c r="BM168" s="476">
        <v>0</v>
      </c>
      <c r="BN168" s="476">
        <v>0</v>
      </c>
      <c r="BO168" s="476">
        <v>0</v>
      </c>
      <c r="BP168" s="476">
        <v>0</v>
      </c>
      <c r="BQ168" s="476">
        <v>0</v>
      </c>
      <c r="BR168" s="476">
        <v>0</v>
      </c>
      <c r="BS168" s="476">
        <v>0</v>
      </c>
      <c r="BT168" s="476">
        <v>0</v>
      </c>
      <c r="BU168" s="476">
        <v>0</v>
      </c>
      <c r="BV168" s="476">
        <v>0</v>
      </c>
      <c r="BW168" s="476">
        <v>0</v>
      </c>
      <c r="BX168" s="476">
        <v>0</v>
      </c>
      <c r="BY168" s="476">
        <v>0</v>
      </c>
      <c r="BZ168" s="476">
        <v>0</v>
      </c>
      <c r="CA168" s="476">
        <v>0</v>
      </c>
      <c r="CB168" s="476">
        <v>0</v>
      </c>
      <c r="CC168" s="476">
        <v>0</v>
      </c>
      <c r="CD168" s="476">
        <v>0</v>
      </c>
      <c r="CE168" s="476">
        <v>0</v>
      </c>
      <c r="CF168" s="476">
        <v>0</v>
      </c>
      <c r="CG168" s="476">
        <v>0</v>
      </c>
      <c r="CH168" s="476">
        <v>2547601</v>
      </c>
      <c r="CI168" s="476">
        <v>0</v>
      </c>
      <c r="CJ168" s="476">
        <v>4</v>
      </c>
      <c r="CK168" s="476">
        <v>0</v>
      </c>
      <c r="CL168" s="476">
        <v>0</v>
      </c>
      <c r="CM168" s="476">
        <v>0</v>
      </c>
      <c r="CN168" s="476">
        <v>0</v>
      </c>
      <c r="CO168" s="476">
        <v>1</v>
      </c>
      <c r="CP168" s="476">
        <v>0</v>
      </c>
      <c r="CQ168" s="476">
        <v>156.75</v>
      </c>
      <c r="CR168" s="476">
        <v>15090.17</v>
      </c>
      <c r="CS168" s="476">
        <v>0</v>
      </c>
      <c r="CT168" s="476">
        <v>0</v>
      </c>
      <c r="CU168" s="476">
        <v>0</v>
      </c>
      <c r="CV168" s="476">
        <v>0</v>
      </c>
      <c r="CW168" s="476">
        <v>0</v>
      </c>
      <c r="CX168" s="476">
        <v>0</v>
      </c>
      <c r="CY168" s="476">
        <v>0</v>
      </c>
      <c r="CZ168" s="476">
        <v>0</v>
      </c>
      <c r="DA168" s="476">
        <v>0</v>
      </c>
      <c r="DB168" s="476">
        <v>90197126</v>
      </c>
      <c r="DC168" s="476">
        <v>0</v>
      </c>
      <c r="DD168" s="476">
        <v>0</v>
      </c>
      <c r="DE168" s="476">
        <v>9627322</v>
      </c>
      <c r="DF168" s="476">
        <v>9627322</v>
      </c>
      <c r="DG168" s="476">
        <v>1562.913</v>
      </c>
      <c r="DH168" s="476">
        <v>0</v>
      </c>
      <c r="DI168" s="476">
        <v>0</v>
      </c>
      <c r="DJ168" s="476">
        <v>0</v>
      </c>
      <c r="DK168" s="476">
        <v>0</v>
      </c>
      <c r="DL168" s="476">
        <v>0</v>
      </c>
      <c r="DM168" s="476">
        <v>8459327</v>
      </c>
      <c r="DN168" s="476">
        <v>29083</v>
      </c>
      <c r="DO168" s="476">
        <v>0</v>
      </c>
      <c r="DP168" s="476">
        <v>0</v>
      </c>
      <c r="DQ168" s="476">
        <v>0</v>
      </c>
      <c r="DR168" s="476">
        <v>0</v>
      </c>
      <c r="DS168" s="476">
        <v>0</v>
      </c>
      <c r="DT168" s="476">
        <v>0</v>
      </c>
      <c r="DU168" s="476">
        <v>0</v>
      </c>
      <c r="DV168" s="476">
        <v>0</v>
      </c>
      <c r="DW168" s="476">
        <v>0</v>
      </c>
      <c r="DX168" s="476">
        <v>0</v>
      </c>
      <c r="DY168" s="476">
        <v>0</v>
      </c>
      <c r="DZ168" s="476">
        <v>0</v>
      </c>
      <c r="EA168" s="476">
        <v>8.2000000000000003E-2</v>
      </c>
      <c r="EB168" s="476">
        <v>0</v>
      </c>
      <c r="EC168" s="476">
        <v>419.113</v>
      </c>
      <c r="ED168" s="476">
        <v>2968929</v>
      </c>
      <c r="EE168" s="476">
        <v>0</v>
      </c>
      <c r="EF168" s="476">
        <v>0</v>
      </c>
      <c r="EG168" s="476">
        <v>0</v>
      </c>
      <c r="EH168" s="476">
        <v>5490973</v>
      </c>
      <c r="EI168" s="476">
        <v>28508</v>
      </c>
      <c r="EJ168" s="476">
        <v>1.157</v>
      </c>
      <c r="EK168" s="476">
        <v>239.49200000000002</v>
      </c>
      <c r="EL168" s="476">
        <v>0.03</v>
      </c>
      <c r="EM168" s="476">
        <v>16.872</v>
      </c>
      <c r="EN168" s="476">
        <v>24.382000000000001</v>
      </c>
      <c r="EO168" s="476">
        <v>0</v>
      </c>
      <c r="EP168" s="476">
        <v>0</v>
      </c>
      <c r="EQ168" s="476">
        <v>281.98500000000001</v>
      </c>
      <c r="ER168" s="476">
        <v>0</v>
      </c>
      <c r="ES168" s="476">
        <v>891.41200000000003</v>
      </c>
      <c r="ET168" s="476">
        <v>0</v>
      </c>
      <c r="EU168" s="476">
        <v>0</v>
      </c>
      <c r="EV168" s="476">
        <v>0</v>
      </c>
      <c r="EW168" s="476">
        <v>0</v>
      </c>
      <c r="EX168" s="476">
        <v>0</v>
      </c>
      <c r="EY168" s="476">
        <v>0</v>
      </c>
      <c r="EZ168" s="476">
        <v>123707138</v>
      </c>
      <c r="FA168" s="476">
        <v>0</v>
      </c>
      <c r="FB168" s="476">
        <v>129938724</v>
      </c>
      <c r="FC168" s="476">
        <v>0</v>
      </c>
      <c r="FD168" s="476">
        <v>0</v>
      </c>
      <c r="FE168" s="476">
        <v>16774618</v>
      </c>
      <c r="FF168" s="476">
        <v>2801484</v>
      </c>
      <c r="FG168" s="476">
        <v>6.3017999999999991E-2</v>
      </c>
      <c r="FH168" s="476">
        <v>2.6953999999999999E-2</v>
      </c>
      <c r="FI168" s="476">
        <v>0</v>
      </c>
      <c r="FJ168" s="476">
        <v>0</v>
      </c>
      <c r="FK168" s="476">
        <v>21090.858</v>
      </c>
      <c r="FL168" s="476">
        <v>152062427</v>
      </c>
      <c r="FM168" s="476">
        <v>0</v>
      </c>
      <c r="FN168" s="476">
        <v>0</v>
      </c>
      <c r="FO168" s="476">
        <v>144</v>
      </c>
      <c r="FP168" s="476">
        <v>0</v>
      </c>
      <c r="FQ168" s="476">
        <v>144</v>
      </c>
      <c r="FR168" s="476">
        <v>144</v>
      </c>
      <c r="FS168" s="476">
        <v>0</v>
      </c>
      <c r="FT168" s="476">
        <v>0</v>
      </c>
      <c r="FU168" s="476">
        <v>0</v>
      </c>
      <c r="FV168" s="476">
        <v>0</v>
      </c>
      <c r="FW168" s="476">
        <v>0</v>
      </c>
      <c r="FX168" s="476">
        <v>0</v>
      </c>
      <c r="FY168" s="476">
        <v>0</v>
      </c>
      <c r="FZ168" s="476">
        <v>0</v>
      </c>
      <c r="GA168" s="476">
        <v>0</v>
      </c>
      <c r="GB168" s="476">
        <v>1634459</v>
      </c>
      <c r="GC168" s="476">
        <v>1634459</v>
      </c>
      <c r="GD168" s="476">
        <v>165.46200000000002</v>
      </c>
      <c r="GE168" s="476">
        <v>0</v>
      </c>
      <c r="GF168" s="476">
        <v>0</v>
      </c>
      <c r="GG168" s="476">
        <v>0</v>
      </c>
      <c r="GH168" s="476">
        <v>0</v>
      </c>
      <c r="GI168" s="476">
        <v>0</v>
      </c>
      <c r="GJ168" s="476">
        <v>0</v>
      </c>
      <c r="GK168" s="476">
        <v>0</v>
      </c>
      <c r="GL168" s="476">
        <v>0</v>
      </c>
      <c r="GM168" s="476">
        <v>0</v>
      </c>
      <c r="GN168" s="476">
        <v>0</v>
      </c>
      <c r="GO168" s="476">
        <v>0</v>
      </c>
      <c r="GP168" s="476">
        <v>0</v>
      </c>
      <c r="GQ168" s="476">
        <v>143254156</v>
      </c>
      <c r="GR168" s="476">
        <v>0</v>
      </c>
      <c r="GS168" s="476">
        <v>0</v>
      </c>
      <c r="GT168" s="476">
        <v>0</v>
      </c>
      <c r="GU168" s="476">
        <v>0</v>
      </c>
      <c r="GV168" s="476">
        <v>0</v>
      </c>
      <c r="GW168" s="476">
        <v>0</v>
      </c>
      <c r="GX168" s="476">
        <v>0</v>
      </c>
      <c r="GY168" s="476">
        <v>0</v>
      </c>
      <c r="GZ168" s="476">
        <v>0</v>
      </c>
      <c r="HA168" s="476">
        <v>0</v>
      </c>
      <c r="HB168" s="476">
        <v>323396213</v>
      </c>
      <c r="HC168" s="476">
        <v>4.2206E-2</v>
      </c>
      <c r="HD168" s="476">
        <v>2547601</v>
      </c>
      <c r="HE168" s="476">
        <v>0</v>
      </c>
      <c r="HF168" s="476">
        <v>16136281</v>
      </c>
      <c r="HG168" s="476">
        <v>574099</v>
      </c>
      <c r="HH168" s="476">
        <v>1657562</v>
      </c>
      <c r="HI168" s="476">
        <v>0</v>
      </c>
      <c r="HJ168" s="476">
        <v>150902</v>
      </c>
      <c r="HK168" s="476">
        <v>34567</v>
      </c>
      <c r="HL168" s="476">
        <v>9158</v>
      </c>
      <c r="HM168" s="476">
        <v>511000</v>
      </c>
      <c r="HN168" s="476">
        <v>0</v>
      </c>
      <c r="HO168" s="476">
        <v>0</v>
      </c>
      <c r="HP168" s="476">
        <v>0</v>
      </c>
      <c r="HQ168" s="476">
        <v>0</v>
      </c>
      <c r="HR168" s="476">
        <v>0</v>
      </c>
      <c r="HS168" s="476">
        <v>123678054</v>
      </c>
      <c r="HT168" s="476">
        <v>2801484</v>
      </c>
      <c r="HU168" s="476">
        <v>0</v>
      </c>
      <c r="HV168" s="476">
        <v>0</v>
      </c>
      <c r="HW168" s="476">
        <v>0</v>
      </c>
      <c r="HX168" s="476">
        <v>1753</v>
      </c>
      <c r="HY168" s="476">
        <v>1324</v>
      </c>
      <c r="HZ168" s="476">
        <v>1118</v>
      </c>
      <c r="IA168" s="476">
        <v>1095</v>
      </c>
      <c r="IB168" s="476">
        <v>1044</v>
      </c>
      <c r="IC168" s="476">
        <v>6334</v>
      </c>
      <c r="ID168" s="476">
        <v>0</v>
      </c>
      <c r="IE168" s="476">
        <v>0</v>
      </c>
      <c r="IF168" s="476">
        <v>0</v>
      </c>
      <c r="IG168" s="476">
        <v>932</v>
      </c>
      <c r="IH168" s="476">
        <v>2690.9079999999999</v>
      </c>
      <c r="II168" s="476">
        <v>0</v>
      </c>
      <c r="IJ168" s="476">
        <v>1525.3230000000001</v>
      </c>
      <c r="IK168" s="476">
        <v>26.18</v>
      </c>
      <c r="IL168" s="476">
        <v>28</v>
      </c>
      <c r="IM168" s="476">
        <v>121</v>
      </c>
      <c r="IN168" s="476">
        <v>4</v>
      </c>
      <c r="IO168" s="476">
        <v>153</v>
      </c>
      <c r="IP168" s="476">
        <v>26.18</v>
      </c>
      <c r="IQ168" s="476">
        <v>1525.3230000000001</v>
      </c>
      <c r="IR168" s="476">
        <v>939578</v>
      </c>
      <c r="IS168" s="476">
        <v>7200</v>
      </c>
      <c r="IT168" s="476">
        <v>140000</v>
      </c>
      <c r="IU168" s="476">
        <v>363000</v>
      </c>
      <c r="IV168" s="476">
        <v>8000</v>
      </c>
      <c r="IW168" s="476">
        <v>6160</v>
      </c>
      <c r="IX168" s="476">
        <v>0</v>
      </c>
      <c r="IY168" s="476">
        <v>0</v>
      </c>
      <c r="IZ168" s="476">
        <v>7200</v>
      </c>
      <c r="JA168" s="476">
        <v>0</v>
      </c>
      <c r="JB168" s="476">
        <v>0</v>
      </c>
      <c r="JC168" s="476">
        <v>0</v>
      </c>
      <c r="JD168" s="476">
        <v>0</v>
      </c>
      <c r="JE168" s="476">
        <v>0</v>
      </c>
      <c r="JF168" s="476">
        <v>0</v>
      </c>
      <c r="JG168" s="476">
        <v>0</v>
      </c>
      <c r="JH168" s="476">
        <v>0</v>
      </c>
      <c r="JI168" s="476">
        <v>0</v>
      </c>
      <c r="JJ168" s="476">
        <v>0</v>
      </c>
      <c r="JK168" s="476">
        <v>0</v>
      </c>
      <c r="JL168" s="476">
        <v>0</v>
      </c>
      <c r="JM168" s="476">
        <v>0</v>
      </c>
      <c r="JN168" s="476">
        <v>32469</v>
      </c>
      <c r="JO168" s="476">
        <v>7.9580000000000002</v>
      </c>
      <c r="JP168" s="476">
        <v>80.076999999999998</v>
      </c>
      <c r="JQ168" s="476">
        <v>77.427000000000007</v>
      </c>
      <c r="JR168" s="476">
        <v>63570</v>
      </c>
      <c r="JS168" s="476">
        <v>744345</v>
      </c>
      <c r="JT168" s="476">
        <v>826544</v>
      </c>
      <c r="JU168" s="476">
        <v>0</v>
      </c>
      <c r="JV168" s="476">
        <v>0</v>
      </c>
      <c r="JW168" s="476">
        <v>0</v>
      </c>
      <c r="JX168" s="476">
        <v>0</v>
      </c>
      <c r="JY168" s="476">
        <v>0</v>
      </c>
      <c r="JZ168" s="476">
        <v>0</v>
      </c>
      <c r="KA168" s="476">
        <v>0</v>
      </c>
      <c r="KB168" s="476">
        <v>0</v>
      </c>
      <c r="KC168" s="476">
        <v>0</v>
      </c>
      <c r="KD168" s="476">
        <v>0</v>
      </c>
      <c r="KE168" s="476">
        <v>7262</v>
      </c>
      <c r="KF168" s="476">
        <v>0</v>
      </c>
      <c r="KG168" s="476">
        <v>0</v>
      </c>
      <c r="KH168" s="476">
        <v>143254156</v>
      </c>
      <c r="KI168" s="476">
        <v>0</v>
      </c>
      <c r="KJ168" s="476">
        <v>266</v>
      </c>
      <c r="KK168" s="476">
        <v>666</v>
      </c>
      <c r="KL168" s="476">
        <v>163852</v>
      </c>
      <c r="KM168" s="476">
        <v>410247</v>
      </c>
      <c r="KN168" s="476">
        <v>0</v>
      </c>
    </row>
    <row r="169" spans="1:300" x14ac:dyDescent="0.25">
      <c r="A169" s="476">
        <v>40976</v>
      </c>
      <c r="B169" s="476">
        <v>226801</v>
      </c>
      <c r="C169" s="476">
        <v>9</v>
      </c>
      <c r="D169" s="476">
        <v>2024</v>
      </c>
      <c r="E169" s="476">
        <v>6160</v>
      </c>
      <c r="F169" s="476">
        <v>0</v>
      </c>
      <c r="G169" s="476">
        <v>3477.3320000000003</v>
      </c>
      <c r="H169" s="476">
        <v>3146.701</v>
      </c>
      <c r="I169" s="476">
        <v>3146.701</v>
      </c>
      <c r="J169" s="476">
        <v>3477.3320000000003</v>
      </c>
      <c r="K169" s="476">
        <v>0</v>
      </c>
      <c r="L169" s="476">
        <v>6160</v>
      </c>
      <c r="M169" s="476">
        <v>0</v>
      </c>
      <c r="N169" s="476">
        <v>0</v>
      </c>
      <c r="O169" s="476">
        <v>0</v>
      </c>
      <c r="P169" s="476">
        <v>3481.3920000000003</v>
      </c>
      <c r="Q169" s="476">
        <v>0</v>
      </c>
      <c r="R169" s="476">
        <v>1444374</v>
      </c>
      <c r="S169" s="476">
        <v>414.88400000000001</v>
      </c>
      <c r="T169" s="476">
        <v>0</v>
      </c>
      <c r="U169" s="476">
        <v>0</v>
      </c>
      <c r="V169" s="476">
        <v>95.375</v>
      </c>
      <c r="W169" s="476">
        <v>58750</v>
      </c>
      <c r="X169" s="476">
        <v>58750</v>
      </c>
      <c r="Y169" s="476">
        <v>0</v>
      </c>
      <c r="Z169" s="476">
        <v>0</v>
      </c>
      <c r="AA169" s="476">
        <v>0</v>
      </c>
      <c r="AB169" s="476">
        <v>0</v>
      </c>
      <c r="AC169" s="476">
        <v>0</v>
      </c>
      <c r="AD169" s="476" t="s">
        <v>314</v>
      </c>
      <c r="AE169" s="476">
        <v>0</v>
      </c>
      <c r="AF169" s="476">
        <v>0</v>
      </c>
      <c r="AG169" s="476">
        <v>0</v>
      </c>
      <c r="AH169" s="476">
        <v>0</v>
      </c>
      <c r="AI169" s="476">
        <v>0</v>
      </c>
      <c r="AJ169" s="476">
        <v>6160</v>
      </c>
      <c r="AK169" s="476" t="s">
        <v>651</v>
      </c>
      <c r="AL169" s="476" t="s">
        <v>639</v>
      </c>
      <c r="AM169" s="476">
        <v>0</v>
      </c>
      <c r="AN169" s="476">
        <v>0</v>
      </c>
      <c r="AO169" s="476">
        <v>0</v>
      </c>
      <c r="AP169" s="476">
        <v>0</v>
      </c>
      <c r="AQ169" s="476">
        <v>0</v>
      </c>
      <c r="AR169" s="476">
        <v>0</v>
      </c>
      <c r="AS169" s="476">
        <v>0</v>
      </c>
      <c r="AT169" s="476">
        <v>0</v>
      </c>
      <c r="AU169" s="476">
        <v>0</v>
      </c>
      <c r="AV169" s="476">
        <v>0</v>
      </c>
      <c r="AW169" s="476">
        <v>35219816</v>
      </c>
      <c r="AX169" s="476">
        <v>34640930</v>
      </c>
      <c r="AY169" s="476">
        <v>0</v>
      </c>
      <c r="AZ169" s="476">
        <v>1444374</v>
      </c>
      <c r="BA169" s="476">
        <v>0</v>
      </c>
      <c r="BB169" s="476">
        <v>0</v>
      </c>
      <c r="BC169" s="476">
        <v>0</v>
      </c>
      <c r="BD169" s="476">
        <v>0</v>
      </c>
      <c r="BE169" s="476">
        <v>0</v>
      </c>
      <c r="BF169" s="476">
        <v>31284784</v>
      </c>
      <c r="BG169" s="476">
        <v>0</v>
      </c>
      <c r="BH169" s="476">
        <v>0</v>
      </c>
      <c r="BI169" s="476">
        <v>0</v>
      </c>
      <c r="BJ169" s="476">
        <v>12</v>
      </c>
      <c r="BK169" s="476">
        <v>0</v>
      </c>
      <c r="BL169" s="476">
        <v>0</v>
      </c>
      <c r="BM169" s="476">
        <v>0</v>
      </c>
      <c r="BN169" s="476">
        <v>0</v>
      </c>
      <c r="BO169" s="476">
        <v>0</v>
      </c>
      <c r="BP169" s="476">
        <v>0</v>
      </c>
      <c r="BQ169" s="476">
        <v>285</v>
      </c>
      <c r="BR169" s="476">
        <v>0</v>
      </c>
      <c r="BS169" s="476">
        <v>0</v>
      </c>
      <c r="BT169" s="476">
        <v>0</v>
      </c>
      <c r="BU169" s="476">
        <v>0</v>
      </c>
      <c r="BV169" s="476">
        <v>0</v>
      </c>
      <c r="BW169" s="476">
        <v>0</v>
      </c>
      <c r="BX169" s="476">
        <v>0</v>
      </c>
      <c r="BY169" s="476">
        <v>0</v>
      </c>
      <c r="BZ169" s="476">
        <v>0</v>
      </c>
      <c r="CA169" s="476">
        <v>0</v>
      </c>
      <c r="CB169" s="476">
        <v>0</v>
      </c>
      <c r="CC169" s="476">
        <v>0</v>
      </c>
      <c r="CD169" s="476">
        <v>0</v>
      </c>
      <c r="CE169" s="476">
        <v>0</v>
      </c>
      <c r="CF169" s="476">
        <v>0</v>
      </c>
      <c r="CG169" s="476">
        <v>0</v>
      </c>
      <c r="CH169" s="476">
        <v>587061</v>
      </c>
      <c r="CI169" s="476">
        <v>0</v>
      </c>
      <c r="CJ169" s="476">
        <v>4</v>
      </c>
      <c r="CK169" s="476">
        <v>0</v>
      </c>
      <c r="CL169" s="476">
        <v>0</v>
      </c>
      <c r="CM169" s="476">
        <v>0</v>
      </c>
      <c r="CN169" s="476">
        <v>0</v>
      </c>
      <c r="CO169" s="476">
        <v>1</v>
      </c>
      <c r="CP169" s="476">
        <v>0</v>
      </c>
      <c r="CQ169" s="476">
        <v>0</v>
      </c>
      <c r="CR169" s="476">
        <v>3477.3320000000003</v>
      </c>
      <c r="CS169" s="476">
        <v>0</v>
      </c>
      <c r="CT169" s="476">
        <v>0</v>
      </c>
      <c r="CU169" s="476">
        <v>0</v>
      </c>
      <c r="CV169" s="476">
        <v>0</v>
      </c>
      <c r="CW169" s="476">
        <v>0</v>
      </c>
      <c r="CX169" s="476">
        <v>0</v>
      </c>
      <c r="CY169" s="476">
        <v>0</v>
      </c>
      <c r="CZ169" s="476">
        <v>0</v>
      </c>
      <c r="DA169" s="476">
        <v>0</v>
      </c>
      <c r="DB169" s="476">
        <v>19383238</v>
      </c>
      <c r="DC169" s="476">
        <v>0</v>
      </c>
      <c r="DD169" s="476">
        <v>0</v>
      </c>
      <c r="DE169" s="476">
        <v>3112654</v>
      </c>
      <c r="DF169" s="476">
        <v>3112654</v>
      </c>
      <c r="DG169" s="476">
        <v>505.31300000000005</v>
      </c>
      <c r="DH169" s="476">
        <v>0</v>
      </c>
      <c r="DI169" s="476">
        <v>0</v>
      </c>
      <c r="DJ169" s="476">
        <v>0</v>
      </c>
      <c r="DK169" s="476">
        <v>0</v>
      </c>
      <c r="DL169" s="476">
        <v>0</v>
      </c>
      <c r="DM169" s="476">
        <v>2377842</v>
      </c>
      <c r="DN169" s="476">
        <v>8175</v>
      </c>
      <c r="DO169" s="476">
        <v>0</v>
      </c>
      <c r="DP169" s="476">
        <v>0</v>
      </c>
      <c r="DQ169" s="476">
        <v>0</v>
      </c>
      <c r="DR169" s="476">
        <v>0</v>
      </c>
      <c r="DS169" s="476">
        <v>0</v>
      </c>
      <c r="DT169" s="476">
        <v>0</v>
      </c>
      <c r="DU169" s="476">
        <v>0</v>
      </c>
      <c r="DV169" s="476">
        <v>0</v>
      </c>
      <c r="DW169" s="476">
        <v>0</v>
      </c>
      <c r="DX169" s="476">
        <v>0</v>
      </c>
      <c r="DY169" s="476">
        <v>0</v>
      </c>
      <c r="DZ169" s="476">
        <v>0</v>
      </c>
      <c r="EA169" s="476">
        <v>0</v>
      </c>
      <c r="EB169" s="476">
        <v>0</v>
      </c>
      <c r="EC169" s="476">
        <v>96.14800000000001</v>
      </c>
      <c r="ED169" s="476">
        <v>681097</v>
      </c>
      <c r="EE169" s="476">
        <v>0</v>
      </c>
      <c r="EF169" s="476">
        <v>0</v>
      </c>
      <c r="EG169" s="476">
        <v>0</v>
      </c>
      <c r="EH169" s="476">
        <v>1704920</v>
      </c>
      <c r="EI169" s="476">
        <v>0</v>
      </c>
      <c r="EJ169" s="476">
        <v>0</v>
      </c>
      <c r="EK169" s="476">
        <v>69.625</v>
      </c>
      <c r="EL169" s="476">
        <v>0</v>
      </c>
      <c r="EM169" s="476">
        <v>13.563000000000001</v>
      </c>
      <c r="EN169" s="476">
        <v>5.4430000000000005</v>
      </c>
      <c r="EO169" s="476">
        <v>0</v>
      </c>
      <c r="EP169" s="476">
        <v>0</v>
      </c>
      <c r="EQ169" s="476">
        <v>88.631</v>
      </c>
      <c r="ER169" s="476">
        <v>0</v>
      </c>
      <c r="ES169" s="476">
        <v>276.779</v>
      </c>
      <c r="ET169" s="476">
        <v>0</v>
      </c>
      <c r="EU169" s="476">
        <v>0</v>
      </c>
      <c r="EV169" s="476">
        <v>0</v>
      </c>
      <c r="EW169" s="476">
        <v>0</v>
      </c>
      <c r="EX169" s="476">
        <v>0</v>
      </c>
      <c r="EY169" s="476">
        <v>0</v>
      </c>
      <c r="EZ169" s="476">
        <v>29926879</v>
      </c>
      <c r="FA169" s="476">
        <v>0</v>
      </c>
      <c r="FB169" s="476">
        <v>31363078</v>
      </c>
      <c r="FC169" s="476">
        <v>0</v>
      </c>
      <c r="FD169" s="476">
        <v>0</v>
      </c>
      <c r="FE169" s="476">
        <v>4039436</v>
      </c>
      <c r="FF169" s="476">
        <v>674615</v>
      </c>
      <c r="FG169" s="476">
        <v>6.3017999999999991E-2</v>
      </c>
      <c r="FH169" s="476">
        <v>2.6953999999999999E-2</v>
      </c>
      <c r="FI169" s="476">
        <v>0</v>
      </c>
      <c r="FJ169" s="476">
        <v>0</v>
      </c>
      <c r="FK169" s="476">
        <v>5078.8140000000003</v>
      </c>
      <c r="FL169" s="476">
        <v>36664190</v>
      </c>
      <c r="FM169" s="476">
        <v>0</v>
      </c>
      <c r="FN169" s="476">
        <v>0</v>
      </c>
      <c r="FO169" s="476">
        <v>75758</v>
      </c>
      <c r="FP169" s="476">
        <v>0</v>
      </c>
      <c r="FQ169" s="476">
        <v>75758</v>
      </c>
      <c r="FR169" s="476">
        <v>75758</v>
      </c>
      <c r="FS169" s="476">
        <v>0</v>
      </c>
      <c r="FT169" s="476">
        <v>0</v>
      </c>
      <c r="FU169" s="476">
        <v>0</v>
      </c>
      <c r="FV169" s="476">
        <v>0</v>
      </c>
      <c r="FW169" s="476">
        <v>0</v>
      </c>
      <c r="FX169" s="476">
        <v>0</v>
      </c>
      <c r="FY169" s="476">
        <v>0</v>
      </c>
      <c r="FZ169" s="476">
        <v>0</v>
      </c>
      <c r="GA169" s="476">
        <v>0</v>
      </c>
      <c r="GB169" s="476">
        <v>2287516</v>
      </c>
      <c r="GC169" s="476">
        <v>2287516</v>
      </c>
      <c r="GD169" s="476">
        <v>242</v>
      </c>
      <c r="GE169" s="476">
        <v>0</v>
      </c>
      <c r="GF169" s="476">
        <v>0</v>
      </c>
      <c r="GG169" s="476">
        <v>0</v>
      </c>
      <c r="GH169" s="476">
        <v>0</v>
      </c>
      <c r="GI169" s="476">
        <v>0</v>
      </c>
      <c r="GJ169" s="476">
        <v>0</v>
      </c>
      <c r="GK169" s="476">
        <v>0</v>
      </c>
      <c r="GL169" s="476">
        <v>0</v>
      </c>
      <c r="GM169" s="476">
        <v>0</v>
      </c>
      <c r="GN169" s="476">
        <v>0</v>
      </c>
      <c r="GO169" s="476">
        <v>0</v>
      </c>
      <c r="GP169" s="476">
        <v>0</v>
      </c>
      <c r="GQ169" s="476">
        <v>34632755</v>
      </c>
      <c r="GR169" s="476">
        <v>0</v>
      </c>
      <c r="GS169" s="476">
        <v>0</v>
      </c>
      <c r="GT169" s="476">
        <v>0</v>
      </c>
      <c r="GU169" s="476">
        <v>0</v>
      </c>
      <c r="GV169" s="476">
        <v>0</v>
      </c>
      <c r="GW169" s="476">
        <v>0</v>
      </c>
      <c r="GX169" s="476">
        <v>0</v>
      </c>
      <c r="GY169" s="476">
        <v>0</v>
      </c>
      <c r="GZ169" s="476">
        <v>0</v>
      </c>
      <c r="HA169" s="476">
        <v>0</v>
      </c>
      <c r="HB169" s="476">
        <v>323396213</v>
      </c>
      <c r="HC169" s="476">
        <v>4.2206E-2</v>
      </c>
      <c r="HD169" s="476">
        <v>587061</v>
      </c>
      <c r="HE169" s="476">
        <v>0</v>
      </c>
      <c r="HF169" s="476">
        <v>3467665</v>
      </c>
      <c r="HG169" s="476">
        <v>101638</v>
      </c>
      <c r="HH169" s="476">
        <v>452533</v>
      </c>
      <c r="HI169" s="476">
        <v>0</v>
      </c>
      <c r="HJ169" s="476">
        <v>34773</v>
      </c>
      <c r="HK169" s="476">
        <v>9546</v>
      </c>
      <c r="HL169" s="476">
        <v>1165</v>
      </c>
      <c r="HM169" s="476">
        <v>0</v>
      </c>
      <c r="HN169" s="476">
        <v>0</v>
      </c>
      <c r="HO169" s="476">
        <v>0</v>
      </c>
      <c r="HP169" s="476">
        <v>0</v>
      </c>
      <c r="HQ169" s="476">
        <v>0</v>
      </c>
      <c r="HR169" s="476">
        <v>0</v>
      </c>
      <c r="HS169" s="476">
        <v>29918704</v>
      </c>
      <c r="HT169" s="476">
        <v>674615</v>
      </c>
      <c r="HU169" s="476">
        <v>0</v>
      </c>
      <c r="HV169" s="476">
        <v>0</v>
      </c>
      <c r="HW169" s="476">
        <v>0</v>
      </c>
      <c r="HX169" s="476">
        <v>397</v>
      </c>
      <c r="HY169" s="476">
        <v>489</v>
      </c>
      <c r="HZ169" s="476">
        <v>389</v>
      </c>
      <c r="IA169" s="476">
        <v>424</v>
      </c>
      <c r="IB169" s="476">
        <v>332</v>
      </c>
      <c r="IC169" s="476">
        <v>2031</v>
      </c>
      <c r="ID169" s="476">
        <v>0</v>
      </c>
      <c r="IE169" s="476">
        <v>0</v>
      </c>
      <c r="IF169" s="476">
        <v>0</v>
      </c>
      <c r="IG169" s="476">
        <v>165</v>
      </c>
      <c r="IH169" s="476">
        <v>734.64800000000002</v>
      </c>
      <c r="II169" s="476">
        <v>0</v>
      </c>
      <c r="IJ169" s="476">
        <v>95.375</v>
      </c>
      <c r="IK169" s="476">
        <v>0</v>
      </c>
      <c r="IL169" s="476">
        <v>0</v>
      </c>
      <c r="IM169" s="476">
        <v>0</v>
      </c>
      <c r="IN169" s="476">
        <v>0</v>
      </c>
      <c r="IO169" s="476">
        <v>0</v>
      </c>
      <c r="IP169" s="476">
        <v>0</v>
      </c>
      <c r="IQ169" s="476">
        <v>95.375</v>
      </c>
      <c r="IR169" s="476">
        <v>58750</v>
      </c>
      <c r="IS169" s="476">
        <v>0</v>
      </c>
      <c r="IT169" s="476">
        <v>0</v>
      </c>
      <c r="IU169" s="476">
        <v>0</v>
      </c>
      <c r="IV169" s="476">
        <v>0</v>
      </c>
      <c r="IW169" s="476">
        <v>6160</v>
      </c>
      <c r="IX169" s="476">
        <v>0</v>
      </c>
      <c r="IY169" s="476">
        <v>0</v>
      </c>
      <c r="IZ169" s="476">
        <v>0</v>
      </c>
      <c r="JA169" s="476">
        <v>0</v>
      </c>
      <c r="JB169" s="476">
        <v>0</v>
      </c>
      <c r="JC169" s="476">
        <v>0</v>
      </c>
      <c r="JD169" s="476">
        <v>0</v>
      </c>
      <c r="JE169" s="476">
        <v>0</v>
      </c>
      <c r="JF169" s="476">
        <v>0</v>
      </c>
      <c r="JG169" s="476">
        <v>0</v>
      </c>
      <c r="JH169" s="476">
        <v>0</v>
      </c>
      <c r="JI169" s="476">
        <v>0</v>
      </c>
      <c r="JJ169" s="476">
        <v>0</v>
      </c>
      <c r="JK169" s="476">
        <v>0</v>
      </c>
      <c r="JL169" s="476">
        <v>0</v>
      </c>
      <c r="JM169" s="476">
        <v>0</v>
      </c>
      <c r="JN169" s="476">
        <v>32469</v>
      </c>
      <c r="JO169" s="476">
        <v>19.938000000000002</v>
      </c>
      <c r="JP169" s="476">
        <v>175.60500000000002</v>
      </c>
      <c r="JQ169" s="476">
        <v>46.457000000000001</v>
      </c>
      <c r="JR169" s="476">
        <v>159269</v>
      </c>
      <c r="JS169" s="476">
        <v>1632312</v>
      </c>
      <c r="JT169" s="476">
        <v>495935</v>
      </c>
      <c r="JU169" s="476">
        <v>0</v>
      </c>
      <c r="JV169" s="476">
        <v>0</v>
      </c>
      <c r="JW169" s="476">
        <v>0</v>
      </c>
      <c r="JX169" s="476">
        <v>0</v>
      </c>
      <c r="JY169" s="476">
        <v>0</v>
      </c>
      <c r="JZ169" s="476">
        <v>0</v>
      </c>
      <c r="KA169" s="476">
        <v>0</v>
      </c>
      <c r="KB169" s="476">
        <v>0</v>
      </c>
      <c r="KC169" s="476">
        <v>0</v>
      </c>
      <c r="KD169" s="476">
        <v>0</v>
      </c>
      <c r="KE169" s="476">
        <v>7262</v>
      </c>
      <c r="KF169" s="476">
        <v>0</v>
      </c>
      <c r="KG169" s="476">
        <v>0</v>
      </c>
      <c r="KH169" s="476">
        <v>34632755</v>
      </c>
      <c r="KI169" s="476">
        <v>0</v>
      </c>
      <c r="KJ169" s="476">
        <v>37</v>
      </c>
      <c r="KK169" s="476">
        <v>128</v>
      </c>
      <c r="KL169" s="476">
        <v>22791</v>
      </c>
      <c r="KM169" s="476">
        <v>78846</v>
      </c>
      <c r="KN169" s="476">
        <v>0</v>
      </c>
    </row>
    <row r="170" spans="1:300" x14ac:dyDescent="0.25">
      <c r="A170" s="476">
        <v>40976</v>
      </c>
      <c r="B170" s="476">
        <v>227803</v>
      </c>
      <c r="C170" s="476">
        <v>9</v>
      </c>
      <c r="D170" s="476">
        <v>2024</v>
      </c>
      <c r="E170" s="476">
        <v>6160</v>
      </c>
      <c r="F170" s="476">
        <v>0</v>
      </c>
      <c r="G170" s="476">
        <v>1444.24</v>
      </c>
      <c r="H170" s="476">
        <v>1330.376</v>
      </c>
      <c r="I170" s="476">
        <v>1330.376</v>
      </c>
      <c r="J170" s="476">
        <v>1444.24</v>
      </c>
      <c r="K170" s="476">
        <v>0</v>
      </c>
      <c r="L170" s="476">
        <v>6160</v>
      </c>
      <c r="M170" s="476">
        <v>0</v>
      </c>
      <c r="N170" s="476">
        <v>0</v>
      </c>
      <c r="O170" s="476">
        <v>0</v>
      </c>
      <c r="P170" s="476">
        <v>1448.9750000000001</v>
      </c>
      <c r="Q170" s="476">
        <v>0</v>
      </c>
      <c r="R170" s="476">
        <v>601157</v>
      </c>
      <c r="S170" s="476">
        <v>414.88400000000001</v>
      </c>
      <c r="T170" s="476">
        <v>0</v>
      </c>
      <c r="U170" s="476">
        <v>0</v>
      </c>
      <c r="V170" s="476">
        <v>611.06100000000004</v>
      </c>
      <c r="W170" s="476">
        <v>376405</v>
      </c>
      <c r="X170" s="476">
        <v>376405</v>
      </c>
      <c r="Y170" s="476">
        <v>0</v>
      </c>
      <c r="Z170" s="476">
        <v>0</v>
      </c>
      <c r="AA170" s="476">
        <v>0</v>
      </c>
      <c r="AB170" s="476">
        <v>0</v>
      </c>
      <c r="AC170" s="476">
        <v>0</v>
      </c>
      <c r="AD170" s="476" t="s">
        <v>314</v>
      </c>
      <c r="AE170" s="476">
        <v>0</v>
      </c>
      <c r="AF170" s="476">
        <v>0</v>
      </c>
      <c r="AG170" s="476">
        <v>0</v>
      </c>
      <c r="AH170" s="476">
        <v>0</v>
      </c>
      <c r="AI170" s="476">
        <v>0</v>
      </c>
      <c r="AJ170" s="476">
        <v>6160</v>
      </c>
      <c r="AK170" s="476" t="s">
        <v>651</v>
      </c>
      <c r="AL170" s="476" t="s">
        <v>364</v>
      </c>
      <c r="AM170" s="476">
        <v>0</v>
      </c>
      <c r="AN170" s="476">
        <v>0</v>
      </c>
      <c r="AO170" s="476">
        <v>0</v>
      </c>
      <c r="AP170" s="476">
        <v>0</v>
      </c>
      <c r="AQ170" s="476">
        <v>0</v>
      </c>
      <c r="AR170" s="476">
        <v>0</v>
      </c>
      <c r="AS170" s="476">
        <v>0</v>
      </c>
      <c r="AT170" s="476">
        <v>0</v>
      </c>
      <c r="AU170" s="476">
        <v>0</v>
      </c>
      <c r="AV170" s="476">
        <v>0</v>
      </c>
      <c r="AW170" s="476">
        <v>16441069</v>
      </c>
      <c r="AX170" s="476">
        <v>16203105</v>
      </c>
      <c r="AY170" s="476">
        <v>0</v>
      </c>
      <c r="AZ170" s="476">
        <v>601157</v>
      </c>
      <c r="BA170" s="476">
        <v>71.832999999999998</v>
      </c>
      <c r="BB170" s="476">
        <v>0</v>
      </c>
      <c r="BC170" s="476">
        <v>0</v>
      </c>
      <c r="BD170" s="476">
        <v>0</v>
      </c>
      <c r="BE170" s="476">
        <v>0</v>
      </c>
      <c r="BF170" s="476">
        <v>14600929</v>
      </c>
      <c r="BG170" s="476">
        <v>0</v>
      </c>
      <c r="BH170" s="476">
        <v>0</v>
      </c>
      <c r="BI170" s="476">
        <v>0</v>
      </c>
      <c r="BJ170" s="476">
        <v>12</v>
      </c>
      <c r="BK170" s="476">
        <v>0</v>
      </c>
      <c r="BL170" s="476">
        <v>0</v>
      </c>
      <c r="BM170" s="476">
        <v>0</v>
      </c>
      <c r="BN170" s="476">
        <v>0</v>
      </c>
      <c r="BO170" s="476">
        <v>0</v>
      </c>
      <c r="BP170" s="476">
        <v>0</v>
      </c>
      <c r="BQ170" s="476">
        <v>565</v>
      </c>
      <c r="BR170" s="476">
        <v>0</v>
      </c>
      <c r="BS170" s="476">
        <v>0</v>
      </c>
      <c r="BT170" s="476">
        <v>0</v>
      </c>
      <c r="BU170" s="476">
        <v>0</v>
      </c>
      <c r="BV170" s="476">
        <v>0</v>
      </c>
      <c r="BW170" s="476">
        <v>0</v>
      </c>
      <c r="BX170" s="476">
        <v>0</v>
      </c>
      <c r="BY170" s="476">
        <v>0</v>
      </c>
      <c r="BZ170" s="476">
        <v>0</v>
      </c>
      <c r="CA170" s="476">
        <v>0</v>
      </c>
      <c r="CB170" s="476">
        <v>0</v>
      </c>
      <c r="CC170" s="476">
        <v>0</v>
      </c>
      <c r="CD170" s="476">
        <v>0</v>
      </c>
      <c r="CE170" s="476">
        <v>0</v>
      </c>
      <c r="CF170" s="476">
        <v>0</v>
      </c>
      <c r="CG170" s="476">
        <v>0</v>
      </c>
      <c r="CH170" s="476">
        <v>243824</v>
      </c>
      <c r="CI170" s="476">
        <v>0</v>
      </c>
      <c r="CJ170" s="476">
        <v>4</v>
      </c>
      <c r="CK170" s="476">
        <v>0</v>
      </c>
      <c r="CL170" s="476">
        <v>0</v>
      </c>
      <c r="CM170" s="476">
        <v>0</v>
      </c>
      <c r="CN170" s="476">
        <v>0</v>
      </c>
      <c r="CO170" s="476">
        <v>1</v>
      </c>
      <c r="CP170" s="476">
        <v>0</v>
      </c>
      <c r="CQ170" s="476">
        <v>2</v>
      </c>
      <c r="CR170" s="476">
        <v>1444.24</v>
      </c>
      <c r="CS170" s="476">
        <v>0</v>
      </c>
      <c r="CT170" s="476">
        <v>0</v>
      </c>
      <c r="CU170" s="476">
        <v>0</v>
      </c>
      <c r="CV170" s="476">
        <v>0</v>
      </c>
      <c r="CW170" s="476">
        <v>0</v>
      </c>
      <c r="CX170" s="476">
        <v>0</v>
      </c>
      <c r="CY170" s="476">
        <v>0</v>
      </c>
      <c r="CZ170" s="476">
        <v>0</v>
      </c>
      <c r="DA170" s="476">
        <v>0</v>
      </c>
      <c r="DB170" s="476">
        <v>8194930</v>
      </c>
      <c r="DC170" s="476">
        <v>0</v>
      </c>
      <c r="DD170" s="476">
        <v>0</v>
      </c>
      <c r="DE170" s="476">
        <v>2059934</v>
      </c>
      <c r="DF170" s="476">
        <v>2059934</v>
      </c>
      <c r="DG170" s="476">
        <v>334.41300000000001</v>
      </c>
      <c r="DH170" s="476">
        <v>0</v>
      </c>
      <c r="DI170" s="476">
        <v>0</v>
      </c>
      <c r="DJ170" s="476">
        <v>0</v>
      </c>
      <c r="DK170" s="476">
        <v>664</v>
      </c>
      <c r="DL170" s="476">
        <v>0</v>
      </c>
      <c r="DM170" s="476">
        <v>1704403</v>
      </c>
      <c r="DN170" s="476">
        <v>5860</v>
      </c>
      <c r="DO170" s="476">
        <v>0</v>
      </c>
      <c r="DP170" s="476">
        <v>0</v>
      </c>
      <c r="DQ170" s="476">
        <v>0</v>
      </c>
      <c r="DR170" s="476">
        <v>0</v>
      </c>
      <c r="DS170" s="476">
        <v>0</v>
      </c>
      <c r="DT170" s="476">
        <v>0</v>
      </c>
      <c r="DU170" s="476">
        <v>0</v>
      </c>
      <c r="DV170" s="476">
        <v>0</v>
      </c>
      <c r="DW170" s="476">
        <v>0</v>
      </c>
      <c r="DX170" s="476">
        <v>0</v>
      </c>
      <c r="DY170" s="476">
        <v>0</v>
      </c>
      <c r="DZ170" s="476">
        <v>0</v>
      </c>
      <c r="EA170" s="476">
        <v>2.5000000000000001E-2</v>
      </c>
      <c r="EB170" s="476">
        <v>0</v>
      </c>
      <c r="EC170" s="476">
        <v>53.548999999999999</v>
      </c>
      <c r="ED170" s="476">
        <v>379333</v>
      </c>
      <c r="EE170" s="476">
        <v>0</v>
      </c>
      <c r="EF170" s="476">
        <v>0</v>
      </c>
      <c r="EG170" s="476">
        <v>0</v>
      </c>
      <c r="EH170" s="476">
        <v>1330930</v>
      </c>
      <c r="EI170" s="476">
        <v>0</v>
      </c>
      <c r="EJ170" s="476">
        <v>0</v>
      </c>
      <c r="EK170" s="476">
        <v>61.805</v>
      </c>
      <c r="EL170" s="476">
        <v>0.14200000000000002</v>
      </c>
      <c r="EM170" s="476">
        <v>5.37</v>
      </c>
      <c r="EN170" s="476">
        <v>2.883</v>
      </c>
      <c r="EO170" s="476">
        <v>0</v>
      </c>
      <c r="EP170" s="476">
        <v>0</v>
      </c>
      <c r="EQ170" s="476">
        <v>70.082999999999998</v>
      </c>
      <c r="ER170" s="476">
        <v>0</v>
      </c>
      <c r="ES170" s="476">
        <v>216.065</v>
      </c>
      <c r="ET170" s="476">
        <v>0</v>
      </c>
      <c r="EU170" s="476">
        <v>0</v>
      </c>
      <c r="EV170" s="476">
        <v>0</v>
      </c>
      <c r="EW170" s="476">
        <v>0</v>
      </c>
      <c r="EX170" s="476">
        <v>0</v>
      </c>
      <c r="EY170" s="476">
        <v>0</v>
      </c>
      <c r="EZ170" s="476">
        <v>14003009</v>
      </c>
      <c r="FA170" s="476">
        <v>0</v>
      </c>
      <c r="FB170" s="476">
        <v>14598306</v>
      </c>
      <c r="FC170" s="476">
        <v>0</v>
      </c>
      <c r="FD170" s="476">
        <v>0</v>
      </c>
      <c r="FE170" s="476">
        <v>1885246</v>
      </c>
      <c r="FF170" s="476">
        <v>314850</v>
      </c>
      <c r="FG170" s="476">
        <v>6.3017999999999991E-2</v>
      </c>
      <c r="FH170" s="476">
        <v>2.6953999999999999E-2</v>
      </c>
      <c r="FI170" s="476">
        <v>0</v>
      </c>
      <c r="FJ170" s="476">
        <v>0</v>
      </c>
      <c r="FK170" s="476">
        <v>2370.3340000000003</v>
      </c>
      <c r="FL170" s="476">
        <v>17042226</v>
      </c>
      <c r="FM170" s="476">
        <v>0</v>
      </c>
      <c r="FN170" s="476">
        <v>0</v>
      </c>
      <c r="FO170" s="476">
        <v>0</v>
      </c>
      <c r="FP170" s="476">
        <v>0</v>
      </c>
      <c r="FQ170" s="476">
        <v>0</v>
      </c>
      <c r="FR170" s="476">
        <v>0</v>
      </c>
      <c r="FS170" s="476">
        <v>0</v>
      </c>
      <c r="FT170" s="476">
        <v>0</v>
      </c>
      <c r="FU170" s="476">
        <v>0</v>
      </c>
      <c r="FV170" s="476">
        <v>0</v>
      </c>
      <c r="FW170" s="476">
        <v>0</v>
      </c>
      <c r="FX170" s="476">
        <v>0</v>
      </c>
      <c r="FY170" s="476">
        <v>0</v>
      </c>
      <c r="FZ170" s="476">
        <v>0</v>
      </c>
      <c r="GA170" s="476">
        <v>0</v>
      </c>
      <c r="GB170" s="476">
        <v>410530</v>
      </c>
      <c r="GC170" s="476">
        <v>410530</v>
      </c>
      <c r="GD170" s="476">
        <v>43.780999999999999</v>
      </c>
      <c r="GE170" s="476">
        <v>0</v>
      </c>
      <c r="GF170" s="476">
        <v>0</v>
      </c>
      <c r="GG170" s="476">
        <v>0</v>
      </c>
      <c r="GH170" s="476">
        <v>0</v>
      </c>
      <c r="GI170" s="476">
        <v>0</v>
      </c>
      <c r="GJ170" s="476">
        <v>0</v>
      </c>
      <c r="GK170" s="476">
        <v>0</v>
      </c>
      <c r="GL170" s="476">
        <v>0</v>
      </c>
      <c r="GM170" s="476">
        <v>0</v>
      </c>
      <c r="GN170" s="476">
        <v>0</v>
      </c>
      <c r="GO170" s="476">
        <v>0</v>
      </c>
      <c r="GP170" s="476">
        <v>0</v>
      </c>
      <c r="GQ170" s="476">
        <v>16197245</v>
      </c>
      <c r="GR170" s="476">
        <v>0</v>
      </c>
      <c r="GS170" s="476">
        <v>0</v>
      </c>
      <c r="GT170" s="476">
        <v>0</v>
      </c>
      <c r="GU170" s="476">
        <v>0</v>
      </c>
      <c r="GV170" s="476">
        <v>0</v>
      </c>
      <c r="GW170" s="476">
        <v>0</v>
      </c>
      <c r="GX170" s="476">
        <v>0</v>
      </c>
      <c r="GY170" s="476">
        <v>0</v>
      </c>
      <c r="GZ170" s="476">
        <v>0</v>
      </c>
      <c r="HA170" s="476">
        <v>0</v>
      </c>
      <c r="HB170" s="476">
        <v>323396213</v>
      </c>
      <c r="HC170" s="476">
        <v>4.2206E-2</v>
      </c>
      <c r="HD170" s="476">
        <v>243824</v>
      </c>
      <c r="HE170" s="476">
        <v>0</v>
      </c>
      <c r="HF170" s="476">
        <v>1466074</v>
      </c>
      <c r="HG170" s="476">
        <v>43119</v>
      </c>
      <c r="HH170" s="476">
        <v>307232</v>
      </c>
      <c r="HI170" s="476">
        <v>0</v>
      </c>
      <c r="HJ170" s="476">
        <v>14442</v>
      </c>
      <c r="HK170" s="476">
        <v>2322</v>
      </c>
      <c r="HL170" s="476">
        <v>915</v>
      </c>
      <c r="HM170" s="476">
        <v>18000</v>
      </c>
      <c r="HN170" s="476">
        <v>0</v>
      </c>
      <c r="HO170" s="476">
        <v>0</v>
      </c>
      <c r="HP170" s="476">
        <v>0</v>
      </c>
      <c r="HQ170" s="476">
        <v>0</v>
      </c>
      <c r="HR170" s="476">
        <v>0</v>
      </c>
      <c r="HS170" s="476">
        <v>13997149</v>
      </c>
      <c r="HT170" s="476">
        <v>314850</v>
      </c>
      <c r="HU170" s="476">
        <v>0</v>
      </c>
      <c r="HV170" s="476">
        <v>0</v>
      </c>
      <c r="HW170" s="476">
        <v>0</v>
      </c>
      <c r="HX170" s="476">
        <v>223</v>
      </c>
      <c r="HY170" s="476">
        <v>325</v>
      </c>
      <c r="HZ170" s="476">
        <v>261</v>
      </c>
      <c r="IA170" s="476">
        <v>404</v>
      </c>
      <c r="IB170" s="476">
        <v>130</v>
      </c>
      <c r="IC170" s="476">
        <v>1343</v>
      </c>
      <c r="ID170" s="476">
        <v>0</v>
      </c>
      <c r="IE170" s="476">
        <v>0</v>
      </c>
      <c r="IF170" s="476">
        <v>0</v>
      </c>
      <c r="IG170" s="476">
        <v>70</v>
      </c>
      <c r="IH170" s="476">
        <v>498.76500000000004</v>
      </c>
      <c r="II170" s="476">
        <v>0</v>
      </c>
      <c r="IJ170" s="476">
        <v>611.06100000000004</v>
      </c>
      <c r="IK170" s="476">
        <v>0</v>
      </c>
      <c r="IL170" s="476">
        <v>3</v>
      </c>
      <c r="IM170" s="476">
        <v>1</v>
      </c>
      <c r="IN170" s="476">
        <v>0</v>
      </c>
      <c r="IO170" s="476">
        <v>4</v>
      </c>
      <c r="IP170" s="476">
        <v>0</v>
      </c>
      <c r="IQ170" s="476">
        <v>611.06100000000004</v>
      </c>
      <c r="IR170" s="476">
        <v>376405</v>
      </c>
      <c r="IS170" s="476">
        <v>0</v>
      </c>
      <c r="IT170" s="476">
        <v>15000</v>
      </c>
      <c r="IU170" s="476">
        <v>3000</v>
      </c>
      <c r="IV170" s="476">
        <v>0</v>
      </c>
      <c r="IW170" s="476">
        <v>6160</v>
      </c>
      <c r="IX170" s="476">
        <v>0</v>
      </c>
      <c r="IY170" s="476">
        <v>0</v>
      </c>
      <c r="IZ170" s="476">
        <v>0</v>
      </c>
      <c r="JA170" s="476">
        <v>0</v>
      </c>
      <c r="JB170" s="476">
        <v>0</v>
      </c>
      <c r="JC170" s="476">
        <v>0</v>
      </c>
      <c r="JD170" s="476">
        <v>0</v>
      </c>
      <c r="JE170" s="476">
        <v>0</v>
      </c>
      <c r="JF170" s="476">
        <v>0</v>
      </c>
      <c r="JG170" s="476">
        <v>0</v>
      </c>
      <c r="JH170" s="476">
        <v>0</v>
      </c>
      <c r="JI170" s="476">
        <v>0</v>
      </c>
      <c r="JJ170" s="476">
        <v>0</v>
      </c>
      <c r="JK170" s="476">
        <v>0</v>
      </c>
      <c r="JL170" s="476">
        <v>0</v>
      </c>
      <c r="JM170" s="476">
        <v>0</v>
      </c>
      <c r="JN170" s="476">
        <v>32469</v>
      </c>
      <c r="JO170" s="476">
        <v>0</v>
      </c>
      <c r="JP170" s="476">
        <v>41.194000000000003</v>
      </c>
      <c r="JQ170" s="476">
        <v>2.5870000000000002</v>
      </c>
      <c r="JR170" s="476">
        <v>0</v>
      </c>
      <c r="JS170" s="476">
        <v>382913</v>
      </c>
      <c r="JT170" s="476">
        <v>27617</v>
      </c>
      <c r="JU170" s="476">
        <v>0</v>
      </c>
      <c r="JV170" s="476">
        <v>0</v>
      </c>
      <c r="JW170" s="476">
        <v>0</v>
      </c>
      <c r="JX170" s="476">
        <v>0</v>
      </c>
      <c r="JY170" s="476">
        <v>0</v>
      </c>
      <c r="JZ170" s="476">
        <v>0</v>
      </c>
      <c r="KA170" s="476">
        <v>0</v>
      </c>
      <c r="KB170" s="476">
        <v>0</v>
      </c>
      <c r="KC170" s="476">
        <v>0</v>
      </c>
      <c r="KD170" s="476">
        <v>0</v>
      </c>
      <c r="KE170" s="476">
        <v>7262</v>
      </c>
      <c r="KF170" s="476">
        <v>0</v>
      </c>
      <c r="KG170" s="476">
        <v>0</v>
      </c>
      <c r="KH170" s="476">
        <v>16197245</v>
      </c>
      <c r="KI170" s="476">
        <v>0</v>
      </c>
      <c r="KJ170" s="476">
        <v>39</v>
      </c>
      <c r="KK170" s="476">
        <v>31</v>
      </c>
      <c r="KL170" s="476">
        <v>24023</v>
      </c>
      <c r="KM170" s="476">
        <v>19096</v>
      </c>
      <c r="KN170" s="476">
        <v>0</v>
      </c>
    </row>
    <row r="171" spans="1:300" x14ac:dyDescent="0.25">
      <c r="A171" s="476">
        <v>40976</v>
      </c>
      <c r="B171" s="476">
        <v>227804</v>
      </c>
      <c r="C171" s="476">
        <v>9</v>
      </c>
      <c r="D171" s="476">
        <v>2024</v>
      </c>
      <c r="E171" s="476">
        <v>6160</v>
      </c>
      <c r="F171" s="476">
        <v>0</v>
      </c>
      <c r="G171" s="476">
        <v>1494.288</v>
      </c>
      <c r="H171" s="476">
        <v>1379.27</v>
      </c>
      <c r="I171" s="476">
        <v>1379.27</v>
      </c>
      <c r="J171" s="476">
        <v>1494.288</v>
      </c>
      <c r="K171" s="476">
        <v>0</v>
      </c>
      <c r="L171" s="476">
        <v>6160</v>
      </c>
      <c r="M171" s="476">
        <v>0</v>
      </c>
      <c r="N171" s="476">
        <v>0</v>
      </c>
      <c r="O171" s="476">
        <v>0</v>
      </c>
      <c r="P171" s="476">
        <v>1494.288</v>
      </c>
      <c r="Q171" s="476">
        <v>0</v>
      </c>
      <c r="R171" s="476">
        <v>619956</v>
      </c>
      <c r="S171" s="476">
        <v>414.88400000000001</v>
      </c>
      <c r="T171" s="476">
        <v>0</v>
      </c>
      <c r="U171" s="476">
        <v>0</v>
      </c>
      <c r="V171" s="476">
        <v>296.99799999999999</v>
      </c>
      <c r="W171" s="476">
        <v>182947</v>
      </c>
      <c r="X171" s="476">
        <v>182947</v>
      </c>
      <c r="Y171" s="476">
        <v>0</v>
      </c>
      <c r="Z171" s="476">
        <v>0</v>
      </c>
      <c r="AA171" s="476">
        <v>0</v>
      </c>
      <c r="AB171" s="476">
        <v>0</v>
      </c>
      <c r="AC171" s="476">
        <v>0</v>
      </c>
      <c r="AD171" s="476" t="s">
        <v>314</v>
      </c>
      <c r="AE171" s="476">
        <v>0</v>
      </c>
      <c r="AF171" s="476">
        <v>0</v>
      </c>
      <c r="AG171" s="476">
        <v>0</v>
      </c>
      <c r="AH171" s="476">
        <v>0</v>
      </c>
      <c r="AI171" s="476">
        <v>0</v>
      </c>
      <c r="AJ171" s="476">
        <v>6160</v>
      </c>
      <c r="AK171" s="476" t="s">
        <v>651</v>
      </c>
      <c r="AL171" s="476" t="s">
        <v>78</v>
      </c>
      <c r="AM171" s="476">
        <v>0</v>
      </c>
      <c r="AN171" s="476">
        <v>0</v>
      </c>
      <c r="AO171" s="476">
        <v>0</v>
      </c>
      <c r="AP171" s="476">
        <v>0</v>
      </c>
      <c r="AQ171" s="476">
        <v>0</v>
      </c>
      <c r="AR171" s="476">
        <v>0</v>
      </c>
      <c r="AS171" s="476">
        <v>0</v>
      </c>
      <c r="AT171" s="476">
        <v>0</v>
      </c>
      <c r="AU171" s="476">
        <v>0</v>
      </c>
      <c r="AV171" s="476">
        <v>0</v>
      </c>
      <c r="AW171" s="476">
        <v>14723099</v>
      </c>
      <c r="AX171" s="476">
        <v>14474996</v>
      </c>
      <c r="AY171" s="476">
        <v>0</v>
      </c>
      <c r="AZ171" s="476">
        <v>619956</v>
      </c>
      <c r="BA171" s="476">
        <v>0</v>
      </c>
      <c r="BB171" s="476">
        <v>0</v>
      </c>
      <c r="BC171" s="476">
        <v>0</v>
      </c>
      <c r="BD171" s="476">
        <v>0</v>
      </c>
      <c r="BE171" s="476">
        <v>0</v>
      </c>
      <c r="BF171" s="476">
        <v>13114243</v>
      </c>
      <c r="BG171" s="476">
        <v>0</v>
      </c>
      <c r="BH171" s="476">
        <v>0</v>
      </c>
      <c r="BI171" s="476">
        <v>0</v>
      </c>
      <c r="BJ171" s="476">
        <v>12</v>
      </c>
      <c r="BK171" s="476">
        <v>0</v>
      </c>
      <c r="BL171" s="476">
        <v>0</v>
      </c>
      <c r="BM171" s="476">
        <v>0</v>
      </c>
      <c r="BN171" s="476">
        <v>0</v>
      </c>
      <c r="BO171" s="476">
        <v>0</v>
      </c>
      <c r="BP171" s="476">
        <v>0</v>
      </c>
      <c r="BQ171" s="476">
        <v>558</v>
      </c>
      <c r="BR171" s="476">
        <v>0</v>
      </c>
      <c r="BS171" s="476">
        <v>0</v>
      </c>
      <c r="BT171" s="476">
        <v>0</v>
      </c>
      <c r="BU171" s="476">
        <v>0</v>
      </c>
      <c r="BV171" s="476">
        <v>0</v>
      </c>
      <c r="BW171" s="476">
        <v>0</v>
      </c>
      <c r="BX171" s="476">
        <v>0</v>
      </c>
      <c r="BY171" s="476">
        <v>0</v>
      </c>
      <c r="BZ171" s="476">
        <v>0</v>
      </c>
      <c r="CA171" s="476">
        <v>0</v>
      </c>
      <c r="CB171" s="476">
        <v>0</v>
      </c>
      <c r="CC171" s="476">
        <v>0</v>
      </c>
      <c r="CD171" s="476">
        <v>0</v>
      </c>
      <c r="CE171" s="476">
        <v>0</v>
      </c>
      <c r="CF171" s="476">
        <v>0</v>
      </c>
      <c r="CG171" s="476">
        <v>0</v>
      </c>
      <c r="CH171" s="476">
        <v>252274</v>
      </c>
      <c r="CI171" s="476">
        <v>0</v>
      </c>
      <c r="CJ171" s="476">
        <v>4</v>
      </c>
      <c r="CK171" s="476">
        <v>0</v>
      </c>
      <c r="CL171" s="476">
        <v>0</v>
      </c>
      <c r="CM171" s="476">
        <v>0</v>
      </c>
      <c r="CN171" s="476">
        <v>0</v>
      </c>
      <c r="CO171" s="476">
        <v>1</v>
      </c>
      <c r="CP171" s="476">
        <v>0</v>
      </c>
      <c r="CQ171" s="476">
        <v>0</v>
      </c>
      <c r="CR171" s="476">
        <v>1494.288</v>
      </c>
      <c r="CS171" s="476">
        <v>0</v>
      </c>
      <c r="CT171" s="476">
        <v>0</v>
      </c>
      <c r="CU171" s="476">
        <v>0</v>
      </c>
      <c r="CV171" s="476">
        <v>0</v>
      </c>
      <c r="CW171" s="476">
        <v>0</v>
      </c>
      <c r="CX171" s="476">
        <v>0</v>
      </c>
      <c r="CY171" s="476">
        <v>0</v>
      </c>
      <c r="CZ171" s="476">
        <v>0</v>
      </c>
      <c r="DA171" s="476">
        <v>0</v>
      </c>
      <c r="DB171" s="476">
        <v>8496110</v>
      </c>
      <c r="DC171" s="476">
        <v>0</v>
      </c>
      <c r="DD171" s="476">
        <v>0</v>
      </c>
      <c r="DE171" s="476">
        <v>729404</v>
      </c>
      <c r="DF171" s="476">
        <v>729404</v>
      </c>
      <c r="DG171" s="476">
        <v>118.41300000000001</v>
      </c>
      <c r="DH171" s="476">
        <v>0</v>
      </c>
      <c r="DI171" s="476">
        <v>0</v>
      </c>
      <c r="DJ171" s="476">
        <v>0</v>
      </c>
      <c r="DK171" s="476">
        <v>544</v>
      </c>
      <c r="DL171" s="476">
        <v>0</v>
      </c>
      <c r="DM171" s="476">
        <v>1213333</v>
      </c>
      <c r="DN171" s="476">
        <v>4171</v>
      </c>
      <c r="DO171" s="476">
        <v>0</v>
      </c>
      <c r="DP171" s="476">
        <v>0</v>
      </c>
      <c r="DQ171" s="476">
        <v>0</v>
      </c>
      <c r="DR171" s="476">
        <v>0</v>
      </c>
      <c r="DS171" s="476">
        <v>0</v>
      </c>
      <c r="DT171" s="476">
        <v>0</v>
      </c>
      <c r="DU171" s="476">
        <v>0</v>
      </c>
      <c r="DV171" s="476">
        <v>0</v>
      </c>
      <c r="DW171" s="476">
        <v>0</v>
      </c>
      <c r="DX171" s="476">
        <v>0</v>
      </c>
      <c r="DY171" s="476">
        <v>0</v>
      </c>
      <c r="DZ171" s="476">
        <v>0</v>
      </c>
      <c r="EA171" s="476">
        <v>8.8000000000000009E-2</v>
      </c>
      <c r="EB171" s="476">
        <v>0</v>
      </c>
      <c r="EC171" s="476">
        <v>52.635000000000005</v>
      </c>
      <c r="ED171" s="476">
        <v>372858</v>
      </c>
      <c r="EE171" s="476">
        <v>0</v>
      </c>
      <c r="EF171" s="476">
        <v>0</v>
      </c>
      <c r="EG171" s="476">
        <v>0</v>
      </c>
      <c r="EH171" s="476">
        <v>844646</v>
      </c>
      <c r="EI171" s="476">
        <v>0</v>
      </c>
      <c r="EJ171" s="476">
        <v>0</v>
      </c>
      <c r="EK171" s="476">
        <v>37.572000000000003</v>
      </c>
      <c r="EL171" s="476">
        <v>0</v>
      </c>
      <c r="EM171" s="476">
        <v>2.56</v>
      </c>
      <c r="EN171" s="476">
        <v>3.2570000000000001</v>
      </c>
      <c r="EO171" s="476">
        <v>0</v>
      </c>
      <c r="EP171" s="476">
        <v>0</v>
      </c>
      <c r="EQ171" s="476">
        <v>43.477000000000004</v>
      </c>
      <c r="ER171" s="476">
        <v>0</v>
      </c>
      <c r="ES171" s="476">
        <v>137.12100000000001</v>
      </c>
      <c r="ET171" s="476">
        <v>0</v>
      </c>
      <c r="EU171" s="476">
        <v>0</v>
      </c>
      <c r="EV171" s="476">
        <v>0</v>
      </c>
      <c r="EW171" s="476">
        <v>0</v>
      </c>
      <c r="EX171" s="476">
        <v>0</v>
      </c>
      <c r="EY171" s="476">
        <v>0</v>
      </c>
      <c r="EZ171" s="476">
        <v>12498917</v>
      </c>
      <c r="FA171" s="476">
        <v>0</v>
      </c>
      <c r="FB171" s="476">
        <v>13114702</v>
      </c>
      <c r="FC171" s="476">
        <v>0</v>
      </c>
      <c r="FD171" s="476">
        <v>0</v>
      </c>
      <c r="FE171" s="476">
        <v>1693288</v>
      </c>
      <c r="FF171" s="476">
        <v>282791</v>
      </c>
      <c r="FG171" s="476">
        <v>6.3017999999999991E-2</v>
      </c>
      <c r="FH171" s="476">
        <v>2.6953999999999999E-2</v>
      </c>
      <c r="FI171" s="476">
        <v>0</v>
      </c>
      <c r="FJ171" s="476">
        <v>0</v>
      </c>
      <c r="FK171" s="476">
        <v>2128.9839999999999</v>
      </c>
      <c r="FL171" s="476">
        <v>15343055</v>
      </c>
      <c r="FM171" s="476">
        <v>0</v>
      </c>
      <c r="FN171" s="476">
        <v>0</v>
      </c>
      <c r="FO171" s="476">
        <v>0</v>
      </c>
      <c r="FP171" s="476">
        <v>0</v>
      </c>
      <c r="FQ171" s="476">
        <v>0</v>
      </c>
      <c r="FR171" s="476">
        <v>0</v>
      </c>
      <c r="FS171" s="476">
        <v>0</v>
      </c>
      <c r="FT171" s="476">
        <v>0</v>
      </c>
      <c r="FU171" s="476">
        <v>0</v>
      </c>
      <c r="FV171" s="476">
        <v>0</v>
      </c>
      <c r="FW171" s="476">
        <v>0</v>
      </c>
      <c r="FX171" s="476">
        <v>0</v>
      </c>
      <c r="FY171" s="476">
        <v>0</v>
      </c>
      <c r="FZ171" s="476">
        <v>0</v>
      </c>
      <c r="GA171" s="476">
        <v>0</v>
      </c>
      <c r="GB171" s="476">
        <v>694384</v>
      </c>
      <c r="GC171" s="476">
        <v>694384</v>
      </c>
      <c r="GD171" s="476">
        <v>71.540999999999997</v>
      </c>
      <c r="GE171" s="476">
        <v>0</v>
      </c>
      <c r="GF171" s="476">
        <v>0</v>
      </c>
      <c r="GG171" s="476">
        <v>0</v>
      </c>
      <c r="GH171" s="476">
        <v>0</v>
      </c>
      <c r="GI171" s="476">
        <v>0</v>
      </c>
      <c r="GJ171" s="476">
        <v>0</v>
      </c>
      <c r="GK171" s="476">
        <v>0</v>
      </c>
      <c r="GL171" s="476">
        <v>0</v>
      </c>
      <c r="GM171" s="476">
        <v>0</v>
      </c>
      <c r="GN171" s="476">
        <v>0</v>
      </c>
      <c r="GO171" s="476">
        <v>0</v>
      </c>
      <c r="GP171" s="476">
        <v>0</v>
      </c>
      <c r="GQ171" s="476">
        <v>14470825</v>
      </c>
      <c r="GR171" s="476">
        <v>0</v>
      </c>
      <c r="GS171" s="476">
        <v>0</v>
      </c>
      <c r="GT171" s="476">
        <v>0</v>
      </c>
      <c r="GU171" s="476">
        <v>0</v>
      </c>
      <c r="GV171" s="476">
        <v>0</v>
      </c>
      <c r="GW171" s="476">
        <v>0</v>
      </c>
      <c r="GX171" s="476">
        <v>0</v>
      </c>
      <c r="GY171" s="476">
        <v>0</v>
      </c>
      <c r="GZ171" s="476">
        <v>0</v>
      </c>
      <c r="HA171" s="476">
        <v>0</v>
      </c>
      <c r="HB171" s="476">
        <v>323396213</v>
      </c>
      <c r="HC171" s="476">
        <v>4.2206E-2</v>
      </c>
      <c r="HD171" s="476">
        <v>252274</v>
      </c>
      <c r="HE171" s="476">
        <v>0</v>
      </c>
      <c r="HF171" s="476">
        <v>1519956</v>
      </c>
      <c r="HG171" s="476">
        <v>39423</v>
      </c>
      <c r="HH171" s="476">
        <v>192808</v>
      </c>
      <c r="HI171" s="476">
        <v>0</v>
      </c>
      <c r="HJ171" s="476">
        <v>14943</v>
      </c>
      <c r="HK171" s="476">
        <v>3497</v>
      </c>
      <c r="HL171" s="476">
        <v>1133</v>
      </c>
      <c r="HM171" s="476">
        <v>23000</v>
      </c>
      <c r="HN171" s="476">
        <v>3764</v>
      </c>
      <c r="HO171" s="476">
        <v>0</v>
      </c>
      <c r="HP171" s="476">
        <v>0</v>
      </c>
      <c r="HQ171" s="476">
        <v>0</v>
      </c>
      <c r="HR171" s="476">
        <v>0</v>
      </c>
      <c r="HS171" s="476">
        <v>12494746</v>
      </c>
      <c r="HT171" s="476">
        <v>282791</v>
      </c>
      <c r="HU171" s="476">
        <v>0</v>
      </c>
      <c r="HV171" s="476">
        <v>0</v>
      </c>
      <c r="HW171" s="476">
        <v>0</v>
      </c>
      <c r="HX171" s="476">
        <v>181</v>
      </c>
      <c r="HY171" s="476">
        <v>128</v>
      </c>
      <c r="HZ171" s="476">
        <v>103</v>
      </c>
      <c r="IA171" s="476">
        <v>59</v>
      </c>
      <c r="IB171" s="476">
        <v>22</v>
      </c>
      <c r="IC171" s="476">
        <v>493</v>
      </c>
      <c r="ID171" s="476">
        <v>0</v>
      </c>
      <c r="IE171" s="476">
        <v>0</v>
      </c>
      <c r="IF171" s="476">
        <v>0</v>
      </c>
      <c r="IG171" s="476">
        <v>64</v>
      </c>
      <c r="IH171" s="476">
        <v>313.00700000000001</v>
      </c>
      <c r="II171" s="476">
        <v>0</v>
      </c>
      <c r="IJ171" s="476">
        <v>296.99799999999999</v>
      </c>
      <c r="IK171" s="476">
        <v>0</v>
      </c>
      <c r="IL171" s="476">
        <v>1</v>
      </c>
      <c r="IM171" s="476">
        <v>6</v>
      </c>
      <c r="IN171" s="476">
        <v>0</v>
      </c>
      <c r="IO171" s="476">
        <v>7</v>
      </c>
      <c r="IP171" s="476">
        <v>0</v>
      </c>
      <c r="IQ171" s="476">
        <v>296.99799999999999</v>
      </c>
      <c r="IR171" s="476">
        <v>182947</v>
      </c>
      <c r="IS171" s="476">
        <v>0</v>
      </c>
      <c r="IT171" s="476">
        <v>5000</v>
      </c>
      <c r="IU171" s="476">
        <v>18000</v>
      </c>
      <c r="IV171" s="476">
        <v>0</v>
      </c>
      <c r="IW171" s="476">
        <v>6160</v>
      </c>
      <c r="IX171" s="476">
        <v>0</v>
      </c>
      <c r="IY171" s="476">
        <v>0</v>
      </c>
      <c r="IZ171" s="476">
        <v>0</v>
      </c>
      <c r="JA171" s="476">
        <v>0</v>
      </c>
      <c r="JB171" s="476">
        <v>0</v>
      </c>
      <c r="JC171" s="476">
        <v>0</v>
      </c>
      <c r="JD171" s="476">
        <v>0</v>
      </c>
      <c r="JE171" s="476">
        <v>0</v>
      </c>
      <c r="JF171" s="476">
        <v>1</v>
      </c>
      <c r="JG171" s="476">
        <v>3764</v>
      </c>
      <c r="JH171" s="476">
        <v>0</v>
      </c>
      <c r="JI171" s="476">
        <v>0</v>
      </c>
      <c r="JJ171" s="476">
        <v>0</v>
      </c>
      <c r="JK171" s="476">
        <v>0</v>
      </c>
      <c r="JL171" s="476">
        <v>0</v>
      </c>
      <c r="JM171" s="476">
        <v>0</v>
      </c>
      <c r="JN171" s="476">
        <v>39895</v>
      </c>
      <c r="JO171" s="476">
        <v>0.59699999999999998</v>
      </c>
      <c r="JP171" s="476">
        <v>49.082000000000001</v>
      </c>
      <c r="JQ171" s="476">
        <v>21.862000000000002</v>
      </c>
      <c r="JR171" s="476">
        <v>4769</v>
      </c>
      <c r="JS171" s="476">
        <v>456235</v>
      </c>
      <c r="JT171" s="476">
        <v>233380</v>
      </c>
      <c r="JU171" s="476">
        <v>0</v>
      </c>
      <c r="JV171" s="476">
        <v>0</v>
      </c>
      <c r="JW171" s="476">
        <v>0</v>
      </c>
      <c r="JX171" s="476">
        <v>0</v>
      </c>
      <c r="JY171" s="476">
        <v>0</v>
      </c>
      <c r="JZ171" s="476">
        <v>0</v>
      </c>
      <c r="KA171" s="476">
        <v>0</v>
      </c>
      <c r="KB171" s="476">
        <v>0</v>
      </c>
      <c r="KC171" s="476">
        <v>0</v>
      </c>
      <c r="KD171" s="476">
        <v>0</v>
      </c>
      <c r="KE171" s="476">
        <v>7262</v>
      </c>
      <c r="KF171" s="476">
        <v>0</v>
      </c>
      <c r="KG171" s="476">
        <v>0</v>
      </c>
      <c r="KH171" s="476">
        <v>14470825</v>
      </c>
      <c r="KI171" s="476">
        <v>0</v>
      </c>
      <c r="KJ171" s="476">
        <v>11</v>
      </c>
      <c r="KK171" s="476">
        <v>53</v>
      </c>
      <c r="KL171" s="476">
        <v>6776</v>
      </c>
      <c r="KM171" s="476">
        <v>32647</v>
      </c>
      <c r="KN171" s="476">
        <v>0</v>
      </c>
    </row>
    <row r="172" spans="1:300" x14ac:dyDescent="0.25">
      <c r="A172" s="476">
        <v>40976</v>
      </c>
      <c r="B172" s="476">
        <v>227805</v>
      </c>
      <c r="C172" s="476">
        <v>9</v>
      </c>
      <c r="D172" s="476">
        <v>2024</v>
      </c>
      <c r="E172" s="476">
        <v>6160</v>
      </c>
      <c r="F172" s="476">
        <v>0</v>
      </c>
      <c r="G172" s="476">
        <v>336.63300000000004</v>
      </c>
      <c r="H172" s="476">
        <v>326.68400000000003</v>
      </c>
      <c r="I172" s="476">
        <v>326.68400000000003</v>
      </c>
      <c r="J172" s="476">
        <v>336.63300000000004</v>
      </c>
      <c r="K172" s="476">
        <v>0</v>
      </c>
      <c r="L172" s="476">
        <v>6160</v>
      </c>
      <c r="M172" s="476">
        <v>0</v>
      </c>
      <c r="N172" s="476">
        <v>0</v>
      </c>
      <c r="O172" s="476">
        <v>0</v>
      </c>
      <c r="P172" s="476">
        <v>336.57300000000004</v>
      </c>
      <c r="Q172" s="476">
        <v>0</v>
      </c>
      <c r="R172" s="476">
        <v>139639</v>
      </c>
      <c r="S172" s="476">
        <v>414.88400000000001</v>
      </c>
      <c r="T172" s="476">
        <v>0</v>
      </c>
      <c r="U172" s="476">
        <v>0</v>
      </c>
      <c r="V172" s="476">
        <v>0</v>
      </c>
      <c r="W172" s="476">
        <v>0</v>
      </c>
      <c r="X172" s="476">
        <v>0</v>
      </c>
      <c r="Y172" s="476">
        <v>0</v>
      </c>
      <c r="Z172" s="476">
        <v>0</v>
      </c>
      <c r="AA172" s="476">
        <v>0</v>
      </c>
      <c r="AB172" s="476">
        <v>0</v>
      </c>
      <c r="AC172" s="476">
        <v>0</v>
      </c>
      <c r="AD172" s="476" t="s">
        <v>314</v>
      </c>
      <c r="AE172" s="476">
        <v>0</v>
      </c>
      <c r="AF172" s="476">
        <v>0</v>
      </c>
      <c r="AG172" s="476">
        <v>0</v>
      </c>
      <c r="AH172" s="476">
        <v>0</v>
      </c>
      <c r="AI172" s="476">
        <v>0</v>
      </c>
      <c r="AJ172" s="476">
        <v>6160</v>
      </c>
      <c r="AK172" s="476" t="s">
        <v>651</v>
      </c>
      <c r="AL172" s="476" t="s">
        <v>79</v>
      </c>
      <c r="AM172" s="476">
        <v>0</v>
      </c>
      <c r="AN172" s="476">
        <v>0</v>
      </c>
      <c r="AO172" s="476">
        <v>0</v>
      </c>
      <c r="AP172" s="476">
        <v>0</v>
      </c>
      <c r="AQ172" s="476">
        <v>0</v>
      </c>
      <c r="AR172" s="476">
        <v>0</v>
      </c>
      <c r="AS172" s="476">
        <v>0</v>
      </c>
      <c r="AT172" s="476">
        <v>0</v>
      </c>
      <c r="AU172" s="476">
        <v>0</v>
      </c>
      <c r="AV172" s="476">
        <v>0</v>
      </c>
      <c r="AW172" s="476">
        <v>3388611</v>
      </c>
      <c r="AX172" s="476">
        <v>3258149</v>
      </c>
      <c r="AY172" s="476">
        <v>0</v>
      </c>
      <c r="AZ172" s="476">
        <v>139639</v>
      </c>
      <c r="BA172" s="476">
        <v>11.167</v>
      </c>
      <c r="BB172" s="476">
        <v>0</v>
      </c>
      <c r="BC172" s="476">
        <v>0</v>
      </c>
      <c r="BD172" s="476">
        <v>0</v>
      </c>
      <c r="BE172" s="476">
        <v>0</v>
      </c>
      <c r="BF172" s="476">
        <v>2952114</v>
      </c>
      <c r="BG172" s="476">
        <v>0</v>
      </c>
      <c r="BH172" s="476">
        <v>0</v>
      </c>
      <c r="BI172" s="476">
        <v>0</v>
      </c>
      <c r="BJ172" s="476">
        <v>12</v>
      </c>
      <c r="BK172" s="476">
        <v>0</v>
      </c>
      <c r="BL172" s="476">
        <v>0</v>
      </c>
      <c r="BM172" s="476">
        <v>0</v>
      </c>
      <c r="BN172" s="476">
        <v>0</v>
      </c>
      <c r="BO172" s="476">
        <v>0</v>
      </c>
      <c r="BP172" s="476">
        <v>0</v>
      </c>
      <c r="BQ172" s="476">
        <v>720</v>
      </c>
      <c r="BR172" s="476">
        <v>0</v>
      </c>
      <c r="BS172" s="476">
        <v>0</v>
      </c>
      <c r="BT172" s="476">
        <v>0</v>
      </c>
      <c r="BU172" s="476">
        <v>0</v>
      </c>
      <c r="BV172" s="476">
        <v>0</v>
      </c>
      <c r="BW172" s="476">
        <v>0</v>
      </c>
      <c r="BX172" s="476">
        <v>0</v>
      </c>
      <c r="BY172" s="476">
        <v>0</v>
      </c>
      <c r="BZ172" s="476">
        <v>0</v>
      </c>
      <c r="CA172" s="476">
        <v>0</v>
      </c>
      <c r="CB172" s="476">
        <v>0</v>
      </c>
      <c r="CC172" s="476">
        <v>0</v>
      </c>
      <c r="CD172" s="476">
        <v>0</v>
      </c>
      <c r="CE172" s="476">
        <v>0</v>
      </c>
      <c r="CF172" s="476">
        <v>0</v>
      </c>
      <c r="CG172" s="476">
        <v>0</v>
      </c>
      <c r="CH172" s="476">
        <v>131135</v>
      </c>
      <c r="CI172" s="476">
        <v>0</v>
      </c>
      <c r="CJ172" s="476">
        <v>4</v>
      </c>
      <c r="CK172" s="476">
        <v>0</v>
      </c>
      <c r="CL172" s="476">
        <v>0</v>
      </c>
      <c r="CM172" s="476">
        <v>0</v>
      </c>
      <c r="CN172" s="476">
        <v>0</v>
      </c>
      <c r="CO172" s="476">
        <v>1</v>
      </c>
      <c r="CP172" s="476">
        <v>0</v>
      </c>
      <c r="CQ172" s="476">
        <v>0.83300000000000007</v>
      </c>
      <c r="CR172" s="476">
        <v>336.63300000000004</v>
      </c>
      <c r="CS172" s="476">
        <v>0</v>
      </c>
      <c r="CT172" s="476">
        <v>0</v>
      </c>
      <c r="CU172" s="476">
        <v>0</v>
      </c>
      <c r="CV172" s="476">
        <v>0</v>
      </c>
      <c r="CW172" s="476">
        <v>0</v>
      </c>
      <c r="CX172" s="476">
        <v>0</v>
      </c>
      <c r="CY172" s="476">
        <v>0</v>
      </c>
      <c r="CZ172" s="476">
        <v>0</v>
      </c>
      <c r="DA172" s="476">
        <v>0</v>
      </c>
      <c r="DB172" s="476">
        <v>1948959</v>
      </c>
      <c r="DC172" s="476">
        <v>0</v>
      </c>
      <c r="DD172" s="476">
        <v>0</v>
      </c>
      <c r="DE172" s="476">
        <v>318696</v>
      </c>
      <c r="DF172" s="476">
        <v>318696</v>
      </c>
      <c r="DG172" s="476">
        <v>51.738</v>
      </c>
      <c r="DH172" s="476">
        <v>0</v>
      </c>
      <c r="DI172" s="476">
        <v>0</v>
      </c>
      <c r="DJ172" s="476">
        <v>0</v>
      </c>
      <c r="DK172" s="476">
        <v>3137</v>
      </c>
      <c r="DL172" s="476">
        <v>0</v>
      </c>
      <c r="DM172" s="476">
        <v>259089</v>
      </c>
      <c r="DN172" s="476">
        <v>673</v>
      </c>
      <c r="DO172" s="476">
        <v>0</v>
      </c>
      <c r="DP172" s="476">
        <v>0</v>
      </c>
      <c r="DQ172" s="476">
        <v>0</v>
      </c>
      <c r="DR172" s="476">
        <v>0</v>
      </c>
      <c r="DS172" s="476">
        <v>0</v>
      </c>
      <c r="DT172" s="476">
        <v>0</v>
      </c>
      <c r="DU172" s="476">
        <v>0</v>
      </c>
      <c r="DV172" s="476">
        <v>0</v>
      </c>
      <c r="DW172" s="476">
        <v>0</v>
      </c>
      <c r="DX172" s="476">
        <v>0</v>
      </c>
      <c r="DY172" s="476">
        <v>0</v>
      </c>
      <c r="DZ172" s="476">
        <v>0</v>
      </c>
      <c r="EA172" s="476">
        <v>0</v>
      </c>
      <c r="EB172" s="476">
        <v>0</v>
      </c>
      <c r="EC172" s="476">
        <v>3.8840000000000003</v>
      </c>
      <c r="ED172" s="476">
        <v>27514</v>
      </c>
      <c r="EE172" s="476">
        <v>0</v>
      </c>
      <c r="EF172" s="476">
        <v>0</v>
      </c>
      <c r="EG172" s="476">
        <v>0</v>
      </c>
      <c r="EH172" s="476">
        <v>168879</v>
      </c>
      <c r="EI172" s="476">
        <v>0</v>
      </c>
      <c r="EJ172" s="476">
        <v>0</v>
      </c>
      <c r="EK172" s="476">
        <v>8.282</v>
      </c>
      <c r="EL172" s="476">
        <v>0</v>
      </c>
      <c r="EM172" s="476">
        <v>0.41500000000000004</v>
      </c>
      <c r="EN172" s="476">
        <v>0.26500000000000001</v>
      </c>
      <c r="EO172" s="476">
        <v>0</v>
      </c>
      <c r="EP172" s="476">
        <v>0</v>
      </c>
      <c r="EQ172" s="476">
        <v>8.9619999999999997</v>
      </c>
      <c r="ER172" s="476">
        <v>0</v>
      </c>
      <c r="ES172" s="476">
        <v>27.416</v>
      </c>
      <c r="ET172" s="476">
        <v>0</v>
      </c>
      <c r="EU172" s="476">
        <v>0</v>
      </c>
      <c r="EV172" s="476">
        <v>0</v>
      </c>
      <c r="EW172" s="476">
        <v>0</v>
      </c>
      <c r="EX172" s="476">
        <v>0</v>
      </c>
      <c r="EY172" s="476">
        <v>0</v>
      </c>
      <c r="EZ172" s="476">
        <v>2813319</v>
      </c>
      <c r="FA172" s="476">
        <v>0</v>
      </c>
      <c r="FB172" s="476">
        <v>2952285</v>
      </c>
      <c r="FC172" s="476">
        <v>0</v>
      </c>
      <c r="FD172" s="476">
        <v>0</v>
      </c>
      <c r="FE172" s="476">
        <v>381172</v>
      </c>
      <c r="FF172" s="476">
        <v>63658</v>
      </c>
      <c r="FG172" s="476">
        <v>6.3017999999999991E-2</v>
      </c>
      <c r="FH172" s="476">
        <v>2.6953999999999999E-2</v>
      </c>
      <c r="FI172" s="476">
        <v>0</v>
      </c>
      <c r="FJ172" s="476">
        <v>0</v>
      </c>
      <c r="FK172" s="476">
        <v>479.25</v>
      </c>
      <c r="FL172" s="476">
        <v>3528250</v>
      </c>
      <c r="FM172" s="476">
        <v>0</v>
      </c>
      <c r="FN172" s="476">
        <v>0</v>
      </c>
      <c r="FO172" s="476">
        <v>0</v>
      </c>
      <c r="FP172" s="476">
        <v>0</v>
      </c>
      <c r="FQ172" s="476">
        <v>0</v>
      </c>
      <c r="FR172" s="476">
        <v>0</v>
      </c>
      <c r="FS172" s="476">
        <v>0</v>
      </c>
      <c r="FT172" s="476">
        <v>0</v>
      </c>
      <c r="FU172" s="476">
        <v>0</v>
      </c>
      <c r="FV172" s="476">
        <v>0</v>
      </c>
      <c r="FW172" s="476">
        <v>0</v>
      </c>
      <c r="FX172" s="476">
        <v>0</v>
      </c>
      <c r="FY172" s="476">
        <v>0</v>
      </c>
      <c r="FZ172" s="476">
        <v>0</v>
      </c>
      <c r="GA172" s="476">
        <v>0</v>
      </c>
      <c r="GB172" s="476">
        <v>9146</v>
      </c>
      <c r="GC172" s="476">
        <v>9146</v>
      </c>
      <c r="GD172" s="476">
        <v>0.9870000000000001</v>
      </c>
      <c r="GE172" s="476">
        <v>0</v>
      </c>
      <c r="GF172" s="476">
        <v>0</v>
      </c>
      <c r="GG172" s="476">
        <v>0</v>
      </c>
      <c r="GH172" s="476">
        <v>0</v>
      </c>
      <c r="GI172" s="476">
        <v>0</v>
      </c>
      <c r="GJ172" s="476">
        <v>0</v>
      </c>
      <c r="GK172" s="476">
        <v>0</v>
      </c>
      <c r="GL172" s="476">
        <v>0</v>
      </c>
      <c r="GM172" s="476">
        <v>0</v>
      </c>
      <c r="GN172" s="476">
        <v>0</v>
      </c>
      <c r="GO172" s="476">
        <v>0</v>
      </c>
      <c r="GP172" s="476">
        <v>0</v>
      </c>
      <c r="GQ172" s="476">
        <v>3257476</v>
      </c>
      <c r="GR172" s="476">
        <v>0</v>
      </c>
      <c r="GS172" s="476">
        <v>0</v>
      </c>
      <c r="GT172" s="476">
        <v>0</v>
      </c>
      <c r="GU172" s="476">
        <v>0</v>
      </c>
      <c r="GV172" s="476">
        <v>0</v>
      </c>
      <c r="GW172" s="476">
        <v>0</v>
      </c>
      <c r="GX172" s="476">
        <v>0</v>
      </c>
      <c r="GY172" s="476">
        <v>0</v>
      </c>
      <c r="GZ172" s="476">
        <v>0</v>
      </c>
      <c r="HA172" s="476">
        <v>0</v>
      </c>
      <c r="HB172" s="476">
        <v>323396213</v>
      </c>
      <c r="HC172" s="476">
        <v>4.2206E-2</v>
      </c>
      <c r="HD172" s="476">
        <v>56832</v>
      </c>
      <c r="HE172" s="476">
        <v>0</v>
      </c>
      <c r="HF172" s="476">
        <v>360006</v>
      </c>
      <c r="HG172" s="476">
        <v>616</v>
      </c>
      <c r="HH172" s="476">
        <v>20563</v>
      </c>
      <c r="HI172" s="476">
        <v>0</v>
      </c>
      <c r="HJ172" s="476">
        <v>3366</v>
      </c>
      <c r="HK172" s="476">
        <v>833</v>
      </c>
      <c r="HL172" s="476">
        <v>11</v>
      </c>
      <c r="HM172" s="476">
        <v>31000</v>
      </c>
      <c r="HN172" s="476">
        <v>0</v>
      </c>
      <c r="HO172" s="476">
        <v>0</v>
      </c>
      <c r="HP172" s="476">
        <v>0</v>
      </c>
      <c r="HQ172" s="476">
        <v>0</v>
      </c>
      <c r="HR172" s="476">
        <v>0</v>
      </c>
      <c r="HS172" s="476">
        <v>2812646</v>
      </c>
      <c r="HT172" s="476">
        <v>63658</v>
      </c>
      <c r="HU172" s="476">
        <v>74303</v>
      </c>
      <c r="HV172" s="476">
        <v>0</v>
      </c>
      <c r="HW172" s="476">
        <v>0</v>
      </c>
      <c r="HX172" s="476">
        <v>40</v>
      </c>
      <c r="HY172" s="476">
        <v>43</v>
      </c>
      <c r="HZ172" s="476">
        <v>38</v>
      </c>
      <c r="IA172" s="476">
        <v>50</v>
      </c>
      <c r="IB172" s="476">
        <v>36</v>
      </c>
      <c r="IC172" s="476">
        <v>207</v>
      </c>
      <c r="ID172" s="476">
        <v>0</v>
      </c>
      <c r="IE172" s="476">
        <v>0</v>
      </c>
      <c r="IF172" s="476">
        <v>0</v>
      </c>
      <c r="IG172" s="476">
        <v>1</v>
      </c>
      <c r="IH172" s="476">
        <v>33.382000000000005</v>
      </c>
      <c r="II172" s="476">
        <v>0</v>
      </c>
      <c r="IJ172" s="476">
        <v>0</v>
      </c>
      <c r="IK172" s="476">
        <v>0</v>
      </c>
      <c r="IL172" s="476">
        <v>5</v>
      </c>
      <c r="IM172" s="476">
        <v>2</v>
      </c>
      <c r="IN172" s="476">
        <v>0</v>
      </c>
      <c r="IO172" s="476">
        <v>7</v>
      </c>
      <c r="IP172" s="476">
        <v>0</v>
      </c>
      <c r="IQ172" s="476">
        <v>0</v>
      </c>
      <c r="IR172" s="476">
        <v>0</v>
      </c>
      <c r="IS172" s="476">
        <v>0</v>
      </c>
      <c r="IT172" s="476">
        <v>25000</v>
      </c>
      <c r="IU172" s="476">
        <v>6000</v>
      </c>
      <c r="IV172" s="476">
        <v>0</v>
      </c>
      <c r="IW172" s="476">
        <v>6160</v>
      </c>
      <c r="IX172" s="476">
        <v>0</v>
      </c>
      <c r="IY172" s="476">
        <v>0</v>
      </c>
      <c r="IZ172" s="476">
        <v>0</v>
      </c>
      <c r="JA172" s="476">
        <v>0</v>
      </c>
      <c r="JB172" s="476">
        <v>0</v>
      </c>
      <c r="JC172" s="476">
        <v>0</v>
      </c>
      <c r="JD172" s="476">
        <v>0</v>
      </c>
      <c r="JE172" s="476">
        <v>0</v>
      </c>
      <c r="JF172" s="476">
        <v>0</v>
      </c>
      <c r="JG172" s="476">
        <v>0</v>
      </c>
      <c r="JH172" s="476">
        <v>0</v>
      </c>
      <c r="JI172" s="476">
        <v>0</v>
      </c>
      <c r="JJ172" s="476">
        <v>0</v>
      </c>
      <c r="JK172" s="476">
        <v>0</v>
      </c>
      <c r="JL172" s="476">
        <v>0</v>
      </c>
      <c r="JM172" s="476">
        <v>0</v>
      </c>
      <c r="JN172" s="476">
        <v>32469</v>
      </c>
      <c r="JO172" s="476">
        <v>2.2000000000000002E-2</v>
      </c>
      <c r="JP172" s="476">
        <v>0.96500000000000008</v>
      </c>
      <c r="JQ172" s="476">
        <v>0</v>
      </c>
      <c r="JR172" s="476">
        <v>176</v>
      </c>
      <c r="JS172" s="476">
        <v>8970</v>
      </c>
      <c r="JT172" s="476">
        <v>0</v>
      </c>
      <c r="JU172" s="476">
        <v>0</v>
      </c>
      <c r="JV172" s="476">
        <v>74303</v>
      </c>
      <c r="JW172" s="476">
        <v>0</v>
      </c>
      <c r="JX172" s="476">
        <v>0</v>
      </c>
      <c r="JY172" s="476">
        <v>0</v>
      </c>
      <c r="JZ172" s="476">
        <v>0</v>
      </c>
      <c r="KA172" s="476">
        <v>0</v>
      </c>
      <c r="KB172" s="476">
        <v>0</v>
      </c>
      <c r="KC172" s="476">
        <v>0</v>
      </c>
      <c r="KD172" s="476">
        <v>0</v>
      </c>
      <c r="KE172" s="476">
        <v>7262</v>
      </c>
      <c r="KF172" s="476">
        <v>0</v>
      </c>
      <c r="KG172" s="476">
        <v>0</v>
      </c>
      <c r="KH172" s="476">
        <v>3257476</v>
      </c>
      <c r="KI172" s="476">
        <v>0</v>
      </c>
      <c r="KJ172" s="476">
        <v>1</v>
      </c>
      <c r="KK172" s="476">
        <v>0</v>
      </c>
      <c r="KL172" s="476">
        <v>616</v>
      </c>
      <c r="KM172" s="476">
        <v>0</v>
      </c>
      <c r="KN172" s="476">
        <v>0</v>
      </c>
    </row>
    <row r="173" spans="1:300" x14ac:dyDescent="0.25">
      <c r="A173" s="476">
        <v>40976</v>
      </c>
      <c r="B173" s="476">
        <v>227806</v>
      </c>
      <c r="C173" s="476">
        <v>9</v>
      </c>
      <c r="D173" s="476">
        <v>2024</v>
      </c>
      <c r="E173" s="476">
        <v>6160</v>
      </c>
      <c r="F173" s="476">
        <v>0</v>
      </c>
      <c r="G173" s="476">
        <v>498.33</v>
      </c>
      <c r="H173" s="476">
        <v>321.64300000000003</v>
      </c>
      <c r="I173" s="476">
        <v>321.64300000000003</v>
      </c>
      <c r="J173" s="476">
        <v>498.33</v>
      </c>
      <c r="K173" s="476">
        <v>0</v>
      </c>
      <c r="L173" s="476">
        <v>6160</v>
      </c>
      <c r="M173" s="476">
        <v>0</v>
      </c>
      <c r="N173" s="476">
        <v>0</v>
      </c>
      <c r="O173" s="476">
        <v>0</v>
      </c>
      <c r="P173" s="476">
        <v>491.39100000000002</v>
      </c>
      <c r="Q173" s="476">
        <v>0</v>
      </c>
      <c r="R173" s="476">
        <v>203870</v>
      </c>
      <c r="S173" s="476">
        <v>414.88400000000001</v>
      </c>
      <c r="T173" s="476">
        <v>0</v>
      </c>
      <c r="U173" s="476">
        <v>0</v>
      </c>
      <c r="V173" s="476">
        <v>20.231000000000002</v>
      </c>
      <c r="W173" s="476">
        <v>12462</v>
      </c>
      <c r="X173" s="476">
        <v>12462</v>
      </c>
      <c r="Y173" s="476">
        <v>0</v>
      </c>
      <c r="Z173" s="476">
        <v>0</v>
      </c>
      <c r="AA173" s="476">
        <v>0</v>
      </c>
      <c r="AB173" s="476">
        <v>0</v>
      </c>
      <c r="AC173" s="476">
        <v>0</v>
      </c>
      <c r="AD173" s="476" t="s">
        <v>314</v>
      </c>
      <c r="AE173" s="476">
        <v>0</v>
      </c>
      <c r="AF173" s="476">
        <v>0</v>
      </c>
      <c r="AG173" s="476">
        <v>0</v>
      </c>
      <c r="AH173" s="476">
        <v>0</v>
      </c>
      <c r="AI173" s="476">
        <v>0</v>
      </c>
      <c r="AJ173" s="476">
        <v>6160</v>
      </c>
      <c r="AK173" s="476" t="s">
        <v>651</v>
      </c>
      <c r="AL173" s="476" t="s">
        <v>85</v>
      </c>
      <c r="AM173" s="476">
        <v>0</v>
      </c>
      <c r="AN173" s="476">
        <v>0</v>
      </c>
      <c r="AO173" s="476">
        <v>0</v>
      </c>
      <c r="AP173" s="476">
        <v>0</v>
      </c>
      <c r="AQ173" s="476">
        <v>0</v>
      </c>
      <c r="AR173" s="476">
        <v>0</v>
      </c>
      <c r="AS173" s="476">
        <v>0</v>
      </c>
      <c r="AT173" s="476">
        <v>0</v>
      </c>
      <c r="AU173" s="476">
        <v>0</v>
      </c>
      <c r="AV173" s="476">
        <v>0</v>
      </c>
      <c r="AW173" s="476">
        <v>8613357</v>
      </c>
      <c r="AX173" s="476">
        <v>8544514</v>
      </c>
      <c r="AY173" s="476">
        <v>0</v>
      </c>
      <c r="AZ173" s="476">
        <v>203870</v>
      </c>
      <c r="BA173" s="476">
        <v>0</v>
      </c>
      <c r="BB173" s="476">
        <v>1705</v>
      </c>
      <c r="BC173" s="476">
        <v>1694</v>
      </c>
      <c r="BD173" s="476">
        <v>4</v>
      </c>
      <c r="BE173" s="476">
        <v>11</v>
      </c>
      <c r="BF173" s="476">
        <v>7445167</v>
      </c>
      <c r="BG173" s="476">
        <v>0</v>
      </c>
      <c r="BH173" s="476">
        <v>0</v>
      </c>
      <c r="BI173" s="476">
        <v>0</v>
      </c>
      <c r="BJ173" s="476">
        <v>12</v>
      </c>
      <c r="BK173" s="476">
        <v>0</v>
      </c>
      <c r="BL173" s="476">
        <v>0</v>
      </c>
      <c r="BM173" s="476">
        <v>0</v>
      </c>
      <c r="BN173" s="476">
        <v>0</v>
      </c>
      <c r="BO173" s="476">
        <v>0</v>
      </c>
      <c r="BP173" s="476">
        <v>0</v>
      </c>
      <c r="BQ173" s="476">
        <v>720</v>
      </c>
      <c r="BR173" s="476">
        <v>0</v>
      </c>
      <c r="BS173" s="476">
        <v>0</v>
      </c>
      <c r="BT173" s="476">
        <v>0</v>
      </c>
      <c r="BU173" s="476">
        <v>0</v>
      </c>
      <c r="BV173" s="476">
        <v>0</v>
      </c>
      <c r="BW173" s="476">
        <v>0</v>
      </c>
      <c r="BX173" s="476">
        <v>0</v>
      </c>
      <c r="BY173" s="476">
        <v>0</v>
      </c>
      <c r="BZ173" s="476">
        <v>0</v>
      </c>
      <c r="CA173" s="476">
        <v>0</v>
      </c>
      <c r="CB173" s="476">
        <v>0</v>
      </c>
      <c r="CC173" s="476">
        <v>0</v>
      </c>
      <c r="CD173" s="476">
        <v>0</v>
      </c>
      <c r="CE173" s="476">
        <v>0</v>
      </c>
      <c r="CF173" s="476">
        <v>0</v>
      </c>
      <c r="CG173" s="476">
        <v>0</v>
      </c>
      <c r="CH173" s="476">
        <v>84131</v>
      </c>
      <c r="CI173" s="476">
        <v>0</v>
      </c>
      <c r="CJ173" s="476">
        <v>4</v>
      </c>
      <c r="CK173" s="476">
        <v>0</v>
      </c>
      <c r="CL173" s="476">
        <v>0</v>
      </c>
      <c r="CM173" s="476">
        <v>0</v>
      </c>
      <c r="CN173" s="476">
        <v>0</v>
      </c>
      <c r="CO173" s="476">
        <v>1</v>
      </c>
      <c r="CP173" s="476">
        <v>0.30199999999999999</v>
      </c>
      <c r="CQ173" s="476">
        <v>0</v>
      </c>
      <c r="CR173" s="476">
        <v>498.33</v>
      </c>
      <c r="CS173" s="476">
        <v>0</v>
      </c>
      <c r="CT173" s="476">
        <v>0</v>
      </c>
      <c r="CU173" s="476">
        <v>0</v>
      </c>
      <c r="CV173" s="476">
        <v>0</v>
      </c>
      <c r="CW173" s="476">
        <v>0</v>
      </c>
      <c r="CX173" s="476">
        <v>0</v>
      </c>
      <c r="CY173" s="476">
        <v>0</v>
      </c>
      <c r="CZ173" s="476">
        <v>0</v>
      </c>
      <c r="DA173" s="476">
        <v>0</v>
      </c>
      <c r="DB173" s="476">
        <v>1597116</v>
      </c>
      <c r="DC173" s="476">
        <v>0</v>
      </c>
      <c r="DD173" s="476">
        <v>0</v>
      </c>
      <c r="DE173" s="476">
        <v>476773</v>
      </c>
      <c r="DF173" s="476">
        <v>615541</v>
      </c>
      <c r="DG173" s="476">
        <v>77.400000000000006</v>
      </c>
      <c r="DH173" s="476">
        <v>0</v>
      </c>
      <c r="DI173" s="476">
        <v>4483</v>
      </c>
      <c r="DJ173" s="476">
        <v>0</v>
      </c>
      <c r="DK173" s="476">
        <v>3150</v>
      </c>
      <c r="DL173" s="476">
        <v>0</v>
      </c>
      <c r="DM173" s="476">
        <v>4827678</v>
      </c>
      <c r="DN173" s="476">
        <v>15277</v>
      </c>
      <c r="DO173" s="476">
        <v>0</v>
      </c>
      <c r="DP173" s="476">
        <v>0</v>
      </c>
      <c r="DQ173" s="476">
        <v>0</v>
      </c>
      <c r="DR173" s="476">
        <v>0</v>
      </c>
      <c r="DS173" s="476">
        <v>0</v>
      </c>
      <c r="DT173" s="476">
        <v>0</v>
      </c>
      <c r="DU173" s="476">
        <v>0</v>
      </c>
      <c r="DV173" s="476">
        <v>0</v>
      </c>
      <c r="DW173" s="476">
        <v>0</v>
      </c>
      <c r="DX173" s="476">
        <v>0</v>
      </c>
      <c r="DY173" s="476">
        <v>0</v>
      </c>
      <c r="DZ173" s="476">
        <v>0</v>
      </c>
      <c r="EA173" s="476">
        <v>0.161</v>
      </c>
      <c r="EB173" s="476">
        <v>0</v>
      </c>
      <c r="EC173" s="476">
        <v>15.165000000000001</v>
      </c>
      <c r="ED173" s="476">
        <v>107426</v>
      </c>
      <c r="EE173" s="476">
        <v>0</v>
      </c>
      <c r="EF173" s="476">
        <v>0</v>
      </c>
      <c r="EG173" s="476">
        <v>0</v>
      </c>
      <c r="EH173" s="476">
        <v>87070</v>
      </c>
      <c r="EI173" s="476">
        <v>4264299</v>
      </c>
      <c r="EJ173" s="476">
        <v>173.06800000000001</v>
      </c>
      <c r="EK173" s="476">
        <v>1.98</v>
      </c>
      <c r="EL173" s="476">
        <v>0</v>
      </c>
      <c r="EM173" s="476">
        <v>0</v>
      </c>
      <c r="EN173" s="476">
        <v>1.478</v>
      </c>
      <c r="EO173" s="476">
        <v>0</v>
      </c>
      <c r="EP173" s="476">
        <v>0</v>
      </c>
      <c r="EQ173" s="476">
        <v>176.68700000000001</v>
      </c>
      <c r="ER173" s="476">
        <v>0</v>
      </c>
      <c r="ES173" s="476">
        <v>14.135000000000002</v>
      </c>
      <c r="ET173" s="476">
        <v>0</v>
      </c>
      <c r="EU173" s="476">
        <v>0</v>
      </c>
      <c r="EV173" s="476">
        <v>0</v>
      </c>
      <c r="EW173" s="476">
        <v>0</v>
      </c>
      <c r="EX173" s="476">
        <v>0</v>
      </c>
      <c r="EY173" s="476">
        <v>0</v>
      </c>
      <c r="EZ173" s="476">
        <v>7422663</v>
      </c>
      <c r="FA173" s="476">
        <v>0</v>
      </c>
      <c r="FB173" s="476">
        <v>7611245</v>
      </c>
      <c r="FC173" s="476">
        <v>0</v>
      </c>
      <c r="FD173" s="476">
        <v>0</v>
      </c>
      <c r="FE173" s="476">
        <v>961306</v>
      </c>
      <c r="FF173" s="476">
        <v>160545</v>
      </c>
      <c r="FG173" s="476">
        <v>6.3017999999999991E-2</v>
      </c>
      <c r="FH173" s="476">
        <v>2.6953999999999999E-2</v>
      </c>
      <c r="FI173" s="476">
        <v>0</v>
      </c>
      <c r="FJ173" s="476">
        <v>0</v>
      </c>
      <c r="FK173" s="476">
        <v>1208.6580000000001</v>
      </c>
      <c r="FL173" s="476">
        <v>8817227</v>
      </c>
      <c r="FM173" s="476">
        <v>0</v>
      </c>
      <c r="FN173" s="476">
        <v>0</v>
      </c>
      <c r="FO173" s="476">
        <v>0</v>
      </c>
      <c r="FP173" s="476">
        <v>0</v>
      </c>
      <c r="FQ173" s="476">
        <v>0</v>
      </c>
      <c r="FR173" s="476">
        <v>0</v>
      </c>
      <c r="FS173" s="476">
        <v>0</v>
      </c>
      <c r="FT173" s="476">
        <v>0</v>
      </c>
      <c r="FU173" s="476">
        <v>0</v>
      </c>
      <c r="FV173" s="476">
        <v>0</v>
      </c>
      <c r="FW173" s="476">
        <v>0</v>
      </c>
      <c r="FX173" s="476">
        <v>0</v>
      </c>
      <c r="FY173" s="476">
        <v>0</v>
      </c>
      <c r="FZ173" s="476">
        <v>0</v>
      </c>
      <c r="GA173" s="476">
        <v>0</v>
      </c>
      <c r="GB173" s="476">
        <v>0</v>
      </c>
      <c r="GC173" s="476">
        <v>0</v>
      </c>
      <c r="GD173" s="476">
        <v>0</v>
      </c>
      <c r="GE173" s="476">
        <v>0</v>
      </c>
      <c r="GF173" s="476">
        <v>0</v>
      </c>
      <c r="GG173" s="476">
        <v>0</v>
      </c>
      <c r="GH173" s="476">
        <v>0</v>
      </c>
      <c r="GI173" s="476">
        <v>0</v>
      </c>
      <c r="GJ173" s="476">
        <v>0</v>
      </c>
      <c r="GK173" s="476">
        <v>0</v>
      </c>
      <c r="GL173" s="476">
        <v>0</v>
      </c>
      <c r="GM173" s="476">
        <v>0</v>
      </c>
      <c r="GN173" s="476">
        <v>0</v>
      </c>
      <c r="GO173" s="476">
        <v>0</v>
      </c>
      <c r="GP173" s="476">
        <v>0</v>
      </c>
      <c r="GQ173" s="476">
        <v>8529226</v>
      </c>
      <c r="GR173" s="476">
        <v>0</v>
      </c>
      <c r="GS173" s="476">
        <v>0</v>
      </c>
      <c r="GT173" s="476">
        <v>0</v>
      </c>
      <c r="GU173" s="476">
        <v>0</v>
      </c>
      <c r="GV173" s="476">
        <v>0</v>
      </c>
      <c r="GW173" s="476">
        <v>0</v>
      </c>
      <c r="GX173" s="476">
        <v>0</v>
      </c>
      <c r="GY173" s="476">
        <v>0</v>
      </c>
      <c r="GZ173" s="476">
        <v>0</v>
      </c>
      <c r="HA173" s="476">
        <v>0</v>
      </c>
      <c r="HB173" s="476">
        <v>323396213</v>
      </c>
      <c r="HC173" s="476">
        <v>4.2206E-2</v>
      </c>
      <c r="HD173" s="476">
        <v>84131</v>
      </c>
      <c r="HE173" s="476">
        <v>0</v>
      </c>
      <c r="HF173" s="476">
        <v>354451</v>
      </c>
      <c r="HG173" s="476">
        <v>10472</v>
      </c>
      <c r="HH173" s="476">
        <v>5482</v>
      </c>
      <c r="HI173" s="476">
        <v>0</v>
      </c>
      <c r="HJ173" s="476">
        <v>4983</v>
      </c>
      <c r="HK173" s="476">
        <v>3672</v>
      </c>
      <c r="HL173" s="476">
        <v>545</v>
      </c>
      <c r="HM173" s="476">
        <v>0</v>
      </c>
      <c r="HN173" s="476">
        <v>0</v>
      </c>
      <c r="HO173" s="476">
        <v>0</v>
      </c>
      <c r="HP173" s="476">
        <v>124766</v>
      </c>
      <c r="HQ173" s="476">
        <v>0</v>
      </c>
      <c r="HR173" s="476">
        <v>0</v>
      </c>
      <c r="HS173" s="476">
        <v>7407375</v>
      </c>
      <c r="HT173" s="476">
        <v>160545</v>
      </c>
      <c r="HU173" s="476">
        <v>0</v>
      </c>
      <c r="HV173" s="476">
        <v>0</v>
      </c>
      <c r="HW173" s="476">
        <v>0</v>
      </c>
      <c r="HX173" s="476">
        <v>4</v>
      </c>
      <c r="HY173" s="476">
        <v>4</v>
      </c>
      <c r="HZ173" s="476">
        <v>9</v>
      </c>
      <c r="IA173" s="476">
        <v>10</v>
      </c>
      <c r="IB173" s="476">
        <v>257</v>
      </c>
      <c r="IC173" s="476">
        <v>284</v>
      </c>
      <c r="ID173" s="476">
        <v>109</v>
      </c>
      <c r="IE173" s="476">
        <v>0</v>
      </c>
      <c r="IF173" s="476">
        <v>0</v>
      </c>
      <c r="IG173" s="476">
        <v>17</v>
      </c>
      <c r="IH173" s="476">
        <v>8.9</v>
      </c>
      <c r="II173" s="476">
        <v>453.69400000000002</v>
      </c>
      <c r="IJ173" s="476">
        <v>20.231000000000002</v>
      </c>
      <c r="IK173" s="476">
        <v>190.483</v>
      </c>
      <c r="IL173" s="476">
        <v>0</v>
      </c>
      <c r="IM173" s="476">
        <v>0</v>
      </c>
      <c r="IN173" s="476">
        <v>0</v>
      </c>
      <c r="IO173" s="476">
        <v>0</v>
      </c>
      <c r="IP173" s="476">
        <v>644.17700000000002</v>
      </c>
      <c r="IQ173" s="476">
        <v>20.231000000000002</v>
      </c>
      <c r="IR173" s="476">
        <v>12462</v>
      </c>
      <c r="IS173" s="476">
        <v>52383</v>
      </c>
      <c r="IT173" s="476">
        <v>0</v>
      </c>
      <c r="IU173" s="476">
        <v>0</v>
      </c>
      <c r="IV173" s="476">
        <v>0</v>
      </c>
      <c r="IW173" s="476">
        <v>6160</v>
      </c>
      <c r="IX173" s="476">
        <v>0</v>
      </c>
      <c r="IY173" s="476">
        <v>0</v>
      </c>
      <c r="IZ173" s="476">
        <v>177149</v>
      </c>
      <c r="JA173" s="476">
        <v>134285</v>
      </c>
      <c r="JB173" s="476">
        <v>0</v>
      </c>
      <c r="JC173" s="476">
        <v>0</v>
      </c>
      <c r="JD173" s="476">
        <v>0</v>
      </c>
      <c r="JE173" s="476">
        <v>0</v>
      </c>
      <c r="JF173" s="476">
        <v>0</v>
      </c>
      <c r="JG173" s="476">
        <v>0</v>
      </c>
      <c r="JH173" s="476">
        <v>0</v>
      </c>
      <c r="JI173" s="476">
        <v>0</v>
      </c>
      <c r="JJ173" s="476">
        <v>0</v>
      </c>
      <c r="JK173" s="476">
        <v>0</v>
      </c>
      <c r="JL173" s="476">
        <v>0</v>
      </c>
      <c r="JM173" s="476">
        <v>0</v>
      </c>
      <c r="JN173" s="476">
        <v>32469</v>
      </c>
      <c r="JO173" s="476">
        <v>0</v>
      </c>
      <c r="JP173" s="476">
        <v>0</v>
      </c>
      <c r="JQ173" s="476">
        <v>0</v>
      </c>
      <c r="JR173" s="476">
        <v>0</v>
      </c>
      <c r="JS173" s="476">
        <v>0</v>
      </c>
      <c r="JT173" s="476">
        <v>0</v>
      </c>
      <c r="JU173" s="476">
        <v>1725</v>
      </c>
      <c r="JV173" s="476">
        <v>0</v>
      </c>
      <c r="JW173" s="476">
        <v>0</v>
      </c>
      <c r="JX173" s="476">
        <v>0</v>
      </c>
      <c r="JY173" s="476">
        <v>0</v>
      </c>
      <c r="JZ173" s="476">
        <v>0</v>
      </c>
      <c r="KA173" s="476">
        <v>0</v>
      </c>
      <c r="KB173" s="476">
        <v>0</v>
      </c>
      <c r="KC173" s="476">
        <v>0</v>
      </c>
      <c r="KD173" s="476">
        <v>1725</v>
      </c>
      <c r="KE173" s="476">
        <v>7262</v>
      </c>
      <c r="KF173" s="476">
        <v>0</v>
      </c>
      <c r="KG173" s="476">
        <v>0</v>
      </c>
      <c r="KH173" s="476">
        <v>8529226</v>
      </c>
      <c r="KI173" s="476">
        <v>0</v>
      </c>
      <c r="KJ173" s="476">
        <v>8</v>
      </c>
      <c r="KK173" s="476">
        <v>9</v>
      </c>
      <c r="KL173" s="476">
        <v>4928</v>
      </c>
      <c r="KM173" s="476">
        <v>5544</v>
      </c>
      <c r="KN173" s="476">
        <v>0</v>
      </c>
    </row>
    <row r="174" spans="1:300" x14ac:dyDescent="0.25">
      <c r="A174" s="476">
        <v>40976</v>
      </c>
      <c r="B174" s="476">
        <v>227814</v>
      </c>
      <c r="C174" s="476">
        <v>9</v>
      </c>
      <c r="D174" s="476">
        <v>2024</v>
      </c>
      <c r="E174" s="476">
        <v>6160</v>
      </c>
      <c r="F174" s="476">
        <v>0</v>
      </c>
      <c r="G174" s="476">
        <v>349.22700000000003</v>
      </c>
      <c r="H174" s="476">
        <v>346.38200000000001</v>
      </c>
      <c r="I174" s="476">
        <v>346.38200000000001</v>
      </c>
      <c r="J174" s="476">
        <v>349.22700000000003</v>
      </c>
      <c r="K174" s="476">
        <v>0</v>
      </c>
      <c r="L174" s="476">
        <v>6160</v>
      </c>
      <c r="M174" s="476">
        <v>0</v>
      </c>
      <c r="N174" s="476">
        <v>0</v>
      </c>
      <c r="O174" s="476">
        <v>0</v>
      </c>
      <c r="P174" s="476">
        <v>349.33300000000003</v>
      </c>
      <c r="Q174" s="476">
        <v>0</v>
      </c>
      <c r="R174" s="476">
        <v>144933</v>
      </c>
      <c r="S174" s="476">
        <v>414.88400000000001</v>
      </c>
      <c r="T174" s="476">
        <v>0</v>
      </c>
      <c r="U174" s="476">
        <v>0</v>
      </c>
      <c r="V174" s="476">
        <v>51.375</v>
      </c>
      <c r="W174" s="476">
        <v>31646</v>
      </c>
      <c r="X174" s="476">
        <v>31646</v>
      </c>
      <c r="Y174" s="476">
        <v>0</v>
      </c>
      <c r="Z174" s="476">
        <v>0</v>
      </c>
      <c r="AA174" s="476">
        <v>0</v>
      </c>
      <c r="AB174" s="476">
        <v>0</v>
      </c>
      <c r="AC174" s="476">
        <v>0</v>
      </c>
      <c r="AD174" s="476" t="s">
        <v>314</v>
      </c>
      <c r="AE174" s="476">
        <v>0</v>
      </c>
      <c r="AF174" s="476">
        <v>0</v>
      </c>
      <c r="AG174" s="476">
        <v>0</v>
      </c>
      <c r="AH174" s="476">
        <v>0</v>
      </c>
      <c r="AI174" s="476">
        <v>0</v>
      </c>
      <c r="AJ174" s="476">
        <v>6160</v>
      </c>
      <c r="AK174" s="476" t="s">
        <v>651</v>
      </c>
      <c r="AL174" s="476" t="s">
        <v>92</v>
      </c>
      <c r="AM174" s="476">
        <v>0</v>
      </c>
      <c r="AN174" s="476">
        <v>0</v>
      </c>
      <c r="AO174" s="476">
        <v>0</v>
      </c>
      <c r="AP174" s="476">
        <v>0</v>
      </c>
      <c r="AQ174" s="476">
        <v>0</v>
      </c>
      <c r="AR174" s="476">
        <v>0</v>
      </c>
      <c r="AS174" s="476">
        <v>0</v>
      </c>
      <c r="AT174" s="476">
        <v>0</v>
      </c>
      <c r="AU174" s="476">
        <v>0</v>
      </c>
      <c r="AV174" s="476">
        <v>0</v>
      </c>
      <c r="AW174" s="476">
        <v>3058987</v>
      </c>
      <c r="AX174" s="476">
        <v>3000352</v>
      </c>
      <c r="AY174" s="476">
        <v>0</v>
      </c>
      <c r="AZ174" s="476">
        <v>144933</v>
      </c>
      <c r="BA174" s="476">
        <v>1</v>
      </c>
      <c r="BB174" s="476">
        <v>0</v>
      </c>
      <c r="BC174" s="476">
        <v>0</v>
      </c>
      <c r="BD174" s="476">
        <v>0</v>
      </c>
      <c r="BE174" s="476">
        <v>0</v>
      </c>
      <c r="BF174" s="476">
        <v>2731769</v>
      </c>
      <c r="BG174" s="476">
        <v>0</v>
      </c>
      <c r="BH174" s="476">
        <v>0</v>
      </c>
      <c r="BI174" s="476">
        <v>0</v>
      </c>
      <c r="BJ174" s="476">
        <v>12</v>
      </c>
      <c r="BK174" s="476">
        <v>0</v>
      </c>
      <c r="BL174" s="476">
        <v>0</v>
      </c>
      <c r="BM174" s="476">
        <v>0</v>
      </c>
      <c r="BN174" s="476">
        <v>0</v>
      </c>
      <c r="BO174" s="476">
        <v>0</v>
      </c>
      <c r="BP174" s="476">
        <v>0</v>
      </c>
      <c r="BQ174" s="476">
        <v>717</v>
      </c>
      <c r="BR174" s="476">
        <v>0</v>
      </c>
      <c r="BS174" s="476">
        <v>0</v>
      </c>
      <c r="BT174" s="476">
        <v>0</v>
      </c>
      <c r="BU174" s="476">
        <v>0</v>
      </c>
      <c r="BV174" s="476">
        <v>0</v>
      </c>
      <c r="BW174" s="476">
        <v>0</v>
      </c>
      <c r="BX174" s="476">
        <v>0</v>
      </c>
      <c r="BY174" s="476">
        <v>0</v>
      </c>
      <c r="BZ174" s="476">
        <v>0</v>
      </c>
      <c r="CA174" s="476">
        <v>0</v>
      </c>
      <c r="CB174" s="476">
        <v>0</v>
      </c>
      <c r="CC174" s="476">
        <v>0</v>
      </c>
      <c r="CD174" s="476">
        <v>0</v>
      </c>
      <c r="CE174" s="476">
        <v>0</v>
      </c>
      <c r="CF174" s="476">
        <v>0</v>
      </c>
      <c r="CG174" s="476">
        <v>0</v>
      </c>
      <c r="CH174" s="476">
        <v>58958</v>
      </c>
      <c r="CI174" s="476">
        <v>0</v>
      </c>
      <c r="CJ174" s="476">
        <v>4</v>
      </c>
      <c r="CK174" s="476">
        <v>0</v>
      </c>
      <c r="CL174" s="476">
        <v>0</v>
      </c>
      <c r="CM174" s="476">
        <v>0</v>
      </c>
      <c r="CN174" s="476">
        <v>0</v>
      </c>
      <c r="CO174" s="476">
        <v>1</v>
      </c>
      <c r="CP174" s="476">
        <v>0</v>
      </c>
      <c r="CQ174" s="476">
        <v>0</v>
      </c>
      <c r="CR174" s="476">
        <v>349.22700000000003</v>
      </c>
      <c r="CS174" s="476">
        <v>0</v>
      </c>
      <c r="CT174" s="476">
        <v>0</v>
      </c>
      <c r="CU174" s="476">
        <v>0</v>
      </c>
      <c r="CV174" s="476">
        <v>0</v>
      </c>
      <c r="CW174" s="476">
        <v>0</v>
      </c>
      <c r="CX174" s="476">
        <v>0</v>
      </c>
      <c r="CY174" s="476">
        <v>0</v>
      </c>
      <c r="CZ174" s="476">
        <v>0</v>
      </c>
      <c r="DA174" s="476">
        <v>0</v>
      </c>
      <c r="DB174" s="476">
        <v>2133665</v>
      </c>
      <c r="DC174" s="476">
        <v>0</v>
      </c>
      <c r="DD174" s="476">
        <v>0</v>
      </c>
      <c r="DE174" s="476">
        <v>28951</v>
      </c>
      <c r="DF174" s="476">
        <v>28951</v>
      </c>
      <c r="DG174" s="476">
        <v>4.7</v>
      </c>
      <c r="DH174" s="476">
        <v>0</v>
      </c>
      <c r="DI174" s="476">
        <v>0</v>
      </c>
      <c r="DJ174" s="476">
        <v>0</v>
      </c>
      <c r="DK174" s="476">
        <v>3089</v>
      </c>
      <c r="DL174" s="476">
        <v>0</v>
      </c>
      <c r="DM174" s="476">
        <v>94089</v>
      </c>
      <c r="DN174" s="476">
        <v>323</v>
      </c>
      <c r="DO174" s="476">
        <v>0</v>
      </c>
      <c r="DP174" s="476">
        <v>0</v>
      </c>
      <c r="DQ174" s="476">
        <v>0</v>
      </c>
      <c r="DR174" s="476">
        <v>0</v>
      </c>
      <c r="DS174" s="476">
        <v>0</v>
      </c>
      <c r="DT174" s="476">
        <v>0</v>
      </c>
      <c r="DU174" s="476">
        <v>0</v>
      </c>
      <c r="DV174" s="476">
        <v>0</v>
      </c>
      <c r="DW174" s="476">
        <v>0</v>
      </c>
      <c r="DX174" s="476">
        <v>0</v>
      </c>
      <c r="DY174" s="476">
        <v>0</v>
      </c>
      <c r="DZ174" s="476">
        <v>0</v>
      </c>
      <c r="EA174" s="476">
        <v>0</v>
      </c>
      <c r="EB174" s="476">
        <v>0</v>
      </c>
      <c r="EC174" s="476">
        <v>7.5270000000000001</v>
      </c>
      <c r="ED174" s="476">
        <v>53320</v>
      </c>
      <c r="EE174" s="476">
        <v>0</v>
      </c>
      <c r="EF174" s="476">
        <v>0</v>
      </c>
      <c r="EG174" s="476">
        <v>0</v>
      </c>
      <c r="EH174" s="476">
        <v>41092</v>
      </c>
      <c r="EI174" s="476">
        <v>0</v>
      </c>
      <c r="EJ174" s="476">
        <v>0</v>
      </c>
      <c r="EK174" s="476">
        <v>1.742</v>
      </c>
      <c r="EL174" s="476">
        <v>0</v>
      </c>
      <c r="EM174" s="476">
        <v>0</v>
      </c>
      <c r="EN174" s="476">
        <v>0.28900000000000003</v>
      </c>
      <c r="EO174" s="476">
        <v>0</v>
      </c>
      <c r="EP174" s="476">
        <v>0</v>
      </c>
      <c r="EQ174" s="476">
        <v>2.0310000000000001</v>
      </c>
      <c r="ER174" s="476">
        <v>0</v>
      </c>
      <c r="ES174" s="476">
        <v>6.6710000000000003</v>
      </c>
      <c r="ET174" s="476">
        <v>0</v>
      </c>
      <c r="EU174" s="476">
        <v>0</v>
      </c>
      <c r="EV174" s="476">
        <v>0</v>
      </c>
      <c r="EW174" s="476">
        <v>0</v>
      </c>
      <c r="EX174" s="476">
        <v>0</v>
      </c>
      <c r="EY174" s="476">
        <v>0</v>
      </c>
      <c r="EZ174" s="476">
        <v>2588724</v>
      </c>
      <c r="FA174" s="476">
        <v>0</v>
      </c>
      <c r="FB174" s="476">
        <v>2733334</v>
      </c>
      <c r="FC174" s="476">
        <v>0</v>
      </c>
      <c r="FD174" s="476">
        <v>0</v>
      </c>
      <c r="FE174" s="476">
        <v>352721</v>
      </c>
      <c r="FF174" s="476">
        <v>58907</v>
      </c>
      <c r="FG174" s="476">
        <v>6.3017999999999991E-2</v>
      </c>
      <c r="FH174" s="476">
        <v>2.6953999999999999E-2</v>
      </c>
      <c r="FI174" s="476">
        <v>0</v>
      </c>
      <c r="FJ174" s="476">
        <v>0</v>
      </c>
      <c r="FK174" s="476">
        <v>443.47900000000004</v>
      </c>
      <c r="FL174" s="476">
        <v>3203920</v>
      </c>
      <c r="FM174" s="476">
        <v>0</v>
      </c>
      <c r="FN174" s="476">
        <v>0</v>
      </c>
      <c r="FO174" s="476">
        <v>0</v>
      </c>
      <c r="FP174" s="476">
        <v>0</v>
      </c>
      <c r="FQ174" s="476">
        <v>0</v>
      </c>
      <c r="FR174" s="476">
        <v>0</v>
      </c>
      <c r="FS174" s="476">
        <v>0</v>
      </c>
      <c r="FT174" s="476">
        <v>0</v>
      </c>
      <c r="FU174" s="476">
        <v>0</v>
      </c>
      <c r="FV174" s="476">
        <v>0</v>
      </c>
      <c r="FW174" s="476">
        <v>0</v>
      </c>
      <c r="FX174" s="476">
        <v>0</v>
      </c>
      <c r="FY174" s="476">
        <v>0</v>
      </c>
      <c r="FZ174" s="476">
        <v>0</v>
      </c>
      <c r="GA174" s="476">
        <v>0</v>
      </c>
      <c r="GB174" s="476">
        <v>8690</v>
      </c>
      <c r="GC174" s="476">
        <v>8690</v>
      </c>
      <c r="GD174" s="476">
        <v>0.81400000000000006</v>
      </c>
      <c r="GE174" s="476">
        <v>0</v>
      </c>
      <c r="GF174" s="476">
        <v>0</v>
      </c>
      <c r="GG174" s="476">
        <v>0</v>
      </c>
      <c r="GH174" s="476">
        <v>0</v>
      </c>
      <c r="GI174" s="476">
        <v>0</v>
      </c>
      <c r="GJ174" s="476">
        <v>0</v>
      </c>
      <c r="GK174" s="476">
        <v>0</v>
      </c>
      <c r="GL174" s="476">
        <v>0</v>
      </c>
      <c r="GM174" s="476">
        <v>0</v>
      </c>
      <c r="GN174" s="476">
        <v>0</v>
      </c>
      <c r="GO174" s="476">
        <v>0</v>
      </c>
      <c r="GP174" s="476">
        <v>0</v>
      </c>
      <c r="GQ174" s="476">
        <v>3000029</v>
      </c>
      <c r="GR174" s="476">
        <v>0</v>
      </c>
      <c r="GS174" s="476">
        <v>0</v>
      </c>
      <c r="GT174" s="476">
        <v>0</v>
      </c>
      <c r="GU174" s="476">
        <v>0</v>
      </c>
      <c r="GV174" s="476">
        <v>0</v>
      </c>
      <c r="GW174" s="476">
        <v>0</v>
      </c>
      <c r="GX174" s="476">
        <v>0</v>
      </c>
      <c r="GY174" s="476">
        <v>0</v>
      </c>
      <c r="GZ174" s="476">
        <v>0</v>
      </c>
      <c r="HA174" s="476">
        <v>0</v>
      </c>
      <c r="HB174" s="476">
        <v>323396213</v>
      </c>
      <c r="HC174" s="476">
        <v>4.2206E-2</v>
      </c>
      <c r="HD174" s="476">
        <v>58958</v>
      </c>
      <c r="HE174" s="476">
        <v>0</v>
      </c>
      <c r="HF174" s="476">
        <v>381713</v>
      </c>
      <c r="HG174" s="476">
        <v>616</v>
      </c>
      <c r="HH174" s="476">
        <v>16584</v>
      </c>
      <c r="HI174" s="476">
        <v>0</v>
      </c>
      <c r="HJ174" s="476">
        <v>3492</v>
      </c>
      <c r="HK174" s="476">
        <v>1147</v>
      </c>
      <c r="HL174" s="476">
        <v>741</v>
      </c>
      <c r="HM174" s="476">
        <v>32000</v>
      </c>
      <c r="HN174" s="476">
        <v>0</v>
      </c>
      <c r="HO174" s="476">
        <v>0</v>
      </c>
      <c r="HP174" s="476">
        <v>0</v>
      </c>
      <c r="HQ174" s="476">
        <v>0</v>
      </c>
      <c r="HR174" s="476">
        <v>0</v>
      </c>
      <c r="HS174" s="476">
        <v>2588401</v>
      </c>
      <c r="HT174" s="476">
        <v>58907</v>
      </c>
      <c r="HU174" s="476">
        <v>0</v>
      </c>
      <c r="HV174" s="476">
        <v>0</v>
      </c>
      <c r="HW174" s="476">
        <v>0</v>
      </c>
      <c r="HX174" s="476">
        <v>11</v>
      </c>
      <c r="HY174" s="476">
        <v>5</v>
      </c>
      <c r="HZ174" s="476">
        <v>1</v>
      </c>
      <c r="IA174" s="476">
        <v>3</v>
      </c>
      <c r="IB174" s="476">
        <v>0</v>
      </c>
      <c r="IC174" s="476">
        <v>20</v>
      </c>
      <c r="ID174" s="476">
        <v>0</v>
      </c>
      <c r="IE174" s="476">
        <v>0</v>
      </c>
      <c r="IF174" s="476">
        <v>0</v>
      </c>
      <c r="IG174" s="476">
        <v>1</v>
      </c>
      <c r="IH174" s="476">
        <v>26.923000000000002</v>
      </c>
      <c r="II174" s="476">
        <v>0</v>
      </c>
      <c r="IJ174" s="476">
        <v>51.375</v>
      </c>
      <c r="IK174" s="476">
        <v>0</v>
      </c>
      <c r="IL174" s="476">
        <v>1</v>
      </c>
      <c r="IM174" s="476">
        <v>9</v>
      </c>
      <c r="IN174" s="476">
        <v>0</v>
      </c>
      <c r="IO174" s="476">
        <v>10</v>
      </c>
      <c r="IP174" s="476">
        <v>0</v>
      </c>
      <c r="IQ174" s="476">
        <v>51.375</v>
      </c>
      <c r="IR174" s="476">
        <v>31646</v>
      </c>
      <c r="IS174" s="476">
        <v>0</v>
      </c>
      <c r="IT174" s="476">
        <v>5000</v>
      </c>
      <c r="IU174" s="476">
        <v>27000</v>
      </c>
      <c r="IV174" s="476">
        <v>0</v>
      </c>
      <c r="IW174" s="476">
        <v>6160</v>
      </c>
      <c r="IX174" s="476">
        <v>0</v>
      </c>
      <c r="IY174" s="476">
        <v>0</v>
      </c>
      <c r="IZ174" s="476">
        <v>0</v>
      </c>
      <c r="JA174" s="476">
        <v>0</v>
      </c>
      <c r="JB174" s="476">
        <v>0</v>
      </c>
      <c r="JC174" s="476">
        <v>0</v>
      </c>
      <c r="JD174" s="476">
        <v>0</v>
      </c>
      <c r="JE174" s="476">
        <v>0</v>
      </c>
      <c r="JF174" s="476">
        <v>0</v>
      </c>
      <c r="JG174" s="476">
        <v>0</v>
      </c>
      <c r="JH174" s="476">
        <v>0</v>
      </c>
      <c r="JI174" s="476">
        <v>0</v>
      </c>
      <c r="JJ174" s="476">
        <v>0</v>
      </c>
      <c r="JK174" s="476">
        <v>0</v>
      </c>
      <c r="JL174" s="476">
        <v>0</v>
      </c>
      <c r="JM174" s="476">
        <v>0</v>
      </c>
      <c r="JN174" s="476">
        <v>32469</v>
      </c>
      <c r="JO174" s="476">
        <v>0</v>
      </c>
      <c r="JP174" s="476">
        <v>0</v>
      </c>
      <c r="JQ174" s="476">
        <v>0.81400000000000006</v>
      </c>
      <c r="JR174" s="476">
        <v>0</v>
      </c>
      <c r="JS174" s="476">
        <v>0</v>
      </c>
      <c r="JT174" s="476">
        <v>8690</v>
      </c>
      <c r="JU174" s="476">
        <v>0</v>
      </c>
      <c r="JV174" s="476">
        <v>0</v>
      </c>
      <c r="JW174" s="476">
        <v>0</v>
      </c>
      <c r="JX174" s="476">
        <v>0</v>
      </c>
      <c r="JY174" s="476">
        <v>0</v>
      </c>
      <c r="JZ174" s="476">
        <v>0</v>
      </c>
      <c r="KA174" s="476">
        <v>0</v>
      </c>
      <c r="KB174" s="476">
        <v>0</v>
      </c>
      <c r="KC174" s="476">
        <v>0</v>
      </c>
      <c r="KD174" s="476">
        <v>0</v>
      </c>
      <c r="KE174" s="476">
        <v>7262</v>
      </c>
      <c r="KF174" s="476">
        <v>0</v>
      </c>
      <c r="KG174" s="476">
        <v>0</v>
      </c>
      <c r="KH174" s="476">
        <v>3000029</v>
      </c>
      <c r="KI174" s="476">
        <v>0</v>
      </c>
      <c r="KJ174" s="476">
        <v>0</v>
      </c>
      <c r="KK174" s="476">
        <v>1</v>
      </c>
      <c r="KL174" s="476">
        <v>0</v>
      </c>
      <c r="KM174" s="476">
        <v>616</v>
      </c>
      <c r="KN174" s="476">
        <v>0</v>
      </c>
    </row>
    <row r="175" spans="1:300" x14ac:dyDescent="0.25">
      <c r="A175" s="476">
        <v>40976</v>
      </c>
      <c r="B175" s="476">
        <v>227816</v>
      </c>
      <c r="C175" s="476">
        <v>9</v>
      </c>
      <c r="D175" s="476">
        <v>2024</v>
      </c>
      <c r="E175" s="476">
        <v>6160</v>
      </c>
      <c r="F175" s="476">
        <v>0</v>
      </c>
      <c r="G175" s="476">
        <v>4081.3420000000001</v>
      </c>
      <c r="H175" s="476">
        <v>3808.498</v>
      </c>
      <c r="I175" s="476">
        <v>3808.498</v>
      </c>
      <c r="J175" s="476">
        <v>4081.3420000000001</v>
      </c>
      <c r="K175" s="476">
        <v>0</v>
      </c>
      <c r="L175" s="476">
        <v>6160</v>
      </c>
      <c r="M175" s="476">
        <v>0</v>
      </c>
      <c r="N175" s="476">
        <v>0</v>
      </c>
      <c r="O175" s="476">
        <v>0</v>
      </c>
      <c r="P175" s="476">
        <v>4093.7220000000002</v>
      </c>
      <c r="Q175" s="476">
        <v>0</v>
      </c>
      <c r="R175" s="476">
        <v>1698420</v>
      </c>
      <c r="S175" s="476">
        <v>414.88400000000001</v>
      </c>
      <c r="T175" s="476">
        <v>0</v>
      </c>
      <c r="U175" s="476">
        <v>0</v>
      </c>
      <c r="V175" s="476">
        <v>1971.4870000000001</v>
      </c>
      <c r="W175" s="476">
        <v>1214408</v>
      </c>
      <c r="X175" s="476">
        <v>1214408</v>
      </c>
      <c r="Y175" s="476">
        <v>0</v>
      </c>
      <c r="Z175" s="476">
        <v>0</v>
      </c>
      <c r="AA175" s="476">
        <v>0</v>
      </c>
      <c r="AB175" s="476">
        <v>0</v>
      </c>
      <c r="AC175" s="476">
        <v>0</v>
      </c>
      <c r="AD175" s="476" t="s">
        <v>314</v>
      </c>
      <c r="AE175" s="476">
        <v>0</v>
      </c>
      <c r="AF175" s="476">
        <v>0</v>
      </c>
      <c r="AG175" s="476">
        <v>0</v>
      </c>
      <c r="AH175" s="476">
        <v>0</v>
      </c>
      <c r="AI175" s="476">
        <v>0</v>
      </c>
      <c r="AJ175" s="476">
        <v>6160</v>
      </c>
      <c r="AK175" s="476" t="s">
        <v>651</v>
      </c>
      <c r="AL175" s="476" t="s">
        <v>760</v>
      </c>
      <c r="AM175" s="476">
        <v>0</v>
      </c>
      <c r="AN175" s="476">
        <v>0</v>
      </c>
      <c r="AO175" s="476">
        <v>0</v>
      </c>
      <c r="AP175" s="476">
        <v>0</v>
      </c>
      <c r="AQ175" s="476">
        <v>0</v>
      </c>
      <c r="AR175" s="476">
        <v>0</v>
      </c>
      <c r="AS175" s="476">
        <v>0</v>
      </c>
      <c r="AT175" s="476">
        <v>0</v>
      </c>
      <c r="AU175" s="476">
        <v>0</v>
      </c>
      <c r="AV175" s="476">
        <v>0</v>
      </c>
      <c r="AW175" s="476">
        <v>44147249</v>
      </c>
      <c r="AX175" s="476">
        <v>43465767</v>
      </c>
      <c r="AY175" s="476">
        <v>0</v>
      </c>
      <c r="AZ175" s="476">
        <v>1698420</v>
      </c>
      <c r="BA175" s="476">
        <v>83</v>
      </c>
      <c r="BB175" s="476">
        <v>86954</v>
      </c>
      <c r="BC175" s="476">
        <v>86400</v>
      </c>
      <c r="BD175" s="476">
        <v>204</v>
      </c>
      <c r="BE175" s="476">
        <v>554</v>
      </c>
      <c r="BF175" s="476">
        <v>39138969</v>
      </c>
      <c r="BG175" s="476">
        <v>0</v>
      </c>
      <c r="BH175" s="476">
        <v>0</v>
      </c>
      <c r="BI175" s="476">
        <v>0</v>
      </c>
      <c r="BJ175" s="476">
        <v>12</v>
      </c>
      <c r="BK175" s="476">
        <v>0</v>
      </c>
      <c r="BL175" s="476">
        <v>0</v>
      </c>
      <c r="BM175" s="476">
        <v>0</v>
      </c>
      <c r="BN175" s="476">
        <v>0</v>
      </c>
      <c r="BO175" s="476">
        <v>0</v>
      </c>
      <c r="BP175" s="476">
        <v>0</v>
      </c>
      <c r="BQ175" s="476">
        <v>183</v>
      </c>
      <c r="BR175" s="476">
        <v>0</v>
      </c>
      <c r="BS175" s="476">
        <v>0</v>
      </c>
      <c r="BT175" s="476">
        <v>0</v>
      </c>
      <c r="BU175" s="476">
        <v>0</v>
      </c>
      <c r="BV175" s="476">
        <v>0</v>
      </c>
      <c r="BW175" s="476">
        <v>0</v>
      </c>
      <c r="BX175" s="476">
        <v>0</v>
      </c>
      <c r="BY175" s="476">
        <v>0</v>
      </c>
      <c r="BZ175" s="476">
        <v>0</v>
      </c>
      <c r="CA175" s="476">
        <v>0</v>
      </c>
      <c r="CB175" s="476">
        <v>0</v>
      </c>
      <c r="CC175" s="476">
        <v>0</v>
      </c>
      <c r="CD175" s="476">
        <v>0</v>
      </c>
      <c r="CE175" s="476">
        <v>0</v>
      </c>
      <c r="CF175" s="476">
        <v>0</v>
      </c>
      <c r="CG175" s="476">
        <v>0</v>
      </c>
      <c r="CH175" s="476">
        <v>689034</v>
      </c>
      <c r="CI175" s="476">
        <v>0</v>
      </c>
      <c r="CJ175" s="476">
        <v>4</v>
      </c>
      <c r="CK175" s="476">
        <v>0</v>
      </c>
      <c r="CL175" s="476">
        <v>0</v>
      </c>
      <c r="CM175" s="476">
        <v>0</v>
      </c>
      <c r="CN175" s="476">
        <v>0</v>
      </c>
      <c r="CO175" s="476">
        <v>1</v>
      </c>
      <c r="CP175" s="476">
        <v>0</v>
      </c>
      <c r="CQ175" s="476">
        <v>0</v>
      </c>
      <c r="CR175" s="476">
        <v>4081.3420000000001</v>
      </c>
      <c r="CS175" s="476">
        <v>0</v>
      </c>
      <c r="CT175" s="476">
        <v>0</v>
      </c>
      <c r="CU175" s="476">
        <v>0</v>
      </c>
      <c r="CV175" s="476">
        <v>0</v>
      </c>
      <c r="CW175" s="476">
        <v>0</v>
      </c>
      <c r="CX175" s="476">
        <v>0</v>
      </c>
      <c r="CY175" s="476">
        <v>0</v>
      </c>
      <c r="CZ175" s="476">
        <v>0</v>
      </c>
      <c r="DA175" s="476">
        <v>0</v>
      </c>
      <c r="DB175" s="476">
        <v>23254718</v>
      </c>
      <c r="DC175" s="476">
        <v>0</v>
      </c>
      <c r="DD175" s="476">
        <v>0</v>
      </c>
      <c r="DE175" s="476">
        <v>4273942</v>
      </c>
      <c r="DF175" s="476">
        <v>4273942</v>
      </c>
      <c r="DG175" s="476">
        <v>693.83800000000008</v>
      </c>
      <c r="DH175" s="476">
        <v>0</v>
      </c>
      <c r="DI175" s="476">
        <v>0</v>
      </c>
      <c r="DJ175" s="476">
        <v>0</v>
      </c>
      <c r="DK175" s="476">
        <v>0</v>
      </c>
      <c r="DL175" s="476">
        <v>0</v>
      </c>
      <c r="DM175" s="476">
        <v>2240563</v>
      </c>
      <c r="DN175" s="476">
        <v>6998</v>
      </c>
      <c r="DO175" s="476">
        <v>0</v>
      </c>
      <c r="DP175" s="476">
        <v>0</v>
      </c>
      <c r="DQ175" s="476">
        <v>0</v>
      </c>
      <c r="DR175" s="476">
        <v>0</v>
      </c>
      <c r="DS175" s="476">
        <v>0</v>
      </c>
      <c r="DT175" s="476">
        <v>0</v>
      </c>
      <c r="DU175" s="476">
        <v>0</v>
      </c>
      <c r="DV175" s="476">
        <v>0</v>
      </c>
      <c r="DW175" s="476">
        <v>0</v>
      </c>
      <c r="DX175" s="476">
        <v>0</v>
      </c>
      <c r="DY175" s="476">
        <v>0</v>
      </c>
      <c r="DZ175" s="476">
        <v>0</v>
      </c>
      <c r="EA175" s="476">
        <v>1.7000000000000001E-2</v>
      </c>
      <c r="EB175" s="476">
        <v>0</v>
      </c>
      <c r="EC175" s="476">
        <v>81.956000000000003</v>
      </c>
      <c r="ED175" s="476">
        <v>580563</v>
      </c>
      <c r="EE175" s="476">
        <v>0</v>
      </c>
      <c r="EF175" s="476">
        <v>0</v>
      </c>
      <c r="EG175" s="476">
        <v>0</v>
      </c>
      <c r="EH175" s="476">
        <v>1461901</v>
      </c>
      <c r="EI175" s="476">
        <v>0</v>
      </c>
      <c r="EJ175" s="476">
        <v>0</v>
      </c>
      <c r="EK175" s="476">
        <v>60.463000000000001</v>
      </c>
      <c r="EL175" s="476">
        <v>0</v>
      </c>
      <c r="EM175" s="476">
        <v>7.8860000000000001</v>
      </c>
      <c r="EN175" s="476">
        <v>6.4390000000000001</v>
      </c>
      <c r="EO175" s="476">
        <v>0</v>
      </c>
      <c r="EP175" s="476">
        <v>0</v>
      </c>
      <c r="EQ175" s="476">
        <v>74.805000000000007</v>
      </c>
      <c r="ER175" s="476">
        <v>0</v>
      </c>
      <c r="ES175" s="476">
        <v>237.327</v>
      </c>
      <c r="ET175" s="476">
        <v>0</v>
      </c>
      <c r="EU175" s="476">
        <v>0</v>
      </c>
      <c r="EV175" s="476">
        <v>0</v>
      </c>
      <c r="EW175" s="476">
        <v>0</v>
      </c>
      <c r="EX175" s="476">
        <v>0</v>
      </c>
      <c r="EY175" s="476">
        <v>0</v>
      </c>
      <c r="EZ175" s="476">
        <v>37568232</v>
      </c>
      <c r="FA175" s="476">
        <v>0</v>
      </c>
      <c r="FB175" s="476">
        <v>39259100</v>
      </c>
      <c r="FC175" s="476">
        <v>0</v>
      </c>
      <c r="FD175" s="476">
        <v>0</v>
      </c>
      <c r="FE175" s="476">
        <v>5053554</v>
      </c>
      <c r="FF175" s="476">
        <v>843981</v>
      </c>
      <c r="FG175" s="476">
        <v>6.3017999999999991E-2</v>
      </c>
      <c r="FH175" s="476">
        <v>2.6953999999999999E-2</v>
      </c>
      <c r="FI175" s="476">
        <v>0</v>
      </c>
      <c r="FJ175" s="476">
        <v>0</v>
      </c>
      <c r="FK175" s="476">
        <v>6353.8730000000005</v>
      </c>
      <c r="FL175" s="476">
        <v>45845669</v>
      </c>
      <c r="FM175" s="476">
        <v>0</v>
      </c>
      <c r="FN175" s="476">
        <v>0</v>
      </c>
      <c r="FO175" s="476">
        <v>112752</v>
      </c>
      <c r="FP175" s="476">
        <v>0</v>
      </c>
      <c r="FQ175" s="476">
        <v>112752</v>
      </c>
      <c r="FR175" s="476">
        <v>112752</v>
      </c>
      <c r="FS175" s="476">
        <v>0</v>
      </c>
      <c r="FT175" s="476">
        <v>0</v>
      </c>
      <c r="FU175" s="476">
        <v>0</v>
      </c>
      <c r="FV175" s="476">
        <v>0</v>
      </c>
      <c r="FW175" s="476">
        <v>0</v>
      </c>
      <c r="FX175" s="476">
        <v>0</v>
      </c>
      <c r="FY175" s="476">
        <v>0</v>
      </c>
      <c r="FZ175" s="476">
        <v>0</v>
      </c>
      <c r="GA175" s="476">
        <v>0</v>
      </c>
      <c r="GB175" s="476">
        <v>1953492</v>
      </c>
      <c r="GC175" s="476">
        <v>1953492</v>
      </c>
      <c r="GD175" s="476">
        <v>198.03900000000002</v>
      </c>
      <c r="GE175" s="476">
        <v>0</v>
      </c>
      <c r="GF175" s="476">
        <v>0</v>
      </c>
      <c r="GG175" s="476">
        <v>0</v>
      </c>
      <c r="GH175" s="476">
        <v>0</v>
      </c>
      <c r="GI175" s="476">
        <v>0</v>
      </c>
      <c r="GJ175" s="476">
        <v>0</v>
      </c>
      <c r="GK175" s="476">
        <v>0</v>
      </c>
      <c r="GL175" s="476">
        <v>0</v>
      </c>
      <c r="GM175" s="476">
        <v>0</v>
      </c>
      <c r="GN175" s="476">
        <v>0</v>
      </c>
      <c r="GO175" s="476">
        <v>0</v>
      </c>
      <c r="GP175" s="476">
        <v>0</v>
      </c>
      <c r="GQ175" s="476">
        <v>43458215</v>
      </c>
      <c r="GR175" s="476">
        <v>0</v>
      </c>
      <c r="GS175" s="476">
        <v>0</v>
      </c>
      <c r="GT175" s="476">
        <v>0</v>
      </c>
      <c r="GU175" s="476">
        <v>0</v>
      </c>
      <c r="GV175" s="476">
        <v>0</v>
      </c>
      <c r="GW175" s="476">
        <v>0</v>
      </c>
      <c r="GX175" s="476">
        <v>0</v>
      </c>
      <c r="GY175" s="476">
        <v>0</v>
      </c>
      <c r="GZ175" s="476">
        <v>0</v>
      </c>
      <c r="HA175" s="476">
        <v>0</v>
      </c>
      <c r="HB175" s="476">
        <v>323396213</v>
      </c>
      <c r="HC175" s="476">
        <v>4.2206E-2</v>
      </c>
      <c r="HD175" s="476">
        <v>689034</v>
      </c>
      <c r="HE175" s="476">
        <v>0</v>
      </c>
      <c r="HF175" s="476">
        <v>4196965</v>
      </c>
      <c r="HG175" s="476">
        <v>74534</v>
      </c>
      <c r="HH175" s="476">
        <v>853526</v>
      </c>
      <c r="HI175" s="476">
        <v>0</v>
      </c>
      <c r="HJ175" s="476">
        <v>40813</v>
      </c>
      <c r="HK175" s="476">
        <v>11424</v>
      </c>
      <c r="HL175" s="476">
        <v>3507</v>
      </c>
      <c r="HM175" s="476">
        <v>174000</v>
      </c>
      <c r="HN175" s="476">
        <v>768056</v>
      </c>
      <c r="HO175" s="476">
        <v>0</v>
      </c>
      <c r="HP175" s="476">
        <v>0</v>
      </c>
      <c r="HQ175" s="476">
        <v>0</v>
      </c>
      <c r="HR175" s="476">
        <v>0</v>
      </c>
      <c r="HS175" s="476">
        <v>37560680</v>
      </c>
      <c r="HT175" s="476">
        <v>843981</v>
      </c>
      <c r="HU175" s="476">
        <v>0</v>
      </c>
      <c r="HV175" s="476">
        <v>0</v>
      </c>
      <c r="HW175" s="476">
        <v>0</v>
      </c>
      <c r="HX175" s="476">
        <v>559</v>
      </c>
      <c r="HY175" s="476">
        <v>590</v>
      </c>
      <c r="HZ175" s="476">
        <v>503</v>
      </c>
      <c r="IA175" s="476">
        <v>553</v>
      </c>
      <c r="IB175" s="476">
        <v>571</v>
      </c>
      <c r="IC175" s="476">
        <v>2776</v>
      </c>
      <c r="ID175" s="476">
        <v>0</v>
      </c>
      <c r="IE175" s="476">
        <v>0</v>
      </c>
      <c r="IF175" s="476">
        <v>0</v>
      </c>
      <c r="IG175" s="476">
        <v>121</v>
      </c>
      <c r="IH175" s="476">
        <v>1385.625</v>
      </c>
      <c r="II175" s="476">
        <v>0</v>
      </c>
      <c r="IJ175" s="476">
        <v>1971.4870000000001</v>
      </c>
      <c r="IK175" s="476">
        <v>0</v>
      </c>
      <c r="IL175" s="476">
        <v>24</v>
      </c>
      <c r="IM175" s="476">
        <v>18</v>
      </c>
      <c r="IN175" s="476">
        <v>0</v>
      </c>
      <c r="IO175" s="476">
        <v>42</v>
      </c>
      <c r="IP175" s="476">
        <v>0</v>
      </c>
      <c r="IQ175" s="476">
        <v>1971.4870000000001</v>
      </c>
      <c r="IR175" s="476">
        <v>1214408</v>
      </c>
      <c r="IS175" s="476">
        <v>0</v>
      </c>
      <c r="IT175" s="476">
        <v>120000</v>
      </c>
      <c r="IU175" s="476">
        <v>54000</v>
      </c>
      <c r="IV175" s="476">
        <v>0</v>
      </c>
      <c r="IW175" s="476">
        <v>6160</v>
      </c>
      <c r="IX175" s="476">
        <v>0</v>
      </c>
      <c r="IY175" s="476">
        <v>0</v>
      </c>
      <c r="IZ175" s="476">
        <v>0</v>
      </c>
      <c r="JA175" s="476">
        <v>0</v>
      </c>
      <c r="JB175" s="476">
        <v>10</v>
      </c>
      <c r="JC175" s="476">
        <v>162540</v>
      </c>
      <c r="JD175" s="476">
        <v>38</v>
      </c>
      <c r="JE175" s="476">
        <v>361016</v>
      </c>
      <c r="JF175" s="476">
        <v>44</v>
      </c>
      <c r="JG175" s="476">
        <v>211500</v>
      </c>
      <c r="JH175" s="476">
        <v>33000</v>
      </c>
      <c r="JI175" s="476">
        <v>0</v>
      </c>
      <c r="JJ175" s="476">
        <v>0</v>
      </c>
      <c r="JK175" s="476">
        <v>0</v>
      </c>
      <c r="JL175" s="476">
        <v>0</v>
      </c>
      <c r="JM175" s="476">
        <v>0</v>
      </c>
      <c r="JN175" s="476">
        <v>32469</v>
      </c>
      <c r="JO175" s="476">
        <v>0</v>
      </c>
      <c r="JP175" s="476">
        <v>116.39700000000001</v>
      </c>
      <c r="JQ175" s="476">
        <v>81.64200000000001</v>
      </c>
      <c r="JR175" s="476">
        <v>0</v>
      </c>
      <c r="JS175" s="476">
        <v>1081952</v>
      </c>
      <c r="JT175" s="476">
        <v>871540</v>
      </c>
      <c r="JU175" s="476">
        <v>87963</v>
      </c>
      <c r="JV175" s="476">
        <v>0</v>
      </c>
      <c r="JW175" s="476">
        <v>0</v>
      </c>
      <c r="JX175" s="476">
        <v>0</v>
      </c>
      <c r="JY175" s="476">
        <v>0</v>
      </c>
      <c r="JZ175" s="476">
        <v>0</v>
      </c>
      <c r="KA175" s="476">
        <v>0</v>
      </c>
      <c r="KB175" s="476">
        <v>0</v>
      </c>
      <c r="KC175" s="476">
        <v>0</v>
      </c>
      <c r="KD175" s="476">
        <v>87963</v>
      </c>
      <c r="KE175" s="476">
        <v>7262</v>
      </c>
      <c r="KF175" s="476">
        <v>0</v>
      </c>
      <c r="KG175" s="476">
        <v>0</v>
      </c>
      <c r="KH175" s="476">
        <v>43458215</v>
      </c>
      <c r="KI175" s="476">
        <v>0</v>
      </c>
      <c r="KJ175" s="476">
        <v>58</v>
      </c>
      <c r="KK175" s="476">
        <v>63</v>
      </c>
      <c r="KL175" s="476">
        <v>35727</v>
      </c>
      <c r="KM175" s="476">
        <v>38807</v>
      </c>
      <c r="KN175" s="476">
        <v>0</v>
      </c>
    </row>
    <row r="176" spans="1:300" x14ac:dyDescent="0.25">
      <c r="A176" s="476">
        <v>40976</v>
      </c>
      <c r="B176" s="476">
        <v>227817</v>
      </c>
      <c r="C176" s="476">
        <v>9</v>
      </c>
      <c r="D176" s="476">
        <v>2024</v>
      </c>
      <c r="E176" s="476">
        <v>6160</v>
      </c>
      <c r="F176" s="476">
        <v>0</v>
      </c>
      <c r="G176" s="476">
        <v>426.04700000000003</v>
      </c>
      <c r="H176" s="476">
        <v>394.79</v>
      </c>
      <c r="I176" s="476">
        <v>394.79</v>
      </c>
      <c r="J176" s="476">
        <v>426.04700000000003</v>
      </c>
      <c r="K176" s="476">
        <v>0</v>
      </c>
      <c r="L176" s="476">
        <v>6160</v>
      </c>
      <c r="M176" s="476">
        <v>0</v>
      </c>
      <c r="N176" s="476">
        <v>0</v>
      </c>
      <c r="O176" s="476">
        <v>0</v>
      </c>
      <c r="P176" s="476">
        <v>426.22300000000001</v>
      </c>
      <c r="Q176" s="476">
        <v>0</v>
      </c>
      <c r="R176" s="476">
        <v>176833</v>
      </c>
      <c r="S176" s="476">
        <v>414.88400000000001</v>
      </c>
      <c r="T176" s="476">
        <v>0</v>
      </c>
      <c r="U176" s="476">
        <v>0</v>
      </c>
      <c r="V176" s="476">
        <v>228.977</v>
      </c>
      <c r="W176" s="476">
        <v>141047</v>
      </c>
      <c r="X176" s="476">
        <v>141047</v>
      </c>
      <c r="Y176" s="476">
        <v>0</v>
      </c>
      <c r="Z176" s="476">
        <v>0</v>
      </c>
      <c r="AA176" s="476">
        <v>0</v>
      </c>
      <c r="AB176" s="476">
        <v>0</v>
      </c>
      <c r="AC176" s="476">
        <v>0</v>
      </c>
      <c r="AD176" s="476" t="s">
        <v>314</v>
      </c>
      <c r="AE176" s="476">
        <v>0</v>
      </c>
      <c r="AF176" s="476">
        <v>0</v>
      </c>
      <c r="AG176" s="476">
        <v>0</v>
      </c>
      <c r="AH176" s="476">
        <v>0</v>
      </c>
      <c r="AI176" s="476">
        <v>0</v>
      </c>
      <c r="AJ176" s="476">
        <v>6160</v>
      </c>
      <c r="AK176" s="476" t="s">
        <v>651</v>
      </c>
      <c r="AL176" s="476" t="s">
        <v>80</v>
      </c>
      <c r="AM176" s="476">
        <v>0</v>
      </c>
      <c r="AN176" s="476">
        <v>0</v>
      </c>
      <c r="AO176" s="476">
        <v>0</v>
      </c>
      <c r="AP176" s="476">
        <v>0</v>
      </c>
      <c r="AQ176" s="476">
        <v>0</v>
      </c>
      <c r="AR176" s="476">
        <v>0</v>
      </c>
      <c r="AS176" s="476">
        <v>0</v>
      </c>
      <c r="AT176" s="476">
        <v>0</v>
      </c>
      <c r="AU176" s="476">
        <v>0</v>
      </c>
      <c r="AV176" s="476">
        <v>0</v>
      </c>
      <c r="AW176" s="476">
        <v>5073363</v>
      </c>
      <c r="AX176" s="476">
        <v>5003539</v>
      </c>
      <c r="AY176" s="476">
        <v>0</v>
      </c>
      <c r="AZ176" s="476">
        <v>176833</v>
      </c>
      <c r="BA176" s="476">
        <v>17.833000000000002</v>
      </c>
      <c r="BB176" s="476">
        <v>5968</v>
      </c>
      <c r="BC176" s="476">
        <v>5930</v>
      </c>
      <c r="BD176" s="476">
        <v>14</v>
      </c>
      <c r="BE176" s="476">
        <v>38</v>
      </c>
      <c r="BF176" s="476">
        <v>4500404</v>
      </c>
      <c r="BG176" s="476">
        <v>0</v>
      </c>
      <c r="BH176" s="476">
        <v>0</v>
      </c>
      <c r="BI176" s="476">
        <v>0</v>
      </c>
      <c r="BJ176" s="476">
        <v>12</v>
      </c>
      <c r="BK176" s="476">
        <v>0</v>
      </c>
      <c r="BL176" s="476">
        <v>0</v>
      </c>
      <c r="BM176" s="476">
        <v>0</v>
      </c>
      <c r="BN176" s="476">
        <v>0</v>
      </c>
      <c r="BO176" s="476">
        <v>0</v>
      </c>
      <c r="BP176" s="476">
        <v>0</v>
      </c>
      <c r="BQ176" s="476">
        <v>709</v>
      </c>
      <c r="BR176" s="476">
        <v>0</v>
      </c>
      <c r="BS176" s="476">
        <v>0</v>
      </c>
      <c r="BT176" s="476">
        <v>0</v>
      </c>
      <c r="BU176" s="476">
        <v>0</v>
      </c>
      <c r="BV176" s="476">
        <v>0</v>
      </c>
      <c r="BW176" s="476">
        <v>0</v>
      </c>
      <c r="BX176" s="476">
        <v>0</v>
      </c>
      <c r="BY176" s="476">
        <v>0</v>
      </c>
      <c r="BZ176" s="476">
        <v>0</v>
      </c>
      <c r="CA176" s="476">
        <v>0</v>
      </c>
      <c r="CB176" s="476">
        <v>0</v>
      </c>
      <c r="CC176" s="476">
        <v>0</v>
      </c>
      <c r="CD176" s="476">
        <v>0</v>
      </c>
      <c r="CE176" s="476">
        <v>0</v>
      </c>
      <c r="CF176" s="476">
        <v>0</v>
      </c>
      <c r="CG176" s="476">
        <v>0</v>
      </c>
      <c r="CH176" s="476">
        <v>71927</v>
      </c>
      <c r="CI176" s="476">
        <v>0</v>
      </c>
      <c r="CJ176" s="476">
        <v>4</v>
      </c>
      <c r="CK176" s="476">
        <v>0</v>
      </c>
      <c r="CL176" s="476">
        <v>0</v>
      </c>
      <c r="CM176" s="476">
        <v>0</v>
      </c>
      <c r="CN176" s="476">
        <v>0</v>
      </c>
      <c r="CO176" s="476">
        <v>1</v>
      </c>
      <c r="CP176" s="476">
        <v>0</v>
      </c>
      <c r="CQ176" s="476">
        <v>0.66700000000000004</v>
      </c>
      <c r="CR176" s="476">
        <v>426.04700000000003</v>
      </c>
      <c r="CS176" s="476">
        <v>0</v>
      </c>
      <c r="CT176" s="476">
        <v>0</v>
      </c>
      <c r="CU176" s="476">
        <v>0</v>
      </c>
      <c r="CV176" s="476">
        <v>0</v>
      </c>
      <c r="CW176" s="476">
        <v>0</v>
      </c>
      <c r="CX176" s="476">
        <v>0</v>
      </c>
      <c r="CY176" s="476">
        <v>0</v>
      </c>
      <c r="CZ176" s="476">
        <v>0</v>
      </c>
      <c r="DA176" s="476">
        <v>0</v>
      </c>
      <c r="DB176" s="476">
        <v>2431851</v>
      </c>
      <c r="DC176" s="476">
        <v>0</v>
      </c>
      <c r="DD176" s="476">
        <v>0</v>
      </c>
      <c r="DE176" s="476">
        <v>599508</v>
      </c>
      <c r="DF176" s="476">
        <v>599508</v>
      </c>
      <c r="DG176" s="476">
        <v>97.325000000000003</v>
      </c>
      <c r="DH176" s="476">
        <v>0</v>
      </c>
      <c r="DI176" s="476">
        <v>0</v>
      </c>
      <c r="DJ176" s="476">
        <v>0</v>
      </c>
      <c r="DK176" s="476">
        <v>2970</v>
      </c>
      <c r="DL176" s="476">
        <v>0</v>
      </c>
      <c r="DM176" s="476">
        <v>600664</v>
      </c>
      <c r="DN176" s="476">
        <v>2065</v>
      </c>
      <c r="DO176" s="476">
        <v>0</v>
      </c>
      <c r="DP176" s="476">
        <v>0</v>
      </c>
      <c r="DQ176" s="476">
        <v>0</v>
      </c>
      <c r="DR176" s="476">
        <v>0</v>
      </c>
      <c r="DS176" s="476">
        <v>0</v>
      </c>
      <c r="DT176" s="476">
        <v>0</v>
      </c>
      <c r="DU176" s="476">
        <v>0</v>
      </c>
      <c r="DV176" s="476">
        <v>0</v>
      </c>
      <c r="DW176" s="476">
        <v>0</v>
      </c>
      <c r="DX176" s="476">
        <v>0</v>
      </c>
      <c r="DY176" s="476">
        <v>0</v>
      </c>
      <c r="DZ176" s="476">
        <v>0</v>
      </c>
      <c r="EA176" s="476">
        <v>0</v>
      </c>
      <c r="EB176" s="476">
        <v>0</v>
      </c>
      <c r="EC176" s="476">
        <v>28.232000000000003</v>
      </c>
      <c r="ED176" s="476">
        <v>199991</v>
      </c>
      <c r="EE176" s="476">
        <v>0</v>
      </c>
      <c r="EF176" s="476">
        <v>0</v>
      </c>
      <c r="EG176" s="476">
        <v>0</v>
      </c>
      <c r="EH176" s="476">
        <v>402738</v>
      </c>
      <c r="EI176" s="476">
        <v>0</v>
      </c>
      <c r="EJ176" s="476">
        <v>0</v>
      </c>
      <c r="EK176" s="476">
        <v>19.702000000000002</v>
      </c>
      <c r="EL176" s="476">
        <v>0</v>
      </c>
      <c r="EM176" s="476">
        <v>0.32</v>
      </c>
      <c r="EN176" s="476">
        <v>1.0629999999999999</v>
      </c>
      <c r="EO176" s="476">
        <v>0</v>
      </c>
      <c r="EP176" s="476">
        <v>0</v>
      </c>
      <c r="EQ176" s="476">
        <v>21.085000000000001</v>
      </c>
      <c r="ER176" s="476">
        <v>0</v>
      </c>
      <c r="ES176" s="476">
        <v>65.381</v>
      </c>
      <c r="ET176" s="476">
        <v>0</v>
      </c>
      <c r="EU176" s="476">
        <v>0</v>
      </c>
      <c r="EV176" s="476">
        <v>0</v>
      </c>
      <c r="EW176" s="476">
        <v>0</v>
      </c>
      <c r="EX176" s="476">
        <v>0</v>
      </c>
      <c r="EY176" s="476">
        <v>0</v>
      </c>
      <c r="EZ176" s="476">
        <v>4325410</v>
      </c>
      <c r="FA176" s="476">
        <v>0</v>
      </c>
      <c r="FB176" s="476">
        <v>4500140</v>
      </c>
      <c r="FC176" s="476">
        <v>0</v>
      </c>
      <c r="FD176" s="476">
        <v>0</v>
      </c>
      <c r="FE176" s="476">
        <v>581084</v>
      </c>
      <c r="FF176" s="476">
        <v>97045</v>
      </c>
      <c r="FG176" s="476">
        <v>6.3017999999999991E-2</v>
      </c>
      <c r="FH176" s="476">
        <v>2.6953999999999999E-2</v>
      </c>
      <c r="FI176" s="476">
        <v>0</v>
      </c>
      <c r="FJ176" s="476">
        <v>0</v>
      </c>
      <c r="FK176" s="476">
        <v>730.60200000000009</v>
      </c>
      <c r="FL176" s="476">
        <v>5250196</v>
      </c>
      <c r="FM176" s="476">
        <v>0</v>
      </c>
      <c r="FN176" s="476">
        <v>0</v>
      </c>
      <c r="FO176" s="476">
        <v>0</v>
      </c>
      <c r="FP176" s="476">
        <v>0</v>
      </c>
      <c r="FQ176" s="476">
        <v>0</v>
      </c>
      <c r="FR176" s="476">
        <v>0</v>
      </c>
      <c r="FS176" s="476">
        <v>0</v>
      </c>
      <c r="FT176" s="476">
        <v>0</v>
      </c>
      <c r="FU176" s="476">
        <v>0</v>
      </c>
      <c r="FV176" s="476">
        <v>0</v>
      </c>
      <c r="FW176" s="476">
        <v>0</v>
      </c>
      <c r="FX176" s="476">
        <v>0</v>
      </c>
      <c r="FY176" s="476">
        <v>0</v>
      </c>
      <c r="FZ176" s="476">
        <v>0</v>
      </c>
      <c r="GA176" s="476">
        <v>0</v>
      </c>
      <c r="GB176" s="476">
        <v>95206</v>
      </c>
      <c r="GC176" s="476">
        <v>95206</v>
      </c>
      <c r="GD176" s="476">
        <v>10.172000000000001</v>
      </c>
      <c r="GE176" s="476">
        <v>0</v>
      </c>
      <c r="GF176" s="476">
        <v>0</v>
      </c>
      <c r="GG176" s="476">
        <v>0</v>
      </c>
      <c r="GH176" s="476">
        <v>0</v>
      </c>
      <c r="GI176" s="476">
        <v>0</v>
      </c>
      <c r="GJ176" s="476">
        <v>0</v>
      </c>
      <c r="GK176" s="476">
        <v>0</v>
      </c>
      <c r="GL176" s="476">
        <v>0</v>
      </c>
      <c r="GM176" s="476">
        <v>0</v>
      </c>
      <c r="GN176" s="476">
        <v>0</v>
      </c>
      <c r="GO176" s="476">
        <v>0</v>
      </c>
      <c r="GP176" s="476">
        <v>0</v>
      </c>
      <c r="GQ176" s="476">
        <v>5001436</v>
      </c>
      <c r="GR176" s="476">
        <v>0</v>
      </c>
      <c r="GS176" s="476">
        <v>0</v>
      </c>
      <c r="GT176" s="476">
        <v>0</v>
      </c>
      <c r="GU176" s="476">
        <v>0</v>
      </c>
      <c r="GV176" s="476">
        <v>0</v>
      </c>
      <c r="GW176" s="476">
        <v>0</v>
      </c>
      <c r="GX176" s="476">
        <v>0</v>
      </c>
      <c r="GY176" s="476">
        <v>0</v>
      </c>
      <c r="GZ176" s="476">
        <v>0</v>
      </c>
      <c r="HA176" s="476">
        <v>0</v>
      </c>
      <c r="HB176" s="476">
        <v>323396213</v>
      </c>
      <c r="HC176" s="476">
        <v>4.2206E-2</v>
      </c>
      <c r="HD176" s="476">
        <v>71927</v>
      </c>
      <c r="HE176" s="476">
        <v>0</v>
      </c>
      <c r="HF176" s="476">
        <v>435059</v>
      </c>
      <c r="HG176" s="476">
        <v>11088</v>
      </c>
      <c r="HH176" s="476">
        <v>139688</v>
      </c>
      <c r="HI176" s="476">
        <v>0</v>
      </c>
      <c r="HJ176" s="476">
        <v>4260</v>
      </c>
      <c r="HK176" s="476">
        <v>1480</v>
      </c>
      <c r="HL176" s="476">
        <v>359</v>
      </c>
      <c r="HM176" s="476">
        <v>34000</v>
      </c>
      <c r="HN176" s="476">
        <v>0</v>
      </c>
      <c r="HO176" s="476">
        <v>0</v>
      </c>
      <c r="HP176" s="476">
        <v>0</v>
      </c>
      <c r="HQ176" s="476">
        <v>0</v>
      </c>
      <c r="HR176" s="476">
        <v>0</v>
      </c>
      <c r="HS176" s="476">
        <v>4323307</v>
      </c>
      <c r="HT176" s="476">
        <v>97045</v>
      </c>
      <c r="HU176" s="476">
        <v>0</v>
      </c>
      <c r="HV176" s="476">
        <v>0</v>
      </c>
      <c r="HW176" s="476">
        <v>0</v>
      </c>
      <c r="HX176" s="476">
        <v>54</v>
      </c>
      <c r="HY176" s="476">
        <v>48</v>
      </c>
      <c r="HZ176" s="476">
        <v>80</v>
      </c>
      <c r="IA176" s="476">
        <v>98</v>
      </c>
      <c r="IB176" s="476">
        <v>102</v>
      </c>
      <c r="IC176" s="476">
        <v>382</v>
      </c>
      <c r="ID176" s="476">
        <v>0</v>
      </c>
      <c r="IE176" s="476">
        <v>0</v>
      </c>
      <c r="IF176" s="476">
        <v>0</v>
      </c>
      <c r="IG176" s="476">
        <v>18</v>
      </c>
      <c r="IH176" s="476">
        <v>226.77200000000002</v>
      </c>
      <c r="II176" s="476">
        <v>0</v>
      </c>
      <c r="IJ176" s="476">
        <v>228.977</v>
      </c>
      <c r="IK176" s="476">
        <v>0</v>
      </c>
      <c r="IL176" s="476">
        <v>5</v>
      </c>
      <c r="IM176" s="476">
        <v>3</v>
      </c>
      <c r="IN176" s="476">
        <v>0</v>
      </c>
      <c r="IO176" s="476">
        <v>8</v>
      </c>
      <c r="IP176" s="476">
        <v>0</v>
      </c>
      <c r="IQ176" s="476">
        <v>228.977</v>
      </c>
      <c r="IR176" s="476">
        <v>141047</v>
      </c>
      <c r="IS176" s="476">
        <v>0</v>
      </c>
      <c r="IT176" s="476">
        <v>25000</v>
      </c>
      <c r="IU176" s="476">
        <v>9000</v>
      </c>
      <c r="IV176" s="476">
        <v>0</v>
      </c>
      <c r="IW176" s="476">
        <v>6160</v>
      </c>
      <c r="IX176" s="476">
        <v>0</v>
      </c>
      <c r="IY176" s="476">
        <v>0</v>
      </c>
      <c r="IZ176" s="476">
        <v>0</v>
      </c>
      <c r="JA176" s="476">
        <v>0</v>
      </c>
      <c r="JB176" s="476">
        <v>0</v>
      </c>
      <c r="JC176" s="476">
        <v>0</v>
      </c>
      <c r="JD176" s="476">
        <v>0</v>
      </c>
      <c r="JE176" s="476">
        <v>0</v>
      </c>
      <c r="JF176" s="476">
        <v>0</v>
      </c>
      <c r="JG176" s="476">
        <v>0</v>
      </c>
      <c r="JH176" s="476">
        <v>0</v>
      </c>
      <c r="JI176" s="476">
        <v>0</v>
      </c>
      <c r="JJ176" s="476">
        <v>0</v>
      </c>
      <c r="JK176" s="476">
        <v>0</v>
      </c>
      <c r="JL176" s="476">
        <v>0</v>
      </c>
      <c r="JM176" s="476">
        <v>0</v>
      </c>
      <c r="JN176" s="476">
        <v>32469</v>
      </c>
      <c r="JO176" s="476">
        <v>2.9170000000000003</v>
      </c>
      <c r="JP176" s="476">
        <v>4.0179999999999998</v>
      </c>
      <c r="JQ176" s="476">
        <v>3.2370000000000001</v>
      </c>
      <c r="JR176" s="476">
        <v>23302</v>
      </c>
      <c r="JS176" s="476">
        <v>37349</v>
      </c>
      <c r="JT176" s="476">
        <v>34555</v>
      </c>
      <c r="JU176" s="476">
        <v>6037</v>
      </c>
      <c r="JV176" s="476">
        <v>0</v>
      </c>
      <c r="JW176" s="476">
        <v>0</v>
      </c>
      <c r="JX176" s="476">
        <v>0</v>
      </c>
      <c r="JY176" s="476">
        <v>0</v>
      </c>
      <c r="JZ176" s="476">
        <v>0</v>
      </c>
      <c r="KA176" s="476">
        <v>0</v>
      </c>
      <c r="KB176" s="476">
        <v>0</v>
      </c>
      <c r="KC176" s="476">
        <v>0</v>
      </c>
      <c r="KD176" s="476">
        <v>6037</v>
      </c>
      <c r="KE176" s="476">
        <v>7262</v>
      </c>
      <c r="KF176" s="476">
        <v>0</v>
      </c>
      <c r="KG176" s="476">
        <v>0</v>
      </c>
      <c r="KH176" s="476">
        <v>5001436</v>
      </c>
      <c r="KI176" s="476">
        <v>0</v>
      </c>
      <c r="KJ176" s="476">
        <v>14</v>
      </c>
      <c r="KK176" s="476">
        <v>4</v>
      </c>
      <c r="KL176" s="476">
        <v>8624</v>
      </c>
      <c r="KM176" s="476">
        <v>2464</v>
      </c>
      <c r="KN176" s="476">
        <v>0</v>
      </c>
    </row>
    <row r="177" spans="1:300" x14ac:dyDescent="0.25">
      <c r="A177" s="476">
        <v>40976</v>
      </c>
      <c r="B177" s="476">
        <v>227819</v>
      </c>
      <c r="C177" s="476">
        <v>9</v>
      </c>
      <c r="D177" s="476">
        <v>2024</v>
      </c>
      <c r="E177" s="476">
        <v>6160</v>
      </c>
      <c r="F177" s="476">
        <v>0</v>
      </c>
      <c r="G177" s="476">
        <v>261.63300000000004</v>
      </c>
      <c r="H177" s="476">
        <v>244.84400000000002</v>
      </c>
      <c r="I177" s="476">
        <v>244.84400000000002</v>
      </c>
      <c r="J177" s="476">
        <v>261.63300000000004</v>
      </c>
      <c r="K177" s="476">
        <v>0</v>
      </c>
      <c r="L177" s="476">
        <v>6160</v>
      </c>
      <c r="M177" s="476">
        <v>0</v>
      </c>
      <c r="N177" s="476">
        <v>0</v>
      </c>
      <c r="O177" s="476">
        <v>0</v>
      </c>
      <c r="P177" s="476">
        <v>261.63300000000004</v>
      </c>
      <c r="Q177" s="476">
        <v>0</v>
      </c>
      <c r="R177" s="476">
        <v>108547</v>
      </c>
      <c r="S177" s="476">
        <v>414.88400000000001</v>
      </c>
      <c r="T177" s="476">
        <v>0</v>
      </c>
      <c r="U177" s="476">
        <v>0</v>
      </c>
      <c r="V177" s="476">
        <v>27.792000000000002</v>
      </c>
      <c r="W177" s="476">
        <v>17119</v>
      </c>
      <c r="X177" s="476">
        <v>17119</v>
      </c>
      <c r="Y177" s="476">
        <v>0</v>
      </c>
      <c r="Z177" s="476">
        <v>0</v>
      </c>
      <c r="AA177" s="476">
        <v>0</v>
      </c>
      <c r="AB177" s="476">
        <v>0</v>
      </c>
      <c r="AC177" s="476">
        <v>0</v>
      </c>
      <c r="AD177" s="476" t="s">
        <v>314</v>
      </c>
      <c r="AE177" s="476">
        <v>0</v>
      </c>
      <c r="AF177" s="476">
        <v>0</v>
      </c>
      <c r="AG177" s="476">
        <v>0</v>
      </c>
      <c r="AH177" s="476">
        <v>0</v>
      </c>
      <c r="AI177" s="476">
        <v>0</v>
      </c>
      <c r="AJ177" s="476">
        <v>6160</v>
      </c>
      <c r="AK177" s="476" t="s">
        <v>651</v>
      </c>
      <c r="AL177" s="476" t="s">
        <v>87</v>
      </c>
      <c r="AM177" s="476">
        <v>0</v>
      </c>
      <c r="AN177" s="476">
        <v>0</v>
      </c>
      <c r="AO177" s="476">
        <v>0</v>
      </c>
      <c r="AP177" s="476">
        <v>0</v>
      </c>
      <c r="AQ177" s="476">
        <v>0</v>
      </c>
      <c r="AR177" s="476">
        <v>0</v>
      </c>
      <c r="AS177" s="476">
        <v>0</v>
      </c>
      <c r="AT177" s="476">
        <v>0</v>
      </c>
      <c r="AU177" s="476">
        <v>0</v>
      </c>
      <c r="AV177" s="476">
        <v>0</v>
      </c>
      <c r="AW177" s="476">
        <v>2802443</v>
      </c>
      <c r="AX177" s="476">
        <v>2759520</v>
      </c>
      <c r="AY177" s="476">
        <v>0</v>
      </c>
      <c r="AZ177" s="476">
        <v>108547</v>
      </c>
      <c r="BA177" s="476">
        <v>0</v>
      </c>
      <c r="BB177" s="476">
        <v>4689</v>
      </c>
      <c r="BC177" s="476">
        <v>4659</v>
      </c>
      <c r="BD177" s="476">
        <v>11</v>
      </c>
      <c r="BE177" s="476">
        <v>30</v>
      </c>
      <c r="BF177" s="476">
        <v>2492493</v>
      </c>
      <c r="BG177" s="476">
        <v>0</v>
      </c>
      <c r="BH177" s="476">
        <v>0</v>
      </c>
      <c r="BI177" s="476">
        <v>0</v>
      </c>
      <c r="BJ177" s="476">
        <v>12</v>
      </c>
      <c r="BK177" s="476">
        <v>0</v>
      </c>
      <c r="BL177" s="476">
        <v>0</v>
      </c>
      <c r="BM177" s="476">
        <v>0</v>
      </c>
      <c r="BN177" s="476">
        <v>0</v>
      </c>
      <c r="BO177" s="476">
        <v>0</v>
      </c>
      <c r="BP177" s="476">
        <v>0</v>
      </c>
      <c r="BQ177" s="476">
        <v>732</v>
      </c>
      <c r="BR177" s="476">
        <v>0</v>
      </c>
      <c r="BS177" s="476">
        <v>0</v>
      </c>
      <c r="BT177" s="476">
        <v>0</v>
      </c>
      <c r="BU177" s="476">
        <v>0</v>
      </c>
      <c r="BV177" s="476">
        <v>0</v>
      </c>
      <c r="BW177" s="476">
        <v>0</v>
      </c>
      <c r="BX177" s="476">
        <v>0</v>
      </c>
      <c r="BY177" s="476">
        <v>0</v>
      </c>
      <c r="BZ177" s="476">
        <v>0</v>
      </c>
      <c r="CA177" s="476">
        <v>0</v>
      </c>
      <c r="CB177" s="476">
        <v>0</v>
      </c>
      <c r="CC177" s="476">
        <v>0</v>
      </c>
      <c r="CD177" s="476">
        <v>0</v>
      </c>
      <c r="CE177" s="476">
        <v>0</v>
      </c>
      <c r="CF177" s="476">
        <v>0</v>
      </c>
      <c r="CG177" s="476">
        <v>0</v>
      </c>
      <c r="CH177" s="476">
        <v>44170</v>
      </c>
      <c r="CI177" s="476">
        <v>0</v>
      </c>
      <c r="CJ177" s="476">
        <v>4</v>
      </c>
      <c r="CK177" s="476">
        <v>0</v>
      </c>
      <c r="CL177" s="476">
        <v>0</v>
      </c>
      <c r="CM177" s="476">
        <v>0</v>
      </c>
      <c r="CN177" s="476">
        <v>0</v>
      </c>
      <c r="CO177" s="476">
        <v>1</v>
      </c>
      <c r="CP177" s="476">
        <v>0</v>
      </c>
      <c r="CQ177" s="476">
        <v>0</v>
      </c>
      <c r="CR177" s="476">
        <v>261.63300000000004</v>
      </c>
      <c r="CS177" s="476">
        <v>0</v>
      </c>
      <c r="CT177" s="476">
        <v>0</v>
      </c>
      <c r="CU177" s="476">
        <v>0</v>
      </c>
      <c r="CV177" s="476">
        <v>0</v>
      </c>
      <c r="CW177" s="476">
        <v>0</v>
      </c>
      <c r="CX177" s="476">
        <v>0</v>
      </c>
      <c r="CY177" s="476">
        <v>0</v>
      </c>
      <c r="CZ177" s="476">
        <v>0</v>
      </c>
      <c r="DA177" s="476">
        <v>0</v>
      </c>
      <c r="DB177" s="476">
        <v>1508205</v>
      </c>
      <c r="DC177" s="476">
        <v>0</v>
      </c>
      <c r="DD177" s="476">
        <v>0</v>
      </c>
      <c r="DE177" s="476">
        <v>254171</v>
      </c>
      <c r="DF177" s="476">
        <v>254171</v>
      </c>
      <c r="DG177" s="476">
        <v>41.263000000000005</v>
      </c>
      <c r="DH177" s="476">
        <v>0</v>
      </c>
      <c r="DI177" s="476">
        <v>0</v>
      </c>
      <c r="DJ177" s="476">
        <v>0</v>
      </c>
      <c r="DK177" s="476">
        <v>3339</v>
      </c>
      <c r="DL177" s="476">
        <v>0</v>
      </c>
      <c r="DM177" s="476">
        <v>353883</v>
      </c>
      <c r="DN177" s="476">
        <v>1217</v>
      </c>
      <c r="DO177" s="476">
        <v>0</v>
      </c>
      <c r="DP177" s="476">
        <v>0</v>
      </c>
      <c r="DQ177" s="476">
        <v>0</v>
      </c>
      <c r="DR177" s="476">
        <v>0</v>
      </c>
      <c r="DS177" s="476">
        <v>0</v>
      </c>
      <c r="DT177" s="476">
        <v>0</v>
      </c>
      <c r="DU177" s="476">
        <v>0</v>
      </c>
      <c r="DV177" s="476">
        <v>0</v>
      </c>
      <c r="DW177" s="476">
        <v>0</v>
      </c>
      <c r="DX177" s="476">
        <v>0</v>
      </c>
      <c r="DY177" s="476">
        <v>0</v>
      </c>
      <c r="DZ177" s="476">
        <v>0</v>
      </c>
      <c r="EA177" s="476">
        <v>0</v>
      </c>
      <c r="EB177" s="476">
        <v>0</v>
      </c>
      <c r="EC177" s="476">
        <v>3.87</v>
      </c>
      <c r="ED177" s="476">
        <v>27414</v>
      </c>
      <c r="EE177" s="476">
        <v>0</v>
      </c>
      <c r="EF177" s="476">
        <v>0</v>
      </c>
      <c r="EG177" s="476">
        <v>0</v>
      </c>
      <c r="EH177" s="476">
        <v>327686</v>
      </c>
      <c r="EI177" s="476">
        <v>0</v>
      </c>
      <c r="EJ177" s="476">
        <v>0</v>
      </c>
      <c r="EK177" s="476">
        <v>13.787000000000001</v>
      </c>
      <c r="EL177" s="476">
        <v>0</v>
      </c>
      <c r="EM177" s="476">
        <v>1.587</v>
      </c>
      <c r="EN177" s="476">
        <v>1.415</v>
      </c>
      <c r="EO177" s="476">
        <v>0</v>
      </c>
      <c r="EP177" s="476">
        <v>0</v>
      </c>
      <c r="EQ177" s="476">
        <v>16.789000000000001</v>
      </c>
      <c r="ER177" s="476">
        <v>0</v>
      </c>
      <c r="ES177" s="476">
        <v>53.197000000000003</v>
      </c>
      <c r="ET177" s="476">
        <v>0</v>
      </c>
      <c r="EU177" s="476">
        <v>0</v>
      </c>
      <c r="EV177" s="476">
        <v>0</v>
      </c>
      <c r="EW177" s="476">
        <v>0</v>
      </c>
      <c r="EX177" s="476">
        <v>0</v>
      </c>
      <c r="EY177" s="476">
        <v>0</v>
      </c>
      <c r="EZ177" s="476">
        <v>2383946</v>
      </c>
      <c r="FA177" s="476">
        <v>0</v>
      </c>
      <c r="FB177" s="476">
        <v>2491246</v>
      </c>
      <c r="FC177" s="476">
        <v>0</v>
      </c>
      <c r="FD177" s="476">
        <v>0</v>
      </c>
      <c r="FE177" s="476">
        <v>321827</v>
      </c>
      <c r="FF177" s="476">
        <v>53747</v>
      </c>
      <c r="FG177" s="476">
        <v>6.3017999999999991E-2</v>
      </c>
      <c r="FH177" s="476">
        <v>2.6953999999999999E-2</v>
      </c>
      <c r="FI177" s="476">
        <v>0</v>
      </c>
      <c r="FJ177" s="476">
        <v>0</v>
      </c>
      <c r="FK177" s="476">
        <v>404.63500000000005</v>
      </c>
      <c r="FL177" s="476">
        <v>2910990</v>
      </c>
      <c r="FM177" s="476">
        <v>0</v>
      </c>
      <c r="FN177" s="476">
        <v>0</v>
      </c>
      <c r="FO177" s="476">
        <v>0</v>
      </c>
      <c r="FP177" s="476">
        <v>0</v>
      </c>
      <c r="FQ177" s="476">
        <v>0</v>
      </c>
      <c r="FR177" s="476">
        <v>0</v>
      </c>
      <c r="FS177" s="476">
        <v>0</v>
      </c>
      <c r="FT177" s="476">
        <v>0</v>
      </c>
      <c r="FU177" s="476">
        <v>0</v>
      </c>
      <c r="FV177" s="476">
        <v>0</v>
      </c>
      <c r="FW177" s="476">
        <v>0</v>
      </c>
      <c r="FX177" s="476">
        <v>0</v>
      </c>
      <c r="FY177" s="476">
        <v>0</v>
      </c>
      <c r="FZ177" s="476">
        <v>0</v>
      </c>
      <c r="GA177" s="476">
        <v>0</v>
      </c>
      <c r="GB177" s="476">
        <v>0</v>
      </c>
      <c r="GC177" s="476">
        <v>0</v>
      </c>
      <c r="GD177" s="476">
        <v>0</v>
      </c>
      <c r="GE177" s="476">
        <v>0</v>
      </c>
      <c r="GF177" s="476">
        <v>0</v>
      </c>
      <c r="GG177" s="476">
        <v>0</v>
      </c>
      <c r="GH177" s="476">
        <v>0</v>
      </c>
      <c r="GI177" s="476">
        <v>0</v>
      </c>
      <c r="GJ177" s="476">
        <v>0</v>
      </c>
      <c r="GK177" s="476">
        <v>0</v>
      </c>
      <c r="GL177" s="476">
        <v>0</v>
      </c>
      <c r="GM177" s="476">
        <v>0</v>
      </c>
      <c r="GN177" s="476">
        <v>0</v>
      </c>
      <c r="GO177" s="476">
        <v>0</v>
      </c>
      <c r="GP177" s="476">
        <v>0</v>
      </c>
      <c r="GQ177" s="476">
        <v>2758273</v>
      </c>
      <c r="GR177" s="476">
        <v>0</v>
      </c>
      <c r="GS177" s="476">
        <v>0</v>
      </c>
      <c r="GT177" s="476">
        <v>0</v>
      </c>
      <c r="GU177" s="476">
        <v>0</v>
      </c>
      <c r="GV177" s="476">
        <v>0</v>
      </c>
      <c r="GW177" s="476">
        <v>0</v>
      </c>
      <c r="GX177" s="476">
        <v>0</v>
      </c>
      <c r="GY177" s="476">
        <v>0</v>
      </c>
      <c r="GZ177" s="476">
        <v>0</v>
      </c>
      <c r="HA177" s="476">
        <v>0</v>
      </c>
      <c r="HB177" s="476">
        <v>323396213</v>
      </c>
      <c r="HC177" s="476">
        <v>4.2206E-2</v>
      </c>
      <c r="HD177" s="476">
        <v>44170</v>
      </c>
      <c r="HE177" s="476">
        <v>0</v>
      </c>
      <c r="HF177" s="476">
        <v>269818</v>
      </c>
      <c r="HG177" s="476">
        <v>11088</v>
      </c>
      <c r="HH177" s="476">
        <v>64903</v>
      </c>
      <c r="HI177" s="476">
        <v>0</v>
      </c>
      <c r="HJ177" s="476">
        <v>2616</v>
      </c>
      <c r="HK177" s="476">
        <v>0</v>
      </c>
      <c r="HL177" s="476">
        <v>0</v>
      </c>
      <c r="HM177" s="476">
        <v>0</v>
      </c>
      <c r="HN177" s="476">
        <v>4784</v>
      </c>
      <c r="HO177" s="476">
        <v>0</v>
      </c>
      <c r="HP177" s="476">
        <v>0</v>
      </c>
      <c r="HQ177" s="476">
        <v>0</v>
      </c>
      <c r="HR177" s="476">
        <v>0</v>
      </c>
      <c r="HS177" s="476">
        <v>2382699</v>
      </c>
      <c r="HT177" s="476">
        <v>53747</v>
      </c>
      <c r="HU177" s="476">
        <v>0</v>
      </c>
      <c r="HV177" s="476">
        <v>0</v>
      </c>
      <c r="HW177" s="476">
        <v>0</v>
      </c>
      <c r="HX177" s="476">
        <v>25</v>
      </c>
      <c r="HY177" s="476">
        <v>50</v>
      </c>
      <c r="HZ177" s="476">
        <v>33</v>
      </c>
      <c r="IA177" s="476">
        <v>35</v>
      </c>
      <c r="IB177" s="476">
        <v>23</v>
      </c>
      <c r="IC177" s="476">
        <v>166</v>
      </c>
      <c r="ID177" s="476">
        <v>0</v>
      </c>
      <c r="IE177" s="476">
        <v>0</v>
      </c>
      <c r="IF177" s="476">
        <v>0</v>
      </c>
      <c r="IG177" s="476">
        <v>18</v>
      </c>
      <c r="IH177" s="476">
        <v>105.36500000000001</v>
      </c>
      <c r="II177" s="476">
        <v>0</v>
      </c>
      <c r="IJ177" s="476">
        <v>27.792000000000002</v>
      </c>
      <c r="IK177" s="476">
        <v>0</v>
      </c>
      <c r="IL177" s="476">
        <v>0</v>
      </c>
      <c r="IM177" s="476">
        <v>0</v>
      </c>
      <c r="IN177" s="476">
        <v>0</v>
      </c>
      <c r="IO177" s="476">
        <v>0</v>
      </c>
      <c r="IP177" s="476">
        <v>0</v>
      </c>
      <c r="IQ177" s="476">
        <v>27.792000000000002</v>
      </c>
      <c r="IR177" s="476">
        <v>17119</v>
      </c>
      <c r="IS177" s="476">
        <v>0</v>
      </c>
      <c r="IT177" s="476">
        <v>0</v>
      </c>
      <c r="IU177" s="476">
        <v>0</v>
      </c>
      <c r="IV177" s="476">
        <v>0</v>
      </c>
      <c r="IW177" s="476">
        <v>6160</v>
      </c>
      <c r="IX177" s="476">
        <v>0</v>
      </c>
      <c r="IY177" s="476">
        <v>0</v>
      </c>
      <c r="IZ177" s="476">
        <v>0</v>
      </c>
      <c r="JA177" s="476">
        <v>0</v>
      </c>
      <c r="JB177" s="476">
        <v>0</v>
      </c>
      <c r="JC177" s="476">
        <v>0</v>
      </c>
      <c r="JD177" s="476">
        <v>0</v>
      </c>
      <c r="JE177" s="476">
        <v>0</v>
      </c>
      <c r="JF177" s="476">
        <v>1</v>
      </c>
      <c r="JG177" s="476">
        <v>4784</v>
      </c>
      <c r="JH177" s="476">
        <v>0</v>
      </c>
      <c r="JI177" s="476">
        <v>0</v>
      </c>
      <c r="JJ177" s="476">
        <v>0</v>
      </c>
      <c r="JK177" s="476">
        <v>0</v>
      </c>
      <c r="JL177" s="476">
        <v>0</v>
      </c>
      <c r="JM177" s="476">
        <v>0</v>
      </c>
      <c r="JN177" s="476">
        <v>32469</v>
      </c>
      <c r="JO177" s="476">
        <v>0</v>
      </c>
      <c r="JP177" s="476">
        <v>0</v>
      </c>
      <c r="JQ177" s="476">
        <v>0</v>
      </c>
      <c r="JR177" s="476">
        <v>0</v>
      </c>
      <c r="JS177" s="476">
        <v>0</v>
      </c>
      <c r="JT177" s="476">
        <v>0</v>
      </c>
      <c r="JU177" s="476">
        <v>4743</v>
      </c>
      <c r="JV177" s="476">
        <v>0</v>
      </c>
      <c r="JW177" s="476">
        <v>0</v>
      </c>
      <c r="JX177" s="476">
        <v>0</v>
      </c>
      <c r="JY177" s="476">
        <v>0</v>
      </c>
      <c r="JZ177" s="476">
        <v>0</v>
      </c>
      <c r="KA177" s="476">
        <v>0</v>
      </c>
      <c r="KB177" s="476">
        <v>0</v>
      </c>
      <c r="KC177" s="476">
        <v>0</v>
      </c>
      <c r="KD177" s="476">
        <v>4743</v>
      </c>
      <c r="KE177" s="476">
        <v>7262</v>
      </c>
      <c r="KF177" s="476">
        <v>0</v>
      </c>
      <c r="KG177" s="476">
        <v>0</v>
      </c>
      <c r="KH177" s="476">
        <v>2758273</v>
      </c>
      <c r="KI177" s="476">
        <v>0</v>
      </c>
      <c r="KJ177" s="476">
        <v>14</v>
      </c>
      <c r="KK177" s="476">
        <v>4</v>
      </c>
      <c r="KL177" s="476">
        <v>8624</v>
      </c>
      <c r="KM177" s="476">
        <v>2464</v>
      </c>
      <c r="KN177" s="476">
        <v>0</v>
      </c>
    </row>
    <row r="178" spans="1:300" x14ac:dyDescent="0.25">
      <c r="A178" s="476">
        <v>40976</v>
      </c>
      <c r="B178" s="476">
        <v>227820</v>
      </c>
      <c r="C178" s="476">
        <v>9</v>
      </c>
      <c r="D178" s="476">
        <v>2024</v>
      </c>
      <c r="E178" s="476">
        <v>6160</v>
      </c>
      <c r="F178" s="476">
        <v>0</v>
      </c>
      <c r="G178" s="476">
        <v>28825.601999999999</v>
      </c>
      <c r="H178" s="476">
        <v>27288.953000000001</v>
      </c>
      <c r="I178" s="476">
        <v>27288.953000000001</v>
      </c>
      <c r="J178" s="476">
        <v>28825.601999999999</v>
      </c>
      <c r="K178" s="476">
        <v>0</v>
      </c>
      <c r="L178" s="476">
        <v>6160</v>
      </c>
      <c r="M178" s="476">
        <v>0</v>
      </c>
      <c r="N178" s="476">
        <v>0</v>
      </c>
      <c r="O178" s="476">
        <v>0</v>
      </c>
      <c r="P178" s="476">
        <v>28825.601999999999</v>
      </c>
      <c r="Q178" s="476">
        <v>0</v>
      </c>
      <c r="R178" s="476">
        <v>11959281</v>
      </c>
      <c r="S178" s="476">
        <v>414.88400000000001</v>
      </c>
      <c r="T178" s="476">
        <v>0</v>
      </c>
      <c r="U178" s="476">
        <v>0</v>
      </c>
      <c r="V178" s="476">
        <v>11392.748</v>
      </c>
      <c r="W178" s="476">
        <v>7017773</v>
      </c>
      <c r="X178" s="476">
        <v>7017773</v>
      </c>
      <c r="Y178" s="476">
        <v>0</v>
      </c>
      <c r="Z178" s="476">
        <v>0</v>
      </c>
      <c r="AA178" s="476">
        <v>0</v>
      </c>
      <c r="AB178" s="476">
        <v>0</v>
      </c>
      <c r="AC178" s="476">
        <v>0</v>
      </c>
      <c r="AD178" s="476" t="s">
        <v>314</v>
      </c>
      <c r="AE178" s="476">
        <v>0</v>
      </c>
      <c r="AF178" s="476">
        <v>0</v>
      </c>
      <c r="AG178" s="476">
        <v>0</v>
      </c>
      <c r="AH178" s="476">
        <v>0</v>
      </c>
      <c r="AI178" s="476">
        <v>0</v>
      </c>
      <c r="AJ178" s="476">
        <v>6160</v>
      </c>
      <c r="AK178" s="476" t="s">
        <v>651</v>
      </c>
      <c r="AL178" s="476" t="s">
        <v>463</v>
      </c>
      <c r="AM178" s="476">
        <v>0</v>
      </c>
      <c r="AN178" s="476">
        <v>0</v>
      </c>
      <c r="AO178" s="476">
        <v>0</v>
      </c>
      <c r="AP178" s="476">
        <v>0</v>
      </c>
      <c r="AQ178" s="476">
        <v>0</v>
      </c>
      <c r="AR178" s="476">
        <v>0</v>
      </c>
      <c r="AS178" s="476">
        <v>0</v>
      </c>
      <c r="AT178" s="476">
        <v>0</v>
      </c>
      <c r="AU178" s="476">
        <v>0</v>
      </c>
      <c r="AV178" s="476">
        <v>0</v>
      </c>
      <c r="AW178" s="476">
        <v>326006493</v>
      </c>
      <c r="AX178" s="476">
        <v>321209977</v>
      </c>
      <c r="AY178" s="476">
        <v>0</v>
      </c>
      <c r="AZ178" s="476">
        <v>11959281</v>
      </c>
      <c r="BA178" s="476">
        <v>0</v>
      </c>
      <c r="BB178" s="476">
        <v>0</v>
      </c>
      <c r="BC178" s="476">
        <v>0</v>
      </c>
      <c r="BD178" s="476">
        <v>0</v>
      </c>
      <c r="BE178" s="476">
        <v>0</v>
      </c>
      <c r="BF178" s="476">
        <v>287887860</v>
      </c>
      <c r="BG178" s="476">
        <v>0</v>
      </c>
      <c r="BH178" s="476">
        <v>0</v>
      </c>
      <c r="BI178" s="476">
        <v>0</v>
      </c>
      <c r="BJ178" s="476">
        <v>12</v>
      </c>
      <c r="BK178" s="476">
        <v>0</v>
      </c>
      <c r="BL178" s="476">
        <v>0</v>
      </c>
      <c r="BM178" s="476">
        <v>0</v>
      </c>
      <c r="BN178" s="476">
        <v>0</v>
      </c>
      <c r="BO178" s="476">
        <v>0</v>
      </c>
      <c r="BP178" s="476">
        <v>0</v>
      </c>
      <c r="BQ178" s="476">
        <v>0</v>
      </c>
      <c r="BR178" s="476">
        <v>0</v>
      </c>
      <c r="BS178" s="476">
        <v>0</v>
      </c>
      <c r="BT178" s="476">
        <v>0</v>
      </c>
      <c r="BU178" s="476">
        <v>0</v>
      </c>
      <c r="BV178" s="476">
        <v>0</v>
      </c>
      <c r="BW178" s="476">
        <v>0</v>
      </c>
      <c r="BX178" s="476">
        <v>0</v>
      </c>
      <c r="BY178" s="476">
        <v>0</v>
      </c>
      <c r="BZ178" s="476">
        <v>0</v>
      </c>
      <c r="CA178" s="476">
        <v>0</v>
      </c>
      <c r="CB178" s="476">
        <v>0</v>
      </c>
      <c r="CC178" s="476">
        <v>0</v>
      </c>
      <c r="CD178" s="476">
        <v>0</v>
      </c>
      <c r="CE178" s="476">
        <v>0</v>
      </c>
      <c r="CF178" s="476">
        <v>0</v>
      </c>
      <c r="CG178" s="476">
        <v>0</v>
      </c>
      <c r="CH178" s="476">
        <v>4866489</v>
      </c>
      <c r="CI178" s="476">
        <v>0</v>
      </c>
      <c r="CJ178" s="476">
        <v>4</v>
      </c>
      <c r="CK178" s="476">
        <v>0</v>
      </c>
      <c r="CL178" s="476">
        <v>0</v>
      </c>
      <c r="CM178" s="476">
        <v>0</v>
      </c>
      <c r="CN178" s="476">
        <v>0</v>
      </c>
      <c r="CO178" s="476">
        <v>1</v>
      </c>
      <c r="CP178" s="476">
        <v>0</v>
      </c>
      <c r="CQ178" s="476">
        <v>0</v>
      </c>
      <c r="CR178" s="476">
        <v>28825.601999999999</v>
      </c>
      <c r="CS178" s="476">
        <v>0</v>
      </c>
      <c r="CT178" s="476">
        <v>0</v>
      </c>
      <c r="CU178" s="476">
        <v>0</v>
      </c>
      <c r="CV178" s="476">
        <v>0</v>
      </c>
      <c r="CW178" s="476">
        <v>0</v>
      </c>
      <c r="CX178" s="476">
        <v>0</v>
      </c>
      <c r="CY178" s="476">
        <v>0</v>
      </c>
      <c r="CZ178" s="476">
        <v>0</v>
      </c>
      <c r="DA178" s="476">
        <v>0</v>
      </c>
      <c r="DB178" s="476">
        <v>168096134</v>
      </c>
      <c r="DC178" s="476">
        <v>0</v>
      </c>
      <c r="DD178" s="476">
        <v>0</v>
      </c>
      <c r="DE178" s="476">
        <v>46824947</v>
      </c>
      <c r="DF178" s="476">
        <v>46824947</v>
      </c>
      <c r="DG178" s="476">
        <v>7601.625</v>
      </c>
      <c r="DH178" s="476">
        <v>0</v>
      </c>
      <c r="DI178" s="476">
        <v>0</v>
      </c>
      <c r="DJ178" s="476">
        <v>0</v>
      </c>
      <c r="DK178" s="476">
        <v>0</v>
      </c>
      <c r="DL178" s="476">
        <v>0</v>
      </c>
      <c r="DM178" s="476">
        <v>20352809</v>
      </c>
      <c r="DN178" s="476">
        <v>69973</v>
      </c>
      <c r="DO178" s="476">
        <v>0</v>
      </c>
      <c r="DP178" s="476">
        <v>0</v>
      </c>
      <c r="DQ178" s="476">
        <v>0</v>
      </c>
      <c r="DR178" s="476">
        <v>0</v>
      </c>
      <c r="DS178" s="476">
        <v>0</v>
      </c>
      <c r="DT178" s="476">
        <v>0</v>
      </c>
      <c r="DU178" s="476">
        <v>0</v>
      </c>
      <c r="DV178" s="476">
        <v>0</v>
      </c>
      <c r="DW178" s="476">
        <v>0</v>
      </c>
      <c r="DX178" s="476">
        <v>0</v>
      </c>
      <c r="DY178" s="476">
        <v>0</v>
      </c>
      <c r="DZ178" s="476">
        <v>0</v>
      </c>
      <c r="EA178" s="476">
        <v>0.14800000000000002</v>
      </c>
      <c r="EB178" s="476">
        <v>0</v>
      </c>
      <c r="EC178" s="476">
        <v>853.84300000000007</v>
      </c>
      <c r="ED178" s="476">
        <v>6048487</v>
      </c>
      <c r="EE178" s="476">
        <v>0</v>
      </c>
      <c r="EF178" s="476">
        <v>0</v>
      </c>
      <c r="EG178" s="476">
        <v>0.99299999999999999</v>
      </c>
      <c r="EH178" s="476">
        <v>14374295</v>
      </c>
      <c r="EI178" s="476">
        <v>0</v>
      </c>
      <c r="EJ178" s="476">
        <v>0</v>
      </c>
      <c r="EK178" s="476">
        <v>592.48800000000006</v>
      </c>
      <c r="EL178" s="476">
        <v>1.4080000000000001</v>
      </c>
      <c r="EM178" s="476">
        <v>100.298</v>
      </c>
      <c r="EN178" s="476">
        <v>50.027000000000001</v>
      </c>
      <c r="EO178" s="476">
        <v>0</v>
      </c>
      <c r="EP178" s="476">
        <v>0</v>
      </c>
      <c r="EQ178" s="476">
        <v>744.66200000000003</v>
      </c>
      <c r="ER178" s="476">
        <v>0.70800000000000007</v>
      </c>
      <c r="ES178" s="476">
        <v>2333.5430000000001</v>
      </c>
      <c r="ET178" s="476">
        <v>0</v>
      </c>
      <c r="EU178" s="476">
        <v>0</v>
      </c>
      <c r="EV178" s="476">
        <v>0</v>
      </c>
      <c r="EW178" s="476">
        <v>0</v>
      </c>
      <c r="EX178" s="476">
        <v>0</v>
      </c>
      <c r="EY178" s="476">
        <v>0</v>
      </c>
      <c r="EZ178" s="476">
        <v>277830485</v>
      </c>
      <c r="FA178" s="476">
        <v>0</v>
      </c>
      <c r="FB178" s="476">
        <v>289719793</v>
      </c>
      <c r="FC178" s="476">
        <v>0</v>
      </c>
      <c r="FD178" s="476">
        <v>0</v>
      </c>
      <c r="FE178" s="476">
        <v>37171568</v>
      </c>
      <c r="FF178" s="476">
        <v>6207924</v>
      </c>
      <c r="FG178" s="476">
        <v>6.3017999999999991E-2</v>
      </c>
      <c r="FH178" s="476">
        <v>2.6953999999999999E-2</v>
      </c>
      <c r="FI178" s="476">
        <v>0</v>
      </c>
      <c r="FJ178" s="476">
        <v>0</v>
      </c>
      <c r="FK178" s="476">
        <v>46736.103000000003</v>
      </c>
      <c r="FL178" s="476">
        <v>337965774</v>
      </c>
      <c r="FM178" s="476">
        <v>0</v>
      </c>
      <c r="FN178" s="476">
        <v>40618</v>
      </c>
      <c r="FO178" s="476">
        <v>1275705</v>
      </c>
      <c r="FP178" s="476">
        <v>501421</v>
      </c>
      <c r="FQ178" s="476">
        <v>1817744</v>
      </c>
      <c r="FR178" s="476">
        <v>1316323</v>
      </c>
      <c r="FS178" s="476">
        <v>0</v>
      </c>
      <c r="FT178" s="476">
        <v>0</v>
      </c>
      <c r="FU178" s="476">
        <v>0</v>
      </c>
      <c r="FV178" s="476">
        <v>0</v>
      </c>
      <c r="FW178" s="476">
        <v>0</v>
      </c>
      <c r="FX178" s="476">
        <v>0</v>
      </c>
      <c r="FY178" s="476">
        <v>0</v>
      </c>
      <c r="FZ178" s="476">
        <v>0</v>
      </c>
      <c r="GA178" s="476">
        <v>0</v>
      </c>
      <c r="GB178" s="476">
        <v>7579278</v>
      </c>
      <c r="GC178" s="476">
        <v>7579278</v>
      </c>
      <c r="GD178" s="476">
        <v>791.98700000000008</v>
      </c>
      <c r="GE178" s="476">
        <v>0</v>
      </c>
      <c r="GF178" s="476">
        <v>0</v>
      </c>
      <c r="GG178" s="476">
        <v>0</v>
      </c>
      <c r="GH178" s="476">
        <v>0</v>
      </c>
      <c r="GI178" s="476">
        <v>0</v>
      </c>
      <c r="GJ178" s="476">
        <v>0</v>
      </c>
      <c r="GK178" s="476">
        <v>0</v>
      </c>
      <c r="GL178" s="476">
        <v>0</v>
      </c>
      <c r="GM178" s="476">
        <v>0</v>
      </c>
      <c r="GN178" s="476">
        <v>0</v>
      </c>
      <c r="GO178" s="476">
        <v>0</v>
      </c>
      <c r="GP178" s="476">
        <v>0</v>
      </c>
      <c r="GQ178" s="476">
        <v>321140004</v>
      </c>
      <c r="GR178" s="476">
        <v>0</v>
      </c>
      <c r="GS178" s="476">
        <v>0</v>
      </c>
      <c r="GT178" s="476">
        <v>0</v>
      </c>
      <c r="GU178" s="476">
        <v>0</v>
      </c>
      <c r="GV178" s="476">
        <v>0</v>
      </c>
      <c r="GW178" s="476">
        <v>0</v>
      </c>
      <c r="GX178" s="476">
        <v>0</v>
      </c>
      <c r="GY178" s="476">
        <v>0</v>
      </c>
      <c r="GZ178" s="476">
        <v>0</v>
      </c>
      <c r="HA178" s="476">
        <v>0</v>
      </c>
      <c r="HB178" s="476">
        <v>323396213</v>
      </c>
      <c r="HC178" s="476">
        <v>4.2206E-2</v>
      </c>
      <c r="HD178" s="476">
        <v>4866489</v>
      </c>
      <c r="HE178" s="476">
        <v>0</v>
      </c>
      <c r="HF178" s="476">
        <v>30072426</v>
      </c>
      <c r="HG178" s="476">
        <v>57903</v>
      </c>
      <c r="HH178" s="476">
        <v>6922494</v>
      </c>
      <c r="HI178" s="476">
        <v>0</v>
      </c>
      <c r="HJ178" s="476">
        <v>288256</v>
      </c>
      <c r="HK178" s="476">
        <v>75341</v>
      </c>
      <c r="HL178" s="476">
        <v>8821</v>
      </c>
      <c r="HM178" s="476">
        <v>593000</v>
      </c>
      <c r="HN178" s="476">
        <v>12867</v>
      </c>
      <c r="HO178" s="476">
        <v>0</v>
      </c>
      <c r="HP178" s="476">
        <v>0</v>
      </c>
      <c r="HQ178" s="476">
        <v>0</v>
      </c>
      <c r="HR178" s="476">
        <v>0</v>
      </c>
      <c r="HS178" s="476">
        <v>277760512</v>
      </c>
      <c r="HT178" s="476">
        <v>6207924</v>
      </c>
      <c r="HU178" s="476">
        <v>0</v>
      </c>
      <c r="HV178" s="476">
        <v>0</v>
      </c>
      <c r="HW178" s="476">
        <v>0</v>
      </c>
      <c r="HX178" s="476">
        <v>2457</v>
      </c>
      <c r="HY178" s="476">
        <v>3878</v>
      </c>
      <c r="HZ178" s="476">
        <v>5258</v>
      </c>
      <c r="IA178" s="476">
        <v>7308</v>
      </c>
      <c r="IB178" s="476">
        <v>10527</v>
      </c>
      <c r="IC178" s="476">
        <v>29428</v>
      </c>
      <c r="ID178" s="476">
        <v>0</v>
      </c>
      <c r="IE178" s="476">
        <v>0</v>
      </c>
      <c r="IF178" s="476">
        <v>0</v>
      </c>
      <c r="IG178" s="476">
        <v>94</v>
      </c>
      <c r="IH178" s="476">
        <v>11238.07</v>
      </c>
      <c r="II178" s="476">
        <v>0</v>
      </c>
      <c r="IJ178" s="476">
        <v>11392.748</v>
      </c>
      <c r="IK178" s="476">
        <v>0</v>
      </c>
      <c r="IL178" s="476">
        <v>112</v>
      </c>
      <c r="IM178" s="476">
        <v>11</v>
      </c>
      <c r="IN178" s="476">
        <v>0</v>
      </c>
      <c r="IO178" s="476">
        <v>123</v>
      </c>
      <c r="IP178" s="476">
        <v>0</v>
      </c>
      <c r="IQ178" s="476">
        <v>11392.748</v>
      </c>
      <c r="IR178" s="476">
        <v>7017773</v>
      </c>
      <c r="IS178" s="476">
        <v>0</v>
      </c>
      <c r="IT178" s="476">
        <v>560000</v>
      </c>
      <c r="IU178" s="476">
        <v>33000</v>
      </c>
      <c r="IV178" s="476">
        <v>0</v>
      </c>
      <c r="IW178" s="476">
        <v>6160</v>
      </c>
      <c r="IX178" s="476">
        <v>0</v>
      </c>
      <c r="IY178" s="476">
        <v>0</v>
      </c>
      <c r="IZ178" s="476">
        <v>0</v>
      </c>
      <c r="JA178" s="476">
        <v>0</v>
      </c>
      <c r="JB178" s="476">
        <v>0</v>
      </c>
      <c r="JC178" s="476">
        <v>0</v>
      </c>
      <c r="JD178" s="476">
        <v>0</v>
      </c>
      <c r="JE178" s="476">
        <v>0</v>
      </c>
      <c r="JF178" s="476">
        <v>2</v>
      </c>
      <c r="JG178" s="476">
        <v>12867</v>
      </c>
      <c r="JH178" s="476">
        <v>0</v>
      </c>
      <c r="JI178" s="476">
        <v>0</v>
      </c>
      <c r="JJ178" s="476">
        <v>0</v>
      </c>
      <c r="JK178" s="476">
        <v>0</v>
      </c>
      <c r="JL178" s="476">
        <v>0</v>
      </c>
      <c r="JM178" s="476">
        <v>0</v>
      </c>
      <c r="JN178" s="476">
        <v>32469</v>
      </c>
      <c r="JO178" s="476">
        <v>0</v>
      </c>
      <c r="JP178" s="476">
        <v>634.37200000000007</v>
      </c>
      <c r="JQ178" s="476">
        <v>157.61500000000001</v>
      </c>
      <c r="JR178" s="476">
        <v>0</v>
      </c>
      <c r="JS178" s="476">
        <v>5896716</v>
      </c>
      <c r="JT178" s="476">
        <v>1682562</v>
      </c>
      <c r="JU178" s="476">
        <v>0</v>
      </c>
      <c r="JV178" s="476">
        <v>0</v>
      </c>
      <c r="JW178" s="476">
        <v>0</v>
      </c>
      <c r="JX178" s="476">
        <v>0</v>
      </c>
      <c r="JY178" s="476">
        <v>0</v>
      </c>
      <c r="JZ178" s="476">
        <v>0</v>
      </c>
      <c r="KA178" s="476">
        <v>0</v>
      </c>
      <c r="KB178" s="476">
        <v>0</v>
      </c>
      <c r="KC178" s="476">
        <v>0</v>
      </c>
      <c r="KD178" s="476">
        <v>0</v>
      </c>
      <c r="KE178" s="476">
        <v>7262</v>
      </c>
      <c r="KF178" s="476">
        <v>0</v>
      </c>
      <c r="KG178" s="476">
        <v>0</v>
      </c>
      <c r="KH178" s="476">
        <v>321140004</v>
      </c>
      <c r="KI178" s="476">
        <v>0</v>
      </c>
      <c r="KJ178" s="476">
        <v>55</v>
      </c>
      <c r="KK178" s="476">
        <v>39</v>
      </c>
      <c r="KL178" s="476">
        <v>33879</v>
      </c>
      <c r="KM178" s="476">
        <v>24023</v>
      </c>
      <c r="KN178" s="476">
        <v>0</v>
      </c>
    </row>
    <row r="179" spans="1:300" x14ac:dyDescent="0.25">
      <c r="A179" s="476">
        <v>40976</v>
      </c>
      <c r="B179" s="476">
        <v>227821</v>
      </c>
      <c r="C179" s="476">
        <v>9</v>
      </c>
      <c r="D179" s="476">
        <v>2024</v>
      </c>
      <c r="E179" s="476">
        <v>6160</v>
      </c>
      <c r="F179" s="476">
        <v>0</v>
      </c>
      <c r="G179" s="476">
        <v>304.65500000000003</v>
      </c>
      <c r="H179" s="476">
        <v>294.33199999999999</v>
      </c>
      <c r="I179" s="476">
        <v>294.33199999999999</v>
      </c>
      <c r="J179" s="476">
        <v>304.65500000000003</v>
      </c>
      <c r="K179" s="476">
        <v>0</v>
      </c>
      <c r="L179" s="476">
        <v>6160</v>
      </c>
      <c r="M179" s="476">
        <v>0</v>
      </c>
      <c r="N179" s="476">
        <v>0</v>
      </c>
      <c r="O179" s="476">
        <v>0</v>
      </c>
      <c r="P179" s="476">
        <v>306.37</v>
      </c>
      <c r="Q179" s="476">
        <v>0</v>
      </c>
      <c r="R179" s="476">
        <v>127108</v>
      </c>
      <c r="S179" s="476">
        <v>414.88400000000001</v>
      </c>
      <c r="T179" s="476">
        <v>0</v>
      </c>
      <c r="U179" s="476">
        <v>0</v>
      </c>
      <c r="V179" s="476">
        <v>1.7310000000000001</v>
      </c>
      <c r="W179" s="476">
        <v>1066</v>
      </c>
      <c r="X179" s="476">
        <v>1066</v>
      </c>
      <c r="Y179" s="476">
        <v>0</v>
      </c>
      <c r="Z179" s="476">
        <v>0</v>
      </c>
      <c r="AA179" s="476">
        <v>0</v>
      </c>
      <c r="AB179" s="476">
        <v>0</v>
      </c>
      <c r="AC179" s="476">
        <v>0</v>
      </c>
      <c r="AD179" s="476" t="s">
        <v>314</v>
      </c>
      <c r="AE179" s="476">
        <v>0</v>
      </c>
      <c r="AF179" s="476">
        <v>0</v>
      </c>
      <c r="AG179" s="476">
        <v>0</v>
      </c>
      <c r="AH179" s="476">
        <v>0</v>
      </c>
      <c r="AI179" s="476">
        <v>0</v>
      </c>
      <c r="AJ179" s="476">
        <v>6160</v>
      </c>
      <c r="AK179" s="476" t="s">
        <v>651</v>
      </c>
      <c r="AL179" s="476" t="s">
        <v>67</v>
      </c>
      <c r="AM179" s="476">
        <v>0</v>
      </c>
      <c r="AN179" s="476">
        <v>0</v>
      </c>
      <c r="AO179" s="476">
        <v>0</v>
      </c>
      <c r="AP179" s="476">
        <v>0</v>
      </c>
      <c r="AQ179" s="476">
        <v>0</v>
      </c>
      <c r="AR179" s="476">
        <v>0</v>
      </c>
      <c r="AS179" s="476">
        <v>0</v>
      </c>
      <c r="AT179" s="476">
        <v>0</v>
      </c>
      <c r="AU179" s="476">
        <v>0</v>
      </c>
      <c r="AV179" s="476">
        <v>0</v>
      </c>
      <c r="AW179" s="476">
        <v>2779122</v>
      </c>
      <c r="AX179" s="476">
        <v>2728431</v>
      </c>
      <c r="AY179" s="476">
        <v>0</v>
      </c>
      <c r="AZ179" s="476">
        <v>127108</v>
      </c>
      <c r="BA179" s="476">
        <v>7.75</v>
      </c>
      <c r="BB179" s="476">
        <v>0</v>
      </c>
      <c r="BC179" s="476">
        <v>0</v>
      </c>
      <c r="BD179" s="476">
        <v>0</v>
      </c>
      <c r="BE179" s="476">
        <v>0</v>
      </c>
      <c r="BF179" s="476">
        <v>2481606</v>
      </c>
      <c r="BG179" s="476">
        <v>0</v>
      </c>
      <c r="BH179" s="476">
        <v>0</v>
      </c>
      <c r="BI179" s="476">
        <v>0</v>
      </c>
      <c r="BJ179" s="476">
        <v>12</v>
      </c>
      <c r="BK179" s="476">
        <v>0</v>
      </c>
      <c r="BL179" s="476">
        <v>0</v>
      </c>
      <c r="BM179" s="476">
        <v>0</v>
      </c>
      <c r="BN179" s="476">
        <v>0</v>
      </c>
      <c r="BO179" s="476">
        <v>0</v>
      </c>
      <c r="BP179" s="476">
        <v>0</v>
      </c>
      <c r="BQ179" s="476">
        <v>725</v>
      </c>
      <c r="BR179" s="476">
        <v>0</v>
      </c>
      <c r="BS179" s="476">
        <v>0</v>
      </c>
      <c r="BT179" s="476">
        <v>0</v>
      </c>
      <c r="BU179" s="476">
        <v>0</v>
      </c>
      <c r="BV179" s="476">
        <v>0</v>
      </c>
      <c r="BW179" s="476">
        <v>0</v>
      </c>
      <c r="BX179" s="476">
        <v>0</v>
      </c>
      <c r="BY179" s="476">
        <v>0</v>
      </c>
      <c r="BZ179" s="476">
        <v>0</v>
      </c>
      <c r="CA179" s="476">
        <v>0</v>
      </c>
      <c r="CB179" s="476">
        <v>0</v>
      </c>
      <c r="CC179" s="476">
        <v>0</v>
      </c>
      <c r="CD179" s="476">
        <v>0</v>
      </c>
      <c r="CE179" s="476">
        <v>0</v>
      </c>
      <c r="CF179" s="476">
        <v>0</v>
      </c>
      <c r="CG179" s="476">
        <v>0</v>
      </c>
      <c r="CH179" s="476">
        <v>51433</v>
      </c>
      <c r="CI179" s="476">
        <v>0</v>
      </c>
      <c r="CJ179" s="476">
        <v>4</v>
      </c>
      <c r="CK179" s="476">
        <v>0</v>
      </c>
      <c r="CL179" s="476">
        <v>0</v>
      </c>
      <c r="CM179" s="476">
        <v>0</v>
      </c>
      <c r="CN179" s="476">
        <v>0</v>
      </c>
      <c r="CO179" s="476">
        <v>1</v>
      </c>
      <c r="CP179" s="476">
        <v>0</v>
      </c>
      <c r="CQ179" s="476">
        <v>9.5830000000000002</v>
      </c>
      <c r="CR179" s="476">
        <v>304.65500000000003</v>
      </c>
      <c r="CS179" s="476">
        <v>0</v>
      </c>
      <c r="CT179" s="476">
        <v>0</v>
      </c>
      <c r="CU179" s="476">
        <v>0</v>
      </c>
      <c r="CV179" s="476">
        <v>0</v>
      </c>
      <c r="CW179" s="476">
        <v>0</v>
      </c>
      <c r="CX179" s="476">
        <v>0</v>
      </c>
      <c r="CY179" s="476">
        <v>0</v>
      </c>
      <c r="CZ179" s="476">
        <v>0</v>
      </c>
      <c r="DA179" s="476">
        <v>0</v>
      </c>
      <c r="DB179" s="476">
        <v>1626770</v>
      </c>
      <c r="DC179" s="476">
        <v>0</v>
      </c>
      <c r="DD179" s="476">
        <v>0</v>
      </c>
      <c r="DE179" s="476">
        <v>75766</v>
      </c>
      <c r="DF179" s="476">
        <v>75766</v>
      </c>
      <c r="DG179" s="476">
        <v>12.3</v>
      </c>
      <c r="DH179" s="476">
        <v>0</v>
      </c>
      <c r="DI179" s="476">
        <v>0</v>
      </c>
      <c r="DJ179" s="476">
        <v>0</v>
      </c>
      <c r="DK179" s="476">
        <v>3217</v>
      </c>
      <c r="DL179" s="476">
        <v>0</v>
      </c>
      <c r="DM179" s="476">
        <v>402215</v>
      </c>
      <c r="DN179" s="476">
        <v>742</v>
      </c>
      <c r="DO179" s="476">
        <v>0</v>
      </c>
      <c r="DP179" s="476">
        <v>0</v>
      </c>
      <c r="DQ179" s="476">
        <v>0</v>
      </c>
      <c r="DR179" s="476">
        <v>0</v>
      </c>
      <c r="DS179" s="476">
        <v>0</v>
      </c>
      <c r="DT179" s="476">
        <v>0</v>
      </c>
      <c r="DU179" s="476">
        <v>0</v>
      </c>
      <c r="DV179" s="476">
        <v>0</v>
      </c>
      <c r="DW179" s="476">
        <v>0</v>
      </c>
      <c r="DX179" s="476">
        <v>0</v>
      </c>
      <c r="DY179" s="476">
        <v>0</v>
      </c>
      <c r="DZ179" s="476">
        <v>0</v>
      </c>
      <c r="EA179" s="476">
        <v>0</v>
      </c>
      <c r="EB179" s="476">
        <v>0</v>
      </c>
      <c r="EC179" s="476">
        <v>2.7840000000000003</v>
      </c>
      <c r="ED179" s="476">
        <v>19721</v>
      </c>
      <c r="EE179" s="476">
        <v>0</v>
      </c>
      <c r="EF179" s="476">
        <v>0</v>
      </c>
      <c r="EG179" s="476">
        <v>0</v>
      </c>
      <c r="EH179" s="476">
        <v>196962</v>
      </c>
      <c r="EI179" s="476">
        <v>0</v>
      </c>
      <c r="EJ179" s="476">
        <v>0</v>
      </c>
      <c r="EK179" s="476">
        <v>9.1300000000000008</v>
      </c>
      <c r="EL179" s="476">
        <v>0</v>
      </c>
      <c r="EM179" s="476">
        <v>0.69000000000000006</v>
      </c>
      <c r="EN179" s="476">
        <v>0.503</v>
      </c>
      <c r="EO179" s="476">
        <v>0</v>
      </c>
      <c r="EP179" s="476">
        <v>0</v>
      </c>
      <c r="EQ179" s="476">
        <v>10.323</v>
      </c>
      <c r="ER179" s="476">
        <v>0</v>
      </c>
      <c r="ES179" s="476">
        <v>31.975000000000001</v>
      </c>
      <c r="ET179" s="476">
        <v>0</v>
      </c>
      <c r="EU179" s="476">
        <v>0</v>
      </c>
      <c r="EV179" s="476">
        <v>0</v>
      </c>
      <c r="EW179" s="476">
        <v>0</v>
      </c>
      <c r="EX179" s="476">
        <v>0</v>
      </c>
      <c r="EY179" s="476">
        <v>0</v>
      </c>
      <c r="EZ179" s="476">
        <v>2354498</v>
      </c>
      <c r="FA179" s="476">
        <v>0</v>
      </c>
      <c r="FB179" s="476">
        <v>2480864</v>
      </c>
      <c r="FC179" s="476">
        <v>0</v>
      </c>
      <c r="FD179" s="476">
        <v>0</v>
      </c>
      <c r="FE179" s="476">
        <v>320420</v>
      </c>
      <c r="FF179" s="476">
        <v>53513</v>
      </c>
      <c r="FG179" s="476">
        <v>6.3017999999999991E-2</v>
      </c>
      <c r="FH179" s="476">
        <v>2.6953999999999999E-2</v>
      </c>
      <c r="FI179" s="476">
        <v>0</v>
      </c>
      <c r="FJ179" s="476">
        <v>0</v>
      </c>
      <c r="FK179" s="476">
        <v>402.86700000000002</v>
      </c>
      <c r="FL179" s="476">
        <v>2906230</v>
      </c>
      <c r="FM179" s="476">
        <v>0</v>
      </c>
      <c r="FN179" s="476">
        <v>0</v>
      </c>
      <c r="FO179" s="476">
        <v>0</v>
      </c>
      <c r="FP179" s="476">
        <v>0</v>
      </c>
      <c r="FQ179" s="476">
        <v>0</v>
      </c>
      <c r="FR179" s="476">
        <v>0</v>
      </c>
      <c r="FS179" s="476">
        <v>0</v>
      </c>
      <c r="FT179" s="476">
        <v>0</v>
      </c>
      <c r="FU179" s="476">
        <v>0</v>
      </c>
      <c r="FV179" s="476">
        <v>0</v>
      </c>
      <c r="FW179" s="476">
        <v>0</v>
      </c>
      <c r="FX179" s="476">
        <v>0</v>
      </c>
      <c r="FY179" s="476">
        <v>0</v>
      </c>
      <c r="FZ179" s="476">
        <v>0</v>
      </c>
      <c r="GA179" s="476">
        <v>0</v>
      </c>
      <c r="GB179" s="476">
        <v>0</v>
      </c>
      <c r="GC179" s="476">
        <v>0</v>
      </c>
      <c r="GD179" s="476">
        <v>0</v>
      </c>
      <c r="GE179" s="476">
        <v>0</v>
      </c>
      <c r="GF179" s="476">
        <v>0</v>
      </c>
      <c r="GG179" s="476">
        <v>0</v>
      </c>
      <c r="GH179" s="476">
        <v>0</v>
      </c>
      <c r="GI179" s="476">
        <v>0</v>
      </c>
      <c r="GJ179" s="476">
        <v>0</v>
      </c>
      <c r="GK179" s="476">
        <v>0</v>
      </c>
      <c r="GL179" s="476">
        <v>0</v>
      </c>
      <c r="GM179" s="476">
        <v>0</v>
      </c>
      <c r="GN179" s="476">
        <v>0</v>
      </c>
      <c r="GO179" s="476">
        <v>0</v>
      </c>
      <c r="GP179" s="476">
        <v>0</v>
      </c>
      <c r="GQ179" s="476">
        <v>2727689</v>
      </c>
      <c r="GR179" s="476">
        <v>0</v>
      </c>
      <c r="GS179" s="476">
        <v>0</v>
      </c>
      <c r="GT179" s="476">
        <v>0</v>
      </c>
      <c r="GU179" s="476">
        <v>0</v>
      </c>
      <c r="GV179" s="476">
        <v>0</v>
      </c>
      <c r="GW179" s="476">
        <v>0</v>
      </c>
      <c r="GX179" s="476">
        <v>0</v>
      </c>
      <c r="GY179" s="476">
        <v>0</v>
      </c>
      <c r="GZ179" s="476">
        <v>0</v>
      </c>
      <c r="HA179" s="476">
        <v>0</v>
      </c>
      <c r="HB179" s="476">
        <v>323396213</v>
      </c>
      <c r="HC179" s="476">
        <v>4.2206E-2</v>
      </c>
      <c r="HD179" s="476">
        <v>51433</v>
      </c>
      <c r="HE179" s="476">
        <v>0</v>
      </c>
      <c r="HF179" s="476">
        <v>324354</v>
      </c>
      <c r="HG179" s="476">
        <v>28335</v>
      </c>
      <c r="HH179" s="476">
        <v>19311</v>
      </c>
      <c r="HI179" s="476">
        <v>0</v>
      </c>
      <c r="HJ179" s="476">
        <v>3047</v>
      </c>
      <c r="HK179" s="476">
        <v>0</v>
      </c>
      <c r="HL179" s="476">
        <v>0</v>
      </c>
      <c r="HM179" s="476">
        <v>0</v>
      </c>
      <c r="HN179" s="476">
        <v>0</v>
      </c>
      <c r="HO179" s="476">
        <v>0</v>
      </c>
      <c r="HP179" s="476">
        <v>0</v>
      </c>
      <c r="HQ179" s="476">
        <v>0</v>
      </c>
      <c r="HR179" s="476">
        <v>0</v>
      </c>
      <c r="HS179" s="476">
        <v>2353756</v>
      </c>
      <c r="HT179" s="476">
        <v>53513</v>
      </c>
      <c r="HU179" s="476">
        <v>0</v>
      </c>
      <c r="HV179" s="476">
        <v>0</v>
      </c>
      <c r="HW179" s="476">
        <v>0</v>
      </c>
      <c r="HX179" s="476">
        <v>15</v>
      </c>
      <c r="HY179" s="476">
        <v>20</v>
      </c>
      <c r="HZ179" s="476">
        <v>8</v>
      </c>
      <c r="IA179" s="476">
        <v>2</v>
      </c>
      <c r="IB179" s="476">
        <v>6</v>
      </c>
      <c r="IC179" s="476">
        <v>51</v>
      </c>
      <c r="ID179" s="476">
        <v>0</v>
      </c>
      <c r="IE179" s="476">
        <v>0</v>
      </c>
      <c r="IF179" s="476">
        <v>0</v>
      </c>
      <c r="IG179" s="476">
        <v>46</v>
      </c>
      <c r="IH179" s="476">
        <v>31.349</v>
      </c>
      <c r="II179" s="476">
        <v>0</v>
      </c>
      <c r="IJ179" s="476">
        <v>1.7310000000000001</v>
      </c>
      <c r="IK179" s="476">
        <v>0</v>
      </c>
      <c r="IL179" s="476">
        <v>0</v>
      </c>
      <c r="IM179" s="476">
        <v>0</v>
      </c>
      <c r="IN179" s="476">
        <v>0</v>
      </c>
      <c r="IO179" s="476">
        <v>0</v>
      </c>
      <c r="IP179" s="476">
        <v>0</v>
      </c>
      <c r="IQ179" s="476">
        <v>1.7310000000000001</v>
      </c>
      <c r="IR179" s="476">
        <v>1066</v>
      </c>
      <c r="IS179" s="476">
        <v>0</v>
      </c>
      <c r="IT179" s="476">
        <v>0</v>
      </c>
      <c r="IU179" s="476">
        <v>0</v>
      </c>
      <c r="IV179" s="476">
        <v>0</v>
      </c>
      <c r="IW179" s="476">
        <v>6160</v>
      </c>
      <c r="IX179" s="476">
        <v>0</v>
      </c>
      <c r="IY179" s="476">
        <v>0</v>
      </c>
      <c r="IZ179" s="476">
        <v>0</v>
      </c>
      <c r="JA179" s="476">
        <v>0</v>
      </c>
      <c r="JB179" s="476">
        <v>0</v>
      </c>
      <c r="JC179" s="476">
        <v>0</v>
      </c>
      <c r="JD179" s="476">
        <v>0</v>
      </c>
      <c r="JE179" s="476">
        <v>0</v>
      </c>
      <c r="JF179" s="476">
        <v>0</v>
      </c>
      <c r="JG179" s="476">
        <v>0</v>
      </c>
      <c r="JH179" s="476">
        <v>0</v>
      </c>
      <c r="JI179" s="476">
        <v>0</v>
      </c>
      <c r="JJ179" s="476">
        <v>0</v>
      </c>
      <c r="JK179" s="476">
        <v>0</v>
      </c>
      <c r="JL179" s="476">
        <v>0</v>
      </c>
      <c r="JM179" s="476">
        <v>0</v>
      </c>
      <c r="JN179" s="476">
        <v>32469</v>
      </c>
      <c r="JO179" s="476">
        <v>0</v>
      </c>
      <c r="JP179" s="476">
        <v>0</v>
      </c>
      <c r="JQ179" s="476">
        <v>0</v>
      </c>
      <c r="JR179" s="476">
        <v>0</v>
      </c>
      <c r="JS179" s="476">
        <v>0</v>
      </c>
      <c r="JT179" s="476">
        <v>0</v>
      </c>
      <c r="JU179" s="476">
        <v>0</v>
      </c>
      <c r="JV179" s="476">
        <v>0</v>
      </c>
      <c r="JW179" s="476">
        <v>0</v>
      </c>
      <c r="JX179" s="476">
        <v>0</v>
      </c>
      <c r="JY179" s="476">
        <v>0</v>
      </c>
      <c r="JZ179" s="476">
        <v>0</v>
      </c>
      <c r="KA179" s="476">
        <v>0</v>
      </c>
      <c r="KB179" s="476">
        <v>0</v>
      </c>
      <c r="KC179" s="476">
        <v>0</v>
      </c>
      <c r="KD179" s="476">
        <v>0</v>
      </c>
      <c r="KE179" s="476">
        <v>7262</v>
      </c>
      <c r="KF179" s="476">
        <v>0</v>
      </c>
      <c r="KG179" s="476">
        <v>0</v>
      </c>
      <c r="KH179" s="476">
        <v>2727689</v>
      </c>
      <c r="KI179" s="476">
        <v>0</v>
      </c>
      <c r="KJ179" s="476">
        <v>29</v>
      </c>
      <c r="KK179" s="476">
        <v>17</v>
      </c>
      <c r="KL179" s="476">
        <v>17864</v>
      </c>
      <c r="KM179" s="476">
        <v>10472</v>
      </c>
      <c r="KN179" s="476">
        <v>0</v>
      </c>
    </row>
    <row r="180" spans="1:300" x14ac:dyDescent="0.25">
      <c r="A180" s="476">
        <v>40976</v>
      </c>
      <c r="B180" s="476">
        <v>227824</v>
      </c>
      <c r="C180" s="476">
        <v>9</v>
      </c>
      <c r="D180" s="476">
        <v>2024</v>
      </c>
      <c r="E180" s="476">
        <v>6160</v>
      </c>
      <c r="F180" s="476">
        <v>0</v>
      </c>
      <c r="G180" s="476">
        <v>830.22200000000009</v>
      </c>
      <c r="H180" s="476">
        <v>824.78700000000003</v>
      </c>
      <c r="I180" s="476">
        <v>824.78700000000003</v>
      </c>
      <c r="J180" s="476">
        <v>830.22200000000009</v>
      </c>
      <c r="K180" s="476">
        <v>0</v>
      </c>
      <c r="L180" s="476">
        <v>6160</v>
      </c>
      <c r="M180" s="476">
        <v>0</v>
      </c>
      <c r="N180" s="476">
        <v>0</v>
      </c>
      <c r="O180" s="476">
        <v>0</v>
      </c>
      <c r="P180" s="476">
        <v>833.32</v>
      </c>
      <c r="Q180" s="476">
        <v>0</v>
      </c>
      <c r="R180" s="476">
        <v>345731</v>
      </c>
      <c r="S180" s="476">
        <v>414.88400000000001</v>
      </c>
      <c r="T180" s="476">
        <v>0</v>
      </c>
      <c r="U180" s="476">
        <v>0</v>
      </c>
      <c r="V180" s="476">
        <v>308.935</v>
      </c>
      <c r="W180" s="476">
        <v>190300</v>
      </c>
      <c r="X180" s="476">
        <v>190300</v>
      </c>
      <c r="Y180" s="476">
        <v>0</v>
      </c>
      <c r="Z180" s="476">
        <v>0</v>
      </c>
      <c r="AA180" s="476">
        <v>0</v>
      </c>
      <c r="AB180" s="476">
        <v>0</v>
      </c>
      <c r="AC180" s="476">
        <v>0</v>
      </c>
      <c r="AD180" s="476" t="s">
        <v>314</v>
      </c>
      <c r="AE180" s="476">
        <v>0</v>
      </c>
      <c r="AF180" s="476">
        <v>0</v>
      </c>
      <c r="AG180" s="476">
        <v>0</v>
      </c>
      <c r="AH180" s="476">
        <v>0</v>
      </c>
      <c r="AI180" s="476">
        <v>0</v>
      </c>
      <c r="AJ180" s="476">
        <v>6160</v>
      </c>
      <c r="AK180" s="476" t="s">
        <v>651</v>
      </c>
      <c r="AL180" s="476" t="s">
        <v>761</v>
      </c>
      <c r="AM180" s="476">
        <v>0</v>
      </c>
      <c r="AN180" s="476">
        <v>0</v>
      </c>
      <c r="AO180" s="476">
        <v>0</v>
      </c>
      <c r="AP180" s="476">
        <v>0</v>
      </c>
      <c r="AQ180" s="476">
        <v>0</v>
      </c>
      <c r="AR180" s="476">
        <v>0</v>
      </c>
      <c r="AS180" s="476">
        <v>0</v>
      </c>
      <c r="AT180" s="476">
        <v>0</v>
      </c>
      <c r="AU180" s="476">
        <v>0</v>
      </c>
      <c r="AV180" s="476">
        <v>0</v>
      </c>
      <c r="AW180" s="476">
        <v>9217746</v>
      </c>
      <c r="AX180" s="476">
        <v>9078959</v>
      </c>
      <c r="AY180" s="476">
        <v>0</v>
      </c>
      <c r="AZ180" s="476">
        <v>345731</v>
      </c>
      <c r="BA180" s="476">
        <v>0</v>
      </c>
      <c r="BB180" s="476">
        <v>0</v>
      </c>
      <c r="BC180" s="476">
        <v>0</v>
      </c>
      <c r="BD180" s="476">
        <v>0</v>
      </c>
      <c r="BE180" s="476">
        <v>0</v>
      </c>
      <c r="BF180" s="476">
        <v>8101196</v>
      </c>
      <c r="BG180" s="476">
        <v>0</v>
      </c>
      <c r="BH180" s="476">
        <v>0</v>
      </c>
      <c r="BI180" s="476">
        <v>0</v>
      </c>
      <c r="BJ180" s="476">
        <v>12</v>
      </c>
      <c r="BK180" s="476">
        <v>0</v>
      </c>
      <c r="BL180" s="476">
        <v>0</v>
      </c>
      <c r="BM180" s="476">
        <v>0</v>
      </c>
      <c r="BN180" s="476">
        <v>0</v>
      </c>
      <c r="BO180" s="476">
        <v>0</v>
      </c>
      <c r="BP180" s="476">
        <v>0</v>
      </c>
      <c r="BQ180" s="476">
        <v>643</v>
      </c>
      <c r="BR180" s="476">
        <v>0</v>
      </c>
      <c r="BS180" s="476">
        <v>0</v>
      </c>
      <c r="BT180" s="476">
        <v>0</v>
      </c>
      <c r="BU180" s="476">
        <v>0</v>
      </c>
      <c r="BV180" s="476">
        <v>0</v>
      </c>
      <c r="BW180" s="476">
        <v>0</v>
      </c>
      <c r="BX180" s="476">
        <v>0</v>
      </c>
      <c r="BY180" s="476">
        <v>0</v>
      </c>
      <c r="BZ180" s="476">
        <v>0</v>
      </c>
      <c r="CA180" s="476">
        <v>0</v>
      </c>
      <c r="CB180" s="476">
        <v>0</v>
      </c>
      <c r="CC180" s="476">
        <v>0</v>
      </c>
      <c r="CD180" s="476">
        <v>0</v>
      </c>
      <c r="CE180" s="476">
        <v>0</v>
      </c>
      <c r="CF180" s="476">
        <v>0</v>
      </c>
      <c r="CG180" s="476">
        <v>0</v>
      </c>
      <c r="CH180" s="476">
        <v>140162</v>
      </c>
      <c r="CI180" s="476">
        <v>0</v>
      </c>
      <c r="CJ180" s="476">
        <v>4</v>
      </c>
      <c r="CK180" s="476">
        <v>0</v>
      </c>
      <c r="CL180" s="476">
        <v>0</v>
      </c>
      <c r="CM180" s="476">
        <v>0</v>
      </c>
      <c r="CN180" s="476">
        <v>0</v>
      </c>
      <c r="CO180" s="476">
        <v>1</v>
      </c>
      <c r="CP180" s="476">
        <v>0</v>
      </c>
      <c r="CQ180" s="476">
        <v>0</v>
      </c>
      <c r="CR180" s="476">
        <v>830.22200000000009</v>
      </c>
      <c r="CS180" s="476">
        <v>0</v>
      </c>
      <c r="CT180" s="476">
        <v>0</v>
      </c>
      <c r="CU180" s="476">
        <v>0</v>
      </c>
      <c r="CV180" s="476">
        <v>0</v>
      </c>
      <c r="CW180" s="476">
        <v>0</v>
      </c>
      <c r="CX180" s="476">
        <v>0</v>
      </c>
      <c r="CY180" s="476">
        <v>0</v>
      </c>
      <c r="CZ180" s="476">
        <v>0</v>
      </c>
      <c r="DA180" s="476">
        <v>0</v>
      </c>
      <c r="DB180" s="476">
        <v>5080573</v>
      </c>
      <c r="DC180" s="476">
        <v>0</v>
      </c>
      <c r="DD180" s="476">
        <v>0</v>
      </c>
      <c r="DE180" s="476">
        <v>1425469</v>
      </c>
      <c r="DF180" s="476">
        <v>1425469</v>
      </c>
      <c r="DG180" s="476">
        <v>231.41300000000001</v>
      </c>
      <c r="DH180" s="476">
        <v>0</v>
      </c>
      <c r="DI180" s="476">
        <v>0</v>
      </c>
      <c r="DJ180" s="476">
        <v>0</v>
      </c>
      <c r="DK180" s="476">
        <v>1910</v>
      </c>
      <c r="DL180" s="476">
        <v>0</v>
      </c>
      <c r="DM180" s="476">
        <v>399809</v>
      </c>
      <c r="DN180" s="476">
        <v>1375</v>
      </c>
      <c r="DO180" s="476">
        <v>0</v>
      </c>
      <c r="DP180" s="476">
        <v>0</v>
      </c>
      <c r="DQ180" s="476">
        <v>0</v>
      </c>
      <c r="DR180" s="476">
        <v>0</v>
      </c>
      <c r="DS180" s="476">
        <v>0</v>
      </c>
      <c r="DT180" s="476">
        <v>0</v>
      </c>
      <c r="DU180" s="476">
        <v>0</v>
      </c>
      <c r="DV180" s="476">
        <v>0</v>
      </c>
      <c r="DW180" s="476">
        <v>0</v>
      </c>
      <c r="DX180" s="476">
        <v>0</v>
      </c>
      <c r="DY180" s="476">
        <v>0</v>
      </c>
      <c r="DZ180" s="476">
        <v>0</v>
      </c>
      <c r="EA180" s="476">
        <v>0</v>
      </c>
      <c r="EB180" s="476">
        <v>0</v>
      </c>
      <c r="EC180" s="476">
        <v>40.038000000000004</v>
      </c>
      <c r="ED180" s="476">
        <v>283623</v>
      </c>
      <c r="EE180" s="476">
        <v>0</v>
      </c>
      <c r="EF180" s="476">
        <v>0</v>
      </c>
      <c r="EG180" s="476">
        <v>0</v>
      </c>
      <c r="EH180" s="476">
        <v>117561</v>
      </c>
      <c r="EI180" s="476">
        <v>0</v>
      </c>
      <c r="EJ180" s="476">
        <v>0</v>
      </c>
      <c r="EK180" s="476">
        <v>4.0449999999999999</v>
      </c>
      <c r="EL180" s="476">
        <v>0</v>
      </c>
      <c r="EM180" s="476">
        <v>0</v>
      </c>
      <c r="EN180" s="476">
        <v>1.3900000000000001</v>
      </c>
      <c r="EO180" s="476">
        <v>0</v>
      </c>
      <c r="EP180" s="476">
        <v>0</v>
      </c>
      <c r="EQ180" s="476">
        <v>5.4350000000000005</v>
      </c>
      <c r="ER180" s="476">
        <v>0</v>
      </c>
      <c r="ES180" s="476">
        <v>19.085000000000001</v>
      </c>
      <c r="ET180" s="476">
        <v>0</v>
      </c>
      <c r="EU180" s="476">
        <v>0</v>
      </c>
      <c r="EV180" s="476">
        <v>0</v>
      </c>
      <c r="EW180" s="476">
        <v>0</v>
      </c>
      <c r="EX180" s="476">
        <v>0</v>
      </c>
      <c r="EY180" s="476">
        <v>0</v>
      </c>
      <c r="EZ180" s="476">
        <v>7858255</v>
      </c>
      <c r="FA180" s="476">
        <v>0</v>
      </c>
      <c r="FB180" s="476">
        <v>8202611</v>
      </c>
      <c r="FC180" s="476">
        <v>0</v>
      </c>
      <c r="FD180" s="476">
        <v>0</v>
      </c>
      <c r="FE180" s="476">
        <v>1046012</v>
      </c>
      <c r="FF180" s="476">
        <v>174692</v>
      </c>
      <c r="FG180" s="476">
        <v>6.3017999999999991E-2</v>
      </c>
      <c r="FH180" s="476">
        <v>2.6953999999999999E-2</v>
      </c>
      <c r="FI180" s="476">
        <v>0</v>
      </c>
      <c r="FJ180" s="476">
        <v>0</v>
      </c>
      <c r="FK180" s="476">
        <v>1315.1590000000001</v>
      </c>
      <c r="FL180" s="476">
        <v>9563477</v>
      </c>
      <c r="FM180" s="476">
        <v>0</v>
      </c>
      <c r="FN180" s="476">
        <v>0</v>
      </c>
      <c r="FO180" s="476">
        <v>100170</v>
      </c>
      <c r="FP180" s="476">
        <v>0</v>
      </c>
      <c r="FQ180" s="476">
        <v>100170</v>
      </c>
      <c r="FR180" s="476">
        <v>100170</v>
      </c>
      <c r="FS180" s="476">
        <v>0</v>
      </c>
      <c r="FT180" s="476">
        <v>0</v>
      </c>
      <c r="FU180" s="476">
        <v>0</v>
      </c>
      <c r="FV180" s="476">
        <v>0</v>
      </c>
      <c r="FW180" s="476">
        <v>0</v>
      </c>
      <c r="FX180" s="476">
        <v>0</v>
      </c>
      <c r="FY180" s="476">
        <v>0</v>
      </c>
      <c r="FZ180" s="476">
        <v>0</v>
      </c>
      <c r="GA180" s="476">
        <v>0</v>
      </c>
      <c r="GB180" s="476">
        <v>0</v>
      </c>
      <c r="GC180" s="476">
        <v>0</v>
      </c>
      <c r="GD180" s="476">
        <v>0</v>
      </c>
      <c r="GE180" s="476">
        <v>0</v>
      </c>
      <c r="GF180" s="476">
        <v>0</v>
      </c>
      <c r="GG180" s="476">
        <v>0</v>
      </c>
      <c r="GH180" s="476">
        <v>0</v>
      </c>
      <c r="GI180" s="476">
        <v>0</v>
      </c>
      <c r="GJ180" s="476">
        <v>0</v>
      </c>
      <c r="GK180" s="476">
        <v>0</v>
      </c>
      <c r="GL180" s="476">
        <v>0</v>
      </c>
      <c r="GM180" s="476">
        <v>0</v>
      </c>
      <c r="GN180" s="476">
        <v>0</v>
      </c>
      <c r="GO180" s="476">
        <v>0</v>
      </c>
      <c r="GP180" s="476">
        <v>0</v>
      </c>
      <c r="GQ180" s="476">
        <v>9077584</v>
      </c>
      <c r="GR180" s="476">
        <v>0</v>
      </c>
      <c r="GS180" s="476">
        <v>0</v>
      </c>
      <c r="GT180" s="476">
        <v>0</v>
      </c>
      <c r="GU180" s="476">
        <v>0</v>
      </c>
      <c r="GV180" s="476">
        <v>0</v>
      </c>
      <c r="GW180" s="476">
        <v>0</v>
      </c>
      <c r="GX180" s="476">
        <v>0</v>
      </c>
      <c r="GY180" s="476">
        <v>0</v>
      </c>
      <c r="GZ180" s="476">
        <v>0</v>
      </c>
      <c r="HA180" s="476">
        <v>0</v>
      </c>
      <c r="HB180" s="476">
        <v>323396213</v>
      </c>
      <c r="HC180" s="476">
        <v>4.2206E-2</v>
      </c>
      <c r="HD180" s="476">
        <v>140162</v>
      </c>
      <c r="HE180" s="476">
        <v>0</v>
      </c>
      <c r="HF180" s="476">
        <v>908915</v>
      </c>
      <c r="HG180" s="476">
        <v>13552</v>
      </c>
      <c r="HH180" s="476">
        <v>62901</v>
      </c>
      <c r="HI180" s="476">
        <v>0</v>
      </c>
      <c r="HJ180" s="476">
        <v>8302</v>
      </c>
      <c r="HK180" s="476">
        <v>2609</v>
      </c>
      <c r="HL180" s="476">
        <v>11</v>
      </c>
      <c r="HM180" s="476">
        <v>10000</v>
      </c>
      <c r="HN180" s="476">
        <v>0</v>
      </c>
      <c r="HO180" s="476">
        <v>0</v>
      </c>
      <c r="HP180" s="476">
        <v>0</v>
      </c>
      <c r="HQ180" s="476">
        <v>0</v>
      </c>
      <c r="HR180" s="476">
        <v>0</v>
      </c>
      <c r="HS180" s="476">
        <v>7856880</v>
      </c>
      <c r="HT180" s="476">
        <v>174692</v>
      </c>
      <c r="HU180" s="476">
        <v>0</v>
      </c>
      <c r="HV180" s="476">
        <v>0</v>
      </c>
      <c r="HW180" s="476">
        <v>0</v>
      </c>
      <c r="HX180" s="476">
        <v>89</v>
      </c>
      <c r="HY180" s="476">
        <v>166</v>
      </c>
      <c r="HZ180" s="476">
        <v>172</v>
      </c>
      <c r="IA180" s="476">
        <v>221</v>
      </c>
      <c r="IB180" s="476">
        <v>258</v>
      </c>
      <c r="IC180" s="476">
        <v>906</v>
      </c>
      <c r="ID180" s="476">
        <v>0</v>
      </c>
      <c r="IE180" s="476">
        <v>0</v>
      </c>
      <c r="IF180" s="476">
        <v>0</v>
      </c>
      <c r="IG180" s="476">
        <v>22</v>
      </c>
      <c r="IH180" s="476">
        <v>102.11500000000001</v>
      </c>
      <c r="II180" s="476">
        <v>0</v>
      </c>
      <c r="IJ180" s="476">
        <v>308.935</v>
      </c>
      <c r="IK180" s="476">
        <v>0</v>
      </c>
      <c r="IL180" s="476">
        <v>2</v>
      </c>
      <c r="IM180" s="476">
        <v>0</v>
      </c>
      <c r="IN180" s="476">
        <v>0</v>
      </c>
      <c r="IO180" s="476">
        <v>2</v>
      </c>
      <c r="IP180" s="476">
        <v>0</v>
      </c>
      <c r="IQ180" s="476">
        <v>308.935</v>
      </c>
      <c r="IR180" s="476">
        <v>190300</v>
      </c>
      <c r="IS180" s="476">
        <v>0</v>
      </c>
      <c r="IT180" s="476">
        <v>10000</v>
      </c>
      <c r="IU180" s="476">
        <v>0</v>
      </c>
      <c r="IV180" s="476">
        <v>0</v>
      </c>
      <c r="IW180" s="476">
        <v>6160</v>
      </c>
      <c r="IX180" s="476">
        <v>0</v>
      </c>
      <c r="IY180" s="476">
        <v>0</v>
      </c>
      <c r="IZ180" s="476">
        <v>0</v>
      </c>
      <c r="JA180" s="476">
        <v>0</v>
      </c>
      <c r="JB180" s="476">
        <v>0</v>
      </c>
      <c r="JC180" s="476">
        <v>0</v>
      </c>
      <c r="JD180" s="476">
        <v>0</v>
      </c>
      <c r="JE180" s="476">
        <v>0</v>
      </c>
      <c r="JF180" s="476">
        <v>0</v>
      </c>
      <c r="JG180" s="476">
        <v>0</v>
      </c>
      <c r="JH180" s="476">
        <v>0</v>
      </c>
      <c r="JI180" s="476">
        <v>0</v>
      </c>
      <c r="JJ180" s="476">
        <v>0</v>
      </c>
      <c r="JK180" s="476">
        <v>0</v>
      </c>
      <c r="JL180" s="476">
        <v>0</v>
      </c>
      <c r="JM180" s="476">
        <v>0</v>
      </c>
      <c r="JN180" s="476">
        <v>32469</v>
      </c>
      <c r="JO180" s="476">
        <v>0</v>
      </c>
      <c r="JP180" s="476">
        <v>0</v>
      </c>
      <c r="JQ180" s="476">
        <v>0</v>
      </c>
      <c r="JR180" s="476">
        <v>0</v>
      </c>
      <c r="JS180" s="476">
        <v>0</v>
      </c>
      <c r="JT180" s="476">
        <v>0</v>
      </c>
      <c r="JU180" s="476">
        <v>0</v>
      </c>
      <c r="JV180" s="476">
        <v>0</v>
      </c>
      <c r="JW180" s="476">
        <v>0</v>
      </c>
      <c r="JX180" s="476">
        <v>0</v>
      </c>
      <c r="JY180" s="476">
        <v>0</v>
      </c>
      <c r="JZ180" s="476">
        <v>0</v>
      </c>
      <c r="KA180" s="476">
        <v>0</v>
      </c>
      <c r="KB180" s="476">
        <v>0</v>
      </c>
      <c r="KC180" s="476">
        <v>0</v>
      </c>
      <c r="KD180" s="476">
        <v>0</v>
      </c>
      <c r="KE180" s="476">
        <v>7262</v>
      </c>
      <c r="KF180" s="476">
        <v>0</v>
      </c>
      <c r="KG180" s="476">
        <v>0</v>
      </c>
      <c r="KH180" s="476">
        <v>9077584</v>
      </c>
      <c r="KI180" s="476">
        <v>0</v>
      </c>
      <c r="KJ180" s="476">
        <v>14</v>
      </c>
      <c r="KK180" s="476">
        <v>8</v>
      </c>
      <c r="KL180" s="476">
        <v>8624</v>
      </c>
      <c r="KM180" s="476">
        <v>4928</v>
      </c>
      <c r="KN180" s="476">
        <v>0</v>
      </c>
    </row>
    <row r="181" spans="1:300" x14ac:dyDescent="0.25">
      <c r="A181" s="476">
        <v>40976</v>
      </c>
      <c r="B181" s="476">
        <v>227825</v>
      </c>
      <c r="C181" s="476">
        <v>9</v>
      </c>
      <c r="D181" s="476">
        <v>2024</v>
      </c>
      <c r="E181" s="476">
        <v>6160</v>
      </c>
      <c r="F181" s="476">
        <v>0</v>
      </c>
      <c r="G181" s="476">
        <v>2107.1350000000002</v>
      </c>
      <c r="H181" s="476">
        <v>2019.2850000000001</v>
      </c>
      <c r="I181" s="476">
        <v>2019.2850000000001</v>
      </c>
      <c r="J181" s="476">
        <v>2107.1350000000002</v>
      </c>
      <c r="K181" s="476">
        <v>0</v>
      </c>
      <c r="L181" s="476">
        <v>6160</v>
      </c>
      <c r="M181" s="476">
        <v>0</v>
      </c>
      <c r="N181" s="476">
        <v>0</v>
      </c>
      <c r="O181" s="476">
        <v>0</v>
      </c>
      <c r="P181" s="476">
        <v>2107.1350000000002</v>
      </c>
      <c r="Q181" s="476">
        <v>0</v>
      </c>
      <c r="R181" s="476">
        <v>874217</v>
      </c>
      <c r="S181" s="476">
        <v>414.88400000000001</v>
      </c>
      <c r="T181" s="476">
        <v>0</v>
      </c>
      <c r="U181" s="476">
        <v>0</v>
      </c>
      <c r="V181" s="476">
        <v>1291.845</v>
      </c>
      <c r="W181" s="476">
        <v>795758</v>
      </c>
      <c r="X181" s="476">
        <v>795758</v>
      </c>
      <c r="Y181" s="476">
        <v>0</v>
      </c>
      <c r="Z181" s="476">
        <v>0</v>
      </c>
      <c r="AA181" s="476">
        <v>0</v>
      </c>
      <c r="AB181" s="476">
        <v>0</v>
      </c>
      <c r="AC181" s="476">
        <v>0</v>
      </c>
      <c r="AD181" s="476" t="s">
        <v>314</v>
      </c>
      <c r="AE181" s="476">
        <v>0</v>
      </c>
      <c r="AF181" s="476">
        <v>0</v>
      </c>
      <c r="AG181" s="476">
        <v>0</v>
      </c>
      <c r="AH181" s="476">
        <v>0</v>
      </c>
      <c r="AI181" s="476">
        <v>0</v>
      </c>
      <c r="AJ181" s="476">
        <v>6160</v>
      </c>
      <c r="AK181" s="476" t="s">
        <v>651</v>
      </c>
      <c r="AL181" s="476" t="s">
        <v>118</v>
      </c>
      <c r="AM181" s="476">
        <v>0</v>
      </c>
      <c r="AN181" s="476">
        <v>0</v>
      </c>
      <c r="AO181" s="476">
        <v>0</v>
      </c>
      <c r="AP181" s="476">
        <v>0</v>
      </c>
      <c r="AQ181" s="476">
        <v>0</v>
      </c>
      <c r="AR181" s="476">
        <v>0</v>
      </c>
      <c r="AS181" s="476">
        <v>0</v>
      </c>
      <c r="AT181" s="476">
        <v>0</v>
      </c>
      <c r="AU181" s="476">
        <v>0</v>
      </c>
      <c r="AV181" s="476">
        <v>0</v>
      </c>
      <c r="AW181" s="476">
        <v>24506195</v>
      </c>
      <c r="AX181" s="476">
        <v>24156085</v>
      </c>
      <c r="AY181" s="476">
        <v>0</v>
      </c>
      <c r="AZ181" s="476">
        <v>874217</v>
      </c>
      <c r="BA181" s="476">
        <v>0</v>
      </c>
      <c r="BB181" s="476">
        <v>0</v>
      </c>
      <c r="BC181" s="476">
        <v>0</v>
      </c>
      <c r="BD181" s="476">
        <v>0</v>
      </c>
      <c r="BE181" s="476">
        <v>0</v>
      </c>
      <c r="BF181" s="476">
        <v>21703226</v>
      </c>
      <c r="BG181" s="476">
        <v>0</v>
      </c>
      <c r="BH181" s="476">
        <v>0</v>
      </c>
      <c r="BI181" s="476">
        <v>0</v>
      </c>
      <c r="BJ181" s="476">
        <v>12</v>
      </c>
      <c r="BK181" s="476">
        <v>0</v>
      </c>
      <c r="BL181" s="476">
        <v>0</v>
      </c>
      <c r="BM181" s="476">
        <v>0</v>
      </c>
      <c r="BN181" s="476">
        <v>0</v>
      </c>
      <c r="BO181" s="476">
        <v>0</v>
      </c>
      <c r="BP181" s="476">
        <v>0</v>
      </c>
      <c r="BQ181" s="476">
        <v>459</v>
      </c>
      <c r="BR181" s="476">
        <v>0</v>
      </c>
      <c r="BS181" s="476">
        <v>0</v>
      </c>
      <c r="BT181" s="476">
        <v>0</v>
      </c>
      <c r="BU181" s="476">
        <v>0</v>
      </c>
      <c r="BV181" s="476">
        <v>0</v>
      </c>
      <c r="BW181" s="476">
        <v>0</v>
      </c>
      <c r="BX181" s="476">
        <v>0</v>
      </c>
      <c r="BY181" s="476">
        <v>0</v>
      </c>
      <c r="BZ181" s="476">
        <v>0</v>
      </c>
      <c r="CA181" s="476">
        <v>0</v>
      </c>
      <c r="CB181" s="476">
        <v>0</v>
      </c>
      <c r="CC181" s="476">
        <v>0</v>
      </c>
      <c r="CD181" s="476">
        <v>0</v>
      </c>
      <c r="CE181" s="476">
        <v>0</v>
      </c>
      <c r="CF181" s="476">
        <v>0</v>
      </c>
      <c r="CG181" s="476">
        <v>0</v>
      </c>
      <c r="CH181" s="476">
        <v>355738</v>
      </c>
      <c r="CI181" s="476">
        <v>0</v>
      </c>
      <c r="CJ181" s="476">
        <v>4</v>
      </c>
      <c r="CK181" s="476">
        <v>0</v>
      </c>
      <c r="CL181" s="476">
        <v>0</v>
      </c>
      <c r="CM181" s="476">
        <v>0</v>
      </c>
      <c r="CN181" s="476">
        <v>0</v>
      </c>
      <c r="CO181" s="476">
        <v>1</v>
      </c>
      <c r="CP181" s="476">
        <v>0.61299999999999999</v>
      </c>
      <c r="CQ181" s="476">
        <v>0</v>
      </c>
      <c r="CR181" s="476">
        <v>2107.1350000000002</v>
      </c>
      <c r="CS181" s="476">
        <v>0</v>
      </c>
      <c r="CT181" s="476">
        <v>0</v>
      </c>
      <c r="CU181" s="476">
        <v>0</v>
      </c>
      <c r="CV181" s="476">
        <v>0</v>
      </c>
      <c r="CW181" s="476">
        <v>0</v>
      </c>
      <c r="CX181" s="476">
        <v>0</v>
      </c>
      <c r="CY181" s="476">
        <v>0</v>
      </c>
      <c r="CZ181" s="476">
        <v>0</v>
      </c>
      <c r="DA181" s="476">
        <v>0</v>
      </c>
      <c r="DB181" s="476">
        <v>12438513</v>
      </c>
      <c r="DC181" s="476">
        <v>0</v>
      </c>
      <c r="DD181" s="476">
        <v>0</v>
      </c>
      <c r="DE181" s="476">
        <v>3573181</v>
      </c>
      <c r="DF181" s="476">
        <v>3582281</v>
      </c>
      <c r="DG181" s="476">
        <v>580.07500000000005</v>
      </c>
      <c r="DH181" s="476">
        <v>0</v>
      </c>
      <c r="DI181" s="476">
        <v>9100</v>
      </c>
      <c r="DJ181" s="476">
        <v>0</v>
      </c>
      <c r="DK181" s="476">
        <v>0</v>
      </c>
      <c r="DL181" s="476">
        <v>0</v>
      </c>
      <c r="DM181" s="476">
        <v>1636991</v>
      </c>
      <c r="DN181" s="476">
        <v>5628</v>
      </c>
      <c r="DO181" s="476">
        <v>0</v>
      </c>
      <c r="DP181" s="476">
        <v>0</v>
      </c>
      <c r="DQ181" s="476">
        <v>0</v>
      </c>
      <c r="DR181" s="476">
        <v>0</v>
      </c>
      <c r="DS181" s="476">
        <v>0</v>
      </c>
      <c r="DT181" s="476">
        <v>0</v>
      </c>
      <c r="DU181" s="476">
        <v>0</v>
      </c>
      <c r="DV181" s="476">
        <v>0</v>
      </c>
      <c r="DW181" s="476">
        <v>0</v>
      </c>
      <c r="DX181" s="476">
        <v>0</v>
      </c>
      <c r="DY181" s="476">
        <v>0</v>
      </c>
      <c r="DZ181" s="476">
        <v>0</v>
      </c>
      <c r="EA181" s="476">
        <v>0</v>
      </c>
      <c r="EB181" s="476">
        <v>0</v>
      </c>
      <c r="EC181" s="476">
        <v>102.22</v>
      </c>
      <c r="ED181" s="476">
        <v>724110</v>
      </c>
      <c r="EE181" s="476">
        <v>0</v>
      </c>
      <c r="EF181" s="476">
        <v>0</v>
      </c>
      <c r="EG181" s="476">
        <v>0</v>
      </c>
      <c r="EH181" s="476">
        <v>918509</v>
      </c>
      <c r="EI181" s="476">
        <v>0</v>
      </c>
      <c r="EJ181" s="476">
        <v>0</v>
      </c>
      <c r="EK181" s="476">
        <v>35.524000000000001</v>
      </c>
      <c r="EL181" s="476">
        <v>0</v>
      </c>
      <c r="EM181" s="476">
        <v>8.19</v>
      </c>
      <c r="EN181" s="476">
        <v>3.5940000000000003</v>
      </c>
      <c r="EO181" s="476">
        <v>0</v>
      </c>
      <c r="EP181" s="476">
        <v>0</v>
      </c>
      <c r="EQ181" s="476">
        <v>47.308</v>
      </c>
      <c r="ER181" s="476">
        <v>0</v>
      </c>
      <c r="ES181" s="476">
        <v>149.11199999999999</v>
      </c>
      <c r="ET181" s="476">
        <v>0</v>
      </c>
      <c r="EU181" s="476">
        <v>0</v>
      </c>
      <c r="EV181" s="476">
        <v>0</v>
      </c>
      <c r="EW181" s="476">
        <v>0</v>
      </c>
      <c r="EX181" s="476">
        <v>0</v>
      </c>
      <c r="EY181" s="476">
        <v>0</v>
      </c>
      <c r="EZ181" s="476">
        <v>20885801</v>
      </c>
      <c r="FA181" s="476">
        <v>0</v>
      </c>
      <c r="FB181" s="476">
        <v>21754390</v>
      </c>
      <c r="FC181" s="476">
        <v>0</v>
      </c>
      <c r="FD181" s="476">
        <v>0</v>
      </c>
      <c r="FE181" s="476">
        <v>2802282</v>
      </c>
      <c r="FF181" s="476">
        <v>468002</v>
      </c>
      <c r="FG181" s="476">
        <v>6.3017999999999991E-2</v>
      </c>
      <c r="FH181" s="476">
        <v>2.6953999999999999E-2</v>
      </c>
      <c r="FI181" s="476">
        <v>0</v>
      </c>
      <c r="FJ181" s="476">
        <v>0</v>
      </c>
      <c r="FK181" s="476">
        <v>3523.3310000000001</v>
      </c>
      <c r="FL181" s="476">
        <v>25380412</v>
      </c>
      <c r="FM181" s="476">
        <v>0</v>
      </c>
      <c r="FN181" s="476">
        <v>0</v>
      </c>
      <c r="FO181" s="476">
        <v>47772</v>
      </c>
      <c r="FP181" s="476">
        <v>0</v>
      </c>
      <c r="FQ181" s="476">
        <v>47772</v>
      </c>
      <c r="FR181" s="476">
        <v>47772</v>
      </c>
      <c r="FS181" s="476">
        <v>0</v>
      </c>
      <c r="FT181" s="476">
        <v>0</v>
      </c>
      <c r="FU181" s="476">
        <v>0</v>
      </c>
      <c r="FV181" s="476">
        <v>0</v>
      </c>
      <c r="FW181" s="476">
        <v>0</v>
      </c>
      <c r="FX181" s="476">
        <v>0</v>
      </c>
      <c r="FY181" s="476">
        <v>0</v>
      </c>
      <c r="FZ181" s="476">
        <v>0</v>
      </c>
      <c r="GA181" s="476">
        <v>0</v>
      </c>
      <c r="GB181" s="476">
        <v>392662</v>
      </c>
      <c r="GC181" s="476">
        <v>392662</v>
      </c>
      <c r="GD181" s="476">
        <v>40.542000000000002</v>
      </c>
      <c r="GE181" s="476">
        <v>0</v>
      </c>
      <c r="GF181" s="476">
        <v>0</v>
      </c>
      <c r="GG181" s="476">
        <v>0</v>
      </c>
      <c r="GH181" s="476">
        <v>0</v>
      </c>
      <c r="GI181" s="476">
        <v>0</v>
      </c>
      <c r="GJ181" s="476">
        <v>0</v>
      </c>
      <c r="GK181" s="476">
        <v>0</v>
      </c>
      <c r="GL181" s="476">
        <v>0</v>
      </c>
      <c r="GM181" s="476">
        <v>0</v>
      </c>
      <c r="GN181" s="476">
        <v>0</v>
      </c>
      <c r="GO181" s="476">
        <v>0</v>
      </c>
      <c r="GP181" s="476">
        <v>0</v>
      </c>
      <c r="GQ181" s="476">
        <v>24150457</v>
      </c>
      <c r="GR181" s="476">
        <v>0</v>
      </c>
      <c r="GS181" s="476">
        <v>0</v>
      </c>
      <c r="GT181" s="476">
        <v>0</v>
      </c>
      <c r="GU181" s="476">
        <v>0</v>
      </c>
      <c r="GV181" s="476">
        <v>0</v>
      </c>
      <c r="GW181" s="476">
        <v>0</v>
      </c>
      <c r="GX181" s="476">
        <v>0</v>
      </c>
      <c r="GY181" s="476">
        <v>0</v>
      </c>
      <c r="GZ181" s="476">
        <v>0</v>
      </c>
      <c r="HA181" s="476">
        <v>0</v>
      </c>
      <c r="HB181" s="476">
        <v>323396213</v>
      </c>
      <c r="HC181" s="476">
        <v>4.2206E-2</v>
      </c>
      <c r="HD181" s="476">
        <v>355738</v>
      </c>
      <c r="HE181" s="476">
        <v>0</v>
      </c>
      <c r="HF181" s="476">
        <v>2225252</v>
      </c>
      <c r="HG181" s="476">
        <v>0</v>
      </c>
      <c r="HH181" s="476">
        <v>525070</v>
      </c>
      <c r="HI181" s="476">
        <v>0</v>
      </c>
      <c r="HJ181" s="476">
        <v>21071</v>
      </c>
      <c r="HK181" s="476">
        <v>7539</v>
      </c>
      <c r="HL181" s="476">
        <v>1481</v>
      </c>
      <c r="HM181" s="476">
        <v>80000</v>
      </c>
      <c r="HN181" s="476">
        <v>0</v>
      </c>
      <c r="HO181" s="476">
        <v>0</v>
      </c>
      <c r="HP181" s="476">
        <v>0</v>
      </c>
      <c r="HQ181" s="476">
        <v>0</v>
      </c>
      <c r="HR181" s="476">
        <v>0</v>
      </c>
      <c r="HS181" s="476">
        <v>20880173</v>
      </c>
      <c r="HT181" s="476">
        <v>468002</v>
      </c>
      <c r="HU181" s="476">
        <v>0</v>
      </c>
      <c r="HV181" s="476">
        <v>0</v>
      </c>
      <c r="HW181" s="476">
        <v>0</v>
      </c>
      <c r="HX181" s="476">
        <v>328</v>
      </c>
      <c r="HY181" s="476">
        <v>306</v>
      </c>
      <c r="HZ181" s="476">
        <v>546</v>
      </c>
      <c r="IA181" s="476">
        <v>476</v>
      </c>
      <c r="IB181" s="476">
        <v>626</v>
      </c>
      <c r="IC181" s="476">
        <v>2282</v>
      </c>
      <c r="ID181" s="476">
        <v>0</v>
      </c>
      <c r="IE181" s="476">
        <v>0</v>
      </c>
      <c r="IF181" s="476">
        <v>0</v>
      </c>
      <c r="IG181" s="476">
        <v>0</v>
      </c>
      <c r="IH181" s="476">
        <v>852.40500000000009</v>
      </c>
      <c r="II181" s="476">
        <v>0</v>
      </c>
      <c r="IJ181" s="476">
        <v>1291.845</v>
      </c>
      <c r="IK181" s="476">
        <v>0</v>
      </c>
      <c r="IL181" s="476">
        <v>16</v>
      </c>
      <c r="IM181" s="476">
        <v>0</v>
      </c>
      <c r="IN181" s="476">
        <v>0</v>
      </c>
      <c r="IO181" s="476">
        <v>16</v>
      </c>
      <c r="IP181" s="476">
        <v>0</v>
      </c>
      <c r="IQ181" s="476">
        <v>1291.845</v>
      </c>
      <c r="IR181" s="476">
        <v>795758</v>
      </c>
      <c r="IS181" s="476">
        <v>0</v>
      </c>
      <c r="IT181" s="476">
        <v>80000</v>
      </c>
      <c r="IU181" s="476">
        <v>0</v>
      </c>
      <c r="IV181" s="476">
        <v>0</v>
      </c>
      <c r="IW181" s="476">
        <v>6160</v>
      </c>
      <c r="IX181" s="476">
        <v>0</v>
      </c>
      <c r="IY181" s="476">
        <v>0</v>
      </c>
      <c r="IZ181" s="476">
        <v>0</v>
      </c>
      <c r="JA181" s="476">
        <v>0</v>
      </c>
      <c r="JB181" s="476">
        <v>0</v>
      </c>
      <c r="JC181" s="476">
        <v>0</v>
      </c>
      <c r="JD181" s="476">
        <v>0</v>
      </c>
      <c r="JE181" s="476">
        <v>0</v>
      </c>
      <c r="JF181" s="476">
        <v>0</v>
      </c>
      <c r="JG181" s="476">
        <v>0</v>
      </c>
      <c r="JH181" s="476">
        <v>0</v>
      </c>
      <c r="JI181" s="476">
        <v>0</v>
      </c>
      <c r="JJ181" s="476">
        <v>0</v>
      </c>
      <c r="JK181" s="476">
        <v>0</v>
      </c>
      <c r="JL181" s="476">
        <v>0</v>
      </c>
      <c r="JM181" s="476">
        <v>0</v>
      </c>
      <c r="JN181" s="476">
        <v>32469</v>
      </c>
      <c r="JO181" s="476">
        <v>0</v>
      </c>
      <c r="JP181" s="476">
        <v>29.084</v>
      </c>
      <c r="JQ181" s="476">
        <v>11.458</v>
      </c>
      <c r="JR181" s="476">
        <v>0</v>
      </c>
      <c r="JS181" s="476">
        <v>270346</v>
      </c>
      <c r="JT181" s="476">
        <v>122316</v>
      </c>
      <c r="JU181" s="476">
        <v>0</v>
      </c>
      <c r="JV181" s="476">
        <v>0</v>
      </c>
      <c r="JW181" s="476">
        <v>0</v>
      </c>
      <c r="JX181" s="476">
        <v>0</v>
      </c>
      <c r="JY181" s="476">
        <v>0</v>
      </c>
      <c r="JZ181" s="476">
        <v>0</v>
      </c>
      <c r="KA181" s="476">
        <v>0</v>
      </c>
      <c r="KB181" s="476">
        <v>0</v>
      </c>
      <c r="KC181" s="476">
        <v>0</v>
      </c>
      <c r="KD181" s="476">
        <v>0</v>
      </c>
      <c r="KE181" s="476">
        <v>7262</v>
      </c>
      <c r="KF181" s="476">
        <v>0</v>
      </c>
      <c r="KG181" s="476">
        <v>0</v>
      </c>
      <c r="KH181" s="476">
        <v>24150457</v>
      </c>
      <c r="KI181" s="476">
        <v>0</v>
      </c>
      <c r="KJ181" s="476">
        <v>0</v>
      </c>
      <c r="KK181" s="476">
        <v>0</v>
      </c>
      <c r="KL181" s="476">
        <v>0</v>
      </c>
      <c r="KM181" s="476">
        <v>0</v>
      </c>
      <c r="KN181" s="476">
        <v>0</v>
      </c>
    </row>
    <row r="182" spans="1:300" x14ac:dyDescent="0.25">
      <c r="A182" s="476">
        <v>40976</v>
      </c>
      <c r="B182" s="476">
        <v>227826</v>
      </c>
      <c r="C182" s="476">
        <v>9</v>
      </c>
      <c r="D182" s="476">
        <v>2024</v>
      </c>
      <c r="E182" s="476">
        <v>6160</v>
      </c>
      <c r="F182" s="476">
        <v>0</v>
      </c>
      <c r="G182" s="476">
        <v>356.46500000000003</v>
      </c>
      <c r="H182" s="476">
        <v>343.76600000000002</v>
      </c>
      <c r="I182" s="476">
        <v>343.76600000000002</v>
      </c>
      <c r="J182" s="476">
        <v>356.46500000000003</v>
      </c>
      <c r="K182" s="476">
        <v>0</v>
      </c>
      <c r="L182" s="476">
        <v>6160</v>
      </c>
      <c r="M182" s="476">
        <v>0</v>
      </c>
      <c r="N182" s="476">
        <v>0</v>
      </c>
      <c r="O182" s="476">
        <v>0</v>
      </c>
      <c r="P182" s="476">
        <v>356.62200000000001</v>
      </c>
      <c r="Q182" s="476">
        <v>0</v>
      </c>
      <c r="R182" s="476">
        <v>147957</v>
      </c>
      <c r="S182" s="476">
        <v>414.88400000000001</v>
      </c>
      <c r="T182" s="476">
        <v>0</v>
      </c>
      <c r="U182" s="476">
        <v>0</v>
      </c>
      <c r="V182" s="476">
        <v>81.95</v>
      </c>
      <c r="W182" s="476">
        <v>50480</v>
      </c>
      <c r="X182" s="476">
        <v>50480</v>
      </c>
      <c r="Y182" s="476">
        <v>0</v>
      </c>
      <c r="Z182" s="476">
        <v>0</v>
      </c>
      <c r="AA182" s="476">
        <v>0</v>
      </c>
      <c r="AB182" s="476">
        <v>0</v>
      </c>
      <c r="AC182" s="476">
        <v>0</v>
      </c>
      <c r="AD182" s="476" t="s">
        <v>314</v>
      </c>
      <c r="AE182" s="476">
        <v>0</v>
      </c>
      <c r="AF182" s="476">
        <v>0</v>
      </c>
      <c r="AG182" s="476">
        <v>0</v>
      </c>
      <c r="AH182" s="476">
        <v>0</v>
      </c>
      <c r="AI182" s="476">
        <v>0</v>
      </c>
      <c r="AJ182" s="476">
        <v>6160</v>
      </c>
      <c r="AK182" s="476" t="s">
        <v>651</v>
      </c>
      <c r="AL182" s="476" t="s">
        <v>365</v>
      </c>
      <c r="AM182" s="476">
        <v>0</v>
      </c>
      <c r="AN182" s="476">
        <v>0</v>
      </c>
      <c r="AO182" s="476">
        <v>0</v>
      </c>
      <c r="AP182" s="476">
        <v>0</v>
      </c>
      <c r="AQ182" s="476">
        <v>0</v>
      </c>
      <c r="AR182" s="476">
        <v>0</v>
      </c>
      <c r="AS182" s="476">
        <v>0</v>
      </c>
      <c r="AT182" s="476">
        <v>0</v>
      </c>
      <c r="AU182" s="476">
        <v>0</v>
      </c>
      <c r="AV182" s="476">
        <v>0</v>
      </c>
      <c r="AW182" s="476">
        <v>3695596</v>
      </c>
      <c r="AX182" s="476">
        <v>3636356</v>
      </c>
      <c r="AY182" s="476">
        <v>0</v>
      </c>
      <c r="AZ182" s="476">
        <v>147957</v>
      </c>
      <c r="BA182" s="476">
        <v>0</v>
      </c>
      <c r="BB182" s="476">
        <v>0</v>
      </c>
      <c r="BC182" s="476">
        <v>0</v>
      </c>
      <c r="BD182" s="476">
        <v>0</v>
      </c>
      <c r="BE182" s="476">
        <v>0</v>
      </c>
      <c r="BF182" s="476">
        <v>3288757</v>
      </c>
      <c r="BG182" s="476">
        <v>0</v>
      </c>
      <c r="BH182" s="476">
        <v>0</v>
      </c>
      <c r="BI182" s="476">
        <v>0</v>
      </c>
      <c r="BJ182" s="476">
        <v>12</v>
      </c>
      <c r="BK182" s="476">
        <v>0</v>
      </c>
      <c r="BL182" s="476">
        <v>0</v>
      </c>
      <c r="BM182" s="476">
        <v>0</v>
      </c>
      <c r="BN182" s="476">
        <v>0</v>
      </c>
      <c r="BO182" s="476">
        <v>0</v>
      </c>
      <c r="BP182" s="476">
        <v>0</v>
      </c>
      <c r="BQ182" s="476">
        <v>717</v>
      </c>
      <c r="BR182" s="476">
        <v>0</v>
      </c>
      <c r="BS182" s="476">
        <v>0</v>
      </c>
      <c r="BT182" s="476">
        <v>0</v>
      </c>
      <c r="BU182" s="476">
        <v>0</v>
      </c>
      <c r="BV182" s="476">
        <v>0</v>
      </c>
      <c r="BW182" s="476">
        <v>0</v>
      </c>
      <c r="BX182" s="476">
        <v>0</v>
      </c>
      <c r="BY182" s="476">
        <v>0</v>
      </c>
      <c r="BZ182" s="476">
        <v>0</v>
      </c>
      <c r="CA182" s="476">
        <v>0</v>
      </c>
      <c r="CB182" s="476">
        <v>0</v>
      </c>
      <c r="CC182" s="476">
        <v>0</v>
      </c>
      <c r="CD182" s="476">
        <v>0</v>
      </c>
      <c r="CE182" s="476">
        <v>0</v>
      </c>
      <c r="CF182" s="476">
        <v>0</v>
      </c>
      <c r="CG182" s="476">
        <v>0</v>
      </c>
      <c r="CH182" s="476">
        <v>60180</v>
      </c>
      <c r="CI182" s="476">
        <v>0</v>
      </c>
      <c r="CJ182" s="476">
        <v>4</v>
      </c>
      <c r="CK182" s="476">
        <v>0</v>
      </c>
      <c r="CL182" s="476">
        <v>0</v>
      </c>
      <c r="CM182" s="476">
        <v>0</v>
      </c>
      <c r="CN182" s="476">
        <v>0</v>
      </c>
      <c r="CO182" s="476">
        <v>1</v>
      </c>
      <c r="CP182" s="476">
        <v>0</v>
      </c>
      <c r="CQ182" s="476">
        <v>0</v>
      </c>
      <c r="CR182" s="476">
        <v>356.46500000000003</v>
      </c>
      <c r="CS182" s="476">
        <v>0</v>
      </c>
      <c r="CT182" s="476">
        <v>0</v>
      </c>
      <c r="CU182" s="476">
        <v>0</v>
      </c>
      <c r="CV182" s="476">
        <v>0</v>
      </c>
      <c r="CW182" s="476">
        <v>0</v>
      </c>
      <c r="CX182" s="476">
        <v>0</v>
      </c>
      <c r="CY182" s="476">
        <v>0</v>
      </c>
      <c r="CZ182" s="476">
        <v>0</v>
      </c>
      <c r="DA182" s="476">
        <v>0</v>
      </c>
      <c r="DB182" s="476">
        <v>2117550</v>
      </c>
      <c r="DC182" s="476">
        <v>0</v>
      </c>
      <c r="DD182" s="476">
        <v>0</v>
      </c>
      <c r="DE182" s="476">
        <v>339331</v>
      </c>
      <c r="DF182" s="476">
        <v>339331</v>
      </c>
      <c r="DG182" s="476">
        <v>55.088000000000001</v>
      </c>
      <c r="DH182" s="476">
        <v>0</v>
      </c>
      <c r="DI182" s="476">
        <v>0</v>
      </c>
      <c r="DJ182" s="476">
        <v>0</v>
      </c>
      <c r="DK182" s="476">
        <v>3095</v>
      </c>
      <c r="DL182" s="476">
        <v>0</v>
      </c>
      <c r="DM182" s="476">
        <v>273538</v>
      </c>
      <c r="DN182" s="476">
        <v>940</v>
      </c>
      <c r="DO182" s="476">
        <v>0</v>
      </c>
      <c r="DP182" s="476">
        <v>0</v>
      </c>
      <c r="DQ182" s="476">
        <v>0</v>
      </c>
      <c r="DR182" s="476">
        <v>0</v>
      </c>
      <c r="DS182" s="476">
        <v>0</v>
      </c>
      <c r="DT182" s="476">
        <v>0</v>
      </c>
      <c r="DU182" s="476">
        <v>0</v>
      </c>
      <c r="DV182" s="476">
        <v>0</v>
      </c>
      <c r="DW182" s="476">
        <v>0</v>
      </c>
      <c r="DX182" s="476">
        <v>0</v>
      </c>
      <c r="DY182" s="476">
        <v>0</v>
      </c>
      <c r="DZ182" s="476">
        <v>0</v>
      </c>
      <c r="EA182" s="476">
        <v>0</v>
      </c>
      <c r="EB182" s="476">
        <v>0</v>
      </c>
      <c r="EC182" s="476">
        <v>3.847</v>
      </c>
      <c r="ED182" s="476">
        <v>27252</v>
      </c>
      <c r="EE182" s="476">
        <v>0</v>
      </c>
      <c r="EF182" s="476">
        <v>0</v>
      </c>
      <c r="EG182" s="476">
        <v>0</v>
      </c>
      <c r="EH182" s="476">
        <v>247226</v>
      </c>
      <c r="EI182" s="476">
        <v>0</v>
      </c>
      <c r="EJ182" s="476">
        <v>0</v>
      </c>
      <c r="EK182" s="476">
        <v>8.8179999999999996</v>
      </c>
      <c r="EL182" s="476">
        <v>0.80400000000000005</v>
      </c>
      <c r="EM182" s="476">
        <v>2.8620000000000001</v>
      </c>
      <c r="EN182" s="476">
        <v>1.0190000000000001</v>
      </c>
      <c r="EO182" s="476">
        <v>0</v>
      </c>
      <c r="EP182" s="476">
        <v>0</v>
      </c>
      <c r="EQ182" s="476">
        <v>12.699</v>
      </c>
      <c r="ER182" s="476">
        <v>0</v>
      </c>
      <c r="ES182" s="476">
        <v>40.135000000000005</v>
      </c>
      <c r="ET182" s="476">
        <v>0</v>
      </c>
      <c r="EU182" s="476">
        <v>0</v>
      </c>
      <c r="EV182" s="476">
        <v>0</v>
      </c>
      <c r="EW182" s="476">
        <v>0</v>
      </c>
      <c r="EX182" s="476">
        <v>0</v>
      </c>
      <c r="EY182" s="476">
        <v>0</v>
      </c>
      <c r="EZ182" s="476">
        <v>3140800</v>
      </c>
      <c r="FA182" s="476">
        <v>0</v>
      </c>
      <c r="FB182" s="476">
        <v>3287817</v>
      </c>
      <c r="FC182" s="476">
        <v>0</v>
      </c>
      <c r="FD182" s="476">
        <v>0</v>
      </c>
      <c r="FE182" s="476">
        <v>424638</v>
      </c>
      <c r="FF182" s="476">
        <v>70918</v>
      </c>
      <c r="FG182" s="476">
        <v>6.3017999999999991E-2</v>
      </c>
      <c r="FH182" s="476">
        <v>2.6953999999999999E-2</v>
      </c>
      <c r="FI182" s="476">
        <v>0</v>
      </c>
      <c r="FJ182" s="476">
        <v>0</v>
      </c>
      <c r="FK182" s="476">
        <v>533.90100000000007</v>
      </c>
      <c r="FL182" s="476">
        <v>3843553</v>
      </c>
      <c r="FM182" s="476">
        <v>0</v>
      </c>
      <c r="FN182" s="476">
        <v>0</v>
      </c>
      <c r="FO182" s="476">
        <v>0</v>
      </c>
      <c r="FP182" s="476">
        <v>0</v>
      </c>
      <c r="FQ182" s="476">
        <v>0</v>
      </c>
      <c r="FR182" s="476">
        <v>0</v>
      </c>
      <c r="FS182" s="476">
        <v>0</v>
      </c>
      <c r="FT182" s="476">
        <v>0</v>
      </c>
      <c r="FU182" s="476">
        <v>0</v>
      </c>
      <c r="FV182" s="476">
        <v>0</v>
      </c>
      <c r="FW182" s="476">
        <v>0</v>
      </c>
      <c r="FX182" s="476">
        <v>0</v>
      </c>
      <c r="FY182" s="476">
        <v>0</v>
      </c>
      <c r="FZ182" s="476">
        <v>0</v>
      </c>
      <c r="GA182" s="476">
        <v>0</v>
      </c>
      <c r="GB182" s="476">
        <v>0</v>
      </c>
      <c r="GC182" s="476">
        <v>0</v>
      </c>
      <c r="GD182" s="476">
        <v>0</v>
      </c>
      <c r="GE182" s="476">
        <v>0</v>
      </c>
      <c r="GF182" s="476">
        <v>0</v>
      </c>
      <c r="GG182" s="476">
        <v>0</v>
      </c>
      <c r="GH182" s="476">
        <v>0</v>
      </c>
      <c r="GI182" s="476">
        <v>0</v>
      </c>
      <c r="GJ182" s="476">
        <v>0</v>
      </c>
      <c r="GK182" s="476">
        <v>0</v>
      </c>
      <c r="GL182" s="476">
        <v>0</v>
      </c>
      <c r="GM182" s="476">
        <v>0</v>
      </c>
      <c r="GN182" s="476">
        <v>0</v>
      </c>
      <c r="GO182" s="476">
        <v>0</v>
      </c>
      <c r="GP182" s="476">
        <v>0</v>
      </c>
      <c r="GQ182" s="476">
        <v>3635416</v>
      </c>
      <c r="GR182" s="476">
        <v>0</v>
      </c>
      <c r="GS182" s="476">
        <v>0</v>
      </c>
      <c r="GT182" s="476">
        <v>0</v>
      </c>
      <c r="GU182" s="476">
        <v>0</v>
      </c>
      <c r="GV182" s="476">
        <v>0</v>
      </c>
      <c r="GW182" s="476">
        <v>0</v>
      </c>
      <c r="GX182" s="476">
        <v>0</v>
      </c>
      <c r="GY182" s="476">
        <v>0</v>
      </c>
      <c r="GZ182" s="476">
        <v>0</v>
      </c>
      <c r="HA182" s="476">
        <v>0</v>
      </c>
      <c r="HB182" s="476">
        <v>323396213</v>
      </c>
      <c r="HC182" s="476">
        <v>4.2206E-2</v>
      </c>
      <c r="HD182" s="476">
        <v>60180</v>
      </c>
      <c r="HE182" s="476">
        <v>0</v>
      </c>
      <c r="HF182" s="476">
        <v>378830</v>
      </c>
      <c r="HG182" s="476">
        <v>22791</v>
      </c>
      <c r="HH182" s="476">
        <v>101732</v>
      </c>
      <c r="HI182" s="476">
        <v>0</v>
      </c>
      <c r="HJ182" s="476">
        <v>3565</v>
      </c>
      <c r="HK182" s="476">
        <v>0</v>
      </c>
      <c r="HL182" s="476">
        <v>0</v>
      </c>
      <c r="HM182" s="476">
        <v>0</v>
      </c>
      <c r="HN182" s="476">
        <v>0</v>
      </c>
      <c r="HO182" s="476">
        <v>0</v>
      </c>
      <c r="HP182" s="476">
        <v>0</v>
      </c>
      <c r="HQ182" s="476">
        <v>0</v>
      </c>
      <c r="HR182" s="476">
        <v>0</v>
      </c>
      <c r="HS182" s="476">
        <v>3139860</v>
      </c>
      <c r="HT182" s="476">
        <v>70918</v>
      </c>
      <c r="HU182" s="476">
        <v>0</v>
      </c>
      <c r="HV182" s="476">
        <v>0</v>
      </c>
      <c r="HW182" s="476">
        <v>0</v>
      </c>
      <c r="HX182" s="476">
        <v>53</v>
      </c>
      <c r="HY182" s="476">
        <v>46</v>
      </c>
      <c r="HZ182" s="476">
        <v>51</v>
      </c>
      <c r="IA182" s="476">
        <v>47</v>
      </c>
      <c r="IB182" s="476">
        <v>26</v>
      </c>
      <c r="IC182" s="476">
        <v>223</v>
      </c>
      <c r="ID182" s="476">
        <v>0</v>
      </c>
      <c r="IE182" s="476">
        <v>0</v>
      </c>
      <c r="IF182" s="476">
        <v>0</v>
      </c>
      <c r="IG182" s="476">
        <v>37</v>
      </c>
      <c r="IH182" s="476">
        <v>165.15300000000002</v>
      </c>
      <c r="II182" s="476">
        <v>0</v>
      </c>
      <c r="IJ182" s="476">
        <v>81.95</v>
      </c>
      <c r="IK182" s="476">
        <v>0</v>
      </c>
      <c r="IL182" s="476">
        <v>0</v>
      </c>
      <c r="IM182" s="476">
        <v>0</v>
      </c>
      <c r="IN182" s="476">
        <v>0</v>
      </c>
      <c r="IO182" s="476">
        <v>0</v>
      </c>
      <c r="IP182" s="476">
        <v>0</v>
      </c>
      <c r="IQ182" s="476">
        <v>81.95</v>
      </c>
      <c r="IR182" s="476">
        <v>50480</v>
      </c>
      <c r="IS182" s="476">
        <v>0</v>
      </c>
      <c r="IT182" s="476">
        <v>0</v>
      </c>
      <c r="IU182" s="476">
        <v>0</v>
      </c>
      <c r="IV182" s="476">
        <v>0</v>
      </c>
      <c r="IW182" s="476">
        <v>6160</v>
      </c>
      <c r="IX182" s="476">
        <v>0</v>
      </c>
      <c r="IY182" s="476">
        <v>0</v>
      </c>
      <c r="IZ182" s="476">
        <v>0</v>
      </c>
      <c r="JA182" s="476">
        <v>0</v>
      </c>
      <c r="JB182" s="476">
        <v>0</v>
      </c>
      <c r="JC182" s="476">
        <v>0</v>
      </c>
      <c r="JD182" s="476">
        <v>0</v>
      </c>
      <c r="JE182" s="476">
        <v>0</v>
      </c>
      <c r="JF182" s="476">
        <v>0</v>
      </c>
      <c r="JG182" s="476">
        <v>0</v>
      </c>
      <c r="JH182" s="476">
        <v>0</v>
      </c>
      <c r="JI182" s="476">
        <v>0</v>
      </c>
      <c r="JJ182" s="476">
        <v>0</v>
      </c>
      <c r="JK182" s="476">
        <v>0</v>
      </c>
      <c r="JL182" s="476">
        <v>0</v>
      </c>
      <c r="JM182" s="476">
        <v>0</v>
      </c>
      <c r="JN182" s="476">
        <v>32469</v>
      </c>
      <c r="JO182" s="476">
        <v>0</v>
      </c>
      <c r="JP182" s="476">
        <v>0</v>
      </c>
      <c r="JQ182" s="476">
        <v>0</v>
      </c>
      <c r="JR182" s="476">
        <v>0</v>
      </c>
      <c r="JS182" s="476">
        <v>0</v>
      </c>
      <c r="JT182" s="476">
        <v>0</v>
      </c>
      <c r="JU182" s="476">
        <v>0</v>
      </c>
      <c r="JV182" s="476">
        <v>0</v>
      </c>
      <c r="JW182" s="476">
        <v>0</v>
      </c>
      <c r="JX182" s="476">
        <v>0</v>
      </c>
      <c r="JY182" s="476">
        <v>0</v>
      </c>
      <c r="JZ182" s="476">
        <v>0</v>
      </c>
      <c r="KA182" s="476">
        <v>0</v>
      </c>
      <c r="KB182" s="476">
        <v>0</v>
      </c>
      <c r="KC182" s="476">
        <v>0</v>
      </c>
      <c r="KD182" s="476">
        <v>0</v>
      </c>
      <c r="KE182" s="476">
        <v>7262</v>
      </c>
      <c r="KF182" s="476">
        <v>0</v>
      </c>
      <c r="KG182" s="476">
        <v>0</v>
      </c>
      <c r="KH182" s="476">
        <v>3635416</v>
      </c>
      <c r="KI182" s="476">
        <v>0</v>
      </c>
      <c r="KJ182" s="476">
        <v>19</v>
      </c>
      <c r="KK182" s="476">
        <v>18</v>
      </c>
      <c r="KL182" s="476">
        <v>11704</v>
      </c>
      <c r="KM182" s="476">
        <v>11088</v>
      </c>
      <c r="KN182" s="476">
        <v>0</v>
      </c>
    </row>
    <row r="183" spans="1:300" x14ac:dyDescent="0.25">
      <c r="A183" s="476">
        <v>40976</v>
      </c>
      <c r="B183" s="476">
        <v>227827</v>
      </c>
      <c r="C183" s="476">
        <v>9</v>
      </c>
      <c r="D183" s="476">
        <v>2024</v>
      </c>
      <c r="E183" s="476">
        <v>6160</v>
      </c>
      <c r="F183" s="476">
        <v>0</v>
      </c>
      <c r="G183" s="476">
        <v>712.95</v>
      </c>
      <c r="H183" s="476">
        <v>590.55200000000002</v>
      </c>
      <c r="I183" s="476">
        <v>590.55200000000002</v>
      </c>
      <c r="J183" s="476">
        <v>712.95</v>
      </c>
      <c r="K183" s="476">
        <v>0</v>
      </c>
      <c r="L183" s="476">
        <v>6160</v>
      </c>
      <c r="M183" s="476">
        <v>0</v>
      </c>
      <c r="N183" s="476">
        <v>0</v>
      </c>
      <c r="O183" s="476">
        <v>0</v>
      </c>
      <c r="P183" s="476">
        <v>712.95</v>
      </c>
      <c r="Q183" s="476">
        <v>0</v>
      </c>
      <c r="R183" s="476">
        <v>295792</v>
      </c>
      <c r="S183" s="476">
        <v>414.88400000000001</v>
      </c>
      <c r="T183" s="476">
        <v>0</v>
      </c>
      <c r="U183" s="476">
        <v>0</v>
      </c>
      <c r="V183" s="476">
        <v>141.917</v>
      </c>
      <c r="W183" s="476">
        <v>87419</v>
      </c>
      <c r="X183" s="476">
        <v>87419</v>
      </c>
      <c r="Y183" s="476">
        <v>0</v>
      </c>
      <c r="Z183" s="476">
        <v>0</v>
      </c>
      <c r="AA183" s="476">
        <v>0</v>
      </c>
      <c r="AB183" s="476">
        <v>0</v>
      </c>
      <c r="AC183" s="476">
        <v>0</v>
      </c>
      <c r="AD183" s="476" t="s">
        <v>314</v>
      </c>
      <c r="AE183" s="476">
        <v>0</v>
      </c>
      <c r="AF183" s="476">
        <v>0</v>
      </c>
      <c r="AG183" s="476">
        <v>0</v>
      </c>
      <c r="AH183" s="476">
        <v>0</v>
      </c>
      <c r="AI183" s="476">
        <v>0</v>
      </c>
      <c r="AJ183" s="476">
        <v>6160</v>
      </c>
      <c r="AK183" s="476" t="s">
        <v>651</v>
      </c>
      <c r="AL183" s="476" t="s">
        <v>366</v>
      </c>
      <c r="AM183" s="476">
        <v>0</v>
      </c>
      <c r="AN183" s="476">
        <v>0</v>
      </c>
      <c r="AO183" s="476">
        <v>0</v>
      </c>
      <c r="AP183" s="476">
        <v>0</v>
      </c>
      <c r="AQ183" s="476">
        <v>0</v>
      </c>
      <c r="AR183" s="476">
        <v>0</v>
      </c>
      <c r="AS183" s="476">
        <v>0</v>
      </c>
      <c r="AT183" s="476">
        <v>0</v>
      </c>
      <c r="AU183" s="476">
        <v>0</v>
      </c>
      <c r="AV183" s="476">
        <v>0</v>
      </c>
      <c r="AW183" s="476">
        <v>7635575</v>
      </c>
      <c r="AX183" s="476">
        <v>7635758</v>
      </c>
      <c r="AY183" s="476">
        <v>0</v>
      </c>
      <c r="AZ183" s="476">
        <v>295792</v>
      </c>
      <c r="BA183" s="476">
        <v>0</v>
      </c>
      <c r="BB183" s="476">
        <v>0</v>
      </c>
      <c r="BC183" s="476">
        <v>0</v>
      </c>
      <c r="BD183" s="476">
        <v>0</v>
      </c>
      <c r="BE183" s="476">
        <v>0</v>
      </c>
      <c r="BF183" s="476">
        <v>6877859</v>
      </c>
      <c r="BG183" s="476">
        <v>0</v>
      </c>
      <c r="BH183" s="476">
        <v>0</v>
      </c>
      <c r="BI183" s="476">
        <v>0</v>
      </c>
      <c r="BJ183" s="476">
        <v>12</v>
      </c>
      <c r="BK183" s="476">
        <v>0</v>
      </c>
      <c r="BL183" s="476">
        <v>0</v>
      </c>
      <c r="BM183" s="476">
        <v>0</v>
      </c>
      <c r="BN183" s="476">
        <v>0</v>
      </c>
      <c r="BO183" s="476">
        <v>0</v>
      </c>
      <c r="BP183" s="476">
        <v>0</v>
      </c>
      <c r="BQ183" s="476">
        <v>679</v>
      </c>
      <c r="BR183" s="476">
        <v>0</v>
      </c>
      <c r="BS183" s="476">
        <v>0</v>
      </c>
      <c r="BT183" s="476">
        <v>0</v>
      </c>
      <c r="BU183" s="476">
        <v>0</v>
      </c>
      <c r="BV183" s="476">
        <v>0</v>
      </c>
      <c r="BW183" s="476">
        <v>0</v>
      </c>
      <c r="BX183" s="476">
        <v>0</v>
      </c>
      <c r="BY183" s="476">
        <v>0</v>
      </c>
      <c r="BZ183" s="476">
        <v>0</v>
      </c>
      <c r="CA183" s="476">
        <v>0</v>
      </c>
      <c r="CB183" s="476">
        <v>0</v>
      </c>
      <c r="CC183" s="476">
        <v>0</v>
      </c>
      <c r="CD183" s="476">
        <v>0</v>
      </c>
      <c r="CE183" s="476">
        <v>0</v>
      </c>
      <c r="CF183" s="476">
        <v>0</v>
      </c>
      <c r="CG183" s="476">
        <v>0</v>
      </c>
      <c r="CH183" s="476">
        <v>0</v>
      </c>
      <c r="CI183" s="476">
        <v>0</v>
      </c>
      <c r="CJ183" s="476">
        <v>4</v>
      </c>
      <c r="CK183" s="476">
        <v>0</v>
      </c>
      <c r="CL183" s="476">
        <v>0</v>
      </c>
      <c r="CM183" s="476">
        <v>0</v>
      </c>
      <c r="CN183" s="476">
        <v>0</v>
      </c>
      <c r="CO183" s="476">
        <v>1</v>
      </c>
      <c r="CP183" s="476">
        <v>1.0230000000000001</v>
      </c>
      <c r="CQ183" s="476">
        <v>0</v>
      </c>
      <c r="CR183" s="476">
        <v>712.95</v>
      </c>
      <c r="CS183" s="476">
        <v>0</v>
      </c>
      <c r="CT183" s="476">
        <v>0</v>
      </c>
      <c r="CU183" s="476">
        <v>0</v>
      </c>
      <c r="CV183" s="476">
        <v>0</v>
      </c>
      <c r="CW183" s="476">
        <v>0</v>
      </c>
      <c r="CX183" s="476">
        <v>0</v>
      </c>
      <c r="CY183" s="476">
        <v>0</v>
      </c>
      <c r="CZ183" s="476">
        <v>0</v>
      </c>
      <c r="DA183" s="476">
        <v>0</v>
      </c>
      <c r="DB183" s="476">
        <v>3637718</v>
      </c>
      <c r="DC183" s="476">
        <v>0</v>
      </c>
      <c r="DD183" s="476">
        <v>0</v>
      </c>
      <c r="DE183" s="476">
        <v>1456576</v>
      </c>
      <c r="DF183" s="476">
        <v>1471763</v>
      </c>
      <c r="DG183" s="476">
        <v>236.46300000000002</v>
      </c>
      <c r="DH183" s="476">
        <v>0</v>
      </c>
      <c r="DI183" s="476">
        <v>15187</v>
      </c>
      <c r="DJ183" s="476">
        <v>0</v>
      </c>
      <c r="DK183" s="476">
        <v>2487</v>
      </c>
      <c r="DL183" s="476">
        <v>0</v>
      </c>
      <c r="DM183" s="476">
        <v>53091</v>
      </c>
      <c r="DN183" s="476">
        <v>183</v>
      </c>
      <c r="DO183" s="476">
        <v>0</v>
      </c>
      <c r="DP183" s="476">
        <v>0</v>
      </c>
      <c r="DQ183" s="476">
        <v>0</v>
      </c>
      <c r="DR183" s="476">
        <v>0</v>
      </c>
      <c r="DS183" s="476">
        <v>0</v>
      </c>
      <c r="DT183" s="476">
        <v>0</v>
      </c>
      <c r="DU183" s="476">
        <v>0</v>
      </c>
      <c r="DV183" s="476">
        <v>0</v>
      </c>
      <c r="DW183" s="476">
        <v>0</v>
      </c>
      <c r="DX183" s="476">
        <v>0</v>
      </c>
      <c r="DY183" s="476">
        <v>0</v>
      </c>
      <c r="DZ183" s="476">
        <v>0</v>
      </c>
      <c r="EA183" s="476">
        <v>0</v>
      </c>
      <c r="EB183" s="476">
        <v>0</v>
      </c>
      <c r="EC183" s="476">
        <v>4.9169999999999998</v>
      </c>
      <c r="ED183" s="476">
        <v>34831</v>
      </c>
      <c r="EE183" s="476">
        <v>0</v>
      </c>
      <c r="EF183" s="476">
        <v>0</v>
      </c>
      <c r="EG183" s="476">
        <v>0</v>
      </c>
      <c r="EH183" s="476">
        <v>18443</v>
      </c>
      <c r="EI183" s="476">
        <v>0</v>
      </c>
      <c r="EJ183" s="476">
        <v>0</v>
      </c>
      <c r="EK183" s="476">
        <v>0.998</v>
      </c>
      <c r="EL183" s="476">
        <v>0</v>
      </c>
      <c r="EM183" s="476">
        <v>0</v>
      </c>
      <c r="EN183" s="476">
        <v>0</v>
      </c>
      <c r="EO183" s="476">
        <v>0</v>
      </c>
      <c r="EP183" s="476">
        <v>0</v>
      </c>
      <c r="EQ183" s="476">
        <v>0.998</v>
      </c>
      <c r="ER183" s="476">
        <v>0</v>
      </c>
      <c r="ES183" s="476">
        <v>2.9940000000000002</v>
      </c>
      <c r="ET183" s="476">
        <v>0</v>
      </c>
      <c r="EU183" s="476">
        <v>0</v>
      </c>
      <c r="EV183" s="476">
        <v>0</v>
      </c>
      <c r="EW183" s="476">
        <v>0</v>
      </c>
      <c r="EX183" s="476">
        <v>0</v>
      </c>
      <c r="EY183" s="476">
        <v>0</v>
      </c>
      <c r="EZ183" s="476">
        <v>6599389</v>
      </c>
      <c r="FA183" s="476">
        <v>0</v>
      </c>
      <c r="FB183" s="476">
        <v>6894998</v>
      </c>
      <c r="FC183" s="476">
        <v>0</v>
      </c>
      <c r="FD183" s="476">
        <v>0</v>
      </c>
      <c r="FE183" s="476">
        <v>888057</v>
      </c>
      <c r="FF183" s="476">
        <v>148312</v>
      </c>
      <c r="FG183" s="476">
        <v>6.3017999999999991E-2</v>
      </c>
      <c r="FH183" s="476">
        <v>2.6953999999999999E-2</v>
      </c>
      <c r="FI183" s="476">
        <v>0</v>
      </c>
      <c r="FJ183" s="476">
        <v>0</v>
      </c>
      <c r="FK183" s="476">
        <v>1116.5610000000001</v>
      </c>
      <c r="FL183" s="476">
        <v>7931367</v>
      </c>
      <c r="FM183" s="476">
        <v>0</v>
      </c>
      <c r="FN183" s="476">
        <v>0</v>
      </c>
      <c r="FO183" s="476">
        <v>5310</v>
      </c>
      <c r="FP183" s="476">
        <v>0</v>
      </c>
      <c r="FQ183" s="476">
        <v>5310</v>
      </c>
      <c r="FR183" s="476">
        <v>5310</v>
      </c>
      <c r="FS183" s="476">
        <v>0</v>
      </c>
      <c r="FT183" s="476">
        <v>0</v>
      </c>
      <c r="FU183" s="476">
        <v>0</v>
      </c>
      <c r="FV183" s="476">
        <v>0</v>
      </c>
      <c r="FW183" s="476">
        <v>0</v>
      </c>
      <c r="FX183" s="476">
        <v>0</v>
      </c>
      <c r="FY183" s="476">
        <v>0</v>
      </c>
      <c r="FZ183" s="476">
        <v>0</v>
      </c>
      <c r="GA183" s="476">
        <v>0</v>
      </c>
      <c r="GB183" s="476">
        <v>969767</v>
      </c>
      <c r="GC183" s="476">
        <v>969767</v>
      </c>
      <c r="GD183" s="476">
        <v>121.4</v>
      </c>
      <c r="GE183" s="476">
        <v>0</v>
      </c>
      <c r="GF183" s="476">
        <v>0</v>
      </c>
      <c r="GG183" s="476">
        <v>0</v>
      </c>
      <c r="GH183" s="476">
        <v>0</v>
      </c>
      <c r="GI183" s="476">
        <v>0</v>
      </c>
      <c r="GJ183" s="476">
        <v>0</v>
      </c>
      <c r="GK183" s="476">
        <v>0</v>
      </c>
      <c r="GL183" s="476">
        <v>0</v>
      </c>
      <c r="GM183" s="476">
        <v>0</v>
      </c>
      <c r="GN183" s="476">
        <v>0</v>
      </c>
      <c r="GO183" s="476">
        <v>0</v>
      </c>
      <c r="GP183" s="476">
        <v>0</v>
      </c>
      <c r="GQ183" s="476">
        <v>7635575</v>
      </c>
      <c r="GR183" s="476">
        <v>0</v>
      </c>
      <c r="GS183" s="476">
        <v>0</v>
      </c>
      <c r="GT183" s="476">
        <v>0</v>
      </c>
      <c r="GU183" s="476">
        <v>0</v>
      </c>
      <c r="GV183" s="476">
        <v>0</v>
      </c>
      <c r="GW183" s="476">
        <v>0</v>
      </c>
      <c r="GX183" s="476">
        <v>0</v>
      </c>
      <c r="GY183" s="476">
        <v>0</v>
      </c>
      <c r="GZ183" s="476">
        <v>0</v>
      </c>
      <c r="HA183" s="476">
        <v>0</v>
      </c>
      <c r="HB183" s="476">
        <v>0</v>
      </c>
      <c r="HC183" s="476">
        <v>4.2206E-2</v>
      </c>
      <c r="HD183" s="476">
        <v>0</v>
      </c>
      <c r="HE183" s="476">
        <v>0</v>
      </c>
      <c r="HF183" s="476">
        <v>650788</v>
      </c>
      <c r="HG183" s="476">
        <v>0</v>
      </c>
      <c r="HH183" s="476">
        <v>0</v>
      </c>
      <c r="HI183" s="476">
        <v>0</v>
      </c>
      <c r="HJ183" s="476">
        <v>7130</v>
      </c>
      <c r="HK183" s="476">
        <v>11489</v>
      </c>
      <c r="HL183" s="476">
        <v>523</v>
      </c>
      <c r="HM183" s="476">
        <v>0</v>
      </c>
      <c r="HN183" s="476">
        <v>0</v>
      </c>
      <c r="HO183" s="476">
        <v>0</v>
      </c>
      <c r="HP183" s="476">
        <v>0</v>
      </c>
      <c r="HQ183" s="476">
        <v>0</v>
      </c>
      <c r="HR183" s="476">
        <v>0</v>
      </c>
      <c r="HS183" s="476">
        <v>6599206</v>
      </c>
      <c r="HT183" s="476">
        <v>148312</v>
      </c>
      <c r="HU183" s="476">
        <v>0</v>
      </c>
      <c r="HV183" s="476">
        <v>0</v>
      </c>
      <c r="HW183" s="476">
        <v>0</v>
      </c>
      <c r="HX183" s="476">
        <v>88</v>
      </c>
      <c r="HY183" s="476">
        <v>181</v>
      </c>
      <c r="HZ183" s="476">
        <v>293</v>
      </c>
      <c r="IA183" s="476">
        <v>282</v>
      </c>
      <c r="IB183" s="476">
        <v>96</v>
      </c>
      <c r="IC183" s="476">
        <v>940</v>
      </c>
      <c r="ID183" s="476">
        <v>0</v>
      </c>
      <c r="IE183" s="476">
        <v>0</v>
      </c>
      <c r="IF183" s="476">
        <v>0</v>
      </c>
      <c r="IG183" s="476">
        <v>0</v>
      </c>
      <c r="IH183" s="476">
        <v>0</v>
      </c>
      <c r="II183" s="476">
        <v>0</v>
      </c>
      <c r="IJ183" s="476">
        <v>141.917</v>
      </c>
      <c r="IK183" s="476">
        <v>0</v>
      </c>
      <c r="IL183" s="476">
        <v>0</v>
      </c>
      <c r="IM183" s="476">
        <v>0</v>
      </c>
      <c r="IN183" s="476">
        <v>0</v>
      </c>
      <c r="IO183" s="476">
        <v>0</v>
      </c>
      <c r="IP183" s="476">
        <v>0</v>
      </c>
      <c r="IQ183" s="476">
        <v>141.917</v>
      </c>
      <c r="IR183" s="476">
        <v>87419</v>
      </c>
      <c r="IS183" s="476">
        <v>0</v>
      </c>
      <c r="IT183" s="476">
        <v>0</v>
      </c>
      <c r="IU183" s="476">
        <v>0</v>
      </c>
      <c r="IV183" s="476">
        <v>0</v>
      </c>
      <c r="IW183" s="476">
        <v>6160</v>
      </c>
      <c r="IX183" s="476">
        <v>0</v>
      </c>
      <c r="IY183" s="476">
        <v>0</v>
      </c>
      <c r="IZ183" s="476">
        <v>0</v>
      </c>
      <c r="JA183" s="476">
        <v>0</v>
      </c>
      <c r="JB183" s="476">
        <v>0</v>
      </c>
      <c r="JC183" s="476">
        <v>0</v>
      </c>
      <c r="JD183" s="476">
        <v>0</v>
      </c>
      <c r="JE183" s="476">
        <v>0</v>
      </c>
      <c r="JF183" s="476">
        <v>0</v>
      </c>
      <c r="JG183" s="476">
        <v>0</v>
      </c>
      <c r="JH183" s="476">
        <v>0</v>
      </c>
      <c r="JI183" s="476">
        <v>0</v>
      </c>
      <c r="JJ183" s="476">
        <v>0</v>
      </c>
      <c r="JK183" s="476">
        <v>0</v>
      </c>
      <c r="JL183" s="476">
        <v>0</v>
      </c>
      <c r="JM183" s="476">
        <v>0</v>
      </c>
      <c r="JN183" s="476">
        <v>36711</v>
      </c>
      <c r="JO183" s="476">
        <v>121.4</v>
      </c>
      <c r="JP183" s="476">
        <v>0</v>
      </c>
      <c r="JQ183" s="476">
        <v>0</v>
      </c>
      <c r="JR183" s="476">
        <v>969767</v>
      </c>
      <c r="JS183" s="476">
        <v>0</v>
      </c>
      <c r="JT183" s="476">
        <v>0</v>
      </c>
      <c r="JU183" s="476">
        <v>0</v>
      </c>
      <c r="JV183" s="476">
        <v>0</v>
      </c>
      <c r="JW183" s="476">
        <v>0</v>
      </c>
      <c r="JX183" s="476">
        <v>0</v>
      </c>
      <c r="JY183" s="476">
        <v>0</v>
      </c>
      <c r="JZ183" s="476">
        <v>0</v>
      </c>
      <c r="KA183" s="476">
        <v>0</v>
      </c>
      <c r="KB183" s="476">
        <v>0</v>
      </c>
      <c r="KC183" s="476">
        <v>0</v>
      </c>
      <c r="KD183" s="476">
        <v>0</v>
      </c>
      <c r="KE183" s="476">
        <v>7262</v>
      </c>
      <c r="KF183" s="476">
        <v>0</v>
      </c>
      <c r="KG183" s="476">
        <v>0</v>
      </c>
      <c r="KH183" s="476">
        <v>7635575</v>
      </c>
      <c r="KI183" s="476">
        <v>0</v>
      </c>
      <c r="KJ183" s="476">
        <v>0</v>
      </c>
      <c r="KK183" s="476">
        <v>0</v>
      </c>
      <c r="KL183" s="476">
        <v>0</v>
      </c>
      <c r="KM183" s="476">
        <v>0</v>
      </c>
      <c r="KN183" s="476">
        <v>0</v>
      </c>
    </row>
    <row r="184" spans="1:300" x14ac:dyDescent="0.25">
      <c r="A184" s="476">
        <v>40976</v>
      </c>
      <c r="B184" s="476">
        <v>227829</v>
      </c>
      <c r="C184" s="476">
        <v>9</v>
      </c>
      <c r="D184" s="476">
        <v>2024</v>
      </c>
      <c r="E184" s="476">
        <v>6160</v>
      </c>
      <c r="F184" s="476">
        <v>0</v>
      </c>
      <c r="G184" s="476">
        <v>2057.0880000000002</v>
      </c>
      <c r="H184" s="476">
        <v>2000.364</v>
      </c>
      <c r="I184" s="476">
        <v>2000.364</v>
      </c>
      <c r="J184" s="476">
        <v>2057.0880000000002</v>
      </c>
      <c r="K184" s="476">
        <v>0</v>
      </c>
      <c r="L184" s="476">
        <v>6160</v>
      </c>
      <c r="M184" s="476">
        <v>0</v>
      </c>
      <c r="N184" s="476">
        <v>0</v>
      </c>
      <c r="O184" s="476">
        <v>0</v>
      </c>
      <c r="P184" s="476">
        <v>2057.0880000000002</v>
      </c>
      <c r="Q184" s="476">
        <v>0</v>
      </c>
      <c r="R184" s="476">
        <v>853453</v>
      </c>
      <c r="S184" s="476">
        <v>414.88400000000001</v>
      </c>
      <c r="T184" s="476">
        <v>0</v>
      </c>
      <c r="U184" s="476">
        <v>0</v>
      </c>
      <c r="V184" s="476">
        <v>153.268</v>
      </c>
      <c r="W184" s="476">
        <v>94411</v>
      </c>
      <c r="X184" s="476">
        <v>94411</v>
      </c>
      <c r="Y184" s="476">
        <v>0</v>
      </c>
      <c r="Z184" s="476">
        <v>0</v>
      </c>
      <c r="AA184" s="476">
        <v>0</v>
      </c>
      <c r="AB184" s="476">
        <v>0</v>
      </c>
      <c r="AC184" s="476">
        <v>0</v>
      </c>
      <c r="AD184" s="476" t="s">
        <v>314</v>
      </c>
      <c r="AE184" s="476">
        <v>0</v>
      </c>
      <c r="AF184" s="476">
        <v>0</v>
      </c>
      <c r="AG184" s="476">
        <v>0</v>
      </c>
      <c r="AH184" s="476">
        <v>0</v>
      </c>
      <c r="AI184" s="476">
        <v>0</v>
      </c>
      <c r="AJ184" s="476">
        <v>6160</v>
      </c>
      <c r="AK184" s="476" t="s">
        <v>651</v>
      </c>
      <c r="AL184" s="476" t="s">
        <v>445</v>
      </c>
      <c r="AM184" s="476">
        <v>0</v>
      </c>
      <c r="AN184" s="476">
        <v>0</v>
      </c>
      <c r="AO184" s="476">
        <v>0</v>
      </c>
      <c r="AP184" s="476">
        <v>0</v>
      </c>
      <c r="AQ184" s="476">
        <v>0</v>
      </c>
      <c r="AR184" s="476">
        <v>0</v>
      </c>
      <c r="AS184" s="476">
        <v>0</v>
      </c>
      <c r="AT184" s="476">
        <v>0</v>
      </c>
      <c r="AU184" s="476">
        <v>0</v>
      </c>
      <c r="AV184" s="476">
        <v>0</v>
      </c>
      <c r="AW184" s="476">
        <v>18832407</v>
      </c>
      <c r="AX184" s="476">
        <v>18489206</v>
      </c>
      <c r="AY184" s="476">
        <v>0</v>
      </c>
      <c r="AZ184" s="476">
        <v>853453</v>
      </c>
      <c r="BA184" s="476">
        <v>0</v>
      </c>
      <c r="BB184" s="476">
        <v>0</v>
      </c>
      <c r="BC184" s="476">
        <v>0</v>
      </c>
      <c r="BD184" s="476">
        <v>0</v>
      </c>
      <c r="BE184" s="476">
        <v>0</v>
      </c>
      <c r="BF184" s="476">
        <v>16808860</v>
      </c>
      <c r="BG184" s="476">
        <v>0</v>
      </c>
      <c r="BH184" s="476">
        <v>0</v>
      </c>
      <c r="BI184" s="476">
        <v>0</v>
      </c>
      <c r="BJ184" s="476">
        <v>12</v>
      </c>
      <c r="BK184" s="476">
        <v>0</v>
      </c>
      <c r="BL184" s="476">
        <v>0</v>
      </c>
      <c r="BM184" s="476">
        <v>0</v>
      </c>
      <c r="BN184" s="476">
        <v>0</v>
      </c>
      <c r="BO184" s="476">
        <v>0</v>
      </c>
      <c r="BP184" s="476">
        <v>0</v>
      </c>
      <c r="BQ184" s="476">
        <v>462</v>
      </c>
      <c r="BR184" s="476">
        <v>0</v>
      </c>
      <c r="BS184" s="476">
        <v>0</v>
      </c>
      <c r="BT184" s="476">
        <v>0</v>
      </c>
      <c r="BU184" s="476">
        <v>0</v>
      </c>
      <c r="BV184" s="476">
        <v>0</v>
      </c>
      <c r="BW184" s="476">
        <v>0</v>
      </c>
      <c r="BX184" s="476">
        <v>0</v>
      </c>
      <c r="BY184" s="476">
        <v>0</v>
      </c>
      <c r="BZ184" s="476">
        <v>0</v>
      </c>
      <c r="CA184" s="476">
        <v>0</v>
      </c>
      <c r="CB184" s="476">
        <v>0</v>
      </c>
      <c r="CC184" s="476">
        <v>0</v>
      </c>
      <c r="CD184" s="476">
        <v>0</v>
      </c>
      <c r="CE184" s="476">
        <v>0</v>
      </c>
      <c r="CF184" s="476">
        <v>0</v>
      </c>
      <c r="CG184" s="476">
        <v>0</v>
      </c>
      <c r="CH184" s="476">
        <v>347288</v>
      </c>
      <c r="CI184" s="476">
        <v>0</v>
      </c>
      <c r="CJ184" s="476">
        <v>4</v>
      </c>
      <c r="CK184" s="476">
        <v>0</v>
      </c>
      <c r="CL184" s="476">
        <v>0</v>
      </c>
      <c r="CM184" s="476">
        <v>0</v>
      </c>
      <c r="CN184" s="476">
        <v>0</v>
      </c>
      <c r="CO184" s="476">
        <v>1</v>
      </c>
      <c r="CP184" s="476">
        <v>0</v>
      </c>
      <c r="CQ184" s="476">
        <v>0</v>
      </c>
      <c r="CR184" s="476">
        <v>2057.0880000000002</v>
      </c>
      <c r="CS184" s="476">
        <v>0</v>
      </c>
      <c r="CT184" s="476">
        <v>0</v>
      </c>
      <c r="CU184" s="476">
        <v>0</v>
      </c>
      <c r="CV184" s="476">
        <v>0</v>
      </c>
      <c r="CW184" s="476">
        <v>0</v>
      </c>
      <c r="CX184" s="476">
        <v>0</v>
      </c>
      <c r="CY184" s="476">
        <v>0</v>
      </c>
      <c r="CZ184" s="476">
        <v>0</v>
      </c>
      <c r="DA184" s="476">
        <v>0</v>
      </c>
      <c r="DB184" s="476">
        <v>12321963</v>
      </c>
      <c r="DC184" s="476">
        <v>0</v>
      </c>
      <c r="DD184" s="476">
        <v>0</v>
      </c>
      <c r="DE184" s="476">
        <v>746960</v>
      </c>
      <c r="DF184" s="476">
        <v>746960</v>
      </c>
      <c r="DG184" s="476">
        <v>121.26300000000001</v>
      </c>
      <c r="DH184" s="476">
        <v>0</v>
      </c>
      <c r="DI184" s="476">
        <v>0</v>
      </c>
      <c r="DJ184" s="476">
        <v>0</v>
      </c>
      <c r="DK184" s="476">
        <v>0</v>
      </c>
      <c r="DL184" s="476">
        <v>0</v>
      </c>
      <c r="DM184" s="476">
        <v>1188639</v>
      </c>
      <c r="DN184" s="476">
        <v>4087</v>
      </c>
      <c r="DO184" s="476">
        <v>0</v>
      </c>
      <c r="DP184" s="476">
        <v>0</v>
      </c>
      <c r="DQ184" s="476">
        <v>0</v>
      </c>
      <c r="DR184" s="476">
        <v>0</v>
      </c>
      <c r="DS184" s="476">
        <v>0</v>
      </c>
      <c r="DT184" s="476">
        <v>0</v>
      </c>
      <c r="DU184" s="476">
        <v>0</v>
      </c>
      <c r="DV184" s="476">
        <v>0</v>
      </c>
      <c r="DW184" s="476">
        <v>0</v>
      </c>
      <c r="DX184" s="476">
        <v>0</v>
      </c>
      <c r="DY184" s="476">
        <v>0</v>
      </c>
      <c r="DZ184" s="476">
        <v>0</v>
      </c>
      <c r="EA184" s="476">
        <v>0</v>
      </c>
      <c r="EB184" s="476">
        <v>0</v>
      </c>
      <c r="EC184" s="476">
        <v>14.672000000000001</v>
      </c>
      <c r="ED184" s="476">
        <v>103934</v>
      </c>
      <c r="EE184" s="476">
        <v>0</v>
      </c>
      <c r="EF184" s="476">
        <v>0</v>
      </c>
      <c r="EG184" s="476">
        <v>0</v>
      </c>
      <c r="EH184" s="476">
        <v>1088792</v>
      </c>
      <c r="EI184" s="476">
        <v>0</v>
      </c>
      <c r="EJ184" s="476">
        <v>0</v>
      </c>
      <c r="EK184" s="476">
        <v>50.591000000000001</v>
      </c>
      <c r="EL184" s="476">
        <v>0</v>
      </c>
      <c r="EM184" s="476">
        <v>2.8410000000000002</v>
      </c>
      <c r="EN184" s="476">
        <v>3.2920000000000003</v>
      </c>
      <c r="EO184" s="476">
        <v>0</v>
      </c>
      <c r="EP184" s="476">
        <v>0</v>
      </c>
      <c r="EQ184" s="476">
        <v>56.724000000000004</v>
      </c>
      <c r="ER184" s="476">
        <v>0</v>
      </c>
      <c r="ES184" s="476">
        <v>176.756</v>
      </c>
      <c r="ET184" s="476">
        <v>0</v>
      </c>
      <c r="EU184" s="476">
        <v>0</v>
      </c>
      <c r="EV184" s="476">
        <v>0</v>
      </c>
      <c r="EW184" s="476">
        <v>0</v>
      </c>
      <c r="EX184" s="476">
        <v>0</v>
      </c>
      <c r="EY184" s="476">
        <v>0</v>
      </c>
      <c r="EZ184" s="476">
        <v>15956415</v>
      </c>
      <c r="FA184" s="476">
        <v>0</v>
      </c>
      <c r="FB184" s="476">
        <v>16805781</v>
      </c>
      <c r="FC184" s="476">
        <v>0</v>
      </c>
      <c r="FD184" s="476">
        <v>0</v>
      </c>
      <c r="FE184" s="476">
        <v>2170330</v>
      </c>
      <c r="FF184" s="476">
        <v>362461</v>
      </c>
      <c r="FG184" s="476">
        <v>6.3017999999999991E-2</v>
      </c>
      <c r="FH184" s="476">
        <v>2.6953999999999999E-2</v>
      </c>
      <c r="FI184" s="476">
        <v>0</v>
      </c>
      <c r="FJ184" s="476">
        <v>0</v>
      </c>
      <c r="FK184" s="476">
        <v>2728.7730000000001</v>
      </c>
      <c r="FL184" s="476">
        <v>19685860</v>
      </c>
      <c r="FM184" s="476">
        <v>0</v>
      </c>
      <c r="FN184" s="476">
        <v>0</v>
      </c>
      <c r="FO184" s="476">
        <v>0</v>
      </c>
      <c r="FP184" s="476">
        <v>0</v>
      </c>
      <c r="FQ184" s="476">
        <v>0</v>
      </c>
      <c r="FR184" s="476">
        <v>0</v>
      </c>
      <c r="FS184" s="476">
        <v>0</v>
      </c>
      <c r="FT184" s="476">
        <v>0</v>
      </c>
      <c r="FU184" s="476">
        <v>0</v>
      </c>
      <c r="FV184" s="476">
        <v>0</v>
      </c>
      <c r="FW184" s="476">
        <v>0</v>
      </c>
      <c r="FX184" s="476">
        <v>0</v>
      </c>
      <c r="FY184" s="476">
        <v>0</v>
      </c>
      <c r="FZ184" s="476">
        <v>0</v>
      </c>
      <c r="GA184" s="476">
        <v>0</v>
      </c>
      <c r="GB184" s="476">
        <v>0</v>
      </c>
      <c r="GC184" s="476">
        <v>0</v>
      </c>
      <c r="GD184" s="476">
        <v>0</v>
      </c>
      <c r="GE184" s="476">
        <v>0</v>
      </c>
      <c r="GF184" s="476">
        <v>0</v>
      </c>
      <c r="GG184" s="476">
        <v>0</v>
      </c>
      <c r="GH184" s="476">
        <v>0</v>
      </c>
      <c r="GI184" s="476">
        <v>0</v>
      </c>
      <c r="GJ184" s="476">
        <v>0</v>
      </c>
      <c r="GK184" s="476">
        <v>0</v>
      </c>
      <c r="GL184" s="476">
        <v>0</v>
      </c>
      <c r="GM184" s="476">
        <v>0</v>
      </c>
      <c r="GN184" s="476">
        <v>0</v>
      </c>
      <c r="GO184" s="476">
        <v>0</v>
      </c>
      <c r="GP184" s="476">
        <v>0</v>
      </c>
      <c r="GQ184" s="476">
        <v>18485119</v>
      </c>
      <c r="GR184" s="476">
        <v>0</v>
      </c>
      <c r="GS184" s="476">
        <v>0</v>
      </c>
      <c r="GT184" s="476">
        <v>0</v>
      </c>
      <c r="GU184" s="476">
        <v>0</v>
      </c>
      <c r="GV184" s="476">
        <v>0</v>
      </c>
      <c r="GW184" s="476">
        <v>0</v>
      </c>
      <c r="GX184" s="476">
        <v>0</v>
      </c>
      <c r="GY184" s="476">
        <v>0</v>
      </c>
      <c r="GZ184" s="476">
        <v>0</v>
      </c>
      <c r="HA184" s="476">
        <v>0</v>
      </c>
      <c r="HB184" s="476">
        <v>323396213</v>
      </c>
      <c r="HC184" s="476">
        <v>4.2206E-2</v>
      </c>
      <c r="HD184" s="476">
        <v>347288</v>
      </c>
      <c r="HE184" s="476">
        <v>0</v>
      </c>
      <c r="HF184" s="476">
        <v>2204401</v>
      </c>
      <c r="HG184" s="476">
        <v>31415</v>
      </c>
      <c r="HH184" s="476">
        <v>196413</v>
      </c>
      <c r="HI184" s="476">
        <v>0</v>
      </c>
      <c r="HJ184" s="476">
        <v>20571</v>
      </c>
      <c r="HK184" s="476">
        <v>1008</v>
      </c>
      <c r="HL184" s="476">
        <v>0</v>
      </c>
      <c r="HM184" s="476">
        <v>0</v>
      </c>
      <c r="HN184" s="476">
        <v>0</v>
      </c>
      <c r="HO184" s="476">
        <v>0</v>
      </c>
      <c r="HP184" s="476">
        <v>0</v>
      </c>
      <c r="HQ184" s="476">
        <v>0</v>
      </c>
      <c r="HR184" s="476">
        <v>0</v>
      </c>
      <c r="HS184" s="476">
        <v>15952328</v>
      </c>
      <c r="HT184" s="476">
        <v>362461</v>
      </c>
      <c r="HU184" s="476">
        <v>0</v>
      </c>
      <c r="HV184" s="476">
        <v>0</v>
      </c>
      <c r="HW184" s="476">
        <v>0</v>
      </c>
      <c r="HX184" s="476">
        <v>198</v>
      </c>
      <c r="HY184" s="476">
        <v>155</v>
      </c>
      <c r="HZ184" s="476">
        <v>119</v>
      </c>
      <c r="IA184" s="476">
        <v>24</v>
      </c>
      <c r="IB184" s="476">
        <v>14</v>
      </c>
      <c r="IC184" s="476">
        <v>510</v>
      </c>
      <c r="ID184" s="476">
        <v>0</v>
      </c>
      <c r="IE184" s="476">
        <v>0</v>
      </c>
      <c r="IF184" s="476">
        <v>0</v>
      </c>
      <c r="IG184" s="476">
        <v>51</v>
      </c>
      <c r="IH184" s="476">
        <v>318.86</v>
      </c>
      <c r="II184" s="476">
        <v>0</v>
      </c>
      <c r="IJ184" s="476">
        <v>153.268</v>
      </c>
      <c r="IK184" s="476">
        <v>0</v>
      </c>
      <c r="IL184" s="476">
        <v>0</v>
      </c>
      <c r="IM184" s="476">
        <v>0</v>
      </c>
      <c r="IN184" s="476">
        <v>0</v>
      </c>
      <c r="IO184" s="476">
        <v>0</v>
      </c>
      <c r="IP184" s="476">
        <v>0</v>
      </c>
      <c r="IQ184" s="476">
        <v>153.268</v>
      </c>
      <c r="IR184" s="476">
        <v>94411</v>
      </c>
      <c r="IS184" s="476">
        <v>0</v>
      </c>
      <c r="IT184" s="476">
        <v>0</v>
      </c>
      <c r="IU184" s="476">
        <v>0</v>
      </c>
      <c r="IV184" s="476">
        <v>0</v>
      </c>
      <c r="IW184" s="476">
        <v>6160</v>
      </c>
      <c r="IX184" s="476">
        <v>0</v>
      </c>
      <c r="IY184" s="476">
        <v>0</v>
      </c>
      <c r="IZ184" s="476">
        <v>0</v>
      </c>
      <c r="JA184" s="476">
        <v>0</v>
      </c>
      <c r="JB184" s="476">
        <v>0</v>
      </c>
      <c r="JC184" s="476">
        <v>0</v>
      </c>
      <c r="JD184" s="476">
        <v>0</v>
      </c>
      <c r="JE184" s="476">
        <v>0</v>
      </c>
      <c r="JF184" s="476">
        <v>0</v>
      </c>
      <c r="JG184" s="476">
        <v>0</v>
      </c>
      <c r="JH184" s="476">
        <v>0</v>
      </c>
      <c r="JI184" s="476">
        <v>0</v>
      </c>
      <c r="JJ184" s="476">
        <v>0</v>
      </c>
      <c r="JK184" s="476">
        <v>0</v>
      </c>
      <c r="JL184" s="476">
        <v>0</v>
      </c>
      <c r="JM184" s="476">
        <v>0</v>
      </c>
      <c r="JN184" s="476">
        <v>32469</v>
      </c>
      <c r="JO184" s="476">
        <v>0</v>
      </c>
      <c r="JP184" s="476">
        <v>0</v>
      </c>
      <c r="JQ184" s="476">
        <v>0</v>
      </c>
      <c r="JR184" s="476">
        <v>0</v>
      </c>
      <c r="JS184" s="476">
        <v>0</v>
      </c>
      <c r="JT184" s="476">
        <v>0</v>
      </c>
      <c r="JU184" s="476">
        <v>0</v>
      </c>
      <c r="JV184" s="476">
        <v>0</v>
      </c>
      <c r="JW184" s="476">
        <v>0</v>
      </c>
      <c r="JX184" s="476">
        <v>0</v>
      </c>
      <c r="JY184" s="476">
        <v>0</v>
      </c>
      <c r="JZ184" s="476">
        <v>0</v>
      </c>
      <c r="KA184" s="476">
        <v>0</v>
      </c>
      <c r="KB184" s="476">
        <v>0</v>
      </c>
      <c r="KC184" s="476">
        <v>0</v>
      </c>
      <c r="KD184" s="476">
        <v>0</v>
      </c>
      <c r="KE184" s="476">
        <v>7262</v>
      </c>
      <c r="KF184" s="476">
        <v>0</v>
      </c>
      <c r="KG184" s="476">
        <v>0</v>
      </c>
      <c r="KH184" s="476">
        <v>18485119</v>
      </c>
      <c r="KI184" s="476">
        <v>0</v>
      </c>
      <c r="KJ184" s="476">
        <v>31</v>
      </c>
      <c r="KK184" s="476">
        <v>20</v>
      </c>
      <c r="KL184" s="476">
        <v>19096</v>
      </c>
      <c r="KM184" s="476">
        <v>12320</v>
      </c>
      <c r="KN184" s="476">
        <v>0</v>
      </c>
    </row>
    <row r="185" spans="1:300" x14ac:dyDescent="0.25">
      <c r="A185" s="476">
        <v>40976</v>
      </c>
      <c r="B185" s="476">
        <v>234801</v>
      </c>
      <c r="C185" s="476">
        <v>9</v>
      </c>
      <c r="D185" s="476">
        <v>2024</v>
      </c>
      <c r="E185" s="476">
        <v>6160</v>
      </c>
      <c r="F185" s="476">
        <v>0</v>
      </c>
      <c r="G185" s="476">
        <v>84.867000000000004</v>
      </c>
      <c r="H185" s="476">
        <v>80.5</v>
      </c>
      <c r="I185" s="476">
        <v>80.5</v>
      </c>
      <c r="J185" s="476">
        <v>84.867000000000004</v>
      </c>
      <c r="K185" s="476">
        <v>0</v>
      </c>
      <c r="L185" s="476">
        <v>6160</v>
      </c>
      <c r="M185" s="476">
        <v>0</v>
      </c>
      <c r="N185" s="476">
        <v>0</v>
      </c>
      <c r="O185" s="476">
        <v>0</v>
      </c>
      <c r="P185" s="476">
        <v>84.867000000000004</v>
      </c>
      <c r="Q185" s="476">
        <v>0</v>
      </c>
      <c r="R185" s="476">
        <v>35210</v>
      </c>
      <c r="S185" s="476">
        <v>414.88400000000001</v>
      </c>
      <c r="T185" s="476">
        <v>0</v>
      </c>
      <c r="U185" s="476">
        <v>0</v>
      </c>
      <c r="V185" s="476">
        <v>0</v>
      </c>
      <c r="W185" s="476">
        <v>0</v>
      </c>
      <c r="X185" s="476">
        <v>0</v>
      </c>
      <c r="Y185" s="476">
        <v>0</v>
      </c>
      <c r="Z185" s="476">
        <v>0</v>
      </c>
      <c r="AA185" s="476">
        <v>0</v>
      </c>
      <c r="AB185" s="476">
        <v>0</v>
      </c>
      <c r="AC185" s="476">
        <v>0</v>
      </c>
      <c r="AD185" s="476" t="s">
        <v>314</v>
      </c>
      <c r="AE185" s="476">
        <v>0</v>
      </c>
      <c r="AF185" s="476">
        <v>0</v>
      </c>
      <c r="AG185" s="476">
        <v>0</v>
      </c>
      <c r="AH185" s="476">
        <v>0</v>
      </c>
      <c r="AI185" s="476">
        <v>0</v>
      </c>
      <c r="AJ185" s="476">
        <v>6160</v>
      </c>
      <c r="AK185" s="476" t="s">
        <v>651</v>
      </c>
      <c r="AL185" s="476" t="s">
        <v>81</v>
      </c>
      <c r="AM185" s="476">
        <v>0</v>
      </c>
      <c r="AN185" s="476">
        <v>0</v>
      </c>
      <c r="AO185" s="476">
        <v>0</v>
      </c>
      <c r="AP185" s="476">
        <v>0</v>
      </c>
      <c r="AQ185" s="476">
        <v>0</v>
      </c>
      <c r="AR185" s="476">
        <v>0</v>
      </c>
      <c r="AS185" s="476">
        <v>0</v>
      </c>
      <c r="AT185" s="476">
        <v>0</v>
      </c>
      <c r="AU185" s="476">
        <v>0</v>
      </c>
      <c r="AV185" s="476">
        <v>0</v>
      </c>
      <c r="AW185" s="476">
        <v>970379</v>
      </c>
      <c r="AX185" s="476">
        <v>936731</v>
      </c>
      <c r="AY185" s="476">
        <v>0</v>
      </c>
      <c r="AZ185" s="476">
        <v>35210</v>
      </c>
      <c r="BA185" s="476">
        <v>7</v>
      </c>
      <c r="BB185" s="476">
        <v>0</v>
      </c>
      <c r="BC185" s="476">
        <v>0</v>
      </c>
      <c r="BD185" s="476">
        <v>0</v>
      </c>
      <c r="BE185" s="476">
        <v>0</v>
      </c>
      <c r="BF185" s="476">
        <v>823610</v>
      </c>
      <c r="BG185" s="476">
        <v>0</v>
      </c>
      <c r="BH185" s="476">
        <v>0</v>
      </c>
      <c r="BI185" s="476">
        <v>0</v>
      </c>
      <c r="BJ185" s="476">
        <v>12</v>
      </c>
      <c r="BK185" s="476">
        <v>0</v>
      </c>
      <c r="BL185" s="476">
        <v>0</v>
      </c>
      <c r="BM185" s="476">
        <v>0</v>
      </c>
      <c r="BN185" s="476">
        <v>0</v>
      </c>
      <c r="BO185" s="476">
        <v>0</v>
      </c>
      <c r="BP185" s="476">
        <v>0</v>
      </c>
      <c r="BQ185" s="476">
        <v>758</v>
      </c>
      <c r="BR185" s="476">
        <v>0</v>
      </c>
      <c r="BS185" s="476">
        <v>0</v>
      </c>
      <c r="BT185" s="476">
        <v>0</v>
      </c>
      <c r="BU185" s="476">
        <v>0</v>
      </c>
      <c r="BV185" s="476">
        <v>0</v>
      </c>
      <c r="BW185" s="476">
        <v>0</v>
      </c>
      <c r="BX185" s="476">
        <v>0</v>
      </c>
      <c r="BY185" s="476">
        <v>0</v>
      </c>
      <c r="BZ185" s="476">
        <v>0</v>
      </c>
      <c r="CA185" s="476">
        <v>0</v>
      </c>
      <c r="CB185" s="476">
        <v>0</v>
      </c>
      <c r="CC185" s="476">
        <v>0</v>
      </c>
      <c r="CD185" s="476">
        <v>0</v>
      </c>
      <c r="CE185" s="476">
        <v>0</v>
      </c>
      <c r="CF185" s="476">
        <v>0</v>
      </c>
      <c r="CG185" s="476">
        <v>0</v>
      </c>
      <c r="CH185" s="476">
        <v>34078</v>
      </c>
      <c r="CI185" s="476">
        <v>0</v>
      </c>
      <c r="CJ185" s="476">
        <v>5</v>
      </c>
      <c r="CK185" s="476">
        <v>0</v>
      </c>
      <c r="CL185" s="476">
        <v>0</v>
      </c>
      <c r="CM185" s="476">
        <v>0</v>
      </c>
      <c r="CN185" s="476">
        <v>0</v>
      </c>
      <c r="CO185" s="476">
        <v>1</v>
      </c>
      <c r="CP185" s="476">
        <v>0</v>
      </c>
      <c r="CQ185" s="476">
        <v>0</v>
      </c>
      <c r="CR185" s="476">
        <v>84.867000000000004</v>
      </c>
      <c r="CS185" s="476">
        <v>0</v>
      </c>
      <c r="CT185" s="476">
        <v>0</v>
      </c>
      <c r="CU185" s="476">
        <v>0</v>
      </c>
      <c r="CV185" s="476">
        <v>0</v>
      </c>
      <c r="CW185" s="476">
        <v>0</v>
      </c>
      <c r="CX185" s="476">
        <v>0</v>
      </c>
      <c r="CY185" s="476">
        <v>0</v>
      </c>
      <c r="CZ185" s="476">
        <v>0</v>
      </c>
      <c r="DA185" s="476">
        <v>0</v>
      </c>
      <c r="DB185" s="476">
        <v>407202</v>
      </c>
      <c r="DC185" s="476">
        <v>0</v>
      </c>
      <c r="DD185" s="476">
        <v>0</v>
      </c>
      <c r="DE185" s="476">
        <v>98481</v>
      </c>
      <c r="DF185" s="476">
        <v>107105</v>
      </c>
      <c r="DG185" s="476">
        <v>15.988000000000001</v>
      </c>
      <c r="DH185" s="476">
        <v>0</v>
      </c>
      <c r="DI185" s="476">
        <v>0</v>
      </c>
      <c r="DJ185" s="476">
        <v>0</v>
      </c>
      <c r="DK185" s="476">
        <v>3744</v>
      </c>
      <c r="DL185" s="476">
        <v>0</v>
      </c>
      <c r="DM185" s="476">
        <v>213769</v>
      </c>
      <c r="DN185" s="476">
        <v>430</v>
      </c>
      <c r="DO185" s="476">
        <v>0</v>
      </c>
      <c r="DP185" s="476">
        <v>0</v>
      </c>
      <c r="DQ185" s="476">
        <v>0</v>
      </c>
      <c r="DR185" s="476">
        <v>0</v>
      </c>
      <c r="DS185" s="476">
        <v>0</v>
      </c>
      <c r="DT185" s="476">
        <v>0</v>
      </c>
      <c r="DU185" s="476">
        <v>0</v>
      </c>
      <c r="DV185" s="476">
        <v>0</v>
      </c>
      <c r="DW185" s="476">
        <v>0</v>
      </c>
      <c r="DX185" s="476">
        <v>0</v>
      </c>
      <c r="DY185" s="476">
        <v>0</v>
      </c>
      <c r="DZ185" s="476">
        <v>0</v>
      </c>
      <c r="EA185" s="476">
        <v>0</v>
      </c>
      <c r="EB185" s="476">
        <v>0</v>
      </c>
      <c r="EC185" s="476">
        <v>4.0670000000000002</v>
      </c>
      <c r="ED185" s="476">
        <v>28810</v>
      </c>
      <c r="EE185" s="476">
        <v>0</v>
      </c>
      <c r="EF185" s="476">
        <v>0</v>
      </c>
      <c r="EG185" s="476">
        <v>0</v>
      </c>
      <c r="EH185" s="476">
        <v>53184</v>
      </c>
      <c r="EI185" s="476">
        <v>43538</v>
      </c>
      <c r="EJ185" s="476">
        <v>1.7670000000000001</v>
      </c>
      <c r="EK185" s="476">
        <v>2.1830000000000003</v>
      </c>
      <c r="EL185" s="476">
        <v>0</v>
      </c>
      <c r="EM185" s="476">
        <v>0</v>
      </c>
      <c r="EN185" s="476">
        <v>0.41700000000000004</v>
      </c>
      <c r="EO185" s="476">
        <v>0</v>
      </c>
      <c r="EP185" s="476">
        <v>0</v>
      </c>
      <c r="EQ185" s="476">
        <v>4.367</v>
      </c>
      <c r="ER185" s="476">
        <v>0</v>
      </c>
      <c r="ES185" s="476">
        <v>8.6340000000000003</v>
      </c>
      <c r="ET185" s="476">
        <v>0</v>
      </c>
      <c r="EU185" s="476">
        <v>0</v>
      </c>
      <c r="EV185" s="476">
        <v>0</v>
      </c>
      <c r="EW185" s="476">
        <v>0</v>
      </c>
      <c r="EX185" s="476">
        <v>0</v>
      </c>
      <c r="EY185" s="476">
        <v>0</v>
      </c>
      <c r="EZ185" s="476">
        <v>812628</v>
      </c>
      <c r="FA185" s="476">
        <v>0</v>
      </c>
      <c r="FB185" s="476">
        <v>847408</v>
      </c>
      <c r="FC185" s="476">
        <v>0</v>
      </c>
      <c r="FD185" s="476">
        <v>0</v>
      </c>
      <c r="FE185" s="476">
        <v>106343</v>
      </c>
      <c r="FF185" s="476">
        <v>17760</v>
      </c>
      <c r="FG185" s="476">
        <v>6.3017999999999991E-2</v>
      </c>
      <c r="FH185" s="476">
        <v>2.6953999999999999E-2</v>
      </c>
      <c r="FI185" s="476">
        <v>0</v>
      </c>
      <c r="FJ185" s="476">
        <v>0</v>
      </c>
      <c r="FK185" s="476">
        <v>133.70600000000002</v>
      </c>
      <c r="FL185" s="476">
        <v>1005589</v>
      </c>
      <c r="FM185" s="476">
        <v>0</v>
      </c>
      <c r="FN185" s="476">
        <v>0</v>
      </c>
      <c r="FO185" s="476">
        <v>0</v>
      </c>
      <c r="FP185" s="476">
        <v>0</v>
      </c>
      <c r="FQ185" s="476">
        <v>0</v>
      </c>
      <c r="FR185" s="476">
        <v>0</v>
      </c>
      <c r="FS185" s="476">
        <v>0</v>
      </c>
      <c r="FT185" s="476">
        <v>0</v>
      </c>
      <c r="FU185" s="476">
        <v>0</v>
      </c>
      <c r="FV185" s="476">
        <v>0</v>
      </c>
      <c r="FW185" s="476">
        <v>0</v>
      </c>
      <c r="FX185" s="476">
        <v>0</v>
      </c>
      <c r="FY185" s="476">
        <v>0</v>
      </c>
      <c r="FZ185" s="476">
        <v>0</v>
      </c>
      <c r="GA185" s="476">
        <v>0</v>
      </c>
      <c r="GB185" s="476">
        <v>0</v>
      </c>
      <c r="GC185" s="476">
        <v>0</v>
      </c>
      <c r="GD185" s="476">
        <v>0</v>
      </c>
      <c r="GE185" s="476">
        <v>0</v>
      </c>
      <c r="GF185" s="476">
        <v>0</v>
      </c>
      <c r="GG185" s="476">
        <v>0</v>
      </c>
      <c r="GH185" s="476">
        <v>0</v>
      </c>
      <c r="GI185" s="476">
        <v>0</v>
      </c>
      <c r="GJ185" s="476">
        <v>0</v>
      </c>
      <c r="GK185" s="476">
        <v>0</v>
      </c>
      <c r="GL185" s="476">
        <v>0</v>
      </c>
      <c r="GM185" s="476">
        <v>0</v>
      </c>
      <c r="GN185" s="476">
        <v>0</v>
      </c>
      <c r="GO185" s="476">
        <v>0</v>
      </c>
      <c r="GP185" s="476">
        <v>0</v>
      </c>
      <c r="GQ185" s="476">
        <v>936301</v>
      </c>
      <c r="GR185" s="476">
        <v>0</v>
      </c>
      <c r="GS185" s="476">
        <v>0</v>
      </c>
      <c r="GT185" s="476">
        <v>0</v>
      </c>
      <c r="GU185" s="476">
        <v>0</v>
      </c>
      <c r="GV185" s="476">
        <v>0</v>
      </c>
      <c r="GW185" s="476">
        <v>0</v>
      </c>
      <c r="GX185" s="476">
        <v>0</v>
      </c>
      <c r="GY185" s="476">
        <v>0</v>
      </c>
      <c r="GZ185" s="476">
        <v>0</v>
      </c>
      <c r="HA185" s="476">
        <v>0</v>
      </c>
      <c r="HB185" s="476">
        <v>323396213</v>
      </c>
      <c r="HC185" s="476">
        <v>4.2206E-2</v>
      </c>
      <c r="HD185" s="476">
        <v>14328</v>
      </c>
      <c r="HE185" s="476">
        <v>0</v>
      </c>
      <c r="HF185" s="476">
        <v>88711</v>
      </c>
      <c r="HG185" s="476">
        <v>5544</v>
      </c>
      <c r="HH185" s="476">
        <v>0</v>
      </c>
      <c r="HI185" s="476">
        <v>0</v>
      </c>
      <c r="HJ185" s="476">
        <v>849</v>
      </c>
      <c r="HK185" s="476">
        <v>731</v>
      </c>
      <c r="HL185" s="476">
        <v>152</v>
      </c>
      <c r="HM185" s="476">
        <v>0</v>
      </c>
      <c r="HN185" s="476">
        <v>0</v>
      </c>
      <c r="HO185" s="476">
        <v>0</v>
      </c>
      <c r="HP185" s="476">
        <v>16548</v>
      </c>
      <c r="HQ185" s="476">
        <v>0</v>
      </c>
      <c r="HR185" s="476">
        <v>0</v>
      </c>
      <c r="HS185" s="476">
        <v>812198</v>
      </c>
      <c r="HT185" s="476">
        <v>17760</v>
      </c>
      <c r="HU185" s="476">
        <v>19750</v>
      </c>
      <c r="HV185" s="476">
        <v>0</v>
      </c>
      <c r="HW185" s="476">
        <v>0</v>
      </c>
      <c r="HX185" s="476">
        <v>7</v>
      </c>
      <c r="HY185" s="476">
        <v>21</v>
      </c>
      <c r="HZ185" s="476">
        <v>6</v>
      </c>
      <c r="IA185" s="476">
        <v>4</v>
      </c>
      <c r="IB185" s="476">
        <v>25</v>
      </c>
      <c r="IC185" s="476">
        <v>63</v>
      </c>
      <c r="ID185" s="476">
        <v>7</v>
      </c>
      <c r="IE185" s="476">
        <v>0</v>
      </c>
      <c r="IF185" s="476">
        <v>0</v>
      </c>
      <c r="IG185" s="476">
        <v>9</v>
      </c>
      <c r="IH185" s="476">
        <v>0</v>
      </c>
      <c r="II185" s="476">
        <v>60.175000000000004</v>
      </c>
      <c r="IJ185" s="476">
        <v>0</v>
      </c>
      <c r="IK185" s="476">
        <v>24.717000000000002</v>
      </c>
      <c r="IL185" s="476">
        <v>0</v>
      </c>
      <c r="IM185" s="476">
        <v>0</v>
      </c>
      <c r="IN185" s="476">
        <v>0</v>
      </c>
      <c r="IO185" s="476">
        <v>0</v>
      </c>
      <c r="IP185" s="476">
        <v>84.89200000000001</v>
      </c>
      <c r="IQ185" s="476">
        <v>0</v>
      </c>
      <c r="IR185" s="476">
        <v>0</v>
      </c>
      <c r="IS185" s="476">
        <v>6797</v>
      </c>
      <c r="IT185" s="476">
        <v>0</v>
      </c>
      <c r="IU185" s="476">
        <v>0</v>
      </c>
      <c r="IV185" s="476">
        <v>0</v>
      </c>
      <c r="IW185" s="476">
        <v>6160</v>
      </c>
      <c r="IX185" s="476">
        <v>0</v>
      </c>
      <c r="IY185" s="476">
        <v>0</v>
      </c>
      <c r="IZ185" s="476">
        <v>23345</v>
      </c>
      <c r="JA185" s="476">
        <v>8624</v>
      </c>
      <c r="JB185" s="476">
        <v>0</v>
      </c>
      <c r="JC185" s="476">
        <v>0</v>
      </c>
      <c r="JD185" s="476">
        <v>0</v>
      </c>
      <c r="JE185" s="476">
        <v>0</v>
      </c>
      <c r="JF185" s="476">
        <v>0</v>
      </c>
      <c r="JG185" s="476">
        <v>0</v>
      </c>
      <c r="JH185" s="476">
        <v>0</v>
      </c>
      <c r="JI185" s="476">
        <v>0</v>
      </c>
      <c r="JJ185" s="476">
        <v>0</v>
      </c>
      <c r="JK185" s="476">
        <v>0</v>
      </c>
      <c r="JL185" s="476">
        <v>0</v>
      </c>
      <c r="JM185" s="476">
        <v>0</v>
      </c>
      <c r="JN185" s="476">
        <v>32469</v>
      </c>
      <c r="JO185" s="476">
        <v>0</v>
      </c>
      <c r="JP185" s="476">
        <v>0</v>
      </c>
      <c r="JQ185" s="476">
        <v>0</v>
      </c>
      <c r="JR185" s="476">
        <v>0</v>
      </c>
      <c r="JS185" s="476">
        <v>0</v>
      </c>
      <c r="JT185" s="476">
        <v>0</v>
      </c>
      <c r="JU185" s="476">
        <v>0</v>
      </c>
      <c r="JV185" s="476">
        <v>19750</v>
      </c>
      <c r="JW185" s="476">
        <v>0</v>
      </c>
      <c r="JX185" s="476">
        <v>0</v>
      </c>
      <c r="JY185" s="476">
        <v>0</v>
      </c>
      <c r="JZ185" s="476">
        <v>0</v>
      </c>
      <c r="KA185" s="476">
        <v>0</v>
      </c>
      <c r="KB185" s="476">
        <v>0</v>
      </c>
      <c r="KC185" s="476">
        <v>0</v>
      </c>
      <c r="KD185" s="476">
        <v>0</v>
      </c>
      <c r="KE185" s="476">
        <v>7262</v>
      </c>
      <c r="KF185" s="476">
        <v>0</v>
      </c>
      <c r="KG185" s="476">
        <v>0</v>
      </c>
      <c r="KH185" s="476">
        <v>936301</v>
      </c>
      <c r="KI185" s="476">
        <v>0</v>
      </c>
      <c r="KJ185" s="476">
        <v>4</v>
      </c>
      <c r="KK185" s="476">
        <v>5</v>
      </c>
      <c r="KL185" s="476">
        <v>2464</v>
      </c>
      <c r="KM185" s="476">
        <v>3080</v>
      </c>
      <c r="KN185" s="476">
        <v>0</v>
      </c>
    </row>
    <row r="186" spans="1:300" x14ac:dyDescent="0.25">
      <c r="A186" s="476">
        <v>40976</v>
      </c>
      <c r="B186" s="476">
        <v>236801</v>
      </c>
      <c r="C186" s="476">
        <v>9</v>
      </c>
      <c r="D186" s="476">
        <v>2024</v>
      </c>
      <c r="E186" s="476">
        <v>6160</v>
      </c>
      <c r="F186" s="476">
        <v>0</v>
      </c>
      <c r="G186" s="476">
        <v>51.914999999999999</v>
      </c>
      <c r="H186" s="476">
        <v>13.958</v>
      </c>
      <c r="I186" s="476">
        <v>13.958</v>
      </c>
      <c r="J186" s="476">
        <v>51.914999999999999</v>
      </c>
      <c r="K186" s="476">
        <v>0</v>
      </c>
      <c r="L186" s="476">
        <v>6160</v>
      </c>
      <c r="M186" s="476">
        <v>0</v>
      </c>
      <c r="N186" s="476">
        <v>0</v>
      </c>
      <c r="O186" s="476">
        <v>0</v>
      </c>
      <c r="P186" s="476">
        <v>51.914999999999999</v>
      </c>
      <c r="Q186" s="476">
        <v>0</v>
      </c>
      <c r="R186" s="476">
        <v>21539</v>
      </c>
      <c r="S186" s="476">
        <v>414.88400000000001</v>
      </c>
      <c r="T186" s="476">
        <v>0</v>
      </c>
      <c r="U186" s="476">
        <v>0</v>
      </c>
      <c r="V186" s="476">
        <v>2.6670000000000003</v>
      </c>
      <c r="W186" s="476">
        <v>1643</v>
      </c>
      <c r="X186" s="476">
        <v>1643</v>
      </c>
      <c r="Y186" s="476">
        <v>0</v>
      </c>
      <c r="Z186" s="476">
        <v>0</v>
      </c>
      <c r="AA186" s="476">
        <v>0</v>
      </c>
      <c r="AB186" s="476">
        <v>0</v>
      </c>
      <c r="AC186" s="476">
        <v>0</v>
      </c>
      <c r="AD186" s="476" t="s">
        <v>314</v>
      </c>
      <c r="AE186" s="476">
        <v>0</v>
      </c>
      <c r="AF186" s="476">
        <v>0</v>
      </c>
      <c r="AG186" s="476">
        <v>0</v>
      </c>
      <c r="AH186" s="476">
        <v>0</v>
      </c>
      <c r="AI186" s="476">
        <v>0</v>
      </c>
      <c r="AJ186" s="476">
        <v>6160</v>
      </c>
      <c r="AK186" s="476" t="s">
        <v>651</v>
      </c>
      <c r="AL186" s="476" t="s">
        <v>82</v>
      </c>
      <c r="AM186" s="476">
        <v>0</v>
      </c>
      <c r="AN186" s="476">
        <v>0</v>
      </c>
      <c r="AO186" s="476">
        <v>0</v>
      </c>
      <c r="AP186" s="476">
        <v>0</v>
      </c>
      <c r="AQ186" s="476">
        <v>0</v>
      </c>
      <c r="AR186" s="476">
        <v>0</v>
      </c>
      <c r="AS186" s="476">
        <v>0</v>
      </c>
      <c r="AT186" s="476">
        <v>0</v>
      </c>
      <c r="AU186" s="476">
        <v>0</v>
      </c>
      <c r="AV186" s="476">
        <v>0</v>
      </c>
      <c r="AW186" s="476">
        <v>989215</v>
      </c>
      <c r="AX186" s="476">
        <v>981148</v>
      </c>
      <c r="AY186" s="476">
        <v>0</v>
      </c>
      <c r="AZ186" s="476">
        <v>21539</v>
      </c>
      <c r="BA186" s="476">
        <v>91.167000000000002</v>
      </c>
      <c r="BB186" s="476">
        <v>0</v>
      </c>
      <c r="BC186" s="476">
        <v>0</v>
      </c>
      <c r="BD186" s="476">
        <v>0</v>
      </c>
      <c r="BE186" s="476">
        <v>0</v>
      </c>
      <c r="BF186" s="476">
        <v>838677</v>
      </c>
      <c r="BG186" s="476">
        <v>0</v>
      </c>
      <c r="BH186" s="476">
        <v>0</v>
      </c>
      <c r="BI186" s="476">
        <v>0</v>
      </c>
      <c r="BJ186" s="476">
        <v>12</v>
      </c>
      <c r="BK186" s="476">
        <v>0</v>
      </c>
      <c r="BL186" s="476">
        <v>0</v>
      </c>
      <c r="BM186" s="476">
        <v>0</v>
      </c>
      <c r="BN186" s="476">
        <v>0</v>
      </c>
      <c r="BO186" s="476">
        <v>0</v>
      </c>
      <c r="BP186" s="476">
        <v>0</v>
      </c>
      <c r="BQ186" s="476">
        <v>768</v>
      </c>
      <c r="BR186" s="476">
        <v>0</v>
      </c>
      <c r="BS186" s="476">
        <v>0</v>
      </c>
      <c r="BT186" s="476">
        <v>0</v>
      </c>
      <c r="BU186" s="476">
        <v>0</v>
      </c>
      <c r="BV186" s="476">
        <v>0</v>
      </c>
      <c r="BW186" s="476">
        <v>0</v>
      </c>
      <c r="BX186" s="476">
        <v>0</v>
      </c>
      <c r="BY186" s="476">
        <v>0</v>
      </c>
      <c r="BZ186" s="476">
        <v>0</v>
      </c>
      <c r="CA186" s="476">
        <v>0</v>
      </c>
      <c r="CB186" s="476">
        <v>0</v>
      </c>
      <c r="CC186" s="476">
        <v>0</v>
      </c>
      <c r="CD186" s="476">
        <v>0</v>
      </c>
      <c r="CE186" s="476">
        <v>0</v>
      </c>
      <c r="CF186" s="476">
        <v>0</v>
      </c>
      <c r="CG186" s="476">
        <v>0</v>
      </c>
      <c r="CH186" s="476">
        <v>8765</v>
      </c>
      <c r="CI186" s="476">
        <v>0</v>
      </c>
      <c r="CJ186" s="476">
        <v>4</v>
      </c>
      <c r="CK186" s="476">
        <v>0</v>
      </c>
      <c r="CL186" s="476">
        <v>0</v>
      </c>
      <c r="CM186" s="476">
        <v>0</v>
      </c>
      <c r="CN186" s="476">
        <v>0</v>
      </c>
      <c r="CO186" s="476">
        <v>1</v>
      </c>
      <c r="CP186" s="476">
        <v>0</v>
      </c>
      <c r="CQ186" s="476">
        <v>4</v>
      </c>
      <c r="CR186" s="476">
        <v>51.914999999999999</v>
      </c>
      <c r="CS186" s="476">
        <v>0</v>
      </c>
      <c r="CT186" s="476">
        <v>0</v>
      </c>
      <c r="CU186" s="476">
        <v>0</v>
      </c>
      <c r="CV186" s="476">
        <v>0</v>
      </c>
      <c r="CW186" s="476">
        <v>0</v>
      </c>
      <c r="CX186" s="476">
        <v>0</v>
      </c>
      <c r="CY186" s="476">
        <v>0</v>
      </c>
      <c r="CZ186" s="476">
        <v>0</v>
      </c>
      <c r="DA186" s="476">
        <v>0</v>
      </c>
      <c r="DB186" s="476">
        <v>0</v>
      </c>
      <c r="DC186" s="476">
        <v>0</v>
      </c>
      <c r="DD186" s="476">
        <v>0</v>
      </c>
      <c r="DE186" s="476">
        <v>82696</v>
      </c>
      <c r="DF186" s="476">
        <v>82696</v>
      </c>
      <c r="DG186" s="476">
        <v>13.425000000000001</v>
      </c>
      <c r="DH186" s="476">
        <v>0</v>
      </c>
      <c r="DI186" s="476">
        <v>0</v>
      </c>
      <c r="DJ186" s="476">
        <v>0</v>
      </c>
      <c r="DK186" s="476">
        <v>3908</v>
      </c>
      <c r="DL186" s="476">
        <v>0</v>
      </c>
      <c r="DM186" s="476">
        <v>430189</v>
      </c>
      <c r="DN186" s="476">
        <v>697</v>
      </c>
      <c r="DO186" s="476">
        <v>0</v>
      </c>
      <c r="DP186" s="476">
        <v>0</v>
      </c>
      <c r="DQ186" s="476">
        <v>0</v>
      </c>
      <c r="DR186" s="476">
        <v>0</v>
      </c>
      <c r="DS186" s="476">
        <v>0</v>
      </c>
      <c r="DT186" s="476">
        <v>0</v>
      </c>
      <c r="DU186" s="476">
        <v>0</v>
      </c>
      <c r="DV186" s="476">
        <v>0</v>
      </c>
      <c r="DW186" s="476">
        <v>0</v>
      </c>
      <c r="DX186" s="476">
        <v>0</v>
      </c>
      <c r="DY186" s="476">
        <v>0</v>
      </c>
      <c r="DZ186" s="476">
        <v>0</v>
      </c>
      <c r="EA186" s="476">
        <v>0</v>
      </c>
      <c r="EB186" s="476">
        <v>0</v>
      </c>
      <c r="EC186" s="476">
        <v>0</v>
      </c>
      <c r="ED186" s="476">
        <v>0</v>
      </c>
      <c r="EE186" s="476">
        <v>0</v>
      </c>
      <c r="EF186" s="476">
        <v>0</v>
      </c>
      <c r="EG186" s="476">
        <v>0</v>
      </c>
      <c r="EH186" s="476">
        <v>0</v>
      </c>
      <c r="EI186" s="476">
        <v>203571</v>
      </c>
      <c r="EJ186" s="476">
        <v>8.2620000000000005</v>
      </c>
      <c r="EK186" s="476">
        <v>0</v>
      </c>
      <c r="EL186" s="476">
        <v>0</v>
      </c>
      <c r="EM186" s="476">
        <v>0</v>
      </c>
      <c r="EN186" s="476">
        <v>0</v>
      </c>
      <c r="EO186" s="476">
        <v>0</v>
      </c>
      <c r="EP186" s="476">
        <v>0</v>
      </c>
      <c r="EQ186" s="476">
        <v>8.2620000000000005</v>
      </c>
      <c r="ER186" s="476">
        <v>0</v>
      </c>
      <c r="ES186" s="476">
        <v>0</v>
      </c>
      <c r="ET186" s="476">
        <v>0</v>
      </c>
      <c r="EU186" s="476">
        <v>0</v>
      </c>
      <c r="EV186" s="476">
        <v>0</v>
      </c>
      <c r="EW186" s="476">
        <v>0</v>
      </c>
      <c r="EX186" s="476">
        <v>0</v>
      </c>
      <c r="EY186" s="476">
        <v>0</v>
      </c>
      <c r="EZ186" s="476">
        <v>854774</v>
      </c>
      <c r="FA186" s="476">
        <v>0</v>
      </c>
      <c r="FB186" s="476">
        <v>875615</v>
      </c>
      <c r="FC186" s="476">
        <v>0</v>
      </c>
      <c r="FD186" s="476">
        <v>0</v>
      </c>
      <c r="FE186" s="476">
        <v>108289</v>
      </c>
      <c r="FF186" s="476">
        <v>18085</v>
      </c>
      <c r="FG186" s="476">
        <v>6.3017999999999991E-2</v>
      </c>
      <c r="FH186" s="476">
        <v>2.6953999999999999E-2</v>
      </c>
      <c r="FI186" s="476">
        <v>0</v>
      </c>
      <c r="FJ186" s="476">
        <v>0</v>
      </c>
      <c r="FK186" s="476">
        <v>136.15200000000002</v>
      </c>
      <c r="FL186" s="476">
        <v>1010754</v>
      </c>
      <c r="FM186" s="476">
        <v>0</v>
      </c>
      <c r="FN186" s="476">
        <v>0</v>
      </c>
      <c r="FO186" s="476">
        <v>0</v>
      </c>
      <c r="FP186" s="476">
        <v>0</v>
      </c>
      <c r="FQ186" s="476">
        <v>0</v>
      </c>
      <c r="FR186" s="476">
        <v>0</v>
      </c>
      <c r="FS186" s="476">
        <v>0</v>
      </c>
      <c r="FT186" s="476">
        <v>0</v>
      </c>
      <c r="FU186" s="476">
        <v>0</v>
      </c>
      <c r="FV186" s="476">
        <v>0</v>
      </c>
      <c r="FW186" s="476">
        <v>0</v>
      </c>
      <c r="FX186" s="476">
        <v>0</v>
      </c>
      <c r="FY186" s="476">
        <v>0</v>
      </c>
      <c r="FZ186" s="476">
        <v>0</v>
      </c>
      <c r="GA186" s="476">
        <v>0</v>
      </c>
      <c r="GB186" s="476">
        <v>302551</v>
      </c>
      <c r="GC186" s="476">
        <v>302551</v>
      </c>
      <c r="GD186" s="476">
        <v>29.695</v>
      </c>
      <c r="GE186" s="476">
        <v>0</v>
      </c>
      <c r="GF186" s="476">
        <v>0</v>
      </c>
      <c r="GG186" s="476">
        <v>0</v>
      </c>
      <c r="GH186" s="476">
        <v>0</v>
      </c>
      <c r="GI186" s="476">
        <v>0</v>
      </c>
      <c r="GJ186" s="476">
        <v>0</v>
      </c>
      <c r="GK186" s="476">
        <v>0</v>
      </c>
      <c r="GL186" s="476">
        <v>0</v>
      </c>
      <c r="GM186" s="476">
        <v>0</v>
      </c>
      <c r="GN186" s="476">
        <v>0</v>
      </c>
      <c r="GO186" s="476">
        <v>0</v>
      </c>
      <c r="GP186" s="476">
        <v>0</v>
      </c>
      <c r="GQ186" s="476">
        <v>980450</v>
      </c>
      <c r="GR186" s="476">
        <v>0</v>
      </c>
      <c r="GS186" s="476">
        <v>0</v>
      </c>
      <c r="GT186" s="476">
        <v>0</v>
      </c>
      <c r="GU186" s="476">
        <v>0</v>
      </c>
      <c r="GV186" s="476">
        <v>0</v>
      </c>
      <c r="GW186" s="476">
        <v>0</v>
      </c>
      <c r="GX186" s="476">
        <v>0</v>
      </c>
      <c r="GY186" s="476">
        <v>0</v>
      </c>
      <c r="GZ186" s="476">
        <v>0</v>
      </c>
      <c r="HA186" s="476">
        <v>0</v>
      </c>
      <c r="HB186" s="476">
        <v>323396213</v>
      </c>
      <c r="HC186" s="476">
        <v>4.2206E-2</v>
      </c>
      <c r="HD186" s="476">
        <v>8765</v>
      </c>
      <c r="HE186" s="476">
        <v>0</v>
      </c>
      <c r="HF186" s="476">
        <v>15382</v>
      </c>
      <c r="HG186" s="476">
        <v>0</v>
      </c>
      <c r="HH186" s="476">
        <v>0</v>
      </c>
      <c r="HI186" s="476">
        <v>0</v>
      </c>
      <c r="HJ186" s="476">
        <v>519</v>
      </c>
      <c r="HK186" s="476">
        <v>537</v>
      </c>
      <c r="HL186" s="476">
        <v>22</v>
      </c>
      <c r="HM186" s="476">
        <v>5000</v>
      </c>
      <c r="HN186" s="476">
        <v>0</v>
      </c>
      <c r="HO186" s="476">
        <v>0</v>
      </c>
      <c r="HP186" s="476">
        <v>28560</v>
      </c>
      <c r="HQ186" s="476">
        <v>0</v>
      </c>
      <c r="HR186" s="476">
        <v>0</v>
      </c>
      <c r="HS186" s="476">
        <v>854076</v>
      </c>
      <c r="HT186" s="476">
        <v>18085</v>
      </c>
      <c r="HU186" s="476">
        <v>0</v>
      </c>
      <c r="HV186" s="476">
        <v>0</v>
      </c>
      <c r="HW186" s="476">
        <v>0</v>
      </c>
      <c r="HX186" s="476">
        <v>5</v>
      </c>
      <c r="HY186" s="476">
        <v>10</v>
      </c>
      <c r="HZ186" s="476">
        <v>16</v>
      </c>
      <c r="IA186" s="476">
        <v>10</v>
      </c>
      <c r="IB186" s="476">
        <v>12</v>
      </c>
      <c r="IC186" s="476">
        <v>53</v>
      </c>
      <c r="ID186" s="476">
        <v>0</v>
      </c>
      <c r="IE186" s="476">
        <v>0</v>
      </c>
      <c r="IF186" s="476">
        <v>0</v>
      </c>
      <c r="IG186" s="476">
        <v>0</v>
      </c>
      <c r="IH186" s="476">
        <v>0</v>
      </c>
      <c r="II186" s="476">
        <v>103.85600000000001</v>
      </c>
      <c r="IJ186" s="476">
        <v>2.6670000000000003</v>
      </c>
      <c r="IK186" s="476">
        <v>30.968</v>
      </c>
      <c r="IL186" s="476">
        <v>1</v>
      </c>
      <c r="IM186" s="476">
        <v>0</v>
      </c>
      <c r="IN186" s="476">
        <v>0</v>
      </c>
      <c r="IO186" s="476">
        <v>1</v>
      </c>
      <c r="IP186" s="476">
        <v>134.82400000000001</v>
      </c>
      <c r="IQ186" s="476">
        <v>2.6670000000000003</v>
      </c>
      <c r="IR186" s="476">
        <v>1643</v>
      </c>
      <c r="IS186" s="476">
        <v>8516</v>
      </c>
      <c r="IT186" s="476">
        <v>5000</v>
      </c>
      <c r="IU186" s="476">
        <v>0</v>
      </c>
      <c r="IV186" s="476">
        <v>0</v>
      </c>
      <c r="IW186" s="476">
        <v>6160</v>
      </c>
      <c r="IX186" s="476">
        <v>0</v>
      </c>
      <c r="IY186" s="476">
        <v>0</v>
      </c>
      <c r="IZ186" s="476">
        <v>37077</v>
      </c>
      <c r="JA186" s="476">
        <v>0</v>
      </c>
      <c r="JB186" s="476">
        <v>0</v>
      </c>
      <c r="JC186" s="476">
        <v>0</v>
      </c>
      <c r="JD186" s="476">
        <v>0</v>
      </c>
      <c r="JE186" s="476">
        <v>0</v>
      </c>
      <c r="JF186" s="476">
        <v>0</v>
      </c>
      <c r="JG186" s="476">
        <v>0</v>
      </c>
      <c r="JH186" s="476">
        <v>0</v>
      </c>
      <c r="JI186" s="476">
        <v>0</v>
      </c>
      <c r="JJ186" s="476">
        <v>0</v>
      </c>
      <c r="JK186" s="476">
        <v>0</v>
      </c>
      <c r="JL186" s="476">
        <v>0</v>
      </c>
      <c r="JM186" s="476">
        <v>0</v>
      </c>
      <c r="JN186" s="476">
        <v>32469</v>
      </c>
      <c r="JO186" s="476">
        <v>0</v>
      </c>
      <c r="JP186" s="476">
        <v>10.471</v>
      </c>
      <c r="JQ186" s="476">
        <v>19.224</v>
      </c>
      <c r="JR186" s="476">
        <v>0</v>
      </c>
      <c r="JS186" s="476">
        <v>97332</v>
      </c>
      <c r="JT186" s="476">
        <v>205219</v>
      </c>
      <c r="JU186" s="476">
        <v>0</v>
      </c>
      <c r="JV186" s="476">
        <v>0</v>
      </c>
      <c r="JW186" s="476">
        <v>0</v>
      </c>
      <c r="JX186" s="476">
        <v>0</v>
      </c>
      <c r="JY186" s="476">
        <v>0</v>
      </c>
      <c r="JZ186" s="476">
        <v>0</v>
      </c>
      <c r="KA186" s="476">
        <v>0</v>
      </c>
      <c r="KB186" s="476">
        <v>0</v>
      </c>
      <c r="KC186" s="476">
        <v>0</v>
      </c>
      <c r="KD186" s="476">
        <v>0</v>
      </c>
      <c r="KE186" s="476">
        <v>7262</v>
      </c>
      <c r="KF186" s="476">
        <v>0</v>
      </c>
      <c r="KG186" s="476">
        <v>0</v>
      </c>
      <c r="KH186" s="476">
        <v>980450</v>
      </c>
      <c r="KI186" s="476">
        <v>0</v>
      </c>
      <c r="KJ186" s="476">
        <v>0</v>
      </c>
      <c r="KK186" s="476">
        <v>0</v>
      </c>
      <c r="KL186" s="476">
        <v>0</v>
      </c>
      <c r="KM186" s="476">
        <v>0</v>
      </c>
      <c r="KN186" s="476">
        <v>0</v>
      </c>
    </row>
    <row r="187" spans="1:300" x14ac:dyDescent="0.25">
      <c r="A187" s="476">
        <v>40976</v>
      </c>
      <c r="B187" s="476">
        <v>236802</v>
      </c>
      <c r="C187" s="476">
        <v>9</v>
      </c>
      <c r="D187" s="476">
        <v>2024</v>
      </c>
      <c r="E187" s="476">
        <v>6160</v>
      </c>
      <c r="F187" s="476">
        <v>0</v>
      </c>
      <c r="G187" s="476">
        <v>459.94</v>
      </c>
      <c r="H187" s="476">
        <v>456.73099999999999</v>
      </c>
      <c r="I187" s="476">
        <v>456.73099999999999</v>
      </c>
      <c r="J187" s="476">
        <v>459.94</v>
      </c>
      <c r="K187" s="476">
        <v>0</v>
      </c>
      <c r="L187" s="476">
        <v>6160</v>
      </c>
      <c r="M187" s="476">
        <v>0</v>
      </c>
      <c r="N187" s="476">
        <v>0</v>
      </c>
      <c r="O187" s="476">
        <v>0</v>
      </c>
      <c r="P187" s="476">
        <v>459.94</v>
      </c>
      <c r="Q187" s="476">
        <v>0</v>
      </c>
      <c r="R187" s="476">
        <v>190822</v>
      </c>
      <c r="S187" s="476">
        <v>414.88400000000001</v>
      </c>
      <c r="T187" s="476">
        <v>0</v>
      </c>
      <c r="U187" s="476">
        <v>0</v>
      </c>
      <c r="V187" s="476">
        <v>26.505000000000003</v>
      </c>
      <c r="W187" s="476">
        <v>16327</v>
      </c>
      <c r="X187" s="476">
        <v>16327</v>
      </c>
      <c r="Y187" s="476">
        <v>0</v>
      </c>
      <c r="Z187" s="476">
        <v>0</v>
      </c>
      <c r="AA187" s="476">
        <v>0</v>
      </c>
      <c r="AB187" s="476">
        <v>0</v>
      </c>
      <c r="AC187" s="476">
        <v>0</v>
      </c>
      <c r="AD187" s="476" t="s">
        <v>314</v>
      </c>
      <c r="AE187" s="476">
        <v>0</v>
      </c>
      <c r="AF187" s="476">
        <v>0</v>
      </c>
      <c r="AG187" s="476">
        <v>0</v>
      </c>
      <c r="AH187" s="476">
        <v>0</v>
      </c>
      <c r="AI187" s="476">
        <v>0</v>
      </c>
      <c r="AJ187" s="476">
        <v>6160</v>
      </c>
      <c r="AK187" s="476" t="s">
        <v>651</v>
      </c>
      <c r="AL187" s="476" t="s">
        <v>385</v>
      </c>
      <c r="AM187" s="476">
        <v>0</v>
      </c>
      <c r="AN187" s="476">
        <v>0</v>
      </c>
      <c r="AO187" s="476">
        <v>0</v>
      </c>
      <c r="AP187" s="476">
        <v>0</v>
      </c>
      <c r="AQ187" s="476">
        <v>0</v>
      </c>
      <c r="AR187" s="476">
        <v>0</v>
      </c>
      <c r="AS187" s="476">
        <v>0</v>
      </c>
      <c r="AT187" s="476">
        <v>0</v>
      </c>
      <c r="AU187" s="476">
        <v>0</v>
      </c>
      <c r="AV187" s="476">
        <v>0</v>
      </c>
      <c r="AW187" s="476">
        <v>4290431</v>
      </c>
      <c r="AX187" s="476">
        <v>4213669</v>
      </c>
      <c r="AY187" s="476">
        <v>0</v>
      </c>
      <c r="AZ187" s="476">
        <v>190822</v>
      </c>
      <c r="BA187" s="476">
        <v>0</v>
      </c>
      <c r="BB187" s="476">
        <v>9802</v>
      </c>
      <c r="BC187" s="476">
        <v>9740</v>
      </c>
      <c r="BD187" s="476">
        <v>22.997</v>
      </c>
      <c r="BE187" s="476">
        <v>62</v>
      </c>
      <c r="BF187" s="476">
        <v>3827722</v>
      </c>
      <c r="BG187" s="476">
        <v>0</v>
      </c>
      <c r="BH187" s="476">
        <v>0</v>
      </c>
      <c r="BI187" s="476">
        <v>0</v>
      </c>
      <c r="BJ187" s="476">
        <v>12</v>
      </c>
      <c r="BK187" s="476">
        <v>0</v>
      </c>
      <c r="BL187" s="476">
        <v>0</v>
      </c>
      <c r="BM187" s="476">
        <v>0</v>
      </c>
      <c r="BN187" s="476">
        <v>0</v>
      </c>
      <c r="BO187" s="476">
        <v>0</v>
      </c>
      <c r="BP187" s="476">
        <v>0</v>
      </c>
      <c r="BQ187" s="476">
        <v>700</v>
      </c>
      <c r="BR187" s="476">
        <v>0</v>
      </c>
      <c r="BS187" s="476">
        <v>0</v>
      </c>
      <c r="BT187" s="476">
        <v>0</v>
      </c>
      <c r="BU187" s="476">
        <v>0</v>
      </c>
      <c r="BV187" s="476">
        <v>0</v>
      </c>
      <c r="BW187" s="476">
        <v>0</v>
      </c>
      <c r="BX187" s="476">
        <v>0</v>
      </c>
      <c r="BY187" s="476">
        <v>0</v>
      </c>
      <c r="BZ187" s="476">
        <v>0</v>
      </c>
      <c r="CA187" s="476">
        <v>0</v>
      </c>
      <c r="CB187" s="476">
        <v>0</v>
      </c>
      <c r="CC187" s="476">
        <v>0</v>
      </c>
      <c r="CD187" s="476">
        <v>0</v>
      </c>
      <c r="CE187" s="476">
        <v>0</v>
      </c>
      <c r="CF187" s="476">
        <v>0</v>
      </c>
      <c r="CG187" s="476">
        <v>0</v>
      </c>
      <c r="CH187" s="476">
        <v>77649</v>
      </c>
      <c r="CI187" s="476">
        <v>0</v>
      </c>
      <c r="CJ187" s="476">
        <v>4</v>
      </c>
      <c r="CK187" s="476">
        <v>0</v>
      </c>
      <c r="CL187" s="476">
        <v>0</v>
      </c>
      <c r="CM187" s="476">
        <v>0</v>
      </c>
      <c r="CN187" s="476">
        <v>0</v>
      </c>
      <c r="CO187" s="476">
        <v>1</v>
      </c>
      <c r="CP187" s="476">
        <v>0</v>
      </c>
      <c r="CQ187" s="476">
        <v>0</v>
      </c>
      <c r="CR187" s="476">
        <v>459.94</v>
      </c>
      <c r="CS187" s="476">
        <v>0</v>
      </c>
      <c r="CT187" s="476">
        <v>0</v>
      </c>
      <c r="CU187" s="476">
        <v>0</v>
      </c>
      <c r="CV187" s="476">
        <v>0</v>
      </c>
      <c r="CW187" s="476">
        <v>0</v>
      </c>
      <c r="CX187" s="476">
        <v>0</v>
      </c>
      <c r="CY187" s="476">
        <v>0</v>
      </c>
      <c r="CZ187" s="476">
        <v>0</v>
      </c>
      <c r="DA187" s="476">
        <v>0</v>
      </c>
      <c r="DB187" s="476">
        <v>2813399</v>
      </c>
      <c r="DC187" s="476">
        <v>0</v>
      </c>
      <c r="DD187" s="476">
        <v>0</v>
      </c>
      <c r="DE187" s="476">
        <v>166393</v>
      </c>
      <c r="DF187" s="476">
        <v>166393</v>
      </c>
      <c r="DG187" s="476">
        <v>27.013000000000002</v>
      </c>
      <c r="DH187" s="476">
        <v>0</v>
      </c>
      <c r="DI187" s="476">
        <v>0</v>
      </c>
      <c r="DJ187" s="476">
        <v>0</v>
      </c>
      <c r="DK187" s="476">
        <v>2817</v>
      </c>
      <c r="DL187" s="476">
        <v>0</v>
      </c>
      <c r="DM187" s="476">
        <v>239839</v>
      </c>
      <c r="DN187" s="476">
        <v>825</v>
      </c>
      <c r="DO187" s="476">
        <v>0</v>
      </c>
      <c r="DP187" s="476">
        <v>0</v>
      </c>
      <c r="DQ187" s="476">
        <v>0</v>
      </c>
      <c r="DR187" s="476">
        <v>0</v>
      </c>
      <c r="DS187" s="476">
        <v>0</v>
      </c>
      <c r="DT187" s="476">
        <v>0</v>
      </c>
      <c r="DU187" s="476">
        <v>0</v>
      </c>
      <c r="DV187" s="476">
        <v>0</v>
      </c>
      <c r="DW187" s="476">
        <v>0</v>
      </c>
      <c r="DX187" s="476">
        <v>0</v>
      </c>
      <c r="DY187" s="476">
        <v>0</v>
      </c>
      <c r="DZ187" s="476">
        <v>0</v>
      </c>
      <c r="EA187" s="476">
        <v>0</v>
      </c>
      <c r="EB187" s="476">
        <v>0</v>
      </c>
      <c r="EC187" s="476">
        <v>23.192</v>
      </c>
      <c r="ED187" s="476">
        <v>164288</v>
      </c>
      <c r="EE187" s="476">
        <v>0</v>
      </c>
      <c r="EF187" s="476">
        <v>0</v>
      </c>
      <c r="EG187" s="476">
        <v>0</v>
      </c>
      <c r="EH187" s="476">
        <v>76376</v>
      </c>
      <c r="EI187" s="476">
        <v>0</v>
      </c>
      <c r="EJ187" s="476">
        <v>0</v>
      </c>
      <c r="EK187" s="476">
        <v>1.8230000000000002</v>
      </c>
      <c r="EL187" s="476">
        <v>0</v>
      </c>
      <c r="EM187" s="476">
        <v>0</v>
      </c>
      <c r="EN187" s="476">
        <v>1.3860000000000001</v>
      </c>
      <c r="EO187" s="476">
        <v>0</v>
      </c>
      <c r="EP187" s="476">
        <v>0</v>
      </c>
      <c r="EQ187" s="476">
        <v>3.2090000000000001</v>
      </c>
      <c r="ER187" s="476">
        <v>0</v>
      </c>
      <c r="ES187" s="476">
        <v>12.399000000000001</v>
      </c>
      <c r="ET187" s="476">
        <v>0</v>
      </c>
      <c r="EU187" s="476">
        <v>0</v>
      </c>
      <c r="EV187" s="476">
        <v>0</v>
      </c>
      <c r="EW187" s="476">
        <v>0</v>
      </c>
      <c r="EX187" s="476">
        <v>0</v>
      </c>
      <c r="EY187" s="476">
        <v>0</v>
      </c>
      <c r="EZ187" s="476">
        <v>3636900</v>
      </c>
      <c r="FA187" s="476">
        <v>0</v>
      </c>
      <c r="FB187" s="476">
        <v>3826835</v>
      </c>
      <c r="FC187" s="476">
        <v>0</v>
      </c>
      <c r="FD187" s="476">
        <v>0</v>
      </c>
      <c r="FE187" s="476">
        <v>494229</v>
      </c>
      <c r="FF187" s="476">
        <v>82540</v>
      </c>
      <c r="FG187" s="476">
        <v>6.3017999999999991E-2</v>
      </c>
      <c r="FH187" s="476">
        <v>2.6953999999999999E-2</v>
      </c>
      <c r="FI187" s="476">
        <v>0</v>
      </c>
      <c r="FJ187" s="476">
        <v>0</v>
      </c>
      <c r="FK187" s="476">
        <v>621.39800000000002</v>
      </c>
      <c r="FL187" s="476">
        <v>4481253</v>
      </c>
      <c r="FM187" s="476">
        <v>0</v>
      </c>
      <c r="FN187" s="476">
        <v>0</v>
      </c>
      <c r="FO187" s="476">
        <v>0</v>
      </c>
      <c r="FP187" s="476">
        <v>0</v>
      </c>
      <c r="FQ187" s="476">
        <v>0</v>
      </c>
      <c r="FR187" s="476">
        <v>0</v>
      </c>
      <c r="FS187" s="476">
        <v>0</v>
      </c>
      <c r="FT187" s="476">
        <v>0</v>
      </c>
      <c r="FU187" s="476">
        <v>0</v>
      </c>
      <c r="FV187" s="476">
        <v>0</v>
      </c>
      <c r="FW187" s="476">
        <v>0</v>
      </c>
      <c r="FX187" s="476">
        <v>0</v>
      </c>
      <c r="FY187" s="476">
        <v>0</v>
      </c>
      <c r="FZ187" s="476">
        <v>0</v>
      </c>
      <c r="GA187" s="476">
        <v>0</v>
      </c>
      <c r="GB187" s="476">
        <v>0</v>
      </c>
      <c r="GC187" s="476">
        <v>0</v>
      </c>
      <c r="GD187" s="476">
        <v>0</v>
      </c>
      <c r="GE187" s="476">
        <v>0</v>
      </c>
      <c r="GF187" s="476">
        <v>0</v>
      </c>
      <c r="GG187" s="476">
        <v>0</v>
      </c>
      <c r="GH187" s="476">
        <v>0</v>
      </c>
      <c r="GI187" s="476">
        <v>0</v>
      </c>
      <c r="GJ187" s="476">
        <v>0</v>
      </c>
      <c r="GK187" s="476">
        <v>0</v>
      </c>
      <c r="GL187" s="476">
        <v>0</v>
      </c>
      <c r="GM187" s="476">
        <v>0</v>
      </c>
      <c r="GN187" s="476">
        <v>0</v>
      </c>
      <c r="GO187" s="476">
        <v>0</v>
      </c>
      <c r="GP187" s="476">
        <v>0</v>
      </c>
      <c r="GQ187" s="476">
        <v>4212782</v>
      </c>
      <c r="GR187" s="476">
        <v>0</v>
      </c>
      <c r="GS187" s="476">
        <v>0</v>
      </c>
      <c r="GT187" s="476">
        <v>0</v>
      </c>
      <c r="GU187" s="476">
        <v>0</v>
      </c>
      <c r="GV187" s="476">
        <v>0</v>
      </c>
      <c r="GW187" s="476">
        <v>0</v>
      </c>
      <c r="GX187" s="476">
        <v>0</v>
      </c>
      <c r="GY187" s="476">
        <v>0</v>
      </c>
      <c r="GZ187" s="476">
        <v>0</v>
      </c>
      <c r="HA187" s="476">
        <v>0</v>
      </c>
      <c r="HB187" s="476">
        <v>323396213</v>
      </c>
      <c r="HC187" s="476">
        <v>4.2206E-2</v>
      </c>
      <c r="HD187" s="476">
        <v>77649</v>
      </c>
      <c r="HE187" s="476">
        <v>0</v>
      </c>
      <c r="HF187" s="476">
        <v>503318</v>
      </c>
      <c r="HG187" s="476">
        <v>24639</v>
      </c>
      <c r="HH187" s="476">
        <v>48581</v>
      </c>
      <c r="HI187" s="476">
        <v>0</v>
      </c>
      <c r="HJ187" s="476">
        <v>4599</v>
      </c>
      <c r="HK187" s="476">
        <v>0</v>
      </c>
      <c r="HL187" s="476">
        <v>0</v>
      </c>
      <c r="HM187" s="476">
        <v>0</v>
      </c>
      <c r="HN187" s="476">
        <v>0</v>
      </c>
      <c r="HO187" s="476">
        <v>0</v>
      </c>
      <c r="HP187" s="476">
        <v>0</v>
      </c>
      <c r="HQ187" s="476">
        <v>0</v>
      </c>
      <c r="HR187" s="476">
        <v>0</v>
      </c>
      <c r="HS187" s="476">
        <v>3636013</v>
      </c>
      <c r="HT187" s="476">
        <v>82540</v>
      </c>
      <c r="HU187" s="476">
        <v>0</v>
      </c>
      <c r="HV187" s="476">
        <v>0</v>
      </c>
      <c r="HW187" s="476">
        <v>0</v>
      </c>
      <c r="HX187" s="476">
        <v>31</v>
      </c>
      <c r="HY187" s="476">
        <v>29</v>
      </c>
      <c r="HZ187" s="476">
        <v>9</v>
      </c>
      <c r="IA187" s="476">
        <v>30</v>
      </c>
      <c r="IB187" s="476">
        <v>11</v>
      </c>
      <c r="IC187" s="476">
        <v>110</v>
      </c>
      <c r="ID187" s="476">
        <v>0</v>
      </c>
      <c r="IE187" s="476">
        <v>0</v>
      </c>
      <c r="IF187" s="476">
        <v>0</v>
      </c>
      <c r="IG187" s="476">
        <v>40</v>
      </c>
      <c r="IH187" s="476">
        <v>78.867000000000004</v>
      </c>
      <c r="II187" s="476">
        <v>0</v>
      </c>
      <c r="IJ187" s="476">
        <v>26.505000000000003</v>
      </c>
      <c r="IK187" s="476">
        <v>0</v>
      </c>
      <c r="IL187" s="476">
        <v>0</v>
      </c>
      <c r="IM187" s="476">
        <v>0</v>
      </c>
      <c r="IN187" s="476">
        <v>0</v>
      </c>
      <c r="IO187" s="476">
        <v>0</v>
      </c>
      <c r="IP187" s="476">
        <v>0</v>
      </c>
      <c r="IQ187" s="476">
        <v>26.505000000000003</v>
      </c>
      <c r="IR187" s="476">
        <v>16327</v>
      </c>
      <c r="IS187" s="476">
        <v>0</v>
      </c>
      <c r="IT187" s="476">
        <v>0</v>
      </c>
      <c r="IU187" s="476">
        <v>0</v>
      </c>
      <c r="IV187" s="476">
        <v>0</v>
      </c>
      <c r="IW187" s="476">
        <v>6160</v>
      </c>
      <c r="IX187" s="476">
        <v>0</v>
      </c>
      <c r="IY187" s="476">
        <v>0</v>
      </c>
      <c r="IZ187" s="476">
        <v>0</v>
      </c>
      <c r="JA187" s="476">
        <v>0</v>
      </c>
      <c r="JB187" s="476">
        <v>0</v>
      </c>
      <c r="JC187" s="476">
        <v>0</v>
      </c>
      <c r="JD187" s="476">
        <v>0</v>
      </c>
      <c r="JE187" s="476">
        <v>0</v>
      </c>
      <c r="JF187" s="476">
        <v>0</v>
      </c>
      <c r="JG187" s="476">
        <v>0</v>
      </c>
      <c r="JH187" s="476">
        <v>0</v>
      </c>
      <c r="JI187" s="476">
        <v>0</v>
      </c>
      <c r="JJ187" s="476">
        <v>0</v>
      </c>
      <c r="JK187" s="476">
        <v>0</v>
      </c>
      <c r="JL187" s="476">
        <v>0</v>
      </c>
      <c r="JM187" s="476">
        <v>0</v>
      </c>
      <c r="JN187" s="476">
        <v>32469</v>
      </c>
      <c r="JO187" s="476">
        <v>0</v>
      </c>
      <c r="JP187" s="476">
        <v>0</v>
      </c>
      <c r="JQ187" s="476">
        <v>0</v>
      </c>
      <c r="JR187" s="476">
        <v>0</v>
      </c>
      <c r="JS187" s="476">
        <v>0</v>
      </c>
      <c r="JT187" s="476">
        <v>0</v>
      </c>
      <c r="JU187" s="476">
        <v>9916</v>
      </c>
      <c r="JV187" s="476">
        <v>0</v>
      </c>
      <c r="JW187" s="476">
        <v>0</v>
      </c>
      <c r="JX187" s="476">
        <v>0</v>
      </c>
      <c r="JY187" s="476">
        <v>0</v>
      </c>
      <c r="JZ187" s="476">
        <v>0</v>
      </c>
      <c r="KA187" s="476">
        <v>0</v>
      </c>
      <c r="KB187" s="476">
        <v>0</v>
      </c>
      <c r="KC187" s="476">
        <v>0</v>
      </c>
      <c r="KD187" s="476">
        <v>9917</v>
      </c>
      <c r="KE187" s="476">
        <v>7262</v>
      </c>
      <c r="KF187" s="476">
        <v>0</v>
      </c>
      <c r="KG187" s="476">
        <v>0</v>
      </c>
      <c r="KH187" s="476">
        <v>4212782</v>
      </c>
      <c r="KI187" s="476">
        <v>0</v>
      </c>
      <c r="KJ187" s="476">
        <v>15</v>
      </c>
      <c r="KK187" s="476">
        <v>25</v>
      </c>
      <c r="KL187" s="476">
        <v>9240</v>
      </c>
      <c r="KM187" s="476">
        <v>15400</v>
      </c>
      <c r="KN187" s="476">
        <v>0</v>
      </c>
    </row>
    <row r="188" spans="1:300" x14ac:dyDescent="0.25">
      <c r="A188" s="476">
        <v>40976</v>
      </c>
      <c r="B188" s="476">
        <v>240801</v>
      </c>
      <c r="C188" s="476">
        <v>9</v>
      </c>
      <c r="D188" s="476">
        <v>2024</v>
      </c>
      <c r="E188" s="476">
        <v>6160</v>
      </c>
      <c r="F188" s="476">
        <v>0</v>
      </c>
      <c r="G188" s="476">
        <v>180.697</v>
      </c>
      <c r="H188" s="476">
        <v>170.87200000000001</v>
      </c>
      <c r="I188" s="476">
        <v>170.87200000000001</v>
      </c>
      <c r="J188" s="476">
        <v>180.697</v>
      </c>
      <c r="K188" s="476">
        <v>0</v>
      </c>
      <c r="L188" s="476">
        <v>6160</v>
      </c>
      <c r="M188" s="476">
        <v>0</v>
      </c>
      <c r="N188" s="476">
        <v>0</v>
      </c>
      <c r="O188" s="476">
        <v>0</v>
      </c>
      <c r="P188" s="476">
        <v>180.697</v>
      </c>
      <c r="Q188" s="476">
        <v>0</v>
      </c>
      <c r="R188" s="476">
        <v>74968</v>
      </c>
      <c r="S188" s="476">
        <v>414.88400000000001</v>
      </c>
      <c r="T188" s="476">
        <v>0</v>
      </c>
      <c r="U188" s="476">
        <v>0</v>
      </c>
      <c r="V188" s="476">
        <v>98.688000000000002</v>
      </c>
      <c r="W188" s="476">
        <v>60790</v>
      </c>
      <c r="X188" s="476">
        <v>60790</v>
      </c>
      <c r="Y188" s="476">
        <v>0</v>
      </c>
      <c r="Z188" s="476">
        <v>0</v>
      </c>
      <c r="AA188" s="476">
        <v>0</v>
      </c>
      <c r="AB188" s="476">
        <v>0</v>
      </c>
      <c r="AC188" s="476">
        <v>0</v>
      </c>
      <c r="AD188" s="476" t="s">
        <v>314</v>
      </c>
      <c r="AE188" s="476">
        <v>0</v>
      </c>
      <c r="AF188" s="476">
        <v>0</v>
      </c>
      <c r="AG188" s="476">
        <v>0</v>
      </c>
      <c r="AH188" s="476">
        <v>0</v>
      </c>
      <c r="AI188" s="476">
        <v>0</v>
      </c>
      <c r="AJ188" s="476">
        <v>6160</v>
      </c>
      <c r="AK188" s="476" t="s">
        <v>651</v>
      </c>
      <c r="AL188" s="476" t="s">
        <v>464</v>
      </c>
      <c r="AM188" s="476">
        <v>0</v>
      </c>
      <c r="AN188" s="476">
        <v>0</v>
      </c>
      <c r="AO188" s="476">
        <v>0</v>
      </c>
      <c r="AP188" s="476">
        <v>0</v>
      </c>
      <c r="AQ188" s="476">
        <v>0</v>
      </c>
      <c r="AR188" s="476">
        <v>0</v>
      </c>
      <c r="AS188" s="476">
        <v>0</v>
      </c>
      <c r="AT188" s="476">
        <v>0</v>
      </c>
      <c r="AU188" s="476">
        <v>0</v>
      </c>
      <c r="AV188" s="476">
        <v>0</v>
      </c>
      <c r="AW188" s="476">
        <v>2191961</v>
      </c>
      <c r="AX188" s="476">
        <v>2162031</v>
      </c>
      <c r="AY188" s="476">
        <v>0</v>
      </c>
      <c r="AZ188" s="476">
        <v>74968</v>
      </c>
      <c r="BA188" s="476">
        <v>17.917000000000002</v>
      </c>
      <c r="BB188" s="476">
        <v>0</v>
      </c>
      <c r="BC188" s="476">
        <v>0</v>
      </c>
      <c r="BD188" s="476">
        <v>0</v>
      </c>
      <c r="BE188" s="476">
        <v>0</v>
      </c>
      <c r="BF188" s="476">
        <v>1882558</v>
      </c>
      <c r="BG188" s="476">
        <v>0</v>
      </c>
      <c r="BH188" s="476">
        <v>0</v>
      </c>
      <c r="BI188" s="476">
        <v>0</v>
      </c>
      <c r="BJ188" s="476">
        <v>12</v>
      </c>
      <c r="BK188" s="476">
        <v>0</v>
      </c>
      <c r="BL188" s="476">
        <v>0</v>
      </c>
      <c r="BM188" s="476">
        <v>0</v>
      </c>
      <c r="BN188" s="476">
        <v>0</v>
      </c>
      <c r="BO188" s="476">
        <v>0</v>
      </c>
      <c r="BP188" s="476">
        <v>0</v>
      </c>
      <c r="BQ188" s="476">
        <v>744</v>
      </c>
      <c r="BR188" s="476">
        <v>0</v>
      </c>
      <c r="BS188" s="476">
        <v>0</v>
      </c>
      <c r="BT188" s="476">
        <v>0</v>
      </c>
      <c r="BU188" s="476">
        <v>0</v>
      </c>
      <c r="BV188" s="476">
        <v>0</v>
      </c>
      <c r="BW188" s="476">
        <v>0</v>
      </c>
      <c r="BX188" s="476">
        <v>0</v>
      </c>
      <c r="BY188" s="476">
        <v>0</v>
      </c>
      <c r="BZ188" s="476">
        <v>0</v>
      </c>
      <c r="CA188" s="476">
        <v>0</v>
      </c>
      <c r="CB188" s="476">
        <v>0</v>
      </c>
      <c r="CC188" s="476">
        <v>0</v>
      </c>
      <c r="CD188" s="476">
        <v>0</v>
      </c>
      <c r="CE188" s="476">
        <v>0</v>
      </c>
      <c r="CF188" s="476">
        <v>0</v>
      </c>
      <c r="CG188" s="476">
        <v>0</v>
      </c>
      <c r="CH188" s="476">
        <v>30506</v>
      </c>
      <c r="CI188" s="476">
        <v>0</v>
      </c>
      <c r="CJ188" s="476">
        <v>4</v>
      </c>
      <c r="CK188" s="476">
        <v>0</v>
      </c>
      <c r="CL188" s="476">
        <v>0</v>
      </c>
      <c r="CM188" s="476">
        <v>0</v>
      </c>
      <c r="CN188" s="476">
        <v>0</v>
      </c>
      <c r="CO188" s="476">
        <v>1</v>
      </c>
      <c r="CP188" s="476">
        <v>1.3080000000000001</v>
      </c>
      <c r="CQ188" s="476">
        <v>11.833</v>
      </c>
      <c r="CR188" s="476">
        <v>180.697</v>
      </c>
      <c r="CS188" s="476">
        <v>0</v>
      </c>
      <c r="CT188" s="476">
        <v>0</v>
      </c>
      <c r="CU188" s="476">
        <v>0</v>
      </c>
      <c r="CV188" s="476">
        <v>0</v>
      </c>
      <c r="CW188" s="476">
        <v>0</v>
      </c>
      <c r="CX188" s="476">
        <v>0</v>
      </c>
      <c r="CY188" s="476">
        <v>0</v>
      </c>
      <c r="CZ188" s="476">
        <v>0</v>
      </c>
      <c r="DA188" s="476">
        <v>0</v>
      </c>
      <c r="DB188" s="476">
        <v>1052548</v>
      </c>
      <c r="DC188" s="476">
        <v>0</v>
      </c>
      <c r="DD188" s="476">
        <v>0</v>
      </c>
      <c r="DE188" s="476">
        <v>322161</v>
      </c>
      <c r="DF188" s="476">
        <v>341579</v>
      </c>
      <c r="DG188" s="476">
        <v>52.300000000000004</v>
      </c>
      <c r="DH188" s="476">
        <v>0</v>
      </c>
      <c r="DI188" s="476">
        <v>19418</v>
      </c>
      <c r="DJ188" s="476">
        <v>0</v>
      </c>
      <c r="DK188" s="476">
        <v>3521</v>
      </c>
      <c r="DL188" s="476">
        <v>0</v>
      </c>
      <c r="DM188" s="476">
        <v>167519</v>
      </c>
      <c r="DN188" s="476">
        <v>576</v>
      </c>
      <c r="DO188" s="476">
        <v>0</v>
      </c>
      <c r="DP188" s="476">
        <v>0</v>
      </c>
      <c r="DQ188" s="476">
        <v>0</v>
      </c>
      <c r="DR188" s="476">
        <v>0</v>
      </c>
      <c r="DS188" s="476">
        <v>0</v>
      </c>
      <c r="DT188" s="476">
        <v>0</v>
      </c>
      <c r="DU188" s="476">
        <v>0</v>
      </c>
      <c r="DV188" s="476">
        <v>0</v>
      </c>
      <c r="DW188" s="476">
        <v>0</v>
      </c>
      <c r="DX188" s="476">
        <v>0</v>
      </c>
      <c r="DY188" s="476">
        <v>0</v>
      </c>
      <c r="DZ188" s="476">
        <v>0</v>
      </c>
      <c r="EA188" s="476">
        <v>0.13</v>
      </c>
      <c r="EB188" s="476">
        <v>0</v>
      </c>
      <c r="EC188" s="476">
        <v>16.731999999999999</v>
      </c>
      <c r="ED188" s="476">
        <v>118527</v>
      </c>
      <c r="EE188" s="476">
        <v>0</v>
      </c>
      <c r="EF188" s="476">
        <v>0</v>
      </c>
      <c r="EG188" s="476">
        <v>0</v>
      </c>
      <c r="EH188" s="476">
        <v>49568</v>
      </c>
      <c r="EI188" s="476">
        <v>0</v>
      </c>
      <c r="EJ188" s="476">
        <v>0</v>
      </c>
      <c r="EK188" s="476">
        <v>1.98</v>
      </c>
      <c r="EL188" s="476">
        <v>0</v>
      </c>
      <c r="EM188" s="476">
        <v>0.20400000000000001</v>
      </c>
      <c r="EN188" s="476">
        <v>0.16900000000000001</v>
      </c>
      <c r="EO188" s="476">
        <v>0</v>
      </c>
      <c r="EP188" s="476">
        <v>0</v>
      </c>
      <c r="EQ188" s="476">
        <v>2.4830000000000001</v>
      </c>
      <c r="ER188" s="476">
        <v>0</v>
      </c>
      <c r="ES188" s="476">
        <v>8.0470000000000006</v>
      </c>
      <c r="ET188" s="476">
        <v>0</v>
      </c>
      <c r="EU188" s="476">
        <v>0</v>
      </c>
      <c r="EV188" s="476">
        <v>0</v>
      </c>
      <c r="EW188" s="476">
        <v>0</v>
      </c>
      <c r="EX188" s="476">
        <v>0</v>
      </c>
      <c r="EY188" s="476">
        <v>0</v>
      </c>
      <c r="EZ188" s="476">
        <v>1878363</v>
      </c>
      <c r="FA188" s="476">
        <v>0</v>
      </c>
      <c r="FB188" s="476">
        <v>1952755</v>
      </c>
      <c r="FC188" s="476">
        <v>0</v>
      </c>
      <c r="FD188" s="476">
        <v>0</v>
      </c>
      <c r="FE188" s="476">
        <v>243073</v>
      </c>
      <c r="FF188" s="476">
        <v>40595</v>
      </c>
      <c r="FG188" s="476">
        <v>6.3017999999999991E-2</v>
      </c>
      <c r="FH188" s="476">
        <v>2.6953999999999999E-2</v>
      </c>
      <c r="FI188" s="476">
        <v>0</v>
      </c>
      <c r="FJ188" s="476">
        <v>0</v>
      </c>
      <c r="FK188" s="476">
        <v>305.61700000000002</v>
      </c>
      <c r="FL188" s="476">
        <v>2266929</v>
      </c>
      <c r="FM188" s="476">
        <v>0</v>
      </c>
      <c r="FN188" s="476">
        <v>0</v>
      </c>
      <c r="FO188" s="476">
        <v>0</v>
      </c>
      <c r="FP188" s="476">
        <v>0</v>
      </c>
      <c r="FQ188" s="476">
        <v>0</v>
      </c>
      <c r="FR188" s="476">
        <v>0</v>
      </c>
      <c r="FS188" s="476">
        <v>0</v>
      </c>
      <c r="FT188" s="476">
        <v>0</v>
      </c>
      <c r="FU188" s="476">
        <v>0</v>
      </c>
      <c r="FV188" s="476">
        <v>0</v>
      </c>
      <c r="FW188" s="476">
        <v>0</v>
      </c>
      <c r="FX188" s="476">
        <v>0</v>
      </c>
      <c r="FY188" s="476">
        <v>0</v>
      </c>
      <c r="FZ188" s="476">
        <v>0</v>
      </c>
      <c r="GA188" s="476">
        <v>0</v>
      </c>
      <c r="GB188" s="476">
        <v>69438</v>
      </c>
      <c r="GC188" s="476">
        <v>69438</v>
      </c>
      <c r="GD188" s="476">
        <v>7.3420000000000005</v>
      </c>
      <c r="GE188" s="476">
        <v>0</v>
      </c>
      <c r="GF188" s="476">
        <v>0</v>
      </c>
      <c r="GG188" s="476">
        <v>0</v>
      </c>
      <c r="GH188" s="476">
        <v>0</v>
      </c>
      <c r="GI188" s="476">
        <v>0</v>
      </c>
      <c r="GJ188" s="476">
        <v>0</v>
      </c>
      <c r="GK188" s="476">
        <v>0</v>
      </c>
      <c r="GL188" s="476">
        <v>0</v>
      </c>
      <c r="GM188" s="476">
        <v>0</v>
      </c>
      <c r="GN188" s="476">
        <v>0</v>
      </c>
      <c r="GO188" s="476">
        <v>0</v>
      </c>
      <c r="GP188" s="476">
        <v>0</v>
      </c>
      <c r="GQ188" s="476">
        <v>2161455</v>
      </c>
      <c r="GR188" s="476">
        <v>0</v>
      </c>
      <c r="GS188" s="476">
        <v>0</v>
      </c>
      <c r="GT188" s="476">
        <v>0</v>
      </c>
      <c r="GU188" s="476">
        <v>0</v>
      </c>
      <c r="GV188" s="476">
        <v>0</v>
      </c>
      <c r="GW188" s="476">
        <v>0</v>
      </c>
      <c r="GX188" s="476">
        <v>0</v>
      </c>
      <c r="GY188" s="476">
        <v>0</v>
      </c>
      <c r="GZ188" s="476">
        <v>0</v>
      </c>
      <c r="HA188" s="476">
        <v>0</v>
      </c>
      <c r="HB188" s="476">
        <v>323396213</v>
      </c>
      <c r="HC188" s="476">
        <v>4.2206E-2</v>
      </c>
      <c r="HD188" s="476">
        <v>30506</v>
      </c>
      <c r="HE188" s="476">
        <v>0</v>
      </c>
      <c r="HF188" s="476">
        <v>188301</v>
      </c>
      <c r="HG188" s="476">
        <v>0</v>
      </c>
      <c r="HH188" s="476">
        <v>0</v>
      </c>
      <c r="HI188" s="476">
        <v>0</v>
      </c>
      <c r="HJ188" s="476">
        <v>1807</v>
      </c>
      <c r="HK188" s="476">
        <v>1212</v>
      </c>
      <c r="HL188" s="476">
        <v>860</v>
      </c>
      <c r="HM188" s="476">
        <v>0</v>
      </c>
      <c r="HN188" s="476">
        <v>0</v>
      </c>
      <c r="HO188" s="476">
        <v>0</v>
      </c>
      <c r="HP188" s="476">
        <v>68701</v>
      </c>
      <c r="HQ188" s="476">
        <v>0</v>
      </c>
      <c r="HR188" s="476">
        <v>0</v>
      </c>
      <c r="HS188" s="476">
        <v>1877787</v>
      </c>
      <c r="HT188" s="476">
        <v>40595</v>
      </c>
      <c r="HU188" s="476">
        <v>0</v>
      </c>
      <c r="HV188" s="476">
        <v>0</v>
      </c>
      <c r="HW188" s="476">
        <v>0</v>
      </c>
      <c r="HX188" s="476">
        <v>18</v>
      </c>
      <c r="HY188" s="476">
        <v>8</v>
      </c>
      <c r="HZ188" s="476">
        <v>28</v>
      </c>
      <c r="IA188" s="476">
        <v>64</v>
      </c>
      <c r="IB188" s="476">
        <v>82</v>
      </c>
      <c r="IC188" s="476">
        <v>200</v>
      </c>
      <c r="ID188" s="476">
        <v>0</v>
      </c>
      <c r="IE188" s="476">
        <v>0</v>
      </c>
      <c r="IF188" s="476">
        <v>0</v>
      </c>
      <c r="IG188" s="476">
        <v>0</v>
      </c>
      <c r="IH188" s="476">
        <v>0</v>
      </c>
      <c r="II188" s="476">
        <v>249.82300000000001</v>
      </c>
      <c r="IJ188" s="476">
        <v>98.688000000000002</v>
      </c>
      <c r="IK188" s="476">
        <v>0</v>
      </c>
      <c r="IL188" s="476">
        <v>0</v>
      </c>
      <c r="IM188" s="476">
        <v>0</v>
      </c>
      <c r="IN188" s="476">
        <v>0</v>
      </c>
      <c r="IO188" s="476">
        <v>0</v>
      </c>
      <c r="IP188" s="476">
        <v>249.82300000000001</v>
      </c>
      <c r="IQ188" s="476">
        <v>98.688000000000002</v>
      </c>
      <c r="IR188" s="476">
        <v>60790</v>
      </c>
      <c r="IS188" s="476">
        <v>0</v>
      </c>
      <c r="IT188" s="476">
        <v>0</v>
      </c>
      <c r="IU188" s="476">
        <v>0</v>
      </c>
      <c r="IV188" s="476">
        <v>0</v>
      </c>
      <c r="IW188" s="476">
        <v>6160</v>
      </c>
      <c r="IX188" s="476">
        <v>0</v>
      </c>
      <c r="IY188" s="476">
        <v>0</v>
      </c>
      <c r="IZ188" s="476">
        <v>68701</v>
      </c>
      <c r="JA188" s="476">
        <v>0</v>
      </c>
      <c r="JB188" s="476">
        <v>0</v>
      </c>
      <c r="JC188" s="476">
        <v>0</v>
      </c>
      <c r="JD188" s="476">
        <v>0</v>
      </c>
      <c r="JE188" s="476">
        <v>0</v>
      </c>
      <c r="JF188" s="476">
        <v>0</v>
      </c>
      <c r="JG188" s="476">
        <v>0</v>
      </c>
      <c r="JH188" s="476">
        <v>0</v>
      </c>
      <c r="JI188" s="476">
        <v>0</v>
      </c>
      <c r="JJ188" s="476">
        <v>0</v>
      </c>
      <c r="JK188" s="476">
        <v>0</v>
      </c>
      <c r="JL188" s="476">
        <v>0</v>
      </c>
      <c r="JM188" s="476">
        <v>0</v>
      </c>
      <c r="JN188" s="476">
        <v>32469</v>
      </c>
      <c r="JO188" s="476">
        <v>0</v>
      </c>
      <c r="JP188" s="476">
        <v>6.4790000000000001</v>
      </c>
      <c r="JQ188" s="476">
        <v>0.86299999999999999</v>
      </c>
      <c r="JR188" s="476">
        <v>0</v>
      </c>
      <c r="JS188" s="476">
        <v>60225</v>
      </c>
      <c r="JT188" s="476">
        <v>9213</v>
      </c>
      <c r="JU188" s="476">
        <v>0</v>
      </c>
      <c r="JV188" s="476">
        <v>0</v>
      </c>
      <c r="JW188" s="476">
        <v>0</v>
      </c>
      <c r="JX188" s="476">
        <v>0</v>
      </c>
      <c r="JY188" s="476">
        <v>0</v>
      </c>
      <c r="JZ188" s="476">
        <v>0</v>
      </c>
      <c r="KA188" s="476">
        <v>0</v>
      </c>
      <c r="KB188" s="476">
        <v>0</v>
      </c>
      <c r="KC188" s="476">
        <v>0</v>
      </c>
      <c r="KD188" s="476">
        <v>0</v>
      </c>
      <c r="KE188" s="476">
        <v>7262</v>
      </c>
      <c r="KF188" s="476">
        <v>0</v>
      </c>
      <c r="KG188" s="476">
        <v>0</v>
      </c>
      <c r="KH188" s="476">
        <v>2161455</v>
      </c>
      <c r="KI188" s="476">
        <v>0</v>
      </c>
      <c r="KJ188" s="476">
        <v>0</v>
      </c>
      <c r="KK188" s="476">
        <v>0</v>
      </c>
      <c r="KL188" s="476">
        <v>0</v>
      </c>
      <c r="KM188" s="476">
        <v>0</v>
      </c>
      <c r="KN188" s="476">
        <v>0</v>
      </c>
    </row>
    <row r="189" spans="1:300" x14ac:dyDescent="0.25">
      <c r="A189" s="476">
        <v>40976</v>
      </c>
      <c r="B189" s="476">
        <v>246801</v>
      </c>
      <c r="C189" s="476">
        <v>9</v>
      </c>
      <c r="D189" s="476">
        <v>2024</v>
      </c>
      <c r="E189" s="476">
        <v>6160</v>
      </c>
      <c r="F189" s="476">
        <v>0</v>
      </c>
      <c r="G189" s="476">
        <v>1611.67</v>
      </c>
      <c r="H189" s="476">
        <v>1566.4280000000001</v>
      </c>
      <c r="I189" s="476">
        <v>1566.4280000000001</v>
      </c>
      <c r="J189" s="476">
        <v>1611.67</v>
      </c>
      <c r="K189" s="476">
        <v>0</v>
      </c>
      <c r="L189" s="476">
        <v>6160</v>
      </c>
      <c r="M189" s="476">
        <v>0</v>
      </c>
      <c r="N189" s="476">
        <v>0</v>
      </c>
      <c r="O189" s="476">
        <v>0</v>
      </c>
      <c r="P189" s="476">
        <v>1609.6120000000001</v>
      </c>
      <c r="Q189" s="476">
        <v>0</v>
      </c>
      <c r="R189" s="476">
        <v>667802</v>
      </c>
      <c r="S189" s="476">
        <v>414.88400000000001</v>
      </c>
      <c r="T189" s="476">
        <v>0</v>
      </c>
      <c r="U189" s="476">
        <v>0</v>
      </c>
      <c r="V189" s="476">
        <v>182.99</v>
      </c>
      <c r="W189" s="476">
        <v>112719</v>
      </c>
      <c r="X189" s="476">
        <v>112719</v>
      </c>
      <c r="Y189" s="476">
        <v>0</v>
      </c>
      <c r="Z189" s="476">
        <v>0</v>
      </c>
      <c r="AA189" s="476">
        <v>0</v>
      </c>
      <c r="AB189" s="476">
        <v>0</v>
      </c>
      <c r="AC189" s="476">
        <v>0</v>
      </c>
      <c r="AD189" s="476" t="s">
        <v>314</v>
      </c>
      <c r="AE189" s="476">
        <v>0</v>
      </c>
      <c r="AF189" s="476">
        <v>0</v>
      </c>
      <c r="AG189" s="476">
        <v>0</v>
      </c>
      <c r="AH189" s="476">
        <v>0</v>
      </c>
      <c r="AI189" s="476">
        <v>0</v>
      </c>
      <c r="AJ189" s="476">
        <v>6160</v>
      </c>
      <c r="AK189" s="476" t="s">
        <v>651</v>
      </c>
      <c r="AL189" s="476" t="s">
        <v>96</v>
      </c>
      <c r="AM189" s="476">
        <v>0</v>
      </c>
      <c r="AN189" s="476">
        <v>0</v>
      </c>
      <c r="AO189" s="476">
        <v>0</v>
      </c>
      <c r="AP189" s="476">
        <v>0</v>
      </c>
      <c r="AQ189" s="476">
        <v>0</v>
      </c>
      <c r="AR189" s="476">
        <v>0</v>
      </c>
      <c r="AS189" s="476">
        <v>0</v>
      </c>
      <c r="AT189" s="476">
        <v>0</v>
      </c>
      <c r="AU189" s="476">
        <v>0</v>
      </c>
      <c r="AV189" s="476">
        <v>0</v>
      </c>
      <c r="AW189" s="476">
        <v>14533595</v>
      </c>
      <c r="AX189" s="476">
        <v>14264999</v>
      </c>
      <c r="AY189" s="476">
        <v>0</v>
      </c>
      <c r="AZ189" s="476">
        <v>667802</v>
      </c>
      <c r="BA189" s="476">
        <v>0</v>
      </c>
      <c r="BB189" s="476">
        <v>0</v>
      </c>
      <c r="BC189" s="476">
        <v>0</v>
      </c>
      <c r="BD189" s="476">
        <v>0</v>
      </c>
      <c r="BE189" s="476">
        <v>0</v>
      </c>
      <c r="BF189" s="476">
        <v>12973082</v>
      </c>
      <c r="BG189" s="476">
        <v>0</v>
      </c>
      <c r="BH189" s="476">
        <v>0</v>
      </c>
      <c r="BI189" s="476">
        <v>0</v>
      </c>
      <c r="BJ189" s="476">
        <v>12</v>
      </c>
      <c r="BK189" s="476">
        <v>0</v>
      </c>
      <c r="BL189" s="476">
        <v>0</v>
      </c>
      <c r="BM189" s="476">
        <v>0</v>
      </c>
      <c r="BN189" s="476">
        <v>0</v>
      </c>
      <c r="BO189" s="476">
        <v>0</v>
      </c>
      <c r="BP189" s="476">
        <v>0</v>
      </c>
      <c r="BQ189" s="476">
        <v>529</v>
      </c>
      <c r="BR189" s="476">
        <v>0</v>
      </c>
      <c r="BS189" s="476">
        <v>0</v>
      </c>
      <c r="BT189" s="476">
        <v>0</v>
      </c>
      <c r="BU189" s="476">
        <v>0</v>
      </c>
      <c r="BV189" s="476">
        <v>0</v>
      </c>
      <c r="BW189" s="476">
        <v>0</v>
      </c>
      <c r="BX189" s="476">
        <v>0</v>
      </c>
      <c r="BY189" s="476">
        <v>0</v>
      </c>
      <c r="BZ189" s="476">
        <v>0</v>
      </c>
      <c r="CA189" s="476">
        <v>0</v>
      </c>
      <c r="CB189" s="476">
        <v>0</v>
      </c>
      <c r="CC189" s="476">
        <v>0</v>
      </c>
      <c r="CD189" s="476">
        <v>0</v>
      </c>
      <c r="CE189" s="476">
        <v>0</v>
      </c>
      <c r="CF189" s="476">
        <v>0</v>
      </c>
      <c r="CG189" s="476">
        <v>0</v>
      </c>
      <c r="CH189" s="476">
        <v>272091</v>
      </c>
      <c r="CI189" s="476">
        <v>0</v>
      </c>
      <c r="CJ189" s="476">
        <v>4</v>
      </c>
      <c r="CK189" s="476">
        <v>0</v>
      </c>
      <c r="CL189" s="476">
        <v>0</v>
      </c>
      <c r="CM189" s="476">
        <v>0</v>
      </c>
      <c r="CN189" s="476">
        <v>0</v>
      </c>
      <c r="CO189" s="476">
        <v>1</v>
      </c>
      <c r="CP189" s="476">
        <v>0</v>
      </c>
      <c r="CQ189" s="476">
        <v>0</v>
      </c>
      <c r="CR189" s="476">
        <v>1611.67</v>
      </c>
      <c r="CS189" s="476">
        <v>0</v>
      </c>
      <c r="CT189" s="476">
        <v>0</v>
      </c>
      <c r="CU189" s="476">
        <v>0</v>
      </c>
      <c r="CV189" s="476">
        <v>0</v>
      </c>
      <c r="CW189" s="476">
        <v>0</v>
      </c>
      <c r="CX189" s="476">
        <v>0</v>
      </c>
      <c r="CY189" s="476">
        <v>0</v>
      </c>
      <c r="CZ189" s="476">
        <v>0</v>
      </c>
      <c r="DA189" s="476">
        <v>0</v>
      </c>
      <c r="DB189" s="476">
        <v>9403737</v>
      </c>
      <c r="DC189" s="476">
        <v>0</v>
      </c>
      <c r="DD189" s="476">
        <v>0</v>
      </c>
      <c r="DE189" s="476">
        <v>199194</v>
      </c>
      <c r="DF189" s="476">
        <v>199194</v>
      </c>
      <c r="DG189" s="476">
        <v>32.338000000000001</v>
      </c>
      <c r="DH189" s="476">
        <v>0</v>
      </c>
      <c r="DI189" s="476">
        <v>0</v>
      </c>
      <c r="DJ189" s="476">
        <v>0</v>
      </c>
      <c r="DK189" s="476">
        <v>83</v>
      </c>
      <c r="DL189" s="476">
        <v>0</v>
      </c>
      <c r="DM189" s="476">
        <v>1261830</v>
      </c>
      <c r="DN189" s="476">
        <v>3495</v>
      </c>
      <c r="DO189" s="476">
        <v>0</v>
      </c>
      <c r="DP189" s="476">
        <v>0</v>
      </c>
      <c r="DQ189" s="476">
        <v>0</v>
      </c>
      <c r="DR189" s="476">
        <v>0</v>
      </c>
      <c r="DS189" s="476">
        <v>0</v>
      </c>
      <c r="DT189" s="476">
        <v>0</v>
      </c>
      <c r="DU189" s="476">
        <v>0</v>
      </c>
      <c r="DV189" s="476">
        <v>0</v>
      </c>
      <c r="DW189" s="476">
        <v>0</v>
      </c>
      <c r="DX189" s="476">
        <v>0</v>
      </c>
      <c r="DY189" s="476">
        <v>0</v>
      </c>
      <c r="DZ189" s="476">
        <v>0</v>
      </c>
      <c r="EA189" s="476">
        <v>0</v>
      </c>
      <c r="EB189" s="476">
        <v>0</v>
      </c>
      <c r="EC189" s="476">
        <v>20.993000000000002</v>
      </c>
      <c r="ED189" s="476">
        <v>148711</v>
      </c>
      <c r="EE189" s="476">
        <v>0</v>
      </c>
      <c r="EF189" s="476">
        <v>0</v>
      </c>
      <c r="EG189" s="476">
        <v>0</v>
      </c>
      <c r="EH189" s="476">
        <v>871374</v>
      </c>
      <c r="EI189" s="476">
        <v>0</v>
      </c>
      <c r="EJ189" s="476">
        <v>0</v>
      </c>
      <c r="EK189" s="476">
        <v>37.356999999999999</v>
      </c>
      <c r="EL189" s="476">
        <v>0</v>
      </c>
      <c r="EM189" s="476">
        <v>5.0180000000000007</v>
      </c>
      <c r="EN189" s="476">
        <v>2.867</v>
      </c>
      <c r="EO189" s="476">
        <v>0</v>
      </c>
      <c r="EP189" s="476">
        <v>0</v>
      </c>
      <c r="EQ189" s="476">
        <v>45.242000000000004</v>
      </c>
      <c r="ER189" s="476">
        <v>0</v>
      </c>
      <c r="ES189" s="476">
        <v>141.46</v>
      </c>
      <c r="ET189" s="476">
        <v>0</v>
      </c>
      <c r="EU189" s="476">
        <v>0</v>
      </c>
      <c r="EV189" s="476">
        <v>0</v>
      </c>
      <c r="EW189" s="476">
        <v>0</v>
      </c>
      <c r="EX189" s="476">
        <v>0</v>
      </c>
      <c r="EY189" s="476">
        <v>0</v>
      </c>
      <c r="EZ189" s="476">
        <v>12310189</v>
      </c>
      <c r="FA189" s="476">
        <v>0</v>
      </c>
      <c r="FB189" s="476">
        <v>12974496</v>
      </c>
      <c r="FC189" s="476">
        <v>0</v>
      </c>
      <c r="FD189" s="476">
        <v>0</v>
      </c>
      <c r="FE189" s="476">
        <v>1675062</v>
      </c>
      <c r="FF189" s="476">
        <v>279748</v>
      </c>
      <c r="FG189" s="476">
        <v>6.3017999999999991E-2</v>
      </c>
      <c r="FH189" s="476">
        <v>2.6953999999999999E-2</v>
      </c>
      <c r="FI189" s="476">
        <v>0</v>
      </c>
      <c r="FJ189" s="476">
        <v>0</v>
      </c>
      <c r="FK189" s="476">
        <v>2106.0680000000002</v>
      </c>
      <c r="FL189" s="476">
        <v>15201397</v>
      </c>
      <c r="FM189" s="476">
        <v>0</v>
      </c>
      <c r="FN189" s="476">
        <v>0</v>
      </c>
      <c r="FO189" s="476">
        <v>0</v>
      </c>
      <c r="FP189" s="476">
        <v>0</v>
      </c>
      <c r="FQ189" s="476">
        <v>0</v>
      </c>
      <c r="FR189" s="476">
        <v>0</v>
      </c>
      <c r="FS189" s="476">
        <v>0</v>
      </c>
      <c r="FT189" s="476">
        <v>0</v>
      </c>
      <c r="FU189" s="476">
        <v>1</v>
      </c>
      <c r="FV189" s="476">
        <v>0</v>
      </c>
      <c r="FW189" s="476">
        <v>0</v>
      </c>
      <c r="FX189" s="476">
        <v>0</v>
      </c>
      <c r="FY189" s="476">
        <v>0</v>
      </c>
      <c r="FZ189" s="476">
        <v>0</v>
      </c>
      <c r="GA189" s="476">
        <v>0</v>
      </c>
      <c r="GB189" s="476">
        <v>0</v>
      </c>
      <c r="GC189" s="476">
        <v>0</v>
      </c>
      <c r="GD189" s="476">
        <v>0</v>
      </c>
      <c r="GE189" s="476">
        <v>0</v>
      </c>
      <c r="GF189" s="476">
        <v>0</v>
      </c>
      <c r="GG189" s="476">
        <v>0</v>
      </c>
      <c r="GH189" s="476">
        <v>0</v>
      </c>
      <c r="GI189" s="476">
        <v>0</v>
      </c>
      <c r="GJ189" s="476">
        <v>0</v>
      </c>
      <c r="GK189" s="476">
        <v>0</v>
      </c>
      <c r="GL189" s="476">
        <v>0</v>
      </c>
      <c r="GM189" s="476">
        <v>0</v>
      </c>
      <c r="GN189" s="476">
        <v>0</v>
      </c>
      <c r="GO189" s="476">
        <v>0</v>
      </c>
      <c r="GP189" s="476">
        <v>0</v>
      </c>
      <c r="GQ189" s="476">
        <v>14261504</v>
      </c>
      <c r="GR189" s="476">
        <v>0</v>
      </c>
      <c r="GS189" s="476">
        <v>0</v>
      </c>
      <c r="GT189" s="476">
        <v>0</v>
      </c>
      <c r="GU189" s="476">
        <v>0</v>
      </c>
      <c r="GV189" s="476">
        <v>0</v>
      </c>
      <c r="GW189" s="476">
        <v>0</v>
      </c>
      <c r="GX189" s="476">
        <v>0</v>
      </c>
      <c r="GY189" s="476">
        <v>0</v>
      </c>
      <c r="GZ189" s="476">
        <v>0</v>
      </c>
      <c r="HA189" s="476">
        <v>0</v>
      </c>
      <c r="HB189" s="476">
        <v>323396213</v>
      </c>
      <c r="HC189" s="476">
        <v>4.2206E-2</v>
      </c>
      <c r="HD189" s="476">
        <v>272091</v>
      </c>
      <c r="HE189" s="476">
        <v>0</v>
      </c>
      <c r="HF189" s="476">
        <v>1726204</v>
      </c>
      <c r="HG189" s="476">
        <v>55439</v>
      </c>
      <c r="HH189" s="476">
        <v>85347</v>
      </c>
      <c r="HI189" s="476">
        <v>0</v>
      </c>
      <c r="HJ189" s="476">
        <v>16117</v>
      </c>
      <c r="HK189" s="476">
        <v>4375</v>
      </c>
      <c r="HL189" s="476">
        <v>534</v>
      </c>
      <c r="HM189" s="476">
        <v>109000</v>
      </c>
      <c r="HN189" s="476">
        <v>0</v>
      </c>
      <c r="HO189" s="476">
        <v>0</v>
      </c>
      <c r="HP189" s="476">
        <v>0</v>
      </c>
      <c r="HQ189" s="476">
        <v>0</v>
      </c>
      <c r="HR189" s="476">
        <v>0</v>
      </c>
      <c r="HS189" s="476">
        <v>12306694</v>
      </c>
      <c r="HT189" s="476">
        <v>279748</v>
      </c>
      <c r="HU189" s="476">
        <v>0</v>
      </c>
      <c r="HV189" s="476">
        <v>0</v>
      </c>
      <c r="HW189" s="476">
        <v>0</v>
      </c>
      <c r="HX189" s="476">
        <v>90</v>
      </c>
      <c r="HY189" s="476">
        <v>29</v>
      </c>
      <c r="HZ189" s="476">
        <v>9</v>
      </c>
      <c r="IA189" s="476">
        <v>6</v>
      </c>
      <c r="IB189" s="476">
        <v>5</v>
      </c>
      <c r="IC189" s="476">
        <v>139</v>
      </c>
      <c r="ID189" s="476">
        <v>0</v>
      </c>
      <c r="IE189" s="476">
        <v>0</v>
      </c>
      <c r="IF189" s="476">
        <v>0</v>
      </c>
      <c r="IG189" s="476">
        <v>90</v>
      </c>
      <c r="IH189" s="476">
        <v>138.553</v>
      </c>
      <c r="II189" s="476">
        <v>0</v>
      </c>
      <c r="IJ189" s="476">
        <v>182.99</v>
      </c>
      <c r="IK189" s="476">
        <v>0</v>
      </c>
      <c r="IL189" s="476">
        <v>5</v>
      </c>
      <c r="IM189" s="476">
        <v>26</v>
      </c>
      <c r="IN189" s="476">
        <v>3</v>
      </c>
      <c r="IO189" s="476">
        <v>34</v>
      </c>
      <c r="IP189" s="476">
        <v>0</v>
      </c>
      <c r="IQ189" s="476">
        <v>182.99</v>
      </c>
      <c r="IR189" s="476">
        <v>112719</v>
      </c>
      <c r="IS189" s="476">
        <v>0</v>
      </c>
      <c r="IT189" s="476">
        <v>25000</v>
      </c>
      <c r="IU189" s="476">
        <v>78000</v>
      </c>
      <c r="IV189" s="476">
        <v>6000</v>
      </c>
      <c r="IW189" s="476">
        <v>6160</v>
      </c>
      <c r="IX189" s="476">
        <v>0</v>
      </c>
      <c r="IY189" s="476">
        <v>0</v>
      </c>
      <c r="IZ189" s="476">
        <v>0</v>
      </c>
      <c r="JA189" s="476">
        <v>0</v>
      </c>
      <c r="JB189" s="476">
        <v>0</v>
      </c>
      <c r="JC189" s="476">
        <v>0</v>
      </c>
      <c r="JD189" s="476">
        <v>0</v>
      </c>
      <c r="JE189" s="476">
        <v>0</v>
      </c>
      <c r="JF189" s="476">
        <v>0</v>
      </c>
      <c r="JG189" s="476">
        <v>0</v>
      </c>
      <c r="JH189" s="476">
        <v>0</v>
      </c>
      <c r="JI189" s="476">
        <v>0</v>
      </c>
      <c r="JJ189" s="476">
        <v>0</v>
      </c>
      <c r="JK189" s="476">
        <v>0</v>
      </c>
      <c r="JL189" s="476">
        <v>0</v>
      </c>
      <c r="JM189" s="476">
        <v>0</v>
      </c>
      <c r="JN189" s="476">
        <v>32469</v>
      </c>
      <c r="JO189" s="476">
        <v>0</v>
      </c>
      <c r="JP189" s="476">
        <v>0</v>
      </c>
      <c r="JQ189" s="476">
        <v>0</v>
      </c>
      <c r="JR189" s="476">
        <v>0</v>
      </c>
      <c r="JS189" s="476">
        <v>0</v>
      </c>
      <c r="JT189" s="476">
        <v>0</v>
      </c>
      <c r="JU189" s="476">
        <v>0</v>
      </c>
      <c r="JV189" s="476">
        <v>0</v>
      </c>
      <c r="JW189" s="476">
        <v>0</v>
      </c>
      <c r="JX189" s="476">
        <v>0</v>
      </c>
      <c r="JY189" s="476">
        <v>0</v>
      </c>
      <c r="JZ189" s="476">
        <v>0</v>
      </c>
      <c r="KA189" s="476">
        <v>0</v>
      </c>
      <c r="KB189" s="476">
        <v>0</v>
      </c>
      <c r="KC189" s="476">
        <v>0</v>
      </c>
      <c r="KD189" s="476">
        <v>0</v>
      </c>
      <c r="KE189" s="476">
        <v>7262</v>
      </c>
      <c r="KF189" s="476">
        <v>0</v>
      </c>
      <c r="KG189" s="476">
        <v>0</v>
      </c>
      <c r="KH189" s="476">
        <v>14261504</v>
      </c>
      <c r="KI189" s="476">
        <v>0</v>
      </c>
      <c r="KJ189" s="476">
        <v>37</v>
      </c>
      <c r="KK189" s="476">
        <v>53</v>
      </c>
      <c r="KL189" s="476">
        <v>22791</v>
      </c>
      <c r="KM189" s="476">
        <v>32647</v>
      </c>
      <c r="KN189" s="476">
        <v>0</v>
      </c>
    </row>
    <row r="190" spans="1:300" x14ac:dyDescent="0.25">
      <c r="A190" s="476">
        <v>40976</v>
      </c>
      <c r="B190" s="476">
        <v>246802</v>
      </c>
      <c r="C190" s="476">
        <v>9</v>
      </c>
      <c r="D190" s="476">
        <v>2024</v>
      </c>
      <c r="E190" s="476">
        <v>6160</v>
      </c>
      <c r="F190" s="476">
        <v>0</v>
      </c>
      <c r="G190" s="476">
        <v>321.71199999999999</v>
      </c>
      <c r="H190" s="476">
        <v>302.60900000000004</v>
      </c>
      <c r="I190" s="476">
        <v>302.60900000000004</v>
      </c>
      <c r="J190" s="476">
        <v>321.71199999999999</v>
      </c>
      <c r="K190" s="476">
        <v>0</v>
      </c>
      <c r="L190" s="476">
        <v>6160</v>
      </c>
      <c r="M190" s="476">
        <v>0</v>
      </c>
      <c r="N190" s="476">
        <v>0</v>
      </c>
      <c r="O190" s="476">
        <v>0</v>
      </c>
      <c r="P190" s="476">
        <v>322.79000000000002</v>
      </c>
      <c r="Q190" s="476">
        <v>0</v>
      </c>
      <c r="R190" s="476">
        <v>133920</v>
      </c>
      <c r="S190" s="476">
        <v>414.88400000000001</v>
      </c>
      <c r="T190" s="476">
        <v>0</v>
      </c>
      <c r="U190" s="476">
        <v>0</v>
      </c>
      <c r="V190" s="476">
        <v>14.819000000000001</v>
      </c>
      <c r="W190" s="476">
        <v>9128</v>
      </c>
      <c r="X190" s="476">
        <v>9128</v>
      </c>
      <c r="Y190" s="476">
        <v>0</v>
      </c>
      <c r="Z190" s="476">
        <v>0</v>
      </c>
      <c r="AA190" s="476">
        <v>0</v>
      </c>
      <c r="AB190" s="476">
        <v>0</v>
      </c>
      <c r="AC190" s="476">
        <v>0</v>
      </c>
      <c r="AD190" s="476" t="s">
        <v>314</v>
      </c>
      <c r="AE190" s="476">
        <v>0</v>
      </c>
      <c r="AF190" s="476">
        <v>0</v>
      </c>
      <c r="AG190" s="476">
        <v>0</v>
      </c>
      <c r="AH190" s="476">
        <v>0</v>
      </c>
      <c r="AI190" s="476">
        <v>0</v>
      </c>
      <c r="AJ190" s="476">
        <v>6160</v>
      </c>
      <c r="AK190" s="476" t="s">
        <v>651</v>
      </c>
      <c r="AL190" s="476" t="s">
        <v>414</v>
      </c>
      <c r="AM190" s="476">
        <v>0</v>
      </c>
      <c r="AN190" s="476">
        <v>0</v>
      </c>
      <c r="AO190" s="476">
        <v>0</v>
      </c>
      <c r="AP190" s="476">
        <v>0</v>
      </c>
      <c r="AQ190" s="476">
        <v>0</v>
      </c>
      <c r="AR190" s="476">
        <v>0</v>
      </c>
      <c r="AS190" s="476">
        <v>0</v>
      </c>
      <c r="AT190" s="476">
        <v>0</v>
      </c>
      <c r="AU190" s="476">
        <v>0</v>
      </c>
      <c r="AV190" s="476">
        <v>0</v>
      </c>
      <c r="AW190" s="476">
        <v>3185574</v>
      </c>
      <c r="AX190" s="476">
        <v>3132546</v>
      </c>
      <c r="AY190" s="476">
        <v>0</v>
      </c>
      <c r="AZ190" s="476">
        <v>133920</v>
      </c>
      <c r="BA190" s="476">
        <v>0</v>
      </c>
      <c r="BB190" s="476">
        <v>0</v>
      </c>
      <c r="BC190" s="476">
        <v>0</v>
      </c>
      <c r="BD190" s="476">
        <v>0</v>
      </c>
      <c r="BE190" s="476">
        <v>0</v>
      </c>
      <c r="BF190" s="476">
        <v>2838722</v>
      </c>
      <c r="BG190" s="476">
        <v>0</v>
      </c>
      <c r="BH190" s="476">
        <v>0</v>
      </c>
      <c r="BI190" s="476">
        <v>0</v>
      </c>
      <c r="BJ190" s="476">
        <v>12</v>
      </c>
      <c r="BK190" s="476">
        <v>0</v>
      </c>
      <c r="BL190" s="476">
        <v>0</v>
      </c>
      <c r="BM190" s="476">
        <v>0</v>
      </c>
      <c r="BN190" s="476">
        <v>0</v>
      </c>
      <c r="BO190" s="476">
        <v>0</v>
      </c>
      <c r="BP190" s="476">
        <v>0</v>
      </c>
      <c r="BQ190" s="476">
        <v>723</v>
      </c>
      <c r="BR190" s="476">
        <v>0</v>
      </c>
      <c r="BS190" s="476">
        <v>0</v>
      </c>
      <c r="BT190" s="476">
        <v>0</v>
      </c>
      <c r="BU190" s="476">
        <v>0</v>
      </c>
      <c r="BV190" s="476">
        <v>0</v>
      </c>
      <c r="BW190" s="476">
        <v>0</v>
      </c>
      <c r="BX190" s="476">
        <v>0</v>
      </c>
      <c r="BY190" s="476">
        <v>0</v>
      </c>
      <c r="BZ190" s="476">
        <v>0</v>
      </c>
      <c r="CA190" s="476">
        <v>0</v>
      </c>
      <c r="CB190" s="476">
        <v>0</v>
      </c>
      <c r="CC190" s="476">
        <v>0</v>
      </c>
      <c r="CD190" s="476">
        <v>0</v>
      </c>
      <c r="CE190" s="476">
        <v>0</v>
      </c>
      <c r="CF190" s="476">
        <v>0</v>
      </c>
      <c r="CG190" s="476">
        <v>0</v>
      </c>
      <c r="CH190" s="476">
        <v>54313</v>
      </c>
      <c r="CI190" s="476">
        <v>0</v>
      </c>
      <c r="CJ190" s="476">
        <v>4</v>
      </c>
      <c r="CK190" s="476">
        <v>0</v>
      </c>
      <c r="CL190" s="476">
        <v>0</v>
      </c>
      <c r="CM190" s="476">
        <v>0</v>
      </c>
      <c r="CN190" s="476">
        <v>0</v>
      </c>
      <c r="CO190" s="476">
        <v>1</v>
      </c>
      <c r="CP190" s="476">
        <v>0</v>
      </c>
      <c r="CQ190" s="476">
        <v>0</v>
      </c>
      <c r="CR190" s="476">
        <v>321.71199999999999</v>
      </c>
      <c r="CS190" s="476">
        <v>0</v>
      </c>
      <c r="CT190" s="476">
        <v>0</v>
      </c>
      <c r="CU190" s="476">
        <v>0</v>
      </c>
      <c r="CV190" s="476">
        <v>0</v>
      </c>
      <c r="CW190" s="476">
        <v>0</v>
      </c>
      <c r="CX190" s="476">
        <v>0</v>
      </c>
      <c r="CY190" s="476">
        <v>0</v>
      </c>
      <c r="CZ190" s="476">
        <v>0</v>
      </c>
      <c r="DA190" s="476">
        <v>0</v>
      </c>
      <c r="DB190" s="476">
        <v>1864029</v>
      </c>
      <c r="DC190" s="476">
        <v>0</v>
      </c>
      <c r="DD190" s="476">
        <v>0</v>
      </c>
      <c r="DE190" s="476">
        <v>211668</v>
      </c>
      <c r="DF190" s="476">
        <v>211668</v>
      </c>
      <c r="DG190" s="476">
        <v>34.363</v>
      </c>
      <c r="DH190" s="476">
        <v>0</v>
      </c>
      <c r="DI190" s="476">
        <v>0</v>
      </c>
      <c r="DJ190" s="476">
        <v>0</v>
      </c>
      <c r="DK190" s="476">
        <v>3197</v>
      </c>
      <c r="DL190" s="476">
        <v>0</v>
      </c>
      <c r="DM190" s="476">
        <v>373729</v>
      </c>
      <c r="DN190" s="476">
        <v>1285</v>
      </c>
      <c r="DO190" s="476">
        <v>0</v>
      </c>
      <c r="DP190" s="476">
        <v>0</v>
      </c>
      <c r="DQ190" s="476">
        <v>0</v>
      </c>
      <c r="DR190" s="476">
        <v>0</v>
      </c>
      <c r="DS190" s="476">
        <v>0</v>
      </c>
      <c r="DT190" s="476">
        <v>0</v>
      </c>
      <c r="DU190" s="476">
        <v>0</v>
      </c>
      <c r="DV190" s="476">
        <v>0</v>
      </c>
      <c r="DW190" s="476">
        <v>0</v>
      </c>
      <c r="DX190" s="476">
        <v>0</v>
      </c>
      <c r="DY190" s="476">
        <v>0</v>
      </c>
      <c r="DZ190" s="476">
        <v>0</v>
      </c>
      <c r="EA190" s="476">
        <v>0</v>
      </c>
      <c r="EB190" s="476">
        <v>0</v>
      </c>
      <c r="EC190" s="476">
        <v>1.149</v>
      </c>
      <c r="ED190" s="476">
        <v>8139</v>
      </c>
      <c r="EE190" s="476">
        <v>0</v>
      </c>
      <c r="EF190" s="476">
        <v>0</v>
      </c>
      <c r="EG190" s="476">
        <v>0</v>
      </c>
      <c r="EH190" s="476">
        <v>366875</v>
      </c>
      <c r="EI190" s="476">
        <v>0</v>
      </c>
      <c r="EJ190" s="476">
        <v>0</v>
      </c>
      <c r="EK190" s="476">
        <v>17.378</v>
      </c>
      <c r="EL190" s="476">
        <v>0</v>
      </c>
      <c r="EM190" s="476">
        <v>0.6</v>
      </c>
      <c r="EN190" s="476">
        <v>1.125</v>
      </c>
      <c r="EO190" s="476">
        <v>0</v>
      </c>
      <c r="EP190" s="476">
        <v>0</v>
      </c>
      <c r="EQ190" s="476">
        <v>19.103000000000002</v>
      </c>
      <c r="ER190" s="476">
        <v>0</v>
      </c>
      <c r="ES190" s="476">
        <v>59.559000000000005</v>
      </c>
      <c r="ET190" s="476">
        <v>0</v>
      </c>
      <c r="EU190" s="476">
        <v>0</v>
      </c>
      <c r="EV190" s="476">
        <v>0</v>
      </c>
      <c r="EW190" s="476">
        <v>0</v>
      </c>
      <c r="EX190" s="476">
        <v>0</v>
      </c>
      <c r="EY190" s="476">
        <v>0</v>
      </c>
      <c r="EZ190" s="476">
        <v>2704802</v>
      </c>
      <c r="FA190" s="476">
        <v>0</v>
      </c>
      <c r="FB190" s="476">
        <v>2837437</v>
      </c>
      <c r="FC190" s="476">
        <v>0</v>
      </c>
      <c r="FD190" s="476">
        <v>0</v>
      </c>
      <c r="FE190" s="476">
        <v>366531</v>
      </c>
      <c r="FF190" s="476">
        <v>61213</v>
      </c>
      <c r="FG190" s="476">
        <v>6.3017999999999991E-2</v>
      </c>
      <c r="FH190" s="476">
        <v>2.6953999999999999E-2</v>
      </c>
      <c r="FI190" s="476">
        <v>0</v>
      </c>
      <c r="FJ190" s="476">
        <v>0</v>
      </c>
      <c r="FK190" s="476">
        <v>460.84200000000004</v>
      </c>
      <c r="FL190" s="476">
        <v>3319494</v>
      </c>
      <c r="FM190" s="476">
        <v>0</v>
      </c>
      <c r="FN190" s="476">
        <v>0</v>
      </c>
      <c r="FO190" s="476">
        <v>0</v>
      </c>
      <c r="FP190" s="476">
        <v>0</v>
      </c>
      <c r="FQ190" s="476">
        <v>0</v>
      </c>
      <c r="FR190" s="476">
        <v>0</v>
      </c>
      <c r="FS190" s="476">
        <v>0</v>
      </c>
      <c r="FT190" s="476">
        <v>0</v>
      </c>
      <c r="FU190" s="476">
        <v>0</v>
      </c>
      <c r="FV190" s="476">
        <v>0</v>
      </c>
      <c r="FW190" s="476">
        <v>0</v>
      </c>
      <c r="FX190" s="476">
        <v>0</v>
      </c>
      <c r="FY190" s="476">
        <v>0</v>
      </c>
      <c r="FZ190" s="476">
        <v>0</v>
      </c>
      <c r="GA190" s="476">
        <v>0</v>
      </c>
      <c r="GB190" s="476">
        <v>0</v>
      </c>
      <c r="GC190" s="476">
        <v>0</v>
      </c>
      <c r="GD190" s="476">
        <v>0</v>
      </c>
      <c r="GE190" s="476">
        <v>0</v>
      </c>
      <c r="GF190" s="476">
        <v>0</v>
      </c>
      <c r="GG190" s="476">
        <v>0</v>
      </c>
      <c r="GH190" s="476">
        <v>0</v>
      </c>
      <c r="GI190" s="476">
        <v>0</v>
      </c>
      <c r="GJ190" s="476">
        <v>0</v>
      </c>
      <c r="GK190" s="476">
        <v>0</v>
      </c>
      <c r="GL190" s="476">
        <v>0</v>
      </c>
      <c r="GM190" s="476">
        <v>0</v>
      </c>
      <c r="GN190" s="476">
        <v>0</v>
      </c>
      <c r="GO190" s="476">
        <v>0</v>
      </c>
      <c r="GP190" s="476">
        <v>0</v>
      </c>
      <c r="GQ190" s="476">
        <v>3131261</v>
      </c>
      <c r="GR190" s="476">
        <v>0</v>
      </c>
      <c r="GS190" s="476">
        <v>0</v>
      </c>
      <c r="GT190" s="476">
        <v>0</v>
      </c>
      <c r="GU190" s="476">
        <v>0</v>
      </c>
      <c r="GV190" s="476">
        <v>0</v>
      </c>
      <c r="GW190" s="476">
        <v>0</v>
      </c>
      <c r="GX190" s="476">
        <v>0</v>
      </c>
      <c r="GY190" s="476">
        <v>0</v>
      </c>
      <c r="GZ190" s="476">
        <v>0</v>
      </c>
      <c r="HA190" s="476">
        <v>0</v>
      </c>
      <c r="HB190" s="476">
        <v>323396213</v>
      </c>
      <c r="HC190" s="476">
        <v>4.2206E-2</v>
      </c>
      <c r="HD190" s="476">
        <v>54313</v>
      </c>
      <c r="HE190" s="476">
        <v>0</v>
      </c>
      <c r="HF190" s="476">
        <v>333475</v>
      </c>
      <c r="HG190" s="476">
        <v>2464</v>
      </c>
      <c r="HH190" s="476">
        <v>39727</v>
      </c>
      <c r="HI190" s="476">
        <v>0</v>
      </c>
      <c r="HJ190" s="476">
        <v>3217</v>
      </c>
      <c r="HK190" s="476">
        <v>0</v>
      </c>
      <c r="HL190" s="476">
        <v>0</v>
      </c>
      <c r="HM190" s="476">
        <v>0</v>
      </c>
      <c r="HN190" s="476">
        <v>0</v>
      </c>
      <c r="HO190" s="476">
        <v>0</v>
      </c>
      <c r="HP190" s="476">
        <v>0</v>
      </c>
      <c r="HQ190" s="476">
        <v>0</v>
      </c>
      <c r="HR190" s="476">
        <v>0</v>
      </c>
      <c r="HS190" s="476">
        <v>2703517</v>
      </c>
      <c r="HT190" s="476">
        <v>61213</v>
      </c>
      <c r="HU190" s="476">
        <v>0</v>
      </c>
      <c r="HV190" s="476">
        <v>0</v>
      </c>
      <c r="HW190" s="476">
        <v>0</v>
      </c>
      <c r="HX190" s="476">
        <v>69</v>
      </c>
      <c r="HY190" s="476">
        <v>63</v>
      </c>
      <c r="HZ190" s="476">
        <v>6</v>
      </c>
      <c r="IA190" s="476">
        <v>8</v>
      </c>
      <c r="IB190" s="476">
        <v>1</v>
      </c>
      <c r="IC190" s="476">
        <v>147</v>
      </c>
      <c r="ID190" s="476">
        <v>0</v>
      </c>
      <c r="IE190" s="476">
        <v>0</v>
      </c>
      <c r="IF190" s="476">
        <v>0</v>
      </c>
      <c r="IG190" s="476">
        <v>4</v>
      </c>
      <c r="IH190" s="476">
        <v>64.494</v>
      </c>
      <c r="II190" s="476">
        <v>0</v>
      </c>
      <c r="IJ190" s="476">
        <v>14.819000000000001</v>
      </c>
      <c r="IK190" s="476">
        <v>0</v>
      </c>
      <c r="IL190" s="476">
        <v>0</v>
      </c>
      <c r="IM190" s="476">
        <v>0</v>
      </c>
      <c r="IN190" s="476">
        <v>0</v>
      </c>
      <c r="IO190" s="476">
        <v>0</v>
      </c>
      <c r="IP190" s="476">
        <v>0</v>
      </c>
      <c r="IQ190" s="476">
        <v>14.819000000000001</v>
      </c>
      <c r="IR190" s="476">
        <v>9128</v>
      </c>
      <c r="IS190" s="476">
        <v>0</v>
      </c>
      <c r="IT190" s="476">
        <v>0</v>
      </c>
      <c r="IU190" s="476">
        <v>0</v>
      </c>
      <c r="IV190" s="476">
        <v>0</v>
      </c>
      <c r="IW190" s="476">
        <v>6160</v>
      </c>
      <c r="IX190" s="476">
        <v>0</v>
      </c>
      <c r="IY190" s="476">
        <v>0</v>
      </c>
      <c r="IZ190" s="476">
        <v>0</v>
      </c>
      <c r="JA190" s="476">
        <v>0</v>
      </c>
      <c r="JB190" s="476">
        <v>0</v>
      </c>
      <c r="JC190" s="476">
        <v>0</v>
      </c>
      <c r="JD190" s="476">
        <v>0</v>
      </c>
      <c r="JE190" s="476">
        <v>0</v>
      </c>
      <c r="JF190" s="476">
        <v>0</v>
      </c>
      <c r="JG190" s="476">
        <v>0</v>
      </c>
      <c r="JH190" s="476">
        <v>0</v>
      </c>
      <c r="JI190" s="476">
        <v>0</v>
      </c>
      <c r="JJ190" s="476">
        <v>0</v>
      </c>
      <c r="JK190" s="476">
        <v>0</v>
      </c>
      <c r="JL190" s="476">
        <v>0</v>
      </c>
      <c r="JM190" s="476">
        <v>0</v>
      </c>
      <c r="JN190" s="476">
        <v>32469</v>
      </c>
      <c r="JO190" s="476">
        <v>0</v>
      </c>
      <c r="JP190" s="476">
        <v>0</v>
      </c>
      <c r="JQ190" s="476">
        <v>0</v>
      </c>
      <c r="JR190" s="476">
        <v>0</v>
      </c>
      <c r="JS190" s="476">
        <v>0</v>
      </c>
      <c r="JT190" s="476">
        <v>0</v>
      </c>
      <c r="JU190" s="476">
        <v>0</v>
      </c>
      <c r="JV190" s="476">
        <v>0</v>
      </c>
      <c r="JW190" s="476">
        <v>0</v>
      </c>
      <c r="JX190" s="476">
        <v>0</v>
      </c>
      <c r="JY190" s="476">
        <v>0</v>
      </c>
      <c r="JZ190" s="476">
        <v>0</v>
      </c>
      <c r="KA190" s="476">
        <v>0</v>
      </c>
      <c r="KB190" s="476">
        <v>0</v>
      </c>
      <c r="KC190" s="476">
        <v>0</v>
      </c>
      <c r="KD190" s="476">
        <v>0</v>
      </c>
      <c r="KE190" s="476">
        <v>7262</v>
      </c>
      <c r="KF190" s="476">
        <v>0</v>
      </c>
      <c r="KG190" s="476">
        <v>0</v>
      </c>
      <c r="KH190" s="476">
        <v>3131261</v>
      </c>
      <c r="KI190" s="476">
        <v>0</v>
      </c>
      <c r="KJ190" s="476">
        <v>2</v>
      </c>
      <c r="KK190" s="476">
        <v>2</v>
      </c>
      <c r="KL190" s="476">
        <v>1232</v>
      </c>
      <c r="KM190" s="476">
        <v>1232</v>
      </c>
      <c r="KN190" s="476">
        <v>0</v>
      </c>
    </row>
  </sheetData>
  <sheetProtection algorithmName="SHA-512" hashValue="mSZLCNeMSJIlyl+aXUitscehy2XbGb1gCrOdjsqkOkpmE2tRd2+8JVCa31WXT8qxQGRv6eJ3RBX/o8i1nvipbw==" saltValue="OPt4/3B8Ckz0MogS9n/KCQ==" spinCount="100000" sheet="1" objects="1" scenarios="1"/>
  <sortState xmlns:xlrd2="http://schemas.microsoft.com/office/spreadsheetml/2017/richdata2" ref="A5:KN190">
    <sortCondition ref="B5:B190"/>
  </sortState>
  <phoneticPr fontId="15" type="noConversion"/>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81B-4F56-43F3-8B5C-07683BECCC8E}">
  <sheetPr codeName="Sheet20">
    <tabColor rgb="FFFFC000"/>
  </sheetPr>
  <dimension ref="A1:LV189"/>
  <sheetViews>
    <sheetView zoomScale="115" zoomScaleNormal="115" workbookViewId="0">
      <pane ySplit="2" topLeftCell="A3" activePane="bottomLeft" state="frozen"/>
      <selection pane="bottomLeft" activeCell="A2" sqref="A2"/>
    </sheetView>
  </sheetViews>
  <sheetFormatPr defaultColWidth="8.90625" defaultRowHeight="12.5" x14ac:dyDescent="0.25"/>
  <cols>
    <col min="1" max="1" width="11.81640625" style="627" bestFit="1" customWidth="1"/>
    <col min="2" max="3" width="11.26953125" style="627" customWidth="1"/>
    <col min="4" max="4" width="15" style="627" bestFit="1" customWidth="1"/>
    <col min="5" max="5" width="12.26953125" style="627" bestFit="1" customWidth="1"/>
    <col min="6" max="6" width="5" style="627" bestFit="1" customWidth="1"/>
    <col min="7" max="7" width="21.26953125" style="627" bestFit="1" customWidth="1"/>
    <col min="8" max="8" width="21.81640625" style="627" bestFit="1" customWidth="1"/>
    <col min="9" max="9" width="14.54296875" style="627" bestFit="1" customWidth="1"/>
    <col min="10" max="10" width="22.6328125" style="627" bestFit="1" customWidth="1"/>
    <col min="11" max="11" width="17.453125" style="627" bestFit="1" customWidth="1"/>
    <col min="12" max="12" width="21.81640625" style="627" bestFit="1" customWidth="1"/>
    <col min="13" max="13" width="10.453125" style="627" bestFit="1" customWidth="1"/>
    <col min="14" max="14" width="27.08984375" style="627" bestFit="1" customWidth="1"/>
    <col min="15" max="15" width="16.1796875" style="627" bestFit="1" customWidth="1"/>
    <col min="16" max="16" width="20.81640625" style="627" bestFit="1" customWidth="1"/>
    <col min="17" max="17" width="10" style="627" bestFit="1" customWidth="1"/>
    <col min="18" max="18" width="22.453125" style="627" bestFit="1" customWidth="1"/>
    <col min="19" max="19" width="10.453125" style="627" bestFit="1" customWidth="1"/>
    <col min="20" max="20" width="9.453125" style="627" bestFit="1" customWidth="1"/>
    <col min="21" max="21" width="9" style="627" bestFit="1" customWidth="1"/>
    <col min="22" max="22" width="19.26953125" style="627" bestFit="1" customWidth="1"/>
    <col min="23" max="23" width="10" style="627" bestFit="1" customWidth="1"/>
    <col min="24" max="24" width="9.81640625" style="627" bestFit="1" customWidth="1"/>
    <col min="25" max="25" width="17.26953125" style="627" bestFit="1" customWidth="1"/>
    <col min="26" max="26" width="15.81640625" style="627" bestFit="1" customWidth="1"/>
    <col min="27" max="27" width="23.54296875" style="627" bestFit="1" customWidth="1"/>
    <col min="28" max="28" width="3.6328125" style="627" bestFit="1" customWidth="1"/>
    <col min="29" max="29" width="7.81640625" style="627" bestFit="1" customWidth="1"/>
    <col min="30" max="30" width="17.81640625" style="627" bestFit="1" customWidth="1"/>
    <col min="31" max="31" width="10.6328125" style="627" bestFit="1" customWidth="1"/>
    <col min="32" max="32" width="20" style="627" bestFit="1" customWidth="1"/>
    <col min="33" max="34" width="8.6328125" style="627" bestFit="1" customWidth="1"/>
    <col min="35" max="35" width="22.26953125" style="627" bestFit="1" customWidth="1"/>
    <col min="36" max="36" width="11" style="627" bestFit="1" customWidth="1"/>
    <col min="37" max="37" width="11.81640625" style="627" bestFit="1" customWidth="1"/>
    <col min="38" max="38" width="17.81640625" style="627" bestFit="1" customWidth="1"/>
    <col min="39" max="39" width="54.26953125" style="627" bestFit="1" customWidth="1"/>
    <col min="40" max="40" width="7.54296875" style="627" bestFit="1" customWidth="1"/>
    <col min="41" max="41" width="18.81640625" style="627" bestFit="1" customWidth="1"/>
    <col min="42" max="42" width="24.08984375" style="627" bestFit="1" customWidth="1"/>
    <col min="43" max="43" width="17.6328125" style="627" bestFit="1" customWidth="1"/>
    <col min="44" max="44" width="17.453125" style="627" bestFit="1" customWidth="1"/>
    <col min="45" max="45" width="8.26953125" style="627" bestFit="1" customWidth="1"/>
    <col min="46" max="46" width="5.6328125" style="627" bestFit="1" customWidth="1"/>
    <col min="47" max="47" width="14.08984375" style="627" bestFit="1" customWidth="1"/>
    <col min="48" max="48" width="10.6328125" style="627" bestFit="1" customWidth="1"/>
    <col min="49" max="49" width="22.1796875" style="627" bestFit="1" customWidth="1"/>
    <col min="50" max="50" width="14.453125" style="627" bestFit="1" customWidth="1"/>
    <col min="51" max="51" width="14.54296875" style="627" bestFit="1" customWidth="1"/>
    <col min="52" max="52" width="19" style="627" bestFit="1" customWidth="1"/>
    <col min="53" max="53" width="17.453125" style="627" bestFit="1" customWidth="1"/>
    <col min="54" max="54" width="13.54296875" style="627" bestFit="1" customWidth="1"/>
    <col min="55" max="55" width="9.54296875" style="627" bestFit="1" customWidth="1"/>
    <col min="56" max="56" width="17.1796875" style="627" bestFit="1" customWidth="1"/>
    <col min="57" max="57" width="10.81640625" style="627" bestFit="1" customWidth="1"/>
    <col min="58" max="58" width="15.453125" style="627" bestFit="1" customWidth="1"/>
    <col min="59" max="59" width="11" style="627" bestFit="1" customWidth="1"/>
    <col min="60" max="60" width="8" style="627" bestFit="1" customWidth="1"/>
    <col min="61" max="61" width="18.26953125" style="627" bestFit="1" customWidth="1"/>
    <col min="62" max="62" width="19.81640625" style="627" bestFit="1" customWidth="1"/>
    <col min="63" max="63" width="15.453125" style="627" bestFit="1" customWidth="1"/>
    <col min="64" max="64" width="22.26953125" style="627" bestFit="1" customWidth="1"/>
    <col min="65" max="65" width="16.26953125" style="627" bestFit="1" customWidth="1"/>
    <col min="66" max="66" width="16.08984375" style="627" bestFit="1" customWidth="1"/>
    <col min="67" max="67" width="22.81640625" style="627" bestFit="1" customWidth="1"/>
    <col min="68" max="68" width="23.453125" style="627" bestFit="1" customWidth="1"/>
    <col min="69" max="69" width="23.1796875" style="627" bestFit="1" customWidth="1"/>
    <col min="70" max="70" width="5.1796875" style="627" bestFit="1" customWidth="1"/>
    <col min="71" max="71" width="9" style="627" bestFit="1" customWidth="1"/>
    <col min="72" max="72" width="19.81640625" style="627" bestFit="1" customWidth="1"/>
    <col min="73" max="75" width="13.54296875" style="627" bestFit="1" customWidth="1"/>
    <col min="76" max="76" width="19.6328125" style="627" bestFit="1" customWidth="1"/>
    <col min="77" max="77" width="17.1796875" style="627" bestFit="1" customWidth="1"/>
    <col min="78" max="78" width="13.6328125" style="627" bestFit="1" customWidth="1"/>
    <col min="79" max="79" width="6" style="627" bestFit="1" customWidth="1"/>
    <col min="80" max="80" width="9.81640625" style="627" bestFit="1" customWidth="1"/>
    <col min="81" max="81" width="11.26953125" style="627" bestFit="1" customWidth="1"/>
    <col min="82" max="82" width="17.81640625" style="627" bestFit="1" customWidth="1"/>
    <col min="83" max="85" width="20.26953125" style="627" bestFit="1" customWidth="1"/>
    <col min="86" max="86" width="19.54296875" style="627" bestFit="1" customWidth="1"/>
    <col min="87" max="87" width="27.453125" style="627" bestFit="1" customWidth="1"/>
    <col min="88" max="88" width="9.08984375" style="627" bestFit="1" customWidth="1"/>
    <col min="89" max="89" width="19.26953125" style="627" bestFit="1" customWidth="1"/>
    <col min="90" max="90" width="9.08984375" style="627" bestFit="1" customWidth="1"/>
    <col min="91" max="91" width="10.6328125" style="627" bestFit="1" customWidth="1"/>
    <col min="92" max="92" width="6.26953125" style="627" bestFit="1" customWidth="1"/>
    <col min="93" max="93" width="15.54296875" style="627" bestFit="1" customWidth="1"/>
    <col min="94" max="94" width="17.6328125" style="627" bestFit="1" customWidth="1"/>
    <col min="95" max="95" width="8.08984375" style="627" bestFit="1" customWidth="1"/>
    <col min="96" max="96" width="13.81640625" style="627" bestFit="1" customWidth="1"/>
    <col min="97" max="97" width="21.81640625" style="627" bestFit="1" customWidth="1"/>
    <col min="98" max="98" width="15.1796875" style="627" bestFit="1" customWidth="1"/>
    <col min="99" max="99" width="11.81640625" style="627" bestFit="1" customWidth="1"/>
    <col min="100" max="100" width="20.08984375" style="627" bestFit="1" customWidth="1"/>
    <col min="101" max="101" width="21" style="627" bestFit="1" customWidth="1"/>
    <col min="102" max="102" width="18.1796875" style="627" bestFit="1" customWidth="1"/>
    <col min="103" max="103" width="21.81640625" style="627" bestFit="1" customWidth="1"/>
    <col min="104" max="104" width="17.1796875" style="627" bestFit="1" customWidth="1"/>
    <col min="105" max="105" width="11" style="627" bestFit="1" customWidth="1"/>
    <col min="106" max="106" width="22.08984375" style="627" bestFit="1" customWidth="1"/>
    <col min="107" max="107" width="16.08984375" style="627" bestFit="1" customWidth="1"/>
    <col min="108" max="108" width="13.08984375" style="627" bestFit="1" customWidth="1"/>
    <col min="109" max="109" width="18.453125" style="627" bestFit="1" customWidth="1"/>
    <col min="110" max="110" width="10.453125" style="627" bestFit="1" customWidth="1"/>
    <col min="111" max="111" width="17.81640625" style="627" bestFit="1" customWidth="1"/>
    <col min="112" max="112" width="11.6328125" style="627" bestFit="1" customWidth="1"/>
    <col min="113" max="113" width="19.81640625" style="627" bestFit="1" customWidth="1"/>
    <col min="114" max="114" width="14.81640625" style="627" bestFit="1" customWidth="1"/>
    <col min="115" max="115" width="16.26953125" style="627" bestFit="1" customWidth="1"/>
    <col min="116" max="116" width="5" style="627" bestFit="1" customWidth="1"/>
    <col min="117" max="117" width="21" style="627" bestFit="1" customWidth="1"/>
    <col min="118" max="118" width="21.26953125" style="627" bestFit="1" customWidth="1"/>
    <col min="119" max="119" width="23.54296875" style="627" bestFit="1" customWidth="1"/>
    <col min="120" max="120" width="18" style="627" bestFit="1" customWidth="1"/>
    <col min="121" max="121" width="28.81640625" style="627" bestFit="1" customWidth="1"/>
    <col min="122" max="122" width="25.08984375" style="627" bestFit="1" customWidth="1"/>
    <col min="123" max="123" width="26.26953125" style="627" bestFit="1" customWidth="1"/>
    <col min="124" max="124" width="22.81640625" style="627" bestFit="1" customWidth="1"/>
    <col min="125" max="125" width="25.81640625" style="627" bestFit="1" customWidth="1"/>
    <col min="126" max="127" width="29.6328125" style="627" bestFit="1" customWidth="1"/>
    <col min="128" max="128" width="23.08984375" style="627" bestFit="1" customWidth="1"/>
    <col min="129" max="129" width="26.6328125" style="627" bestFit="1" customWidth="1"/>
    <col min="130" max="130" width="20.08984375" style="627" bestFit="1" customWidth="1"/>
    <col min="131" max="131" width="26.08984375" style="627" bestFit="1" customWidth="1"/>
    <col min="132" max="132" width="24.54296875" style="627" bestFit="1" customWidth="1"/>
    <col min="133" max="133" width="21" style="627" bestFit="1" customWidth="1"/>
    <col min="134" max="134" width="25.6328125" style="627" bestFit="1" customWidth="1"/>
    <col min="135" max="135" width="27.1796875" style="627" bestFit="1" customWidth="1"/>
    <col min="136" max="136" width="22.81640625" style="627" bestFit="1" customWidth="1"/>
    <col min="137" max="137" width="20.1796875" style="627" bestFit="1" customWidth="1"/>
    <col min="138" max="138" width="22.1796875" style="627" bestFit="1" customWidth="1"/>
    <col min="139" max="139" width="18.26953125" style="627" bestFit="1" customWidth="1"/>
    <col min="140" max="140" width="21.26953125" style="627" bestFit="1" customWidth="1"/>
    <col min="141" max="141" width="18.81640625" style="627" bestFit="1" customWidth="1"/>
    <col min="142" max="142" width="21.6328125" style="627" bestFit="1" customWidth="1"/>
    <col min="143" max="144" width="25.54296875" style="627" bestFit="1" customWidth="1"/>
    <col min="145" max="145" width="19" style="627" bestFit="1" customWidth="1"/>
    <col min="146" max="146" width="25" style="627" bestFit="1" customWidth="1"/>
    <col min="147" max="147" width="22.54296875" style="627" bestFit="1" customWidth="1"/>
    <col min="148" max="148" width="21.08984375" style="627" bestFit="1" customWidth="1"/>
    <col min="149" max="149" width="16" style="627" bestFit="1" customWidth="1"/>
    <col min="150" max="150" width="26.26953125" style="627" bestFit="1" customWidth="1"/>
    <col min="151" max="151" width="12.26953125" style="627" bestFit="1" customWidth="1"/>
    <col min="152" max="152" width="10.6328125" style="627" bestFit="1" customWidth="1"/>
    <col min="153" max="153" width="18.81640625" style="627" bestFit="1" customWidth="1"/>
    <col min="154" max="154" width="15.81640625" style="627" bestFit="1" customWidth="1"/>
    <col min="155" max="155" width="11.6328125" style="627" bestFit="1" customWidth="1"/>
    <col min="156" max="156" width="17.6328125" style="627" bestFit="1" customWidth="1"/>
    <col min="157" max="157" width="15.81640625" style="627" bestFit="1" customWidth="1"/>
    <col min="158" max="158" width="19.453125" style="627" bestFit="1" customWidth="1"/>
    <col min="159" max="159" width="19.26953125" style="627" bestFit="1" customWidth="1"/>
    <col min="160" max="160" width="15.54296875" style="627" bestFit="1" customWidth="1"/>
    <col min="161" max="163" width="15" style="627" bestFit="1" customWidth="1"/>
    <col min="164" max="165" width="15.26953125" style="627" bestFit="1" customWidth="1"/>
    <col min="166" max="167" width="22" style="627" customWidth="1"/>
    <col min="168" max="168" width="13.453125" style="627" bestFit="1" customWidth="1"/>
    <col min="169" max="169" width="14.6328125" style="627" bestFit="1" customWidth="1"/>
    <col min="170" max="170" width="20.453125" style="627" bestFit="1" customWidth="1"/>
    <col min="171" max="171" width="21.54296875" style="627" bestFit="1" customWidth="1"/>
    <col min="172" max="172" width="17.6328125" style="627" bestFit="1" customWidth="1"/>
    <col min="173" max="173" width="20.6328125" style="627" bestFit="1" customWidth="1"/>
    <col min="174" max="174" width="17.54296875" style="627" bestFit="1" customWidth="1"/>
    <col min="175" max="175" width="26.81640625" style="627" bestFit="1" customWidth="1"/>
    <col min="176" max="176" width="20.08984375" style="627" bestFit="1" customWidth="1"/>
    <col min="177" max="177" width="18.81640625" style="627" bestFit="1" customWidth="1"/>
    <col min="178" max="178" width="10.54296875" style="627" bestFit="1" customWidth="1"/>
    <col min="179" max="179" width="24.08984375" style="627" bestFit="1" customWidth="1"/>
    <col min="180" max="180" width="8.81640625" style="627" bestFit="1" customWidth="1"/>
    <col min="181" max="181" width="22.453125" style="627" bestFit="1" customWidth="1"/>
    <col min="182" max="182" width="13.453125" style="627" bestFit="1" customWidth="1"/>
    <col min="183" max="183" width="18.1796875" style="627" bestFit="1" customWidth="1"/>
    <col min="184" max="184" width="15.6328125" style="627" bestFit="1" customWidth="1"/>
    <col min="185" max="185" width="13.26953125" style="627" bestFit="1" customWidth="1"/>
    <col min="186" max="186" width="21" style="627" bestFit="1" customWidth="1"/>
    <col min="187" max="187" width="10.81640625" style="627" bestFit="1" customWidth="1"/>
    <col min="188" max="188" width="19.1796875" style="627" bestFit="1" customWidth="1"/>
    <col min="189" max="189" width="9.26953125" style="627" bestFit="1" customWidth="1"/>
    <col min="190" max="190" width="12.08984375" style="627" bestFit="1" customWidth="1"/>
    <col min="191" max="191" width="18" style="627" bestFit="1" customWidth="1"/>
    <col min="192" max="192" width="18.81640625" style="627" bestFit="1" customWidth="1"/>
    <col min="193" max="193" width="20.81640625" style="627" bestFit="1" customWidth="1"/>
    <col min="194" max="194" width="23.81640625" style="627" bestFit="1" customWidth="1"/>
    <col min="195" max="195" width="16.81640625" style="627" bestFit="1" customWidth="1"/>
    <col min="196" max="196" width="15.54296875" style="627" bestFit="1" customWidth="1"/>
    <col min="197" max="197" width="17.1796875" style="627" bestFit="1" customWidth="1"/>
    <col min="198" max="198" width="19.453125" style="627" bestFit="1" customWidth="1"/>
    <col min="199" max="199" width="26" style="627" bestFit="1" customWidth="1"/>
    <col min="200" max="200" width="17.26953125" style="627" bestFit="1" customWidth="1"/>
    <col min="201" max="201" width="13" style="627" customWidth="1"/>
    <col min="202" max="202" width="17.81640625" style="627" bestFit="1" customWidth="1"/>
    <col min="203" max="203" width="18" style="627" bestFit="1" customWidth="1"/>
    <col min="204" max="204" width="17.08984375" style="627" bestFit="1" customWidth="1"/>
    <col min="205" max="205" width="23.81640625" style="627" bestFit="1" customWidth="1"/>
    <col min="206" max="206" width="20.26953125" style="627" bestFit="1" customWidth="1"/>
    <col min="207" max="207" width="17.81640625" style="627" bestFit="1" customWidth="1"/>
    <col min="208" max="208" width="22.1796875" style="627" bestFit="1" customWidth="1"/>
    <col min="209" max="209" width="20.1796875" style="627" bestFit="1" customWidth="1"/>
    <col min="210" max="210" width="21.26953125" style="627" bestFit="1" customWidth="1"/>
    <col min="211" max="211" width="26" style="627" bestFit="1" customWidth="1"/>
    <col min="212" max="212" width="24.08984375" style="627" bestFit="1" customWidth="1"/>
    <col min="213" max="213" width="18.81640625" style="627" bestFit="1" customWidth="1"/>
    <col min="214" max="214" width="15.54296875" style="627" bestFit="1" customWidth="1"/>
    <col min="215" max="215" width="17.81640625" style="627" bestFit="1" customWidth="1"/>
    <col min="216" max="216" width="15.453125" style="627" bestFit="1" customWidth="1"/>
    <col min="217" max="217" width="15.81640625" style="627" bestFit="1" customWidth="1"/>
    <col min="218" max="218" width="20.81640625" style="627" bestFit="1" customWidth="1"/>
    <col min="219" max="219" width="13.54296875" style="627" bestFit="1" customWidth="1"/>
    <col min="220" max="220" width="20.54296875" style="627" bestFit="1" customWidth="1"/>
    <col min="221" max="221" width="18.08984375" style="627" bestFit="1" customWidth="1"/>
    <col min="222" max="222" width="23.81640625" style="627" bestFit="1" customWidth="1"/>
    <col min="223" max="223" width="22.1796875" style="627" bestFit="1" customWidth="1"/>
    <col min="224" max="224" width="15" style="627" bestFit="1" customWidth="1"/>
    <col min="225" max="225" width="16" style="627" bestFit="1" customWidth="1"/>
    <col min="226" max="226" width="20.1796875" style="627" bestFit="1" customWidth="1"/>
    <col min="227" max="227" width="18.1796875" style="627" bestFit="1" customWidth="1"/>
    <col min="228" max="228" width="19.1796875" style="627" bestFit="1" customWidth="1"/>
    <col min="229" max="229" width="15.26953125" style="627" bestFit="1" customWidth="1"/>
    <col min="230" max="230" width="20.1796875" style="627" bestFit="1" customWidth="1"/>
    <col min="231" max="231" width="8" style="627" bestFit="1" customWidth="1"/>
    <col min="232" max="232" width="24.1796875" style="627" bestFit="1" customWidth="1"/>
    <col min="233" max="237" width="15.54296875" style="627" bestFit="1" customWidth="1"/>
    <col min="238" max="238" width="18" style="627" bestFit="1" customWidth="1"/>
    <col min="239" max="239" width="25.54296875" style="627" bestFit="1" customWidth="1"/>
    <col min="240" max="240" width="18.08984375" style="627" bestFit="1" customWidth="1"/>
    <col min="241" max="241" width="22.26953125" style="627" bestFit="1" customWidth="1"/>
    <col min="242" max="242" width="16.81640625" style="627" bestFit="1" customWidth="1"/>
    <col min="243" max="243" width="14.26953125" style="627" bestFit="1" customWidth="1"/>
    <col min="244" max="244" width="14.453125" style="627" bestFit="1" customWidth="1"/>
    <col min="245" max="245" width="12.54296875" style="627" bestFit="1" customWidth="1"/>
    <col min="246" max="246" width="13.1796875" style="627" bestFit="1" customWidth="1"/>
    <col min="247" max="247" width="21.1796875" style="627" bestFit="1" customWidth="1"/>
    <col min="248" max="248" width="25.54296875" style="627" bestFit="1" customWidth="1"/>
    <col min="249" max="249" width="19.1796875" style="627" bestFit="1" customWidth="1"/>
    <col min="250" max="250" width="25.08984375" style="627" bestFit="1" customWidth="1"/>
    <col min="251" max="251" width="18.54296875" style="627" bestFit="1" customWidth="1"/>
    <col min="252" max="252" width="15.08984375" style="627" bestFit="1" customWidth="1"/>
    <col min="253" max="253" width="16.81640625" style="627" bestFit="1" customWidth="1"/>
    <col min="254" max="254" width="14.81640625" style="627" bestFit="1" customWidth="1"/>
    <col min="255" max="255" width="19.81640625" style="627" bestFit="1" customWidth="1"/>
    <col min="256" max="256" width="24.08984375" style="627" bestFit="1" customWidth="1"/>
    <col min="257" max="257" width="18" style="627" bestFit="1" customWidth="1"/>
    <col min="258" max="258" width="13.81640625" style="627" bestFit="1" customWidth="1"/>
    <col min="259" max="259" width="19.81640625" style="627" bestFit="1" customWidth="1"/>
    <col min="260" max="260" width="23.81640625" style="627" bestFit="1" customWidth="1"/>
    <col min="261" max="261" width="20.08984375" style="627" bestFit="1" customWidth="1"/>
    <col min="262" max="262" width="24.08984375" style="627" bestFit="1" customWidth="1"/>
    <col min="263" max="263" width="19.81640625" style="627" bestFit="1" customWidth="1"/>
    <col min="264" max="264" width="21.81640625" style="627" bestFit="1" customWidth="1"/>
    <col min="265" max="265" width="21" style="627" bestFit="1" customWidth="1"/>
    <col min="266" max="266" width="22.81640625" style="627" bestFit="1" customWidth="1"/>
    <col min="267" max="267" width="21" style="627" bestFit="1" customWidth="1"/>
    <col min="268" max="268" width="22.81640625" style="627" bestFit="1" customWidth="1"/>
    <col min="269" max="269" width="14.26953125" style="627" bestFit="1" customWidth="1"/>
    <col min="270" max="270" width="21.26953125" style="627" bestFit="1" customWidth="1"/>
    <col min="271" max="271" width="19.6328125" style="627" bestFit="1" customWidth="1"/>
    <col min="272" max="272" width="20" style="627" bestFit="1" customWidth="1"/>
    <col min="273" max="273" width="21.26953125" style="627" bestFit="1" customWidth="1"/>
    <col min="274" max="274" width="21.6328125" style="627" bestFit="1" customWidth="1"/>
    <col min="275" max="275" width="17.1796875" style="627" bestFit="1" customWidth="1"/>
    <col min="276" max="278" width="17.6328125" style="627" bestFit="1" customWidth="1"/>
    <col min="279" max="281" width="20.08984375" style="627" bestFit="1" customWidth="1"/>
    <col min="282" max="282" width="13.81640625" style="627" bestFit="1" customWidth="1"/>
    <col min="283" max="283" width="11.1796875" style="627" bestFit="1" customWidth="1"/>
    <col min="284" max="284" width="18.81640625" style="627" bestFit="1" customWidth="1"/>
    <col min="285" max="285" width="19" style="627" bestFit="1" customWidth="1"/>
    <col min="286" max="286" width="18" style="627" bestFit="1" customWidth="1"/>
    <col min="287" max="287" width="15.08984375" style="627" bestFit="1" customWidth="1"/>
    <col min="288" max="288" width="15.81640625" style="627" bestFit="1" customWidth="1"/>
    <col min="289" max="289" width="21.6328125" style="627" bestFit="1" customWidth="1"/>
    <col min="290" max="290" width="18.81640625" style="627" bestFit="1" customWidth="1"/>
    <col min="291" max="291" width="16.81640625" style="627" bestFit="1" customWidth="1"/>
    <col min="292" max="292" width="15.453125" style="627" bestFit="1" customWidth="1"/>
    <col min="293" max="293" width="11.81640625" style="627" bestFit="1" customWidth="1"/>
    <col min="294" max="294" width="20.54296875" style="627" bestFit="1" customWidth="1"/>
    <col min="295" max="295" width="24.81640625" style="627" bestFit="1" customWidth="1"/>
    <col min="296" max="296" width="21.81640625" style="627" bestFit="1" customWidth="1"/>
    <col min="297" max="297" width="22.1796875" style="627" bestFit="1" customWidth="1"/>
    <col min="298" max="298" width="26.54296875" style="627" bestFit="1" customWidth="1"/>
    <col min="299" max="299" width="21" style="627" bestFit="1" customWidth="1"/>
    <col min="300" max="300" width="25.1796875" style="627" bestFit="1" customWidth="1"/>
    <col min="301" max="301" width="21.6328125" style="627" bestFit="1" customWidth="1"/>
    <col min="302" max="16384" width="8.90625" style="627"/>
  </cols>
  <sheetData>
    <row r="1" spans="1:334" x14ac:dyDescent="0.25">
      <c r="B1" s="627">
        <v>1</v>
      </c>
      <c r="C1" s="627">
        <v>2</v>
      </c>
      <c r="D1" s="627">
        <v>3</v>
      </c>
      <c r="E1" s="627">
        <v>4</v>
      </c>
      <c r="F1" s="627">
        <v>5</v>
      </c>
      <c r="G1" s="627">
        <v>6</v>
      </c>
      <c r="H1" s="627">
        <v>7</v>
      </c>
      <c r="I1" s="627">
        <v>8</v>
      </c>
      <c r="J1" s="627">
        <v>9</v>
      </c>
      <c r="K1" s="627">
        <v>10</v>
      </c>
      <c r="L1" s="627">
        <v>11</v>
      </c>
      <c r="M1" s="627">
        <v>12</v>
      </c>
      <c r="N1" s="627">
        <v>13</v>
      </c>
      <c r="O1" s="627">
        <v>14</v>
      </c>
      <c r="P1" s="627">
        <v>15</v>
      </c>
      <c r="Q1" s="627">
        <v>16</v>
      </c>
      <c r="R1" s="627">
        <v>17</v>
      </c>
      <c r="S1" s="627">
        <v>18</v>
      </c>
      <c r="T1" s="627">
        <v>19</v>
      </c>
      <c r="U1" s="627">
        <v>20</v>
      </c>
      <c r="V1" s="627">
        <v>21</v>
      </c>
      <c r="W1" s="627">
        <v>22</v>
      </c>
      <c r="X1" s="627">
        <v>23</v>
      </c>
      <c r="Y1" s="627">
        <v>24</v>
      </c>
      <c r="Z1" s="627">
        <v>25</v>
      </c>
      <c r="AA1" s="627">
        <v>26</v>
      </c>
      <c r="AB1" s="627">
        <v>27</v>
      </c>
      <c r="AC1" s="627">
        <v>28</v>
      </c>
      <c r="AD1" s="627">
        <v>29</v>
      </c>
      <c r="AE1" s="627">
        <v>30</v>
      </c>
      <c r="AF1" s="627">
        <v>31</v>
      </c>
      <c r="AG1" s="627">
        <v>32</v>
      </c>
      <c r="AH1" s="627">
        <v>33</v>
      </c>
      <c r="AI1" s="627">
        <v>34</v>
      </c>
      <c r="AJ1" s="627">
        <v>35</v>
      </c>
      <c r="AK1" s="627">
        <v>36</v>
      </c>
      <c r="AL1" s="627">
        <v>37</v>
      </c>
      <c r="AM1" s="627">
        <v>38</v>
      </c>
      <c r="AN1" s="627">
        <v>39</v>
      </c>
      <c r="AO1" s="627">
        <v>40</v>
      </c>
      <c r="AP1" s="627">
        <v>41</v>
      </c>
      <c r="AQ1" s="627">
        <v>42</v>
      </c>
      <c r="AR1" s="627">
        <v>43</v>
      </c>
      <c r="AS1" s="627">
        <v>44</v>
      </c>
      <c r="AT1" s="627">
        <v>45</v>
      </c>
      <c r="AU1" s="627">
        <v>46</v>
      </c>
      <c r="AV1" s="627">
        <v>47</v>
      </c>
      <c r="AW1" s="627">
        <v>48</v>
      </c>
      <c r="AX1" s="627">
        <v>49</v>
      </c>
      <c r="AY1" s="627">
        <v>50</v>
      </c>
      <c r="AZ1" s="627">
        <v>51</v>
      </c>
      <c r="BA1" s="627">
        <v>52</v>
      </c>
      <c r="BB1" s="627">
        <v>53</v>
      </c>
      <c r="BC1" s="627">
        <v>54</v>
      </c>
      <c r="BD1" s="627">
        <v>55</v>
      </c>
      <c r="BE1" s="627">
        <v>56</v>
      </c>
      <c r="BF1" s="627">
        <v>57</v>
      </c>
      <c r="BG1" s="627">
        <v>58</v>
      </c>
      <c r="BH1" s="627">
        <v>59</v>
      </c>
      <c r="BI1" s="627">
        <v>60</v>
      </c>
      <c r="BJ1" s="627">
        <v>61</v>
      </c>
      <c r="BK1" s="627">
        <v>62</v>
      </c>
      <c r="BL1" s="627">
        <v>63</v>
      </c>
      <c r="BM1" s="627">
        <v>64</v>
      </c>
      <c r="BN1" s="627">
        <v>65</v>
      </c>
      <c r="BO1" s="627">
        <v>66</v>
      </c>
      <c r="BP1" s="627">
        <v>67</v>
      </c>
      <c r="BQ1" s="627">
        <v>68</v>
      </c>
      <c r="BR1" s="627">
        <v>69</v>
      </c>
      <c r="BS1" s="627">
        <v>70</v>
      </c>
      <c r="BT1" s="627">
        <v>71</v>
      </c>
      <c r="BU1" s="627">
        <v>72</v>
      </c>
      <c r="BV1" s="627">
        <v>73</v>
      </c>
      <c r="BW1" s="627">
        <v>74</v>
      </c>
      <c r="BX1" s="627">
        <v>75</v>
      </c>
      <c r="BY1" s="627">
        <v>76</v>
      </c>
      <c r="BZ1" s="627">
        <v>77</v>
      </c>
      <c r="CA1" s="627">
        <v>78</v>
      </c>
      <c r="CB1" s="627">
        <v>79</v>
      </c>
      <c r="CC1" s="627">
        <v>80</v>
      </c>
      <c r="CD1" s="627">
        <v>81</v>
      </c>
      <c r="CE1" s="627">
        <v>82</v>
      </c>
      <c r="CF1" s="627">
        <v>83</v>
      </c>
      <c r="CG1" s="627">
        <v>84</v>
      </c>
      <c r="CH1" s="627">
        <v>85</v>
      </c>
      <c r="CI1" s="627">
        <v>86</v>
      </c>
      <c r="CJ1" s="627">
        <v>87</v>
      </c>
      <c r="CK1" s="627">
        <v>88</v>
      </c>
      <c r="CL1" s="627">
        <v>89</v>
      </c>
      <c r="CM1" s="627">
        <v>90</v>
      </c>
      <c r="CN1" s="627">
        <v>91</v>
      </c>
      <c r="CO1" s="627">
        <v>92</v>
      </c>
      <c r="CP1" s="627">
        <v>93</v>
      </c>
      <c r="CQ1" s="627">
        <v>94</v>
      </c>
      <c r="CR1" s="627">
        <v>95</v>
      </c>
      <c r="CS1" s="627">
        <v>96</v>
      </c>
      <c r="CT1" s="627">
        <v>97</v>
      </c>
      <c r="CU1" s="627">
        <v>98</v>
      </c>
      <c r="CV1" s="627">
        <v>99</v>
      </c>
      <c r="CW1" s="627">
        <v>100</v>
      </c>
      <c r="CX1" s="627">
        <v>101</v>
      </c>
      <c r="CY1" s="627">
        <v>102</v>
      </c>
      <c r="CZ1" s="627">
        <v>103</v>
      </c>
      <c r="DA1" s="627">
        <v>104</v>
      </c>
      <c r="DB1" s="627">
        <v>105</v>
      </c>
      <c r="DC1" s="627">
        <v>106</v>
      </c>
      <c r="DD1" s="627">
        <v>107</v>
      </c>
      <c r="DE1" s="627">
        <v>108</v>
      </c>
      <c r="DF1" s="627">
        <v>109</v>
      </c>
      <c r="DG1" s="627">
        <v>110</v>
      </c>
      <c r="DH1" s="627">
        <v>111</v>
      </c>
      <c r="DI1" s="627">
        <v>112</v>
      </c>
      <c r="DJ1" s="627">
        <v>113</v>
      </c>
      <c r="DK1" s="627">
        <v>114</v>
      </c>
      <c r="DL1" s="627">
        <v>115</v>
      </c>
      <c r="DM1" s="627">
        <v>116</v>
      </c>
      <c r="DN1" s="627">
        <v>117</v>
      </c>
      <c r="DO1" s="627">
        <v>118</v>
      </c>
      <c r="DP1" s="627">
        <v>119</v>
      </c>
      <c r="DQ1" s="627">
        <v>120</v>
      </c>
      <c r="DR1" s="627">
        <v>121</v>
      </c>
      <c r="DS1" s="627">
        <v>122</v>
      </c>
      <c r="DT1" s="627">
        <v>123</v>
      </c>
      <c r="DU1" s="627">
        <v>124</v>
      </c>
      <c r="DV1" s="627">
        <v>125</v>
      </c>
      <c r="DW1" s="627">
        <v>126</v>
      </c>
      <c r="DX1" s="627">
        <v>127</v>
      </c>
      <c r="DY1" s="627">
        <v>128</v>
      </c>
      <c r="DZ1" s="627">
        <v>129</v>
      </c>
      <c r="EA1" s="627">
        <v>130</v>
      </c>
      <c r="EB1" s="627">
        <v>131</v>
      </c>
      <c r="EC1" s="627">
        <v>132</v>
      </c>
      <c r="ED1" s="627">
        <v>133</v>
      </c>
      <c r="EE1" s="627">
        <v>134</v>
      </c>
      <c r="EF1" s="627">
        <v>135</v>
      </c>
      <c r="EG1" s="627">
        <v>136</v>
      </c>
      <c r="EH1" s="627">
        <v>137</v>
      </c>
      <c r="EI1" s="627">
        <v>138</v>
      </c>
      <c r="EJ1" s="627">
        <v>139</v>
      </c>
      <c r="EK1" s="627">
        <v>140</v>
      </c>
      <c r="EL1" s="627">
        <v>141</v>
      </c>
      <c r="EM1" s="627">
        <v>142</v>
      </c>
      <c r="EN1" s="627">
        <v>143</v>
      </c>
      <c r="EO1" s="627">
        <v>144</v>
      </c>
      <c r="EP1" s="627">
        <v>145</v>
      </c>
      <c r="EQ1" s="627">
        <v>146</v>
      </c>
      <c r="ER1" s="627">
        <v>147</v>
      </c>
      <c r="ES1" s="627">
        <v>148</v>
      </c>
      <c r="ET1" s="627">
        <v>149</v>
      </c>
      <c r="EU1" s="627">
        <v>150</v>
      </c>
      <c r="EV1" s="627">
        <v>151</v>
      </c>
      <c r="EW1" s="627">
        <v>152</v>
      </c>
      <c r="EX1" s="627">
        <v>153</v>
      </c>
      <c r="EY1" s="627">
        <v>154</v>
      </c>
      <c r="EZ1" s="627">
        <v>155</v>
      </c>
      <c r="FA1" s="627">
        <v>156</v>
      </c>
      <c r="FB1" s="627">
        <v>157</v>
      </c>
      <c r="FC1" s="627">
        <v>158</v>
      </c>
      <c r="FD1" s="627">
        <v>159</v>
      </c>
      <c r="FE1" s="627">
        <v>160</v>
      </c>
      <c r="FF1" s="627">
        <v>161</v>
      </c>
      <c r="FG1" s="627">
        <v>162</v>
      </c>
      <c r="FH1" s="627">
        <v>163</v>
      </c>
      <c r="FI1" s="627">
        <v>164</v>
      </c>
      <c r="FJ1" s="627">
        <v>165</v>
      </c>
      <c r="FK1" s="627">
        <v>166</v>
      </c>
      <c r="FL1" s="627">
        <v>167</v>
      </c>
      <c r="FM1" s="627">
        <v>168</v>
      </c>
      <c r="FN1" s="627">
        <v>169</v>
      </c>
      <c r="FO1" s="627">
        <v>170</v>
      </c>
      <c r="FP1" s="627">
        <v>171</v>
      </c>
      <c r="FQ1" s="627">
        <v>172</v>
      </c>
      <c r="FR1" s="627">
        <v>173</v>
      </c>
      <c r="FS1" s="627">
        <v>174</v>
      </c>
      <c r="FT1" s="627">
        <v>175</v>
      </c>
      <c r="FU1" s="627">
        <v>176</v>
      </c>
      <c r="FV1" s="627">
        <v>177</v>
      </c>
      <c r="FW1" s="627">
        <v>178</v>
      </c>
      <c r="FX1" s="627">
        <v>179</v>
      </c>
      <c r="FY1" s="627">
        <v>180</v>
      </c>
      <c r="FZ1" s="627">
        <v>181</v>
      </c>
      <c r="GA1" s="627">
        <v>182</v>
      </c>
      <c r="GB1" s="627">
        <v>183</v>
      </c>
      <c r="GC1" s="627">
        <v>184</v>
      </c>
      <c r="GD1" s="627">
        <v>185</v>
      </c>
      <c r="GE1" s="627">
        <v>186</v>
      </c>
      <c r="GF1" s="627">
        <v>187</v>
      </c>
      <c r="GG1" s="627">
        <v>188</v>
      </c>
      <c r="GH1" s="627">
        <v>189</v>
      </c>
      <c r="GI1" s="627">
        <v>190</v>
      </c>
      <c r="GJ1" s="627">
        <v>191</v>
      </c>
      <c r="GK1" s="627">
        <v>192</v>
      </c>
      <c r="GL1" s="627">
        <v>193</v>
      </c>
      <c r="GM1" s="627">
        <v>194</v>
      </c>
      <c r="GN1" s="627">
        <v>195</v>
      </c>
      <c r="GO1" s="627">
        <v>196</v>
      </c>
      <c r="GP1" s="627">
        <v>197</v>
      </c>
      <c r="GQ1" s="627">
        <v>198</v>
      </c>
      <c r="GR1" s="627">
        <v>199</v>
      </c>
      <c r="GS1" s="627">
        <v>200</v>
      </c>
      <c r="GT1" s="627">
        <v>201</v>
      </c>
      <c r="GU1" s="627">
        <v>202</v>
      </c>
      <c r="GV1" s="627">
        <v>203</v>
      </c>
      <c r="GW1" s="627">
        <v>204</v>
      </c>
      <c r="GX1" s="627">
        <v>205</v>
      </c>
      <c r="GY1" s="627">
        <v>206</v>
      </c>
      <c r="GZ1" s="627">
        <v>207</v>
      </c>
      <c r="HA1" s="627">
        <v>208</v>
      </c>
      <c r="HB1" s="627">
        <v>209</v>
      </c>
      <c r="HC1" s="627">
        <v>210</v>
      </c>
      <c r="HD1" s="627">
        <v>211</v>
      </c>
      <c r="HE1" s="627">
        <v>212</v>
      </c>
      <c r="HF1" s="627">
        <v>213</v>
      </c>
      <c r="HG1" s="627">
        <v>214</v>
      </c>
      <c r="HH1" s="627">
        <v>215</v>
      </c>
      <c r="HI1" s="627">
        <v>216</v>
      </c>
      <c r="HJ1" s="627">
        <v>217</v>
      </c>
      <c r="HK1" s="627">
        <v>218</v>
      </c>
      <c r="HL1" s="627">
        <v>219</v>
      </c>
      <c r="HM1" s="627">
        <v>220</v>
      </c>
      <c r="HN1" s="627">
        <v>221</v>
      </c>
      <c r="HO1" s="627">
        <v>222</v>
      </c>
      <c r="HP1" s="627">
        <v>223</v>
      </c>
      <c r="HQ1" s="627">
        <v>224</v>
      </c>
      <c r="HR1" s="627">
        <v>225</v>
      </c>
      <c r="HS1" s="627">
        <v>226</v>
      </c>
      <c r="HT1" s="627">
        <v>227</v>
      </c>
      <c r="HU1" s="627">
        <v>228</v>
      </c>
      <c r="HV1" s="627">
        <v>229</v>
      </c>
      <c r="HW1" s="627">
        <v>230</v>
      </c>
      <c r="HX1" s="627">
        <v>231</v>
      </c>
      <c r="HY1" s="627">
        <v>232</v>
      </c>
      <c r="HZ1" s="627">
        <v>233</v>
      </c>
      <c r="IA1" s="627">
        <v>234</v>
      </c>
      <c r="IB1" s="627">
        <v>235</v>
      </c>
      <c r="IC1" s="627">
        <v>236</v>
      </c>
      <c r="ID1" s="627">
        <v>237</v>
      </c>
      <c r="IE1" s="627">
        <v>238</v>
      </c>
      <c r="IF1" s="627">
        <v>239</v>
      </c>
      <c r="IG1" s="627">
        <v>240</v>
      </c>
      <c r="IH1" s="627">
        <v>241</v>
      </c>
      <c r="II1" s="627">
        <v>242</v>
      </c>
      <c r="IJ1" s="627">
        <v>243</v>
      </c>
      <c r="IK1" s="627">
        <v>244</v>
      </c>
      <c r="IL1" s="627">
        <v>245</v>
      </c>
      <c r="IM1" s="627">
        <v>246</v>
      </c>
      <c r="IN1" s="627">
        <v>247</v>
      </c>
      <c r="IO1" s="627">
        <v>248</v>
      </c>
      <c r="IP1" s="627">
        <v>249</v>
      </c>
      <c r="IQ1" s="627">
        <v>250</v>
      </c>
      <c r="IR1" s="627">
        <v>251</v>
      </c>
      <c r="IS1" s="627">
        <v>252</v>
      </c>
      <c r="IT1" s="627">
        <v>253</v>
      </c>
      <c r="IU1" s="627">
        <v>254</v>
      </c>
      <c r="IV1" s="627">
        <v>255</v>
      </c>
      <c r="IW1" s="627">
        <v>256</v>
      </c>
      <c r="IX1" s="627">
        <v>257</v>
      </c>
      <c r="IY1" s="627">
        <v>258</v>
      </c>
      <c r="IZ1" s="627">
        <v>259</v>
      </c>
      <c r="JA1" s="627">
        <v>260</v>
      </c>
      <c r="JB1" s="627">
        <v>261</v>
      </c>
      <c r="JC1" s="627">
        <v>262</v>
      </c>
      <c r="JD1" s="627">
        <v>263</v>
      </c>
      <c r="JE1" s="627">
        <v>264</v>
      </c>
      <c r="JF1" s="627">
        <v>265</v>
      </c>
      <c r="JG1" s="627">
        <v>266</v>
      </c>
      <c r="JH1" s="627">
        <v>267</v>
      </c>
      <c r="JI1" s="627">
        <v>268</v>
      </c>
      <c r="JJ1" s="627">
        <v>269</v>
      </c>
      <c r="JK1" s="627">
        <v>270</v>
      </c>
      <c r="JL1" s="627">
        <v>271</v>
      </c>
      <c r="JM1" s="627">
        <v>272</v>
      </c>
      <c r="JN1" s="627">
        <v>273</v>
      </c>
      <c r="JO1" s="627">
        <v>274</v>
      </c>
      <c r="JP1" s="627">
        <v>275</v>
      </c>
      <c r="JQ1" s="627">
        <v>276</v>
      </c>
      <c r="JR1" s="627">
        <v>277</v>
      </c>
      <c r="JS1" s="627">
        <v>278</v>
      </c>
      <c r="JT1" s="627">
        <v>279</v>
      </c>
      <c r="JU1" s="627">
        <v>280</v>
      </c>
      <c r="JV1" s="627">
        <v>281</v>
      </c>
      <c r="JW1" s="627">
        <v>282</v>
      </c>
      <c r="JX1" s="627">
        <v>283</v>
      </c>
      <c r="JY1" s="627">
        <v>284</v>
      </c>
      <c r="JZ1" s="627">
        <v>285</v>
      </c>
      <c r="KA1" s="627">
        <v>286</v>
      </c>
      <c r="KB1" s="627">
        <v>287</v>
      </c>
      <c r="KC1" s="627">
        <v>288</v>
      </c>
      <c r="KD1" s="627">
        <v>289</v>
      </c>
      <c r="KE1" s="627">
        <v>290</v>
      </c>
      <c r="KF1" s="627">
        <v>291</v>
      </c>
      <c r="KG1" s="627">
        <v>292</v>
      </c>
      <c r="KH1" s="627">
        <v>293</v>
      </c>
      <c r="KI1" s="627">
        <v>294</v>
      </c>
      <c r="KJ1" s="627">
        <v>295</v>
      </c>
      <c r="KK1" s="627">
        <v>296</v>
      </c>
      <c r="KL1" s="627">
        <v>297</v>
      </c>
      <c r="KM1" s="627">
        <v>298</v>
      </c>
      <c r="KN1" s="627">
        <v>299</v>
      </c>
      <c r="KO1" s="627">
        <v>300</v>
      </c>
      <c r="KP1" s="627">
        <v>301</v>
      </c>
      <c r="KQ1" s="627">
        <v>302</v>
      </c>
      <c r="KR1" s="627">
        <v>303</v>
      </c>
      <c r="KS1" s="627">
        <v>304</v>
      </c>
      <c r="KT1" s="627">
        <v>305</v>
      </c>
      <c r="KU1" s="627">
        <v>306</v>
      </c>
      <c r="KV1" s="627">
        <v>307</v>
      </c>
      <c r="KW1" s="627">
        <v>308</v>
      </c>
      <c r="KX1" s="627">
        <v>309</v>
      </c>
      <c r="KY1" s="627">
        <v>310</v>
      </c>
      <c r="KZ1" s="627">
        <v>311</v>
      </c>
      <c r="LA1" s="627">
        <v>312</v>
      </c>
      <c r="LB1" s="627">
        <v>313</v>
      </c>
      <c r="LC1" s="627">
        <v>314</v>
      </c>
      <c r="LD1" s="627">
        <v>315</v>
      </c>
      <c r="LE1" s="627">
        <v>316</v>
      </c>
      <c r="LF1" s="627">
        <v>317</v>
      </c>
      <c r="LG1" s="627">
        <v>318</v>
      </c>
      <c r="LH1" s="627">
        <v>319</v>
      </c>
      <c r="LI1" s="627">
        <v>320</v>
      </c>
      <c r="LJ1" s="627">
        <v>321</v>
      </c>
      <c r="LK1" s="627">
        <v>322</v>
      </c>
      <c r="LL1" s="627">
        <v>323</v>
      </c>
      <c r="LM1" s="627">
        <v>324</v>
      </c>
      <c r="LN1" s="627">
        <v>325</v>
      </c>
      <c r="LO1" s="627">
        <v>326</v>
      </c>
      <c r="LP1" s="627">
        <v>327</v>
      </c>
      <c r="LQ1" s="627">
        <v>328</v>
      </c>
      <c r="LR1" s="627">
        <v>329</v>
      </c>
      <c r="LS1" s="627">
        <v>330</v>
      </c>
      <c r="LT1" s="627">
        <v>331</v>
      </c>
      <c r="LU1" s="627">
        <v>332</v>
      </c>
      <c r="LV1" s="627">
        <v>333</v>
      </c>
    </row>
    <row r="2" spans="1:334" s="628" customFormat="1" ht="14.5" x14ac:dyDescent="0.35">
      <c r="A2" s="628" t="s">
        <v>119</v>
      </c>
      <c r="B2" s="628" t="s">
        <v>120</v>
      </c>
      <c r="D2" s="628" t="s">
        <v>417</v>
      </c>
      <c r="E2" s="628" t="s">
        <v>121</v>
      </c>
      <c r="F2" s="628" t="s">
        <v>122</v>
      </c>
      <c r="G2" s="628" t="s">
        <v>123</v>
      </c>
      <c r="H2" s="628" t="s">
        <v>124</v>
      </c>
      <c r="I2" s="628" t="s">
        <v>125</v>
      </c>
      <c r="J2" s="628" t="s">
        <v>126</v>
      </c>
      <c r="K2" s="628" t="s">
        <v>127</v>
      </c>
      <c r="L2" s="628" t="s">
        <v>128</v>
      </c>
      <c r="M2" s="628" t="s">
        <v>129</v>
      </c>
      <c r="N2" s="628" t="s">
        <v>130</v>
      </c>
      <c r="O2" s="628" t="s">
        <v>131</v>
      </c>
      <c r="P2" s="628" t="s">
        <v>132</v>
      </c>
      <c r="Q2" s="628" t="s">
        <v>133</v>
      </c>
      <c r="R2" s="628" t="s">
        <v>134</v>
      </c>
      <c r="S2" s="628" t="s">
        <v>135</v>
      </c>
      <c r="T2" s="628" t="s">
        <v>136</v>
      </c>
      <c r="U2" s="628" t="s">
        <v>137</v>
      </c>
      <c r="V2" s="628" t="s">
        <v>138</v>
      </c>
      <c r="W2" s="628" t="s">
        <v>139</v>
      </c>
      <c r="X2" s="628" t="s">
        <v>140</v>
      </c>
      <c r="Y2" s="628" t="s">
        <v>141</v>
      </c>
      <c r="Z2" s="628" t="s">
        <v>142</v>
      </c>
      <c r="AA2" s="628" t="s">
        <v>143</v>
      </c>
      <c r="AB2" s="628" t="s">
        <v>144</v>
      </c>
      <c r="AC2" s="628" t="s">
        <v>145</v>
      </c>
      <c r="AD2" s="628" t="s">
        <v>146</v>
      </c>
      <c r="AE2" s="628" t="s">
        <v>147</v>
      </c>
      <c r="AF2" s="628" t="s">
        <v>148</v>
      </c>
      <c r="AG2" s="628" t="s">
        <v>149</v>
      </c>
      <c r="AH2" s="628" t="s">
        <v>150</v>
      </c>
      <c r="AI2" s="628" t="s">
        <v>151</v>
      </c>
      <c r="AJ2" s="628" t="s">
        <v>152</v>
      </c>
      <c r="AK2" s="628" t="s">
        <v>153</v>
      </c>
      <c r="AL2" s="628" t="s">
        <v>154</v>
      </c>
      <c r="AM2" s="628" t="s">
        <v>155</v>
      </c>
      <c r="AN2" s="628" t="s">
        <v>156</v>
      </c>
      <c r="AO2" s="628" t="s">
        <v>157</v>
      </c>
      <c r="AP2" s="628" t="s">
        <v>158</v>
      </c>
      <c r="AQ2" s="628" t="s">
        <v>159</v>
      </c>
      <c r="AR2" s="628" t="s">
        <v>160</v>
      </c>
      <c r="AS2" s="628" t="s">
        <v>161</v>
      </c>
      <c r="AT2" s="628" t="s">
        <v>162</v>
      </c>
      <c r="AU2" s="628" t="s">
        <v>163</v>
      </c>
      <c r="AV2" s="628" t="s">
        <v>164</v>
      </c>
      <c r="AW2" s="628" t="s">
        <v>165</v>
      </c>
      <c r="AX2" s="628" t="s">
        <v>166</v>
      </c>
      <c r="AY2" s="628" t="s">
        <v>167</v>
      </c>
      <c r="AZ2" s="628" t="s">
        <v>168</v>
      </c>
      <c r="BA2" s="628" t="s">
        <v>169</v>
      </c>
      <c r="BB2" s="628" t="s">
        <v>170</v>
      </c>
      <c r="BC2" s="628" t="s">
        <v>171</v>
      </c>
      <c r="BD2" s="628" t="s">
        <v>172</v>
      </c>
      <c r="BE2" s="628" t="s">
        <v>173</v>
      </c>
      <c r="BF2" s="628" t="s">
        <v>174</v>
      </c>
      <c r="BG2" s="628" t="s">
        <v>175</v>
      </c>
      <c r="BH2" s="628" t="s">
        <v>176</v>
      </c>
      <c r="BI2" s="628" t="s">
        <v>177</v>
      </c>
      <c r="BJ2" s="628" t="s">
        <v>178</v>
      </c>
      <c r="BK2" s="628" t="s">
        <v>179</v>
      </c>
      <c r="BL2" s="628" t="s">
        <v>180</v>
      </c>
      <c r="BM2" s="628" t="s">
        <v>181</v>
      </c>
      <c r="BN2" s="628" t="s">
        <v>182</v>
      </c>
      <c r="BO2" s="628" t="s">
        <v>183</v>
      </c>
      <c r="BP2" s="628" t="s">
        <v>184</v>
      </c>
      <c r="BQ2" s="628" t="s">
        <v>185</v>
      </c>
      <c r="BR2" s="628" t="s">
        <v>186</v>
      </c>
      <c r="BS2" s="628" t="s">
        <v>187</v>
      </c>
      <c r="BT2" s="628" t="s">
        <v>188</v>
      </c>
      <c r="BU2" s="628" t="s">
        <v>189</v>
      </c>
      <c r="BV2" s="628" t="s">
        <v>190</v>
      </c>
      <c r="BW2" s="628" t="s">
        <v>191</v>
      </c>
      <c r="BX2" s="628" t="s">
        <v>192</v>
      </c>
      <c r="BY2" s="628" t="s">
        <v>193</v>
      </c>
      <c r="BZ2" s="628" t="s">
        <v>194</v>
      </c>
      <c r="CA2" s="628" t="s">
        <v>195</v>
      </c>
      <c r="CB2" s="628" t="s">
        <v>196</v>
      </c>
      <c r="CC2" s="628" t="s">
        <v>197</v>
      </c>
      <c r="CD2" s="628" t="s">
        <v>198</v>
      </c>
      <c r="CE2" s="628" t="s">
        <v>199</v>
      </c>
      <c r="CF2" s="628" t="s">
        <v>200</v>
      </c>
      <c r="CG2" s="628" t="s">
        <v>201</v>
      </c>
      <c r="CH2" s="628" t="s">
        <v>202</v>
      </c>
      <c r="CI2" s="628" t="s">
        <v>203</v>
      </c>
      <c r="CJ2" s="628" t="s">
        <v>204</v>
      </c>
      <c r="CK2" s="628" t="s">
        <v>205</v>
      </c>
      <c r="CL2" s="628" t="s">
        <v>206</v>
      </c>
      <c r="CM2" s="628" t="s">
        <v>207</v>
      </c>
      <c r="CN2" s="628" t="s">
        <v>208</v>
      </c>
      <c r="CO2" s="628" t="s">
        <v>209</v>
      </c>
      <c r="CP2" s="628" t="s">
        <v>210</v>
      </c>
      <c r="CQ2" s="628" t="s">
        <v>211</v>
      </c>
      <c r="CR2" s="628" t="s">
        <v>212</v>
      </c>
      <c r="CS2" s="628" t="s">
        <v>213</v>
      </c>
      <c r="CT2" s="628" t="s">
        <v>214</v>
      </c>
      <c r="CU2" s="628" t="s">
        <v>215</v>
      </c>
      <c r="CV2" s="628" t="s">
        <v>216</v>
      </c>
      <c r="CW2" s="628" t="s">
        <v>217</v>
      </c>
      <c r="CX2" s="628" t="s">
        <v>218</v>
      </c>
      <c r="CY2" s="628" t="s">
        <v>219</v>
      </c>
      <c r="CZ2" s="628" t="s">
        <v>220</v>
      </c>
      <c r="DA2" s="628" t="s">
        <v>221</v>
      </c>
      <c r="DB2" s="628" t="s">
        <v>222</v>
      </c>
      <c r="DC2" s="628" t="s">
        <v>223</v>
      </c>
      <c r="DD2" s="628" t="s">
        <v>224</v>
      </c>
      <c r="DE2" s="628" t="s">
        <v>225</v>
      </c>
      <c r="DF2" s="628" t="s">
        <v>226</v>
      </c>
      <c r="DG2" s="628" t="s">
        <v>227</v>
      </c>
      <c r="DH2" s="628" t="s">
        <v>228</v>
      </c>
      <c r="DI2" s="628" t="s">
        <v>229</v>
      </c>
      <c r="DJ2" s="628" t="s">
        <v>230</v>
      </c>
      <c r="DK2" s="628" t="s">
        <v>231</v>
      </c>
      <c r="DL2" s="628" t="s">
        <v>232</v>
      </c>
      <c r="DM2" s="628" t="s">
        <v>233</v>
      </c>
      <c r="DN2" s="628" t="s">
        <v>234</v>
      </c>
      <c r="DO2" s="628" t="s">
        <v>235</v>
      </c>
      <c r="DP2" s="628" t="s">
        <v>236</v>
      </c>
      <c r="DQ2" s="628" t="s">
        <v>237</v>
      </c>
      <c r="DR2" s="628" t="s">
        <v>238</v>
      </c>
      <c r="DS2" s="628" t="s">
        <v>239</v>
      </c>
      <c r="DT2" s="628" t="s">
        <v>240</v>
      </c>
      <c r="DU2" s="628" t="s">
        <v>241</v>
      </c>
      <c r="DV2" s="628" t="s">
        <v>242</v>
      </c>
      <c r="DW2" s="628" t="s">
        <v>243</v>
      </c>
      <c r="DX2" s="628" t="s">
        <v>244</v>
      </c>
      <c r="DY2" s="628" t="s">
        <v>245</v>
      </c>
      <c r="DZ2" s="628" t="s">
        <v>246</v>
      </c>
      <c r="EA2" s="628" t="s">
        <v>247</v>
      </c>
      <c r="EB2" s="628" t="s">
        <v>248</v>
      </c>
      <c r="EC2" s="628" t="s">
        <v>249</v>
      </c>
      <c r="ED2" s="628" t="s">
        <v>250</v>
      </c>
      <c r="EE2" s="628" t="s">
        <v>251</v>
      </c>
      <c r="EF2" s="628" t="s">
        <v>252</v>
      </c>
      <c r="EG2" s="628" t="s">
        <v>253</v>
      </c>
      <c r="EH2" s="628" t="s">
        <v>254</v>
      </c>
      <c r="EI2" s="628" t="s">
        <v>255</v>
      </c>
      <c r="EJ2" s="628" t="s">
        <v>256</v>
      </c>
      <c r="EK2" s="628" t="s">
        <v>257</v>
      </c>
      <c r="EL2" s="628" t="s">
        <v>258</v>
      </c>
      <c r="EM2" s="628" t="s">
        <v>259</v>
      </c>
      <c r="EN2" s="628" t="s">
        <v>260</v>
      </c>
      <c r="EO2" s="628" t="s">
        <v>261</v>
      </c>
      <c r="EP2" s="628" t="s">
        <v>262</v>
      </c>
      <c r="EQ2" s="628" t="s">
        <v>263</v>
      </c>
      <c r="ER2" s="628" t="s">
        <v>264</v>
      </c>
      <c r="ES2" s="628" t="s">
        <v>265</v>
      </c>
      <c r="ET2" s="628" t="s">
        <v>266</v>
      </c>
      <c r="EU2" s="628" t="s">
        <v>267</v>
      </c>
      <c r="EV2" s="628" t="s">
        <v>268</v>
      </c>
      <c r="EW2" s="628" t="s">
        <v>269</v>
      </c>
      <c r="EX2" s="628" t="s">
        <v>270</v>
      </c>
      <c r="EY2" s="628" t="s">
        <v>271</v>
      </c>
      <c r="EZ2" s="628" t="s">
        <v>272</v>
      </c>
      <c r="FA2" s="628" t="s">
        <v>273</v>
      </c>
      <c r="FB2" s="628" t="s">
        <v>274</v>
      </c>
      <c r="FC2" s="628" t="s">
        <v>275</v>
      </c>
      <c r="FD2" s="628" t="s">
        <v>276</v>
      </c>
      <c r="FE2" s="628" t="s">
        <v>277</v>
      </c>
      <c r="FF2" s="628" t="s">
        <v>278</v>
      </c>
      <c r="FG2" s="628" t="s">
        <v>279</v>
      </c>
      <c r="FH2" s="628" t="s">
        <v>280</v>
      </c>
      <c r="FI2" s="628" t="s">
        <v>281</v>
      </c>
      <c r="FJ2" s="628" t="s">
        <v>282</v>
      </c>
      <c r="FK2" s="628" t="s">
        <v>283</v>
      </c>
      <c r="FL2" s="628" t="s">
        <v>284</v>
      </c>
      <c r="FM2" s="628" t="s">
        <v>285</v>
      </c>
      <c r="FN2" s="628" t="s">
        <v>286</v>
      </c>
      <c r="FO2" s="628" t="s">
        <v>287</v>
      </c>
      <c r="FP2" s="628" t="s">
        <v>288</v>
      </c>
      <c r="FQ2" s="628" t="s">
        <v>289</v>
      </c>
      <c r="FR2" s="628" t="s">
        <v>290</v>
      </c>
      <c r="FS2" s="628" t="s">
        <v>291</v>
      </c>
      <c r="FT2" s="628" t="s">
        <v>292</v>
      </c>
      <c r="FU2" s="628" t="s">
        <v>293</v>
      </c>
      <c r="FV2" s="628" t="s">
        <v>294</v>
      </c>
      <c r="FW2" s="628" t="s">
        <v>295</v>
      </c>
      <c r="FX2" s="628" t="s">
        <v>296</v>
      </c>
      <c r="FY2" s="628" t="s">
        <v>297</v>
      </c>
      <c r="FZ2" s="628" t="s">
        <v>298</v>
      </c>
      <c r="GA2" s="628" t="s">
        <v>299</v>
      </c>
      <c r="GB2" s="628" t="s">
        <v>300</v>
      </c>
      <c r="GC2" s="628" t="s">
        <v>301</v>
      </c>
      <c r="GD2" s="628" t="s">
        <v>302</v>
      </c>
      <c r="GE2" s="628" t="s">
        <v>303</v>
      </c>
      <c r="GF2" s="628" t="s">
        <v>304</v>
      </c>
      <c r="GG2" s="628" t="s">
        <v>305</v>
      </c>
      <c r="GH2" s="628" t="s">
        <v>306</v>
      </c>
      <c r="GI2" s="628" t="s">
        <v>307</v>
      </c>
      <c r="GJ2" s="628" t="s">
        <v>308</v>
      </c>
      <c r="GK2" s="628" t="s">
        <v>309</v>
      </c>
      <c r="GL2" s="628" t="s">
        <v>310</v>
      </c>
      <c r="GM2" s="628" t="s">
        <v>311</v>
      </c>
      <c r="GN2" s="628" t="s">
        <v>312</v>
      </c>
      <c r="GO2" s="628" t="s">
        <v>313</v>
      </c>
      <c r="GP2" s="628" t="s">
        <v>418</v>
      </c>
      <c r="GQ2" s="628" t="s">
        <v>419</v>
      </c>
      <c r="GR2" s="628" t="s">
        <v>420</v>
      </c>
      <c r="GS2" s="628" t="s">
        <v>421</v>
      </c>
      <c r="GT2" s="628" t="s">
        <v>422</v>
      </c>
      <c r="GU2" s="628" t="s">
        <v>423</v>
      </c>
      <c r="GV2" s="628" t="s">
        <v>426</v>
      </c>
      <c r="GW2" s="628" t="s">
        <v>427</v>
      </c>
      <c r="GX2" s="628" t="s">
        <v>428</v>
      </c>
      <c r="GY2" s="628" t="s">
        <v>429</v>
      </c>
      <c r="GZ2" s="628" t="s">
        <v>430</v>
      </c>
      <c r="HA2" s="628" t="s">
        <v>431</v>
      </c>
      <c r="HB2" s="628" t="s">
        <v>432</v>
      </c>
      <c r="HC2" s="628" t="s">
        <v>433</v>
      </c>
      <c r="HD2" s="628" t="s">
        <v>434</v>
      </c>
      <c r="HE2" s="628" t="s">
        <v>435</v>
      </c>
      <c r="HF2" s="628" t="s">
        <v>486</v>
      </c>
      <c r="HG2" s="628" t="s">
        <v>487</v>
      </c>
      <c r="HH2" s="628" t="s">
        <v>488</v>
      </c>
      <c r="HI2" s="628" t="s">
        <v>489</v>
      </c>
      <c r="HJ2" s="628" t="s">
        <v>490</v>
      </c>
      <c r="HK2" s="628" t="s">
        <v>491</v>
      </c>
      <c r="HL2" s="628" t="s">
        <v>492</v>
      </c>
      <c r="HM2" s="628" t="s">
        <v>493</v>
      </c>
      <c r="HN2" s="628" t="s">
        <v>494</v>
      </c>
      <c r="HO2" s="628" t="s">
        <v>495</v>
      </c>
      <c r="HP2" s="628" t="s">
        <v>496</v>
      </c>
      <c r="HQ2" s="628" t="s">
        <v>497</v>
      </c>
      <c r="HR2" s="628" t="s">
        <v>498</v>
      </c>
      <c r="HS2" s="628" t="s">
        <v>499</v>
      </c>
      <c r="HT2" s="628" t="s">
        <v>500</v>
      </c>
      <c r="HU2" s="628" t="s">
        <v>501</v>
      </c>
      <c r="HV2" s="628" t="s">
        <v>502</v>
      </c>
      <c r="HW2" s="628" t="s">
        <v>503</v>
      </c>
      <c r="HX2" s="628" t="s">
        <v>504</v>
      </c>
      <c r="HY2" s="628" t="s">
        <v>505</v>
      </c>
      <c r="HZ2" s="628" t="s">
        <v>506</v>
      </c>
      <c r="IA2" s="628" t="s">
        <v>507</v>
      </c>
      <c r="IB2" s="628" t="s">
        <v>508</v>
      </c>
      <c r="IC2" s="628" t="s">
        <v>509</v>
      </c>
      <c r="ID2" s="628" t="s">
        <v>510</v>
      </c>
      <c r="IE2" s="628" t="s">
        <v>511</v>
      </c>
      <c r="IF2" s="628" t="s">
        <v>512</v>
      </c>
      <c r="IG2" s="628" t="s">
        <v>513</v>
      </c>
      <c r="IH2" s="628" t="s">
        <v>514</v>
      </c>
      <c r="II2" s="628" t="s">
        <v>515</v>
      </c>
      <c r="IJ2" s="628" t="s">
        <v>516</v>
      </c>
      <c r="IK2" s="628" t="s">
        <v>517</v>
      </c>
      <c r="IL2" s="628" t="s">
        <v>518</v>
      </c>
      <c r="IM2" s="628" t="s">
        <v>519</v>
      </c>
      <c r="IN2" s="628" t="s">
        <v>520</v>
      </c>
      <c r="IO2" s="628" t="s">
        <v>521</v>
      </c>
      <c r="IP2" s="628" t="s">
        <v>522</v>
      </c>
      <c r="IQ2" s="628" t="s">
        <v>523</v>
      </c>
      <c r="IR2" s="628" t="s">
        <v>524</v>
      </c>
      <c r="IS2" s="628" t="s">
        <v>525</v>
      </c>
      <c r="IT2" s="628" t="s">
        <v>526</v>
      </c>
      <c r="IU2" s="628" t="s">
        <v>527</v>
      </c>
      <c r="IV2" s="628" t="s">
        <v>528</v>
      </c>
      <c r="IW2" s="628" t="s">
        <v>529</v>
      </c>
      <c r="IX2" s="628" t="s">
        <v>530</v>
      </c>
      <c r="IY2" s="628" t="s">
        <v>531</v>
      </c>
      <c r="IZ2" s="628" t="s">
        <v>532</v>
      </c>
      <c r="JA2" s="628" t="s">
        <v>533</v>
      </c>
      <c r="JB2" s="628" t="s">
        <v>534</v>
      </c>
      <c r="JC2" s="628" t="s">
        <v>658</v>
      </c>
      <c r="JD2" s="628" t="s">
        <v>659</v>
      </c>
      <c r="JE2" s="628" t="s">
        <v>660</v>
      </c>
      <c r="JF2" s="628" t="s">
        <v>661</v>
      </c>
      <c r="JG2" s="628" t="s">
        <v>662</v>
      </c>
      <c r="JH2" s="628" t="s">
        <v>663</v>
      </c>
      <c r="JI2" s="628" t="s">
        <v>664</v>
      </c>
      <c r="JJ2" s="628" t="s">
        <v>665</v>
      </c>
      <c r="JK2" s="628" t="s">
        <v>666</v>
      </c>
      <c r="JL2" s="628" t="s">
        <v>667</v>
      </c>
      <c r="JM2" s="628" t="s">
        <v>668</v>
      </c>
      <c r="JN2" s="628" t="s">
        <v>669</v>
      </c>
      <c r="JO2" s="628" t="s">
        <v>692</v>
      </c>
      <c r="JP2" s="628" t="s">
        <v>728</v>
      </c>
      <c r="JQ2" s="628" t="s">
        <v>729</v>
      </c>
      <c r="JR2" s="628" t="s">
        <v>730</v>
      </c>
      <c r="JS2" s="628" t="s">
        <v>731</v>
      </c>
      <c r="JT2" s="628" t="s">
        <v>732</v>
      </c>
      <c r="JU2" s="628" t="s">
        <v>733</v>
      </c>
      <c r="JV2" s="628" t="s">
        <v>734</v>
      </c>
      <c r="JW2" s="628" t="s">
        <v>735</v>
      </c>
      <c r="JX2" s="628" t="s">
        <v>736</v>
      </c>
      <c r="JY2" s="628" t="s">
        <v>737</v>
      </c>
      <c r="JZ2" s="628" t="s">
        <v>738</v>
      </c>
      <c r="KA2" s="628" t="s">
        <v>739</v>
      </c>
      <c r="KB2" s="628" t="s">
        <v>740</v>
      </c>
      <c r="KC2" s="628" t="s">
        <v>741</v>
      </c>
      <c r="KD2" s="628" t="s">
        <v>742</v>
      </c>
      <c r="KE2" s="628" t="s">
        <v>776</v>
      </c>
      <c r="KF2" s="628" t="s">
        <v>777</v>
      </c>
      <c r="KG2" s="628" t="s">
        <v>778</v>
      </c>
      <c r="KH2" s="628" t="s">
        <v>779</v>
      </c>
      <c r="KI2" s="628" t="s">
        <v>780</v>
      </c>
      <c r="KJ2" s="628" t="s">
        <v>781</v>
      </c>
      <c r="KK2" s="628" t="s">
        <v>813</v>
      </c>
      <c r="KL2" s="628" t="s">
        <v>814</v>
      </c>
      <c r="KM2" s="628" t="s">
        <v>815</v>
      </c>
      <c r="KN2" s="628" t="s">
        <v>816</v>
      </c>
      <c r="KO2" s="628" t="s">
        <v>1062</v>
      </c>
    </row>
    <row r="3" spans="1:334" x14ac:dyDescent="0.25">
      <c r="B3" s="627">
        <v>0</v>
      </c>
      <c r="C3" s="627">
        <v>0</v>
      </c>
      <c r="D3" s="627">
        <v>0</v>
      </c>
      <c r="E3" s="627">
        <v>0</v>
      </c>
      <c r="F3" s="627">
        <v>0</v>
      </c>
      <c r="G3" s="627">
        <v>0</v>
      </c>
      <c r="H3" s="627">
        <v>0</v>
      </c>
      <c r="I3" s="627">
        <v>0</v>
      </c>
      <c r="J3" s="627">
        <v>0</v>
      </c>
      <c r="K3" s="627">
        <v>0</v>
      </c>
      <c r="L3" s="627">
        <v>0</v>
      </c>
      <c r="M3" s="627">
        <v>0</v>
      </c>
      <c r="N3" s="627">
        <v>0</v>
      </c>
      <c r="O3" s="627">
        <v>0</v>
      </c>
      <c r="P3" s="627">
        <v>0</v>
      </c>
      <c r="Q3" s="627">
        <v>0</v>
      </c>
      <c r="R3" s="627">
        <v>0</v>
      </c>
      <c r="S3" s="627">
        <v>0</v>
      </c>
      <c r="T3" s="627">
        <v>0</v>
      </c>
      <c r="U3" s="627">
        <v>0</v>
      </c>
      <c r="V3" s="627">
        <v>0</v>
      </c>
      <c r="W3" s="627">
        <v>0</v>
      </c>
      <c r="X3" s="627">
        <v>0</v>
      </c>
      <c r="Y3" s="627">
        <v>0</v>
      </c>
      <c r="Z3" s="627">
        <v>0</v>
      </c>
      <c r="AA3" s="627">
        <v>0</v>
      </c>
      <c r="AB3" s="627">
        <v>0</v>
      </c>
      <c r="AC3" s="627">
        <v>0</v>
      </c>
      <c r="AD3" s="627">
        <v>0</v>
      </c>
      <c r="AE3" s="627">
        <v>0</v>
      </c>
      <c r="AF3" s="627">
        <v>0</v>
      </c>
      <c r="AG3" s="627">
        <v>0</v>
      </c>
      <c r="AH3" s="627">
        <v>0</v>
      </c>
      <c r="AI3" s="627">
        <v>0</v>
      </c>
      <c r="AJ3" s="627">
        <v>0</v>
      </c>
      <c r="AK3" s="627">
        <v>0</v>
      </c>
      <c r="AL3" s="627">
        <v>0</v>
      </c>
      <c r="AM3" s="627">
        <v>0</v>
      </c>
      <c r="AN3" s="627">
        <v>0</v>
      </c>
      <c r="AO3" s="627">
        <v>0</v>
      </c>
      <c r="AP3" s="627">
        <v>0</v>
      </c>
      <c r="AQ3" s="627">
        <v>0</v>
      </c>
      <c r="AR3" s="627">
        <v>0</v>
      </c>
      <c r="AS3" s="627">
        <v>0</v>
      </c>
      <c r="AT3" s="627">
        <v>0</v>
      </c>
      <c r="AU3" s="627">
        <v>0</v>
      </c>
      <c r="AV3" s="627">
        <v>0</v>
      </c>
      <c r="AW3" s="627">
        <v>0</v>
      </c>
      <c r="AX3" s="627">
        <v>0</v>
      </c>
      <c r="AY3" s="627">
        <v>0</v>
      </c>
      <c r="AZ3" s="627">
        <v>0</v>
      </c>
      <c r="BA3" s="627">
        <v>0</v>
      </c>
      <c r="BB3" s="627">
        <v>0</v>
      </c>
      <c r="BC3" s="627">
        <v>0</v>
      </c>
      <c r="BD3" s="627">
        <v>0</v>
      </c>
      <c r="BE3" s="627">
        <v>0</v>
      </c>
      <c r="BF3" s="627">
        <v>0</v>
      </c>
      <c r="BG3" s="627">
        <v>0</v>
      </c>
      <c r="BH3" s="627">
        <v>0</v>
      </c>
      <c r="BI3" s="627">
        <v>0</v>
      </c>
      <c r="BJ3" s="627">
        <v>0</v>
      </c>
      <c r="BK3" s="627">
        <v>0</v>
      </c>
      <c r="BL3" s="627">
        <v>0</v>
      </c>
      <c r="BM3" s="627">
        <v>0</v>
      </c>
      <c r="BN3" s="627">
        <v>0</v>
      </c>
      <c r="BO3" s="627">
        <v>0</v>
      </c>
      <c r="BP3" s="627">
        <v>0</v>
      </c>
      <c r="BQ3" s="627">
        <v>0</v>
      </c>
      <c r="BR3" s="627">
        <v>0</v>
      </c>
      <c r="BS3" s="627">
        <v>0</v>
      </c>
      <c r="BT3" s="627">
        <v>0</v>
      </c>
      <c r="BU3" s="627">
        <v>0</v>
      </c>
      <c r="BV3" s="627">
        <v>0</v>
      </c>
      <c r="BW3" s="627">
        <v>0</v>
      </c>
      <c r="BX3" s="627">
        <v>0</v>
      </c>
      <c r="BY3" s="627">
        <v>0</v>
      </c>
      <c r="BZ3" s="627">
        <v>0</v>
      </c>
      <c r="CA3" s="627">
        <v>0</v>
      </c>
      <c r="CB3" s="627">
        <v>0</v>
      </c>
      <c r="CC3" s="627">
        <v>0</v>
      </c>
      <c r="CD3" s="627">
        <v>0</v>
      </c>
      <c r="CE3" s="627">
        <v>0</v>
      </c>
      <c r="CF3" s="627">
        <v>0</v>
      </c>
      <c r="CG3" s="627">
        <v>0</v>
      </c>
      <c r="CH3" s="627">
        <v>0</v>
      </c>
      <c r="CI3" s="627">
        <v>0</v>
      </c>
      <c r="CJ3" s="627">
        <v>0</v>
      </c>
      <c r="CK3" s="627">
        <v>0</v>
      </c>
      <c r="CL3" s="627">
        <v>0</v>
      </c>
      <c r="CM3" s="627">
        <v>0</v>
      </c>
      <c r="CN3" s="627">
        <v>0</v>
      </c>
      <c r="CO3" s="627">
        <v>0</v>
      </c>
      <c r="CP3" s="627">
        <v>0</v>
      </c>
      <c r="CQ3" s="627">
        <v>0</v>
      </c>
      <c r="CR3" s="627">
        <v>0</v>
      </c>
      <c r="CS3" s="627">
        <v>0</v>
      </c>
      <c r="CT3" s="627">
        <v>0</v>
      </c>
      <c r="CU3" s="627">
        <v>0</v>
      </c>
      <c r="CV3" s="627">
        <v>0</v>
      </c>
      <c r="CW3" s="627">
        <v>0</v>
      </c>
      <c r="CX3" s="627">
        <v>0</v>
      </c>
      <c r="CY3" s="627">
        <v>0</v>
      </c>
      <c r="CZ3" s="627">
        <v>0</v>
      </c>
      <c r="DA3" s="627">
        <v>0</v>
      </c>
      <c r="DB3" s="627">
        <v>0</v>
      </c>
      <c r="DC3" s="627">
        <v>0</v>
      </c>
      <c r="DD3" s="627">
        <v>0</v>
      </c>
      <c r="DE3" s="627">
        <v>0</v>
      </c>
      <c r="DF3" s="627">
        <v>0</v>
      </c>
      <c r="DG3" s="627">
        <v>0</v>
      </c>
      <c r="DH3" s="627">
        <v>0</v>
      </c>
      <c r="DI3" s="627">
        <v>0</v>
      </c>
      <c r="DJ3" s="627">
        <v>0</v>
      </c>
      <c r="DK3" s="627">
        <v>0</v>
      </c>
      <c r="DL3" s="627">
        <v>0</v>
      </c>
      <c r="DM3" s="627">
        <v>0</v>
      </c>
      <c r="DN3" s="627">
        <v>0</v>
      </c>
      <c r="DO3" s="627">
        <v>0</v>
      </c>
      <c r="DP3" s="627">
        <v>0</v>
      </c>
      <c r="DQ3" s="627">
        <v>0</v>
      </c>
      <c r="DR3" s="627">
        <v>0</v>
      </c>
      <c r="DS3" s="627">
        <v>0</v>
      </c>
      <c r="DT3" s="627">
        <v>0</v>
      </c>
      <c r="DU3" s="627">
        <v>0</v>
      </c>
      <c r="DV3" s="627">
        <v>0</v>
      </c>
      <c r="DW3" s="627">
        <v>0</v>
      </c>
      <c r="DX3" s="627">
        <v>0</v>
      </c>
      <c r="DY3" s="627">
        <v>0</v>
      </c>
      <c r="DZ3" s="627">
        <v>0</v>
      </c>
      <c r="EA3" s="627">
        <v>0</v>
      </c>
      <c r="EB3" s="627">
        <v>0</v>
      </c>
      <c r="EC3" s="627">
        <v>0</v>
      </c>
      <c r="ED3" s="627">
        <v>0</v>
      </c>
      <c r="EE3" s="627">
        <v>0</v>
      </c>
      <c r="EF3" s="627">
        <v>0</v>
      </c>
      <c r="EG3" s="627">
        <v>0</v>
      </c>
      <c r="EH3" s="627">
        <v>0</v>
      </c>
      <c r="EI3" s="627">
        <v>0</v>
      </c>
      <c r="EJ3" s="627">
        <v>0</v>
      </c>
      <c r="EK3" s="627">
        <v>0</v>
      </c>
      <c r="EL3" s="627">
        <v>0</v>
      </c>
      <c r="EM3" s="627">
        <v>0</v>
      </c>
      <c r="EN3" s="627">
        <v>0</v>
      </c>
      <c r="EO3" s="627">
        <v>0</v>
      </c>
      <c r="EP3" s="627">
        <v>0</v>
      </c>
      <c r="EQ3" s="627">
        <v>0</v>
      </c>
      <c r="ER3" s="627">
        <v>0</v>
      </c>
      <c r="ES3" s="627">
        <v>0</v>
      </c>
      <c r="ET3" s="627">
        <v>0</v>
      </c>
      <c r="EU3" s="627">
        <v>0</v>
      </c>
      <c r="EV3" s="627">
        <v>0</v>
      </c>
      <c r="EW3" s="627">
        <v>0</v>
      </c>
      <c r="EX3" s="627">
        <v>0</v>
      </c>
      <c r="EY3" s="627">
        <v>0</v>
      </c>
      <c r="EZ3" s="627">
        <v>0</v>
      </c>
      <c r="FA3" s="627">
        <v>0</v>
      </c>
      <c r="FB3" s="627">
        <v>0</v>
      </c>
      <c r="FC3" s="627">
        <v>0</v>
      </c>
      <c r="FD3" s="627">
        <v>0</v>
      </c>
      <c r="FE3" s="627">
        <v>0</v>
      </c>
      <c r="FF3" s="627">
        <v>0</v>
      </c>
      <c r="FG3" s="627">
        <v>0</v>
      </c>
      <c r="FH3" s="627">
        <v>0</v>
      </c>
      <c r="FI3" s="627">
        <v>0</v>
      </c>
      <c r="FJ3" s="627">
        <v>0</v>
      </c>
      <c r="FK3" s="627">
        <v>0</v>
      </c>
      <c r="FL3" s="627">
        <v>0</v>
      </c>
      <c r="FM3" s="627">
        <v>0</v>
      </c>
      <c r="FN3" s="627">
        <v>0</v>
      </c>
      <c r="FO3" s="627">
        <v>0</v>
      </c>
      <c r="FP3" s="627">
        <v>0</v>
      </c>
      <c r="FQ3" s="627">
        <v>0</v>
      </c>
      <c r="FR3" s="627">
        <v>0</v>
      </c>
      <c r="FS3" s="627">
        <v>0</v>
      </c>
      <c r="FT3" s="627">
        <v>0</v>
      </c>
      <c r="FU3" s="627">
        <v>0</v>
      </c>
      <c r="FV3" s="627">
        <v>0</v>
      </c>
      <c r="FW3" s="627">
        <v>0</v>
      </c>
      <c r="FX3" s="627">
        <v>0</v>
      </c>
      <c r="FY3" s="627">
        <v>0</v>
      </c>
      <c r="FZ3" s="627">
        <v>0</v>
      </c>
      <c r="GA3" s="627">
        <v>0</v>
      </c>
      <c r="GB3" s="627">
        <v>0</v>
      </c>
      <c r="GC3" s="627">
        <v>0</v>
      </c>
      <c r="GD3" s="627">
        <v>0</v>
      </c>
      <c r="GE3" s="627">
        <v>0</v>
      </c>
      <c r="GF3" s="627">
        <v>0</v>
      </c>
      <c r="GG3" s="627">
        <v>0</v>
      </c>
      <c r="GH3" s="627">
        <v>0</v>
      </c>
      <c r="GI3" s="627">
        <v>0</v>
      </c>
      <c r="GJ3" s="627">
        <v>0</v>
      </c>
      <c r="GK3" s="627">
        <v>0</v>
      </c>
      <c r="GL3" s="627">
        <v>0</v>
      </c>
      <c r="GM3" s="627">
        <v>0</v>
      </c>
      <c r="GN3" s="627">
        <v>0</v>
      </c>
      <c r="GO3" s="627">
        <v>0</v>
      </c>
      <c r="GP3" s="627">
        <v>0</v>
      </c>
      <c r="GQ3" s="627">
        <v>0</v>
      </c>
      <c r="GR3" s="627">
        <v>0</v>
      </c>
      <c r="GS3" s="627">
        <v>0</v>
      </c>
      <c r="GT3" s="627">
        <v>0</v>
      </c>
      <c r="GU3" s="627">
        <v>0</v>
      </c>
      <c r="GV3" s="627">
        <v>0</v>
      </c>
      <c r="GW3" s="627">
        <v>0</v>
      </c>
      <c r="GX3" s="627">
        <v>0</v>
      </c>
      <c r="GY3" s="627">
        <v>0</v>
      </c>
      <c r="GZ3" s="627">
        <v>0</v>
      </c>
      <c r="HA3" s="627">
        <v>0</v>
      </c>
      <c r="HB3" s="627">
        <v>0</v>
      </c>
      <c r="HC3" s="627">
        <v>0</v>
      </c>
      <c r="HD3" s="627">
        <v>0</v>
      </c>
      <c r="HE3" s="627">
        <v>0</v>
      </c>
      <c r="HF3" s="627">
        <v>0</v>
      </c>
      <c r="HG3" s="627">
        <v>0</v>
      </c>
      <c r="HH3" s="627">
        <v>0</v>
      </c>
      <c r="HI3" s="627">
        <v>0</v>
      </c>
      <c r="HJ3" s="627">
        <v>0</v>
      </c>
      <c r="HK3" s="627">
        <v>0</v>
      </c>
      <c r="HL3" s="627">
        <v>0</v>
      </c>
      <c r="HM3" s="627">
        <v>0</v>
      </c>
      <c r="HN3" s="627">
        <v>0</v>
      </c>
      <c r="HO3" s="627">
        <v>0</v>
      </c>
      <c r="HP3" s="627">
        <v>0</v>
      </c>
      <c r="HQ3" s="627">
        <v>0</v>
      </c>
      <c r="HR3" s="627">
        <v>0</v>
      </c>
      <c r="HS3" s="627">
        <v>0</v>
      </c>
      <c r="HT3" s="627">
        <v>0</v>
      </c>
      <c r="HU3" s="627">
        <v>0</v>
      </c>
      <c r="HV3" s="627">
        <v>0</v>
      </c>
      <c r="HW3" s="627">
        <v>0</v>
      </c>
      <c r="HX3" s="627">
        <v>0</v>
      </c>
      <c r="HY3" s="627">
        <v>0</v>
      </c>
      <c r="HZ3" s="627">
        <v>0</v>
      </c>
      <c r="IA3" s="627">
        <v>0</v>
      </c>
      <c r="IB3" s="627">
        <v>0</v>
      </c>
      <c r="IC3" s="627">
        <v>0</v>
      </c>
      <c r="ID3" s="627">
        <v>0</v>
      </c>
      <c r="IE3" s="627">
        <v>0</v>
      </c>
      <c r="IF3" s="627">
        <v>0</v>
      </c>
      <c r="IG3" s="627">
        <v>0</v>
      </c>
      <c r="IH3" s="627">
        <v>0</v>
      </c>
      <c r="II3" s="627">
        <v>0</v>
      </c>
      <c r="IJ3" s="627">
        <v>0</v>
      </c>
      <c r="IK3" s="627">
        <v>0</v>
      </c>
      <c r="IL3" s="627">
        <v>0</v>
      </c>
      <c r="IM3" s="627">
        <v>0</v>
      </c>
      <c r="IN3" s="627">
        <v>0</v>
      </c>
      <c r="IO3" s="627">
        <v>0</v>
      </c>
      <c r="IP3" s="627">
        <v>0</v>
      </c>
      <c r="IQ3" s="627">
        <v>0</v>
      </c>
      <c r="IR3" s="627">
        <v>0</v>
      </c>
      <c r="IS3" s="627">
        <v>0</v>
      </c>
      <c r="IT3" s="627">
        <v>0</v>
      </c>
      <c r="IU3" s="627">
        <v>0</v>
      </c>
      <c r="IV3" s="627">
        <v>0</v>
      </c>
      <c r="IW3" s="627">
        <v>0</v>
      </c>
      <c r="IX3" s="627">
        <v>0</v>
      </c>
      <c r="IY3" s="627">
        <v>0</v>
      </c>
      <c r="IZ3" s="627">
        <v>0</v>
      </c>
      <c r="JA3" s="627">
        <v>0</v>
      </c>
      <c r="JB3" s="627">
        <v>0</v>
      </c>
      <c r="JC3" s="627">
        <v>0</v>
      </c>
      <c r="JD3" s="627">
        <v>0</v>
      </c>
      <c r="JE3" s="627">
        <v>0</v>
      </c>
      <c r="JF3" s="627">
        <v>0</v>
      </c>
      <c r="JG3" s="627">
        <v>0</v>
      </c>
      <c r="JH3" s="627">
        <v>0</v>
      </c>
      <c r="JI3" s="627">
        <v>0</v>
      </c>
      <c r="JJ3" s="627">
        <v>0</v>
      </c>
      <c r="JK3" s="627">
        <v>0</v>
      </c>
      <c r="JL3" s="627">
        <v>0</v>
      </c>
      <c r="JM3" s="627">
        <v>0</v>
      </c>
      <c r="JN3" s="627">
        <v>0</v>
      </c>
      <c r="JO3" s="627">
        <v>0</v>
      </c>
      <c r="JP3" s="627">
        <v>0</v>
      </c>
      <c r="JQ3" s="627">
        <v>0</v>
      </c>
      <c r="JR3" s="627">
        <v>0</v>
      </c>
      <c r="JS3" s="627">
        <v>0</v>
      </c>
      <c r="JT3" s="627">
        <v>0</v>
      </c>
      <c r="JU3" s="627">
        <v>0</v>
      </c>
      <c r="JV3" s="627">
        <v>0</v>
      </c>
      <c r="JW3" s="627">
        <v>0</v>
      </c>
      <c r="JX3" s="627">
        <v>0</v>
      </c>
      <c r="JY3" s="627">
        <v>0</v>
      </c>
      <c r="JZ3" s="627">
        <v>0</v>
      </c>
      <c r="KA3" s="627">
        <v>0</v>
      </c>
      <c r="KB3" s="627">
        <v>0</v>
      </c>
      <c r="KC3" s="627">
        <v>0</v>
      </c>
      <c r="KD3" s="627">
        <v>0</v>
      </c>
      <c r="KE3" s="627">
        <v>0</v>
      </c>
      <c r="KF3" s="627">
        <v>0</v>
      </c>
      <c r="KG3" s="627">
        <v>0</v>
      </c>
      <c r="KH3" s="627">
        <v>0</v>
      </c>
      <c r="KI3" s="627">
        <v>0</v>
      </c>
      <c r="KJ3" s="627">
        <v>0</v>
      </c>
      <c r="KK3" s="627">
        <v>0</v>
      </c>
      <c r="KL3" s="627">
        <v>0</v>
      </c>
      <c r="KM3" s="627">
        <v>0</v>
      </c>
      <c r="KN3" s="627">
        <v>0</v>
      </c>
      <c r="KO3" s="627">
        <v>0</v>
      </c>
      <c r="KP3" s="627">
        <v>0</v>
      </c>
    </row>
    <row r="4" spans="1:334" x14ac:dyDescent="0.25">
      <c r="A4" s="627">
        <v>42602</v>
      </c>
      <c r="B4" s="627">
        <v>3801</v>
      </c>
      <c r="D4" s="627">
        <v>9</v>
      </c>
      <c r="E4" s="627">
        <v>2024</v>
      </c>
      <c r="F4" s="627">
        <v>6160</v>
      </c>
      <c r="G4" s="627">
        <v>0</v>
      </c>
      <c r="H4" s="627">
        <v>886.13200000000006</v>
      </c>
      <c r="I4" s="627">
        <v>796.28100000000006</v>
      </c>
      <c r="J4" s="627">
        <v>796.28100000000006</v>
      </c>
      <c r="K4" s="627">
        <v>886.13200000000006</v>
      </c>
      <c r="L4" s="627">
        <v>0</v>
      </c>
      <c r="M4" s="627">
        <v>6160</v>
      </c>
      <c r="N4" s="627">
        <v>0</v>
      </c>
      <c r="O4" s="627">
        <v>0</v>
      </c>
      <c r="P4" s="627">
        <v>0</v>
      </c>
      <c r="Q4" s="627">
        <v>862.63</v>
      </c>
      <c r="R4" s="627">
        <v>0</v>
      </c>
      <c r="S4" s="627">
        <v>357891</v>
      </c>
      <c r="T4" s="627">
        <v>414.88400000000001</v>
      </c>
      <c r="U4" s="627">
        <v>0</v>
      </c>
      <c r="V4" s="627">
        <v>185731</v>
      </c>
      <c r="W4" s="627">
        <v>63.953000000000003</v>
      </c>
      <c r="X4" s="627">
        <v>39395</v>
      </c>
      <c r="Y4" s="627">
        <v>39395</v>
      </c>
      <c r="Z4" s="627">
        <v>0</v>
      </c>
      <c r="AA4" s="627">
        <v>0</v>
      </c>
      <c r="AB4" s="627">
        <v>0</v>
      </c>
      <c r="AC4" s="627">
        <v>0</v>
      </c>
      <c r="AD4" s="627">
        <v>0</v>
      </c>
      <c r="AE4" s="627" t="s">
        <v>314</v>
      </c>
      <c r="AF4" s="627">
        <v>0</v>
      </c>
      <c r="AG4" s="627">
        <v>0</v>
      </c>
      <c r="AH4" s="627">
        <v>0</v>
      </c>
      <c r="AI4" s="627">
        <v>0</v>
      </c>
      <c r="AJ4" s="627">
        <v>0</v>
      </c>
      <c r="AK4" s="627">
        <v>6160</v>
      </c>
      <c r="AL4" s="627" t="s">
        <v>651</v>
      </c>
      <c r="AM4" s="627" t="s">
        <v>53</v>
      </c>
      <c r="AN4" s="627">
        <v>0</v>
      </c>
      <c r="AO4" s="627">
        <v>0</v>
      </c>
      <c r="AP4" s="627">
        <v>0</v>
      </c>
      <c r="AQ4" s="627">
        <v>0</v>
      </c>
      <c r="AR4" s="627">
        <v>0</v>
      </c>
      <c r="AS4" s="627">
        <v>0</v>
      </c>
      <c r="AT4" s="627">
        <v>0</v>
      </c>
      <c r="AU4" s="627">
        <v>0</v>
      </c>
      <c r="AV4" s="627">
        <v>0</v>
      </c>
      <c r="AW4" s="627">
        <v>0</v>
      </c>
      <c r="AX4" s="627">
        <v>9773092</v>
      </c>
      <c r="AY4" s="627">
        <v>9634662</v>
      </c>
      <c r="AZ4" s="627">
        <v>4837008</v>
      </c>
      <c r="BA4" s="627">
        <v>357891</v>
      </c>
      <c r="BB4" s="627">
        <v>47.083000000000006</v>
      </c>
      <c r="BC4" s="627">
        <v>18747</v>
      </c>
      <c r="BD4" s="627">
        <v>18627</v>
      </c>
      <c r="BE4" s="627">
        <v>44</v>
      </c>
      <c r="BF4" s="627">
        <v>120</v>
      </c>
      <c r="BG4" s="627">
        <v>8526224</v>
      </c>
      <c r="BH4" s="627">
        <v>0</v>
      </c>
      <c r="BI4" s="627">
        <v>0</v>
      </c>
      <c r="BJ4" s="627">
        <v>0</v>
      </c>
      <c r="BK4" s="627">
        <v>12</v>
      </c>
      <c r="BL4" s="627">
        <v>0</v>
      </c>
      <c r="BM4" s="627">
        <v>0</v>
      </c>
      <c r="BN4" s="627">
        <v>0</v>
      </c>
      <c r="BO4" s="627">
        <v>0</v>
      </c>
      <c r="BP4" s="627">
        <v>0</v>
      </c>
      <c r="BQ4" s="627">
        <v>0</v>
      </c>
      <c r="BR4" s="627">
        <v>647</v>
      </c>
      <c r="BS4" s="627">
        <v>0</v>
      </c>
      <c r="BT4" s="627">
        <v>0</v>
      </c>
      <c r="BU4" s="627">
        <v>0</v>
      </c>
      <c r="BV4" s="627">
        <v>0</v>
      </c>
      <c r="BW4" s="627">
        <v>0</v>
      </c>
      <c r="BX4" s="627">
        <v>0</v>
      </c>
      <c r="BY4" s="627">
        <v>0</v>
      </c>
      <c r="BZ4" s="627">
        <v>0</v>
      </c>
      <c r="CA4" s="627">
        <v>0</v>
      </c>
      <c r="CB4" s="627">
        <v>0</v>
      </c>
      <c r="CC4" s="627">
        <v>0</v>
      </c>
      <c r="CD4" s="627">
        <v>0</v>
      </c>
      <c r="CE4" s="627">
        <v>0</v>
      </c>
      <c r="CF4" s="627">
        <v>0</v>
      </c>
      <c r="CG4" s="627">
        <v>0</v>
      </c>
      <c r="CH4" s="627">
        <v>0</v>
      </c>
      <c r="CI4" s="627">
        <v>141718</v>
      </c>
      <c r="CJ4" s="627">
        <v>0</v>
      </c>
      <c r="CK4" s="627">
        <v>4</v>
      </c>
      <c r="CL4" s="627">
        <v>0</v>
      </c>
      <c r="CM4" s="627">
        <v>0</v>
      </c>
      <c r="CN4" s="627">
        <v>0</v>
      </c>
      <c r="CO4" s="627">
        <v>0</v>
      </c>
      <c r="CP4" s="627">
        <v>1</v>
      </c>
      <c r="CQ4" s="627">
        <v>0</v>
      </c>
      <c r="CR4" s="627">
        <v>8.3000000000000004E-2</v>
      </c>
      <c r="CS4" s="627">
        <v>923.31000000000006</v>
      </c>
      <c r="CT4" s="627">
        <v>0</v>
      </c>
      <c r="CU4" s="627">
        <v>0</v>
      </c>
      <c r="CV4" s="627">
        <v>0</v>
      </c>
      <c r="CW4" s="627">
        <v>0</v>
      </c>
      <c r="CX4" s="627">
        <v>0</v>
      </c>
      <c r="CY4" s="627">
        <v>0</v>
      </c>
      <c r="CZ4" s="627">
        <v>0</v>
      </c>
      <c r="DA4" s="627">
        <v>0</v>
      </c>
      <c r="DB4" s="627">
        <v>0</v>
      </c>
      <c r="DC4" s="627">
        <v>4905091</v>
      </c>
      <c r="DD4" s="627">
        <v>0</v>
      </c>
      <c r="DE4" s="627">
        <v>0</v>
      </c>
      <c r="DF4" s="627">
        <v>942788</v>
      </c>
      <c r="DG4" s="627">
        <v>942788</v>
      </c>
      <c r="DH4" s="627">
        <v>153.05000000000001</v>
      </c>
      <c r="DI4" s="627">
        <v>0</v>
      </c>
      <c r="DJ4" s="627">
        <v>0</v>
      </c>
      <c r="DK4" s="627">
        <v>0</v>
      </c>
      <c r="DL4" s="627">
        <v>1980</v>
      </c>
      <c r="DM4" s="627">
        <v>0</v>
      </c>
      <c r="DN4" s="627">
        <v>929611</v>
      </c>
      <c r="DO4" s="627">
        <v>3168</v>
      </c>
      <c r="DP4" s="627">
        <v>0</v>
      </c>
      <c r="DQ4" s="627">
        <v>0</v>
      </c>
      <c r="DR4" s="627">
        <v>0</v>
      </c>
      <c r="DS4" s="627">
        <v>0</v>
      </c>
      <c r="DT4" s="627">
        <v>0</v>
      </c>
      <c r="DU4" s="627">
        <v>0</v>
      </c>
      <c r="DV4" s="627">
        <v>0</v>
      </c>
      <c r="DW4" s="627">
        <v>0</v>
      </c>
      <c r="DX4" s="627">
        <v>0</v>
      </c>
      <c r="DY4" s="627">
        <v>0</v>
      </c>
      <c r="DZ4" s="627">
        <v>0</v>
      </c>
      <c r="EA4" s="627">
        <v>0</v>
      </c>
      <c r="EB4" s="627">
        <v>0</v>
      </c>
      <c r="EC4" s="627">
        <v>0</v>
      </c>
      <c r="ED4" s="627">
        <v>40.765000000000001</v>
      </c>
      <c r="EE4" s="627">
        <v>288779</v>
      </c>
      <c r="EF4" s="627">
        <v>0</v>
      </c>
      <c r="EG4" s="627">
        <v>0</v>
      </c>
      <c r="EH4" s="627">
        <v>0</v>
      </c>
      <c r="EI4" s="627">
        <v>644000</v>
      </c>
      <c r="EJ4" s="627">
        <v>0</v>
      </c>
      <c r="EK4" s="627">
        <v>0</v>
      </c>
      <c r="EL4" s="627">
        <v>32.968000000000004</v>
      </c>
      <c r="EM4" s="627">
        <v>0</v>
      </c>
      <c r="EN4" s="627">
        <v>0</v>
      </c>
      <c r="EO4" s="627">
        <v>0.96500000000000008</v>
      </c>
      <c r="EP4" s="627">
        <v>0</v>
      </c>
      <c r="EQ4" s="627">
        <v>0</v>
      </c>
      <c r="ER4" s="627">
        <v>34.288000000000004</v>
      </c>
      <c r="ES4" s="627">
        <v>0.35500000000000004</v>
      </c>
      <c r="ET4" s="627">
        <v>104.54600000000001</v>
      </c>
      <c r="EU4" s="627">
        <v>0</v>
      </c>
      <c r="EV4" s="627">
        <v>0</v>
      </c>
      <c r="EW4" s="627">
        <v>0</v>
      </c>
      <c r="EX4" s="627">
        <v>0</v>
      </c>
      <c r="EY4" s="627">
        <v>0</v>
      </c>
      <c r="EZ4" s="627">
        <v>0</v>
      </c>
      <c r="FA4" s="627">
        <v>8194289</v>
      </c>
      <c r="FB4" s="627">
        <v>0</v>
      </c>
      <c r="FC4" s="627">
        <v>8548892</v>
      </c>
      <c r="FD4" s="627">
        <v>0</v>
      </c>
      <c r="FE4" s="627">
        <v>0</v>
      </c>
      <c r="FF4" s="627">
        <v>1227743</v>
      </c>
      <c r="FG4" s="627">
        <v>212630</v>
      </c>
      <c r="FH4" s="627">
        <v>7.0280999999999996E-2</v>
      </c>
      <c r="FI4" s="627">
        <v>3.1172999999999999E-2</v>
      </c>
      <c r="FJ4" s="627">
        <v>0</v>
      </c>
      <c r="FK4" s="627">
        <v>0</v>
      </c>
      <c r="FL4" s="627">
        <v>1384.127</v>
      </c>
      <c r="FM4" s="627">
        <v>10130983</v>
      </c>
      <c r="FN4" s="627">
        <v>0</v>
      </c>
      <c r="FO4" s="627">
        <v>0</v>
      </c>
      <c r="FP4" s="627">
        <v>6732</v>
      </c>
      <c r="FQ4" s="627">
        <v>0</v>
      </c>
      <c r="FR4" s="627">
        <v>20650</v>
      </c>
      <c r="FS4" s="627">
        <v>6732</v>
      </c>
      <c r="FT4" s="627">
        <v>13918</v>
      </c>
      <c r="FU4" s="627">
        <v>0</v>
      </c>
      <c r="FV4" s="627">
        <v>0</v>
      </c>
      <c r="FW4" s="627">
        <v>0</v>
      </c>
      <c r="FX4" s="627">
        <v>0</v>
      </c>
      <c r="FY4" s="627">
        <v>0</v>
      </c>
      <c r="FZ4" s="627">
        <v>0</v>
      </c>
      <c r="GA4" s="627">
        <v>0</v>
      </c>
      <c r="GB4" s="627">
        <v>0</v>
      </c>
      <c r="GC4" s="627">
        <v>529468</v>
      </c>
      <c r="GD4" s="627">
        <v>529468</v>
      </c>
      <c r="GE4" s="627">
        <v>55.563000000000002</v>
      </c>
      <c r="GF4" s="627">
        <v>0</v>
      </c>
      <c r="GG4" s="627">
        <v>0</v>
      </c>
      <c r="GH4" s="627">
        <v>0</v>
      </c>
      <c r="GI4" s="627">
        <v>0</v>
      </c>
      <c r="GJ4" s="627">
        <v>0</v>
      </c>
      <c r="GK4" s="627">
        <v>0</v>
      </c>
      <c r="GL4" s="627">
        <v>0</v>
      </c>
      <c r="GM4" s="627">
        <v>0</v>
      </c>
      <c r="GN4" s="627">
        <v>0</v>
      </c>
      <c r="GO4" s="627">
        <v>0</v>
      </c>
      <c r="GP4" s="627">
        <v>0</v>
      </c>
      <c r="GQ4" s="627">
        <v>0</v>
      </c>
      <c r="GR4" s="627">
        <v>9631374</v>
      </c>
      <c r="GS4" s="627">
        <v>0</v>
      </c>
      <c r="GT4" s="627">
        <v>0</v>
      </c>
      <c r="GU4" s="627">
        <v>0</v>
      </c>
      <c r="GV4" s="627">
        <v>0</v>
      </c>
      <c r="GW4" s="627">
        <v>0</v>
      </c>
      <c r="GX4" s="627">
        <v>0</v>
      </c>
      <c r="GY4" s="627">
        <v>0</v>
      </c>
      <c r="GZ4" s="627">
        <v>0</v>
      </c>
      <c r="HA4" s="627">
        <v>0</v>
      </c>
      <c r="HB4" s="627">
        <v>0</v>
      </c>
      <c r="HC4" s="627">
        <v>361151439</v>
      </c>
      <c r="HD4" s="627">
        <v>3.9981999999999997E-2</v>
      </c>
      <c r="HE4" s="627">
        <v>141718</v>
      </c>
      <c r="HF4" s="627">
        <v>0</v>
      </c>
      <c r="HG4" s="627">
        <v>877502</v>
      </c>
      <c r="HH4" s="627">
        <v>30800</v>
      </c>
      <c r="HI4" s="627">
        <v>119313</v>
      </c>
      <c r="HJ4" s="627">
        <v>0</v>
      </c>
      <c r="HK4" s="627">
        <v>53861</v>
      </c>
      <c r="HL4" s="627">
        <v>2988</v>
      </c>
      <c r="HM4" s="627">
        <v>2318</v>
      </c>
      <c r="HN4" s="627">
        <v>40000</v>
      </c>
      <c r="HO4" s="627">
        <v>36480</v>
      </c>
      <c r="HP4" s="627">
        <v>0</v>
      </c>
      <c r="HQ4" s="627">
        <v>0</v>
      </c>
      <c r="HR4" s="627">
        <v>0</v>
      </c>
      <c r="HS4" s="627">
        <v>0</v>
      </c>
      <c r="HT4" s="627">
        <v>8191001</v>
      </c>
      <c r="HU4" s="627">
        <v>212630</v>
      </c>
      <c r="HV4" s="627">
        <v>0</v>
      </c>
      <c r="HW4" s="627">
        <v>0</v>
      </c>
      <c r="HX4" s="627">
        <v>0</v>
      </c>
      <c r="HY4" s="627">
        <v>90</v>
      </c>
      <c r="HZ4" s="627">
        <v>119</v>
      </c>
      <c r="IA4" s="627">
        <v>107</v>
      </c>
      <c r="IB4" s="627">
        <v>179</v>
      </c>
      <c r="IC4" s="627">
        <v>112</v>
      </c>
      <c r="ID4" s="627">
        <v>607</v>
      </c>
      <c r="IE4" s="627">
        <v>0</v>
      </c>
      <c r="IF4" s="627">
        <v>0</v>
      </c>
      <c r="IG4" s="627">
        <v>0</v>
      </c>
      <c r="IH4" s="627">
        <v>50</v>
      </c>
      <c r="II4" s="627">
        <v>193.69</v>
      </c>
      <c r="IJ4" s="627">
        <v>0</v>
      </c>
      <c r="IK4" s="627">
        <v>63.953000000000003</v>
      </c>
      <c r="IL4" s="627">
        <v>0</v>
      </c>
      <c r="IM4" s="627">
        <v>5</v>
      </c>
      <c r="IN4" s="627">
        <v>5</v>
      </c>
      <c r="IO4" s="627">
        <v>0</v>
      </c>
      <c r="IP4" s="627">
        <v>10</v>
      </c>
      <c r="IQ4" s="627">
        <v>0</v>
      </c>
      <c r="IR4" s="627">
        <v>63.953000000000003</v>
      </c>
      <c r="IS4" s="627">
        <v>39395</v>
      </c>
      <c r="IT4" s="627">
        <v>0</v>
      </c>
      <c r="IU4" s="627">
        <v>25000</v>
      </c>
      <c r="IV4" s="627">
        <v>15000</v>
      </c>
      <c r="IW4" s="627">
        <v>0</v>
      </c>
      <c r="IX4" s="627">
        <v>6160</v>
      </c>
      <c r="IY4" s="627">
        <v>0</v>
      </c>
      <c r="IZ4" s="627">
        <v>0</v>
      </c>
      <c r="JA4" s="627">
        <v>0</v>
      </c>
      <c r="JB4" s="627">
        <v>0</v>
      </c>
      <c r="JC4" s="627">
        <v>1</v>
      </c>
      <c r="JD4" s="627">
        <v>19654</v>
      </c>
      <c r="JE4" s="627">
        <v>1</v>
      </c>
      <c r="JF4" s="627">
        <v>10593</v>
      </c>
      <c r="JG4" s="627">
        <v>1</v>
      </c>
      <c r="JH4" s="627">
        <v>4733</v>
      </c>
      <c r="JI4" s="627">
        <v>1500</v>
      </c>
      <c r="JJ4" s="627">
        <v>0</v>
      </c>
      <c r="JK4" s="627">
        <v>0</v>
      </c>
      <c r="JL4" s="627">
        <v>0</v>
      </c>
      <c r="JM4" s="627">
        <v>0</v>
      </c>
      <c r="JN4" s="627">
        <v>0</v>
      </c>
      <c r="JO4" s="627">
        <v>32469</v>
      </c>
      <c r="JP4" s="627">
        <v>0</v>
      </c>
      <c r="JQ4" s="627">
        <v>46.149000000000001</v>
      </c>
      <c r="JR4" s="627">
        <v>9.4139999999999997</v>
      </c>
      <c r="JS4" s="627">
        <v>0</v>
      </c>
      <c r="JT4" s="627">
        <v>428972</v>
      </c>
      <c r="JU4" s="627">
        <v>100496</v>
      </c>
      <c r="JV4" s="627">
        <v>18973</v>
      </c>
      <c r="JW4" s="627">
        <v>0</v>
      </c>
      <c r="JX4" s="627">
        <v>0</v>
      </c>
      <c r="JY4" s="627">
        <v>0</v>
      </c>
      <c r="JZ4" s="627">
        <v>0</v>
      </c>
      <c r="KA4" s="627">
        <v>0</v>
      </c>
      <c r="KB4" s="627">
        <v>0</v>
      </c>
      <c r="KC4" s="627">
        <v>0</v>
      </c>
      <c r="KD4" s="627">
        <v>0</v>
      </c>
      <c r="KE4" s="627">
        <v>18973</v>
      </c>
      <c r="KF4" s="627">
        <v>7262</v>
      </c>
      <c r="KG4" s="627">
        <v>0</v>
      </c>
      <c r="KH4" s="627">
        <v>0</v>
      </c>
      <c r="KI4" s="627">
        <v>9631374</v>
      </c>
      <c r="KJ4" s="627">
        <v>0</v>
      </c>
      <c r="KK4" s="627">
        <v>10</v>
      </c>
      <c r="KL4" s="627">
        <v>40</v>
      </c>
      <c r="KM4" s="627">
        <v>6160</v>
      </c>
      <c r="KN4" s="627">
        <v>24640</v>
      </c>
      <c r="KO4" s="627">
        <v>0</v>
      </c>
      <c r="KP4" s="627">
        <v>0</v>
      </c>
      <c r="KQ4" s="627">
        <v>9631374</v>
      </c>
      <c r="KR4" s="627">
        <v>0</v>
      </c>
      <c r="KS4" s="627">
        <v>0</v>
      </c>
      <c r="KT4" s="627">
        <v>0</v>
      </c>
      <c r="KU4" s="627">
        <v>0</v>
      </c>
      <c r="KV4" s="627">
        <v>0</v>
      </c>
      <c r="KW4" s="627">
        <v>0</v>
      </c>
      <c r="KX4" s="627">
        <v>0</v>
      </c>
      <c r="KY4" s="627">
        <v>0</v>
      </c>
      <c r="KZ4" s="627">
        <v>0</v>
      </c>
      <c r="LA4" s="627">
        <v>0</v>
      </c>
      <c r="LB4" s="627">
        <v>0</v>
      </c>
      <c r="LC4" s="627">
        <v>0</v>
      </c>
      <c r="LD4" s="627">
        <v>0</v>
      </c>
      <c r="LE4" s="627">
        <v>0</v>
      </c>
      <c r="LF4" s="627">
        <v>0</v>
      </c>
    </row>
    <row r="5" spans="1:334" x14ac:dyDescent="0.25">
      <c r="A5" s="627">
        <v>42602</v>
      </c>
      <c r="B5" s="627">
        <v>13801</v>
      </c>
      <c r="D5" s="627">
        <v>9</v>
      </c>
      <c r="E5" s="627">
        <v>2024</v>
      </c>
      <c r="F5" s="627">
        <v>6160</v>
      </c>
      <c r="G5" s="627">
        <v>0</v>
      </c>
      <c r="H5" s="627">
        <v>281.238</v>
      </c>
      <c r="I5" s="627">
        <v>266.71899999999999</v>
      </c>
      <c r="J5" s="627">
        <v>266.71899999999999</v>
      </c>
      <c r="K5" s="627">
        <v>281.238</v>
      </c>
      <c r="L5" s="627">
        <v>0</v>
      </c>
      <c r="M5" s="627">
        <v>6160</v>
      </c>
      <c r="N5" s="627">
        <v>0</v>
      </c>
      <c r="O5" s="627">
        <v>0</v>
      </c>
      <c r="P5" s="627">
        <v>0</v>
      </c>
      <c r="Q5" s="627">
        <v>358.15300000000002</v>
      </c>
      <c r="R5" s="627">
        <v>0</v>
      </c>
      <c r="S5" s="627">
        <v>148592</v>
      </c>
      <c r="T5" s="627">
        <v>414.88400000000001</v>
      </c>
      <c r="U5" s="627">
        <v>0</v>
      </c>
      <c r="V5" s="627">
        <v>77113</v>
      </c>
      <c r="W5" s="627">
        <v>8.9920000000000009</v>
      </c>
      <c r="X5" s="627">
        <v>5539</v>
      </c>
      <c r="Y5" s="627">
        <v>5539</v>
      </c>
      <c r="Z5" s="627">
        <v>0</v>
      </c>
      <c r="AA5" s="627">
        <v>0</v>
      </c>
      <c r="AB5" s="627">
        <v>0</v>
      </c>
      <c r="AC5" s="627">
        <v>0</v>
      </c>
      <c r="AD5" s="627">
        <v>0</v>
      </c>
      <c r="AE5" s="627" t="s">
        <v>314</v>
      </c>
      <c r="AF5" s="627">
        <v>0</v>
      </c>
      <c r="AG5" s="627">
        <v>0</v>
      </c>
      <c r="AH5" s="627">
        <v>0</v>
      </c>
      <c r="AI5" s="627">
        <v>0</v>
      </c>
      <c r="AJ5" s="627">
        <v>0</v>
      </c>
      <c r="AK5" s="627">
        <v>6160</v>
      </c>
      <c r="AL5" s="627" t="s">
        <v>651</v>
      </c>
      <c r="AM5" s="627" t="s">
        <v>54</v>
      </c>
      <c r="AN5" s="627">
        <v>0</v>
      </c>
      <c r="AO5" s="627">
        <v>0</v>
      </c>
      <c r="AP5" s="627">
        <v>0</v>
      </c>
      <c r="AQ5" s="627">
        <v>0</v>
      </c>
      <c r="AR5" s="627">
        <v>0</v>
      </c>
      <c r="AS5" s="627">
        <v>0</v>
      </c>
      <c r="AT5" s="627">
        <v>0</v>
      </c>
      <c r="AU5" s="627">
        <v>0</v>
      </c>
      <c r="AV5" s="627">
        <v>0</v>
      </c>
      <c r="AW5" s="627">
        <v>-7746</v>
      </c>
      <c r="AX5" s="627">
        <v>3100142</v>
      </c>
      <c r="AY5" s="627">
        <v>3056169</v>
      </c>
      <c r="AZ5" s="627">
        <v>1648339</v>
      </c>
      <c r="BA5" s="627">
        <v>148592</v>
      </c>
      <c r="BB5" s="627">
        <v>39.167000000000002</v>
      </c>
      <c r="BC5" s="627">
        <v>5965</v>
      </c>
      <c r="BD5" s="627">
        <v>5927</v>
      </c>
      <c r="BE5" s="627">
        <v>14</v>
      </c>
      <c r="BF5" s="627">
        <v>38</v>
      </c>
      <c r="BG5" s="627">
        <v>2741609</v>
      </c>
      <c r="BH5" s="627">
        <v>0</v>
      </c>
      <c r="BI5" s="627">
        <v>0</v>
      </c>
      <c r="BJ5" s="627">
        <v>0</v>
      </c>
      <c r="BK5" s="627">
        <v>12</v>
      </c>
      <c r="BL5" s="627">
        <v>0</v>
      </c>
      <c r="BM5" s="627">
        <v>0</v>
      </c>
      <c r="BN5" s="627">
        <v>0</v>
      </c>
      <c r="BO5" s="627">
        <v>0</v>
      </c>
      <c r="BP5" s="627">
        <v>0</v>
      </c>
      <c r="BQ5" s="627">
        <v>0</v>
      </c>
      <c r="BR5" s="627">
        <v>729</v>
      </c>
      <c r="BS5" s="627">
        <v>0</v>
      </c>
      <c r="BT5" s="627">
        <v>0</v>
      </c>
      <c r="BU5" s="627">
        <v>0</v>
      </c>
      <c r="BV5" s="627">
        <v>0</v>
      </c>
      <c r="BW5" s="627">
        <v>0</v>
      </c>
      <c r="BX5" s="627">
        <v>0</v>
      </c>
      <c r="BY5" s="627">
        <v>0</v>
      </c>
      <c r="BZ5" s="627">
        <v>0</v>
      </c>
      <c r="CA5" s="627">
        <v>0</v>
      </c>
      <c r="CB5" s="627">
        <v>0</v>
      </c>
      <c r="CC5" s="627">
        <v>0</v>
      </c>
      <c r="CD5" s="627">
        <v>0</v>
      </c>
      <c r="CE5" s="627">
        <v>0</v>
      </c>
      <c r="CF5" s="627">
        <v>0</v>
      </c>
      <c r="CG5" s="627">
        <v>0</v>
      </c>
      <c r="CH5" s="627">
        <v>0</v>
      </c>
      <c r="CI5" s="627">
        <v>44978</v>
      </c>
      <c r="CJ5" s="627">
        <v>0</v>
      </c>
      <c r="CK5" s="627">
        <v>4</v>
      </c>
      <c r="CL5" s="627">
        <v>0</v>
      </c>
      <c r="CM5" s="627">
        <v>0</v>
      </c>
      <c r="CN5" s="627">
        <v>0</v>
      </c>
      <c r="CO5" s="627">
        <v>0</v>
      </c>
      <c r="CP5" s="627">
        <v>1</v>
      </c>
      <c r="CQ5" s="627">
        <v>0</v>
      </c>
      <c r="CR5" s="627">
        <v>2</v>
      </c>
      <c r="CS5" s="627">
        <v>357.09000000000003</v>
      </c>
      <c r="CT5" s="627">
        <v>0</v>
      </c>
      <c r="CU5" s="627">
        <v>0</v>
      </c>
      <c r="CV5" s="627">
        <v>0</v>
      </c>
      <c r="CW5" s="627">
        <v>0</v>
      </c>
      <c r="CX5" s="627">
        <v>0</v>
      </c>
      <c r="CY5" s="627">
        <v>0</v>
      </c>
      <c r="CZ5" s="627">
        <v>0</v>
      </c>
      <c r="DA5" s="627">
        <v>0</v>
      </c>
      <c r="DB5" s="627">
        <v>0</v>
      </c>
      <c r="DC5" s="627">
        <v>1642989</v>
      </c>
      <c r="DD5" s="627">
        <v>0</v>
      </c>
      <c r="DE5" s="627">
        <v>0</v>
      </c>
      <c r="DF5" s="627">
        <v>390621</v>
      </c>
      <c r="DG5" s="627">
        <v>390621</v>
      </c>
      <c r="DH5" s="627">
        <v>63.413000000000004</v>
      </c>
      <c r="DI5" s="627">
        <v>0</v>
      </c>
      <c r="DJ5" s="627">
        <v>0</v>
      </c>
      <c r="DK5" s="627">
        <v>0</v>
      </c>
      <c r="DL5" s="627">
        <v>3285</v>
      </c>
      <c r="DM5" s="627">
        <v>0</v>
      </c>
      <c r="DN5" s="627">
        <v>283569</v>
      </c>
      <c r="DO5" s="627">
        <v>967</v>
      </c>
      <c r="DP5" s="627">
        <v>0</v>
      </c>
      <c r="DQ5" s="627">
        <v>0</v>
      </c>
      <c r="DR5" s="627">
        <v>0</v>
      </c>
      <c r="DS5" s="627">
        <v>0</v>
      </c>
      <c r="DT5" s="627">
        <v>0</v>
      </c>
      <c r="DU5" s="627">
        <v>0</v>
      </c>
      <c r="DV5" s="627">
        <v>0</v>
      </c>
      <c r="DW5" s="627">
        <v>0</v>
      </c>
      <c r="DX5" s="627">
        <v>0</v>
      </c>
      <c r="DY5" s="627">
        <v>0</v>
      </c>
      <c r="DZ5" s="627">
        <v>0</v>
      </c>
      <c r="EA5" s="627">
        <v>0</v>
      </c>
      <c r="EB5" s="627">
        <v>0</v>
      </c>
      <c r="EC5" s="627">
        <v>0</v>
      </c>
      <c r="ED5" s="627">
        <v>0.12</v>
      </c>
      <c r="EE5" s="627">
        <v>850</v>
      </c>
      <c r="EF5" s="627">
        <v>0</v>
      </c>
      <c r="EG5" s="627">
        <v>0</v>
      </c>
      <c r="EH5" s="627">
        <v>0</v>
      </c>
      <c r="EI5" s="627">
        <v>283686</v>
      </c>
      <c r="EJ5" s="627">
        <v>0</v>
      </c>
      <c r="EK5" s="627">
        <v>0</v>
      </c>
      <c r="EL5" s="627">
        <v>12.8</v>
      </c>
      <c r="EM5" s="627">
        <v>0</v>
      </c>
      <c r="EN5" s="627">
        <v>0.47100000000000003</v>
      </c>
      <c r="EO5" s="627">
        <v>1.248</v>
      </c>
      <c r="EP5" s="627">
        <v>0</v>
      </c>
      <c r="EQ5" s="627">
        <v>0</v>
      </c>
      <c r="ER5" s="627">
        <v>14.519</v>
      </c>
      <c r="ES5" s="627">
        <v>0</v>
      </c>
      <c r="ET5" s="627">
        <v>46.053000000000004</v>
      </c>
      <c r="EU5" s="627">
        <v>0</v>
      </c>
      <c r="EV5" s="627">
        <v>0</v>
      </c>
      <c r="EW5" s="627">
        <v>0</v>
      </c>
      <c r="EX5" s="627">
        <v>0</v>
      </c>
      <c r="EY5" s="627">
        <v>0</v>
      </c>
      <c r="EZ5" s="627">
        <v>0</v>
      </c>
      <c r="FA5" s="627">
        <v>2593017</v>
      </c>
      <c r="FB5" s="627">
        <v>0</v>
      </c>
      <c r="FC5" s="627">
        <v>2740604</v>
      </c>
      <c r="FD5" s="627">
        <v>0</v>
      </c>
      <c r="FE5" s="627">
        <v>0</v>
      </c>
      <c r="FF5" s="627">
        <v>394781</v>
      </c>
      <c r="FG5" s="627">
        <v>68371</v>
      </c>
      <c r="FH5" s="627">
        <v>7.0280999999999996E-2</v>
      </c>
      <c r="FI5" s="627">
        <v>3.1172999999999999E-2</v>
      </c>
      <c r="FJ5" s="627">
        <v>0</v>
      </c>
      <c r="FK5" s="627">
        <v>0</v>
      </c>
      <c r="FL5" s="627">
        <v>445.06600000000003</v>
      </c>
      <c r="FM5" s="627">
        <v>3248734</v>
      </c>
      <c r="FN5" s="627">
        <v>0</v>
      </c>
      <c r="FO5" s="627">
        <v>0</v>
      </c>
      <c r="FP5" s="627">
        <v>0</v>
      </c>
      <c r="FQ5" s="627">
        <v>0</v>
      </c>
      <c r="FR5" s="627">
        <v>0</v>
      </c>
      <c r="FS5" s="627">
        <v>0</v>
      </c>
      <c r="FT5" s="627">
        <v>0</v>
      </c>
      <c r="FU5" s="627">
        <v>0</v>
      </c>
      <c r="FV5" s="627">
        <v>0</v>
      </c>
      <c r="FW5" s="627">
        <v>0</v>
      </c>
      <c r="FX5" s="627">
        <v>0</v>
      </c>
      <c r="FY5" s="627">
        <v>0</v>
      </c>
      <c r="FZ5" s="627">
        <v>0</v>
      </c>
      <c r="GA5" s="627">
        <v>0</v>
      </c>
      <c r="GB5" s="627">
        <v>0</v>
      </c>
      <c r="GC5" s="627">
        <v>0</v>
      </c>
      <c r="GD5" s="627">
        <v>0</v>
      </c>
      <c r="GE5" s="627">
        <v>0</v>
      </c>
      <c r="GF5" s="627">
        <v>0</v>
      </c>
      <c r="GG5" s="627">
        <v>0</v>
      </c>
      <c r="GH5" s="627">
        <v>0</v>
      </c>
      <c r="GI5" s="627">
        <v>0</v>
      </c>
      <c r="GJ5" s="627">
        <v>0</v>
      </c>
      <c r="GK5" s="627">
        <v>0</v>
      </c>
      <c r="GL5" s="627">
        <v>0</v>
      </c>
      <c r="GM5" s="627">
        <v>0</v>
      </c>
      <c r="GN5" s="627">
        <v>0</v>
      </c>
      <c r="GO5" s="627">
        <v>0</v>
      </c>
      <c r="GP5" s="627">
        <v>0</v>
      </c>
      <c r="GQ5" s="627">
        <v>0</v>
      </c>
      <c r="GR5" s="627">
        <v>3055164</v>
      </c>
      <c r="GS5" s="627">
        <v>0</v>
      </c>
      <c r="GT5" s="627">
        <v>0</v>
      </c>
      <c r="GU5" s="627">
        <v>0</v>
      </c>
      <c r="GV5" s="627">
        <v>0</v>
      </c>
      <c r="GW5" s="627">
        <v>0</v>
      </c>
      <c r="GX5" s="627">
        <v>0</v>
      </c>
      <c r="GY5" s="627">
        <v>0</v>
      </c>
      <c r="GZ5" s="627">
        <v>0</v>
      </c>
      <c r="HA5" s="627">
        <v>0</v>
      </c>
      <c r="HB5" s="627">
        <v>0</v>
      </c>
      <c r="HC5" s="627">
        <v>361151439</v>
      </c>
      <c r="HD5" s="627">
        <v>3.9981999999999997E-2</v>
      </c>
      <c r="HE5" s="627">
        <v>44978</v>
      </c>
      <c r="HF5" s="627">
        <v>0</v>
      </c>
      <c r="HG5" s="627">
        <v>293924</v>
      </c>
      <c r="HH5" s="627">
        <v>8008</v>
      </c>
      <c r="HI5" s="627">
        <v>92215</v>
      </c>
      <c r="HJ5" s="627">
        <v>0</v>
      </c>
      <c r="HK5" s="627">
        <v>17812</v>
      </c>
      <c r="HL5" s="627">
        <v>0</v>
      </c>
      <c r="HM5" s="627">
        <v>0</v>
      </c>
      <c r="HN5" s="627">
        <v>0</v>
      </c>
      <c r="HO5" s="627">
        <v>0</v>
      </c>
      <c r="HP5" s="627">
        <v>0</v>
      </c>
      <c r="HQ5" s="627">
        <v>0</v>
      </c>
      <c r="HR5" s="627">
        <v>0</v>
      </c>
      <c r="HS5" s="627">
        <v>0</v>
      </c>
      <c r="HT5" s="627">
        <v>2592012</v>
      </c>
      <c r="HU5" s="627">
        <v>68371</v>
      </c>
      <c r="HV5" s="627">
        <v>0</v>
      </c>
      <c r="HW5" s="627">
        <v>0</v>
      </c>
      <c r="HX5" s="627">
        <v>0</v>
      </c>
      <c r="HY5" s="627">
        <v>45</v>
      </c>
      <c r="HZ5" s="627">
        <v>70</v>
      </c>
      <c r="IA5" s="627">
        <v>56</v>
      </c>
      <c r="IB5" s="627">
        <v>57</v>
      </c>
      <c r="IC5" s="627">
        <v>28</v>
      </c>
      <c r="ID5" s="627">
        <v>256</v>
      </c>
      <c r="IE5" s="627">
        <v>0</v>
      </c>
      <c r="IF5" s="627">
        <v>0</v>
      </c>
      <c r="IG5" s="627">
        <v>0</v>
      </c>
      <c r="IH5" s="627">
        <v>13</v>
      </c>
      <c r="II5" s="627">
        <v>149.70000000000002</v>
      </c>
      <c r="IJ5" s="627">
        <v>0</v>
      </c>
      <c r="IK5" s="627">
        <v>8.9920000000000009</v>
      </c>
      <c r="IL5" s="627">
        <v>0</v>
      </c>
      <c r="IM5" s="627">
        <v>0</v>
      </c>
      <c r="IN5" s="627">
        <v>0</v>
      </c>
      <c r="IO5" s="627">
        <v>0</v>
      </c>
      <c r="IP5" s="627">
        <v>0</v>
      </c>
      <c r="IQ5" s="627">
        <v>0</v>
      </c>
      <c r="IR5" s="627">
        <v>8.9920000000000009</v>
      </c>
      <c r="IS5" s="627">
        <v>5539</v>
      </c>
      <c r="IT5" s="627">
        <v>0</v>
      </c>
      <c r="IU5" s="627">
        <v>0</v>
      </c>
      <c r="IV5" s="627">
        <v>0</v>
      </c>
      <c r="IW5" s="627">
        <v>0</v>
      </c>
      <c r="IX5" s="627">
        <v>6160</v>
      </c>
      <c r="IY5" s="627">
        <v>0</v>
      </c>
      <c r="IZ5" s="627">
        <v>0</v>
      </c>
      <c r="JA5" s="627">
        <v>0</v>
      </c>
      <c r="JB5" s="627">
        <v>0</v>
      </c>
      <c r="JC5" s="627">
        <v>0</v>
      </c>
      <c r="JD5" s="627">
        <v>0</v>
      </c>
      <c r="JE5" s="627">
        <v>0</v>
      </c>
      <c r="JF5" s="627">
        <v>0</v>
      </c>
      <c r="JG5" s="627">
        <v>0</v>
      </c>
      <c r="JH5" s="627">
        <v>0</v>
      </c>
      <c r="JI5" s="627">
        <v>0</v>
      </c>
      <c r="JJ5" s="627">
        <v>0</v>
      </c>
      <c r="JK5" s="627">
        <v>0</v>
      </c>
      <c r="JL5" s="627">
        <v>0</v>
      </c>
      <c r="JM5" s="627">
        <v>0</v>
      </c>
      <c r="JN5" s="627">
        <v>0</v>
      </c>
      <c r="JO5" s="627">
        <v>32469</v>
      </c>
      <c r="JP5" s="627">
        <v>0</v>
      </c>
      <c r="JQ5" s="627">
        <v>0</v>
      </c>
      <c r="JR5" s="627">
        <v>0</v>
      </c>
      <c r="JS5" s="627">
        <v>0</v>
      </c>
      <c r="JT5" s="627">
        <v>0</v>
      </c>
      <c r="JU5" s="627">
        <v>0</v>
      </c>
      <c r="JV5" s="627">
        <v>6037</v>
      </c>
      <c r="JW5" s="627">
        <v>0</v>
      </c>
      <c r="JX5" s="627">
        <v>0</v>
      </c>
      <c r="JY5" s="627">
        <v>0</v>
      </c>
      <c r="JZ5" s="627">
        <v>0</v>
      </c>
      <c r="KA5" s="627">
        <v>0</v>
      </c>
      <c r="KB5" s="627">
        <v>0</v>
      </c>
      <c r="KC5" s="627">
        <v>0</v>
      </c>
      <c r="KD5" s="627">
        <v>0</v>
      </c>
      <c r="KE5" s="627">
        <v>6037</v>
      </c>
      <c r="KF5" s="627">
        <v>7262</v>
      </c>
      <c r="KG5" s="627">
        <v>0</v>
      </c>
      <c r="KH5" s="627">
        <v>0</v>
      </c>
      <c r="KI5" s="627">
        <v>3055164</v>
      </c>
      <c r="KJ5" s="627">
        <v>0</v>
      </c>
      <c r="KK5" s="627">
        <v>7</v>
      </c>
      <c r="KL5" s="627">
        <v>6</v>
      </c>
      <c r="KM5" s="627">
        <v>4312</v>
      </c>
      <c r="KN5" s="627">
        <v>3696</v>
      </c>
      <c r="KO5" s="627">
        <v>0</v>
      </c>
      <c r="KP5" s="627">
        <v>0</v>
      </c>
      <c r="KQ5" s="627">
        <v>3055164</v>
      </c>
      <c r="KR5" s="627">
        <v>0</v>
      </c>
      <c r="KS5" s="627">
        <v>0</v>
      </c>
      <c r="KT5" s="627">
        <v>0</v>
      </c>
      <c r="KU5" s="627">
        <v>0</v>
      </c>
      <c r="KV5" s="627">
        <v>0</v>
      </c>
      <c r="KW5" s="627">
        <v>0</v>
      </c>
      <c r="KX5" s="627">
        <v>0</v>
      </c>
      <c r="KY5" s="627">
        <v>0</v>
      </c>
      <c r="KZ5" s="627">
        <v>0</v>
      </c>
      <c r="LA5" s="627">
        <v>0</v>
      </c>
      <c r="LB5" s="627">
        <v>0</v>
      </c>
      <c r="LC5" s="627">
        <v>0</v>
      </c>
      <c r="LD5" s="627">
        <v>0</v>
      </c>
      <c r="LE5" s="627">
        <v>0</v>
      </c>
      <c r="LF5" s="627">
        <v>0</v>
      </c>
    </row>
    <row r="6" spans="1:334" x14ac:dyDescent="0.25">
      <c r="A6" s="627">
        <v>42602</v>
      </c>
      <c r="B6" s="627">
        <v>14801</v>
      </c>
      <c r="D6" s="627">
        <v>9</v>
      </c>
      <c r="E6" s="627">
        <v>2024</v>
      </c>
      <c r="F6" s="627">
        <v>6160</v>
      </c>
      <c r="G6" s="627">
        <v>0</v>
      </c>
      <c r="H6" s="627">
        <v>1113.722</v>
      </c>
      <c r="I6" s="627">
        <v>1043.117</v>
      </c>
      <c r="J6" s="627">
        <v>1043.117</v>
      </c>
      <c r="K6" s="627">
        <v>1113.722</v>
      </c>
      <c r="L6" s="627">
        <v>0</v>
      </c>
      <c r="M6" s="627">
        <v>6160</v>
      </c>
      <c r="N6" s="627">
        <v>0</v>
      </c>
      <c r="O6" s="627">
        <v>0</v>
      </c>
      <c r="P6" s="627">
        <v>0</v>
      </c>
      <c r="Q6" s="627">
        <v>1220.1280000000002</v>
      </c>
      <c r="R6" s="627">
        <v>0</v>
      </c>
      <c r="S6" s="627">
        <v>506212</v>
      </c>
      <c r="T6" s="627">
        <v>414.88400000000001</v>
      </c>
      <c r="U6" s="627">
        <v>0</v>
      </c>
      <c r="V6" s="627">
        <v>262704</v>
      </c>
      <c r="W6" s="627">
        <v>86.042000000000002</v>
      </c>
      <c r="X6" s="627">
        <v>53002</v>
      </c>
      <c r="Y6" s="627">
        <v>53002</v>
      </c>
      <c r="Z6" s="627">
        <v>0</v>
      </c>
      <c r="AA6" s="627">
        <v>0</v>
      </c>
      <c r="AB6" s="627">
        <v>0</v>
      </c>
      <c r="AC6" s="627">
        <v>0</v>
      </c>
      <c r="AD6" s="627">
        <v>0</v>
      </c>
      <c r="AE6" s="627" t="s">
        <v>314</v>
      </c>
      <c r="AF6" s="627">
        <v>0</v>
      </c>
      <c r="AG6" s="627">
        <v>0</v>
      </c>
      <c r="AH6" s="627">
        <v>0</v>
      </c>
      <c r="AI6" s="627">
        <v>0</v>
      </c>
      <c r="AJ6" s="627">
        <v>0</v>
      </c>
      <c r="AK6" s="627">
        <v>6160</v>
      </c>
      <c r="AL6" s="627" t="s">
        <v>651</v>
      </c>
      <c r="AM6" s="627" t="s">
        <v>35</v>
      </c>
      <c r="AN6" s="627">
        <v>0</v>
      </c>
      <c r="AO6" s="627">
        <v>0</v>
      </c>
      <c r="AP6" s="627">
        <v>0</v>
      </c>
      <c r="AQ6" s="627">
        <v>0</v>
      </c>
      <c r="AR6" s="627">
        <v>0</v>
      </c>
      <c r="AS6" s="627">
        <v>0</v>
      </c>
      <c r="AT6" s="627">
        <v>0</v>
      </c>
      <c r="AU6" s="627">
        <v>0</v>
      </c>
      <c r="AV6" s="627">
        <v>0</v>
      </c>
      <c r="AW6" s="627">
        <v>-20771</v>
      </c>
      <c r="AX6" s="627">
        <v>12712477</v>
      </c>
      <c r="AY6" s="627">
        <v>12537729</v>
      </c>
      <c r="AZ6" s="627">
        <v>6582744</v>
      </c>
      <c r="BA6" s="627">
        <v>506212</v>
      </c>
      <c r="BB6" s="627">
        <v>0</v>
      </c>
      <c r="BC6" s="627">
        <v>0</v>
      </c>
      <c r="BD6" s="627">
        <v>0</v>
      </c>
      <c r="BE6" s="627">
        <v>0</v>
      </c>
      <c r="BF6" s="627">
        <v>0</v>
      </c>
      <c r="BG6" s="627">
        <v>10838681</v>
      </c>
      <c r="BH6" s="627">
        <v>0</v>
      </c>
      <c r="BI6" s="627">
        <v>0</v>
      </c>
      <c r="BJ6" s="627">
        <v>0</v>
      </c>
      <c r="BK6" s="627">
        <v>12</v>
      </c>
      <c r="BL6" s="627">
        <v>0</v>
      </c>
      <c r="BM6" s="627">
        <v>0</v>
      </c>
      <c r="BN6" s="627">
        <v>0</v>
      </c>
      <c r="BO6" s="627">
        <v>0</v>
      </c>
      <c r="BP6" s="627">
        <v>0</v>
      </c>
      <c r="BQ6" s="627">
        <v>0</v>
      </c>
      <c r="BR6" s="627">
        <v>609</v>
      </c>
      <c r="BS6" s="627">
        <v>0</v>
      </c>
      <c r="BT6" s="627">
        <v>0</v>
      </c>
      <c r="BU6" s="627">
        <v>0</v>
      </c>
      <c r="BV6" s="627">
        <v>0</v>
      </c>
      <c r="BW6" s="627">
        <v>0</v>
      </c>
      <c r="BX6" s="627">
        <v>0</v>
      </c>
      <c r="BY6" s="627">
        <v>0</v>
      </c>
      <c r="BZ6" s="627">
        <v>0</v>
      </c>
      <c r="CA6" s="627">
        <v>0</v>
      </c>
      <c r="CB6" s="627">
        <v>0</v>
      </c>
      <c r="CC6" s="627">
        <v>0</v>
      </c>
      <c r="CD6" s="627">
        <v>0</v>
      </c>
      <c r="CE6" s="627">
        <v>0</v>
      </c>
      <c r="CF6" s="627">
        <v>0</v>
      </c>
      <c r="CG6" s="627">
        <v>0</v>
      </c>
      <c r="CH6" s="627">
        <v>0</v>
      </c>
      <c r="CI6" s="627">
        <v>178116</v>
      </c>
      <c r="CJ6" s="627">
        <v>0</v>
      </c>
      <c r="CK6" s="627">
        <v>4</v>
      </c>
      <c r="CL6" s="627">
        <v>0</v>
      </c>
      <c r="CM6" s="627">
        <v>0</v>
      </c>
      <c r="CN6" s="627">
        <v>0</v>
      </c>
      <c r="CO6" s="627">
        <v>0</v>
      </c>
      <c r="CP6" s="627">
        <v>1</v>
      </c>
      <c r="CQ6" s="627">
        <v>0.625</v>
      </c>
      <c r="CR6" s="627">
        <v>0</v>
      </c>
      <c r="CS6" s="627">
        <v>1200.3700000000001</v>
      </c>
      <c r="CT6" s="627">
        <v>0</v>
      </c>
      <c r="CU6" s="627">
        <v>0</v>
      </c>
      <c r="CV6" s="627">
        <v>0</v>
      </c>
      <c r="CW6" s="627">
        <v>0</v>
      </c>
      <c r="CX6" s="627">
        <v>0</v>
      </c>
      <c r="CY6" s="627">
        <v>0</v>
      </c>
      <c r="CZ6" s="627">
        <v>0</v>
      </c>
      <c r="DA6" s="627">
        <v>0</v>
      </c>
      <c r="DB6" s="627">
        <v>0</v>
      </c>
      <c r="DC6" s="627">
        <v>5979960</v>
      </c>
      <c r="DD6" s="627">
        <v>0</v>
      </c>
      <c r="DE6" s="627">
        <v>0</v>
      </c>
      <c r="DF6" s="627">
        <v>1537074</v>
      </c>
      <c r="DG6" s="627">
        <v>1546353</v>
      </c>
      <c r="DH6" s="627">
        <v>249.52500000000001</v>
      </c>
      <c r="DI6" s="627">
        <v>0</v>
      </c>
      <c r="DJ6" s="627">
        <v>9279</v>
      </c>
      <c r="DK6" s="627">
        <v>0</v>
      </c>
      <c r="DL6" s="627">
        <v>1372</v>
      </c>
      <c r="DM6" s="627">
        <v>0</v>
      </c>
      <c r="DN6" s="627">
        <v>1433707</v>
      </c>
      <c r="DO6" s="627">
        <v>3368</v>
      </c>
      <c r="DP6" s="627">
        <v>0</v>
      </c>
      <c r="DQ6" s="627">
        <v>0</v>
      </c>
      <c r="DR6" s="627">
        <v>0</v>
      </c>
      <c r="DS6" s="627">
        <v>0</v>
      </c>
      <c r="DT6" s="627">
        <v>0</v>
      </c>
      <c r="DU6" s="627">
        <v>0</v>
      </c>
      <c r="DV6" s="627">
        <v>0</v>
      </c>
      <c r="DW6" s="627">
        <v>0</v>
      </c>
      <c r="DX6" s="627">
        <v>0</v>
      </c>
      <c r="DY6" s="627">
        <v>0</v>
      </c>
      <c r="DZ6" s="627">
        <v>0</v>
      </c>
      <c r="EA6" s="627">
        <v>0</v>
      </c>
      <c r="EB6" s="627">
        <v>0</v>
      </c>
      <c r="EC6" s="627">
        <v>0</v>
      </c>
      <c r="ED6" s="627">
        <v>86.905000000000001</v>
      </c>
      <c r="EE6" s="627">
        <v>615635</v>
      </c>
      <c r="EF6" s="627">
        <v>0</v>
      </c>
      <c r="EG6" s="627">
        <v>0</v>
      </c>
      <c r="EH6" s="627">
        <v>2.9000000000000001E-2</v>
      </c>
      <c r="EI6" s="627">
        <v>366115</v>
      </c>
      <c r="EJ6" s="627">
        <v>9684</v>
      </c>
      <c r="EK6" s="627">
        <v>0.39300000000000002</v>
      </c>
      <c r="EL6" s="627">
        <v>18.734999999999999</v>
      </c>
      <c r="EM6" s="627">
        <v>0</v>
      </c>
      <c r="EN6" s="627">
        <v>0.35700000000000004</v>
      </c>
      <c r="EO6" s="627">
        <v>0.41600000000000004</v>
      </c>
      <c r="EP6" s="627">
        <v>0</v>
      </c>
      <c r="EQ6" s="627">
        <v>0</v>
      </c>
      <c r="ER6" s="627">
        <v>19.93</v>
      </c>
      <c r="ES6" s="627">
        <v>0</v>
      </c>
      <c r="ET6" s="627">
        <v>59.434000000000005</v>
      </c>
      <c r="EU6" s="627">
        <v>0</v>
      </c>
      <c r="EV6" s="627">
        <v>0</v>
      </c>
      <c r="EW6" s="627">
        <v>0</v>
      </c>
      <c r="EX6" s="627">
        <v>0</v>
      </c>
      <c r="EY6" s="627">
        <v>0</v>
      </c>
      <c r="EZ6" s="627">
        <v>0</v>
      </c>
      <c r="FA6" s="627">
        <v>10706701</v>
      </c>
      <c r="FB6" s="627">
        <v>0</v>
      </c>
      <c r="FC6" s="627">
        <v>11209545</v>
      </c>
      <c r="FD6" s="627">
        <v>0</v>
      </c>
      <c r="FE6" s="627">
        <v>0</v>
      </c>
      <c r="FF6" s="627">
        <v>1560729</v>
      </c>
      <c r="FG6" s="627">
        <v>270299</v>
      </c>
      <c r="FH6" s="627">
        <v>7.0280999999999996E-2</v>
      </c>
      <c r="FI6" s="627">
        <v>3.1172999999999999E-2</v>
      </c>
      <c r="FJ6" s="627">
        <v>0</v>
      </c>
      <c r="FK6" s="627">
        <v>0</v>
      </c>
      <c r="FL6" s="627">
        <v>1759.5260000000001</v>
      </c>
      <c r="FM6" s="627">
        <v>13218689</v>
      </c>
      <c r="FN6" s="627">
        <v>0</v>
      </c>
      <c r="FO6" s="627">
        <v>0</v>
      </c>
      <c r="FP6" s="627">
        <v>0</v>
      </c>
      <c r="FQ6" s="627">
        <v>0</v>
      </c>
      <c r="FR6" s="627">
        <v>0</v>
      </c>
      <c r="FS6" s="627">
        <v>0</v>
      </c>
      <c r="FT6" s="627">
        <v>0</v>
      </c>
      <c r="FU6" s="627">
        <v>0</v>
      </c>
      <c r="FV6" s="627">
        <v>0</v>
      </c>
      <c r="FW6" s="627">
        <v>0</v>
      </c>
      <c r="FX6" s="627">
        <v>0</v>
      </c>
      <c r="FY6" s="627">
        <v>0</v>
      </c>
      <c r="FZ6" s="627">
        <v>0</v>
      </c>
      <c r="GA6" s="627">
        <v>0</v>
      </c>
      <c r="GB6" s="627">
        <v>0</v>
      </c>
      <c r="GC6" s="627">
        <v>488447</v>
      </c>
      <c r="GD6" s="627">
        <v>488447</v>
      </c>
      <c r="GE6" s="627">
        <v>50.675000000000004</v>
      </c>
      <c r="GF6" s="627">
        <v>0</v>
      </c>
      <c r="GG6" s="627">
        <v>0</v>
      </c>
      <c r="GH6" s="627">
        <v>0</v>
      </c>
      <c r="GI6" s="627">
        <v>0</v>
      </c>
      <c r="GJ6" s="627">
        <v>0</v>
      </c>
      <c r="GK6" s="627">
        <v>0</v>
      </c>
      <c r="GL6" s="627">
        <v>0</v>
      </c>
      <c r="GM6" s="627">
        <v>0</v>
      </c>
      <c r="GN6" s="627">
        <v>0</v>
      </c>
      <c r="GO6" s="627">
        <v>0</v>
      </c>
      <c r="GP6" s="627">
        <v>0</v>
      </c>
      <c r="GQ6" s="627">
        <v>0</v>
      </c>
      <c r="GR6" s="627">
        <v>12534361</v>
      </c>
      <c r="GS6" s="627">
        <v>0</v>
      </c>
      <c r="GT6" s="627">
        <v>0</v>
      </c>
      <c r="GU6" s="627">
        <v>0</v>
      </c>
      <c r="GV6" s="627">
        <v>0</v>
      </c>
      <c r="GW6" s="627">
        <v>0</v>
      </c>
      <c r="GX6" s="627">
        <v>0</v>
      </c>
      <c r="GY6" s="627">
        <v>0</v>
      </c>
      <c r="GZ6" s="627">
        <v>0</v>
      </c>
      <c r="HA6" s="627">
        <v>0</v>
      </c>
      <c r="HB6" s="627">
        <v>0</v>
      </c>
      <c r="HC6" s="627">
        <v>361151439</v>
      </c>
      <c r="HD6" s="627">
        <v>3.9981999999999997E-2</v>
      </c>
      <c r="HE6" s="627">
        <v>178116</v>
      </c>
      <c r="HF6" s="627">
        <v>0</v>
      </c>
      <c r="HG6" s="627">
        <v>1149515</v>
      </c>
      <c r="HH6" s="627">
        <v>38192</v>
      </c>
      <c r="HI6" s="627">
        <v>0</v>
      </c>
      <c r="HJ6" s="627">
        <v>0</v>
      </c>
      <c r="HK6" s="627">
        <v>146137</v>
      </c>
      <c r="HL6" s="627">
        <v>21534</v>
      </c>
      <c r="HM6" s="627">
        <v>20580</v>
      </c>
      <c r="HN6" s="627">
        <v>0</v>
      </c>
      <c r="HO6" s="627">
        <v>0</v>
      </c>
      <c r="HP6" s="627">
        <v>0</v>
      </c>
      <c r="HQ6" s="627">
        <v>332118</v>
      </c>
      <c r="HR6" s="627">
        <v>0</v>
      </c>
      <c r="HS6" s="627">
        <v>0</v>
      </c>
      <c r="HT6" s="627">
        <v>10703333</v>
      </c>
      <c r="HU6" s="627">
        <v>270299</v>
      </c>
      <c r="HV6" s="627">
        <v>0</v>
      </c>
      <c r="HW6" s="627">
        <v>0</v>
      </c>
      <c r="HX6" s="627">
        <v>0</v>
      </c>
      <c r="HY6" s="627">
        <v>101</v>
      </c>
      <c r="HZ6" s="627">
        <v>211</v>
      </c>
      <c r="IA6" s="627">
        <v>188</v>
      </c>
      <c r="IB6" s="627">
        <v>229</v>
      </c>
      <c r="IC6" s="627">
        <v>253</v>
      </c>
      <c r="ID6" s="627">
        <v>982</v>
      </c>
      <c r="IE6" s="627">
        <v>0</v>
      </c>
      <c r="IF6" s="627">
        <v>0</v>
      </c>
      <c r="IG6" s="627">
        <v>0</v>
      </c>
      <c r="IH6" s="627">
        <v>62</v>
      </c>
      <c r="II6" s="627">
        <v>0</v>
      </c>
      <c r="IJ6" s="627">
        <v>1207.7</v>
      </c>
      <c r="IK6" s="627">
        <v>86.042000000000002</v>
      </c>
      <c r="IL6" s="627">
        <v>0</v>
      </c>
      <c r="IM6" s="627">
        <v>0</v>
      </c>
      <c r="IN6" s="627">
        <v>0</v>
      </c>
      <c r="IO6" s="627">
        <v>0</v>
      </c>
      <c r="IP6" s="627">
        <v>0</v>
      </c>
      <c r="IQ6" s="627">
        <v>1207.7</v>
      </c>
      <c r="IR6" s="627">
        <v>86.042000000000002</v>
      </c>
      <c r="IS6" s="627">
        <v>53002</v>
      </c>
      <c r="IT6" s="627">
        <v>0</v>
      </c>
      <c r="IU6" s="627">
        <v>0</v>
      </c>
      <c r="IV6" s="627">
        <v>0</v>
      </c>
      <c r="IW6" s="627">
        <v>0</v>
      </c>
      <c r="IX6" s="627">
        <v>6160</v>
      </c>
      <c r="IY6" s="627">
        <v>0</v>
      </c>
      <c r="IZ6" s="627">
        <v>0</v>
      </c>
      <c r="JA6" s="627">
        <v>332118</v>
      </c>
      <c r="JB6" s="627">
        <v>0</v>
      </c>
      <c r="JC6" s="627">
        <v>0</v>
      </c>
      <c r="JD6" s="627">
        <v>0</v>
      </c>
      <c r="JE6" s="627">
        <v>0</v>
      </c>
      <c r="JF6" s="627">
        <v>0</v>
      </c>
      <c r="JG6" s="627">
        <v>0</v>
      </c>
      <c r="JH6" s="627">
        <v>0</v>
      </c>
      <c r="JI6" s="627">
        <v>0</v>
      </c>
      <c r="JJ6" s="627">
        <v>0</v>
      </c>
      <c r="JK6" s="627">
        <v>0</v>
      </c>
      <c r="JL6" s="627">
        <v>0</v>
      </c>
      <c r="JM6" s="627">
        <v>0</v>
      </c>
      <c r="JN6" s="627">
        <v>0</v>
      </c>
      <c r="JO6" s="627">
        <v>41615</v>
      </c>
      <c r="JP6" s="627">
        <v>0</v>
      </c>
      <c r="JQ6" s="627">
        <v>38.061</v>
      </c>
      <c r="JR6" s="627">
        <v>12.614000000000001</v>
      </c>
      <c r="JS6" s="627">
        <v>0</v>
      </c>
      <c r="JT6" s="627">
        <v>353791</v>
      </c>
      <c r="JU6" s="627">
        <v>134656</v>
      </c>
      <c r="JV6" s="627">
        <v>0</v>
      </c>
      <c r="JW6" s="627">
        <v>0</v>
      </c>
      <c r="JX6" s="627">
        <v>0</v>
      </c>
      <c r="JY6" s="627">
        <v>0</v>
      </c>
      <c r="JZ6" s="627">
        <v>0</v>
      </c>
      <c r="KA6" s="627">
        <v>0</v>
      </c>
      <c r="KB6" s="627">
        <v>0</v>
      </c>
      <c r="KC6" s="627">
        <v>0</v>
      </c>
      <c r="KD6" s="627">
        <v>0</v>
      </c>
      <c r="KE6" s="627">
        <v>0</v>
      </c>
      <c r="KF6" s="627">
        <v>7262</v>
      </c>
      <c r="KG6" s="627">
        <v>0</v>
      </c>
      <c r="KH6" s="627">
        <v>0</v>
      </c>
      <c r="KI6" s="627">
        <v>12534361</v>
      </c>
      <c r="KJ6" s="627">
        <v>0</v>
      </c>
      <c r="KK6" s="627">
        <v>18</v>
      </c>
      <c r="KL6" s="627">
        <v>44</v>
      </c>
      <c r="KM6" s="627">
        <v>11088</v>
      </c>
      <c r="KN6" s="627">
        <v>27104</v>
      </c>
      <c r="KO6" s="627">
        <v>0</v>
      </c>
      <c r="KP6" s="627">
        <v>0</v>
      </c>
      <c r="KQ6" s="627">
        <v>12534361</v>
      </c>
      <c r="KR6" s="627">
        <v>0</v>
      </c>
      <c r="KS6" s="627">
        <v>0</v>
      </c>
      <c r="KT6" s="627">
        <v>0</v>
      </c>
      <c r="KU6" s="627">
        <v>0</v>
      </c>
      <c r="KV6" s="627">
        <v>0</v>
      </c>
      <c r="KW6" s="627">
        <v>0</v>
      </c>
      <c r="KX6" s="627">
        <v>0</v>
      </c>
      <c r="KY6" s="627">
        <v>0</v>
      </c>
      <c r="KZ6" s="627">
        <v>0</v>
      </c>
      <c r="LA6" s="627">
        <v>0</v>
      </c>
      <c r="LB6" s="627">
        <v>0</v>
      </c>
      <c r="LC6" s="627">
        <v>0</v>
      </c>
      <c r="LD6" s="627">
        <v>0</v>
      </c>
      <c r="LE6" s="627">
        <v>0</v>
      </c>
      <c r="LF6" s="627">
        <v>0</v>
      </c>
    </row>
    <row r="7" spans="1:334" x14ac:dyDescent="0.25">
      <c r="A7" s="627">
        <v>42602</v>
      </c>
      <c r="B7" s="627">
        <v>15801</v>
      </c>
      <c r="D7" s="627">
        <v>9</v>
      </c>
      <c r="E7" s="627">
        <v>2024</v>
      </c>
      <c r="F7" s="627">
        <v>6160</v>
      </c>
      <c r="G7" s="627">
        <v>0</v>
      </c>
      <c r="H7" s="627">
        <v>165.55</v>
      </c>
      <c r="I7" s="627">
        <v>145.82400000000001</v>
      </c>
      <c r="J7" s="627">
        <v>145.82400000000001</v>
      </c>
      <c r="K7" s="627">
        <v>165.55</v>
      </c>
      <c r="L7" s="627">
        <v>0</v>
      </c>
      <c r="M7" s="627">
        <v>6160</v>
      </c>
      <c r="N7" s="627">
        <v>0</v>
      </c>
      <c r="O7" s="627">
        <v>0</v>
      </c>
      <c r="P7" s="627">
        <v>0</v>
      </c>
      <c r="Q7" s="627">
        <v>126.76700000000001</v>
      </c>
      <c r="R7" s="627">
        <v>0</v>
      </c>
      <c r="S7" s="627">
        <v>52594</v>
      </c>
      <c r="T7" s="627">
        <v>414.88400000000001</v>
      </c>
      <c r="U7" s="627">
        <v>0</v>
      </c>
      <c r="V7" s="627">
        <v>27293</v>
      </c>
      <c r="W7" s="627">
        <v>0.80300000000000005</v>
      </c>
      <c r="X7" s="627">
        <v>495</v>
      </c>
      <c r="Y7" s="627">
        <v>495</v>
      </c>
      <c r="Z7" s="627">
        <v>0</v>
      </c>
      <c r="AA7" s="627">
        <v>0</v>
      </c>
      <c r="AB7" s="627">
        <v>0</v>
      </c>
      <c r="AC7" s="627">
        <v>0</v>
      </c>
      <c r="AD7" s="627">
        <v>0</v>
      </c>
      <c r="AE7" s="627" t="s">
        <v>314</v>
      </c>
      <c r="AF7" s="627">
        <v>0</v>
      </c>
      <c r="AG7" s="627">
        <v>0</v>
      </c>
      <c r="AH7" s="627">
        <v>0</v>
      </c>
      <c r="AI7" s="627">
        <v>0</v>
      </c>
      <c r="AJ7" s="627">
        <v>0</v>
      </c>
      <c r="AK7" s="627">
        <v>6160</v>
      </c>
      <c r="AL7" s="627" t="s">
        <v>651</v>
      </c>
      <c r="AM7" s="627" t="s">
        <v>36</v>
      </c>
      <c r="AN7" s="627">
        <v>0</v>
      </c>
      <c r="AO7" s="627">
        <v>0</v>
      </c>
      <c r="AP7" s="627">
        <v>0</v>
      </c>
      <c r="AQ7" s="627">
        <v>0</v>
      </c>
      <c r="AR7" s="627">
        <v>0</v>
      </c>
      <c r="AS7" s="627">
        <v>0</v>
      </c>
      <c r="AT7" s="627">
        <v>0</v>
      </c>
      <c r="AU7" s="627">
        <v>0</v>
      </c>
      <c r="AV7" s="627">
        <v>0</v>
      </c>
      <c r="AW7" s="627">
        <v>0</v>
      </c>
      <c r="AX7" s="627">
        <v>2145128</v>
      </c>
      <c r="AY7" s="627">
        <v>2119489</v>
      </c>
      <c r="AZ7" s="627">
        <v>962405</v>
      </c>
      <c r="BA7" s="627">
        <v>52594</v>
      </c>
      <c r="BB7" s="627">
        <v>20.833000000000002</v>
      </c>
      <c r="BC7" s="627">
        <v>0</v>
      </c>
      <c r="BD7" s="627">
        <v>0</v>
      </c>
      <c r="BE7" s="627">
        <v>0</v>
      </c>
      <c r="BF7" s="627">
        <v>0</v>
      </c>
      <c r="BG7" s="627">
        <v>1816847</v>
      </c>
      <c r="BH7" s="627">
        <v>0</v>
      </c>
      <c r="BI7" s="627">
        <v>0</v>
      </c>
      <c r="BJ7" s="627">
        <v>0</v>
      </c>
      <c r="BK7" s="627">
        <v>12</v>
      </c>
      <c r="BL7" s="627">
        <v>0</v>
      </c>
      <c r="BM7" s="627">
        <v>0</v>
      </c>
      <c r="BN7" s="627">
        <v>0</v>
      </c>
      <c r="BO7" s="627">
        <v>0</v>
      </c>
      <c r="BP7" s="627">
        <v>0</v>
      </c>
      <c r="BQ7" s="627">
        <v>0</v>
      </c>
      <c r="BR7" s="627">
        <v>748</v>
      </c>
      <c r="BS7" s="627">
        <v>0</v>
      </c>
      <c r="BT7" s="627">
        <v>0</v>
      </c>
      <c r="BU7" s="627">
        <v>0</v>
      </c>
      <c r="BV7" s="627">
        <v>0</v>
      </c>
      <c r="BW7" s="627">
        <v>0</v>
      </c>
      <c r="BX7" s="627">
        <v>0</v>
      </c>
      <c r="BY7" s="627">
        <v>0</v>
      </c>
      <c r="BZ7" s="627">
        <v>0</v>
      </c>
      <c r="CA7" s="627">
        <v>0</v>
      </c>
      <c r="CB7" s="627">
        <v>0</v>
      </c>
      <c r="CC7" s="627">
        <v>0</v>
      </c>
      <c r="CD7" s="627">
        <v>0</v>
      </c>
      <c r="CE7" s="627">
        <v>0</v>
      </c>
      <c r="CF7" s="627">
        <v>0</v>
      </c>
      <c r="CG7" s="627">
        <v>0</v>
      </c>
      <c r="CH7" s="627">
        <v>0</v>
      </c>
      <c r="CI7" s="627">
        <v>26476</v>
      </c>
      <c r="CJ7" s="627">
        <v>0</v>
      </c>
      <c r="CK7" s="627">
        <v>4</v>
      </c>
      <c r="CL7" s="627">
        <v>0</v>
      </c>
      <c r="CM7" s="627">
        <v>0</v>
      </c>
      <c r="CN7" s="627">
        <v>0</v>
      </c>
      <c r="CO7" s="627">
        <v>0</v>
      </c>
      <c r="CP7" s="627">
        <v>1</v>
      </c>
      <c r="CQ7" s="627">
        <v>0.14899999999999999</v>
      </c>
      <c r="CR7" s="627">
        <v>1</v>
      </c>
      <c r="CS7" s="627">
        <v>127.83</v>
      </c>
      <c r="CT7" s="627">
        <v>0</v>
      </c>
      <c r="CU7" s="627">
        <v>0</v>
      </c>
      <c r="CV7" s="627">
        <v>0</v>
      </c>
      <c r="CW7" s="627">
        <v>0</v>
      </c>
      <c r="CX7" s="627">
        <v>0</v>
      </c>
      <c r="CY7" s="627">
        <v>0</v>
      </c>
      <c r="CZ7" s="627">
        <v>0</v>
      </c>
      <c r="DA7" s="627">
        <v>0</v>
      </c>
      <c r="DB7" s="627">
        <v>0</v>
      </c>
      <c r="DC7" s="627">
        <v>898276</v>
      </c>
      <c r="DD7" s="627">
        <v>0</v>
      </c>
      <c r="DE7" s="627">
        <v>0</v>
      </c>
      <c r="DF7" s="627">
        <v>290598</v>
      </c>
      <c r="DG7" s="627">
        <v>292810</v>
      </c>
      <c r="DH7" s="627">
        <v>47.175000000000004</v>
      </c>
      <c r="DI7" s="627">
        <v>0</v>
      </c>
      <c r="DJ7" s="627">
        <v>2212</v>
      </c>
      <c r="DK7" s="627">
        <v>0</v>
      </c>
      <c r="DL7" s="627">
        <v>3583</v>
      </c>
      <c r="DM7" s="627">
        <v>0</v>
      </c>
      <c r="DN7" s="627">
        <v>245544</v>
      </c>
      <c r="DO7" s="627">
        <v>837</v>
      </c>
      <c r="DP7" s="627">
        <v>0</v>
      </c>
      <c r="DQ7" s="627">
        <v>0</v>
      </c>
      <c r="DR7" s="627">
        <v>0</v>
      </c>
      <c r="DS7" s="627">
        <v>0</v>
      </c>
      <c r="DT7" s="627">
        <v>0</v>
      </c>
      <c r="DU7" s="627">
        <v>0</v>
      </c>
      <c r="DV7" s="627">
        <v>0</v>
      </c>
      <c r="DW7" s="627">
        <v>0</v>
      </c>
      <c r="DX7" s="627">
        <v>0</v>
      </c>
      <c r="DY7" s="627">
        <v>0</v>
      </c>
      <c r="DZ7" s="627">
        <v>0</v>
      </c>
      <c r="EA7" s="627">
        <v>0</v>
      </c>
      <c r="EB7" s="627">
        <v>0</v>
      </c>
      <c r="EC7" s="627">
        <v>0</v>
      </c>
      <c r="ED7" s="627">
        <v>32.933</v>
      </c>
      <c r="EE7" s="627">
        <v>233297</v>
      </c>
      <c r="EF7" s="627">
        <v>0</v>
      </c>
      <c r="EG7" s="627">
        <v>0</v>
      </c>
      <c r="EH7" s="627">
        <v>0</v>
      </c>
      <c r="EI7" s="627">
        <v>10694</v>
      </c>
      <c r="EJ7" s="627">
        <v>2390</v>
      </c>
      <c r="EK7" s="627">
        <v>9.7000000000000003E-2</v>
      </c>
      <c r="EL7" s="627">
        <v>0.53700000000000003</v>
      </c>
      <c r="EM7" s="627">
        <v>0</v>
      </c>
      <c r="EN7" s="627">
        <v>0</v>
      </c>
      <c r="EO7" s="627">
        <v>2.5000000000000001E-2</v>
      </c>
      <c r="EP7" s="627">
        <v>0</v>
      </c>
      <c r="EQ7" s="627">
        <v>0</v>
      </c>
      <c r="ER7" s="627">
        <v>0.65900000000000003</v>
      </c>
      <c r="ES7" s="627">
        <v>0</v>
      </c>
      <c r="ET7" s="627">
        <v>1.736</v>
      </c>
      <c r="EU7" s="627">
        <v>0</v>
      </c>
      <c r="EV7" s="627">
        <v>0</v>
      </c>
      <c r="EW7" s="627">
        <v>0</v>
      </c>
      <c r="EX7" s="627">
        <v>0</v>
      </c>
      <c r="EY7" s="627">
        <v>0</v>
      </c>
      <c r="EZ7" s="627">
        <v>0</v>
      </c>
      <c r="FA7" s="627">
        <v>1812561</v>
      </c>
      <c r="FB7" s="627">
        <v>0</v>
      </c>
      <c r="FC7" s="627">
        <v>1864318</v>
      </c>
      <c r="FD7" s="627">
        <v>0</v>
      </c>
      <c r="FE7" s="627">
        <v>0</v>
      </c>
      <c r="FF7" s="627">
        <v>261619</v>
      </c>
      <c r="FG7" s="627">
        <v>45309</v>
      </c>
      <c r="FH7" s="627">
        <v>7.0280999999999996E-2</v>
      </c>
      <c r="FI7" s="627">
        <v>3.1172999999999999E-2</v>
      </c>
      <c r="FJ7" s="627">
        <v>0</v>
      </c>
      <c r="FK7" s="627">
        <v>0</v>
      </c>
      <c r="FL7" s="627">
        <v>294.94300000000004</v>
      </c>
      <c r="FM7" s="627">
        <v>2197722</v>
      </c>
      <c r="FN7" s="627">
        <v>0</v>
      </c>
      <c r="FO7" s="627">
        <v>0</v>
      </c>
      <c r="FP7" s="627">
        <v>0</v>
      </c>
      <c r="FQ7" s="627">
        <v>0</v>
      </c>
      <c r="FR7" s="627">
        <v>0</v>
      </c>
      <c r="FS7" s="627">
        <v>0</v>
      </c>
      <c r="FT7" s="627">
        <v>0</v>
      </c>
      <c r="FU7" s="627">
        <v>0</v>
      </c>
      <c r="FV7" s="627">
        <v>0</v>
      </c>
      <c r="FW7" s="627">
        <v>0</v>
      </c>
      <c r="FX7" s="627">
        <v>0</v>
      </c>
      <c r="FY7" s="627">
        <v>0</v>
      </c>
      <c r="FZ7" s="627">
        <v>0</v>
      </c>
      <c r="GA7" s="627">
        <v>0</v>
      </c>
      <c r="GB7" s="627">
        <v>0</v>
      </c>
      <c r="GC7" s="627">
        <v>180531</v>
      </c>
      <c r="GD7" s="627">
        <v>180531</v>
      </c>
      <c r="GE7" s="627">
        <v>19.067</v>
      </c>
      <c r="GF7" s="627">
        <v>0</v>
      </c>
      <c r="GG7" s="627">
        <v>0</v>
      </c>
      <c r="GH7" s="627">
        <v>0</v>
      </c>
      <c r="GI7" s="627">
        <v>0</v>
      </c>
      <c r="GJ7" s="627">
        <v>0</v>
      </c>
      <c r="GK7" s="627">
        <v>0</v>
      </c>
      <c r="GL7" s="627">
        <v>0</v>
      </c>
      <c r="GM7" s="627">
        <v>0</v>
      </c>
      <c r="GN7" s="627">
        <v>0</v>
      </c>
      <c r="GO7" s="627">
        <v>0</v>
      </c>
      <c r="GP7" s="627">
        <v>0</v>
      </c>
      <c r="GQ7" s="627">
        <v>0</v>
      </c>
      <c r="GR7" s="627">
        <v>2118652</v>
      </c>
      <c r="GS7" s="627">
        <v>0</v>
      </c>
      <c r="GT7" s="627">
        <v>0</v>
      </c>
      <c r="GU7" s="627">
        <v>0</v>
      </c>
      <c r="GV7" s="627">
        <v>0</v>
      </c>
      <c r="GW7" s="627">
        <v>0</v>
      </c>
      <c r="GX7" s="627">
        <v>0</v>
      </c>
      <c r="GY7" s="627">
        <v>0</v>
      </c>
      <c r="GZ7" s="627">
        <v>0</v>
      </c>
      <c r="HA7" s="627">
        <v>0</v>
      </c>
      <c r="HB7" s="627">
        <v>0</v>
      </c>
      <c r="HC7" s="627">
        <v>361151439</v>
      </c>
      <c r="HD7" s="627">
        <v>3.9981999999999997E-2</v>
      </c>
      <c r="HE7" s="627">
        <v>26476</v>
      </c>
      <c r="HF7" s="627">
        <v>0</v>
      </c>
      <c r="HG7" s="627">
        <v>160698</v>
      </c>
      <c r="HH7" s="627">
        <v>0</v>
      </c>
      <c r="HI7" s="627">
        <v>0</v>
      </c>
      <c r="HJ7" s="627">
        <v>0</v>
      </c>
      <c r="HK7" s="627">
        <v>31656</v>
      </c>
      <c r="HL7" s="627">
        <v>1369</v>
      </c>
      <c r="HM7" s="627">
        <v>1840</v>
      </c>
      <c r="HN7" s="627">
        <v>0</v>
      </c>
      <c r="HO7" s="627">
        <v>6000</v>
      </c>
      <c r="HP7" s="627">
        <v>0</v>
      </c>
      <c r="HQ7" s="627">
        <v>45099</v>
      </c>
      <c r="HR7" s="627">
        <v>0</v>
      </c>
      <c r="HS7" s="627">
        <v>0</v>
      </c>
      <c r="HT7" s="627">
        <v>1811724</v>
      </c>
      <c r="HU7" s="627">
        <v>45309</v>
      </c>
      <c r="HV7" s="627">
        <v>0</v>
      </c>
      <c r="HW7" s="627">
        <v>0</v>
      </c>
      <c r="HX7" s="627">
        <v>0</v>
      </c>
      <c r="HY7" s="627">
        <v>18</v>
      </c>
      <c r="HZ7" s="627">
        <v>16</v>
      </c>
      <c r="IA7" s="627">
        <v>33</v>
      </c>
      <c r="IB7" s="627">
        <v>44</v>
      </c>
      <c r="IC7" s="627">
        <v>71</v>
      </c>
      <c r="ID7" s="627">
        <v>182</v>
      </c>
      <c r="IE7" s="627">
        <v>0</v>
      </c>
      <c r="IF7" s="627">
        <v>0</v>
      </c>
      <c r="IG7" s="627">
        <v>0</v>
      </c>
      <c r="IH7" s="627">
        <v>0</v>
      </c>
      <c r="II7" s="627">
        <v>0</v>
      </c>
      <c r="IJ7" s="627">
        <v>163.995</v>
      </c>
      <c r="IK7" s="627">
        <v>0.80300000000000005</v>
      </c>
      <c r="IL7" s="627">
        <v>0</v>
      </c>
      <c r="IM7" s="627">
        <v>0</v>
      </c>
      <c r="IN7" s="627">
        <v>0</v>
      </c>
      <c r="IO7" s="627">
        <v>0</v>
      </c>
      <c r="IP7" s="627">
        <v>0</v>
      </c>
      <c r="IQ7" s="627">
        <v>163.995</v>
      </c>
      <c r="IR7" s="627">
        <v>0.80300000000000005</v>
      </c>
      <c r="IS7" s="627">
        <v>495</v>
      </c>
      <c r="IT7" s="627">
        <v>0</v>
      </c>
      <c r="IU7" s="627">
        <v>0</v>
      </c>
      <c r="IV7" s="627">
        <v>0</v>
      </c>
      <c r="IW7" s="627">
        <v>0</v>
      </c>
      <c r="IX7" s="627">
        <v>6160</v>
      </c>
      <c r="IY7" s="627">
        <v>0</v>
      </c>
      <c r="IZ7" s="627">
        <v>0</v>
      </c>
      <c r="JA7" s="627">
        <v>45099</v>
      </c>
      <c r="JB7" s="627">
        <v>0</v>
      </c>
      <c r="JC7" s="627">
        <v>0</v>
      </c>
      <c r="JD7" s="627">
        <v>0</v>
      </c>
      <c r="JE7" s="627">
        <v>0</v>
      </c>
      <c r="JF7" s="627">
        <v>0</v>
      </c>
      <c r="JG7" s="627">
        <v>0</v>
      </c>
      <c r="JH7" s="627">
        <v>0</v>
      </c>
      <c r="JI7" s="627">
        <v>6000</v>
      </c>
      <c r="JJ7" s="627">
        <v>0</v>
      </c>
      <c r="JK7" s="627">
        <v>0</v>
      </c>
      <c r="JL7" s="627">
        <v>0</v>
      </c>
      <c r="JM7" s="627">
        <v>0</v>
      </c>
      <c r="JN7" s="627">
        <v>0</v>
      </c>
      <c r="JO7" s="627">
        <v>32469</v>
      </c>
      <c r="JP7" s="627">
        <v>0.75</v>
      </c>
      <c r="JQ7" s="627">
        <v>15.217000000000001</v>
      </c>
      <c r="JR7" s="627">
        <v>3.1</v>
      </c>
      <c r="JS7" s="627">
        <v>5991</v>
      </c>
      <c r="JT7" s="627">
        <v>141447</v>
      </c>
      <c r="JU7" s="627">
        <v>33093</v>
      </c>
      <c r="JV7" s="627">
        <v>0</v>
      </c>
      <c r="JW7" s="627">
        <v>0</v>
      </c>
      <c r="JX7" s="627">
        <v>0</v>
      </c>
      <c r="JY7" s="627">
        <v>0</v>
      </c>
      <c r="JZ7" s="627">
        <v>0</v>
      </c>
      <c r="KA7" s="627">
        <v>0</v>
      </c>
      <c r="KB7" s="627">
        <v>0</v>
      </c>
      <c r="KC7" s="627">
        <v>0</v>
      </c>
      <c r="KD7" s="627">
        <v>0</v>
      </c>
      <c r="KE7" s="627">
        <v>0</v>
      </c>
      <c r="KF7" s="627">
        <v>7262</v>
      </c>
      <c r="KG7" s="627">
        <v>0</v>
      </c>
      <c r="KH7" s="627">
        <v>0</v>
      </c>
      <c r="KI7" s="627">
        <v>2118652</v>
      </c>
      <c r="KJ7" s="627">
        <v>0</v>
      </c>
      <c r="KK7" s="627">
        <v>0</v>
      </c>
      <c r="KL7" s="627">
        <v>0</v>
      </c>
      <c r="KM7" s="627">
        <v>0</v>
      </c>
      <c r="KN7" s="627">
        <v>0</v>
      </c>
      <c r="KO7" s="627">
        <v>0</v>
      </c>
      <c r="KP7" s="627">
        <v>0</v>
      </c>
      <c r="KQ7" s="627">
        <v>2118652</v>
      </c>
      <c r="KR7" s="627">
        <v>0</v>
      </c>
      <c r="KS7" s="627">
        <v>0</v>
      </c>
      <c r="KT7" s="627">
        <v>0</v>
      </c>
      <c r="KU7" s="627">
        <v>0</v>
      </c>
      <c r="KV7" s="627">
        <v>0</v>
      </c>
      <c r="KW7" s="627">
        <v>0</v>
      </c>
      <c r="KX7" s="627">
        <v>0</v>
      </c>
      <c r="KY7" s="627">
        <v>0</v>
      </c>
      <c r="KZ7" s="627">
        <v>0</v>
      </c>
      <c r="LA7" s="627">
        <v>0</v>
      </c>
      <c r="LB7" s="627">
        <v>0</v>
      </c>
      <c r="LC7" s="627">
        <v>0</v>
      </c>
      <c r="LD7" s="627">
        <v>0</v>
      </c>
      <c r="LE7" s="627">
        <v>0</v>
      </c>
      <c r="LF7" s="627">
        <v>0</v>
      </c>
    </row>
    <row r="8" spans="1:334" x14ac:dyDescent="0.25">
      <c r="A8" s="627">
        <v>42602</v>
      </c>
      <c r="B8" s="627">
        <v>43801</v>
      </c>
      <c r="D8" s="627">
        <v>9</v>
      </c>
      <c r="E8" s="627">
        <v>2024</v>
      </c>
      <c r="F8" s="627">
        <v>6160</v>
      </c>
      <c r="G8" s="627">
        <v>0</v>
      </c>
      <c r="H8" s="627">
        <v>1373.6580000000001</v>
      </c>
      <c r="I8" s="627">
        <v>1352.4380000000001</v>
      </c>
      <c r="J8" s="627">
        <v>1352.4380000000001</v>
      </c>
      <c r="K8" s="627">
        <v>1373.6580000000001</v>
      </c>
      <c r="L8" s="627">
        <v>0</v>
      </c>
      <c r="M8" s="627">
        <v>6160</v>
      </c>
      <c r="N8" s="627">
        <v>0</v>
      </c>
      <c r="O8" s="627">
        <v>0</v>
      </c>
      <c r="P8" s="627">
        <v>0</v>
      </c>
      <c r="Q8" s="627">
        <v>1334.287</v>
      </c>
      <c r="R8" s="627">
        <v>0</v>
      </c>
      <c r="S8" s="627">
        <v>553574</v>
      </c>
      <c r="T8" s="627">
        <v>414.88400000000001</v>
      </c>
      <c r="U8" s="627">
        <v>0</v>
      </c>
      <c r="V8" s="627">
        <v>287283</v>
      </c>
      <c r="W8" s="627">
        <v>237.465</v>
      </c>
      <c r="X8" s="627">
        <v>146278</v>
      </c>
      <c r="Y8" s="627">
        <v>146278</v>
      </c>
      <c r="Z8" s="627">
        <v>0</v>
      </c>
      <c r="AA8" s="627">
        <v>0</v>
      </c>
      <c r="AB8" s="627">
        <v>0</v>
      </c>
      <c r="AC8" s="627">
        <v>0</v>
      </c>
      <c r="AD8" s="627">
        <v>0</v>
      </c>
      <c r="AE8" s="627" t="s">
        <v>314</v>
      </c>
      <c r="AF8" s="627">
        <v>0</v>
      </c>
      <c r="AG8" s="627">
        <v>0</v>
      </c>
      <c r="AH8" s="627">
        <v>0</v>
      </c>
      <c r="AI8" s="627">
        <v>0</v>
      </c>
      <c r="AJ8" s="627">
        <v>0</v>
      </c>
      <c r="AK8" s="627">
        <v>6160</v>
      </c>
      <c r="AL8" s="627" t="s">
        <v>651</v>
      </c>
      <c r="AM8" s="627" t="s">
        <v>321</v>
      </c>
      <c r="AN8" s="627">
        <v>0</v>
      </c>
      <c r="AO8" s="627">
        <v>0</v>
      </c>
      <c r="AP8" s="627">
        <v>0</v>
      </c>
      <c r="AQ8" s="627">
        <v>0</v>
      </c>
      <c r="AR8" s="627">
        <v>0</v>
      </c>
      <c r="AS8" s="627">
        <v>0</v>
      </c>
      <c r="AT8" s="627">
        <v>0</v>
      </c>
      <c r="AU8" s="627">
        <v>0</v>
      </c>
      <c r="AV8" s="627">
        <v>0</v>
      </c>
      <c r="AW8" s="627">
        <v>0</v>
      </c>
      <c r="AX8" s="627">
        <v>12241347</v>
      </c>
      <c r="AY8" s="627">
        <v>12023421</v>
      </c>
      <c r="AZ8" s="627">
        <v>6082843</v>
      </c>
      <c r="BA8" s="627">
        <v>553574</v>
      </c>
      <c r="BB8" s="627">
        <v>0</v>
      </c>
      <c r="BC8" s="627">
        <v>0</v>
      </c>
      <c r="BD8" s="627">
        <v>0</v>
      </c>
      <c r="BE8" s="627">
        <v>0</v>
      </c>
      <c r="BF8" s="627">
        <v>0</v>
      </c>
      <c r="BG8" s="627">
        <v>10756936</v>
      </c>
      <c r="BH8" s="627">
        <v>0</v>
      </c>
      <c r="BI8" s="627">
        <v>0</v>
      </c>
      <c r="BJ8" s="627">
        <v>0</v>
      </c>
      <c r="BK8" s="627">
        <v>12</v>
      </c>
      <c r="BL8" s="627">
        <v>0</v>
      </c>
      <c r="BM8" s="627">
        <v>0</v>
      </c>
      <c r="BN8" s="627">
        <v>0</v>
      </c>
      <c r="BO8" s="627">
        <v>0</v>
      </c>
      <c r="BP8" s="627">
        <v>0</v>
      </c>
      <c r="BQ8" s="627">
        <v>0</v>
      </c>
      <c r="BR8" s="627">
        <v>562</v>
      </c>
      <c r="BS8" s="627">
        <v>0</v>
      </c>
      <c r="BT8" s="627">
        <v>0</v>
      </c>
      <c r="BU8" s="627">
        <v>0</v>
      </c>
      <c r="BV8" s="627">
        <v>0</v>
      </c>
      <c r="BW8" s="627">
        <v>0</v>
      </c>
      <c r="BX8" s="627">
        <v>0</v>
      </c>
      <c r="BY8" s="627">
        <v>0</v>
      </c>
      <c r="BZ8" s="627">
        <v>0</v>
      </c>
      <c r="CA8" s="627">
        <v>0</v>
      </c>
      <c r="CB8" s="627">
        <v>0</v>
      </c>
      <c r="CC8" s="627">
        <v>0</v>
      </c>
      <c r="CD8" s="627">
        <v>0</v>
      </c>
      <c r="CE8" s="627">
        <v>0</v>
      </c>
      <c r="CF8" s="627">
        <v>0</v>
      </c>
      <c r="CG8" s="627">
        <v>0</v>
      </c>
      <c r="CH8" s="627">
        <v>0</v>
      </c>
      <c r="CI8" s="627">
        <v>219687</v>
      </c>
      <c r="CJ8" s="627">
        <v>0</v>
      </c>
      <c r="CK8" s="627">
        <v>4</v>
      </c>
      <c r="CL8" s="627">
        <v>0</v>
      </c>
      <c r="CM8" s="627">
        <v>0</v>
      </c>
      <c r="CN8" s="627">
        <v>0</v>
      </c>
      <c r="CO8" s="627">
        <v>0</v>
      </c>
      <c r="CP8" s="627">
        <v>1</v>
      </c>
      <c r="CQ8" s="627">
        <v>0</v>
      </c>
      <c r="CR8" s="627">
        <v>0</v>
      </c>
      <c r="CS8" s="627">
        <v>1330.21</v>
      </c>
      <c r="CT8" s="627">
        <v>0</v>
      </c>
      <c r="CU8" s="627">
        <v>0</v>
      </c>
      <c r="CV8" s="627">
        <v>0</v>
      </c>
      <c r="CW8" s="627">
        <v>0</v>
      </c>
      <c r="CX8" s="627">
        <v>0</v>
      </c>
      <c r="CY8" s="627">
        <v>0</v>
      </c>
      <c r="CZ8" s="627">
        <v>0</v>
      </c>
      <c r="DA8" s="627">
        <v>0</v>
      </c>
      <c r="DB8" s="627">
        <v>0</v>
      </c>
      <c r="DC8" s="627">
        <v>8331018</v>
      </c>
      <c r="DD8" s="627">
        <v>0</v>
      </c>
      <c r="DE8" s="627">
        <v>0</v>
      </c>
      <c r="DF8" s="627">
        <v>41734</v>
      </c>
      <c r="DG8" s="627">
        <v>41734</v>
      </c>
      <c r="DH8" s="627">
        <v>6.7750000000000004</v>
      </c>
      <c r="DI8" s="627">
        <v>0</v>
      </c>
      <c r="DJ8" s="627">
        <v>0</v>
      </c>
      <c r="DK8" s="627">
        <v>0</v>
      </c>
      <c r="DL8" s="627">
        <v>610</v>
      </c>
      <c r="DM8" s="627">
        <v>0</v>
      </c>
      <c r="DN8" s="627">
        <v>516580</v>
      </c>
      <c r="DO8" s="627">
        <v>1761</v>
      </c>
      <c r="DP8" s="627">
        <v>0</v>
      </c>
      <c r="DQ8" s="627">
        <v>0</v>
      </c>
      <c r="DR8" s="627">
        <v>0</v>
      </c>
      <c r="DS8" s="627">
        <v>0</v>
      </c>
      <c r="DT8" s="627">
        <v>0</v>
      </c>
      <c r="DU8" s="627">
        <v>0</v>
      </c>
      <c r="DV8" s="627">
        <v>0</v>
      </c>
      <c r="DW8" s="627">
        <v>0</v>
      </c>
      <c r="DX8" s="627">
        <v>0</v>
      </c>
      <c r="DY8" s="627">
        <v>0</v>
      </c>
      <c r="DZ8" s="627">
        <v>0</v>
      </c>
      <c r="EA8" s="627">
        <v>0</v>
      </c>
      <c r="EB8" s="627">
        <v>0</v>
      </c>
      <c r="EC8" s="627">
        <v>0</v>
      </c>
      <c r="ED8" s="627">
        <v>13.435</v>
      </c>
      <c r="EE8" s="627">
        <v>95174</v>
      </c>
      <c r="EF8" s="627">
        <v>0</v>
      </c>
      <c r="EG8" s="627">
        <v>0</v>
      </c>
      <c r="EH8" s="627">
        <v>0</v>
      </c>
      <c r="EI8" s="627">
        <v>423167</v>
      </c>
      <c r="EJ8" s="627">
        <v>0</v>
      </c>
      <c r="EK8" s="627">
        <v>0</v>
      </c>
      <c r="EL8" s="627">
        <v>17.032</v>
      </c>
      <c r="EM8" s="627">
        <v>0</v>
      </c>
      <c r="EN8" s="627">
        <v>1.67</v>
      </c>
      <c r="EO8" s="627">
        <v>2.5180000000000002</v>
      </c>
      <c r="EP8" s="627">
        <v>0</v>
      </c>
      <c r="EQ8" s="627">
        <v>0</v>
      </c>
      <c r="ER8" s="627">
        <v>21.22</v>
      </c>
      <c r="ES8" s="627">
        <v>0</v>
      </c>
      <c r="ET8" s="627">
        <v>68.695999999999998</v>
      </c>
      <c r="EU8" s="627">
        <v>0</v>
      </c>
      <c r="EV8" s="627">
        <v>0</v>
      </c>
      <c r="EW8" s="627">
        <v>0</v>
      </c>
      <c r="EX8" s="627">
        <v>0</v>
      </c>
      <c r="EY8" s="627">
        <v>0</v>
      </c>
      <c r="EZ8" s="627">
        <v>0</v>
      </c>
      <c r="FA8" s="627">
        <v>10206202</v>
      </c>
      <c r="FB8" s="627">
        <v>0</v>
      </c>
      <c r="FC8" s="627">
        <v>10758015</v>
      </c>
      <c r="FD8" s="627">
        <v>0</v>
      </c>
      <c r="FE8" s="627">
        <v>0</v>
      </c>
      <c r="FF8" s="627">
        <v>1548958</v>
      </c>
      <c r="FG8" s="627">
        <v>268261</v>
      </c>
      <c r="FH8" s="627">
        <v>7.0280999999999996E-2</v>
      </c>
      <c r="FI8" s="627">
        <v>3.1172999999999999E-2</v>
      </c>
      <c r="FJ8" s="627">
        <v>0</v>
      </c>
      <c r="FK8" s="627">
        <v>0</v>
      </c>
      <c r="FL8" s="627">
        <v>1746.2560000000001</v>
      </c>
      <c r="FM8" s="627">
        <v>12794921</v>
      </c>
      <c r="FN8" s="627">
        <v>0</v>
      </c>
      <c r="FO8" s="627">
        <v>0</v>
      </c>
      <c r="FP8" s="627">
        <v>0</v>
      </c>
      <c r="FQ8" s="627">
        <v>0</v>
      </c>
      <c r="FR8" s="627">
        <v>0</v>
      </c>
      <c r="FS8" s="627">
        <v>0</v>
      </c>
      <c r="FT8" s="627">
        <v>0</v>
      </c>
      <c r="FU8" s="627">
        <v>0</v>
      </c>
      <c r="FV8" s="627">
        <v>0</v>
      </c>
      <c r="FW8" s="627">
        <v>0</v>
      </c>
      <c r="FX8" s="627">
        <v>0</v>
      </c>
      <c r="FY8" s="627">
        <v>0</v>
      </c>
      <c r="FZ8" s="627">
        <v>0</v>
      </c>
      <c r="GA8" s="627">
        <v>0</v>
      </c>
      <c r="GB8" s="627">
        <v>0</v>
      </c>
      <c r="GC8" s="627">
        <v>0</v>
      </c>
      <c r="GD8" s="627">
        <v>0</v>
      </c>
      <c r="GE8" s="627">
        <v>0</v>
      </c>
      <c r="GF8" s="627">
        <v>0</v>
      </c>
      <c r="GG8" s="627">
        <v>0</v>
      </c>
      <c r="GH8" s="627">
        <v>0</v>
      </c>
      <c r="GI8" s="627">
        <v>0</v>
      </c>
      <c r="GJ8" s="627">
        <v>0</v>
      </c>
      <c r="GK8" s="627">
        <v>0</v>
      </c>
      <c r="GL8" s="627">
        <v>0</v>
      </c>
      <c r="GM8" s="627">
        <v>0</v>
      </c>
      <c r="GN8" s="627">
        <v>0</v>
      </c>
      <c r="GO8" s="627">
        <v>0</v>
      </c>
      <c r="GP8" s="627">
        <v>0</v>
      </c>
      <c r="GQ8" s="627">
        <v>0</v>
      </c>
      <c r="GR8" s="627">
        <v>12021660</v>
      </c>
      <c r="GS8" s="627">
        <v>0</v>
      </c>
      <c r="GT8" s="627">
        <v>0</v>
      </c>
      <c r="GU8" s="627">
        <v>0</v>
      </c>
      <c r="GV8" s="627">
        <v>0</v>
      </c>
      <c r="GW8" s="627">
        <v>0</v>
      </c>
      <c r="GX8" s="627">
        <v>0</v>
      </c>
      <c r="GY8" s="627">
        <v>0</v>
      </c>
      <c r="GZ8" s="627">
        <v>0</v>
      </c>
      <c r="HA8" s="627">
        <v>0</v>
      </c>
      <c r="HB8" s="627">
        <v>0</v>
      </c>
      <c r="HC8" s="627">
        <v>361151439</v>
      </c>
      <c r="HD8" s="627">
        <v>3.9981999999999997E-2</v>
      </c>
      <c r="HE8" s="627">
        <v>219687</v>
      </c>
      <c r="HF8" s="627">
        <v>0</v>
      </c>
      <c r="HG8" s="627">
        <v>1490387</v>
      </c>
      <c r="HH8" s="627">
        <v>17248</v>
      </c>
      <c r="HI8" s="627">
        <v>96193</v>
      </c>
      <c r="HJ8" s="627">
        <v>0</v>
      </c>
      <c r="HK8" s="627">
        <v>28737</v>
      </c>
      <c r="HL8" s="627">
        <v>2831</v>
      </c>
      <c r="HM8" s="627">
        <v>9</v>
      </c>
      <c r="HN8" s="627">
        <v>87000</v>
      </c>
      <c r="HO8" s="627">
        <v>0</v>
      </c>
      <c r="HP8" s="627">
        <v>0</v>
      </c>
      <c r="HQ8" s="627">
        <v>0</v>
      </c>
      <c r="HR8" s="627">
        <v>0</v>
      </c>
      <c r="HS8" s="627">
        <v>0</v>
      </c>
      <c r="HT8" s="627">
        <v>10204441</v>
      </c>
      <c r="HU8" s="627">
        <v>268261</v>
      </c>
      <c r="HV8" s="627">
        <v>0</v>
      </c>
      <c r="HW8" s="627">
        <v>0</v>
      </c>
      <c r="HX8" s="627">
        <v>0</v>
      </c>
      <c r="HY8" s="627">
        <v>11</v>
      </c>
      <c r="HZ8" s="627">
        <v>5</v>
      </c>
      <c r="IA8" s="627">
        <v>4</v>
      </c>
      <c r="IB8" s="627">
        <v>7</v>
      </c>
      <c r="IC8" s="627">
        <v>1</v>
      </c>
      <c r="ID8" s="627">
        <v>28</v>
      </c>
      <c r="IE8" s="627">
        <v>0</v>
      </c>
      <c r="IF8" s="627">
        <v>0</v>
      </c>
      <c r="IG8" s="627">
        <v>0</v>
      </c>
      <c r="IH8" s="627">
        <v>28</v>
      </c>
      <c r="II8" s="627">
        <v>156.15700000000001</v>
      </c>
      <c r="IJ8" s="627">
        <v>0</v>
      </c>
      <c r="IK8" s="627">
        <v>237.465</v>
      </c>
      <c r="IL8" s="627">
        <v>0</v>
      </c>
      <c r="IM8" s="627">
        <v>3</v>
      </c>
      <c r="IN8" s="627">
        <v>24</v>
      </c>
      <c r="IO8" s="627">
        <v>0</v>
      </c>
      <c r="IP8" s="627">
        <v>27</v>
      </c>
      <c r="IQ8" s="627">
        <v>0</v>
      </c>
      <c r="IR8" s="627">
        <v>237.465</v>
      </c>
      <c r="IS8" s="627">
        <v>146278</v>
      </c>
      <c r="IT8" s="627">
        <v>0</v>
      </c>
      <c r="IU8" s="627">
        <v>15000</v>
      </c>
      <c r="IV8" s="627">
        <v>72000</v>
      </c>
      <c r="IW8" s="627">
        <v>0</v>
      </c>
      <c r="IX8" s="627">
        <v>6160</v>
      </c>
      <c r="IY8" s="627">
        <v>0</v>
      </c>
      <c r="IZ8" s="627">
        <v>0</v>
      </c>
      <c r="JA8" s="627">
        <v>0</v>
      </c>
      <c r="JB8" s="627">
        <v>0</v>
      </c>
      <c r="JC8" s="627">
        <v>0</v>
      </c>
      <c r="JD8" s="627">
        <v>0</v>
      </c>
      <c r="JE8" s="627">
        <v>0</v>
      </c>
      <c r="JF8" s="627">
        <v>0</v>
      </c>
      <c r="JG8" s="627">
        <v>0</v>
      </c>
      <c r="JH8" s="627">
        <v>0</v>
      </c>
      <c r="JI8" s="627">
        <v>0</v>
      </c>
      <c r="JJ8" s="627">
        <v>0</v>
      </c>
      <c r="JK8" s="627">
        <v>0</v>
      </c>
      <c r="JL8" s="627">
        <v>0</v>
      </c>
      <c r="JM8" s="627">
        <v>0</v>
      </c>
      <c r="JN8" s="627">
        <v>0</v>
      </c>
      <c r="JO8" s="627">
        <v>32469</v>
      </c>
      <c r="JP8" s="627">
        <v>0</v>
      </c>
      <c r="JQ8" s="627">
        <v>0</v>
      </c>
      <c r="JR8" s="627">
        <v>0</v>
      </c>
      <c r="JS8" s="627">
        <v>0</v>
      </c>
      <c r="JT8" s="627">
        <v>0</v>
      </c>
      <c r="JU8" s="627">
        <v>0</v>
      </c>
      <c r="JV8" s="627">
        <v>0</v>
      </c>
      <c r="JW8" s="627">
        <v>0</v>
      </c>
      <c r="JX8" s="627">
        <v>0</v>
      </c>
      <c r="JY8" s="627">
        <v>0</v>
      </c>
      <c r="JZ8" s="627">
        <v>0</v>
      </c>
      <c r="KA8" s="627">
        <v>0</v>
      </c>
      <c r="KB8" s="627">
        <v>0</v>
      </c>
      <c r="KC8" s="627">
        <v>0</v>
      </c>
      <c r="KD8" s="627">
        <v>0</v>
      </c>
      <c r="KE8" s="627">
        <v>0</v>
      </c>
      <c r="KF8" s="627">
        <v>7262</v>
      </c>
      <c r="KG8" s="627">
        <v>0</v>
      </c>
      <c r="KH8" s="627">
        <v>0</v>
      </c>
      <c r="KI8" s="627">
        <v>12021660</v>
      </c>
      <c r="KJ8" s="627">
        <v>0</v>
      </c>
      <c r="KK8" s="627">
        <v>6</v>
      </c>
      <c r="KL8" s="627">
        <v>22</v>
      </c>
      <c r="KM8" s="627">
        <v>3696</v>
      </c>
      <c r="KN8" s="627">
        <v>13552</v>
      </c>
      <c r="KO8" s="627">
        <v>0</v>
      </c>
      <c r="KP8" s="627">
        <v>0</v>
      </c>
      <c r="KQ8" s="627">
        <v>12021660</v>
      </c>
      <c r="KR8" s="627">
        <v>0</v>
      </c>
      <c r="KS8" s="627">
        <v>0</v>
      </c>
      <c r="KT8" s="627">
        <v>0</v>
      </c>
      <c r="KU8" s="627">
        <v>0</v>
      </c>
      <c r="KV8" s="627">
        <v>0</v>
      </c>
      <c r="KW8" s="627">
        <v>0</v>
      </c>
      <c r="KX8" s="627">
        <v>0</v>
      </c>
      <c r="KY8" s="627">
        <v>0</v>
      </c>
      <c r="KZ8" s="627">
        <v>0</v>
      </c>
      <c r="LA8" s="627">
        <v>0</v>
      </c>
      <c r="LB8" s="627">
        <v>0</v>
      </c>
      <c r="LC8" s="627">
        <v>0</v>
      </c>
      <c r="LD8" s="627">
        <v>0</v>
      </c>
      <c r="LE8" s="627">
        <v>0</v>
      </c>
      <c r="LF8" s="627">
        <v>0</v>
      </c>
    </row>
    <row r="9" spans="1:334" x14ac:dyDescent="0.25">
      <c r="A9" s="627">
        <v>42602</v>
      </c>
      <c r="B9" s="627">
        <v>70801</v>
      </c>
      <c r="D9" s="627">
        <v>9</v>
      </c>
      <c r="E9" s="627">
        <v>2024</v>
      </c>
      <c r="F9" s="627">
        <v>6160</v>
      </c>
      <c r="G9" s="627">
        <v>0</v>
      </c>
      <c r="H9" s="627">
        <v>2602.3290000000002</v>
      </c>
      <c r="I9" s="627">
        <v>2386.1350000000002</v>
      </c>
      <c r="J9" s="627">
        <v>2386.1350000000002</v>
      </c>
      <c r="K9" s="627">
        <v>2602.3290000000002</v>
      </c>
      <c r="L9" s="627">
        <v>0</v>
      </c>
      <c r="M9" s="627">
        <v>6160</v>
      </c>
      <c r="N9" s="627">
        <v>0</v>
      </c>
      <c r="O9" s="627">
        <v>0</v>
      </c>
      <c r="P9" s="627">
        <v>0</v>
      </c>
      <c r="Q9" s="627">
        <v>2448.7670000000003</v>
      </c>
      <c r="R9" s="627">
        <v>0</v>
      </c>
      <c r="S9" s="627">
        <v>1015954</v>
      </c>
      <c r="T9" s="627">
        <v>414.88400000000001</v>
      </c>
      <c r="U9" s="627">
        <v>0</v>
      </c>
      <c r="V9" s="627">
        <v>527241</v>
      </c>
      <c r="W9" s="627">
        <v>1611.0160000000001</v>
      </c>
      <c r="X9" s="627">
        <v>1552211</v>
      </c>
      <c r="Y9" s="627">
        <v>1552211</v>
      </c>
      <c r="Z9" s="627">
        <v>0</v>
      </c>
      <c r="AA9" s="627">
        <v>0</v>
      </c>
      <c r="AB9" s="627">
        <v>0</v>
      </c>
      <c r="AC9" s="627">
        <v>0</v>
      </c>
      <c r="AD9" s="627">
        <v>0</v>
      </c>
      <c r="AE9" s="627" t="s">
        <v>314</v>
      </c>
      <c r="AF9" s="627">
        <v>0</v>
      </c>
      <c r="AG9" s="627">
        <v>0</v>
      </c>
      <c r="AH9" s="627">
        <v>0</v>
      </c>
      <c r="AI9" s="627">
        <v>0</v>
      </c>
      <c r="AJ9" s="627">
        <v>0</v>
      </c>
      <c r="AK9" s="627">
        <v>6160</v>
      </c>
      <c r="AL9" s="627" t="s">
        <v>651</v>
      </c>
      <c r="AM9" s="627" t="s">
        <v>1093</v>
      </c>
      <c r="AN9" s="627">
        <v>0</v>
      </c>
      <c r="AO9" s="627">
        <v>0</v>
      </c>
      <c r="AP9" s="627">
        <v>0</v>
      </c>
      <c r="AQ9" s="627">
        <v>0</v>
      </c>
      <c r="AR9" s="627">
        <v>0</v>
      </c>
      <c r="AS9" s="627">
        <v>0</v>
      </c>
      <c r="AT9" s="627">
        <v>0</v>
      </c>
      <c r="AU9" s="627">
        <v>0</v>
      </c>
      <c r="AV9" s="627">
        <v>0</v>
      </c>
      <c r="AW9" s="627">
        <v>-1</v>
      </c>
      <c r="AX9" s="627">
        <v>31729478</v>
      </c>
      <c r="AY9" s="627">
        <v>31321384</v>
      </c>
      <c r="AZ9" s="627">
        <v>14890865</v>
      </c>
      <c r="BA9" s="627">
        <v>1015954</v>
      </c>
      <c r="BB9" s="627">
        <v>150.083</v>
      </c>
      <c r="BC9" s="627">
        <v>39197</v>
      </c>
      <c r="BD9" s="627">
        <v>38947</v>
      </c>
      <c r="BE9" s="627">
        <v>92</v>
      </c>
      <c r="BF9" s="627">
        <v>250</v>
      </c>
      <c r="BG9" s="627">
        <v>27653619</v>
      </c>
      <c r="BH9" s="627">
        <v>0</v>
      </c>
      <c r="BI9" s="627">
        <v>0</v>
      </c>
      <c r="BJ9" s="627">
        <v>0</v>
      </c>
      <c r="BK9" s="627">
        <v>12</v>
      </c>
      <c r="BL9" s="627">
        <v>0</v>
      </c>
      <c r="BM9" s="627">
        <v>0</v>
      </c>
      <c r="BN9" s="627">
        <v>0</v>
      </c>
      <c r="BO9" s="627">
        <v>0</v>
      </c>
      <c r="BP9" s="627">
        <v>0</v>
      </c>
      <c r="BQ9" s="627">
        <v>0</v>
      </c>
      <c r="BR9" s="627">
        <v>403</v>
      </c>
      <c r="BS9" s="627">
        <v>0</v>
      </c>
      <c r="BT9" s="627">
        <v>0</v>
      </c>
      <c r="BU9" s="627">
        <v>0</v>
      </c>
      <c r="BV9" s="627">
        <v>0</v>
      </c>
      <c r="BW9" s="627">
        <v>0</v>
      </c>
      <c r="BX9" s="627">
        <v>0</v>
      </c>
      <c r="BY9" s="627">
        <v>0</v>
      </c>
      <c r="BZ9" s="627">
        <v>0</v>
      </c>
      <c r="CA9" s="627">
        <v>0</v>
      </c>
      <c r="CB9" s="627">
        <v>0</v>
      </c>
      <c r="CC9" s="627">
        <v>0</v>
      </c>
      <c r="CD9" s="627">
        <v>0</v>
      </c>
      <c r="CE9" s="627">
        <v>0</v>
      </c>
      <c r="CF9" s="627">
        <v>0</v>
      </c>
      <c r="CG9" s="627">
        <v>0</v>
      </c>
      <c r="CH9" s="627">
        <v>0</v>
      </c>
      <c r="CI9" s="627">
        <v>416187</v>
      </c>
      <c r="CJ9" s="627">
        <v>0</v>
      </c>
      <c r="CK9" s="627">
        <v>4</v>
      </c>
      <c r="CL9" s="627">
        <v>0</v>
      </c>
      <c r="CM9" s="627">
        <v>0</v>
      </c>
      <c r="CN9" s="627">
        <v>0</v>
      </c>
      <c r="CO9" s="627">
        <v>0</v>
      </c>
      <c r="CP9" s="627">
        <v>1</v>
      </c>
      <c r="CQ9" s="627">
        <v>0</v>
      </c>
      <c r="CR9" s="627">
        <v>5.4170000000000007</v>
      </c>
      <c r="CS9" s="627">
        <v>2475.2159999999999</v>
      </c>
      <c r="CT9" s="627">
        <v>0</v>
      </c>
      <c r="CU9" s="627">
        <v>0</v>
      </c>
      <c r="CV9" s="627">
        <v>0</v>
      </c>
      <c r="CW9" s="627">
        <v>0</v>
      </c>
      <c r="CX9" s="627">
        <v>0</v>
      </c>
      <c r="CY9" s="627">
        <v>0</v>
      </c>
      <c r="CZ9" s="627">
        <v>0</v>
      </c>
      <c r="DA9" s="627">
        <v>0</v>
      </c>
      <c r="DB9" s="627">
        <v>0</v>
      </c>
      <c r="DC9" s="627">
        <v>14698592</v>
      </c>
      <c r="DD9" s="627">
        <v>0</v>
      </c>
      <c r="DE9" s="627">
        <v>0</v>
      </c>
      <c r="DF9" s="627">
        <v>4619384</v>
      </c>
      <c r="DG9" s="627">
        <v>4619384</v>
      </c>
      <c r="DH9" s="627">
        <v>749.9</v>
      </c>
      <c r="DI9" s="627">
        <v>0</v>
      </c>
      <c r="DJ9" s="627">
        <v>0</v>
      </c>
      <c r="DK9" s="627">
        <v>0</v>
      </c>
      <c r="DL9" s="627">
        <v>0</v>
      </c>
      <c r="DM9" s="627">
        <v>0</v>
      </c>
      <c r="DN9" s="627">
        <v>2301274</v>
      </c>
      <c r="DO9" s="627">
        <v>7844</v>
      </c>
      <c r="DP9" s="627">
        <v>0</v>
      </c>
      <c r="DQ9" s="627">
        <v>0</v>
      </c>
      <c r="DR9" s="627">
        <v>0</v>
      </c>
      <c r="DS9" s="627">
        <v>0</v>
      </c>
      <c r="DT9" s="627">
        <v>0</v>
      </c>
      <c r="DU9" s="627">
        <v>0</v>
      </c>
      <c r="DV9" s="627">
        <v>0</v>
      </c>
      <c r="DW9" s="627">
        <v>0</v>
      </c>
      <c r="DX9" s="627">
        <v>0</v>
      </c>
      <c r="DY9" s="627">
        <v>0</v>
      </c>
      <c r="DZ9" s="627">
        <v>0</v>
      </c>
      <c r="EA9" s="627">
        <v>0</v>
      </c>
      <c r="EB9" s="627">
        <v>0</v>
      </c>
      <c r="EC9" s="627">
        <v>0</v>
      </c>
      <c r="ED9" s="627">
        <v>69.119</v>
      </c>
      <c r="EE9" s="627">
        <v>489639</v>
      </c>
      <c r="EF9" s="627">
        <v>0</v>
      </c>
      <c r="EG9" s="627">
        <v>0</v>
      </c>
      <c r="EH9" s="627">
        <v>0</v>
      </c>
      <c r="EI9" s="627">
        <v>1819479</v>
      </c>
      <c r="EJ9" s="627">
        <v>0</v>
      </c>
      <c r="EK9" s="627">
        <v>0</v>
      </c>
      <c r="EL9" s="627">
        <v>90.441000000000003</v>
      </c>
      <c r="EM9" s="627">
        <v>0</v>
      </c>
      <c r="EN9" s="627">
        <v>1.4E-2</v>
      </c>
      <c r="EO9" s="627">
        <v>4.8010000000000002</v>
      </c>
      <c r="EP9" s="627">
        <v>0</v>
      </c>
      <c r="EQ9" s="627">
        <v>0</v>
      </c>
      <c r="ER9" s="627">
        <v>95.256</v>
      </c>
      <c r="ES9" s="627">
        <v>0</v>
      </c>
      <c r="ET9" s="627">
        <v>295.37</v>
      </c>
      <c r="EU9" s="627">
        <v>0</v>
      </c>
      <c r="EV9" s="627">
        <v>0</v>
      </c>
      <c r="EW9" s="627">
        <v>0</v>
      </c>
      <c r="EX9" s="627">
        <v>0</v>
      </c>
      <c r="EY9" s="627">
        <v>0</v>
      </c>
      <c r="EZ9" s="627">
        <v>0</v>
      </c>
      <c r="FA9" s="627">
        <v>26649731</v>
      </c>
      <c r="FB9" s="627">
        <v>0</v>
      </c>
      <c r="FC9" s="627">
        <v>27657592</v>
      </c>
      <c r="FD9" s="627">
        <v>0</v>
      </c>
      <c r="FE9" s="627">
        <v>0</v>
      </c>
      <c r="FF9" s="627">
        <v>3982016</v>
      </c>
      <c r="FG9" s="627">
        <v>689637</v>
      </c>
      <c r="FH9" s="627">
        <v>7.0280999999999996E-2</v>
      </c>
      <c r="FI9" s="627">
        <v>3.1172999999999999E-2</v>
      </c>
      <c r="FJ9" s="627">
        <v>0</v>
      </c>
      <c r="FK9" s="627">
        <v>0</v>
      </c>
      <c r="FL9" s="627">
        <v>4489.2240000000002</v>
      </c>
      <c r="FM9" s="627">
        <v>32745432</v>
      </c>
      <c r="FN9" s="627">
        <v>0</v>
      </c>
      <c r="FO9" s="627">
        <v>0</v>
      </c>
      <c r="FP9" s="627">
        <v>0</v>
      </c>
      <c r="FQ9" s="627">
        <v>0</v>
      </c>
      <c r="FR9" s="627">
        <v>0</v>
      </c>
      <c r="FS9" s="627">
        <v>0</v>
      </c>
      <c r="FT9" s="627">
        <v>0</v>
      </c>
      <c r="FU9" s="627">
        <v>0</v>
      </c>
      <c r="FV9" s="627">
        <v>0</v>
      </c>
      <c r="FW9" s="627">
        <v>0</v>
      </c>
      <c r="FX9" s="627">
        <v>0</v>
      </c>
      <c r="FY9" s="627">
        <v>0</v>
      </c>
      <c r="FZ9" s="627">
        <v>0</v>
      </c>
      <c r="GA9" s="627">
        <v>0</v>
      </c>
      <c r="GB9" s="627">
        <v>0</v>
      </c>
      <c r="GC9" s="627">
        <v>1198660</v>
      </c>
      <c r="GD9" s="627">
        <v>1198660</v>
      </c>
      <c r="GE9" s="627">
        <v>120.938</v>
      </c>
      <c r="GF9" s="627">
        <v>0</v>
      </c>
      <c r="GG9" s="627">
        <v>0</v>
      </c>
      <c r="GH9" s="627">
        <v>0</v>
      </c>
      <c r="GI9" s="627">
        <v>0</v>
      </c>
      <c r="GJ9" s="627">
        <v>0</v>
      </c>
      <c r="GK9" s="627">
        <v>0</v>
      </c>
      <c r="GL9" s="627">
        <v>0</v>
      </c>
      <c r="GM9" s="627">
        <v>0</v>
      </c>
      <c r="GN9" s="627">
        <v>0</v>
      </c>
      <c r="GO9" s="627">
        <v>0</v>
      </c>
      <c r="GP9" s="627">
        <v>0</v>
      </c>
      <c r="GQ9" s="627">
        <v>0</v>
      </c>
      <c r="GR9" s="627">
        <v>31313291</v>
      </c>
      <c r="GS9" s="627">
        <v>0</v>
      </c>
      <c r="GT9" s="627">
        <v>0</v>
      </c>
      <c r="GU9" s="627">
        <v>0</v>
      </c>
      <c r="GV9" s="627">
        <v>0</v>
      </c>
      <c r="GW9" s="627">
        <v>0</v>
      </c>
      <c r="GX9" s="627">
        <v>0</v>
      </c>
      <c r="GY9" s="627">
        <v>0</v>
      </c>
      <c r="GZ9" s="627">
        <v>0</v>
      </c>
      <c r="HA9" s="627">
        <v>0</v>
      </c>
      <c r="HB9" s="627">
        <v>0</v>
      </c>
      <c r="HC9" s="627">
        <v>361151439</v>
      </c>
      <c r="HD9" s="627">
        <v>3.9981999999999997E-2</v>
      </c>
      <c r="HE9" s="627">
        <v>416187</v>
      </c>
      <c r="HF9" s="627">
        <v>0</v>
      </c>
      <c r="HG9" s="627">
        <v>2629521</v>
      </c>
      <c r="HH9" s="627">
        <v>46200</v>
      </c>
      <c r="HI9" s="627">
        <v>504713</v>
      </c>
      <c r="HJ9" s="627">
        <v>0</v>
      </c>
      <c r="HK9" s="627">
        <v>56023</v>
      </c>
      <c r="HL9" s="627">
        <v>7668</v>
      </c>
      <c r="HM9" s="627">
        <v>4398</v>
      </c>
      <c r="HN9" s="627">
        <v>0</v>
      </c>
      <c r="HO9" s="627">
        <v>0</v>
      </c>
      <c r="HP9" s="627">
        <v>0</v>
      </c>
      <c r="HQ9" s="627">
        <v>0</v>
      </c>
      <c r="HR9" s="627">
        <v>0</v>
      </c>
      <c r="HS9" s="627">
        <v>0</v>
      </c>
      <c r="HT9" s="627">
        <v>26641638</v>
      </c>
      <c r="HU9" s="627">
        <v>689637</v>
      </c>
      <c r="HV9" s="627">
        <v>0</v>
      </c>
      <c r="HW9" s="627">
        <v>0</v>
      </c>
      <c r="HX9" s="627">
        <v>0</v>
      </c>
      <c r="HY9" s="627">
        <v>219</v>
      </c>
      <c r="HZ9" s="627">
        <v>297</v>
      </c>
      <c r="IA9" s="627">
        <v>238</v>
      </c>
      <c r="IB9" s="627">
        <v>729</v>
      </c>
      <c r="IC9" s="627">
        <v>1379</v>
      </c>
      <c r="ID9" s="627">
        <v>2862</v>
      </c>
      <c r="IE9" s="627">
        <v>0</v>
      </c>
      <c r="IF9" s="627">
        <v>565.74200000000008</v>
      </c>
      <c r="IG9" s="627">
        <v>120.38500000000001</v>
      </c>
      <c r="IH9" s="627">
        <v>75</v>
      </c>
      <c r="II9" s="627">
        <v>819.34</v>
      </c>
      <c r="IJ9" s="627">
        <v>0</v>
      </c>
      <c r="IK9" s="627">
        <v>2297.143</v>
      </c>
      <c r="IL9" s="627">
        <v>0</v>
      </c>
      <c r="IM9" s="627">
        <v>0</v>
      </c>
      <c r="IN9" s="627">
        <v>0</v>
      </c>
      <c r="IO9" s="627">
        <v>0</v>
      </c>
      <c r="IP9" s="627">
        <v>0</v>
      </c>
      <c r="IQ9" s="627">
        <v>0</v>
      </c>
      <c r="IR9" s="627">
        <v>1611.0160000000001</v>
      </c>
      <c r="IS9" s="627">
        <v>992386</v>
      </c>
      <c r="IT9" s="627">
        <v>0</v>
      </c>
      <c r="IU9" s="627">
        <v>0</v>
      </c>
      <c r="IV9" s="627">
        <v>0</v>
      </c>
      <c r="IW9" s="627">
        <v>0</v>
      </c>
      <c r="IX9" s="627">
        <v>6160</v>
      </c>
      <c r="IY9" s="627">
        <v>522746</v>
      </c>
      <c r="IZ9" s="627">
        <v>37079</v>
      </c>
      <c r="JA9" s="627">
        <v>0</v>
      </c>
      <c r="JB9" s="627">
        <v>0</v>
      </c>
      <c r="JC9" s="627">
        <v>0</v>
      </c>
      <c r="JD9" s="627">
        <v>0</v>
      </c>
      <c r="JE9" s="627">
        <v>0</v>
      </c>
      <c r="JF9" s="627">
        <v>0</v>
      </c>
      <c r="JG9" s="627">
        <v>0</v>
      </c>
      <c r="JH9" s="627">
        <v>0</v>
      </c>
      <c r="JI9" s="627">
        <v>0</v>
      </c>
      <c r="JJ9" s="627">
        <v>0</v>
      </c>
      <c r="JK9" s="627">
        <v>0</v>
      </c>
      <c r="JL9" s="627">
        <v>0</v>
      </c>
      <c r="JM9" s="627">
        <v>0</v>
      </c>
      <c r="JN9" s="627">
        <v>0</v>
      </c>
      <c r="JO9" s="627">
        <v>32469</v>
      </c>
      <c r="JP9" s="627">
        <v>5.1350000000000007</v>
      </c>
      <c r="JQ9" s="627">
        <v>56.945</v>
      </c>
      <c r="JR9" s="627">
        <v>58.858000000000004</v>
      </c>
      <c r="JS9" s="627">
        <v>41019</v>
      </c>
      <c r="JT9" s="627">
        <v>529324</v>
      </c>
      <c r="JU9" s="627">
        <v>628317</v>
      </c>
      <c r="JV9" s="627">
        <v>39670</v>
      </c>
      <c r="JW9" s="627">
        <v>0</v>
      </c>
      <c r="JX9" s="627">
        <v>0</v>
      </c>
      <c r="JY9" s="627">
        <v>0</v>
      </c>
      <c r="JZ9" s="627">
        <v>0</v>
      </c>
      <c r="KA9" s="627">
        <v>0</v>
      </c>
      <c r="KB9" s="627">
        <v>0</v>
      </c>
      <c r="KC9" s="627">
        <v>0</v>
      </c>
      <c r="KD9" s="627">
        <v>0</v>
      </c>
      <c r="KE9" s="627">
        <v>39670</v>
      </c>
      <c r="KF9" s="627">
        <v>7262</v>
      </c>
      <c r="KG9" s="627">
        <v>0</v>
      </c>
      <c r="KH9" s="627">
        <v>0</v>
      </c>
      <c r="KI9" s="627">
        <v>31313291</v>
      </c>
      <c r="KJ9" s="627">
        <v>0</v>
      </c>
      <c r="KK9" s="627">
        <v>58</v>
      </c>
      <c r="KL9" s="627">
        <v>17</v>
      </c>
      <c r="KM9" s="627">
        <v>35728</v>
      </c>
      <c r="KN9" s="627">
        <v>10472</v>
      </c>
      <c r="KO9" s="627">
        <v>0</v>
      </c>
      <c r="KP9" s="627">
        <v>0</v>
      </c>
      <c r="KQ9" s="627">
        <v>31313291</v>
      </c>
      <c r="KR9" s="627">
        <v>0</v>
      </c>
      <c r="KS9" s="627">
        <v>0</v>
      </c>
      <c r="KT9" s="627">
        <v>0</v>
      </c>
      <c r="KU9" s="627">
        <v>0</v>
      </c>
      <c r="KV9" s="627">
        <v>0</v>
      </c>
      <c r="KW9" s="627">
        <v>0</v>
      </c>
      <c r="KX9" s="627">
        <v>0</v>
      </c>
      <c r="KY9" s="627">
        <v>0</v>
      </c>
      <c r="KZ9" s="627">
        <v>0</v>
      </c>
      <c r="LA9" s="627">
        <v>0</v>
      </c>
      <c r="LB9" s="627">
        <v>0</v>
      </c>
      <c r="LC9" s="627">
        <v>0</v>
      </c>
      <c r="LD9" s="627">
        <v>0</v>
      </c>
      <c r="LE9" s="627">
        <v>0</v>
      </c>
      <c r="LF9" s="627">
        <v>0</v>
      </c>
    </row>
    <row r="10" spans="1:334" x14ac:dyDescent="0.25">
      <c r="A10" s="627">
        <v>42602</v>
      </c>
      <c r="B10" s="627">
        <v>71801</v>
      </c>
      <c r="D10" s="627">
        <v>9</v>
      </c>
      <c r="E10" s="627">
        <v>2024</v>
      </c>
      <c r="F10" s="627">
        <v>6160</v>
      </c>
      <c r="G10" s="627">
        <v>0</v>
      </c>
      <c r="H10" s="627">
        <v>1454.59</v>
      </c>
      <c r="I10" s="627">
        <v>1283.0330000000001</v>
      </c>
      <c r="J10" s="627">
        <v>1283.0330000000001</v>
      </c>
      <c r="K10" s="627">
        <v>1454.59</v>
      </c>
      <c r="L10" s="627">
        <v>0</v>
      </c>
      <c r="M10" s="627">
        <v>6160</v>
      </c>
      <c r="N10" s="627">
        <v>0</v>
      </c>
      <c r="O10" s="627">
        <v>0</v>
      </c>
      <c r="P10" s="627">
        <v>0</v>
      </c>
      <c r="Q10" s="627">
        <v>1160.453</v>
      </c>
      <c r="R10" s="627">
        <v>0</v>
      </c>
      <c r="S10" s="627">
        <v>481453</v>
      </c>
      <c r="T10" s="627">
        <v>414.88400000000001</v>
      </c>
      <c r="U10" s="627">
        <v>0</v>
      </c>
      <c r="V10" s="627">
        <v>249855</v>
      </c>
      <c r="W10" s="627">
        <v>745.75200000000007</v>
      </c>
      <c r="X10" s="627">
        <v>530818</v>
      </c>
      <c r="Y10" s="627">
        <v>530818</v>
      </c>
      <c r="Z10" s="627">
        <v>0</v>
      </c>
      <c r="AA10" s="627">
        <v>0</v>
      </c>
      <c r="AB10" s="627">
        <v>0</v>
      </c>
      <c r="AC10" s="627">
        <v>0</v>
      </c>
      <c r="AD10" s="627">
        <v>0</v>
      </c>
      <c r="AE10" s="627" t="s">
        <v>314</v>
      </c>
      <c r="AF10" s="627">
        <v>0</v>
      </c>
      <c r="AG10" s="627">
        <v>0</v>
      </c>
      <c r="AH10" s="627">
        <v>0</v>
      </c>
      <c r="AI10" s="627">
        <v>0</v>
      </c>
      <c r="AJ10" s="627">
        <v>0</v>
      </c>
      <c r="AK10" s="627">
        <v>6160</v>
      </c>
      <c r="AL10" s="627" t="s">
        <v>651</v>
      </c>
      <c r="AM10" s="627" t="s">
        <v>84</v>
      </c>
      <c r="AN10" s="627">
        <v>0</v>
      </c>
      <c r="AO10" s="627">
        <v>0</v>
      </c>
      <c r="AP10" s="627">
        <v>0</v>
      </c>
      <c r="AQ10" s="627">
        <v>0</v>
      </c>
      <c r="AR10" s="627">
        <v>0</v>
      </c>
      <c r="AS10" s="627">
        <v>0</v>
      </c>
      <c r="AT10" s="627">
        <v>0</v>
      </c>
      <c r="AU10" s="627">
        <v>0</v>
      </c>
      <c r="AV10" s="627">
        <v>0</v>
      </c>
      <c r="AW10" s="627">
        <v>-780</v>
      </c>
      <c r="AX10" s="627">
        <v>15744887</v>
      </c>
      <c r="AY10" s="627">
        <v>15513312</v>
      </c>
      <c r="AZ10" s="627">
        <v>7416655</v>
      </c>
      <c r="BA10" s="627">
        <v>481453</v>
      </c>
      <c r="BB10" s="627">
        <v>21.5</v>
      </c>
      <c r="BC10" s="627">
        <v>0</v>
      </c>
      <c r="BD10" s="627">
        <v>0</v>
      </c>
      <c r="BE10" s="627">
        <v>0</v>
      </c>
      <c r="BF10" s="627">
        <v>0</v>
      </c>
      <c r="BG10" s="627">
        <v>13675727</v>
      </c>
      <c r="BH10" s="627">
        <v>0</v>
      </c>
      <c r="BI10" s="627">
        <v>0</v>
      </c>
      <c r="BJ10" s="627">
        <v>0</v>
      </c>
      <c r="BK10" s="627">
        <v>12</v>
      </c>
      <c r="BL10" s="627">
        <v>0</v>
      </c>
      <c r="BM10" s="627">
        <v>0</v>
      </c>
      <c r="BN10" s="627">
        <v>0</v>
      </c>
      <c r="BO10" s="627">
        <v>0</v>
      </c>
      <c r="BP10" s="627">
        <v>0</v>
      </c>
      <c r="BQ10" s="627">
        <v>0</v>
      </c>
      <c r="BR10" s="627">
        <v>572</v>
      </c>
      <c r="BS10" s="627">
        <v>0</v>
      </c>
      <c r="BT10" s="627">
        <v>0</v>
      </c>
      <c r="BU10" s="627">
        <v>0</v>
      </c>
      <c r="BV10" s="627">
        <v>0</v>
      </c>
      <c r="BW10" s="627">
        <v>0</v>
      </c>
      <c r="BX10" s="627">
        <v>0</v>
      </c>
      <c r="BY10" s="627">
        <v>0</v>
      </c>
      <c r="BZ10" s="627">
        <v>0</v>
      </c>
      <c r="CA10" s="627">
        <v>0</v>
      </c>
      <c r="CB10" s="627">
        <v>0</v>
      </c>
      <c r="CC10" s="627">
        <v>0</v>
      </c>
      <c r="CD10" s="627">
        <v>0</v>
      </c>
      <c r="CE10" s="627">
        <v>0</v>
      </c>
      <c r="CF10" s="627">
        <v>0</v>
      </c>
      <c r="CG10" s="627">
        <v>0</v>
      </c>
      <c r="CH10" s="627">
        <v>0</v>
      </c>
      <c r="CI10" s="627">
        <v>232631</v>
      </c>
      <c r="CJ10" s="627">
        <v>0</v>
      </c>
      <c r="CK10" s="627">
        <v>4</v>
      </c>
      <c r="CL10" s="627">
        <v>0</v>
      </c>
      <c r="CM10" s="627">
        <v>0</v>
      </c>
      <c r="CN10" s="627">
        <v>0</v>
      </c>
      <c r="CO10" s="627">
        <v>0</v>
      </c>
      <c r="CP10" s="627">
        <v>1</v>
      </c>
      <c r="CQ10" s="627">
        <v>0</v>
      </c>
      <c r="CR10" s="627">
        <v>0</v>
      </c>
      <c r="CS10" s="627">
        <v>1201.643</v>
      </c>
      <c r="CT10" s="627">
        <v>0</v>
      </c>
      <c r="CU10" s="627">
        <v>0</v>
      </c>
      <c r="CV10" s="627">
        <v>0</v>
      </c>
      <c r="CW10" s="627">
        <v>0</v>
      </c>
      <c r="CX10" s="627">
        <v>0</v>
      </c>
      <c r="CY10" s="627">
        <v>0</v>
      </c>
      <c r="CZ10" s="627">
        <v>0</v>
      </c>
      <c r="DA10" s="627">
        <v>0</v>
      </c>
      <c r="DB10" s="627">
        <v>0</v>
      </c>
      <c r="DC10" s="627">
        <v>7882062</v>
      </c>
      <c r="DD10" s="627">
        <v>0</v>
      </c>
      <c r="DE10" s="627">
        <v>0</v>
      </c>
      <c r="DF10" s="627">
        <v>1665818</v>
      </c>
      <c r="DG10" s="627">
        <v>1665818</v>
      </c>
      <c r="DH10" s="627">
        <v>270.42500000000001</v>
      </c>
      <c r="DI10" s="627">
        <v>0</v>
      </c>
      <c r="DJ10" s="627">
        <v>0</v>
      </c>
      <c r="DK10" s="627">
        <v>0</v>
      </c>
      <c r="DL10" s="627">
        <v>781</v>
      </c>
      <c r="DM10" s="627">
        <v>0</v>
      </c>
      <c r="DN10" s="627">
        <v>331158</v>
      </c>
      <c r="DO10" s="627">
        <v>1056</v>
      </c>
      <c r="DP10" s="627">
        <v>0</v>
      </c>
      <c r="DQ10" s="627">
        <v>0</v>
      </c>
      <c r="DR10" s="627">
        <v>0</v>
      </c>
      <c r="DS10" s="627">
        <v>0</v>
      </c>
      <c r="DT10" s="627">
        <v>0</v>
      </c>
      <c r="DU10" s="627">
        <v>0</v>
      </c>
      <c r="DV10" s="627">
        <v>0</v>
      </c>
      <c r="DW10" s="627">
        <v>0</v>
      </c>
      <c r="DX10" s="627">
        <v>0</v>
      </c>
      <c r="DY10" s="627">
        <v>0</v>
      </c>
      <c r="DZ10" s="627">
        <v>0</v>
      </c>
      <c r="EA10" s="627">
        <v>0</v>
      </c>
      <c r="EB10" s="627">
        <v>0.10500000000000001</v>
      </c>
      <c r="EC10" s="627">
        <v>0</v>
      </c>
      <c r="ED10" s="627">
        <v>19.43</v>
      </c>
      <c r="EE10" s="627">
        <v>137642</v>
      </c>
      <c r="EF10" s="627">
        <v>0</v>
      </c>
      <c r="EG10" s="627">
        <v>0</v>
      </c>
      <c r="EH10" s="627">
        <v>0</v>
      </c>
      <c r="EI10" s="627">
        <v>173151</v>
      </c>
      <c r="EJ10" s="627">
        <v>0</v>
      </c>
      <c r="EK10" s="627">
        <v>0</v>
      </c>
      <c r="EL10" s="627">
        <v>6.4730000000000008</v>
      </c>
      <c r="EM10" s="627">
        <v>0</v>
      </c>
      <c r="EN10" s="627">
        <v>0</v>
      </c>
      <c r="EO10" s="627">
        <v>1.633</v>
      </c>
      <c r="EP10" s="627">
        <v>0</v>
      </c>
      <c r="EQ10" s="627">
        <v>0</v>
      </c>
      <c r="ER10" s="627">
        <v>8.2110000000000003</v>
      </c>
      <c r="ES10" s="627">
        <v>0</v>
      </c>
      <c r="ET10" s="627">
        <v>28.109000000000002</v>
      </c>
      <c r="EU10" s="627">
        <v>0</v>
      </c>
      <c r="EV10" s="627">
        <v>0</v>
      </c>
      <c r="EW10" s="627">
        <v>0</v>
      </c>
      <c r="EX10" s="627">
        <v>0</v>
      </c>
      <c r="EY10" s="627">
        <v>0</v>
      </c>
      <c r="EZ10" s="627">
        <v>0</v>
      </c>
      <c r="FA10" s="627">
        <v>13203008</v>
      </c>
      <c r="FB10" s="627">
        <v>0</v>
      </c>
      <c r="FC10" s="627">
        <v>13683405</v>
      </c>
      <c r="FD10" s="627">
        <v>0</v>
      </c>
      <c r="FE10" s="627">
        <v>0</v>
      </c>
      <c r="FF10" s="627">
        <v>1969253</v>
      </c>
      <c r="FG10" s="627">
        <v>341051</v>
      </c>
      <c r="FH10" s="627">
        <v>7.0280999999999996E-2</v>
      </c>
      <c r="FI10" s="627">
        <v>3.1172999999999999E-2</v>
      </c>
      <c r="FJ10" s="627">
        <v>0</v>
      </c>
      <c r="FK10" s="627">
        <v>0</v>
      </c>
      <c r="FL10" s="627">
        <v>2220.0860000000002</v>
      </c>
      <c r="FM10" s="627">
        <v>16226340</v>
      </c>
      <c r="FN10" s="627">
        <v>0</v>
      </c>
      <c r="FO10" s="627">
        <v>0</v>
      </c>
      <c r="FP10" s="627">
        <v>0</v>
      </c>
      <c r="FQ10" s="627">
        <v>0</v>
      </c>
      <c r="FR10" s="627">
        <v>0</v>
      </c>
      <c r="FS10" s="627">
        <v>0</v>
      </c>
      <c r="FT10" s="627">
        <v>0</v>
      </c>
      <c r="FU10" s="627">
        <v>0</v>
      </c>
      <c r="FV10" s="627">
        <v>0</v>
      </c>
      <c r="FW10" s="627">
        <v>0</v>
      </c>
      <c r="FX10" s="627">
        <v>0</v>
      </c>
      <c r="FY10" s="627">
        <v>0</v>
      </c>
      <c r="FZ10" s="627">
        <v>0</v>
      </c>
      <c r="GA10" s="627">
        <v>0</v>
      </c>
      <c r="GB10" s="627">
        <v>0</v>
      </c>
      <c r="GC10" s="627">
        <v>1588981</v>
      </c>
      <c r="GD10" s="627">
        <v>1588981</v>
      </c>
      <c r="GE10" s="627">
        <v>163.346</v>
      </c>
      <c r="GF10" s="627">
        <v>0</v>
      </c>
      <c r="GG10" s="627">
        <v>0</v>
      </c>
      <c r="GH10" s="627">
        <v>0</v>
      </c>
      <c r="GI10" s="627">
        <v>0</v>
      </c>
      <c r="GJ10" s="627">
        <v>0</v>
      </c>
      <c r="GK10" s="627">
        <v>0</v>
      </c>
      <c r="GL10" s="627">
        <v>0</v>
      </c>
      <c r="GM10" s="627">
        <v>0</v>
      </c>
      <c r="GN10" s="627">
        <v>0</v>
      </c>
      <c r="GO10" s="627">
        <v>0</v>
      </c>
      <c r="GP10" s="627">
        <v>0</v>
      </c>
      <c r="GQ10" s="627">
        <v>0</v>
      </c>
      <c r="GR10" s="627">
        <v>15512256</v>
      </c>
      <c r="GS10" s="627">
        <v>0</v>
      </c>
      <c r="GT10" s="627">
        <v>0</v>
      </c>
      <c r="GU10" s="627">
        <v>0</v>
      </c>
      <c r="GV10" s="627">
        <v>0</v>
      </c>
      <c r="GW10" s="627">
        <v>0</v>
      </c>
      <c r="GX10" s="627">
        <v>0</v>
      </c>
      <c r="GY10" s="627">
        <v>0</v>
      </c>
      <c r="GZ10" s="627">
        <v>0</v>
      </c>
      <c r="HA10" s="627">
        <v>0</v>
      </c>
      <c r="HB10" s="627">
        <v>0</v>
      </c>
      <c r="HC10" s="627">
        <v>361151439</v>
      </c>
      <c r="HD10" s="627">
        <v>3.9981999999999997E-2</v>
      </c>
      <c r="HE10" s="627">
        <v>232631</v>
      </c>
      <c r="HF10" s="627">
        <v>0</v>
      </c>
      <c r="HG10" s="627">
        <v>1413902</v>
      </c>
      <c r="HH10" s="627">
        <v>14168</v>
      </c>
      <c r="HI10" s="627">
        <v>188218</v>
      </c>
      <c r="HJ10" s="627">
        <v>0</v>
      </c>
      <c r="HK10" s="627">
        <v>59546</v>
      </c>
      <c r="HL10" s="627">
        <v>5707</v>
      </c>
      <c r="HM10" s="627">
        <v>3027</v>
      </c>
      <c r="HN10" s="627">
        <v>0</v>
      </c>
      <c r="HO10" s="627">
        <v>0</v>
      </c>
      <c r="HP10" s="627">
        <v>0</v>
      </c>
      <c r="HQ10" s="627">
        <v>0</v>
      </c>
      <c r="HR10" s="627">
        <v>0</v>
      </c>
      <c r="HS10" s="627">
        <v>0</v>
      </c>
      <c r="HT10" s="627">
        <v>13201952</v>
      </c>
      <c r="HU10" s="627">
        <v>341051</v>
      </c>
      <c r="HV10" s="627">
        <v>0</v>
      </c>
      <c r="HW10" s="627">
        <v>0</v>
      </c>
      <c r="HX10" s="627">
        <v>0</v>
      </c>
      <c r="HY10" s="627">
        <v>317</v>
      </c>
      <c r="HZ10" s="627">
        <v>239</v>
      </c>
      <c r="IA10" s="627">
        <v>221</v>
      </c>
      <c r="IB10" s="627">
        <v>161</v>
      </c>
      <c r="IC10" s="627">
        <v>163</v>
      </c>
      <c r="ID10" s="627">
        <v>1101</v>
      </c>
      <c r="IE10" s="627">
        <v>0</v>
      </c>
      <c r="IF10" s="627">
        <v>46.917999999999999</v>
      </c>
      <c r="IG10" s="627">
        <v>91.18</v>
      </c>
      <c r="IH10" s="627">
        <v>23</v>
      </c>
      <c r="II10" s="627">
        <v>305.548</v>
      </c>
      <c r="IJ10" s="627">
        <v>0</v>
      </c>
      <c r="IK10" s="627">
        <v>883.85</v>
      </c>
      <c r="IL10" s="627">
        <v>0</v>
      </c>
      <c r="IM10" s="627">
        <v>0</v>
      </c>
      <c r="IN10" s="627">
        <v>0</v>
      </c>
      <c r="IO10" s="627">
        <v>0</v>
      </c>
      <c r="IP10" s="627">
        <v>0</v>
      </c>
      <c r="IQ10" s="627">
        <v>0</v>
      </c>
      <c r="IR10" s="627">
        <v>745.75200000000007</v>
      </c>
      <c r="IS10" s="627">
        <v>459383</v>
      </c>
      <c r="IT10" s="627">
        <v>0</v>
      </c>
      <c r="IU10" s="627">
        <v>0</v>
      </c>
      <c r="IV10" s="627">
        <v>0</v>
      </c>
      <c r="IW10" s="627">
        <v>0</v>
      </c>
      <c r="IX10" s="627">
        <v>6160</v>
      </c>
      <c r="IY10" s="627">
        <v>43352</v>
      </c>
      <c r="IZ10" s="627">
        <v>28083</v>
      </c>
      <c r="JA10" s="627">
        <v>0</v>
      </c>
      <c r="JB10" s="627">
        <v>0</v>
      </c>
      <c r="JC10" s="627">
        <v>0</v>
      </c>
      <c r="JD10" s="627">
        <v>0</v>
      </c>
      <c r="JE10" s="627">
        <v>0</v>
      </c>
      <c r="JF10" s="627">
        <v>0</v>
      </c>
      <c r="JG10" s="627">
        <v>0</v>
      </c>
      <c r="JH10" s="627">
        <v>0</v>
      </c>
      <c r="JI10" s="627">
        <v>0</v>
      </c>
      <c r="JJ10" s="627">
        <v>0</v>
      </c>
      <c r="JK10" s="627">
        <v>0</v>
      </c>
      <c r="JL10" s="627">
        <v>0</v>
      </c>
      <c r="JM10" s="627">
        <v>0</v>
      </c>
      <c r="JN10" s="627">
        <v>0</v>
      </c>
      <c r="JO10" s="627">
        <v>32469</v>
      </c>
      <c r="JP10" s="627">
        <v>0</v>
      </c>
      <c r="JQ10" s="627">
        <v>112.16300000000001</v>
      </c>
      <c r="JR10" s="627">
        <v>51.183</v>
      </c>
      <c r="JS10" s="627">
        <v>0</v>
      </c>
      <c r="JT10" s="627">
        <v>1042595</v>
      </c>
      <c r="JU10" s="627">
        <v>546386</v>
      </c>
      <c r="JV10" s="627">
        <v>0</v>
      </c>
      <c r="JW10" s="627">
        <v>0</v>
      </c>
      <c r="JX10" s="627">
        <v>0</v>
      </c>
      <c r="JY10" s="627">
        <v>0</v>
      </c>
      <c r="JZ10" s="627">
        <v>0</v>
      </c>
      <c r="KA10" s="627">
        <v>0</v>
      </c>
      <c r="KB10" s="627">
        <v>0</v>
      </c>
      <c r="KC10" s="627">
        <v>0</v>
      </c>
      <c r="KD10" s="627">
        <v>0</v>
      </c>
      <c r="KE10" s="627">
        <v>0</v>
      </c>
      <c r="KF10" s="627">
        <v>7262</v>
      </c>
      <c r="KG10" s="627">
        <v>0</v>
      </c>
      <c r="KH10" s="627">
        <v>0</v>
      </c>
      <c r="KI10" s="627">
        <v>15512256</v>
      </c>
      <c r="KJ10" s="627">
        <v>0</v>
      </c>
      <c r="KK10" s="627">
        <v>10</v>
      </c>
      <c r="KL10" s="627">
        <v>13</v>
      </c>
      <c r="KM10" s="627">
        <v>6160</v>
      </c>
      <c r="KN10" s="627">
        <v>8008</v>
      </c>
      <c r="KO10" s="627">
        <v>0</v>
      </c>
      <c r="KP10" s="627">
        <v>0</v>
      </c>
      <c r="KQ10" s="627">
        <v>15512256</v>
      </c>
      <c r="KR10" s="627">
        <v>0</v>
      </c>
      <c r="KS10" s="627">
        <v>0</v>
      </c>
      <c r="KT10" s="627">
        <v>0</v>
      </c>
      <c r="KU10" s="627">
        <v>0</v>
      </c>
      <c r="KV10" s="627">
        <v>0</v>
      </c>
      <c r="KW10" s="627">
        <v>0</v>
      </c>
      <c r="KX10" s="627">
        <v>0</v>
      </c>
      <c r="KY10" s="627">
        <v>0</v>
      </c>
      <c r="KZ10" s="627">
        <v>0</v>
      </c>
      <c r="LA10" s="627">
        <v>0</v>
      </c>
      <c r="LB10" s="627">
        <v>0</v>
      </c>
      <c r="LC10" s="627">
        <v>0</v>
      </c>
      <c r="LD10" s="627">
        <v>0</v>
      </c>
      <c r="LE10" s="627">
        <v>0</v>
      </c>
      <c r="LF10" s="627">
        <v>0</v>
      </c>
    </row>
    <row r="11" spans="1:334" x14ac:dyDescent="0.25">
      <c r="A11" s="627">
        <v>42602</v>
      </c>
      <c r="B11" s="627">
        <v>72801</v>
      </c>
      <c r="D11" s="627">
        <v>9</v>
      </c>
      <c r="E11" s="627">
        <v>2024</v>
      </c>
      <c r="F11" s="627">
        <v>6160</v>
      </c>
      <c r="G11" s="627">
        <v>0</v>
      </c>
      <c r="H11" s="627">
        <v>5979</v>
      </c>
      <c r="I11" s="627">
        <v>5400.9610000000002</v>
      </c>
      <c r="J11" s="627">
        <v>5400.9610000000002</v>
      </c>
      <c r="K11" s="627">
        <v>5979</v>
      </c>
      <c r="L11" s="627">
        <v>0</v>
      </c>
      <c r="M11" s="627">
        <v>6160</v>
      </c>
      <c r="N11" s="627">
        <v>0</v>
      </c>
      <c r="O11" s="627">
        <v>0</v>
      </c>
      <c r="P11" s="627">
        <v>0</v>
      </c>
      <c r="Q11" s="627">
        <v>5436.4589999999998</v>
      </c>
      <c r="R11" s="627">
        <v>0</v>
      </c>
      <c r="S11" s="627">
        <v>2255500</v>
      </c>
      <c r="T11" s="627">
        <v>414.88400000000001</v>
      </c>
      <c r="U11" s="627">
        <v>0</v>
      </c>
      <c r="V11" s="627">
        <v>1170514</v>
      </c>
      <c r="W11" s="627">
        <v>691.98500000000001</v>
      </c>
      <c r="X11" s="627">
        <v>426263</v>
      </c>
      <c r="Y11" s="627">
        <v>426263</v>
      </c>
      <c r="Z11" s="627">
        <v>0</v>
      </c>
      <c r="AA11" s="627">
        <v>0</v>
      </c>
      <c r="AB11" s="627">
        <v>0</v>
      </c>
      <c r="AC11" s="627">
        <v>0</v>
      </c>
      <c r="AD11" s="627">
        <v>0</v>
      </c>
      <c r="AE11" s="627" t="s">
        <v>314</v>
      </c>
      <c r="AF11" s="627">
        <v>0</v>
      </c>
      <c r="AG11" s="627">
        <v>0</v>
      </c>
      <c r="AH11" s="627">
        <v>0</v>
      </c>
      <c r="AI11" s="627">
        <v>0</v>
      </c>
      <c r="AJ11" s="627">
        <v>0</v>
      </c>
      <c r="AK11" s="627">
        <v>6160</v>
      </c>
      <c r="AL11" s="627" t="s">
        <v>651</v>
      </c>
      <c r="AM11" s="627" t="s">
        <v>97</v>
      </c>
      <c r="AN11" s="627">
        <v>0</v>
      </c>
      <c r="AO11" s="627">
        <v>0</v>
      </c>
      <c r="AP11" s="627">
        <v>0</v>
      </c>
      <c r="AQ11" s="627">
        <v>0</v>
      </c>
      <c r="AR11" s="627">
        <v>0</v>
      </c>
      <c r="AS11" s="627">
        <v>0</v>
      </c>
      <c r="AT11" s="627">
        <v>0</v>
      </c>
      <c r="AU11" s="627">
        <v>0</v>
      </c>
      <c r="AV11" s="627">
        <v>0</v>
      </c>
      <c r="AW11" s="627">
        <v>0</v>
      </c>
      <c r="AX11" s="627">
        <v>70263234</v>
      </c>
      <c r="AY11" s="627">
        <v>69329660</v>
      </c>
      <c r="AZ11" s="627">
        <v>33355640</v>
      </c>
      <c r="BA11" s="627">
        <v>2255500</v>
      </c>
      <c r="BB11" s="627">
        <v>124.167</v>
      </c>
      <c r="BC11" s="627">
        <v>0</v>
      </c>
      <c r="BD11" s="627">
        <v>0</v>
      </c>
      <c r="BE11" s="627">
        <v>0</v>
      </c>
      <c r="BF11" s="627">
        <v>0</v>
      </c>
      <c r="BG11" s="627">
        <v>59633586</v>
      </c>
      <c r="BH11" s="627">
        <v>0</v>
      </c>
      <c r="BI11" s="627">
        <v>0</v>
      </c>
      <c r="BJ11" s="627">
        <v>0</v>
      </c>
      <c r="BK11" s="627">
        <v>12</v>
      </c>
      <c r="BL11" s="627">
        <v>0</v>
      </c>
      <c r="BM11" s="627">
        <v>0</v>
      </c>
      <c r="BN11" s="627">
        <v>0</v>
      </c>
      <c r="BO11" s="627">
        <v>0</v>
      </c>
      <c r="BP11" s="627">
        <v>0</v>
      </c>
      <c r="BQ11" s="627">
        <v>0</v>
      </c>
      <c r="BR11" s="627">
        <v>0</v>
      </c>
      <c r="BS11" s="627">
        <v>0</v>
      </c>
      <c r="BT11" s="627">
        <v>0</v>
      </c>
      <c r="BU11" s="627">
        <v>0</v>
      </c>
      <c r="BV11" s="627">
        <v>0</v>
      </c>
      <c r="BW11" s="627">
        <v>0</v>
      </c>
      <c r="BX11" s="627">
        <v>0</v>
      </c>
      <c r="BY11" s="627">
        <v>0</v>
      </c>
      <c r="BZ11" s="627">
        <v>0</v>
      </c>
      <c r="CA11" s="627">
        <v>0</v>
      </c>
      <c r="CB11" s="627">
        <v>255.59100000000001</v>
      </c>
      <c r="CC11" s="627">
        <v>255591</v>
      </c>
      <c r="CD11" s="627">
        <v>0</v>
      </c>
      <c r="CE11" s="627">
        <v>0</v>
      </c>
      <c r="CF11" s="627">
        <v>0</v>
      </c>
      <c r="CG11" s="627">
        <v>0</v>
      </c>
      <c r="CH11" s="627">
        <v>0</v>
      </c>
      <c r="CI11" s="627">
        <v>956213</v>
      </c>
      <c r="CJ11" s="627">
        <v>0</v>
      </c>
      <c r="CK11" s="627">
        <v>4</v>
      </c>
      <c r="CL11" s="627">
        <v>0</v>
      </c>
      <c r="CM11" s="627">
        <v>0</v>
      </c>
      <c r="CN11" s="627">
        <v>0</v>
      </c>
      <c r="CO11" s="627">
        <v>0</v>
      </c>
      <c r="CP11" s="627">
        <v>1</v>
      </c>
      <c r="CQ11" s="627">
        <v>0</v>
      </c>
      <c r="CR11" s="627">
        <v>16.917000000000002</v>
      </c>
      <c r="CS11" s="627">
        <v>5774.6260000000002</v>
      </c>
      <c r="CT11" s="627">
        <v>0</v>
      </c>
      <c r="CU11" s="627">
        <v>0</v>
      </c>
      <c r="CV11" s="627">
        <v>0</v>
      </c>
      <c r="CW11" s="627">
        <v>0</v>
      </c>
      <c r="CX11" s="627">
        <v>0</v>
      </c>
      <c r="CY11" s="627">
        <v>0</v>
      </c>
      <c r="CZ11" s="627">
        <v>0</v>
      </c>
      <c r="DA11" s="627">
        <v>0</v>
      </c>
      <c r="DB11" s="627">
        <v>0</v>
      </c>
      <c r="DC11" s="627">
        <v>33269920</v>
      </c>
      <c r="DD11" s="627">
        <v>0</v>
      </c>
      <c r="DE11" s="627">
        <v>0</v>
      </c>
      <c r="DF11" s="627">
        <v>7751205</v>
      </c>
      <c r="DG11" s="627">
        <v>7751205</v>
      </c>
      <c r="DH11" s="627">
        <v>1258.3130000000001</v>
      </c>
      <c r="DI11" s="627">
        <v>0</v>
      </c>
      <c r="DJ11" s="627">
        <v>0</v>
      </c>
      <c r="DK11" s="627">
        <v>0</v>
      </c>
      <c r="DL11" s="627">
        <v>0</v>
      </c>
      <c r="DM11" s="627">
        <v>0</v>
      </c>
      <c r="DN11" s="627">
        <v>6642084</v>
      </c>
      <c r="DO11" s="627">
        <v>22639</v>
      </c>
      <c r="DP11" s="627">
        <v>0</v>
      </c>
      <c r="DQ11" s="627">
        <v>0</v>
      </c>
      <c r="DR11" s="627">
        <v>0</v>
      </c>
      <c r="DS11" s="627">
        <v>0</v>
      </c>
      <c r="DT11" s="627">
        <v>0</v>
      </c>
      <c r="DU11" s="627">
        <v>0</v>
      </c>
      <c r="DV11" s="627">
        <v>0</v>
      </c>
      <c r="DW11" s="627">
        <v>0</v>
      </c>
      <c r="DX11" s="627">
        <v>0</v>
      </c>
      <c r="DY11" s="627">
        <v>0</v>
      </c>
      <c r="DZ11" s="627">
        <v>0</v>
      </c>
      <c r="EA11" s="627">
        <v>0</v>
      </c>
      <c r="EB11" s="627">
        <v>9.1999999999999998E-2</v>
      </c>
      <c r="EC11" s="627">
        <v>2.7010000000000001</v>
      </c>
      <c r="ED11" s="627">
        <v>609.73099999999999</v>
      </c>
      <c r="EE11" s="627">
        <v>4319334</v>
      </c>
      <c r="EF11" s="627">
        <v>0</v>
      </c>
      <c r="EG11" s="627">
        <v>0</v>
      </c>
      <c r="EH11" s="627">
        <v>0</v>
      </c>
      <c r="EI11" s="627">
        <v>2321833</v>
      </c>
      <c r="EJ11" s="627">
        <v>23556</v>
      </c>
      <c r="EK11" s="627">
        <v>0.95600000000000007</v>
      </c>
      <c r="EL11" s="627">
        <v>95.875</v>
      </c>
      <c r="EM11" s="627">
        <v>14.530000000000001</v>
      </c>
      <c r="EN11" s="627">
        <v>21.126000000000001</v>
      </c>
      <c r="EO11" s="627">
        <v>3.4710000000000001</v>
      </c>
      <c r="EP11" s="627">
        <v>0</v>
      </c>
      <c r="EQ11" s="627">
        <v>0</v>
      </c>
      <c r="ER11" s="627">
        <v>124.221</v>
      </c>
      <c r="ES11" s="627">
        <v>0</v>
      </c>
      <c r="ET11" s="627">
        <v>376.92099999999999</v>
      </c>
      <c r="EU11" s="627">
        <v>0</v>
      </c>
      <c r="EV11" s="627">
        <v>0</v>
      </c>
      <c r="EW11" s="627">
        <v>0</v>
      </c>
      <c r="EX11" s="627">
        <v>0</v>
      </c>
      <c r="EY11" s="627">
        <v>0</v>
      </c>
      <c r="EZ11" s="627">
        <v>0</v>
      </c>
      <c r="FA11" s="627">
        <v>59255485</v>
      </c>
      <c r="FB11" s="627">
        <v>0</v>
      </c>
      <c r="FC11" s="627">
        <v>61488346</v>
      </c>
      <c r="FD11" s="627">
        <v>0</v>
      </c>
      <c r="FE11" s="627">
        <v>0</v>
      </c>
      <c r="FF11" s="627">
        <v>8587009</v>
      </c>
      <c r="FG11" s="627">
        <v>1487166</v>
      </c>
      <c r="FH11" s="627">
        <v>7.0280999999999996E-2</v>
      </c>
      <c r="FI11" s="627">
        <v>3.1172999999999999E-2</v>
      </c>
      <c r="FJ11" s="627">
        <v>0</v>
      </c>
      <c r="FK11" s="627">
        <v>0</v>
      </c>
      <c r="FL11" s="627">
        <v>9680.777</v>
      </c>
      <c r="FM11" s="627">
        <v>72518734</v>
      </c>
      <c r="FN11" s="627">
        <v>0</v>
      </c>
      <c r="FO11" s="627">
        <v>0</v>
      </c>
      <c r="FP11" s="627">
        <v>31518</v>
      </c>
      <c r="FQ11" s="627">
        <v>0</v>
      </c>
      <c r="FR11" s="627">
        <v>31518</v>
      </c>
      <c r="FS11" s="627">
        <v>31518</v>
      </c>
      <c r="FT11" s="627">
        <v>0</v>
      </c>
      <c r="FU11" s="627">
        <v>0</v>
      </c>
      <c r="FV11" s="627">
        <v>0.41900000000000004</v>
      </c>
      <c r="FW11" s="627">
        <v>0</v>
      </c>
      <c r="FX11" s="627">
        <v>0</v>
      </c>
      <c r="FY11" s="627">
        <v>0</v>
      </c>
      <c r="FZ11" s="627">
        <v>0</v>
      </c>
      <c r="GA11" s="627">
        <v>0</v>
      </c>
      <c r="GB11" s="627">
        <v>0</v>
      </c>
      <c r="GC11" s="627">
        <v>4426128</v>
      </c>
      <c r="GD11" s="627">
        <v>4426128</v>
      </c>
      <c r="GE11" s="627">
        <v>453.81800000000004</v>
      </c>
      <c r="GF11" s="627">
        <v>0</v>
      </c>
      <c r="GG11" s="627">
        <v>0</v>
      </c>
      <c r="GH11" s="627">
        <v>0</v>
      </c>
      <c r="GI11" s="627">
        <v>0</v>
      </c>
      <c r="GJ11" s="627">
        <v>0</v>
      </c>
      <c r="GK11" s="627">
        <v>0</v>
      </c>
      <c r="GL11" s="627">
        <v>0</v>
      </c>
      <c r="GM11" s="627">
        <v>0</v>
      </c>
      <c r="GN11" s="627">
        <v>0</v>
      </c>
      <c r="GO11" s="627">
        <v>0</v>
      </c>
      <c r="GP11" s="627">
        <v>0</v>
      </c>
      <c r="GQ11" s="627">
        <v>0</v>
      </c>
      <c r="GR11" s="627">
        <v>69307021</v>
      </c>
      <c r="GS11" s="627">
        <v>0</v>
      </c>
      <c r="GT11" s="627">
        <v>0</v>
      </c>
      <c r="GU11" s="627">
        <v>0</v>
      </c>
      <c r="GV11" s="627">
        <v>0</v>
      </c>
      <c r="GW11" s="627">
        <v>0</v>
      </c>
      <c r="GX11" s="627">
        <v>0</v>
      </c>
      <c r="GY11" s="627">
        <v>0</v>
      </c>
      <c r="GZ11" s="627">
        <v>0</v>
      </c>
      <c r="HA11" s="627">
        <v>0</v>
      </c>
      <c r="HB11" s="627">
        <v>0</v>
      </c>
      <c r="HC11" s="627">
        <v>361151439</v>
      </c>
      <c r="HD11" s="627">
        <v>3.9981999999999997E-2</v>
      </c>
      <c r="HE11" s="627">
        <v>956213</v>
      </c>
      <c r="HF11" s="627">
        <v>0</v>
      </c>
      <c r="HG11" s="627">
        <v>5951859</v>
      </c>
      <c r="HH11" s="627">
        <v>211288</v>
      </c>
      <c r="HI11" s="627">
        <v>8026</v>
      </c>
      <c r="HJ11" s="627">
        <v>0</v>
      </c>
      <c r="HK11" s="627">
        <v>749790</v>
      </c>
      <c r="HL11" s="627">
        <v>81086</v>
      </c>
      <c r="HM11" s="627">
        <v>81742</v>
      </c>
      <c r="HN11" s="627">
        <v>8000</v>
      </c>
      <c r="HO11" s="627">
        <v>166384</v>
      </c>
      <c r="HP11" s="627">
        <v>0</v>
      </c>
      <c r="HQ11" s="627">
        <v>1426230</v>
      </c>
      <c r="HR11" s="627">
        <v>0</v>
      </c>
      <c r="HS11" s="627">
        <v>0</v>
      </c>
      <c r="HT11" s="627">
        <v>59232846</v>
      </c>
      <c r="HU11" s="627">
        <v>1487166</v>
      </c>
      <c r="HV11" s="627">
        <v>0</v>
      </c>
      <c r="HW11" s="627">
        <v>0</v>
      </c>
      <c r="HX11" s="627">
        <v>0</v>
      </c>
      <c r="HY11" s="627">
        <v>926</v>
      </c>
      <c r="HZ11" s="627">
        <v>1024</v>
      </c>
      <c r="IA11" s="627">
        <v>918</v>
      </c>
      <c r="IB11" s="627">
        <v>1119</v>
      </c>
      <c r="IC11" s="627">
        <v>1031</v>
      </c>
      <c r="ID11" s="627">
        <v>5018</v>
      </c>
      <c r="IE11" s="627">
        <v>0</v>
      </c>
      <c r="IF11" s="627">
        <v>0</v>
      </c>
      <c r="IG11" s="627">
        <v>0</v>
      </c>
      <c r="IH11" s="627">
        <v>343</v>
      </c>
      <c r="II11" s="627">
        <v>13.029</v>
      </c>
      <c r="IJ11" s="627">
        <v>5186.2910000000002</v>
      </c>
      <c r="IK11" s="627">
        <v>691.98500000000001</v>
      </c>
      <c r="IL11" s="627">
        <v>4.4790000000000001</v>
      </c>
      <c r="IM11" s="627">
        <v>0</v>
      </c>
      <c r="IN11" s="627">
        <v>0</v>
      </c>
      <c r="IO11" s="627">
        <v>4</v>
      </c>
      <c r="IP11" s="627">
        <v>4</v>
      </c>
      <c r="IQ11" s="627">
        <v>5190.7700000000004</v>
      </c>
      <c r="IR11" s="627">
        <v>691.98500000000001</v>
      </c>
      <c r="IS11" s="627">
        <v>426263</v>
      </c>
      <c r="IT11" s="627">
        <v>1232</v>
      </c>
      <c r="IU11" s="627">
        <v>0</v>
      </c>
      <c r="IV11" s="627">
        <v>0</v>
      </c>
      <c r="IW11" s="627">
        <v>8000</v>
      </c>
      <c r="IX11" s="627">
        <v>6160</v>
      </c>
      <c r="IY11" s="627">
        <v>0</v>
      </c>
      <c r="IZ11" s="627">
        <v>0</v>
      </c>
      <c r="JA11" s="627">
        <v>1427462</v>
      </c>
      <c r="JB11" s="627">
        <v>0</v>
      </c>
      <c r="JC11" s="627">
        <v>0</v>
      </c>
      <c r="JD11" s="627">
        <v>0</v>
      </c>
      <c r="JE11" s="627">
        <v>11</v>
      </c>
      <c r="JF11" s="627">
        <v>115472</v>
      </c>
      <c r="JG11" s="627">
        <v>9</v>
      </c>
      <c r="JH11" s="627">
        <v>41412</v>
      </c>
      <c r="JI11" s="627">
        <v>9500</v>
      </c>
      <c r="JJ11" s="627">
        <v>0</v>
      </c>
      <c r="JK11" s="627">
        <v>0</v>
      </c>
      <c r="JL11" s="627">
        <v>0</v>
      </c>
      <c r="JM11" s="627">
        <v>0</v>
      </c>
      <c r="JN11" s="627">
        <v>0</v>
      </c>
      <c r="JO11" s="627">
        <v>32469</v>
      </c>
      <c r="JP11" s="627">
        <v>1.145</v>
      </c>
      <c r="JQ11" s="627">
        <v>301.03800000000001</v>
      </c>
      <c r="JR11" s="627">
        <v>151.63500000000002</v>
      </c>
      <c r="JS11" s="627">
        <v>9146</v>
      </c>
      <c r="JT11" s="627">
        <v>2798257</v>
      </c>
      <c r="JU11" s="627">
        <v>1618725</v>
      </c>
      <c r="JV11" s="627">
        <v>0</v>
      </c>
      <c r="JW11" s="627">
        <v>0</v>
      </c>
      <c r="JX11" s="627">
        <v>0</v>
      </c>
      <c r="JY11" s="627">
        <v>0</v>
      </c>
      <c r="JZ11" s="627">
        <v>0</v>
      </c>
      <c r="KA11" s="627">
        <v>0</v>
      </c>
      <c r="KB11" s="627">
        <v>0</v>
      </c>
      <c r="KC11" s="627">
        <v>0</v>
      </c>
      <c r="KD11" s="627">
        <v>0</v>
      </c>
      <c r="KE11" s="627">
        <v>0</v>
      </c>
      <c r="KF11" s="627">
        <v>7262</v>
      </c>
      <c r="KG11" s="627">
        <v>0</v>
      </c>
      <c r="KH11" s="627">
        <v>0</v>
      </c>
      <c r="KI11" s="627">
        <v>69307021</v>
      </c>
      <c r="KJ11" s="627">
        <v>0</v>
      </c>
      <c r="KK11" s="627">
        <v>87</v>
      </c>
      <c r="KL11" s="627">
        <v>256</v>
      </c>
      <c r="KM11" s="627">
        <v>53592</v>
      </c>
      <c r="KN11" s="627">
        <v>157696</v>
      </c>
      <c r="KO11" s="627">
        <v>0</v>
      </c>
      <c r="KP11" s="627">
        <v>0</v>
      </c>
      <c r="KQ11" s="627">
        <v>69307021</v>
      </c>
      <c r="KR11" s="627">
        <v>0</v>
      </c>
      <c r="KS11" s="627">
        <v>0</v>
      </c>
      <c r="KT11" s="627">
        <v>0</v>
      </c>
      <c r="KU11" s="627">
        <v>0</v>
      </c>
      <c r="KV11" s="627">
        <v>0</v>
      </c>
      <c r="KW11" s="627">
        <v>0</v>
      </c>
      <c r="KX11" s="627">
        <v>0</v>
      </c>
      <c r="KY11" s="627">
        <v>0</v>
      </c>
      <c r="KZ11" s="627">
        <v>0</v>
      </c>
      <c r="LA11" s="627">
        <v>0</v>
      </c>
      <c r="LB11" s="627">
        <v>0</v>
      </c>
      <c r="LC11" s="627">
        <v>0</v>
      </c>
      <c r="LD11" s="627">
        <v>0</v>
      </c>
      <c r="LE11" s="627">
        <v>0</v>
      </c>
      <c r="LF11" s="627">
        <v>0</v>
      </c>
    </row>
    <row r="12" spans="1:334" x14ac:dyDescent="0.25">
      <c r="A12" s="627">
        <v>42602</v>
      </c>
      <c r="B12" s="627">
        <v>92801</v>
      </c>
      <c r="D12" s="627">
        <v>9</v>
      </c>
      <c r="E12" s="627">
        <v>2024</v>
      </c>
      <c r="F12" s="627">
        <v>6160</v>
      </c>
      <c r="G12" s="627">
        <v>0</v>
      </c>
      <c r="H12" s="627">
        <v>124.393</v>
      </c>
      <c r="I12" s="627">
        <v>97.793000000000006</v>
      </c>
      <c r="J12" s="627">
        <v>97.793000000000006</v>
      </c>
      <c r="K12" s="627">
        <v>124.393</v>
      </c>
      <c r="L12" s="627">
        <v>0</v>
      </c>
      <c r="M12" s="627">
        <v>6160</v>
      </c>
      <c r="N12" s="627">
        <v>0</v>
      </c>
      <c r="O12" s="627">
        <v>0</v>
      </c>
      <c r="P12" s="627">
        <v>0</v>
      </c>
      <c r="Q12" s="627">
        <v>129.43</v>
      </c>
      <c r="R12" s="627">
        <v>0</v>
      </c>
      <c r="S12" s="627">
        <v>53698</v>
      </c>
      <c r="T12" s="627">
        <v>414.88400000000001</v>
      </c>
      <c r="U12" s="627">
        <v>0</v>
      </c>
      <c r="V12" s="627">
        <v>27867</v>
      </c>
      <c r="W12" s="627">
        <v>0</v>
      </c>
      <c r="X12" s="627">
        <v>0</v>
      </c>
      <c r="Y12" s="627">
        <v>0</v>
      </c>
      <c r="Z12" s="627">
        <v>0</v>
      </c>
      <c r="AA12" s="627">
        <v>0</v>
      </c>
      <c r="AB12" s="627">
        <v>0</v>
      </c>
      <c r="AC12" s="627">
        <v>0</v>
      </c>
      <c r="AD12" s="627">
        <v>0</v>
      </c>
      <c r="AE12" s="627" t="s">
        <v>314</v>
      </c>
      <c r="AF12" s="627">
        <v>0</v>
      </c>
      <c r="AG12" s="627">
        <v>0</v>
      </c>
      <c r="AH12" s="627">
        <v>0</v>
      </c>
      <c r="AI12" s="627">
        <v>0</v>
      </c>
      <c r="AJ12" s="627">
        <v>0</v>
      </c>
      <c r="AK12" s="627">
        <v>6160</v>
      </c>
      <c r="AL12" s="627" t="s">
        <v>651</v>
      </c>
      <c r="AM12" s="627" t="s">
        <v>28</v>
      </c>
      <c r="AN12" s="627">
        <v>0</v>
      </c>
      <c r="AO12" s="627">
        <v>0</v>
      </c>
      <c r="AP12" s="627">
        <v>0</v>
      </c>
      <c r="AQ12" s="627">
        <v>0</v>
      </c>
      <c r="AR12" s="627">
        <v>0</v>
      </c>
      <c r="AS12" s="627">
        <v>0</v>
      </c>
      <c r="AT12" s="627">
        <v>0</v>
      </c>
      <c r="AU12" s="627">
        <v>0</v>
      </c>
      <c r="AV12" s="627">
        <v>0</v>
      </c>
      <c r="AW12" s="627">
        <v>-7221</v>
      </c>
      <c r="AX12" s="627">
        <v>1305326</v>
      </c>
      <c r="AY12" s="627">
        <v>1285795</v>
      </c>
      <c r="AZ12" s="627">
        <v>674637</v>
      </c>
      <c r="BA12" s="627">
        <v>53698</v>
      </c>
      <c r="BB12" s="627">
        <v>2</v>
      </c>
      <c r="BC12" s="627">
        <v>0</v>
      </c>
      <c r="BD12" s="627">
        <v>0</v>
      </c>
      <c r="BE12" s="627">
        <v>0</v>
      </c>
      <c r="BF12" s="627">
        <v>0</v>
      </c>
      <c r="BG12" s="627">
        <v>1143288</v>
      </c>
      <c r="BH12" s="627">
        <v>0</v>
      </c>
      <c r="BI12" s="627">
        <v>0</v>
      </c>
      <c r="BJ12" s="627">
        <v>0</v>
      </c>
      <c r="BK12" s="627">
        <v>12</v>
      </c>
      <c r="BL12" s="627">
        <v>0</v>
      </c>
      <c r="BM12" s="627">
        <v>0</v>
      </c>
      <c r="BN12" s="627">
        <v>0</v>
      </c>
      <c r="BO12" s="627">
        <v>0</v>
      </c>
      <c r="BP12" s="627">
        <v>0</v>
      </c>
      <c r="BQ12" s="627">
        <v>0</v>
      </c>
      <c r="BR12" s="627">
        <v>755</v>
      </c>
      <c r="BS12" s="627">
        <v>0</v>
      </c>
      <c r="BT12" s="627">
        <v>0</v>
      </c>
      <c r="BU12" s="627">
        <v>0</v>
      </c>
      <c r="BV12" s="627">
        <v>0</v>
      </c>
      <c r="BW12" s="627">
        <v>0</v>
      </c>
      <c r="BX12" s="627">
        <v>0</v>
      </c>
      <c r="BY12" s="627">
        <v>0</v>
      </c>
      <c r="BZ12" s="627">
        <v>0</v>
      </c>
      <c r="CA12" s="627">
        <v>0</v>
      </c>
      <c r="CB12" s="627">
        <v>0</v>
      </c>
      <c r="CC12" s="627">
        <v>0</v>
      </c>
      <c r="CD12" s="627">
        <v>0</v>
      </c>
      <c r="CE12" s="627">
        <v>0</v>
      </c>
      <c r="CF12" s="627">
        <v>0</v>
      </c>
      <c r="CG12" s="627">
        <v>0</v>
      </c>
      <c r="CH12" s="627">
        <v>0</v>
      </c>
      <c r="CI12" s="627">
        <v>19894</v>
      </c>
      <c r="CJ12" s="627">
        <v>0</v>
      </c>
      <c r="CK12" s="627">
        <v>4</v>
      </c>
      <c r="CL12" s="627">
        <v>0</v>
      </c>
      <c r="CM12" s="627">
        <v>0</v>
      </c>
      <c r="CN12" s="627">
        <v>0</v>
      </c>
      <c r="CO12" s="627">
        <v>0</v>
      </c>
      <c r="CP12" s="627">
        <v>1</v>
      </c>
      <c r="CQ12" s="627">
        <v>0</v>
      </c>
      <c r="CR12" s="627">
        <v>0</v>
      </c>
      <c r="CS12" s="627">
        <v>129.93</v>
      </c>
      <c r="CT12" s="627">
        <v>0</v>
      </c>
      <c r="CU12" s="627">
        <v>0</v>
      </c>
      <c r="CV12" s="627">
        <v>0</v>
      </c>
      <c r="CW12" s="627">
        <v>0</v>
      </c>
      <c r="CX12" s="627">
        <v>0</v>
      </c>
      <c r="CY12" s="627">
        <v>0</v>
      </c>
      <c r="CZ12" s="627">
        <v>0</v>
      </c>
      <c r="DA12" s="627">
        <v>0</v>
      </c>
      <c r="DB12" s="627">
        <v>0</v>
      </c>
      <c r="DC12" s="627">
        <v>602405</v>
      </c>
      <c r="DD12" s="627">
        <v>0</v>
      </c>
      <c r="DE12" s="627">
        <v>0</v>
      </c>
      <c r="DF12" s="627">
        <v>48972</v>
      </c>
      <c r="DG12" s="627">
        <v>48972</v>
      </c>
      <c r="DH12" s="627">
        <v>7.95</v>
      </c>
      <c r="DI12" s="627">
        <v>0</v>
      </c>
      <c r="DJ12" s="627">
        <v>0</v>
      </c>
      <c r="DK12" s="627">
        <v>0</v>
      </c>
      <c r="DL12" s="627">
        <v>3701</v>
      </c>
      <c r="DM12" s="627">
        <v>0</v>
      </c>
      <c r="DN12" s="627">
        <v>106499</v>
      </c>
      <c r="DO12" s="627">
        <v>363</v>
      </c>
      <c r="DP12" s="627">
        <v>0</v>
      </c>
      <c r="DQ12" s="627">
        <v>0</v>
      </c>
      <c r="DR12" s="627">
        <v>0</v>
      </c>
      <c r="DS12" s="627">
        <v>0</v>
      </c>
      <c r="DT12" s="627">
        <v>0</v>
      </c>
      <c r="DU12" s="627">
        <v>0</v>
      </c>
      <c r="DV12" s="627">
        <v>0</v>
      </c>
      <c r="DW12" s="627">
        <v>0</v>
      </c>
      <c r="DX12" s="627">
        <v>0</v>
      </c>
      <c r="DY12" s="627">
        <v>0</v>
      </c>
      <c r="DZ12" s="627">
        <v>0</v>
      </c>
      <c r="EA12" s="627">
        <v>0</v>
      </c>
      <c r="EB12" s="627">
        <v>0</v>
      </c>
      <c r="EC12" s="627">
        <v>0</v>
      </c>
      <c r="ED12" s="627">
        <v>15.085000000000001</v>
      </c>
      <c r="EE12" s="627">
        <v>106862</v>
      </c>
      <c r="EF12" s="627">
        <v>0</v>
      </c>
      <c r="EG12" s="627">
        <v>0</v>
      </c>
      <c r="EH12" s="627">
        <v>0</v>
      </c>
      <c r="EI12" s="627">
        <v>0</v>
      </c>
      <c r="EJ12" s="627">
        <v>0</v>
      </c>
      <c r="EK12" s="627">
        <v>0</v>
      </c>
      <c r="EL12" s="627">
        <v>0</v>
      </c>
      <c r="EM12" s="627">
        <v>0</v>
      </c>
      <c r="EN12" s="627">
        <v>0</v>
      </c>
      <c r="EO12" s="627">
        <v>0</v>
      </c>
      <c r="EP12" s="627">
        <v>0</v>
      </c>
      <c r="EQ12" s="627">
        <v>0</v>
      </c>
      <c r="ER12" s="627">
        <v>0</v>
      </c>
      <c r="ES12" s="627">
        <v>0</v>
      </c>
      <c r="ET12" s="627">
        <v>0</v>
      </c>
      <c r="EU12" s="627">
        <v>0</v>
      </c>
      <c r="EV12" s="627">
        <v>0</v>
      </c>
      <c r="EW12" s="627">
        <v>0</v>
      </c>
      <c r="EX12" s="627">
        <v>0</v>
      </c>
      <c r="EY12" s="627">
        <v>0</v>
      </c>
      <c r="EZ12" s="627">
        <v>0</v>
      </c>
      <c r="FA12" s="627">
        <v>1092654</v>
      </c>
      <c r="FB12" s="627">
        <v>0</v>
      </c>
      <c r="FC12" s="627">
        <v>1145989</v>
      </c>
      <c r="FD12" s="627">
        <v>0</v>
      </c>
      <c r="FE12" s="627">
        <v>0</v>
      </c>
      <c r="FF12" s="627">
        <v>164629</v>
      </c>
      <c r="FG12" s="627">
        <v>28512</v>
      </c>
      <c r="FH12" s="627">
        <v>7.0280999999999996E-2</v>
      </c>
      <c r="FI12" s="627">
        <v>3.1172999999999999E-2</v>
      </c>
      <c r="FJ12" s="627">
        <v>0</v>
      </c>
      <c r="FK12" s="627">
        <v>0</v>
      </c>
      <c r="FL12" s="627">
        <v>185.59900000000002</v>
      </c>
      <c r="FM12" s="627">
        <v>1359024</v>
      </c>
      <c r="FN12" s="627">
        <v>0</v>
      </c>
      <c r="FO12" s="627">
        <v>0</v>
      </c>
      <c r="FP12" s="627">
        <v>0</v>
      </c>
      <c r="FQ12" s="627">
        <v>0</v>
      </c>
      <c r="FR12" s="627">
        <v>0</v>
      </c>
      <c r="FS12" s="627">
        <v>0</v>
      </c>
      <c r="FT12" s="627">
        <v>0</v>
      </c>
      <c r="FU12" s="627">
        <v>0</v>
      </c>
      <c r="FV12" s="627">
        <v>0</v>
      </c>
      <c r="FW12" s="627">
        <v>0</v>
      </c>
      <c r="FX12" s="627">
        <v>0</v>
      </c>
      <c r="FY12" s="627">
        <v>0</v>
      </c>
      <c r="FZ12" s="627">
        <v>0</v>
      </c>
      <c r="GA12" s="627">
        <v>0</v>
      </c>
      <c r="GB12" s="627">
        <v>0</v>
      </c>
      <c r="GC12" s="627">
        <v>253645</v>
      </c>
      <c r="GD12" s="627">
        <v>253645</v>
      </c>
      <c r="GE12" s="627">
        <v>26.6</v>
      </c>
      <c r="GF12" s="627">
        <v>0</v>
      </c>
      <c r="GG12" s="627">
        <v>0</v>
      </c>
      <c r="GH12" s="627">
        <v>0</v>
      </c>
      <c r="GI12" s="627">
        <v>0</v>
      </c>
      <c r="GJ12" s="627">
        <v>0</v>
      </c>
      <c r="GK12" s="627">
        <v>0</v>
      </c>
      <c r="GL12" s="627">
        <v>0</v>
      </c>
      <c r="GM12" s="627">
        <v>0</v>
      </c>
      <c r="GN12" s="627">
        <v>0</v>
      </c>
      <c r="GO12" s="627">
        <v>0</v>
      </c>
      <c r="GP12" s="627">
        <v>0</v>
      </c>
      <c r="GQ12" s="627">
        <v>0</v>
      </c>
      <c r="GR12" s="627">
        <v>1285432</v>
      </c>
      <c r="GS12" s="627">
        <v>0</v>
      </c>
      <c r="GT12" s="627">
        <v>0</v>
      </c>
      <c r="GU12" s="627">
        <v>0</v>
      </c>
      <c r="GV12" s="627">
        <v>0</v>
      </c>
      <c r="GW12" s="627">
        <v>0</v>
      </c>
      <c r="GX12" s="627">
        <v>0</v>
      </c>
      <c r="GY12" s="627">
        <v>0</v>
      </c>
      <c r="GZ12" s="627">
        <v>0</v>
      </c>
      <c r="HA12" s="627">
        <v>0</v>
      </c>
      <c r="HB12" s="627">
        <v>0</v>
      </c>
      <c r="HC12" s="627">
        <v>361151439</v>
      </c>
      <c r="HD12" s="627">
        <v>3.9981999999999997E-2</v>
      </c>
      <c r="HE12" s="627">
        <v>19894</v>
      </c>
      <c r="HF12" s="627">
        <v>0</v>
      </c>
      <c r="HG12" s="627">
        <v>107768</v>
      </c>
      <c r="HH12" s="627">
        <v>7392</v>
      </c>
      <c r="HI12" s="627">
        <v>0</v>
      </c>
      <c r="HJ12" s="627">
        <v>0</v>
      </c>
      <c r="HK12" s="627">
        <v>16244</v>
      </c>
      <c r="HL12" s="627">
        <v>1850</v>
      </c>
      <c r="HM12" s="627">
        <v>1214</v>
      </c>
      <c r="HN12" s="627">
        <v>0</v>
      </c>
      <c r="HO12" s="627">
        <v>0</v>
      </c>
      <c r="HP12" s="627">
        <v>0</v>
      </c>
      <c r="HQ12" s="627">
        <v>0</v>
      </c>
      <c r="HR12" s="627">
        <v>0</v>
      </c>
      <c r="HS12" s="627">
        <v>0</v>
      </c>
      <c r="HT12" s="627">
        <v>1092291</v>
      </c>
      <c r="HU12" s="627">
        <v>28512</v>
      </c>
      <c r="HV12" s="627">
        <v>0</v>
      </c>
      <c r="HW12" s="627">
        <v>0</v>
      </c>
      <c r="HX12" s="627">
        <v>0</v>
      </c>
      <c r="HY12" s="627">
        <v>15</v>
      </c>
      <c r="HZ12" s="627">
        <v>5</v>
      </c>
      <c r="IA12" s="627">
        <v>5</v>
      </c>
      <c r="IB12" s="627">
        <v>5</v>
      </c>
      <c r="IC12" s="627">
        <v>3</v>
      </c>
      <c r="ID12" s="627">
        <v>33</v>
      </c>
      <c r="IE12" s="627">
        <v>0</v>
      </c>
      <c r="IF12" s="627">
        <v>0</v>
      </c>
      <c r="IG12" s="627">
        <v>0</v>
      </c>
      <c r="IH12" s="627">
        <v>12</v>
      </c>
      <c r="II12" s="627">
        <v>0</v>
      </c>
      <c r="IJ12" s="627">
        <v>0</v>
      </c>
      <c r="IK12" s="627">
        <v>0</v>
      </c>
      <c r="IL12" s="627">
        <v>0</v>
      </c>
      <c r="IM12" s="627">
        <v>0</v>
      </c>
      <c r="IN12" s="627">
        <v>0</v>
      </c>
      <c r="IO12" s="627">
        <v>0</v>
      </c>
      <c r="IP12" s="627">
        <v>0</v>
      </c>
      <c r="IQ12" s="627">
        <v>0</v>
      </c>
      <c r="IR12" s="627">
        <v>0</v>
      </c>
      <c r="IS12" s="627">
        <v>0</v>
      </c>
      <c r="IT12" s="627">
        <v>0</v>
      </c>
      <c r="IU12" s="627">
        <v>0</v>
      </c>
      <c r="IV12" s="627">
        <v>0</v>
      </c>
      <c r="IW12" s="627">
        <v>0</v>
      </c>
      <c r="IX12" s="627">
        <v>6160</v>
      </c>
      <c r="IY12" s="627">
        <v>0</v>
      </c>
      <c r="IZ12" s="627">
        <v>0</v>
      </c>
      <c r="JA12" s="627">
        <v>0</v>
      </c>
      <c r="JB12" s="627">
        <v>0</v>
      </c>
      <c r="JC12" s="627">
        <v>0</v>
      </c>
      <c r="JD12" s="627">
        <v>0</v>
      </c>
      <c r="JE12" s="627">
        <v>0</v>
      </c>
      <c r="JF12" s="627">
        <v>0</v>
      </c>
      <c r="JG12" s="627">
        <v>0</v>
      </c>
      <c r="JH12" s="627">
        <v>0</v>
      </c>
      <c r="JI12" s="627">
        <v>0</v>
      </c>
      <c r="JJ12" s="627">
        <v>0</v>
      </c>
      <c r="JK12" s="627">
        <v>0</v>
      </c>
      <c r="JL12" s="627">
        <v>0</v>
      </c>
      <c r="JM12" s="627">
        <v>0</v>
      </c>
      <c r="JN12" s="627">
        <v>0</v>
      </c>
      <c r="JO12" s="627">
        <v>32469</v>
      </c>
      <c r="JP12" s="627">
        <v>6.5810000000000004</v>
      </c>
      <c r="JQ12" s="627">
        <v>9.1539999999999999</v>
      </c>
      <c r="JR12" s="627">
        <v>10.865</v>
      </c>
      <c r="JS12" s="627">
        <v>52570</v>
      </c>
      <c r="JT12" s="627">
        <v>85090</v>
      </c>
      <c r="JU12" s="627">
        <v>115985</v>
      </c>
      <c r="JV12" s="627">
        <v>0</v>
      </c>
      <c r="JW12" s="627">
        <v>0</v>
      </c>
      <c r="JX12" s="627">
        <v>0</v>
      </c>
      <c r="JY12" s="627">
        <v>0</v>
      </c>
      <c r="JZ12" s="627">
        <v>0</v>
      </c>
      <c r="KA12" s="627">
        <v>0</v>
      </c>
      <c r="KB12" s="627">
        <v>0</v>
      </c>
      <c r="KC12" s="627">
        <v>0</v>
      </c>
      <c r="KD12" s="627">
        <v>0</v>
      </c>
      <c r="KE12" s="627">
        <v>0</v>
      </c>
      <c r="KF12" s="627">
        <v>7262</v>
      </c>
      <c r="KG12" s="627">
        <v>0</v>
      </c>
      <c r="KH12" s="627">
        <v>0</v>
      </c>
      <c r="KI12" s="627">
        <v>1285432</v>
      </c>
      <c r="KJ12" s="627">
        <v>0</v>
      </c>
      <c r="KK12" s="627">
        <v>6</v>
      </c>
      <c r="KL12" s="627">
        <v>6</v>
      </c>
      <c r="KM12" s="627">
        <v>3696</v>
      </c>
      <c r="KN12" s="627">
        <v>3696</v>
      </c>
      <c r="KO12" s="627">
        <v>0</v>
      </c>
      <c r="KP12" s="627">
        <v>0</v>
      </c>
      <c r="KQ12" s="627">
        <v>1285432</v>
      </c>
      <c r="KR12" s="627">
        <v>0</v>
      </c>
      <c r="KS12" s="627">
        <v>0</v>
      </c>
      <c r="KT12" s="627">
        <v>0</v>
      </c>
      <c r="KU12" s="627">
        <v>0</v>
      </c>
      <c r="KV12" s="627">
        <v>0</v>
      </c>
      <c r="KW12" s="627">
        <v>0</v>
      </c>
      <c r="KX12" s="627">
        <v>0</v>
      </c>
      <c r="KY12" s="627">
        <v>0</v>
      </c>
      <c r="KZ12" s="627">
        <v>0</v>
      </c>
      <c r="LA12" s="627">
        <v>0</v>
      </c>
      <c r="LB12" s="627">
        <v>0</v>
      </c>
      <c r="LC12" s="627">
        <v>0</v>
      </c>
      <c r="LD12" s="627">
        <v>0</v>
      </c>
      <c r="LE12" s="627">
        <v>0</v>
      </c>
      <c r="LF12" s="627">
        <v>0</v>
      </c>
    </row>
    <row r="13" spans="1:334" x14ac:dyDescent="0.25">
      <c r="A13" s="627">
        <v>42602</v>
      </c>
      <c r="B13" s="627">
        <v>105801</v>
      </c>
      <c r="D13" s="627">
        <v>9</v>
      </c>
      <c r="E13" s="627">
        <v>2024</v>
      </c>
      <c r="F13" s="627">
        <v>6160</v>
      </c>
      <c r="G13" s="627">
        <v>0</v>
      </c>
      <c r="H13" s="627">
        <v>103.068</v>
      </c>
      <c r="I13" s="627">
        <v>94.63900000000001</v>
      </c>
      <c r="J13" s="627">
        <v>94.63900000000001</v>
      </c>
      <c r="K13" s="627">
        <v>103.068</v>
      </c>
      <c r="L13" s="627">
        <v>0</v>
      </c>
      <c r="M13" s="627">
        <v>6160</v>
      </c>
      <c r="N13" s="627">
        <v>0</v>
      </c>
      <c r="O13" s="627">
        <v>0</v>
      </c>
      <c r="P13" s="627">
        <v>0</v>
      </c>
      <c r="Q13" s="627">
        <v>81.328000000000003</v>
      </c>
      <c r="R13" s="627">
        <v>0</v>
      </c>
      <c r="S13" s="627">
        <v>33742</v>
      </c>
      <c r="T13" s="627">
        <v>414.88400000000001</v>
      </c>
      <c r="U13" s="627">
        <v>0</v>
      </c>
      <c r="V13" s="627">
        <v>17510</v>
      </c>
      <c r="W13" s="627">
        <v>1.218</v>
      </c>
      <c r="X13" s="627">
        <v>750</v>
      </c>
      <c r="Y13" s="627">
        <v>750</v>
      </c>
      <c r="Z13" s="627">
        <v>0</v>
      </c>
      <c r="AA13" s="627">
        <v>0</v>
      </c>
      <c r="AB13" s="627">
        <v>0</v>
      </c>
      <c r="AC13" s="627">
        <v>0</v>
      </c>
      <c r="AD13" s="627">
        <v>0</v>
      </c>
      <c r="AE13" s="627" t="s">
        <v>314</v>
      </c>
      <c r="AF13" s="627">
        <v>0</v>
      </c>
      <c r="AG13" s="627">
        <v>0</v>
      </c>
      <c r="AH13" s="627">
        <v>0</v>
      </c>
      <c r="AI13" s="627">
        <v>0</v>
      </c>
      <c r="AJ13" s="627">
        <v>0</v>
      </c>
      <c r="AK13" s="627">
        <v>6160</v>
      </c>
      <c r="AL13" s="627" t="s">
        <v>651</v>
      </c>
      <c r="AM13" s="627" t="s">
        <v>34</v>
      </c>
      <c r="AN13" s="627">
        <v>0</v>
      </c>
      <c r="AO13" s="627">
        <v>0</v>
      </c>
      <c r="AP13" s="627">
        <v>0</v>
      </c>
      <c r="AQ13" s="627">
        <v>0</v>
      </c>
      <c r="AR13" s="627">
        <v>0</v>
      </c>
      <c r="AS13" s="627">
        <v>0</v>
      </c>
      <c r="AT13" s="627">
        <v>0</v>
      </c>
      <c r="AU13" s="627">
        <v>0</v>
      </c>
      <c r="AV13" s="627">
        <v>0</v>
      </c>
      <c r="AW13" s="627">
        <v>0</v>
      </c>
      <c r="AX13" s="627">
        <v>1167655</v>
      </c>
      <c r="AY13" s="627">
        <v>1151589</v>
      </c>
      <c r="AZ13" s="627">
        <v>728606</v>
      </c>
      <c r="BA13" s="627">
        <v>33742</v>
      </c>
      <c r="BB13" s="627">
        <v>8.1669999999999998</v>
      </c>
      <c r="BC13" s="627">
        <v>0</v>
      </c>
      <c r="BD13" s="627">
        <v>0</v>
      </c>
      <c r="BE13" s="627">
        <v>0</v>
      </c>
      <c r="BF13" s="627">
        <v>0</v>
      </c>
      <c r="BG13" s="627">
        <v>960155</v>
      </c>
      <c r="BH13" s="627">
        <v>0</v>
      </c>
      <c r="BI13" s="627">
        <v>0</v>
      </c>
      <c r="BJ13" s="627">
        <v>0</v>
      </c>
      <c r="BK13" s="627">
        <v>12</v>
      </c>
      <c r="BL13" s="627">
        <v>0</v>
      </c>
      <c r="BM13" s="627">
        <v>0</v>
      </c>
      <c r="BN13" s="627">
        <v>0</v>
      </c>
      <c r="BO13" s="627">
        <v>0</v>
      </c>
      <c r="BP13" s="627">
        <v>0</v>
      </c>
      <c r="BQ13" s="627">
        <v>0</v>
      </c>
      <c r="BR13" s="627">
        <v>755</v>
      </c>
      <c r="BS13" s="627">
        <v>0</v>
      </c>
      <c r="BT13" s="627">
        <v>0</v>
      </c>
      <c r="BU13" s="627">
        <v>0</v>
      </c>
      <c r="BV13" s="627">
        <v>0</v>
      </c>
      <c r="BW13" s="627">
        <v>0</v>
      </c>
      <c r="BX13" s="627">
        <v>0</v>
      </c>
      <c r="BY13" s="627">
        <v>0</v>
      </c>
      <c r="BZ13" s="627">
        <v>0</v>
      </c>
      <c r="CA13" s="627">
        <v>0</v>
      </c>
      <c r="CB13" s="627">
        <v>0</v>
      </c>
      <c r="CC13" s="627">
        <v>0</v>
      </c>
      <c r="CD13" s="627">
        <v>0</v>
      </c>
      <c r="CE13" s="627">
        <v>0</v>
      </c>
      <c r="CF13" s="627">
        <v>0</v>
      </c>
      <c r="CG13" s="627">
        <v>0</v>
      </c>
      <c r="CH13" s="627">
        <v>0</v>
      </c>
      <c r="CI13" s="627">
        <v>16484</v>
      </c>
      <c r="CJ13" s="627">
        <v>0</v>
      </c>
      <c r="CK13" s="627">
        <v>5</v>
      </c>
      <c r="CL13" s="627">
        <v>0</v>
      </c>
      <c r="CM13" s="627">
        <v>0</v>
      </c>
      <c r="CN13" s="627">
        <v>0</v>
      </c>
      <c r="CO13" s="627">
        <v>0</v>
      </c>
      <c r="CP13" s="627">
        <v>1</v>
      </c>
      <c r="CQ13" s="627">
        <v>0</v>
      </c>
      <c r="CR13" s="627">
        <v>5</v>
      </c>
      <c r="CS13" s="627">
        <v>81.650000000000006</v>
      </c>
      <c r="CT13" s="627">
        <v>0</v>
      </c>
      <c r="CU13" s="627">
        <v>0</v>
      </c>
      <c r="CV13" s="627">
        <v>0</v>
      </c>
      <c r="CW13" s="627">
        <v>0</v>
      </c>
      <c r="CX13" s="627">
        <v>0</v>
      </c>
      <c r="CY13" s="627">
        <v>0</v>
      </c>
      <c r="CZ13" s="627">
        <v>0</v>
      </c>
      <c r="DA13" s="627">
        <v>0</v>
      </c>
      <c r="DB13" s="627">
        <v>0</v>
      </c>
      <c r="DC13" s="627">
        <v>565290</v>
      </c>
      <c r="DD13" s="627">
        <v>0</v>
      </c>
      <c r="DE13" s="627">
        <v>0</v>
      </c>
      <c r="DF13" s="627">
        <v>62524</v>
      </c>
      <c r="DG13" s="627">
        <v>62524</v>
      </c>
      <c r="DH13" s="627">
        <v>10.15</v>
      </c>
      <c r="DI13" s="627">
        <v>0</v>
      </c>
      <c r="DJ13" s="627">
        <v>0</v>
      </c>
      <c r="DK13" s="627">
        <v>0</v>
      </c>
      <c r="DL13" s="627">
        <v>3709</v>
      </c>
      <c r="DM13" s="627">
        <v>0</v>
      </c>
      <c r="DN13" s="627">
        <v>140186</v>
      </c>
      <c r="DO13" s="627">
        <v>418</v>
      </c>
      <c r="DP13" s="627">
        <v>0</v>
      </c>
      <c r="DQ13" s="627">
        <v>0</v>
      </c>
      <c r="DR13" s="627">
        <v>0</v>
      </c>
      <c r="DS13" s="627">
        <v>0</v>
      </c>
      <c r="DT13" s="627">
        <v>0</v>
      </c>
      <c r="DU13" s="627">
        <v>0</v>
      </c>
      <c r="DV13" s="627">
        <v>0</v>
      </c>
      <c r="DW13" s="627">
        <v>0</v>
      </c>
      <c r="DX13" s="627">
        <v>0</v>
      </c>
      <c r="DY13" s="627">
        <v>0</v>
      </c>
      <c r="DZ13" s="627">
        <v>0</v>
      </c>
      <c r="EA13" s="627">
        <v>0</v>
      </c>
      <c r="EB13" s="627">
        <v>0</v>
      </c>
      <c r="EC13" s="627">
        <v>0</v>
      </c>
      <c r="ED13" s="627">
        <v>12.408000000000001</v>
      </c>
      <c r="EE13" s="627">
        <v>87898</v>
      </c>
      <c r="EF13" s="627">
        <v>0</v>
      </c>
      <c r="EG13" s="627">
        <v>0</v>
      </c>
      <c r="EH13" s="627">
        <v>0</v>
      </c>
      <c r="EI13" s="627">
        <v>35020</v>
      </c>
      <c r="EJ13" s="627">
        <v>0</v>
      </c>
      <c r="EK13" s="627">
        <v>0</v>
      </c>
      <c r="EL13" s="627">
        <v>1.895</v>
      </c>
      <c r="EM13" s="627">
        <v>0</v>
      </c>
      <c r="EN13" s="627">
        <v>0</v>
      </c>
      <c r="EO13" s="627">
        <v>0</v>
      </c>
      <c r="EP13" s="627">
        <v>0</v>
      </c>
      <c r="EQ13" s="627">
        <v>0</v>
      </c>
      <c r="ER13" s="627">
        <v>1.895</v>
      </c>
      <c r="ES13" s="627">
        <v>0</v>
      </c>
      <c r="ET13" s="627">
        <v>5.6850000000000005</v>
      </c>
      <c r="EU13" s="627">
        <v>0</v>
      </c>
      <c r="EV13" s="627">
        <v>0</v>
      </c>
      <c r="EW13" s="627">
        <v>0</v>
      </c>
      <c r="EX13" s="627">
        <v>0</v>
      </c>
      <c r="EY13" s="627">
        <v>0</v>
      </c>
      <c r="EZ13" s="627">
        <v>0</v>
      </c>
      <c r="FA13" s="627">
        <v>989386</v>
      </c>
      <c r="FB13" s="627">
        <v>0</v>
      </c>
      <c r="FC13" s="627">
        <v>1022710</v>
      </c>
      <c r="FD13" s="627">
        <v>0</v>
      </c>
      <c r="FE13" s="627">
        <v>0</v>
      </c>
      <c r="FF13" s="627">
        <v>138258</v>
      </c>
      <c r="FG13" s="627">
        <v>23945</v>
      </c>
      <c r="FH13" s="627">
        <v>7.0280999999999996E-2</v>
      </c>
      <c r="FI13" s="627">
        <v>3.1172999999999999E-2</v>
      </c>
      <c r="FJ13" s="627">
        <v>0</v>
      </c>
      <c r="FK13" s="627">
        <v>0</v>
      </c>
      <c r="FL13" s="627">
        <v>155.869</v>
      </c>
      <c r="FM13" s="627">
        <v>1201397</v>
      </c>
      <c r="FN13" s="627">
        <v>0</v>
      </c>
      <c r="FO13" s="627">
        <v>0</v>
      </c>
      <c r="FP13" s="627">
        <v>61200</v>
      </c>
      <c r="FQ13" s="627">
        <v>0</v>
      </c>
      <c r="FR13" s="627">
        <v>61200</v>
      </c>
      <c r="FS13" s="627">
        <v>61200</v>
      </c>
      <c r="FT13" s="627">
        <v>0</v>
      </c>
      <c r="FU13" s="627">
        <v>0</v>
      </c>
      <c r="FV13" s="627">
        <v>0</v>
      </c>
      <c r="FW13" s="627">
        <v>0</v>
      </c>
      <c r="FX13" s="627">
        <v>0</v>
      </c>
      <c r="FY13" s="627">
        <v>0</v>
      </c>
      <c r="FZ13" s="627">
        <v>0</v>
      </c>
      <c r="GA13" s="627">
        <v>0</v>
      </c>
      <c r="GB13" s="627">
        <v>0</v>
      </c>
      <c r="GC13" s="627">
        <v>60736</v>
      </c>
      <c r="GD13" s="627">
        <v>60736</v>
      </c>
      <c r="GE13" s="627">
        <v>6.5340000000000007</v>
      </c>
      <c r="GF13" s="627">
        <v>0</v>
      </c>
      <c r="GG13" s="627">
        <v>0</v>
      </c>
      <c r="GH13" s="627">
        <v>0</v>
      </c>
      <c r="GI13" s="627">
        <v>0</v>
      </c>
      <c r="GJ13" s="627">
        <v>0</v>
      </c>
      <c r="GK13" s="627">
        <v>0</v>
      </c>
      <c r="GL13" s="627">
        <v>0</v>
      </c>
      <c r="GM13" s="627">
        <v>0</v>
      </c>
      <c r="GN13" s="627">
        <v>0</v>
      </c>
      <c r="GO13" s="627">
        <v>0</v>
      </c>
      <c r="GP13" s="627">
        <v>0</v>
      </c>
      <c r="GQ13" s="627">
        <v>0</v>
      </c>
      <c r="GR13" s="627">
        <v>1151171</v>
      </c>
      <c r="GS13" s="627">
        <v>0</v>
      </c>
      <c r="GT13" s="627">
        <v>0</v>
      </c>
      <c r="GU13" s="627">
        <v>0</v>
      </c>
      <c r="GV13" s="627">
        <v>0</v>
      </c>
      <c r="GW13" s="627">
        <v>0</v>
      </c>
      <c r="GX13" s="627">
        <v>0</v>
      </c>
      <c r="GY13" s="627">
        <v>0</v>
      </c>
      <c r="GZ13" s="627">
        <v>0</v>
      </c>
      <c r="HA13" s="627">
        <v>0</v>
      </c>
      <c r="HB13" s="627">
        <v>0</v>
      </c>
      <c r="HC13" s="627">
        <v>361151439</v>
      </c>
      <c r="HD13" s="627">
        <v>3.9981999999999997E-2</v>
      </c>
      <c r="HE13" s="627">
        <v>16484</v>
      </c>
      <c r="HF13" s="627">
        <v>0</v>
      </c>
      <c r="HG13" s="627">
        <v>104292</v>
      </c>
      <c r="HH13" s="627">
        <v>4928</v>
      </c>
      <c r="HI13" s="627">
        <v>0</v>
      </c>
      <c r="HJ13" s="627">
        <v>0</v>
      </c>
      <c r="HK13" s="627">
        <v>16031</v>
      </c>
      <c r="HL13" s="627">
        <v>1138</v>
      </c>
      <c r="HM13" s="627">
        <v>635</v>
      </c>
      <c r="HN13" s="627">
        <v>5000</v>
      </c>
      <c r="HO13" s="627">
        <v>0</v>
      </c>
      <c r="HP13" s="627">
        <v>0</v>
      </c>
      <c r="HQ13" s="627">
        <v>0</v>
      </c>
      <c r="HR13" s="627">
        <v>0</v>
      </c>
      <c r="HS13" s="627">
        <v>0</v>
      </c>
      <c r="HT13" s="627">
        <v>988968</v>
      </c>
      <c r="HU13" s="627">
        <v>23945</v>
      </c>
      <c r="HV13" s="627">
        <v>0</v>
      </c>
      <c r="HW13" s="627">
        <v>0</v>
      </c>
      <c r="HX13" s="627">
        <v>0</v>
      </c>
      <c r="HY13" s="627">
        <v>11</v>
      </c>
      <c r="HZ13" s="627">
        <v>10</v>
      </c>
      <c r="IA13" s="627">
        <v>3</v>
      </c>
      <c r="IB13" s="627">
        <v>10</v>
      </c>
      <c r="IC13" s="627">
        <v>7</v>
      </c>
      <c r="ID13" s="627">
        <v>41</v>
      </c>
      <c r="IE13" s="627">
        <v>0</v>
      </c>
      <c r="IF13" s="627">
        <v>0</v>
      </c>
      <c r="IG13" s="627">
        <v>0</v>
      </c>
      <c r="IH13" s="627">
        <v>8</v>
      </c>
      <c r="II13" s="627">
        <v>0</v>
      </c>
      <c r="IJ13" s="627">
        <v>0</v>
      </c>
      <c r="IK13" s="627">
        <v>1.218</v>
      </c>
      <c r="IL13" s="627">
        <v>0</v>
      </c>
      <c r="IM13" s="627">
        <v>1</v>
      </c>
      <c r="IN13" s="627">
        <v>0</v>
      </c>
      <c r="IO13" s="627">
        <v>0</v>
      </c>
      <c r="IP13" s="627">
        <v>1</v>
      </c>
      <c r="IQ13" s="627">
        <v>0</v>
      </c>
      <c r="IR13" s="627">
        <v>1.218</v>
      </c>
      <c r="IS13" s="627">
        <v>750</v>
      </c>
      <c r="IT13" s="627">
        <v>0</v>
      </c>
      <c r="IU13" s="627">
        <v>5000</v>
      </c>
      <c r="IV13" s="627">
        <v>0</v>
      </c>
      <c r="IW13" s="627">
        <v>0</v>
      </c>
      <c r="IX13" s="627">
        <v>6160</v>
      </c>
      <c r="IY13" s="627">
        <v>0</v>
      </c>
      <c r="IZ13" s="627">
        <v>0</v>
      </c>
      <c r="JA13" s="627">
        <v>0</v>
      </c>
      <c r="JB13" s="627">
        <v>0</v>
      </c>
      <c r="JC13" s="627">
        <v>0</v>
      </c>
      <c r="JD13" s="627">
        <v>0</v>
      </c>
      <c r="JE13" s="627">
        <v>0</v>
      </c>
      <c r="JF13" s="627">
        <v>0</v>
      </c>
      <c r="JG13" s="627">
        <v>0</v>
      </c>
      <c r="JH13" s="627">
        <v>0</v>
      </c>
      <c r="JI13" s="627">
        <v>0</v>
      </c>
      <c r="JJ13" s="627">
        <v>0</v>
      </c>
      <c r="JK13" s="627">
        <v>0</v>
      </c>
      <c r="JL13" s="627">
        <v>0</v>
      </c>
      <c r="JM13" s="627">
        <v>0</v>
      </c>
      <c r="JN13" s="627">
        <v>0</v>
      </c>
      <c r="JO13" s="627">
        <v>32469</v>
      </c>
      <c r="JP13" s="627">
        <v>0</v>
      </c>
      <c r="JQ13" s="627">
        <v>6.5340000000000007</v>
      </c>
      <c r="JR13" s="627">
        <v>0</v>
      </c>
      <c r="JS13" s="627">
        <v>0</v>
      </c>
      <c r="JT13" s="627">
        <v>60736</v>
      </c>
      <c r="JU13" s="627">
        <v>0</v>
      </c>
      <c r="JV13" s="627">
        <v>0</v>
      </c>
      <c r="JW13" s="627">
        <v>0</v>
      </c>
      <c r="JX13" s="627">
        <v>0</v>
      </c>
      <c r="JY13" s="627">
        <v>0</v>
      </c>
      <c r="JZ13" s="627">
        <v>0</v>
      </c>
      <c r="KA13" s="627">
        <v>0</v>
      </c>
      <c r="KB13" s="627">
        <v>0</v>
      </c>
      <c r="KC13" s="627">
        <v>0</v>
      </c>
      <c r="KD13" s="627">
        <v>0</v>
      </c>
      <c r="KE13" s="627">
        <v>0</v>
      </c>
      <c r="KF13" s="627">
        <v>7262</v>
      </c>
      <c r="KG13" s="627">
        <v>0</v>
      </c>
      <c r="KH13" s="627">
        <v>0</v>
      </c>
      <c r="KI13" s="627">
        <v>1151171</v>
      </c>
      <c r="KJ13" s="627">
        <v>0</v>
      </c>
      <c r="KK13" s="627">
        <v>8</v>
      </c>
      <c r="KL13" s="627">
        <v>0</v>
      </c>
      <c r="KM13" s="627">
        <v>4928</v>
      </c>
      <c r="KN13" s="627">
        <v>0</v>
      </c>
      <c r="KO13" s="627">
        <v>0</v>
      </c>
      <c r="KP13" s="627">
        <v>0</v>
      </c>
      <c r="KQ13" s="627">
        <v>1151171</v>
      </c>
      <c r="KR13" s="627">
        <v>0</v>
      </c>
      <c r="KS13" s="627">
        <v>0</v>
      </c>
      <c r="KT13" s="627">
        <v>0</v>
      </c>
      <c r="KU13" s="627">
        <v>0</v>
      </c>
      <c r="KV13" s="627">
        <v>0</v>
      </c>
      <c r="KW13" s="627">
        <v>0</v>
      </c>
      <c r="KX13" s="627">
        <v>0</v>
      </c>
      <c r="KY13" s="627">
        <v>0</v>
      </c>
      <c r="KZ13" s="627">
        <v>0</v>
      </c>
      <c r="LA13" s="627">
        <v>0</v>
      </c>
      <c r="LB13" s="627">
        <v>0</v>
      </c>
      <c r="LC13" s="627">
        <v>0</v>
      </c>
      <c r="LD13" s="627">
        <v>0</v>
      </c>
      <c r="LE13" s="627">
        <v>0</v>
      </c>
      <c r="LF13" s="627">
        <v>0</v>
      </c>
    </row>
    <row r="14" spans="1:334" x14ac:dyDescent="0.25">
      <c r="A14" s="627">
        <v>42602</v>
      </c>
      <c r="B14" s="627">
        <v>111801</v>
      </c>
      <c r="D14" s="627">
        <v>9</v>
      </c>
      <c r="E14" s="627">
        <v>2024</v>
      </c>
      <c r="F14" s="627">
        <v>6160</v>
      </c>
      <c r="G14" s="627">
        <v>0</v>
      </c>
      <c r="H14" s="627">
        <v>31.503</v>
      </c>
      <c r="I14" s="627">
        <v>23.751000000000001</v>
      </c>
      <c r="J14" s="627">
        <v>23.751000000000001</v>
      </c>
      <c r="K14" s="627">
        <v>31.503</v>
      </c>
      <c r="L14" s="627">
        <v>0</v>
      </c>
      <c r="M14" s="627">
        <v>6160</v>
      </c>
      <c r="N14" s="627">
        <v>0</v>
      </c>
      <c r="O14" s="627">
        <v>0</v>
      </c>
      <c r="P14" s="627">
        <v>0</v>
      </c>
      <c r="Q14" s="627">
        <v>44.343000000000004</v>
      </c>
      <c r="R14" s="627">
        <v>0</v>
      </c>
      <c r="S14" s="627">
        <v>18397</v>
      </c>
      <c r="T14" s="627">
        <v>414.88400000000001</v>
      </c>
      <c r="U14" s="627">
        <v>0</v>
      </c>
      <c r="V14" s="627">
        <v>9548</v>
      </c>
      <c r="W14" s="627">
        <v>0</v>
      </c>
      <c r="X14" s="627">
        <v>0</v>
      </c>
      <c r="Y14" s="627">
        <v>0</v>
      </c>
      <c r="Z14" s="627">
        <v>0</v>
      </c>
      <c r="AA14" s="627">
        <v>0</v>
      </c>
      <c r="AB14" s="627">
        <v>0</v>
      </c>
      <c r="AC14" s="627">
        <v>0</v>
      </c>
      <c r="AD14" s="627">
        <v>0</v>
      </c>
      <c r="AE14" s="627" t="s">
        <v>314</v>
      </c>
      <c r="AF14" s="627">
        <v>0</v>
      </c>
      <c r="AG14" s="627">
        <v>0</v>
      </c>
      <c r="AH14" s="627">
        <v>0</v>
      </c>
      <c r="AI14" s="627">
        <v>0</v>
      </c>
      <c r="AJ14" s="627">
        <v>0</v>
      </c>
      <c r="AK14" s="627">
        <v>6160</v>
      </c>
      <c r="AL14" s="627" t="s">
        <v>651</v>
      </c>
      <c r="AM14" s="627" t="s">
        <v>461</v>
      </c>
      <c r="AN14" s="627">
        <v>0</v>
      </c>
      <c r="AO14" s="627">
        <v>0</v>
      </c>
      <c r="AP14" s="627">
        <v>0</v>
      </c>
      <c r="AQ14" s="627">
        <v>0</v>
      </c>
      <c r="AR14" s="627">
        <v>0</v>
      </c>
      <c r="AS14" s="627">
        <v>0</v>
      </c>
      <c r="AT14" s="627">
        <v>0</v>
      </c>
      <c r="AU14" s="627">
        <v>0</v>
      </c>
      <c r="AV14" s="627">
        <v>0</v>
      </c>
      <c r="AW14" s="627">
        <v>0</v>
      </c>
      <c r="AX14" s="627">
        <v>482903</v>
      </c>
      <c r="AY14" s="627">
        <v>478513</v>
      </c>
      <c r="AZ14" s="627">
        <v>308492</v>
      </c>
      <c r="BA14" s="627">
        <v>18397</v>
      </c>
      <c r="BB14" s="627">
        <v>0</v>
      </c>
      <c r="BC14" s="627">
        <v>0</v>
      </c>
      <c r="BD14" s="627">
        <v>0</v>
      </c>
      <c r="BE14" s="627">
        <v>0</v>
      </c>
      <c r="BF14" s="627">
        <v>0</v>
      </c>
      <c r="BG14" s="627">
        <v>422540</v>
      </c>
      <c r="BH14" s="627">
        <v>0</v>
      </c>
      <c r="BI14" s="627">
        <v>0</v>
      </c>
      <c r="BJ14" s="627">
        <v>0</v>
      </c>
      <c r="BK14" s="627">
        <v>12</v>
      </c>
      <c r="BL14" s="627">
        <v>0</v>
      </c>
      <c r="BM14" s="627">
        <v>0</v>
      </c>
      <c r="BN14" s="627">
        <v>0</v>
      </c>
      <c r="BO14" s="627">
        <v>0</v>
      </c>
      <c r="BP14" s="627">
        <v>0</v>
      </c>
      <c r="BQ14" s="627">
        <v>0</v>
      </c>
      <c r="BR14" s="627">
        <v>766</v>
      </c>
      <c r="BS14" s="627">
        <v>0</v>
      </c>
      <c r="BT14" s="627">
        <v>0</v>
      </c>
      <c r="BU14" s="627">
        <v>0</v>
      </c>
      <c r="BV14" s="627">
        <v>0</v>
      </c>
      <c r="BW14" s="627">
        <v>0</v>
      </c>
      <c r="BX14" s="627">
        <v>0</v>
      </c>
      <c r="BY14" s="627">
        <v>0</v>
      </c>
      <c r="BZ14" s="627">
        <v>0</v>
      </c>
      <c r="CA14" s="627">
        <v>0</v>
      </c>
      <c r="CB14" s="627">
        <v>0</v>
      </c>
      <c r="CC14" s="627">
        <v>0</v>
      </c>
      <c r="CD14" s="627">
        <v>0</v>
      </c>
      <c r="CE14" s="627">
        <v>0</v>
      </c>
      <c r="CF14" s="627">
        <v>0</v>
      </c>
      <c r="CG14" s="627">
        <v>0</v>
      </c>
      <c r="CH14" s="627">
        <v>0</v>
      </c>
      <c r="CI14" s="627">
        <v>5038</v>
      </c>
      <c r="CJ14" s="627">
        <v>0</v>
      </c>
      <c r="CK14" s="627">
        <v>4</v>
      </c>
      <c r="CL14" s="627">
        <v>0</v>
      </c>
      <c r="CM14" s="627">
        <v>0</v>
      </c>
      <c r="CN14" s="627">
        <v>0</v>
      </c>
      <c r="CO14" s="627">
        <v>0</v>
      </c>
      <c r="CP14" s="627">
        <v>1</v>
      </c>
      <c r="CQ14" s="627">
        <v>0</v>
      </c>
      <c r="CR14" s="627">
        <v>0</v>
      </c>
      <c r="CS14" s="627">
        <v>49.14</v>
      </c>
      <c r="CT14" s="627">
        <v>0</v>
      </c>
      <c r="CU14" s="627">
        <v>0</v>
      </c>
      <c r="CV14" s="627">
        <v>0</v>
      </c>
      <c r="CW14" s="627">
        <v>0</v>
      </c>
      <c r="CX14" s="627">
        <v>0</v>
      </c>
      <c r="CY14" s="627">
        <v>0</v>
      </c>
      <c r="CZ14" s="627">
        <v>0</v>
      </c>
      <c r="DA14" s="627">
        <v>0</v>
      </c>
      <c r="DB14" s="627">
        <v>0</v>
      </c>
      <c r="DC14" s="627">
        <v>53396</v>
      </c>
      <c r="DD14" s="627">
        <v>0</v>
      </c>
      <c r="DE14" s="627">
        <v>0</v>
      </c>
      <c r="DF14" s="627">
        <v>43736</v>
      </c>
      <c r="DG14" s="627">
        <v>43736</v>
      </c>
      <c r="DH14" s="627">
        <v>7.1000000000000005</v>
      </c>
      <c r="DI14" s="627">
        <v>0</v>
      </c>
      <c r="DJ14" s="627">
        <v>0</v>
      </c>
      <c r="DK14" s="627">
        <v>0</v>
      </c>
      <c r="DL14" s="627">
        <v>3884</v>
      </c>
      <c r="DM14" s="627">
        <v>0</v>
      </c>
      <c r="DN14" s="627">
        <v>283270</v>
      </c>
      <c r="DO14" s="627">
        <v>649</v>
      </c>
      <c r="DP14" s="627">
        <v>0</v>
      </c>
      <c r="DQ14" s="627">
        <v>0</v>
      </c>
      <c r="DR14" s="627">
        <v>0</v>
      </c>
      <c r="DS14" s="627">
        <v>0</v>
      </c>
      <c r="DT14" s="627">
        <v>0</v>
      </c>
      <c r="DU14" s="627">
        <v>0</v>
      </c>
      <c r="DV14" s="627">
        <v>0</v>
      </c>
      <c r="DW14" s="627">
        <v>0</v>
      </c>
      <c r="DX14" s="627">
        <v>0</v>
      </c>
      <c r="DY14" s="627">
        <v>0</v>
      </c>
      <c r="DZ14" s="627">
        <v>0</v>
      </c>
      <c r="EA14" s="627">
        <v>0</v>
      </c>
      <c r="EB14" s="627">
        <v>0</v>
      </c>
      <c r="EC14" s="627">
        <v>0</v>
      </c>
      <c r="ED14" s="627">
        <v>0</v>
      </c>
      <c r="EE14" s="627">
        <v>0</v>
      </c>
      <c r="EF14" s="627">
        <v>0</v>
      </c>
      <c r="EG14" s="627">
        <v>0</v>
      </c>
      <c r="EH14" s="627">
        <v>0</v>
      </c>
      <c r="EI14" s="627">
        <v>0</v>
      </c>
      <c r="EJ14" s="627">
        <v>191009</v>
      </c>
      <c r="EK14" s="627">
        <v>7.7520000000000007</v>
      </c>
      <c r="EL14" s="627">
        <v>0</v>
      </c>
      <c r="EM14" s="627">
        <v>0</v>
      </c>
      <c r="EN14" s="627">
        <v>0</v>
      </c>
      <c r="EO14" s="627">
        <v>0</v>
      </c>
      <c r="EP14" s="627">
        <v>0</v>
      </c>
      <c r="EQ14" s="627">
        <v>0</v>
      </c>
      <c r="ER14" s="627">
        <v>7.7520000000000007</v>
      </c>
      <c r="ES14" s="627">
        <v>0</v>
      </c>
      <c r="ET14" s="627">
        <v>0</v>
      </c>
      <c r="EU14" s="627">
        <v>0</v>
      </c>
      <c r="EV14" s="627">
        <v>0</v>
      </c>
      <c r="EW14" s="627">
        <v>0</v>
      </c>
      <c r="EX14" s="627">
        <v>0</v>
      </c>
      <c r="EY14" s="627">
        <v>0</v>
      </c>
      <c r="EZ14" s="627">
        <v>0</v>
      </c>
      <c r="FA14" s="627">
        <v>407132</v>
      </c>
      <c r="FB14" s="627">
        <v>0</v>
      </c>
      <c r="FC14" s="627">
        <v>424881</v>
      </c>
      <c r="FD14" s="627">
        <v>0</v>
      </c>
      <c r="FE14" s="627">
        <v>0</v>
      </c>
      <c r="FF14" s="627">
        <v>60844</v>
      </c>
      <c r="FG14" s="627">
        <v>10537</v>
      </c>
      <c r="FH14" s="627">
        <v>7.0280999999999996E-2</v>
      </c>
      <c r="FI14" s="627">
        <v>3.1172999999999999E-2</v>
      </c>
      <c r="FJ14" s="627">
        <v>0</v>
      </c>
      <c r="FK14" s="627">
        <v>0</v>
      </c>
      <c r="FL14" s="627">
        <v>68.594000000000008</v>
      </c>
      <c r="FM14" s="627">
        <v>501300</v>
      </c>
      <c r="FN14" s="627">
        <v>0</v>
      </c>
      <c r="FO14" s="627">
        <v>0</v>
      </c>
      <c r="FP14" s="627">
        <v>0</v>
      </c>
      <c r="FQ14" s="627">
        <v>0</v>
      </c>
      <c r="FR14" s="627">
        <v>0</v>
      </c>
      <c r="FS14" s="627">
        <v>0</v>
      </c>
      <c r="FT14" s="627">
        <v>0</v>
      </c>
      <c r="FU14" s="627">
        <v>0</v>
      </c>
      <c r="FV14" s="627">
        <v>0</v>
      </c>
      <c r="FW14" s="627">
        <v>0</v>
      </c>
      <c r="FX14" s="627">
        <v>0</v>
      </c>
      <c r="FY14" s="627">
        <v>0</v>
      </c>
      <c r="FZ14" s="627">
        <v>0</v>
      </c>
      <c r="GA14" s="627">
        <v>0</v>
      </c>
      <c r="GB14" s="627">
        <v>0</v>
      </c>
      <c r="GC14" s="627">
        <v>0</v>
      </c>
      <c r="GD14" s="627">
        <v>0</v>
      </c>
      <c r="GE14" s="627">
        <v>0</v>
      </c>
      <c r="GF14" s="627">
        <v>0</v>
      </c>
      <c r="GG14" s="627">
        <v>0</v>
      </c>
      <c r="GH14" s="627">
        <v>0</v>
      </c>
      <c r="GI14" s="627">
        <v>0</v>
      </c>
      <c r="GJ14" s="627">
        <v>0</v>
      </c>
      <c r="GK14" s="627">
        <v>0</v>
      </c>
      <c r="GL14" s="627">
        <v>0</v>
      </c>
      <c r="GM14" s="627">
        <v>0</v>
      </c>
      <c r="GN14" s="627">
        <v>0</v>
      </c>
      <c r="GO14" s="627">
        <v>0</v>
      </c>
      <c r="GP14" s="627">
        <v>0</v>
      </c>
      <c r="GQ14" s="627">
        <v>0</v>
      </c>
      <c r="GR14" s="627">
        <v>477865</v>
      </c>
      <c r="GS14" s="627">
        <v>0</v>
      </c>
      <c r="GT14" s="627">
        <v>0</v>
      </c>
      <c r="GU14" s="627">
        <v>0</v>
      </c>
      <c r="GV14" s="627">
        <v>0</v>
      </c>
      <c r="GW14" s="627">
        <v>0</v>
      </c>
      <c r="GX14" s="627">
        <v>0</v>
      </c>
      <c r="GY14" s="627">
        <v>0</v>
      </c>
      <c r="GZ14" s="627">
        <v>0</v>
      </c>
      <c r="HA14" s="627">
        <v>0</v>
      </c>
      <c r="HB14" s="627">
        <v>0</v>
      </c>
      <c r="HC14" s="627">
        <v>361151439</v>
      </c>
      <c r="HD14" s="627">
        <v>3.9981999999999997E-2</v>
      </c>
      <c r="HE14" s="627">
        <v>5038</v>
      </c>
      <c r="HF14" s="627">
        <v>0</v>
      </c>
      <c r="HG14" s="627">
        <v>26174</v>
      </c>
      <c r="HH14" s="627">
        <v>0</v>
      </c>
      <c r="HI14" s="627">
        <v>0</v>
      </c>
      <c r="HJ14" s="627">
        <v>0</v>
      </c>
      <c r="HK14" s="627">
        <v>15315</v>
      </c>
      <c r="HL14" s="627">
        <v>463</v>
      </c>
      <c r="HM14" s="627">
        <v>221</v>
      </c>
      <c r="HN14" s="627">
        <v>0</v>
      </c>
      <c r="HO14" s="627">
        <v>0</v>
      </c>
      <c r="HP14" s="627">
        <v>0</v>
      </c>
      <c r="HQ14" s="627">
        <v>0</v>
      </c>
      <c r="HR14" s="627">
        <v>0</v>
      </c>
      <c r="HS14" s="627">
        <v>0</v>
      </c>
      <c r="HT14" s="627">
        <v>406484</v>
      </c>
      <c r="HU14" s="627">
        <v>10537</v>
      </c>
      <c r="HV14" s="627">
        <v>0</v>
      </c>
      <c r="HW14" s="627">
        <v>0</v>
      </c>
      <c r="HX14" s="627">
        <v>0</v>
      </c>
      <c r="HY14" s="627">
        <v>9</v>
      </c>
      <c r="HZ14" s="627">
        <v>6</v>
      </c>
      <c r="IA14" s="627">
        <v>5</v>
      </c>
      <c r="IB14" s="627">
        <v>6</v>
      </c>
      <c r="IC14" s="627">
        <v>3</v>
      </c>
      <c r="ID14" s="627">
        <v>29</v>
      </c>
      <c r="IE14" s="627">
        <v>0</v>
      </c>
      <c r="IF14" s="627">
        <v>0</v>
      </c>
      <c r="IG14" s="627">
        <v>0</v>
      </c>
      <c r="IH14" s="627">
        <v>0</v>
      </c>
      <c r="II14" s="627">
        <v>0</v>
      </c>
      <c r="IJ14" s="627">
        <v>0</v>
      </c>
      <c r="IK14" s="627">
        <v>0</v>
      </c>
      <c r="IL14" s="627">
        <v>8.3830000000000009</v>
      </c>
      <c r="IM14" s="627">
        <v>0</v>
      </c>
      <c r="IN14" s="627">
        <v>0</v>
      </c>
      <c r="IO14" s="627">
        <v>0</v>
      </c>
      <c r="IP14" s="627">
        <v>0</v>
      </c>
      <c r="IQ14" s="627">
        <v>8.3830000000000009</v>
      </c>
      <c r="IR14" s="627">
        <v>0</v>
      </c>
      <c r="IS14" s="627">
        <v>0</v>
      </c>
      <c r="IT14" s="627">
        <v>2305</v>
      </c>
      <c r="IU14" s="627">
        <v>0</v>
      </c>
      <c r="IV14" s="627">
        <v>0</v>
      </c>
      <c r="IW14" s="627">
        <v>0</v>
      </c>
      <c r="IX14" s="627">
        <v>6160</v>
      </c>
      <c r="IY14" s="627">
        <v>0</v>
      </c>
      <c r="IZ14" s="627">
        <v>0</v>
      </c>
      <c r="JA14" s="627">
        <v>2305</v>
      </c>
      <c r="JB14" s="627">
        <v>0</v>
      </c>
      <c r="JC14" s="627">
        <v>0</v>
      </c>
      <c r="JD14" s="627">
        <v>0</v>
      </c>
      <c r="JE14" s="627">
        <v>0</v>
      </c>
      <c r="JF14" s="627">
        <v>0</v>
      </c>
      <c r="JG14" s="627">
        <v>0</v>
      </c>
      <c r="JH14" s="627">
        <v>0</v>
      </c>
      <c r="JI14" s="627">
        <v>0</v>
      </c>
      <c r="JJ14" s="627">
        <v>0</v>
      </c>
      <c r="JK14" s="627">
        <v>0</v>
      </c>
      <c r="JL14" s="627">
        <v>0</v>
      </c>
      <c r="JM14" s="627">
        <v>0</v>
      </c>
      <c r="JN14" s="627">
        <v>0</v>
      </c>
      <c r="JO14" s="627">
        <v>32469</v>
      </c>
      <c r="JP14" s="627">
        <v>0</v>
      </c>
      <c r="JQ14" s="627">
        <v>0</v>
      </c>
      <c r="JR14" s="627">
        <v>0</v>
      </c>
      <c r="JS14" s="627">
        <v>0</v>
      </c>
      <c r="JT14" s="627">
        <v>0</v>
      </c>
      <c r="JU14" s="627">
        <v>0</v>
      </c>
      <c r="JV14" s="627">
        <v>0</v>
      </c>
      <c r="JW14" s="627">
        <v>0</v>
      </c>
      <c r="JX14" s="627">
        <v>0</v>
      </c>
      <c r="JY14" s="627">
        <v>0</v>
      </c>
      <c r="JZ14" s="627">
        <v>0</v>
      </c>
      <c r="KA14" s="627">
        <v>0</v>
      </c>
      <c r="KB14" s="627">
        <v>0</v>
      </c>
      <c r="KC14" s="627">
        <v>0</v>
      </c>
      <c r="KD14" s="627">
        <v>0</v>
      </c>
      <c r="KE14" s="627">
        <v>0</v>
      </c>
      <c r="KF14" s="627">
        <v>7262</v>
      </c>
      <c r="KG14" s="627">
        <v>0</v>
      </c>
      <c r="KH14" s="627">
        <v>0</v>
      </c>
      <c r="KI14" s="627">
        <v>477865</v>
      </c>
      <c r="KJ14" s="627">
        <v>0</v>
      </c>
      <c r="KK14" s="627">
        <v>0</v>
      </c>
      <c r="KL14" s="627">
        <v>0</v>
      </c>
      <c r="KM14" s="627">
        <v>0</v>
      </c>
      <c r="KN14" s="627">
        <v>0</v>
      </c>
      <c r="KO14" s="627">
        <v>0</v>
      </c>
      <c r="KP14" s="627">
        <v>0</v>
      </c>
      <c r="KQ14" s="627">
        <v>477865</v>
      </c>
      <c r="KR14" s="627">
        <v>0</v>
      </c>
      <c r="KS14" s="627">
        <v>0</v>
      </c>
      <c r="KT14" s="627">
        <v>0</v>
      </c>
      <c r="KU14" s="627">
        <v>0</v>
      </c>
      <c r="KV14" s="627">
        <v>0</v>
      </c>
      <c r="KW14" s="627">
        <v>0</v>
      </c>
      <c r="KX14" s="627">
        <v>0</v>
      </c>
      <c r="KY14" s="627">
        <v>0</v>
      </c>
      <c r="KZ14" s="627">
        <v>0</v>
      </c>
      <c r="LA14" s="627">
        <v>0</v>
      </c>
      <c r="LB14" s="627">
        <v>0</v>
      </c>
      <c r="LC14" s="627">
        <v>0</v>
      </c>
      <c r="LD14" s="627">
        <v>0</v>
      </c>
      <c r="LE14" s="627">
        <v>0</v>
      </c>
      <c r="LF14" s="627">
        <v>0</v>
      </c>
    </row>
    <row r="15" spans="1:334" x14ac:dyDescent="0.25">
      <c r="A15" s="627">
        <v>42602</v>
      </c>
      <c r="B15" s="627">
        <v>130801</v>
      </c>
      <c r="D15" s="627">
        <v>9</v>
      </c>
      <c r="E15" s="627">
        <v>2024</v>
      </c>
      <c r="F15" s="627">
        <v>6160</v>
      </c>
      <c r="G15" s="627">
        <v>0</v>
      </c>
      <c r="H15" s="627">
        <v>46.795000000000002</v>
      </c>
      <c r="I15" s="627">
        <v>25.695</v>
      </c>
      <c r="J15" s="627">
        <v>25.695</v>
      </c>
      <c r="K15" s="627">
        <v>46.795000000000002</v>
      </c>
      <c r="L15" s="627">
        <v>0</v>
      </c>
      <c r="M15" s="627">
        <v>6160</v>
      </c>
      <c r="N15" s="627">
        <v>0</v>
      </c>
      <c r="O15" s="627">
        <v>0</v>
      </c>
      <c r="P15" s="627">
        <v>0</v>
      </c>
      <c r="Q15" s="627">
        <v>62.767000000000003</v>
      </c>
      <c r="R15" s="627">
        <v>0</v>
      </c>
      <c r="S15" s="627">
        <v>26041</v>
      </c>
      <c r="T15" s="627">
        <v>414.88400000000001</v>
      </c>
      <c r="U15" s="627">
        <v>0</v>
      </c>
      <c r="V15" s="627">
        <v>13515</v>
      </c>
      <c r="W15" s="627">
        <v>0</v>
      </c>
      <c r="X15" s="627">
        <v>0</v>
      </c>
      <c r="Y15" s="627">
        <v>0</v>
      </c>
      <c r="Z15" s="627">
        <v>0</v>
      </c>
      <c r="AA15" s="627">
        <v>0</v>
      </c>
      <c r="AB15" s="627">
        <v>0</v>
      </c>
      <c r="AC15" s="627">
        <v>0</v>
      </c>
      <c r="AD15" s="627">
        <v>0</v>
      </c>
      <c r="AE15" s="627" t="s">
        <v>314</v>
      </c>
      <c r="AF15" s="627">
        <v>0</v>
      </c>
      <c r="AG15" s="627">
        <v>0</v>
      </c>
      <c r="AH15" s="627">
        <v>0</v>
      </c>
      <c r="AI15" s="627">
        <v>0</v>
      </c>
      <c r="AJ15" s="627">
        <v>0</v>
      </c>
      <c r="AK15" s="627">
        <v>6160</v>
      </c>
      <c r="AL15" s="627" t="s">
        <v>651</v>
      </c>
      <c r="AM15" s="627" t="s">
        <v>441</v>
      </c>
      <c r="AN15" s="627">
        <v>0</v>
      </c>
      <c r="AO15" s="627">
        <v>0</v>
      </c>
      <c r="AP15" s="627">
        <v>0</v>
      </c>
      <c r="AQ15" s="627">
        <v>0</v>
      </c>
      <c r="AR15" s="627">
        <v>0</v>
      </c>
      <c r="AS15" s="627">
        <v>0</v>
      </c>
      <c r="AT15" s="627">
        <v>0</v>
      </c>
      <c r="AU15" s="627">
        <v>0</v>
      </c>
      <c r="AV15" s="627">
        <v>0</v>
      </c>
      <c r="AW15" s="627">
        <v>-39362</v>
      </c>
      <c r="AX15" s="627">
        <v>1020401</v>
      </c>
      <c r="AY15" s="627">
        <v>1014687</v>
      </c>
      <c r="AZ15" s="627">
        <v>503892</v>
      </c>
      <c r="BA15" s="627">
        <v>26041</v>
      </c>
      <c r="BB15" s="627">
        <v>0</v>
      </c>
      <c r="BC15" s="627">
        <v>0</v>
      </c>
      <c r="BD15" s="627">
        <v>0</v>
      </c>
      <c r="BE15" s="627">
        <v>0</v>
      </c>
      <c r="BF15" s="627">
        <v>0</v>
      </c>
      <c r="BG15" s="627">
        <v>885047</v>
      </c>
      <c r="BH15" s="627">
        <v>0</v>
      </c>
      <c r="BI15" s="627">
        <v>0</v>
      </c>
      <c r="BJ15" s="627">
        <v>0</v>
      </c>
      <c r="BK15" s="627">
        <v>12</v>
      </c>
      <c r="BL15" s="627">
        <v>0</v>
      </c>
      <c r="BM15" s="627">
        <v>0</v>
      </c>
      <c r="BN15" s="627">
        <v>0</v>
      </c>
      <c r="BO15" s="627">
        <v>0</v>
      </c>
      <c r="BP15" s="627">
        <v>0</v>
      </c>
      <c r="BQ15" s="627">
        <v>0</v>
      </c>
      <c r="BR15" s="627">
        <v>766</v>
      </c>
      <c r="BS15" s="627">
        <v>0</v>
      </c>
      <c r="BT15" s="627">
        <v>0</v>
      </c>
      <c r="BU15" s="627">
        <v>0</v>
      </c>
      <c r="BV15" s="627">
        <v>0</v>
      </c>
      <c r="BW15" s="627">
        <v>0</v>
      </c>
      <c r="BX15" s="627">
        <v>0</v>
      </c>
      <c r="BY15" s="627">
        <v>0</v>
      </c>
      <c r="BZ15" s="627">
        <v>0</v>
      </c>
      <c r="CA15" s="627">
        <v>0</v>
      </c>
      <c r="CB15" s="627">
        <v>0</v>
      </c>
      <c r="CC15" s="627">
        <v>0</v>
      </c>
      <c r="CD15" s="627">
        <v>0</v>
      </c>
      <c r="CE15" s="627">
        <v>0</v>
      </c>
      <c r="CF15" s="627">
        <v>0</v>
      </c>
      <c r="CG15" s="627">
        <v>0</v>
      </c>
      <c r="CH15" s="627">
        <v>0</v>
      </c>
      <c r="CI15" s="627">
        <v>7484</v>
      </c>
      <c r="CJ15" s="627">
        <v>0</v>
      </c>
      <c r="CK15" s="627">
        <v>4</v>
      </c>
      <c r="CL15" s="627">
        <v>0</v>
      </c>
      <c r="CM15" s="627">
        <v>0</v>
      </c>
      <c r="CN15" s="627">
        <v>0</v>
      </c>
      <c r="CO15" s="627">
        <v>0</v>
      </c>
      <c r="CP15" s="627">
        <v>1</v>
      </c>
      <c r="CQ15" s="627">
        <v>0</v>
      </c>
      <c r="CR15" s="627">
        <v>0</v>
      </c>
      <c r="CS15" s="627">
        <v>58.79</v>
      </c>
      <c r="CT15" s="627">
        <v>0</v>
      </c>
      <c r="CU15" s="627">
        <v>0</v>
      </c>
      <c r="CV15" s="627">
        <v>0</v>
      </c>
      <c r="CW15" s="627">
        <v>0</v>
      </c>
      <c r="CX15" s="627">
        <v>0</v>
      </c>
      <c r="CY15" s="627">
        <v>0</v>
      </c>
      <c r="CZ15" s="627">
        <v>0</v>
      </c>
      <c r="DA15" s="627">
        <v>0</v>
      </c>
      <c r="DB15" s="627">
        <v>0</v>
      </c>
      <c r="DC15" s="627">
        <v>0</v>
      </c>
      <c r="DD15" s="627">
        <v>0</v>
      </c>
      <c r="DE15" s="627">
        <v>0</v>
      </c>
      <c r="DF15" s="627">
        <v>66913</v>
      </c>
      <c r="DG15" s="627">
        <v>69377</v>
      </c>
      <c r="DH15" s="627">
        <v>10.863000000000001</v>
      </c>
      <c r="DI15" s="627">
        <v>0</v>
      </c>
      <c r="DJ15" s="627">
        <v>0</v>
      </c>
      <c r="DK15" s="627">
        <v>0</v>
      </c>
      <c r="DL15" s="627">
        <v>3879</v>
      </c>
      <c r="DM15" s="627">
        <v>0</v>
      </c>
      <c r="DN15" s="627">
        <v>746673</v>
      </c>
      <c r="DO15" s="627">
        <v>1770</v>
      </c>
      <c r="DP15" s="627">
        <v>0</v>
      </c>
      <c r="DQ15" s="627">
        <v>0</v>
      </c>
      <c r="DR15" s="627">
        <v>0</v>
      </c>
      <c r="DS15" s="627">
        <v>0</v>
      </c>
      <c r="DT15" s="627">
        <v>0</v>
      </c>
      <c r="DU15" s="627">
        <v>0</v>
      </c>
      <c r="DV15" s="627">
        <v>0</v>
      </c>
      <c r="DW15" s="627">
        <v>0</v>
      </c>
      <c r="DX15" s="627">
        <v>0</v>
      </c>
      <c r="DY15" s="627">
        <v>0</v>
      </c>
      <c r="DZ15" s="627">
        <v>0</v>
      </c>
      <c r="EA15" s="627">
        <v>0</v>
      </c>
      <c r="EB15" s="627">
        <v>0</v>
      </c>
      <c r="EC15" s="627">
        <v>0</v>
      </c>
      <c r="ED15" s="627">
        <v>2.355</v>
      </c>
      <c r="EE15" s="627">
        <v>16683</v>
      </c>
      <c r="EF15" s="627">
        <v>0</v>
      </c>
      <c r="EG15" s="627">
        <v>0</v>
      </c>
      <c r="EH15" s="627">
        <v>0</v>
      </c>
      <c r="EI15" s="627">
        <v>20125</v>
      </c>
      <c r="EJ15" s="627">
        <v>484373</v>
      </c>
      <c r="EK15" s="627">
        <v>19.658000000000001</v>
      </c>
      <c r="EL15" s="627">
        <v>0.52900000000000003</v>
      </c>
      <c r="EM15" s="627">
        <v>0</v>
      </c>
      <c r="EN15" s="627">
        <v>0.115</v>
      </c>
      <c r="EO15" s="627">
        <v>0.26700000000000002</v>
      </c>
      <c r="EP15" s="627">
        <v>0</v>
      </c>
      <c r="EQ15" s="627">
        <v>0</v>
      </c>
      <c r="ER15" s="627">
        <v>20.569000000000003</v>
      </c>
      <c r="ES15" s="627">
        <v>0</v>
      </c>
      <c r="ET15" s="627">
        <v>3.2670000000000003</v>
      </c>
      <c r="EU15" s="627">
        <v>0</v>
      </c>
      <c r="EV15" s="627">
        <v>0</v>
      </c>
      <c r="EW15" s="627">
        <v>0</v>
      </c>
      <c r="EX15" s="627">
        <v>0</v>
      </c>
      <c r="EY15" s="627">
        <v>0</v>
      </c>
      <c r="EZ15" s="627">
        <v>0</v>
      </c>
      <c r="FA15" s="627">
        <v>865172</v>
      </c>
      <c r="FB15" s="627">
        <v>0</v>
      </c>
      <c r="FC15" s="627">
        <v>889443</v>
      </c>
      <c r="FD15" s="627">
        <v>0</v>
      </c>
      <c r="FE15" s="627">
        <v>0</v>
      </c>
      <c r="FF15" s="627">
        <v>127443</v>
      </c>
      <c r="FG15" s="627">
        <v>22072</v>
      </c>
      <c r="FH15" s="627">
        <v>7.0280999999999996E-2</v>
      </c>
      <c r="FI15" s="627">
        <v>3.1172999999999999E-2</v>
      </c>
      <c r="FJ15" s="627">
        <v>0</v>
      </c>
      <c r="FK15" s="627">
        <v>0</v>
      </c>
      <c r="FL15" s="627">
        <v>143.67600000000002</v>
      </c>
      <c r="FM15" s="627">
        <v>1046442</v>
      </c>
      <c r="FN15" s="627">
        <v>0</v>
      </c>
      <c r="FO15" s="627">
        <v>0</v>
      </c>
      <c r="FP15" s="627">
        <v>0</v>
      </c>
      <c r="FQ15" s="627">
        <v>0</v>
      </c>
      <c r="FR15" s="627">
        <v>0</v>
      </c>
      <c r="FS15" s="627">
        <v>0</v>
      </c>
      <c r="FT15" s="627">
        <v>0</v>
      </c>
      <c r="FU15" s="627">
        <v>0</v>
      </c>
      <c r="FV15" s="627">
        <v>0</v>
      </c>
      <c r="FW15" s="627">
        <v>0</v>
      </c>
      <c r="FX15" s="627">
        <v>0</v>
      </c>
      <c r="FY15" s="627">
        <v>0</v>
      </c>
      <c r="FZ15" s="627">
        <v>0</v>
      </c>
      <c r="GA15" s="627">
        <v>0</v>
      </c>
      <c r="GB15" s="627">
        <v>0</v>
      </c>
      <c r="GC15" s="627">
        <v>5054</v>
      </c>
      <c r="GD15" s="627">
        <v>5054</v>
      </c>
      <c r="GE15" s="627">
        <v>0.53100000000000003</v>
      </c>
      <c r="GF15" s="627">
        <v>0</v>
      </c>
      <c r="GG15" s="627">
        <v>0</v>
      </c>
      <c r="GH15" s="627">
        <v>0</v>
      </c>
      <c r="GI15" s="627">
        <v>0</v>
      </c>
      <c r="GJ15" s="627">
        <v>0</v>
      </c>
      <c r="GK15" s="627">
        <v>0</v>
      </c>
      <c r="GL15" s="627">
        <v>0</v>
      </c>
      <c r="GM15" s="627">
        <v>0</v>
      </c>
      <c r="GN15" s="627">
        <v>0</v>
      </c>
      <c r="GO15" s="627">
        <v>0</v>
      </c>
      <c r="GP15" s="627">
        <v>0</v>
      </c>
      <c r="GQ15" s="627">
        <v>0</v>
      </c>
      <c r="GR15" s="627">
        <v>1012917</v>
      </c>
      <c r="GS15" s="627">
        <v>0</v>
      </c>
      <c r="GT15" s="627">
        <v>0</v>
      </c>
      <c r="GU15" s="627">
        <v>0</v>
      </c>
      <c r="GV15" s="627">
        <v>0</v>
      </c>
      <c r="GW15" s="627">
        <v>0</v>
      </c>
      <c r="GX15" s="627">
        <v>0</v>
      </c>
      <c r="GY15" s="627">
        <v>0</v>
      </c>
      <c r="GZ15" s="627">
        <v>0</v>
      </c>
      <c r="HA15" s="627">
        <v>0</v>
      </c>
      <c r="HB15" s="627">
        <v>0</v>
      </c>
      <c r="HC15" s="627">
        <v>361151439</v>
      </c>
      <c r="HD15" s="627">
        <v>3.9981999999999997E-2</v>
      </c>
      <c r="HE15" s="627">
        <v>7484</v>
      </c>
      <c r="HF15" s="627">
        <v>0</v>
      </c>
      <c r="HG15" s="627">
        <v>28316</v>
      </c>
      <c r="HH15" s="627">
        <v>0</v>
      </c>
      <c r="HI15" s="627">
        <v>3389</v>
      </c>
      <c r="HJ15" s="627">
        <v>0</v>
      </c>
      <c r="HK15" s="627">
        <v>30468</v>
      </c>
      <c r="HL15" s="627">
        <v>481</v>
      </c>
      <c r="HM15" s="627">
        <v>313</v>
      </c>
      <c r="HN15" s="627">
        <v>0</v>
      </c>
      <c r="HO15" s="627">
        <v>0</v>
      </c>
      <c r="HP15" s="627">
        <v>0</v>
      </c>
      <c r="HQ15" s="627">
        <v>0</v>
      </c>
      <c r="HR15" s="627">
        <v>0</v>
      </c>
      <c r="HS15" s="627">
        <v>0</v>
      </c>
      <c r="HT15" s="627">
        <v>863402</v>
      </c>
      <c r="HU15" s="627">
        <v>22072</v>
      </c>
      <c r="HV15" s="627">
        <v>0</v>
      </c>
      <c r="HW15" s="627">
        <v>0</v>
      </c>
      <c r="HX15" s="627">
        <v>0</v>
      </c>
      <c r="HY15" s="627">
        <v>1</v>
      </c>
      <c r="HZ15" s="627">
        <v>2</v>
      </c>
      <c r="IA15" s="627">
        <v>0</v>
      </c>
      <c r="IB15" s="627">
        <v>1</v>
      </c>
      <c r="IC15" s="627">
        <v>36</v>
      </c>
      <c r="ID15" s="627">
        <v>40</v>
      </c>
      <c r="IE15" s="627">
        <v>2</v>
      </c>
      <c r="IF15" s="627">
        <v>0</v>
      </c>
      <c r="IG15" s="627">
        <v>0</v>
      </c>
      <c r="IH15" s="627">
        <v>0</v>
      </c>
      <c r="II15" s="627">
        <v>5.5020000000000007</v>
      </c>
      <c r="IJ15" s="627">
        <v>0</v>
      </c>
      <c r="IK15" s="627">
        <v>0</v>
      </c>
      <c r="IL15" s="627">
        <v>19.535</v>
      </c>
      <c r="IM15" s="627">
        <v>0</v>
      </c>
      <c r="IN15" s="627">
        <v>0</v>
      </c>
      <c r="IO15" s="627">
        <v>0</v>
      </c>
      <c r="IP15" s="627">
        <v>0</v>
      </c>
      <c r="IQ15" s="627">
        <v>19.535</v>
      </c>
      <c r="IR15" s="627">
        <v>0</v>
      </c>
      <c r="IS15" s="627">
        <v>0</v>
      </c>
      <c r="IT15" s="627">
        <v>5372</v>
      </c>
      <c r="IU15" s="627">
        <v>0</v>
      </c>
      <c r="IV15" s="627">
        <v>0</v>
      </c>
      <c r="IW15" s="627">
        <v>0</v>
      </c>
      <c r="IX15" s="627">
        <v>6160</v>
      </c>
      <c r="IY15" s="627">
        <v>0</v>
      </c>
      <c r="IZ15" s="627">
        <v>0</v>
      </c>
      <c r="JA15" s="627">
        <v>5372</v>
      </c>
      <c r="JB15" s="627">
        <v>2464</v>
      </c>
      <c r="JC15" s="627">
        <v>0</v>
      </c>
      <c r="JD15" s="627">
        <v>0</v>
      </c>
      <c r="JE15" s="627">
        <v>0</v>
      </c>
      <c r="JF15" s="627">
        <v>0</v>
      </c>
      <c r="JG15" s="627">
        <v>0</v>
      </c>
      <c r="JH15" s="627">
        <v>0</v>
      </c>
      <c r="JI15" s="627">
        <v>0</v>
      </c>
      <c r="JJ15" s="627">
        <v>0</v>
      </c>
      <c r="JK15" s="627">
        <v>0</v>
      </c>
      <c r="JL15" s="627">
        <v>0</v>
      </c>
      <c r="JM15" s="627">
        <v>0</v>
      </c>
      <c r="JN15" s="627">
        <v>0</v>
      </c>
      <c r="JO15" s="627">
        <v>32469</v>
      </c>
      <c r="JP15" s="627">
        <v>0</v>
      </c>
      <c r="JQ15" s="627">
        <v>0.44500000000000001</v>
      </c>
      <c r="JR15" s="627">
        <v>8.6000000000000007E-2</v>
      </c>
      <c r="JS15" s="627">
        <v>0</v>
      </c>
      <c r="JT15" s="627">
        <v>4136</v>
      </c>
      <c r="JU15" s="627">
        <v>918</v>
      </c>
      <c r="JV15" s="627">
        <v>0</v>
      </c>
      <c r="JW15" s="627">
        <v>0</v>
      </c>
      <c r="JX15" s="627">
        <v>0</v>
      </c>
      <c r="JY15" s="627">
        <v>0</v>
      </c>
      <c r="JZ15" s="627">
        <v>0</v>
      </c>
      <c r="KA15" s="627">
        <v>0</v>
      </c>
      <c r="KB15" s="627">
        <v>0</v>
      </c>
      <c r="KC15" s="627">
        <v>0</v>
      </c>
      <c r="KD15" s="627">
        <v>0</v>
      </c>
      <c r="KE15" s="627">
        <v>0</v>
      </c>
      <c r="KF15" s="627">
        <v>7262</v>
      </c>
      <c r="KG15" s="627">
        <v>0</v>
      </c>
      <c r="KH15" s="627">
        <v>0</v>
      </c>
      <c r="KI15" s="627">
        <v>1012917</v>
      </c>
      <c r="KJ15" s="627">
        <v>0</v>
      </c>
      <c r="KK15" s="627">
        <v>0</v>
      </c>
      <c r="KL15" s="627">
        <v>0</v>
      </c>
      <c r="KM15" s="627">
        <v>0</v>
      </c>
      <c r="KN15" s="627">
        <v>0</v>
      </c>
      <c r="KO15" s="627">
        <v>0</v>
      </c>
      <c r="KP15" s="627">
        <v>0</v>
      </c>
      <c r="KQ15" s="627">
        <v>1012917</v>
      </c>
      <c r="KR15" s="627">
        <v>0</v>
      </c>
      <c r="KS15" s="627">
        <v>0</v>
      </c>
      <c r="KT15" s="627">
        <v>0</v>
      </c>
      <c r="KU15" s="627">
        <v>0</v>
      </c>
      <c r="KV15" s="627">
        <v>0</v>
      </c>
      <c r="KW15" s="627">
        <v>0</v>
      </c>
      <c r="KX15" s="627">
        <v>0</v>
      </c>
      <c r="KY15" s="627">
        <v>0</v>
      </c>
      <c r="KZ15" s="627">
        <v>0</v>
      </c>
      <c r="LA15" s="627">
        <v>0</v>
      </c>
      <c r="LB15" s="627">
        <v>0</v>
      </c>
      <c r="LC15" s="627">
        <v>0</v>
      </c>
      <c r="LD15" s="627">
        <v>0</v>
      </c>
      <c r="LE15" s="627">
        <v>0</v>
      </c>
      <c r="LF15" s="627">
        <v>0</v>
      </c>
    </row>
    <row r="16" spans="1:334" x14ac:dyDescent="0.25">
      <c r="A16" s="627">
        <v>42602</v>
      </c>
      <c r="B16" s="627">
        <v>174801</v>
      </c>
      <c r="D16" s="627">
        <v>9</v>
      </c>
      <c r="E16" s="627">
        <v>2024</v>
      </c>
      <c r="F16" s="627">
        <v>6160</v>
      </c>
      <c r="G16" s="627">
        <v>0</v>
      </c>
      <c r="H16" s="627">
        <v>246.90800000000002</v>
      </c>
      <c r="I16" s="627">
        <v>240.70100000000002</v>
      </c>
      <c r="J16" s="627">
        <v>240.70100000000002</v>
      </c>
      <c r="K16" s="627">
        <v>246.90800000000002</v>
      </c>
      <c r="L16" s="627">
        <v>0</v>
      </c>
      <c r="M16" s="627">
        <v>6160</v>
      </c>
      <c r="N16" s="627">
        <v>0</v>
      </c>
      <c r="O16" s="627">
        <v>0</v>
      </c>
      <c r="P16" s="627">
        <v>0</v>
      </c>
      <c r="Q16" s="627">
        <v>245.78800000000001</v>
      </c>
      <c r="R16" s="627">
        <v>0</v>
      </c>
      <c r="S16" s="627">
        <v>101974</v>
      </c>
      <c r="T16" s="627">
        <v>414.88400000000001</v>
      </c>
      <c r="U16" s="627">
        <v>0</v>
      </c>
      <c r="V16" s="627">
        <v>52922</v>
      </c>
      <c r="W16" s="627">
        <v>8.4530000000000012</v>
      </c>
      <c r="X16" s="627">
        <v>5207</v>
      </c>
      <c r="Y16" s="627">
        <v>5207</v>
      </c>
      <c r="Z16" s="627">
        <v>0</v>
      </c>
      <c r="AA16" s="627">
        <v>0</v>
      </c>
      <c r="AB16" s="627">
        <v>0</v>
      </c>
      <c r="AC16" s="627">
        <v>0</v>
      </c>
      <c r="AD16" s="627">
        <v>0</v>
      </c>
      <c r="AE16" s="627" t="s">
        <v>314</v>
      </c>
      <c r="AF16" s="627">
        <v>0</v>
      </c>
      <c r="AG16" s="627">
        <v>0</v>
      </c>
      <c r="AH16" s="627">
        <v>0</v>
      </c>
      <c r="AI16" s="627">
        <v>0</v>
      </c>
      <c r="AJ16" s="627">
        <v>0</v>
      </c>
      <c r="AK16" s="627">
        <v>6160</v>
      </c>
      <c r="AL16" s="627" t="s">
        <v>651</v>
      </c>
      <c r="AM16" s="627" t="s">
        <v>359</v>
      </c>
      <c r="AN16" s="627">
        <v>0</v>
      </c>
      <c r="AO16" s="627">
        <v>0</v>
      </c>
      <c r="AP16" s="627">
        <v>0</v>
      </c>
      <c r="AQ16" s="627">
        <v>0</v>
      </c>
      <c r="AR16" s="627">
        <v>0</v>
      </c>
      <c r="AS16" s="627">
        <v>0</v>
      </c>
      <c r="AT16" s="627">
        <v>0</v>
      </c>
      <c r="AU16" s="627">
        <v>0</v>
      </c>
      <c r="AV16" s="627">
        <v>0</v>
      </c>
      <c r="AW16" s="627">
        <v>0</v>
      </c>
      <c r="AX16" s="627">
        <v>2227195</v>
      </c>
      <c r="AY16" s="627">
        <v>2188168</v>
      </c>
      <c r="AZ16" s="627">
        <v>1101173</v>
      </c>
      <c r="BA16" s="627">
        <v>101974</v>
      </c>
      <c r="BB16" s="627">
        <v>0</v>
      </c>
      <c r="BC16" s="627">
        <v>0</v>
      </c>
      <c r="BD16" s="627">
        <v>0</v>
      </c>
      <c r="BE16" s="627">
        <v>0</v>
      </c>
      <c r="BF16" s="627">
        <v>0</v>
      </c>
      <c r="BG16" s="627">
        <v>1959170</v>
      </c>
      <c r="BH16" s="627">
        <v>0</v>
      </c>
      <c r="BI16" s="627">
        <v>0</v>
      </c>
      <c r="BJ16" s="627">
        <v>0</v>
      </c>
      <c r="BK16" s="627">
        <v>12</v>
      </c>
      <c r="BL16" s="627">
        <v>0</v>
      </c>
      <c r="BM16" s="627">
        <v>0</v>
      </c>
      <c r="BN16" s="627">
        <v>0</v>
      </c>
      <c r="BO16" s="627">
        <v>0</v>
      </c>
      <c r="BP16" s="627">
        <v>0</v>
      </c>
      <c r="BQ16" s="627">
        <v>0</v>
      </c>
      <c r="BR16" s="627">
        <v>733</v>
      </c>
      <c r="BS16" s="627">
        <v>0</v>
      </c>
      <c r="BT16" s="627">
        <v>0</v>
      </c>
      <c r="BU16" s="627">
        <v>0</v>
      </c>
      <c r="BV16" s="627">
        <v>0</v>
      </c>
      <c r="BW16" s="627">
        <v>0</v>
      </c>
      <c r="BX16" s="627">
        <v>0</v>
      </c>
      <c r="BY16" s="627">
        <v>0</v>
      </c>
      <c r="BZ16" s="627">
        <v>0</v>
      </c>
      <c r="CA16" s="627">
        <v>0</v>
      </c>
      <c r="CB16" s="627">
        <v>0</v>
      </c>
      <c r="CC16" s="627">
        <v>0</v>
      </c>
      <c r="CD16" s="627">
        <v>0</v>
      </c>
      <c r="CE16" s="627">
        <v>0</v>
      </c>
      <c r="CF16" s="627">
        <v>0</v>
      </c>
      <c r="CG16" s="627">
        <v>0</v>
      </c>
      <c r="CH16" s="627">
        <v>0</v>
      </c>
      <c r="CI16" s="627">
        <v>39488</v>
      </c>
      <c r="CJ16" s="627">
        <v>0</v>
      </c>
      <c r="CK16" s="627">
        <v>4</v>
      </c>
      <c r="CL16" s="627">
        <v>0</v>
      </c>
      <c r="CM16" s="627">
        <v>0</v>
      </c>
      <c r="CN16" s="627">
        <v>0</v>
      </c>
      <c r="CO16" s="627">
        <v>0</v>
      </c>
      <c r="CP16" s="627">
        <v>1</v>
      </c>
      <c r="CQ16" s="627">
        <v>0</v>
      </c>
      <c r="CR16" s="627">
        <v>0</v>
      </c>
      <c r="CS16" s="627">
        <v>245.66</v>
      </c>
      <c r="CT16" s="627">
        <v>0</v>
      </c>
      <c r="CU16" s="627">
        <v>0</v>
      </c>
      <c r="CV16" s="627">
        <v>0</v>
      </c>
      <c r="CW16" s="627">
        <v>0</v>
      </c>
      <c r="CX16" s="627">
        <v>0</v>
      </c>
      <c r="CY16" s="627">
        <v>0</v>
      </c>
      <c r="CZ16" s="627">
        <v>0</v>
      </c>
      <c r="DA16" s="627">
        <v>0</v>
      </c>
      <c r="DB16" s="627">
        <v>0</v>
      </c>
      <c r="DC16" s="627">
        <v>1482718</v>
      </c>
      <c r="DD16" s="627">
        <v>0</v>
      </c>
      <c r="DE16" s="627">
        <v>0</v>
      </c>
      <c r="DF16" s="627">
        <v>37037</v>
      </c>
      <c r="DG16" s="627">
        <v>37037</v>
      </c>
      <c r="DH16" s="627">
        <v>6.0129999999999999</v>
      </c>
      <c r="DI16" s="627">
        <v>0</v>
      </c>
      <c r="DJ16" s="627">
        <v>0</v>
      </c>
      <c r="DK16" s="627">
        <v>0</v>
      </c>
      <c r="DL16" s="627">
        <v>3349</v>
      </c>
      <c r="DM16" s="627">
        <v>0</v>
      </c>
      <c r="DN16" s="627">
        <v>135358</v>
      </c>
      <c r="DO16" s="627">
        <v>461</v>
      </c>
      <c r="DP16" s="627">
        <v>0</v>
      </c>
      <c r="DQ16" s="627">
        <v>0</v>
      </c>
      <c r="DR16" s="627">
        <v>0</v>
      </c>
      <c r="DS16" s="627">
        <v>0</v>
      </c>
      <c r="DT16" s="627">
        <v>0</v>
      </c>
      <c r="DU16" s="627">
        <v>0</v>
      </c>
      <c r="DV16" s="627">
        <v>0</v>
      </c>
      <c r="DW16" s="627">
        <v>0</v>
      </c>
      <c r="DX16" s="627">
        <v>0</v>
      </c>
      <c r="DY16" s="627">
        <v>0</v>
      </c>
      <c r="DZ16" s="627">
        <v>0</v>
      </c>
      <c r="EA16" s="627">
        <v>0</v>
      </c>
      <c r="EB16" s="627">
        <v>0</v>
      </c>
      <c r="EC16" s="627">
        <v>0</v>
      </c>
      <c r="ED16" s="627">
        <v>1.9370000000000001</v>
      </c>
      <c r="EE16" s="627">
        <v>13722</v>
      </c>
      <c r="EF16" s="627">
        <v>0</v>
      </c>
      <c r="EG16" s="627">
        <v>0</v>
      </c>
      <c r="EH16" s="627">
        <v>0</v>
      </c>
      <c r="EI16" s="627">
        <v>122097</v>
      </c>
      <c r="EJ16" s="627">
        <v>0</v>
      </c>
      <c r="EK16" s="627">
        <v>0</v>
      </c>
      <c r="EL16" s="627">
        <v>5.6070000000000002</v>
      </c>
      <c r="EM16" s="627">
        <v>0</v>
      </c>
      <c r="EN16" s="627">
        <v>0</v>
      </c>
      <c r="EO16" s="627">
        <v>0.6</v>
      </c>
      <c r="EP16" s="627">
        <v>0</v>
      </c>
      <c r="EQ16" s="627">
        <v>0</v>
      </c>
      <c r="ER16" s="627">
        <v>6.2070000000000007</v>
      </c>
      <c r="ES16" s="627">
        <v>0</v>
      </c>
      <c r="ET16" s="627">
        <v>19.821000000000002</v>
      </c>
      <c r="EU16" s="627">
        <v>0</v>
      </c>
      <c r="EV16" s="627">
        <v>0</v>
      </c>
      <c r="EW16" s="627">
        <v>0</v>
      </c>
      <c r="EX16" s="627">
        <v>0</v>
      </c>
      <c r="EY16" s="627">
        <v>0</v>
      </c>
      <c r="EZ16" s="627">
        <v>0</v>
      </c>
      <c r="FA16" s="627">
        <v>1857196</v>
      </c>
      <c r="FB16" s="627">
        <v>0</v>
      </c>
      <c r="FC16" s="627">
        <v>1958709</v>
      </c>
      <c r="FD16" s="627">
        <v>0</v>
      </c>
      <c r="FE16" s="627">
        <v>0</v>
      </c>
      <c r="FF16" s="627">
        <v>282113</v>
      </c>
      <c r="FG16" s="627">
        <v>48859</v>
      </c>
      <c r="FH16" s="627">
        <v>7.0280999999999996E-2</v>
      </c>
      <c r="FI16" s="627">
        <v>3.1172999999999999E-2</v>
      </c>
      <c r="FJ16" s="627">
        <v>0</v>
      </c>
      <c r="FK16" s="627">
        <v>0</v>
      </c>
      <c r="FL16" s="627">
        <v>318.04700000000003</v>
      </c>
      <c r="FM16" s="627">
        <v>2329169</v>
      </c>
      <c r="FN16" s="627">
        <v>0</v>
      </c>
      <c r="FO16" s="627">
        <v>0</v>
      </c>
      <c r="FP16" s="627">
        <v>0</v>
      </c>
      <c r="FQ16" s="627">
        <v>0</v>
      </c>
      <c r="FR16" s="627">
        <v>0</v>
      </c>
      <c r="FS16" s="627">
        <v>0</v>
      </c>
      <c r="FT16" s="627">
        <v>0</v>
      </c>
      <c r="FU16" s="627">
        <v>0</v>
      </c>
      <c r="FV16" s="627">
        <v>0</v>
      </c>
      <c r="FW16" s="627">
        <v>0</v>
      </c>
      <c r="FX16" s="627">
        <v>0</v>
      </c>
      <c r="FY16" s="627">
        <v>0</v>
      </c>
      <c r="FZ16" s="627">
        <v>0</v>
      </c>
      <c r="GA16" s="627">
        <v>0</v>
      </c>
      <c r="GB16" s="627">
        <v>0</v>
      </c>
      <c r="GC16" s="627">
        <v>0</v>
      </c>
      <c r="GD16" s="627">
        <v>0</v>
      </c>
      <c r="GE16" s="627">
        <v>0</v>
      </c>
      <c r="GF16" s="627">
        <v>0</v>
      </c>
      <c r="GG16" s="627">
        <v>0</v>
      </c>
      <c r="GH16" s="627">
        <v>0</v>
      </c>
      <c r="GI16" s="627">
        <v>0</v>
      </c>
      <c r="GJ16" s="627">
        <v>0</v>
      </c>
      <c r="GK16" s="627">
        <v>0</v>
      </c>
      <c r="GL16" s="627">
        <v>0</v>
      </c>
      <c r="GM16" s="627">
        <v>0</v>
      </c>
      <c r="GN16" s="627">
        <v>0</v>
      </c>
      <c r="GO16" s="627">
        <v>0</v>
      </c>
      <c r="GP16" s="627">
        <v>0</v>
      </c>
      <c r="GQ16" s="627">
        <v>0</v>
      </c>
      <c r="GR16" s="627">
        <v>2187707</v>
      </c>
      <c r="GS16" s="627">
        <v>0</v>
      </c>
      <c r="GT16" s="627">
        <v>0</v>
      </c>
      <c r="GU16" s="627">
        <v>0</v>
      </c>
      <c r="GV16" s="627">
        <v>0</v>
      </c>
      <c r="GW16" s="627">
        <v>0</v>
      </c>
      <c r="GX16" s="627">
        <v>0</v>
      </c>
      <c r="GY16" s="627">
        <v>0</v>
      </c>
      <c r="GZ16" s="627">
        <v>0</v>
      </c>
      <c r="HA16" s="627">
        <v>0</v>
      </c>
      <c r="HB16" s="627">
        <v>0</v>
      </c>
      <c r="HC16" s="627">
        <v>361151439</v>
      </c>
      <c r="HD16" s="627">
        <v>3.9981999999999997E-2</v>
      </c>
      <c r="HE16" s="627">
        <v>39488</v>
      </c>
      <c r="HF16" s="627">
        <v>0</v>
      </c>
      <c r="HG16" s="627">
        <v>265253</v>
      </c>
      <c r="HH16" s="627">
        <v>3696</v>
      </c>
      <c r="HI16" s="627">
        <v>11971</v>
      </c>
      <c r="HJ16" s="627">
        <v>0</v>
      </c>
      <c r="HK16" s="627">
        <v>17469</v>
      </c>
      <c r="HL16" s="627">
        <v>0</v>
      </c>
      <c r="HM16" s="627">
        <v>0</v>
      </c>
      <c r="HN16" s="627">
        <v>0</v>
      </c>
      <c r="HO16" s="627">
        <v>0</v>
      </c>
      <c r="HP16" s="627">
        <v>0</v>
      </c>
      <c r="HQ16" s="627">
        <v>0</v>
      </c>
      <c r="HR16" s="627">
        <v>0</v>
      </c>
      <c r="HS16" s="627">
        <v>0</v>
      </c>
      <c r="HT16" s="627">
        <v>1856735</v>
      </c>
      <c r="HU16" s="627">
        <v>48859</v>
      </c>
      <c r="HV16" s="627">
        <v>0</v>
      </c>
      <c r="HW16" s="627">
        <v>0</v>
      </c>
      <c r="HX16" s="627">
        <v>0</v>
      </c>
      <c r="HY16" s="627">
        <v>10</v>
      </c>
      <c r="HZ16" s="627">
        <v>7</v>
      </c>
      <c r="IA16" s="627">
        <v>3</v>
      </c>
      <c r="IB16" s="627">
        <v>2</v>
      </c>
      <c r="IC16" s="627">
        <v>3</v>
      </c>
      <c r="ID16" s="627">
        <v>25</v>
      </c>
      <c r="IE16" s="627">
        <v>0</v>
      </c>
      <c r="IF16" s="627">
        <v>0</v>
      </c>
      <c r="IG16" s="627">
        <v>0</v>
      </c>
      <c r="IH16" s="627">
        <v>6</v>
      </c>
      <c r="II16" s="627">
        <v>19.433</v>
      </c>
      <c r="IJ16" s="627">
        <v>0</v>
      </c>
      <c r="IK16" s="627">
        <v>8.4530000000000012</v>
      </c>
      <c r="IL16" s="627">
        <v>0</v>
      </c>
      <c r="IM16" s="627">
        <v>0</v>
      </c>
      <c r="IN16" s="627">
        <v>0</v>
      </c>
      <c r="IO16" s="627">
        <v>0</v>
      </c>
      <c r="IP16" s="627">
        <v>0</v>
      </c>
      <c r="IQ16" s="627">
        <v>0</v>
      </c>
      <c r="IR16" s="627">
        <v>8.4530000000000012</v>
      </c>
      <c r="IS16" s="627">
        <v>5207</v>
      </c>
      <c r="IT16" s="627">
        <v>0</v>
      </c>
      <c r="IU16" s="627">
        <v>0</v>
      </c>
      <c r="IV16" s="627">
        <v>0</v>
      </c>
      <c r="IW16" s="627">
        <v>0</v>
      </c>
      <c r="IX16" s="627">
        <v>6160</v>
      </c>
      <c r="IY16" s="627">
        <v>0</v>
      </c>
      <c r="IZ16" s="627">
        <v>0</v>
      </c>
      <c r="JA16" s="627">
        <v>0</v>
      </c>
      <c r="JB16" s="627">
        <v>0</v>
      </c>
      <c r="JC16" s="627">
        <v>0</v>
      </c>
      <c r="JD16" s="627">
        <v>0</v>
      </c>
      <c r="JE16" s="627">
        <v>0</v>
      </c>
      <c r="JF16" s="627">
        <v>0</v>
      </c>
      <c r="JG16" s="627">
        <v>0</v>
      </c>
      <c r="JH16" s="627">
        <v>0</v>
      </c>
      <c r="JI16" s="627">
        <v>0</v>
      </c>
      <c r="JJ16" s="627">
        <v>0</v>
      </c>
      <c r="JK16" s="627">
        <v>0</v>
      </c>
      <c r="JL16" s="627">
        <v>0</v>
      </c>
      <c r="JM16" s="627">
        <v>0</v>
      </c>
      <c r="JN16" s="627">
        <v>0</v>
      </c>
      <c r="JO16" s="627">
        <v>32469</v>
      </c>
      <c r="JP16" s="627">
        <v>0</v>
      </c>
      <c r="JQ16" s="627">
        <v>0</v>
      </c>
      <c r="JR16" s="627">
        <v>0</v>
      </c>
      <c r="JS16" s="627">
        <v>0</v>
      </c>
      <c r="JT16" s="627">
        <v>0</v>
      </c>
      <c r="JU16" s="627">
        <v>0</v>
      </c>
      <c r="JV16" s="627">
        <v>0</v>
      </c>
      <c r="JW16" s="627">
        <v>0</v>
      </c>
      <c r="JX16" s="627">
        <v>0</v>
      </c>
      <c r="JY16" s="627">
        <v>0</v>
      </c>
      <c r="JZ16" s="627">
        <v>0</v>
      </c>
      <c r="KA16" s="627">
        <v>0</v>
      </c>
      <c r="KB16" s="627">
        <v>0</v>
      </c>
      <c r="KC16" s="627">
        <v>0</v>
      </c>
      <c r="KD16" s="627">
        <v>0</v>
      </c>
      <c r="KE16" s="627">
        <v>0</v>
      </c>
      <c r="KF16" s="627">
        <v>7262</v>
      </c>
      <c r="KG16" s="627">
        <v>0</v>
      </c>
      <c r="KH16" s="627">
        <v>0</v>
      </c>
      <c r="KI16" s="627">
        <v>2187707</v>
      </c>
      <c r="KJ16" s="627">
        <v>0</v>
      </c>
      <c r="KK16" s="627">
        <v>4</v>
      </c>
      <c r="KL16" s="627">
        <v>2</v>
      </c>
      <c r="KM16" s="627">
        <v>2464</v>
      </c>
      <c r="KN16" s="627">
        <v>1232</v>
      </c>
      <c r="KO16" s="627">
        <v>0</v>
      </c>
      <c r="KP16" s="627">
        <v>0</v>
      </c>
      <c r="KQ16" s="627">
        <v>2187707</v>
      </c>
      <c r="KR16" s="627">
        <v>0</v>
      </c>
      <c r="KS16" s="627">
        <v>0</v>
      </c>
      <c r="KT16" s="627">
        <v>0</v>
      </c>
      <c r="KU16" s="627">
        <v>0</v>
      </c>
      <c r="KV16" s="627">
        <v>0</v>
      </c>
      <c r="KW16" s="627">
        <v>0</v>
      </c>
      <c r="KX16" s="627">
        <v>0</v>
      </c>
      <c r="KY16" s="627">
        <v>0</v>
      </c>
      <c r="KZ16" s="627">
        <v>0</v>
      </c>
      <c r="LA16" s="627">
        <v>0</v>
      </c>
      <c r="LB16" s="627">
        <v>0</v>
      </c>
      <c r="LC16" s="627">
        <v>0</v>
      </c>
      <c r="LD16" s="627">
        <v>0</v>
      </c>
      <c r="LE16" s="627">
        <v>0</v>
      </c>
      <c r="LF16" s="627">
        <v>0</v>
      </c>
    </row>
    <row r="17" spans="1:318" x14ac:dyDescent="0.25">
      <c r="A17" s="627">
        <v>42602</v>
      </c>
      <c r="B17" s="627">
        <v>178801</v>
      </c>
      <c r="D17" s="627">
        <v>9</v>
      </c>
      <c r="E17" s="627">
        <v>2024</v>
      </c>
      <c r="F17" s="627">
        <v>6160</v>
      </c>
      <c r="G17" s="627">
        <v>0</v>
      </c>
      <c r="H17" s="627">
        <v>144.69300000000001</v>
      </c>
      <c r="I17" s="627">
        <v>144.191</v>
      </c>
      <c r="J17" s="627">
        <v>144.191</v>
      </c>
      <c r="K17" s="627">
        <v>144.69300000000001</v>
      </c>
      <c r="L17" s="627">
        <v>0</v>
      </c>
      <c r="M17" s="627">
        <v>6160</v>
      </c>
      <c r="N17" s="627">
        <v>0</v>
      </c>
      <c r="O17" s="627">
        <v>0</v>
      </c>
      <c r="P17" s="627">
        <v>0</v>
      </c>
      <c r="Q17" s="627">
        <v>159.773</v>
      </c>
      <c r="R17" s="627">
        <v>0</v>
      </c>
      <c r="S17" s="627">
        <v>66287</v>
      </c>
      <c r="T17" s="627">
        <v>414.88400000000001</v>
      </c>
      <c r="U17" s="627">
        <v>0</v>
      </c>
      <c r="V17" s="627">
        <v>34399</v>
      </c>
      <c r="W17" s="627">
        <v>23.385000000000002</v>
      </c>
      <c r="X17" s="627">
        <v>14405</v>
      </c>
      <c r="Y17" s="627">
        <v>14405</v>
      </c>
      <c r="Z17" s="627">
        <v>0</v>
      </c>
      <c r="AA17" s="627">
        <v>0</v>
      </c>
      <c r="AB17" s="627">
        <v>0</v>
      </c>
      <c r="AC17" s="627">
        <v>0</v>
      </c>
      <c r="AD17" s="627">
        <v>0</v>
      </c>
      <c r="AE17" s="627" t="s">
        <v>314</v>
      </c>
      <c r="AF17" s="627">
        <v>0</v>
      </c>
      <c r="AG17" s="627">
        <v>0</v>
      </c>
      <c r="AH17" s="627">
        <v>0</v>
      </c>
      <c r="AI17" s="627">
        <v>0</v>
      </c>
      <c r="AJ17" s="627">
        <v>0</v>
      </c>
      <c r="AK17" s="627">
        <v>6160</v>
      </c>
      <c r="AL17" s="627" t="s">
        <v>651</v>
      </c>
      <c r="AM17" s="627" t="s">
        <v>93</v>
      </c>
      <c r="AN17" s="627">
        <v>0</v>
      </c>
      <c r="AO17" s="627">
        <v>0</v>
      </c>
      <c r="AP17" s="627">
        <v>0</v>
      </c>
      <c r="AQ17" s="627">
        <v>0</v>
      </c>
      <c r="AR17" s="627">
        <v>0</v>
      </c>
      <c r="AS17" s="627">
        <v>0</v>
      </c>
      <c r="AT17" s="627">
        <v>0</v>
      </c>
      <c r="AU17" s="627">
        <v>0</v>
      </c>
      <c r="AV17" s="627">
        <v>0</v>
      </c>
      <c r="AW17" s="627">
        <v>0</v>
      </c>
      <c r="AX17" s="627">
        <v>1694893</v>
      </c>
      <c r="AY17" s="627">
        <v>1672144</v>
      </c>
      <c r="AZ17" s="627">
        <v>860835</v>
      </c>
      <c r="BA17" s="627">
        <v>66287</v>
      </c>
      <c r="BB17" s="627">
        <v>12.75</v>
      </c>
      <c r="BC17" s="627">
        <v>0</v>
      </c>
      <c r="BD17" s="627">
        <v>0</v>
      </c>
      <c r="BE17" s="627">
        <v>0</v>
      </c>
      <c r="BF17" s="627">
        <v>0</v>
      </c>
      <c r="BG17" s="627">
        <v>1487193</v>
      </c>
      <c r="BH17" s="627">
        <v>0</v>
      </c>
      <c r="BI17" s="627">
        <v>0</v>
      </c>
      <c r="BJ17" s="627">
        <v>0</v>
      </c>
      <c r="BK17" s="627">
        <v>12</v>
      </c>
      <c r="BL17" s="627">
        <v>0</v>
      </c>
      <c r="BM17" s="627">
        <v>0</v>
      </c>
      <c r="BN17" s="627">
        <v>0</v>
      </c>
      <c r="BO17" s="627">
        <v>0</v>
      </c>
      <c r="BP17" s="627">
        <v>0</v>
      </c>
      <c r="BQ17" s="627">
        <v>0</v>
      </c>
      <c r="BR17" s="627">
        <v>748</v>
      </c>
      <c r="BS17" s="627">
        <v>0</v>
      </c>
      <c r="BT17" s="627">
        <v>0</v>
      </c>
      <c r="BU17" s="627">
        <v>0</v>
      </c>
      <c r="BV17" s="627">
        <v>0</v>
      </c>
      <c r="BW17" s="627">
        <v>0</v>
      </c>
      <c r="BX17" s="627">
        <v>0</v>
      </c>
      <c r="BY17" s="627">
        <v>0</v>
      </c>
      <c r="BZ17" s="627">
        <v>0</v>
      </c>
      <c r="CA17" s="627">
        <v>0</v>
      </c>
      <c r="CB17" s="627">
        <v>0</v>
      </c>
      <c r="CC17" s="627">
        <v>0</v>
      </c>
      <c r="CD17" s="627">
        <v>0</v>
      </c>
      <c r="CE17" s="627">
        <v>0</v>
      </c>
      <c r="CF17" s="627">
        <v>0</v>
      </c>
      <c r="CG17" s="627">
        <v>0</v>
      </c>
      <c r="CH17" s="627">
        <v>0</v>
      </c>
      <c r="CI17" s="627">
        <v>23141</v>
      </c>
      <c r="CJ17" s="627">
        <v>0</v>
      </c>
      <c r="CK17" s="627">
        <v>4</v>
      </c>
      <c r="CL17" s="627">
        <v>0</v>
      </c>
      <c r="CM17" s="627">
        <v>0</v>
      </c>
      <c r="CN17" s="627">
        <v>0</v>
      </c>
      <c r="CO17" s="627">
        <v>0</v>
      </c>
      <c r="CP17" s="627">
        <v>1</v>
      </c>
      <c r="CQ17" s="627">
        <v>0</v>
      </c>
      <c r="CR17" s="627">
        <v>1.333</v>
      </c>
      <c r="CS17" s="627">
        <v>159.37</v>
      </c>
      <c r="CT17" s="627">
        <v>0</v>
      </c>
      <c r="CU17" s="627">
        <v>0</v>
      </c>
      <c r="CV17" s="627">
        <v>0</v>
      </c>
      <c r="CW17" s="627">
        <v>0</v>
      </c>
      <c r="CX17" s="627">
        <v>0</v>
      </c>
      <c r="CY17" s="627">
        <v>0</v>
      </c>
      <c r="CZ17" s="627">
        <v>0</v>
      </c>
      <c r="DA17" s="627">
        <v>0</v>
      </c>
      <c r="DB17" s="627">
        <v>0</v>
      </c>
      <c r="DC17" s="627">
        <v>888217</v>
      </c>
      <c r="DD17" s="627">
        <v>0</v>
      </c>
      <c r="DE17" s="627">
        <v>0</v>
      </c>
      <c r="DF17" s="627">
        <v>257488</v>
      </c>
      <c r="DG17" s="627">
        <v>257488</v>
      </c>
      <c r="DH17" s="627">
        <v>41.800000000000004</v>
      </c>
      <c r="DI17" s="627">
        <v>0</v>
      </c>
      <c r="DJ17" s="627">
        <v>0</v>
      </c>
      <c r="DK17" s="627">
        <v>0</v>
      </c>
      <c r="DL17" s="627">
        <v>3587</v>
      </c>
      <c r="DM17" s="627">
        <v>0</v>
      </c>
      <c r="DN17" s="627">
        <v>115025</v>
      </c>
      <c r="DO17" s="627">
        <v>392</v>
      </c>
      <c r="DP17" s="627">
        <v>0</v>
      </c>
      <c r="DQ17" s="627">
        <v>0</v>
      </c>
      <c r="DR17" s="627">
        <v>0</v>
      </c>
      <c r="DS17" s="627">
        <v>0</v>
      </c>
      <c r="DT17" s="627">
        <v>0</v>
      </c>
      <c r="DU17" s="627">
        <v>0</v>
      </c>
      <c r="DV17" s="627">
        <v>0</v>
      </c>
      <c r="DW17" s="627">
        <v>0</v>
      </c>
      <c r="DX17" s="627">
        <v>0</v>
      </c>
      <c r="DY17" s="627">
        <v>0</v>
      </c>
      <c r="DZ17" s="627">
        <v>0</v>
      </c>
      <c r="EA17" s="627">
        <v>0</v>
      </c>
      <c r="EB17" s="627">
        <v>0</v>
      </c>
      <c r="EC17" s="627">
        <v>0</v>
      </c>
      <c r="ED17" s="627">
        <v>14.11</v>
      </c>
      <c r="EE17" s="627">
        <v>99955</v>
      </c>
      <c r="EF17" s="627">
        <v>0</v>
      </c>
      <c r="EG17" s="627">
        <v>0</v>
      </c>
      <c r="EH17" s="627">
        <v>0</v>
      </c>
      <c r="EI17" s="627">
        <v>15462</v>
      </c>
      <c r="EJ17" s="627">
        <v>0</v>
      </c>
      <c r="EK17" s="627">
        <v>0</v>
      </c>
      <c r="EL17" s="627">
        <v>0</v>
      </c>
      <c r="EM17" s="627">
        <v>0</v>
      </c>
      <c r="EN17" s="627">
        <v>0</v>
      </c>
      <c r="EO17" s="627">
        <v>0.502</v>
      </c>
      <c r="EP17" s="627">
        <v>0</v>
      </c>
      <c r="EQ17" s="627">
        <v>0</v>
      </c>
      <c r="ER17" s="627">
        <v>0.502</v>
      </c>
      <c r="ES17" s="627">
        <v>0</v>
      </c>
      <c r="ET17" s="627">
        <v>2.5100000000000002</v>
      </c>
      <c r="EU17" s="627">
        <v>0</v>
      </c>
      <c r="EV17" s="627">
        <v>0</v>
      </c>
      <c r="EW17" s="627">
        <v>0</v>
      </c>
      <c r="EX17" s="627">
        <v>0</v>
      </c>
      <c r="EY17" s="627">
        <v>0</v>
      </c>
      <c r="EZ17" s="627">
        <v>0</v>
      </c>
      <c r="FA17" s="627">
        <v>1420906</v>
      </c>
      <c r="FB17" s="627">
        <v>0</v>
      </c>
      <c r="FC17" s="627">
        <v>1486801</v>
      </c>
      <c r="FD17" s="627">
        <v>0</v>
      </c>
      <c r="FE17" s="627">
        <v>0</v>
      </c>
      <c r="FF17" s="627">
        <v>214150</v>
      </c>
      <c r="FG17" s="627">
        <v>37088</v>
      </c>
      <c r="FH17" s="627">
        <v>7.0280999999999996E-2</v>
      </c>
      <c r="FI17" s="627">
        <v>3.1172999999999999E-2</v>
      </c>
      <c r="FJ17" s="627">
        <v>0</v>
      </c>
      <c r="FK17" s="627">
        <v>0</v>
      </c>
      <c r="FL17" s="627">
        <v>241.42700000000002</v>
      </c>
      <c r="FM17" s="627">
        <v>1761180</v>
      </c>
      <c r="FN17" s="627">
        <v>0</v>
      </c>
      <c r="FO17" s="627">
        <v>0</v>
      </c>
      <c r="FP17" s="627">
        <v>0</v>
      </c>
      <c r="FQ17" s="627">
        <v>0</v>
      </c>
      <c r="FR17" s="627">
        <v>0</v>
      </c>
      <c r="FS17" s="627">
        <v>0</v>
      </c>
      <c r="FT17" s="627">
        <v>0</v>
      </c>
      <c r="FU17" s="627">
        <v>0</v>
      </c>
      <c r="FV17" s="627">
        <v>0</v>
      </c>
      <c r="FW17" s="627">
        <v>0</v>
      </c>
      <c r="FX17" s="627">
        <v>0</v>
      </c>
      <c r="FY17" s="627">
        <v>0</v>
      </c>
      <c r="FZ17" s="627">
        <v>0</v>
      </c>
      <c r="GA17" s="627">
        <v>0</v>
      </c>
      <c r="GB17" s="627">
        <v>0</v>
      </c>
      <c r="GC17" s="627">
        <v>0</v>
      </c>
      <c r="GD17" s="627">
        <v>0</v>
      </c>
      <c r="GE17" s="627">
        <v>0</v>
      </c>
      <c r="GF17" s="627">
        <v>0</v>
      </c>
      <c r="GG17" s="627">
        <v>0</v>
      </c>
      <c r="GH17" s="627">
        <v>0</v>
      </c>
      <c r="GI17" s="627">
        <v>0</v>
      </c>
      <c r="GJ17" s="627">
        <v>0</v>
      </c>
      <c r="GK17" s="627">
        <v>0</v>
      </c>
      <c r="GL17" s="627">
        <v>0</v>
      </c>
      <c r="GM17" s="627">
        <v>0</v>
      </c>
      <c r="GN17" s="627">
        <v>0</v>
      </c>
      <c r="GO17" s="627">
        <v>0</v>
      </c>
      <c r="GP17" s="627">
        <v>0</v>
      </c>
      <c r="GQ17" s="627">
        <v>0</v>
      </c>
      <c r="GR17" s="627">
        <v>1671752</v>
      </c>
      <c r="GS17" s="627">
        <v>0</v>
      </c>
      <c r="GT17" s="627">
        <v>0</v>
      </c>
      <c r="GU17" s="627">
        <v>0</v>
      </c>
      <c r="GV17" s="627">
        <v>0</v>
      </c>
      <c r="GW17" s="627">
        <v>0</v>
      </c>
      <c r="GX17" s="627">
        <v>0</v>
      </c>
      <c r="GY17" s="627">
        <v>0</v>
      </c>
      <c r="GZ17" s="627">
        <v>0</v>
      </c>
      <c r="HA17" s="627">
        <v>0</v>
      </c>
      <c r="HB17" s="627">
        <v>0</v>
      </c>
      <c r="HC17" s="627">
        <v>361151439</v>
      </c>
      <c r="HD17" s="627">
        <v>3.9981999999999997E-2</v>
      </c>
      <c r="HE17" s="627">
        <v>23141</v>
      </c>
      <c r="HF17" s="627">
        <v>0</v>
      </c>
      <c r="HG17" s="627">
        <v>158898</v>
      </c>
      <c r="HH17" s="627">
        <v>3080</v>
      </c>
      <c r="HI17" s="627">
        <v>33241</v>
      </c>
      <c r="HJ17" s="627">
        <v>0</v>
      </c>
      <c r="HK17" s="627">
        <v>16447</v>
      </c>
      <c r="HL17" s="627">
        <v>0</v>
      </c>
      <c r="HM17" s="627">
        <v>0</v>
      </c>
      <c r="HN17" s="627">
        <v>0</v>
      </c>
      <c r="HO17" s="627">
        <v>0</v>
      </c>
      <c r="HP17" s="627">
        <v>0</v>
      </c>
      <c r="HQ17" s="627">
        <v>0</v>
      </c>
      <c r="HR17" s="627">
        <v>0</v>
      </c>
      <c r="HS17" s="627">
        <v>0</v>
      </c>
      <c r="HT17" s="627">
        <v>1420514</v>
      </c>
      <c r="HU17" s="627">
        <v>37088</v>
      </c>
      <c r="HV17" s="627">
        <v>0</v>
      </c>
      <c r="HW17" s="627">
        <v>0</v>
      </c>
      <c r="HX17" s="627">
        <v>0</v>
      </c>
      <c r="HY17" s="627">
        <v>1</v>
      </c>
      <c r="HZ17" s="627">
        <v>22</v>
      </c>
      <c r="IA17" s="627">
        <v>17</v>
      </c>
      <c r="IB17" s="627">
        <v>50</v>
      </c>
      <c r="IC17" s="627">
        <v>69</v>
      </c>
      <c r="ID17" s="627">
        <v>159</v>
      </c>
      <c r="IE17" s="627">
        <v>0</v>
      </c>
      <c r="IF17" s="627">
        <v>0</v>
      </c>
      <c r="IG17" s="627">
        <v>0</v>
      </c>
      <c r="IH17" s="627">
        <v>5</v>
      </c>
      <c r="II17" s="627">
        <v>53.962000000000003</v>
      </c>
      <c r="IJ17" s="627">
        <v>0</v>
      </c>
      <c r="IK17" s="627">
        <v>23.385000000000002</v>
      </c>
      <c r="IL17" s="627">
        <v>0</v>
      </c>
      <c r="IM17" s="627">
        <v>0</v>
      </c>
      <c r="IN17" s="627">
        <v>0</v>
      </c>
      <c r="IO17" s="627">
        <v>0</v>
      </c>
      <c r="IP17" s="627">
        <v>0</v>
      </c>
      <c r="IQ17" s="627">
        <v>0</v>
      </c>
      <c r="IR17" s="627">
        <v>23.385000000000002</v>
      </c>
      <c r="IS17" s="627">
        <v>14405</v>
      </c>
      <c r="IT17" s="627">
        <v>0</v>
      </c>
      <c r="IU17" s="627">
        <v>0</v>
      </c>
      <c r="IV17" s="627">
        <v>0</v>
      </c>
      <c r="IW17" s="627">
        <v>0</v>
      </c>
      <c r="IX17" s="627">
        <v>6160</v>
      </c>
      <c r="IY17" s="627">
        <v>0</v>
      </c>
      <c r="IZ17" s="627">
        <v>0</v>
      </c>
      <c r="JA17" s="627">
        <v>0</v>
      </c>
      <c r="JB17" s="627">
        <v>0</v>
      </c>
      <c r="JC17" s="627">
        <v>0</v>
      </c>
      <c r="JD17" s="627">
        <v>0</v>
      </c>
      <c r="JE17" s="627">
        <v>0</v>
      </c>
      <c r="JF17" s="627">
        <v>0</v>
      </c>
      <c r="JG17" s="627">
        <v>0</v>
      </c>
      <c r="JH17" s="627">
        <v>0</v>
      </c>
      <c r="JI17" s="627">
        <v>0</v>
      </c>
      <c r="JJ17" s="627">
        <v>0</v>
      </c>
      <c r="JK17" s="627">
        <v>0</v>
      </c>
      <c r="JL17" s="627">
        <v>0</v>
      </c>
      <c r="JM17" s="627">
        <v>0</v>
      </c>
      <c r="JN17" s="627">
        <v>0</v>
      </c>
      <c r="JO17" s="627">
        <v>32469</v>
      </c>
      <c r="JP17" s="627">
        <v>0</v>
      </c>
      <c r="JQ17" s="627">
        <v>0</v>
      </c>
      <c r="JR17" s="627">
        <v>0</v>
      </c>
      <c r="JS17" s="627">
        <v>0</v>
      </c>
      <c r="JT17" s="627">
        <v>0</v>
      </c>
      <c r="JU17" s="627">
        <v>0</v>
      </c>
      <c r="JV17" s="627">
        <v>0</v>
      </c>
      <c r="JW17" s="627">
        <v>0</v>
      </c>
      <c r="JX17" s="627">
        <v>0</v>
      </c>
      <c r="JY17" s="627">
        <v>0</v>
      </c>
      <c r="JZ17" s="627">
        <v>0</v>
      </c>
      <c r="KA17" s="627">
        <v>0</v>
      </c>
      <c r="KB17" s="627">
        <v>0</v>
      </c>
      <c r="KC17" s="627">
        <v>0</v>
      </c>
      <c r="KD17" s="627">
        <v>0</v>
      </c>
      <c r="KE17" s="627">
        <v>0</v>
      </c>
      <c r="KF17" s="627">
        <v>7262</v>
      </c>
      <c r="KG17" s="627">
        <v>0</v>
      </c>
      <c r="KH17" s="627">
        <v>0</v>
      </c>
      <c r="KI17" s="627">
        <v>1671752</v>
      </c>
      <c r="KJ17" s="627">
        <v>0</v>
      </c>
      <c r="KK17" s="627">
        <v>5</v>
      </c>
      <c r="KL17" s="627">
        <v>0</v>
      </c>
      <c r="KM17" s="627">
        <v>3080</v>
      </c>
      <c r="KN17" s="627">
        <v>0</v>
      </c>
      <c r="KO17" s="627">
        <v>0</v>
      </c>
      <c r="KP17" s="627">
        <v>0</v>
      </c>
      <c r="KQ17" s="627">
        <v>1671752</v>
      </c>
      <c r="KR17" s="627">
        <v>0</v>
      </c>
      <c r="KS17" s="627">
        <v>0</v>
      </c>
      <c r="KT17" s="627">
        <v>0</v>
      </c>
      <c r="KU17" s="627">
        <v>0</v>
      </c>
      <c r="KV17" s="627">
        <v>0</v>
      </c>
      <c r="KW17" s="627">
        <v>0</v>
      </c>
      <c r="KX17" s="627">
        <v>0</v>
      </c>
      <c r="KY17" s="627">
        <v>0</v>
      </c>
      <c r="KZ17" s="627">
        <v>0</v>
      </c>
      <c r="LA17" s="627">
        <v>0</v>
      </c>
      <c r="LB17" s="627">
        <v>0</v>
      </c>
      <c r="LC17" s="627">
        <v>0</v>
      </c>
      <c r="LD17" s="627">
        <v>0</v>
      </c>
      <c r="LE17" s="627">
        <v>0</v>
      </c>
      <c r="LF17" s="627">
        <v>0</v>
      </c>
    </row>
    <row r="18" spans="1:318" x14ac:dyDescent="0.25">
      <c r="A18" s="627">
        <v>42602</v>
      </c>
      <c r="B18" s="627">
        <v>183801</v>
      </c>
      <c r="D18" s="627">
        <v>9</v>
      </c>
      <c r="E18" s="627">
        <v>2024</v>
      </c>
      <c r="F18" s="627">
        <v>6160</v>
      </c>
      <c r="G18" s="627">
        <v>0</v>
      </c>
      <c r="H18" s="627">
        <v>160.46</v>
      </c>
      <c r="I18" s="627">
        <v>132.74800000000002</v>
      </c>
      <c r="J18" s="627">
        <v>132.74800000000002</v>
      </c>
      <c r="K18" s="627">
        <v>160.46</v>
      </c>
      <c r="L18" s="627">
        <v>0</v>
      </c>
      <c r="M18" s="627">
        <v>6160</v>
      </c>
      <c r="N18" s="627">
        <v>0</v>
      </c>
      <c r="O18" s="627">
        <v>0</v>
      </c>
      <c r="P18" s="627">
        <v>0</v>
      </c>
      <c r="Q18" s="627">
        <v>187.24800000000002</v>
      </c>
      <c r="R18" s="627">
        <v>0</v>
      </c>
      <c r="S18" s="627">
        <v>77686</v>
      </c>
      <c r="T18" s="627">
        <v>414.88400000000001</v>
      </c>
      <c r="U18" s="627">
        <v>0</v>
      </c>
      <c r="V18" s="627">
        <v>40316</v>
      </c>
      <c r="W18" s="627">
        <v>2.9670000000000001</v>
      </c>
      <c r="X18" s="627">
        <v>1828</v>
      </c>
      <c r="Y18" s="627">
        <v>1828</v>
      </c>
      <c r="Z18" s="627">
        <v>0</v>
      </c>
      <c r="AA18" s="627">
        <v>0</v>
      </c>
      <c r="AB18" s="627">
        <v>0</v>
      </c>
      <c r="AC18" s="627">
        <v>0</v>
      </c>
      <c r="AD18" s="627">
        <v>0</v>
      </c>
      <c r="AE18" s="627" t="s">
        <v>314</v>
      </c>
      <c r="AF18" s="627">
        <v>0</v>
      </c>
      <c r="AG18" s="627">
        <v>0</v>
      </c>
      <c r="AH18" s="627">
        <v>0</v>
      </c>
      <c r="AI18" s="627">
        <v>0</v>
      </c>
      <c r="AJ18" s="627">
        <v>0</v>
      </c>
      <c r="AK18" s="627">
        <v>6160</v>
      </c>
      <c r="AL18" s="627" t="s">
        <v>651</v>
      </c>
      <c r="AM18" s="627" t="s">
        <v>71</v>
      </c>
      <c r="AN18" s="627">
        <v>0</v>
      </c>
      <c r="AO18" s="627">
        <v>0</v>
      </c>
      <c r="AP18" s="627">
        <v>0</v>
      </c>
      <c r="AQ18" s="627">
        <v>0</v>
      </c>
      <c r="AR18" s="627">
        <v>0</v>
      </c>
      <c r="AS18" s="627">
        <v>0</v>
      </c>
      <c r="AT18" s="627">
        <v>0</v>
      </c>
      <c r="AU18" s="627">
        <v>0</v>
      </c>
      <c r="AV18" s="627">
        <v>0</v>
      </c>
      <c r="AW18" s="627">
        <v>0</v>
      </c>
      <c r="AX18" s="627">
        <v>1693370</v>
      </c>
      <c r="AY18" s="627">
        <v>1667972</v>
      </c>
      <c r="AZ18" s="627">
        <v>858365</v>
      </c>
      <c r="BA18" s="627">
        <v>77686</v>
      </c>
      <c r="BB18" s="627">
        <v>11.583</v>
      </c>
      <c r="BC18" s="627">
        <v>3409</v>
      </c>
      <c r="BD18" s="627">
        <v>3387</v>
      </c>
      <c r="BE18" s="627">
        <v>8</v>
      </c>
      <c r="BF18" s="627">
        <v>22</v>
      </c>
      <c r="BG18" s="627">
        <v>1490123</v>
      </c>
      <c r="BH18" s="627">
        <v>0</v>
      </c>
      <c r="BI18" s="627">
        <v>0</v>
      </c>
      <c r="BJ18" s="627">
        <v>0</v>
      </c>
      <c r="BK18" s="627">
        <v>12</v>
      </c>
      <c r="BL18" s="627">
        <v>0</v>
      </c>
      <c r="BM18" s="627">
        <v>0</v>
      </c>
      <c r="BN18" s="627">
        <v>0</v>
      </c>
      <c r="BO18" s="627">
        <v>0</v>
      </c>
      <c r="BP18" s="627">
        <v>0</v>
      </c>
      <c r="BQ18" s="627">
        <v>0</v>
      </c>
      <c r="BR18" s="627">
        <v>750</v>
      </c>
      <c r="BS18" s="627">
        <v>0</v>
      </c>
      <c r="BT18" s="627">
        <v>0</v>
      </c>
      <c r="BU18" s="627">
        <v>0</v>
      </c>
      <c r="BV18" s="627">
        <v>0</v>
      </c>
      <c r="BW18" s="627">
        <v>0</v>
      </c>
      <c r="BX18" s="627">
        <v>0</v>
      </c>
      <c r="BY18" s="627">
        <v>0</v>
      </c>
      <c r="BZ18" s="627">
        <v>0</v>
      </c>
      <c r="CA18" s="627">
        <v>0</v>
      </c>
      <c r="CB18" s="627">
        <v>0</v>
      </c>
      <c r="CC18" s="627">
        <v>0</v>
      </c>
      <c r="CD18" s="627">
        <v>0</v>
      </c>
      <c r="CE18" s="627">
        <v>0</v>
      </c>
      <c r="CF18" s="627">
        <v>0</v>
      </c>
      <c r="CG18" s="627">
        <v>0</v>
      </c>
      <c r="CH18" s="627">
        <v>0</v>
      </c>
      <c r="CI18" s="627">
        <v>25662</v>
      </c>
      <c r="CJ18" s="627">
        <v>0</v>
      </c>
      <c r="CK18" s="627">
        <v>4</v>
      </c>
      <c r="CL18" s="627">
        <v>0</v>
      </c>
      <c r="CM18" s="627">
        <v>0</v>
      </c>
      <c r="CN18" s="627">
        <v>0</v>
      </c>
      <c r="CO18" s="627">
        <v>0</v>
      </c>
      <c r="CP18" s="627">
        <v>1</v>
      </c>
      <c r="CQ18" s="627">
        <v>0</v>
      </c>
      <c r="CR18" s="627">
        <v>5.5</v>
      </c>
      <c r="CS18" s="627">
        <v>187.3</v>
      </c>
      <c r="CT18" s="627">
        <v>0</v>
      </c>
      <c r="CU18" s="627">
        <v>0</v>
      </c>
      <c r="CV18" s="627">
        <v>0</v>
      </c>
      <c r="CW18" s="627">
        <v>0</v>
      </c>
      <c r="CX18" s="627">
        <v>0</v>
      </c>
      <c r="CY18" s="627">
        <v>0</v>
      </c>
      <c r="CZ18" s="627">
        <v>0</v>
      </c>
      <c r="DA18" s="627">
        <v>0</v>
      </c>
      <c r="DB18" s="627">
        <v>0</v>
      </c>
      <c r="DC18" s="627">
        <v>791619</v>
      </c>
      <c r="DD18" s="627">
        <v>0</v>
      </c>
      <c r="DE18" s="627">
        <v>0</v>
      </c>
      <c r="DF18" s="627">
        <v>87318</v>
      </c>
      <c r="DG18" s="627">
        <v>87318</v>
      </c>
      <c r="DH18" s="627">
        <v>14.175000000000001</v>
      </c>
      <c r="DI18" s="627">
        <v>0</v>
      </c>
      <c r="DJ18" s="627">
        <v>0</v>
      </c>
      <c r="DK18" s="627">
        <v>0</v>
      </c>
      <c r="DL18" s="627">
        <v>3615</v>
      </c>
      <c r="DM18" s="627">
        <v>0</v>
      </c>
      <c r="DN18" s="627">
        <v>97037</v>
      </c>
      <c r="DO18" s="627">
        <v>242</v>
      </c>
      <c r="DP18" s="627">
        <v>0</v>
      </c>
      <c r="DQ18" s="627">
        <v>0</v>
      </c>
      <c r="DR18" s="627">
        <v>0</v>
      </c>
      <c r="DS18" s="627">
        <v>0</v>
      </c>
      <c r="DT18" s="627">
        <v>0</v>
      </c>
      <c r="DU18" s="627">
        <v>0</v>
      </c>
      <c r="DV18" s="627">
        <v>0</v>
      </c>
      <c r="DW18" s="627">
        <v>0</v>
      </c>
      <c r="DX18" s="627">
        <v>0</v>
      </c>
      <c r="DY18" s="627">
        <v>0</v>
      </c>
      <c r="DZ18" s="627">
        <v>0</v>
      </c>
      <c r="EA18" s="627">
        <v>0</v>
      </c>
      <c r="EB18" s="627">
        <v>0</v>
      </c>
      <c r="EC18" s="627">
        <v>0</v>
      </c>
      <c r="ED18" s="627">
        <v>8.6769999999999996</v>
      </c>
      <c r="EE18" s="627">
        <v>61468</v>
      </c>
      <c r="EF18" s="627">
        <v>0</v>
      </c>
      <c r="EG18" s="627">
        <v>0</v>
      </c>
      <c r="EH18" s="627">
        <v>0</v>
      </c>
      <c r="EI18" s="627">
        <v>9702</v>
      </c>
      <c r="EJ18" s="627">
        <v>0</v>
      </c>
      <c r="EK18" s="627">
        <v>0</v>
      </c>
      <c r="EL18" s="627">
        <v>0.52500000000000002</v>
      </c>
      <c r="EM18" s="627">
        <v>0</v>
      </c>
      <c r="EN18" s="627">
        <v>0</v>
      </c>
      <c r="EO18" s="627">
        <v>0</v>
      </c>
      <c r="EP18" s="627">
        <v>0</v>
      </c>
      <c r="EQ18" s="627">
        <v>0</v>
      </c>
      <c r="ER18" s="627">
        <v>0.52500000000000002</v>
      </c>
      <c r="ES18" s="627">
        <v>0</v>
      </c>
      <c r="ET18" s="627">
        <v>1.5750000000000002</v>
      </c>
      <c r="EU18" s="627">
        <v>0</v>
      </c>
      <c r="EV18" s="627">
        <v>0</v>
      </c>
      <c r="EW18" s="627">
        <v>0</v>
      </c>
      <c r="EX18" s="627">
        <v>0</v>
      </c>
      <c r="EY18" s="627">
        <v>0</v>
      </c>
      <c r="EZ18" s="627">
        <v>0</v>
      </c>
      <c r="FA18" s="627">
        <v>1416239</v>
      </c>
      <c r="FB18" s="627">
        <v>0</v>
      </c>
      <c r="FC18" s="627">
        <v>1493661</v>
      </c>
      <c r="FD18" s="627">
        <v>0</v>
      </c>
      <c r="FE18" s="627">
        <v>0</v>
      </c>
      <c r="FF18" s="627">
        <v>214572</v>
      </c>
      <c r="FG18" s="627">
        <v>37161</v>
      </c>
      <c r="FH18" s="627">
        <v>7.0280999999999996E-2</v>
      </c>
      <c r="FI18" s="627">
        <v>3.1172999999999999E-2</v>
      </c>
      <c r="FJ18" s="627">
        <v>0</v>
      </c>
      <c r="FK18" s="627">
        <v>0</v>
      </c>
      <c r="FL18" s="627">
        <v>241.90300000000002</v>
      </c>
      <c r="FM18" s="627">
        <v>1771056</v>
      </c>
      <c r="FN18" s="627">
        <v>0</v>
      </c>
      <c r="FO18" s="627">
        <v>0</v>
      </c>
      <c r="FP18" s="627">
        <v>0</v>
      </c>
      <c r="FQ18" s="627">
        <v>0</v>
      </c>
      <c r="FR18" s="627">
        <v>0</v>
      </c>
      <c r="FS18" s="627">
        <v>0</v>
      </c>
      <c r="FT18" s="627">
        <v>0</v>
      </c>
      <c r="FU18" s="627">
        <v>0</v>
      </c>
      <c r="FV18" s="627">
        <v>0</v>
      </c>
      <c r="FW18" s="627">
        <v>0</v>
      </c>
      <c r="FX18" s="627">
        <v>0</v>
      </c>
      <c r="FY18" s="627">
        <v>0</v>
      </c>
      <c r="FZ18" s="627">
        <v>0</v>
      </c>
      <c r="GA18" s="627">
        <v>0</v>
      </c>
      <c r="GB18" s="627">
        <v>0</v>
      </c>
      <c r="GC18" s="627">
        <v>251697</v>
      </c>
      <c r="GD18" s="627">
        <v>251697</v>
      </c>
      <c r="GE18" s="627">
        <v>27.187000000000001</v>
      </c>
      <c r="GF18" s="627">
        <v>0</v>
      </c>
      <c r="GG18" s="627">
        <v>0</v>
      </c>
      <c r="GH18" s="627">
        <v>0</v>
      </c>
      <c r="GI18" s="627">
        <v>0</v>
      </c>
      <c r="GJ18" s="627">
        <v>0</v>
      </c>
      <c r="GK18" s="627">
        <v>0</v>
      </c>
      <c r="GL18" s="627">
        <v>0</v>
      </c>
      <c r="GM18" s="627">
        <v>0</v>
      </c>
      <c r="GN18" s="627">
        <v>0</v>
      </c>
      <c r="GO18" s="627">
        <v>0</v>
      </c>
      <c r="GP18" s="627">
        <v>0</v>
      </c>
      <c r="GQ18" s="627">
        <v>0</v>
      </c>
      <c r="GR18" s="627">
        <v>1667708</v>
      </c>
      <c r="GS18" s="627">
        <v>0</v>
      </c>
      <c r="GT18" s="627">
        <v>0</v>
      </c>
      <c r="GU18" s="627">
        <v>0</v>
      </c>
      <c r="GV18" s="627">
        <v>0</v>
      </c>
      <c r="GW18" s="627">
        <v>0</v>
      </c>
      <c r="GX18" s="627">
        <v>0</v>
      </c>
      <c r="GY18" s="627">
        <v>0</v>
      </c>
      <c r="GZ18" s="627">
        <v>0</v>
      </c>
      <c r="HA18" s="627">
        <v>0</v>
      </c>
      <c r="HB18" s="627">
        <v>0</v>
      </c>
      <c r="HC18" s="627">
        <v>361151439</v>
      </c>
      <c r="HD18" s="627">
        <v>3.9981999999999997E-2</v>
      </c>
      <c r="HE18" s="627">
        <v>25662</v>
      </c>
      <c r="HF18" s="627">
        <v>0</v>
      </c>
      <c r="HG18" s="627">
        <v>146288</v>
      </c>
      <c r="HH18" s="627">
        <v>3080</v>
      </c>
      <c r="HI18" s="627">
        <v>0</v>
      </c>
      <c r="HJ18" s="627">
        <v>0</v>
      </c>
      <c r="HK18" s="627">
        <v>46605</v>
      </c>
      <c r="HL18" s="627">
        <v>2146</v>
      </c>
      <c r="HM18" s="627">
        <v>1656</v>
      </c>
      <c r="HN18" s="627">
        <v>61000</v>
      </c>
      <c r="HO18" s="627">
        <v>0</v>
      </c>
      <c r="HP18" s="627">
        <v>0</v>
      </c>
      <c r="HQ18" s="627">
        <v>0</v>
      </c>
      <c r="HR18" s="627">
        <v>0</v>
      </c>
      <c r="HS18" s="627">
        <v>0</v>
      </c>
      <c r="HT18" s="627">
        <v>1415975</v>
      </c>
      <c r="HU18" s="627">
        <v>37161</v>
      </c>
      <c r="HV18" s="627">
        <v>0</v>
      </c>
      <c r="HW18" s="627">
        <v>0</v>
      </c>
      <c r="HX18" s="627">
        <v>0</v>
      </c>
      <c r="HY18" s="627">
        <v>9</v>
      </c>
      <c r="HZ18" s="627">
        <v>23</v>
      </c>
      <c r="IA18" s="627">
        <v>14</v>
      </c>
      <c r="IB18" s="627">
        <v>9</v>
      </c>
      <c r="IC18" s="627">
        <v>3</v>
      </c>
      <c r="ID18" s="627">
        <v>58</v>
      </c>
      <c r="IE18" s="627">
        <v>0</v>
      </c>
      <c r="IF18" s="627">
        <v>0</v>
      </c>
      <c r="IG18" s="627">
        <v>0</v>
      </c>
      <c r="IH18" s="627">
        <v>5</v>
      </c>
      <c r="II18" s="627">
        <v>0</v>
      </c>
      <c r="IJ18" s="627">
        <v>0</v>
      </c>
      <c r="IK18" s="627">
        <v>2.9670000000000001</v>
      </c>
      <c r="IL18" s="627">
        <v>0</v>
      </c>
      <c r="IM18" s="627">
        <v>3</v>
      </c>
      <c r="IN18" s="627">
        <v>14</v>
      </c>
      <c r="IO18" s="627">
        <v>2</v>
      </c>
      <c r="IP18" s="627">
        <v>19</v>
      </c>
      <c r="IQ18" s="627">
        <v>0</v>
      </c>
      <c r="IR18" s="627">
        <v>2.9670000000000001</v>
      </c>
      <c r="IS18" s="627">
        <v>1828</v>
      </c>
      <c r="IT18" s="627">
        <v>0</v>
      </c>
      <c r="IU18" s="627">
        <v>15000</v>
      </c>
      <c r="IV18" s="627">
        <v>42000</v>
      </c>
      <c r="IW18" s="627">
        <v>4000</v>
      </c>
      <c r="IX18" s="627">
        <v>6160</v>
      </c>
      <c r="IY18" s="627">
        <v>0</v>
      </c>
      <c r="IZ18" s="627">
        <v>0</v>
      </c>
      <c r="JA18" s="627">
        <v>0</v>
      </c>
      <c r="JB18" s="627">
        <v>0</v>
      </c>
      <c r="JC18" s="627">
        <v>0</v>
      </c>
      <c r="JD18" s="627">
        <v>0</v>
      </c>
      <c r="JE18" s="627">
        <v>0</v>
      </c>
      <c r="JF18" s="627">
        <v>0</v>
      </c>
      <c r="JG18" s="627">
        <v>0</v>
      </c>
      <c r="JH18" s="627">
        <v>0</v>
      </c>
      <c r="JI18" s="627">
        <v>0</v>
      </c>
      <c r="JJ18" s="627">
        <v>0</v>
      </c>
      <c r="JK18" s="627">
        <v>0</v>
      </c>
      <c r="JL18" s="627">
        <v>0</v>
      </c>
      <c r="JM18" s="627">
        <v>0</v>
      </c>
      <c r="JN18" s="627">
        <v>0</v>
      </c>
      <c r="JO18" s="627">
        <v>32469</v>
      </c>
      <c r="JP18" s="627">
        <v>1.86</v>
      </c>
      <c r="JQ18" s="627">
        <v>24.293000000000003</v>
      </c>
      <c r="JR18" s="627">
        <v>1.0330000000000001</v>
      </c>
      <c r="JS18" s="627">
        <v>14858</v>
      </c>
      <c r="JT18" s="627">
        <v>225812</v>
      </c>
      <c r="JU18" s="627">
        <v>11027</v>
      </c>
      <c r="JV18" s="627">
        <v>3450</v>
      </c>
      <c r="JW18" s="627">
        <v>0</v>
      </c>
      <c r="JX18" s="627">
        <v>0</v>
      </c>
      <c r="JY18" s="627">
        <v>0</v>
      </c>
      <c r="JZ18" s="627">
        <v>0</v>
      </c>
      <c r="KA18" s="627">
        <v>0</v>
      </c>
      <c r="KB18" s="627">
        <v>0</v>
      </c>
      <c r="KC18" s="627">
        <v>0</v>
      </c>
      <c r="KD18" s="627">
        <v>0</v>
      </c>
      <c r="KE18" s="627">
        <v>3450</v>
      </c>
      <c r="KF18" s="627">
        <v>7262</v>
      </c>
      <c r="KG18" s="627">
        <v>0</v>
      </c>
      <c r="KH18" s="627">
        <v>0</v>
      </c>
      <c r="KI18" s="627">
        <v>1667708</v>
      </c>
      <c r="KJ18" s="627">
        <v>0</v>
      </c>
      <c r="KK18" s="627">
        <v>1</v>
      </c>
      <c r="KL18" s="627">
        <v>4</v>
      </c>
      <c r="KM18" s="627">
        <v>616</v>
      </c>
      <c r="KN18" s="627">
        <v>2464</v>
      </c>
      <c r="KO18" s="627">
        <v>0</v>
      </c>
      <c r="KP18" s="627">
        <v>0</v>
      </c>
      <c r="KQ18" s="627">
        <v>1667708</v>
      </c>
      <c r="KR18" s="627">
        <v>0</v>
      </c>
      <c r="KS18" s="627">
        <v>0</v>
      </c>
      <c r="KT18" s="627">
        <v>0</v>
      </c>
      <c r="KU18" s="627">
        <v>0</v>
      </c>
      <c r="KV18" s="627">
        <v>0</v>
      </c>
      <c r="KW18" s="627">
        <v>0</v>
      </c>
      <c r="KX18" s="627">
        <v>0</v>
      </c>
      <c r="KY18" s="627">
        <v>0</v>
      </c>
      <c r="KZ18" s="627">
        <v>0</v>
      </c>
      <c r="LA18" s="627">
        <v>0</v>
      </c>
      <c r="LB18" s="627">
        <v>0</v>
      </c>
      <c r="LC18" s="627">
        <v>0</v>
      </c>
      <c r="LD18" s="627">
        <v>0</v>
      </c>
      <c r="LE18" s="627">
        <v>0</v>
      </c>
      <c r="LF18" s="627">
        <v>0</v>
      </c>
    </row>
    <row r="19" spans="1:318" x14ac:dyDescent="0.25">
      <c r="A19" s="627">
        <v>42602</v>
      </c>
      <c r="B19" s="627">
        <v>184801</v>
      </c>
      <c r="D19" s="627">
        <v>9</v>
      </c>
      <c r="E19" s="627">
        <v>2024</v>
      </c>
      <c r="F19" s="627">
        <v>6160</v>
      </c>
      <c r="G19" s="627">
        <v>0</v>
      </c>
      <c r="H19" s="627">
        <v>114.075</v>
      </c>
      <c r="I19" s="627">
        <v>73.322000000000003</v>
      </c>
      <c r="J19" s="627">
        <v>73.322000000000003</v>
      </c>
      <c r="K19" s="627">
        <v>114.075</v>
      </c>
      <c r="L19" s="627">
        <v>0</v>
      </c>
      <c r="M19" s="627">
        <v>6160</v>
      </c>
      <c r="N19" s="627">
        <v>0</v>
      </c>
      <c r="O19" s="627">
        <v>0</v>
      </c>
      <c r="P19" s="627">
        <v>0</v>
      </c>
      <c r="Q19" s="627">
        <v>138.06</v>
      </c>
      <c r="R19" s="627">
        <v>0</v>
      </c>
      <c r="S19" s="627">
        <v>57279</v>
      </c>
      <c r="T19" s="627">
        <v>414.88400000000001</v>
      </c>
      <c r="U19" s="627">
        <v>0</v>
      </c>
      <c r="V19" s="627">
        <v>29727</v>
      </c>
      <c r="W19" s="627">
        <v>0</v>
      </c>
      <c r="X19" s="627">
        <v>0</v>
      </c>
      <c r="Y19" s="627">
        <v>0</v>
      </c>
      <c r="Z19" s="627">
        <v>0</v>
      </c>
      <c r="AA19" s="627">
        <v>0</v>
      </c>
      <c r="AB19" s="627">
        <v>0</v>
      </c>
      <c r="AC19" s="627">
        <v>0</v>
      </c>
      <c r="AD19" s="627">
        <v>0</v>
      </c>
      <c r="AE19" s="627" t="s">
        <v>314</v>
      </c>
      <c r="AF19" s="627">
        <v>0</v>
      </c>
      <c r="AG19" s="627">
        <v>0</v>
      </c>
      <c r="AH19" s="627">
        <v>0</v>
      </c>
      <c r="AI19" s="627">
        <v>0</v>
      </c>
      <c r="AJ19" s="627">
        <v>0</v>
      </c>
      <c r="AK19" s="627">
        <v>6160</v>
      </c>
      <c r="AL19" s="627" t="s">
        <v>651</v>
      </c>
      <c r="AM19" s="627" t="s">
        <v>6</v>
      </c>
      <c r="AN19" s="627">
        <v>0</v>
      </c>
      <c r="AO19" s="627">
        <v>0</v>
      </c>
      <c r="AP19" s="627">
        <v>0</v>
      </c>
      <c r="AQ19" s="627">
        <v>0</v>
      </c>
      <c r="AR19" s="627">
        <v>0</v>
      </c>
      <c r="AS19" s="627">
        <v>0</v>
      </c>
      <c r="AT19" s="627">
        <v>0</v>
      </c>
      <c r="AU19" s="627">
        <v>0</v>
      </c>
      <c r="AV19" s="627">
        <v>0</v>
      </c>
      <c r="AW19" s="627">
        <v>0</v>
      </c>
      <c r="AX19" s="627">
        <v>1276582</v>
      </c>
      <c r="AY19" s="627">
        <v>1258699</v>
      </c>
      <c r="AZ19" s="627">
        <v>661327</v>
      </c>
      <c r="BA19" s="627">
        <v>57279</v>
      </c>
      <c r="BB19" s="627">
        <v>3</v>
      </c>
      <c r="BC19" s="627">
        <v>0</v>
      </c>
      <c r="BD19" s="627">
        <v>0</v>
      </c>
      <c r="BE19" s="627">
        <v>0</v>
      </c>
      <c r="BF19" s="627">
        <v>0</v>
      </c>
      <c r="BG19" s="627">
        <v>1122968</v>
      </c>
      <c r="BH19" s="627">
        <v>0</v>
      </c>
      <c r="BI19" s="627">
        <v>0</v>
      </c>
      <c r="BJ19" s="627">
        <v>0</v>
      </c>
      <c r="BK19" s="627">
        <v>12</v>
      </c>
      <c r="BL19" s="627">
        <v>0</v>
      </c>
      <c r="BM19" s="627">
        <v>0</v>
      </c>
      <c r="BN19" s="627">
        <v>0</v>
      </c>
      <c r="BO19" s="627">
        <v>0</v>
      </c>
      <c r="BP19" s="627">
        <v>0</v>
      </c>
      <c r="BQ19" s="627">
        <v>0</v>
      </c>
      <c r="BR19" s="627">
        <v>759</v>
      </c>
      <c r="BS19" s="627">
        <v>0</v>
      </c>
      <c r="BT19" s="627">
        <v>0</v>
      </c>
      <c r="BU19" s="627">
        <v>0</v>
      </c>
      <c r="BV19" s="627">
        <v>0</v>
      </c>
      <c r="BW19" s="627">
        <v>0</v>
      </c>
      <c r="BX19" s="627">
        <v>0</v>
      </c>
      <c r="BY19" s="627">
        <v>0</v>
      </c>
      <c r="BZ19" s="627">
        <v>0</v>
      </c>
      <c r="CA19" s="627">
        <v>0</v>
      </c>
      <c r="CB19" s="627">
        <v>0</v>
      </c>
      <c r="CC19" s="627">
        <v>0</v>
      </c>
      <c r="CD19" s="627">
        <v>0</v>
      </c>
      <c r="CE19" s="627">
        <v>0</v>
      </c>
      <c r="CF19" s="627">
        <v>0</v>
      </c>
      <c r="CG19" s="627">
        <v>0</v>
      </c>
      <c r="CH19" s="627">
        <v>0</v>
      </c>
      <c r="CI19" s="627">
        <v>18244</v>
      </c>
      <c r="CJ19" s="627">
        <v>0</v>
      </c>
      <c r="CK19" s="627">
        <v>4</v>
      </c>
      <c r="CL19" s="627">
        <v>0</v>
      </c>
      <c r="CM19" s="627">
        <v>0</v>
      </c>
      <c r="CN19" s="627">
        <v>0</v>
      </c>
      <c r="CO19" s="627">
        <v>0</v>
      </c>
      <c r="CP19" s="627">
        <v>1</v>
      </c>
      <c r="CQ19" s="627">
        <v>0</v>
      </c>
      <c r="CR19" s="627">
        <v>3.1670000000000003</v>
      </c>
      <c r="CS19" s="627">
        <v>138.36000000000001</v>
      </c>
      <c r="CT19" s="627">
        <v>0</v>
      </c>
      <c r="CU19" s="627">
        <v>0</v>
      </c>
      <c r="CV19" s="627">
        <v>0</v>
      </c>
      <c r="CW19" s="627">
        <v>0</v>
      </c>
      <c r="CX19" s="627">
        <v>0</v>
      </c>
      <c r="CY19" s="627">
        <v>0</v>
      </c>
      <c r="CZ19" s="627">
        <v>0</v>
      </c>
      <c r="DA19" s="627">
        <v>0</v>
      </c>
      <c r="DB19" s="627">
        <v>0</v>
      </c>
      <c r="DC19" s="627">
        <v>451664</v>
      </c>
      <c r="DD19" s="627">
        <v>0</v>
      </c>
      <c r="DE19" s="627">
        <v>0</v>
      </c>
      <c r="DF19" s="627">
        <v>87857</v>
      </c>
      <c r="DG19" s="627">
        <v>87857</v>
      </c>
      <c r="DH19" s="627">
        <v>14.263</v>
      </c>
      <c r="DI19" s="627">
        <v>0</v>
      </c>
      <c r="DJ19" s="627">
        <v>0</v>
      </c>
      <c r="DK19" s="627">
        <v>0</v>
      </c>
      <c r="DL19" s="627">
        <v>3762</v>
      </c>
      <c r="DM19" s="627">
        <v>0</v>
      </c>
      <c r="DN19" s="627">
        <v>106005</v>
      </c>
      <c r="DO19" s="627">
        <v>361</v>
      </c>
      <c r="DP19" s="627">
        <v>0</v>
      </c>
      <c r="DQ19" s="627">
        <v>0</v>
      </c>
      <c r="DR19" s="627">
        <v>0</v>
      </c>
      <c r="DS19" s="627">
        <v>0</v>
      </c>
      <c r="DT19" s="627">
        <v>0</v>
      </c>
      <c r="DU19" s="627">
        <v>0</v>
      </c>
      <c r="DV19" s="627">
        <v>0</v>
      </c>
      <c r="DW19" s="627">
        <v>0</v>
      </c>
      <c r="DX19" s="627">
        <v>0</v>
      </c>
      <c r="DY19" s="627">
        <v>0</v>
      </c>
      <c r="DZ19" s="627">
        <v>0</v>
      </c>
      <c r="EA19" s="627">
        <v>0</v>
      </c>
      <c r="EB19" s="627">
        <v>0</v>
      </c>
      <c r="EC19" s="627">
        <v>0</v>
      </c>
      <c r="ED19" s="627">
        <v>15.015000000000001</v>
      </c>
      <c r="EE19" s="627">
        <v>106366</v>
      </c>
      <c r="EF19" s="627">
        <v>0</v>
      </c>
      <c r="EG19" s="627">
        <v>0</v>
      </c>
      <c r="EH19" s="627">
        <v>0</v>
      </c>
      <c r="EI19" s="627">
        <v>0</v>
      </c>
      <c r="EJ19" s="627">
        <v>0</v>
      </c>
      <c r="EK19" s="627">
        <v>0</v>
      </c>
      <c r="EL19" s="627">
        <v>0</v>
      </c>
      <c r="EM19" s="627">
        <v>0</v>
      </c>
      <c r="EN19" s="627">
        <v>0</v>
      </c>
      <c r="EO19" s="627">
        <v>0</v>
      </c>
      <c r="EP19" s="627">
        <v>0</v>
      </c>
      <c r="EQ19" s="627">
        <v>0</v>
      </c>
      <c r="ER19" s="627">
        <v>0</v>
      </c>
      <c r="ES19" s="627">
        <v>0</v>
      </c>
      <c r="ET19" s="627">
        <v>0</v>
      </c>
      <c r="EU19" s="627">
        <v>0</v>
      </c>
      <c r="EV19" s="627">
        <v>0</v>
      </c>
      <c r="EW19" s="627">
        <v>0</v>
      </c>
      <c r="EX19" s="627">
        <v>0</v>
      </c>
      <c r="EY19" s="627">
        <v>0</v>
      </c>
      <c r="EZ19" s="627">
        <v>0</v>
      </c>
      <c r="FA19" s="627">
        <v>1068991</v>
      </c>
      <c r="FB19" s="627">
        <v>0</v>
      </c>
      <c r="FC19" s="627">
        <v>1125909</v>
      </c>
      <c r="FD19" s="627">
        <v>0</v>
      </c>
      <c r="FE19" s="627">
        <v>0</v>
      </c>
      <c r="FF19" s="627">
        <v>161703</v>
      </c>
      <c r="FG19" s="627">
        <v>28005</v>
      </c>
      <c r="FH19" s="627">
        <v>7.0280999999999996E-2</v>
      </c>
      <c r="FI19" s="627">
        <v>3.1172999999999999E-2</v>
      </c>
      <c r="FJ19" s="627">
        <v>0</v>
      </c>
      <c r="FK19" s="627">
        <v>0</v>
      </c>
      <c r="FL19" s="627">
        <v>182.3</v>
      </c>
      <c r="FM19" s="627">
        <v>1333861</v>
      </c>
      <c r="FN19" s="627">
        <v>0</v>
      </c>
      <c r="FO19" s="627">
        <v>0</v>
      </c>
      <c r="FP19" s="627">
        <v>0</v>
      </c>
      <c r="FQ19" s="627">
        <v>0</v>
      </c>
      <c r="FR19" s="627">
        <v>0</v>
      </c>
      <c r="FS19" s="627">
        <v>0</v>
      </c>
      <c r="FT19" s="627">
        <v>0</v>
      </c>
      <c r="FU19" s="627">
        <v>0</v>
      </c>
      <c r="FV19" s="627">
        <v>0</v>
      </c>
      <c r="FW19" s="627">
        <v>0</v>
      </c>
      <c r="FX19" s="627">
        <v>0</v>
      </c>
      <c r="FY19" s="627">
        <v>0</v>
      </c>
      <c r="FZ19" s="627">
        <v>0</v>
      </c>
      <c r="GA19" s="627">
        <v>0</v>
      </c>
      <c r="GB19" s="627">
        <v>0</v>
      </c>
      <c r="GC19" s="627">
        <v>370899</v>
      </c>
      <c r="GD19" s="627">
        <v>370899</v>
      </c>
      <c r="GE19" s="627">
        <v>40.753</v>
      </c>
      <c r="GF19" s="627">
        <v>0</v>
      </c>
      <c r="GG19" s="627">
        <v>0</v>
      </c>
      <c r="GH19" s="627">
        <v>0</v>
      </c>
      <c r="GI19" s="627">
        <v>0</v>
      </c>
      <c r="GJ19" s="627">
        <v>0</v>
      </c>
      <c r="GK19" s="627">
        <v>0</v>
      </c>
      <c r="GL19" s="627">
        <v>0</v>
      </c>
      <c r="GM19" s="627">
        <v>0</v>
      </c>
      <c r="GN19" s="627">
        <v>0</v>
      </c>
      <c r="GO19" s="627">
        <v>0</v>
      </c>
      <c r="GP19" s="627">
        <v>0</v>
      </c>
      <c r="GQ19" s="627">
        <v>0</v>
      </c>
      <c r="GR19" s="627">
        <v>1258338</v>
      </c>
      <c r="GS19" s="627">
        <v>0</v>
      </c>
      <c r="GT19" s="627">
        <v>0</v>
      </c>
      <c r="GU19" s="627">
        <v>0</v>
      </c>
      <c r="GV19" s="627">
        <v>0</v>
      </c>
      <c r="GW19" s="627">
        <v>0</v>
      </c>
      <c r="GX19" s="627">
        <v>0</v>
      </c>
      <c r="GY19" s="627">
        <v>0</v>
      </c>
      <c r="GZ19" s="627">
        <v>0</v>
      </c>
      <c r="HA19" s="627">
        <v>0</v>
      </c>
      <c r="HB19" s="627">
        <v>0</v>
      </c>
      <c r="HC19" s="627">
        <v>361151439</v>
      </c>
      <c r="HD19" s="627">
        <v>3.9981999999999997E-2</v>
      </c>
      <c r="HE19" s="627">
        <v>18244</v>
      </c>
      <c r="HF19" s="627">
        <v>0</v>
      </c>
      <c r="HG19" s="627">
        <v>80801</v>
      </c>
      <c r="HH19" s="627">
        <v>9240</v>
      </c>
      <c r="HI19" s="627">
        <v>0</v>
      </c>
      <c r="HJ19" s="627">
        <v>0</v>
      </c>
      <c r="HK19" s="627">
        <v>16141</v>
      </c>
      <c r="HL19" s="627">
        <v>1600</v>
      </c>
      <c r="HM19" s="627">
        <v>1702</v>
      </c>
      <c r="HN19" s="627">
        <v>0</v>
      </c>
      <c r="HO19" s="627">
        <v>0</v>
      </c>
      <c r="HP19" s="627">
        <v>0</v>
      </c>
      <c r="HQ19" s="627">
        <v>0</v>
      </c>
      <c r="HR19" s="627">
        <v>0</v>
      </c>
      <c r="HS19" s="627">
        <v>0</v>
      </c>
      <c r="HT19" s="627">
        <v>1068630</v>
      </c>
      <c r="HU19" s="627">
        <v>28005</v>
      </c>
      <c r="HV19" s="627">
        <v>0</v>
      </c>
      <c r="HW19" s="627">
        <v>0</v>
      </c>
      <c r="HX19" s="627">
        <v>0</v>
      </c>
      <c r="HY19" s="627">
        <v>24</v>
      </c>
      <c r="HZ19" s="627">
        <v>15</v>
      </c>
      <c r="IA19" s="627">
        <v>17</v>
      </c>
      <c r="IB19" s="627">
        <v>4</v>
      </c>
      <c r="IC19" s="627">
        <v>0</v>
      </c>
      <c r="ID19" s="627">
        <v>60</v>
      </c>
      <c r="IE19" s="627">
        <v>0</v>
      </c>
      <c r="IF19" s="627">
        <v>0</v>
      </c>
      <c r="IG19" s="627">
        <v>0</v>
      </c>
      <c r="IH19" s="627">
        <v>15</v>
      </c>
      <c r="II19" s="627">
        <v>0</v>
      </c>
      <c r="IJ19" s="627">
        <v>0</v>
      </c>
      <c r="IK19" s="627">
        <v>0</v>
      </c>
      <c r="IL19" s="627">
        <v>0</v>
      </c>
      <c r="IM19" s="627">
        <v>0</v>
      </c>
      <c r="IN19" s="627">
        <v>0</v>
      </c>
      <c r="IO19" s="627">
        <v>0</v>
      </c>
      <c r="IP19" s="627">
        <v>0</v>
      </c>
      <c r="IQ19" s="627">
        <v>0</v>
      </c>
      <c r="IR19" s="627">
        <v>0</v>
      </c>
      <c r="IS19" s="627">
        <v>0</v>
      </c>
      <c r="IT19" s="627">
        <v>0</v>
      </c>
      <c r="IU19" s="627">
        <v>0</v>
      </c>
      <c r="IV19" s="627">
        <v>0</v>
      </c>
      <c r="IW19" s="627">
        <v>0</v>
      </c>
      <c r="IX19" s="627">
        <v>6160</v>
      </c>
      <c r="IY19" s="627">
        <v>0</v>
      </c>
      <c r="IZ19" s="627">
        <v>0</v>
      </c>
      <c r="JA19" s="627">
        <v>0</v>
      </c>
      <c r="JB19" s="627">
        <v>0</v>
      </c>
      <c r="JC19" s="627">
        <v>0</v>
      </c>
      <c r="JD19" s="627">
        <v>0</v>
      </c>
      <c r="JE19" s="627">
        <v>0</v>
      </c>
      <c r="JF19" s="627">
        <v>0</v>
      </c>
      <c r="JG19" s="627">
        <v>0</v>
      </c>
      <c r="JH19" s="627">
        <v>0</v>
      </c>
      <c r="JI19" s="627">
        <v>0</v>
      </c>
      <c r="JJ19" s="627">
        <v>0</v>
      </c>
      <c r="JK19" s="627">
        <v>0</v>
      </c>
      <c r="JL19" s="627">
        <v>0</v>
      </c>
      <c r="JM19" s="627">
        <v>0</v>
      </c>
      <c r="JN19" s="627">
        <v>0</v>
      </c>
      <c r="JO19" s="627">
        <v>32469</v>
      </c>
      <c r="JP19" s="627">
        <v>10.130000000000001</v>
      </c>
      <c r="JQ19" s="627">
        <v>26.762</v>
      </c>
      <c r="JR19" s="627">
        <v>3.8610000000000002</v>
      </c>
      <c r="JS19" s="627">
        <v>80920</v>
      </c>
      <c r="JT19" s="627">
        <v>248762</v>
      </c>
      <c r="JU19" s="627">
        <v>41217</v>
      </c>
      <c r="JV19" s="627">
        <v>0</v>
      </c>
      <c r="JW19" s="627">
        <v>0</v>
      </c>
      <c r="JX19" s="627">
        <v>0</v>
      </c>
      <c r="JY19" s="627">
        <v>0</v>
      </c>
      <c r="JZ19" s="627">
        <v>0</v>
      </c>
      <c r="KA19" s="627">
        <v>0</v>
      </c>
      <c r="KB19" s="627">
        <v>0</v>
      </c>
      <c r="KC19" s="627">
        <v>0</v>
      </c>
      <c r="KD19" s="627">
        <v>0</v>
      </c>
      <c r="KE19" s="627">
        <v>0</v>
      </c>
      <c r="KF19" s="627">
        <v>7262</v>
      </c>
      <c r="KG19" s="627">
        <v>0</v>
      </c>
      <c r="KH19" s="627">
        <v>0</v>
      </c>
      <c r="KI19" s="627">
        <v>1258338</v>
      </c>
      <c r="KJ19" s="627">
        <v>0</v>
      </c>
      <c r="KK19" s="627">
        <v>1</v>
      </c>
      <c r="KL19" s="627">
        <v>14</v>
      </c>
      <c r="KM19" s="627">
        <v>616</v>
      </c>
      <c r="KN19" s="627">
        <v>8624</v>
      </c>
      <c r="KO19" s="627">
        <v>0</v>
      </c>
      <c r="KP19" s="627">
        <v>0</v>
      </c>
      <c r="KQ19" s="627">
        <v>1258338</v>
      </c>
      <c r="KR19" s="627">
        <v>0</v>
      </c>
      <c r="KS19" s="627">
        <v>0</v>
      </c>
      <c r="KT19" s="627">
        <v>0</v>
      </c>
      <c r="KU19" s="627">
        <v>0</v>
      </c>
      <c r="KV19" s="627">
        <v>0</v>
      </c>
      <c r="KW19" s="627">
        <v>0</v>
      </c>
      <c r="KX19" s="627">
        <v>0</v>
      </c>
      <c r="KY19" s="627">
        <v>0</v>
      </c>
      <c r="KZ19" s="627">
        <v>0</v>
      </c>
      <c r="LA19" s="627">
        <v>0</v>
      </c>
      <c r="LB19" s="627">
        <v>0</v>
      </c>
      <c r="LC19" s="627">
        <v>0</v>
      </c>
      <c r="LD19" s="627">
        <v>0</v>
      </c>
      <c r="LE19" s="627">
        <v>0</v>
      </c>
      <c r="LF19" s="627">
        <v>0</v>
      </c>
    </row>
    <row r="20" spans="1:318" x14ac:dyDescent="0.25">
      <c r="A20" s="627">
        <v>42602</v>
      </c>
      <c r="B20" s="627">
        <v>193801</v>
      </c>
      <c r="D20" s="627">
        <v>9</v>
      </c>
      <c r="E20" s="627">
        <v>2024</v>
      </c>
      <c r="F20" s="627">
        <v>6160</v>
      </c>
      <c r="G20" s="627">
        <v>0</v>
      </c>
      <c r="H20" s="627">
        <v>158.12300000000002</v>
      </c>
      <c r="I20" s="627">
        <v>111.39</v>
      </c>
      <c r="J20" s="627">
        <v>111.39</v>
      </c>
      <c r="K20" s="627">
        <v>158.12300000000002</v>
      </c>
      <c r="L20" s="627">
        <v>0</v>
      </c>
      <c r="M20" s="627">
        <v>6160</v>
      </c>
      <c r="N20" s="627">
        <v>0</v>
      </c>
      <c r="O20" s="627">
        <v>0</v>
      </c>
      <c r="P20" s="627">
        <v>0</v>
      </c>
      <c r="Q20" s="627">
        <v>172.363</v>
      </c>
      <c r="R20" s="627">
        <v>0</v>
      </c>
      <c r="S20" s="627">
        <v>71511</v>
      </c>
      <c r="T20" s="627">
        <v>414.88400000000001</v>
      </c>
      <c r="U20" s="627">
        <v>0</v>
      </c>
      <c r="V20" s="627">
        <v>37113</v>
      </c>
      <c r="W20" s="627">
        <v>0</v>
      </c>
      <c r="X20" s="627">
        <v>0</v>
      </c>
      <c r="Y20" s="627">
        <v>0</v>
      </c>
      <c r="Z20" s="627">
        <v>0</v>
      </c>
      <c r="AA20" s="627">
        <v>0</v>
      </c>
      <c r="AB20" s="627">
        <v>0</v>
      </c>
      <c r="AC20" s="627">
        <v>0</v>
      </c>
      <c r="AD20" s="627">
        <v>0</v>
      </c>
      <c r="AE20" s="627" t="s">
        <v>314</v>
      </c>
      <c r="AF20" s="627">
        <v>0</v>
      </c>
      <c r="AG20" s="627">
        <v>0</v>
      </c>
      <c r="AH20" s="627">
        <v>0</v>
      </c>
      <c r="AI20" s="627">
        <v>0</v>
      </c>
      <c r="AJ20" s="627">
        <v>0</v>
      </c>
      <c r="AK20" s="627">
        <v>6160</v>
      </c>
      <c r="AL20" s="627" t="s">
        <v>651</v>
      </c>
      <c r="AM20" s="627" t="s">
        <v>72</v>
      </c>
      <c r="AN20" s="627">
        <v>0</v>
      </c>
      <c r="AO20" s="627">
        <v>0</v>
      </c>
      <c r="AP20" s="627">
        <v>0</v>
      </c>
      <c r="AQ20" s="627">
        <v>0</v>
      </c>
      <c r="AR20" s="627">
        <v>0</v>
      </c>
      <c r="AS20" s="627">
        <v>0</v>
      </c>
      <c r="AT20" s="627">
        <v>0</v>
      </c>
      <c r="AU20" s="627">
        <v>0</v>
      </c>
      <c r="AV20" s="627">
        <v>0</v>
      </c>
      <c r="AW20" s="627">
        <v>0</v>
      </c>
      <c r="AX20" s="627">
        <v>2726447</v>
      </c>
      <c r="AY20" s="627">
        <v>2705222</v>
      </c>
      <c r="AZ20" s="627">
        <v>1385745</v>
      </c>
      <c r="BA20" s="627">
        <v>71511</v>
      </c>
      <c r="BB20" s="627">
        <v>23.833000000000002</v>
      </c>
      <c r="BC20" s="627">
        <v>0</v>
      </c>
      <c r="BD20" s="627">
        <v>0</v>
      </c>
      <c r="BE20" s="627">
        <v>0</v>
      </c>
      <c r="BF20" s="627">
        <v>0</v>
      </c>
      <c r="BG20" s="627">
        <v>2286898</v>
      </c>
      <c r="BH20" s="627">
        <v>0</v>
      </c>
      <c r="BI20" s="627">
        <v>0</v>
      </c>
      <c r="BJ20" s="627">
        <v>0</v>
      </c>
      <c r="BK20" s="627">
        <v>12</v>
      </c>
      <c r="BL20" s="627">
        <v>0</v>
      </c>
      <c r="BM20" s="627">
        <v>0</v>
      </c>
      <c r="BN20" s="627">
        <v>0</v>
      </c>
      <c r="BO20" s="627">
        <v>0</v>
      </c>
      <c r="BP20" s="627">
        <v>0</v>
      </c>
      <c r="BQ20" s="627">
        <v>0</v>
      </c>
      <c r="BR20" s="627">
        <v>753</v>
      </c>
      <c r="BS20" s="627">
        <v>0</v>
      </c>
      <c r="BT20" s="627">
        <v>0</v>
      </c>
      <c r="BU20" s="627">
        <v>0</v>
      </c>
      <c r="BV20" s="627">
        <v>0</v>
      </c>
      <c r="BW20" s="627">
        <v>0</v>
      </c>
      <c r="BX20" s="627">
        <v>0</v>
      </c>
      <c r="BY20" s="627">
        <v>0</v>
      </c>
      <c r="BZ20" s="627">
        <v>0</v>
      </c>
      <c r="CA20" s="627">
        <v>0</v>
      </c>
      <c r="CB20" s="627">
        <v>0</v>
      </c>
      <c r="CC20" s="627">
        <v>0</v>
      </c>
      <c r="CD20" s="627">
        <v>0</v>
      </c>
      <c r="CE20" s="627">
        <v>0</v>
      </c>
      <c r="CF20" s="627">
        <v>0</v>
      </c>
      <c r="CG20" s="627">
        <v>0</v>
      </c>
      <c r="CH20" s="627">
        <v>0</v>
      </c>
      <c r="CI20" s="627">
        <v>25288</v>
      </c>
      <c r="CJ20" s="627">
        <v>0</v>
      </c>
      <c r="CK20" s="627">
        <v>4</v>
      </c>
      <c r="CL20" s="627">
        <v>0</v>
      </c>
      <c r="CM20" s="627">
        <v>0</v>
      </c>
      <c r="CN20" s="627">
        <v>0</v>
      </c>
      <c r="CO20" s="627">
        <v>0</v>
      </c>
      <c r="CP20" s="627">
        <v>1</v>
      </c>
      <c r="CQ20" s="627">
        <v>0</v>
      </c>
      <c r="CR20" s="627">
        <v>0</v>
      </c>
      <c r="CS20" s="627">
        <v>171.13</v>
      </c>
      <c r="CT20" s="627">
        <v>0</v>
      </c>
      <c r="CU20" s="627">
        <v>0</v>
      </c>
      <c r="CV20" s="627">
        <v>0</v>
      </c>
      <c r="CW20" s="627">
        <v>0</v>
      </c>
      <c r="CX20" s="627">
        <v>0</v>
      </c>
      <c r="CY20" s="627">
        <v>0</v>
      </c>
      <c r="CZ20" s="627">
        <v>0</v>
      </c>
      <c r="DA20" s="627">
        <v>0</v>
      </c>
      <c r="DB20" s="627">
        <v>0</v>
      </c>
      <c r="DC20" s="627">
        <v>172956</v>
      </c>
      <c r="DD20" s="627">
        <v>0</v>
      </c>
      <c r="DE20" s="627">
        <v>0</v>
      </c>
      <c r="DF20" s="627">
        <v>233849</v>
      </c>
      <c r="DG20" s="627">
        <v>233849</v>
      </c>
      <c r="DH20" s="627">
        <v>37.963000000000001</v>
      </c>
      <c r="DI20" s="627">
        <v>0</v>
      </c>
      <c r="DJ20" s="627">
        <v>0</v>
      </c>
      <c r="DK20" s="627">
        <v>0</v>
      </c>
      <c r="DL20" s="627">
        <v>3668</v>
      </c>
      <c r="DM20" s="627">
        <v>0</v>
      </c>
      <c r="DN20" s="627">
        <v>1704998</v>
      </c>
      <c r="DO20" s="627">
        <v>4062</v>
      </c>
      <c r="DP20" s="627">
        <v>0</v>
      </c>
      <c r="DQ20" s="627">
        <v>0</v>
      </c>
      <c r="DR20" s="627">
        <v>0</v>
      </c>
      <c r="DS20" s="627">
        <v>0</v>
      </c>
      <c r="DT20" s="627">
        <v>0</v>
      </c>
      <c r="DU20" s="627">
        <v>0</v>
      </c>
      <c r="DV20" s="627">
        <v>0</v>
      </c>
      <c r="DW20" s="627">
        <v>0</v>
      </c>
      <c r="DX20" s="627">
        <v>0</v>
      </c>
      <c r="DY20" s="627">
        <v>0</v>
      </c>
      <c r="DZ20" s="627">
        <v>0</v>
      </c>
      <c r="EA20" s="627">
        <v>0</v>
      </c>
      <c r="EB20" s="627">
        <v>0</v>
      </c>
      <c r="EC20" s="627">
        <v>0</v>
      </c>
      <c r="ED20" s="627">
        <v>15.842000000000001</v>
      </c>
      <c r="EE20" s="627">
        <v>112225</v>
      </c>
      <c r="EF20" s="627">
        <v>0</v>
      </c>
      <c r="EG20" s="627">
        <v>0</v>
      </c>
      <c r="EH20" s="627">
        <v>0</v>
      </c>
      <c r="EI20" s="627">
        <v>227537</v>
      </c>
      <c r="EJ20" s="627">
        <v>856092</v>
      </c>
      <c r="EK20" s="627">
        <v>34.744</v>
      </c>
      <c r="EL20" s="627">
        <v>11.297000000000001</v>
      </c>
      <c r="EM20" s="627">
        <v>0</v>
      </c>
      <c r="EN20" s="627">
        <v>0</v>
      </c>
      <c r="EO20" s="627">
        <v>0.53900000000000003</v>
      </c>
      <c r="EP20" s="627">
        <v>0</v>
      </c>
      <c r="EQ20" s="627">
        <v>0</v>
      </c>
      <c r="ER20" s="627">
        <v>46.733000000000004</v>
      </c>
      <c r="ES20" s="627">
        <v>0.153</v>
      </c>
      <c r="ET20" s="627">
        <v>36.938000000000002</v>
      </c>
      <c r="EU20" s="627">
        <v>0</v>
      </c>
      <c r="EV20" s="627">
        <v>0</v>
      </c>
      <c r="EW20" s="627">
        <v>0</v>
      </c>
      <c r="EX20" s="627">
        <v>0</v>
      </c>
      <c r="EY20" s="627">
        <v>0</v>
      </c>
      <c r="EZ20" s="627">
        <v>0</v>
      </c>
      <c r="FA20" s="627">
        <v>2318885</v>
      </c>
      <c r="FB20" s="627">
        <v>0</v>
      </c>
      <c r="FC20" s="627">
        <v>2386333</v>
      </c>
      <c r="FD20" s="627">
        <v>0</v>
      </c>
      <c r="FE20" s="627">
        <v>0</v>
      </c>
      <c r="FF20" s="627">
        <v>329305</v>
      </c>
      <c r="FG20" s="627">
        <v>57032</v>
      </c>
      <c r="FH20" s="627">
        <v>7.0280999999999996E-2</v>
      </c>
      <c r="FI20" s="627">
        <v>3.1172999999999999E-2</v>
      </c>
      <c r="FJ20" s="627">
        <v>0</v>
      </c>
      <c r="FK20" s="627">
        <v>0</v>
      </c>
      <c r="FL20" s="627">
        <v>371.25</v>
      </c>
      <c r="FM20" s="627">
        <v>2797958</v>
      </c>
      <c r="FN20" s="627">
        <v>0</v>
      </c>
      <c r="FO20" s="627">
        <v>0</v>
      </c>
      <c r="FP20" s="627">
        <v>89040</v>
      </c>
      <c r="FQ20" s="627">
        <v>0</v>
      </c>
      <c r="FR20" s="627">
        <v>89040</v>
      </c>
      <c r="FS20" s="627">
        <v>89040</v>
      </c>
      <c r="FT20" s="627">
        <v>0</v>
      </c>
      <c r="FU20" s="627">
        <v>0</v>
      </c>
      <c r="FV20" s="627">
        <v>0</v>
      </c>
      <c r="FW20" s="627">
        <v>0</v>
      </c>
      <c r="FX20" s="627">
        <v>0</v>
      </c>
      <c r="FY20" s="627">
        <v>0</v>
      </c>
      <c r="FZ20" s="627">
        <v>0</v>
      </c>
      <c r="GA20" s="627">
        <v>0</v>
      </c>
      <c r="GB20" s="627">
        <v>0</v>
      </c>
      <c r="GC20" s="627">
        <v>0</v>
      </c>
      <c r="GD20" s="627">
        <v>0</v>
      </c>
      <c r="GE20" s="627">
        <v>0</v>
      </c>
      <c r="GF20" s="627">
        <v>0</v>
      </c>
      <c r="GG20" s="627">
        <v>0</v>
      </c>
      <c r="GH20" s="627">
        <v>0</v>
      </c>
      <c r="GI20" s="627">
        <v>0</v>
      </c>
      <c r="GJ20" s="627">
        <v>0</v>
      </c>
      <c r="GK20" s="627">
        <v>0</v>
      </c>
      <c r="GL20" s="627">
        <v>0</v>
      </c>
      <c r="GM20" s="627">
        <v>0</v>
      </c>
      <c r="GN20" s="627">
        <v>0</v>
      </c>
      <c r="GO20" s="627">
        <v>0</v>
      </c>
      <c r="GP20" s="627">
        <v>0</v>
      </c>
      <c r="GQ20" s="627">
        <v>0</v>
      </c>
      <c r="GR20" s="627">
        <v>2701159</v>
      </c>
      <c r="GS20" s="627">
        <v>0</v>
      </c>
      <c r="GT20" s="627">
        <v>0</v>
      </c>
      <c r="GU20" s="627">
        <v>0</v>
      </c>
      <c r="GV20" s="627">
        <v>0</v>
      </c>
      <c r="GW20" s="627">
        <v>0</v>
      </c>
      <c r="GX20" s="627">
        <v>0</v>
      </c>
      <c r="GY20" s="627">
        <v>0</v>
      </c>
      <c r="GZ20" s="627">
        <v>0</v>
      </c>
      <c r="HA20" s="627">
        <v>0</v>
      </c>
      <c r="HB20" s="627">
        <v>0</v>
      </c>
      <c r="HC20" s="627">
        <v>361151439</v>
      </c>
      <c r="HD20" s="627">
        <v>3.9981999999999997E-2</v>
      </c>
      <c r="HE20" s="627">
        <v>25288</v>
      </c>
      <c r="HF20" s="627">
        <v>0</v>
      </c>
      <c r="HG20" s="627">
        <v>122752</v>
      </c>
      <c r="HH20" s="627">
        <v>2464</v>
      </c>
      <c r="HI20" s="627">
        <v>14236</v>
      </c>
      <c r="HJ20" s="627">
        <v>0</v>
      </c>
      <c r="HK20" s="627">
        <v>31581</v>
      </c>
      <c r="HL20" s="627">
        <v>916</v>
      </c>
      <c r="HM20" s="627">
        <v>561</v>
      </c>
      <c r="HN20" s="627">
        <v>0</v>
      </c>
      <c r="HO20" s="627">
        <v>0</v>
      </c>
      <c r="HP20" s="627">
        <v>0</v>
      </c>
      <c r="HQ20" s="627">
        <v>2427</v>
      </c>
      <c r="HR20" s="627">
        <v>0</v>
      </c>
      <c r="HS20" s="627">
        <v>0</v>
      </c>
      <c r="HT20" s="627">
        <v>2314822</v>
      </c>
      <c r="HU20" s="627">
        <v>57032</v>
      </c>
      <c r="HV20" s="627">
        <v>0</v>
      </c>
      <c r="HW20" s="627">
        <v>0</v>
      </c>
      <c r="HX20" s="627">
        <v>0</v>
      </c>
      <c r="HY20" s="627">
        <v>22</v>
      </c>
      <c r="HZ20" s="627">
        <v>24</v>
      </c>
      <c r="IA20" s="627">
        <v>19</v>
      </c>
      <c r="IB20" s="627">
        <v>21</v>
      </c>
      <c r="IC20" s="627">
        <v>62</v>
      </c>
      <c r="ID20" s="627">
        <v>148</v>
      </c>
      <c r="IE20" s="627">
        <v>0</v>
      </c>
      <c r="IF20" s="627">
        <v>0</v>
      </c>
      <c r="IG20" s="627">
        <v>0</v>
      </c>
      <c r="IH20" s="627">
        <v>4</v>
      </c>
      <c r="II20" s="627">
        <v>23.11</v>
      </c>
      <c r="IJ20" s="627">
        <v>8.8239999999999998</v>
      </c>
      <c r="IK20" s="627">
        <v>0</v>
      </c>
      <c r="IL20" s="627">
        <v>38.378</v>
      </c>
      <c r="IM20" s="627">
        <v>0</v>
      </c>
      <c r="IN20" s="627">
        <v>0</v>
      </c>
      <c r="IO20" s="627">
        <v>0</v>
      </c>
      <c r="IP20" s="627">
        <v>0</v>
      </c>
      <c r="IQ20" s="627">
        <v>47.202000000000005</v>
      </c>
      <c r="IR20" s="627">
        <v>0</v>
      </c>
      <c r="IS20" s="627">
        <v>0</v>
      </c>
      <c r="IT20" s="627">
        <v>10554</v>
      </c>
      <c r="IU20" s="627">
        <v>0</v>
      </c>
      <c r="IV20" s="627">
        <v>0</v>
      </c>
      <c r="IW20" s="627">
        <v>0</v>
      </c>
      <c r="IX20" s="627">
        <v>6160</v>
      </c>
      <c r="IY20" s="627">
        <v>0</v>
      </c>
      <c r="IZ20" s="627">
        <v>0</v>
      </c>
      <c r="JA20" s="627">
        <v>12981</v>
      </c>
      <c r="JB20" s="627">
        <v>0</v>
      </c>
      <c r="JC20" s="627">
        <v>0</v>
      </c>
      <c r="JD20" s="627">
        <v>0</v>
      </c>
      <c r="JE20" s="627">
        <v>0</v>
      </c>
      <c r="JF20" s="627">
        <v>0</v>
      </c>
      <c r="JG20" s="627">
        <v>0</v>
      </c>
      <c r="JH20" s="627">
        <v>0</v>
      </c>
      <c r="JI20" s="627">
        <v>0</v>
      </c>
      <c r="JJ20" s="627">
        <v>0</v>
      </c>
      <c r="JK20" s="627">
        <v>0</v>
      </c>
      <c r="JL20" s="627">
        <v>0</v>
      </c>
      <c r="JM20" s="627">
        <v>0</v>
      </c>
      <c r="JN20" s="627">
        <v>0</v>
      </c>
      <c r="JO20" s="627">
        <v>32469</v>
      </c>
      <c r="JP20" s="627">
        <v>0</v>
      </c>
      <c r="JQ20" s="627">
        <v>0</v>
      </c>
      <c r="JR20" s="627">
        <v>0</v>
      </c>
      <c r="JS20" s="627">
        <v>0</v>
      </c>
      <c r="JT20" s="627">
        <v>0</v>
      </c>
      <c r="JU20" s="627">
        <v>0</v>
      </c>
      <c r="JV20" s="627">
        <v>0</v>
      </c>
      <c r="JW20" s="627">
        <v>0</v>
      </c>
      <c r="JX20" s="627">
        <v>0</v>
      </c>
      <c r="JY20" s="627">
        <v>0</v>
      </c>
      <c r="JZ20" s="627">
        <v>0</v>
      </c>
      <c r="KA20" s="627">
        <v>0</v>
      </c>
      <c r="KB20" s="627">
        <v>0</v>
      </c>
      <c r="KC20" s="627">
        <v>0</v>
      </c>
      <c r="KD20" s="627">
        <v>0</v>
      </c>
      <c r="KE20" s="627">
        <v>0</v>
      </c>
      <c r="KF20" s="627">
        <v>7262</v>
      </c>
      <c r="KG20" s="627">
        <v>0</v>
      </c>
      <c r="KH20" s="627">
        <v>0</v>
      </c>
      <c r="KI20" s="627">
        <v>2701159</v>
      </c>
      <c r="KJ20" s="627">
        <v>0</v>
      </c>
      <c r="KK20" s="627">
        <v>4</v>
      </c>
      <c r="KL20" s="627">
        <v>0</v>
      </c>
      <c r="KM20" s="627">
        <v>2464</v>
      </c>
      <c r="KN20" s="627">
        <v>0</v>
      </c>
      <c r="KO20" s="627">
        <v>0</v>
      </c>
      <c r="KP20" s="627">
        <v>0</v>
      </c>
      <c r="KQ20" s="627">
        <v>2701159</v>
      </c>
      <c r="KR20" s="627">
        <v>0</v>
      </c>
      <c r="KS20" s="627">
        <v>0</v>
      </c>
      <c r="KT20" s="627">
        <v>0</v>
      </c>
      <c r="KU20" s="627">
        <v>0</v>
      </c>
      <c r="KV20" s="627">
        <v>0</v>
      </c>
      <c r="KW20" s="627">
        <v>0</v>
      </c>
      <c r="KX20" s="627">
        <v>0</v>
      </c>
      <c r="KY20" s="627">
        <v>0</v>
      </c>
      <c r="KZ20" s="627">
        <v>0</v>
      </c>
      <c r="LA20" s="627">
        <v>0</v>
      </c>
      <c r="LB20" s="627">
        <v>0</v>
      </c>
      <c r="LC20" s="627">
        <v>0</v>
      </c>
      <c r="LD20" s="627">
        <v>0</v>
      </c>
      <c r="LE20" s="627">
        <v>0</v>
      </c>
      <c r="LF20" s="627">
        <v>0</v>
      </c>
    </row>
    <row r="21" spans="1:318" x14ac:dyDescent="0.25">
      <c r="A21" s="627">
        <v>42602</v>
      </c>
      <c r="B21" s="627">
        <v>212801</v>
      </c>
      <c r="D21" s="627">
        <v>9</v>
      </c>
      <c r="E21" s="627">
        <v>2024</v>
      </c>
      <c r="F21" s="627">
        <v>6160</v>
      </c>
      <c r="G21" s="627">
        <v>0</v>
      </c>
      <c r="H21" s="627">
        <v>1844.4580000000001</v>
      </c>
      <c r="I21" s="627">
        <v>1632.3110000000001</v>
      </c>
      <c r="J21" s="627">
        <v>1632.3110000000001</v>
      </c>
      <c r="K21" s="627">
        <v>1844.4580000000001</v>
      </c>
      <c r="L21" s="627">
        <v>0</v>
      </c>
      <c r="M21" s="627">
        <v>6160</v>
      </c>
      <c r="N21" s="627">
        <v>0</v>
      </c>
      <c r="O21" s="627">
        <v>0</v>
      </c>
      <c r="P21" s="627">
        <v>0</v>
      </c>
      <c r="Q21" s="627">
        <v>1861.5250000000001</v>
      </c>
      <c r="R21" s="627">
        <v>0</v>
      </c>
      <c r="S21" s="627">
        <v>772317</v>
      </c>
      <c r="T21" s="627">
        <v>414.88400000000001</v>
      </c>
      <c r="U21" s="627">
        <v>0</v>
      </c>
      <c r="V21" s="627">
        <v>400801</v>
      </c>
      <c r="W21" s="627">
        <v>136.65300000000002</v>
      </c>
      <c r="X21" s="627">
        <v>84178</v>
      </c>
      <c r="Y21" s="627">
        <v>84178</v>
      </c>
      <c r="Z21" s="627">
        <v>0</v>
      </c>
      <c r="AA21" s="627">
        <v>0</v>
      </c>
      <c r="AB21" s="627">
        <v>0</v>
      </c>
      <c r="AC21" s="627">
        <v>0</v>
      </c>
      <c r="AD21" s="627">
        <v>0</v>
      </c>
      <c r="AE21" s="627" t="s">
        <v>314</v>
      </c>
      <c r="AF21" s="627">
        <v>0</v>
      </c>
      <c r="AG21" s="627">
        <v>0</v>
      </c>
      <c r="AH21" s="627">
        <v>0</v>
      </c>
      <c r="AI21" s="627">
        <v>0</v>
      </c>
      <c r="AJ21" s="627">
        <v>0</v>
      </c>
      <c r="AK21" s="627">
        <v>6160</v>
      </c>
      <c r="AL21" s="627" t="s">
        <v>651</v>
      </c>
      <c r="AM21" s="627" t="s">
        <v>73</v>
      </c>
      <c r="AN21" s="627">
        <v>0</v>
      </c>
      <c r="AO21" s="627">
        <v>0</v>
      </c>
      <c r="AP21" s="627">
        <v>0</v>
      </c>
      <c r="AQ21" s="627">
        <v>0</v>
      </c>
      <c r="AR21" s="627">
        <v>0</v>
      </c>
      <c r="AS21" s="627">
        <v>0</v>
      </c>
      <c r="AT21" s="627">
        <v>0</v>
      </c>
      <c r="AU21" s="627">
        <v>0</v>
      </c>
      <c r="AV21" s="627">
        <v>0</v>
      </c>
      <c r="AW21" s="627">
        <v>0</v>
      </c>
      <c r="AX21" s="627">
        <v>19375219</v>
      </c>
      <c r="AY21" s="627">
        <v>19085290</v>
      </c>
      <c r="AZ21" s="627">
        <v>9473750</v>
      </c>
      <c r="BA21" s="627">
        <v>772317</v>
      </c>
      <c r="BB21" s="627">
        <v>41.333000000000006</v>
      </c>
      <c r="BC21" s="627">
        <v>0</v>
      </c>
      <c r="BD21" s="627">
        <v>0</v>
      </c>
      <c r="BE21" s="627">
        <v>0</v>
      </c>
      <c r="BF21" s="627">
        <v>0</v>
      </c>
      <c r="BG21" s="627">
        <v>16958390</v>
      </c>
      <c r="BH21" s="627">
        <v>0</v>
      </c>
      <c r="BI21" s="627">
        <v>0</v>
      </c>
      <c r="BJ21" s="627">
        <v>0</v>
      </c>
      <c r="BK21" s="627">
        <v>12</v>
      </c>
      <c r="BL21" s="627">
        <v>0</v>
      </c>
      <c r="BM21" s="627">
        <v>0</v>
      </c>
      <c r="BN21" s="627">
        <v>0</v>
      </c>
      <c r="BO21" s="627">
        <v>0</v>
      </c>
      <c r="BP21" s="627">
        <v>0</v>
      </c>
      <c r="BQ21" s="627">
        <v>0</v>
      </c>
      <c r="BR21" s="627">
        <v>519</v>
      </c>
      <c r="BS21" s="627">
        <v>0</v>
      </c>
      <c r="BT21" s="627">
        <v>0</v>
      </c>
      <c r="BU21" s="627">
        <v>0</v>
      </c>
      <c r="BV21" s="627">
        <v>0</v>
      </c>
      <c r="BW21" s="627">
        <v>0</v>
      </c>
      <c r="BX21" s="627">
        <v>0</v>
      </c>
      <c r="BY21" s="627">
        <v>0</v>
      </c>
      <c r="BZ21" s="627">
        <v>0</v>
      </c>
      <c r="CA21" s="627">
        <v>0</v>
      </c>
      <c r="CB21" s="627">
        <v>21.818000000000001</v>
      </c>
      <c r="CC21" s="627">
        <v>21818</v>
      </c>
      <c r="CD21" s="627">
        <v>0</v>
      </c>
      <c r="CE21" s="627">
        <v>0</v>
      </c>
      <c r="CF21" s="627">
        <v>0</v>
      </c>
      <c r="CG21" s="627">
        <v>0</v>
      </c>
      <c r="CH21" s="627">
        <v>0</v>
      </c>
      <c r="CI21" s="627">
        <v>294982</v>
      </c>
      <c r="CJ21" s="627">
        <v>0</v>
      </c>
      <c r="CK21" s="627">
        <v>4</v>
      </c>
      <c r="CL21" s="627">
        <v>0</v>
      </c>
      <c r="CM21" s="627">
        <v>0</v>
      </c>
      <c r="CN21" s="627">
        <v>0</v>
      </c>
      <c r="CO21" s="627">
        <v>0</v>
      </c>
      <c r="CP21" s="627">
        <v>1</v>
      </c>
      <c r="CQ21" s="627">
        <v>0</v>
      </c>
      <c r="CR21" s="627">
        <v>1.667</v>
      </c>
      <c r="CS21" s="627">
        <v>1858.23</v>
      </c>
      <c r="CT21" s="627">
        <v>0</v>
      </c>
      <c r="CU21" s="627">
        <v>0</v>
      </c>
      <c r="CV21" s="627">
        <v>0</v>
      </c>
      <c r="CW21" s="627">
        <v>0</v>
      </c>
      <c r="CX21" s="627">
        <v>0</v>
      </c>
      <c r="CY21" s="627">
        <v>0</v>
      </c>
      <c r="CZ21" s="627">
        <v>0</v>
      </c>
      <c r="DA21" s="627">
        <v>0</v>
      </c>
      <c r="DB21" s="627">
        <v>0</v>
      </c>
      <c r="DC21" s="627">
        <v>10055036</v>
      </c>
      <c r="DD21" s="627">
        <v>0</v>
      </c>
      <c r="DE21" s="627">
        <v>0</v>
      </c>
      <c r="DF21" s="627">
        <v>1615922</v>
      </c>
      <c r="DG21" s="627">
        <v>1615922</v>
      </c>
      <c r="DH21" s="627">
        <v>262.32499999999999</v>
      </c>
      <c r="DI21" s="627">
        <v>0</v>
      </c>
      <c r="DJ21" s="627">
        <v>0</v>
      </c>
      <c r="DK21" s="627">
        <v>0</v>
      </c>
      <c r="DL21" s="627">
        <v>0</v>
      </c>
      <c r="DM21" s="627">
        <v>0</v>
      </c>
      <c r="DN21" s="627">
        <v>1482487</v>
      </c>
      <c r="DO21" s="627">
        <v>5053</v>
      </c>
      <c r="DP21" s="627">
        <v>0</v>
      </c>
      <c r="DQ21" s="627">
        <v>0</v>
      </c>
      <c r="DR21" s="627">
        <v>0</v>
      </c>
      <c r="DS21" s="627">
        <v>0</v>
      </c>
      <c r="DT21" s="627">
        <v>0</v>
      </c>
      <c r="DU21" s="627">
        <v>0</v>
      </c>
      <c r="DV21" s="627">
        <v>0</v>
      </c>
      <c r="DW21" s="627">
        <v>0</v>
      </c>
      <c r="DX21" s="627">
        <v>0</v>
      </c>
      <c r="DY21" s="627">
        <v>0</v>
      </c>
      <c r="DZ21" s="627">
        <v>0</v>
      </c>
      <c r="EA21" s="627">
        <v>0</v>
      </c>
      <c r="EB21" s="627">
        <v>0</v>
      </c>
      <c r="EC21" s="627">
        <v>0</v>
      </c>
      <c r="ED21" s="627">
        <v>47.578000000000003</v>
      </c>
      <c r="EE21" s="627">
        <v>337043</v>
      </c>
      <c r="EF21" s="627">
        <v>0</v>
      </c>
      <c r="EG21" s="627">
        <v>0</v>
      </c>
      <c r="EH21" s="627">
        <v>0</v>
      </c>
      <c r="EI21" s="627">
        <v>1150497</v>
      </c>
      <c r="EJ21" s="627">
        <v>0</v>
      </c>
      <c r="EK21" s="627">
        <v>0</v>
      </c>
      <c r="EL21" s="627">
        <v>49.011000000000003</v>
      </c>
      <c r="EM21" s="627">
        <v>0</v>
      </c>
      <c r="EN21" s="627">
        <v>6.3520000000000003</v>
      </c>
      <c r="EO21" s="627">
        <v>4.1360000000000001</v>
      </c>
      <c r="EP21" s="627">
        <v>0</v>
      </c>
      <c r="EQ21" s="627">
        <v>0</v>
      </c>
      <c r="ER21" s="627">
        <v>59.499000000000002</v>
      </c>
      <c r="ES21" s="627">
        <v>0</v>
      </c>
      <c r="ET21" s="627">
        <v>186.76900000000001</v>
      </c>
      <c r="EU21" s="627">
        <v>0</v>
      </c>
      <c r="EV21" s="627">
        <v>0</v>
      </c>
      <c r="EW21" s="627">
        <v>0</v>
      </c>
      <c r="EX21" s="627">
        <v>0</v>
      </c>
      <c r="EY21" s="627">
        <v>0</v>
      </c>
      <c r="EZ21" s="627">
        <v>0</v>
      </c>
      <c r="FA21" s="627">
        <v>16220432</v>
      </c>
      <c r="FB21" s="627">
        <v>0</v>
      </c>
      <c r="FC21" s="627">
        <v>16987696</v>
      </c>
      <c r="FD21" s="627">
        <v>0</v>
      </c>
      <c r="FE21" s="627">
        <v>0</v>
      </c>
      <c r="FF21" s="627">
        <v>2441943</v>
      </c>
      <c r="FG21" s="627">
        <v>422915</v>
      </c>
      <c r="FH21" s="627">
        <v>7.0280999999999996E-2</v>
      </c>
      <c r="FI21" s="627">
        <v>3.1172999999999999E-2</v>
      </c>
      <c r="FJ21" s="627">
        <v>0</v>
      </c>
      <c r="FK21" s="627">
        <v>0</v>
      </c>
      <c r="FL21" s="627">
        <v>2752.9850000000001</v>
      </c>
      <c r="FM21" s="627">
        <v>20147536</v>
      </c>
      <c r="FN21" s="627">
        <v>0</v>
      </c>
      <c r="FO21" s="627">
        <v>0</v>
      </c>
      <c r="FP21" s="627">
        <v>0</v>
      </c>
      <c r="FQ21" s="627">
        <v>0</v>
      </c>
      <c r="FR21" s="627">
        <v>0</v>
      </c>
      <c r="FS21" s="627">
        <v>0</v>
      </c>
      <c r="FT21" s="627">
        <v>0</v>
      </c>
      <c r="FU21" s="627">
        <v>0</v>
      </c>
      <c r="FV21" s="627">
        <v>0</v>
      </c>
      <c r="FW21" s="627">
        <v>0</v>
      </c>
      <c r="FX21" s="627">
        <v>0</v>
      </c>
      <c r="FY21" s="627">
        <v>0</v>
      </c>
      <c r="FZ21" s="627">
        <v>0</v>
      </c>
      <c r="GA21" s="627">
        <v>0</v>
      </c>
      <c r="GB21" s="627">
        <v>0</v>
      </c>
      <c r="GC21" s="627">
        <v>1479677</v>
      </c>
      <c r="GD21" s="627">
        <v>1479677</v>
      </c>
      <c r="GE21" s="627">
        <v>152.648</v>
      </c>
      <c r="GF21" s="627">
        <v>0</v>
      </c>
      <c r="GG21" s="627">
        <v>0</v>
      </c>
      <c r="GH21" s="627">
        <v>0</v>
      </c>
      <c r="GI21" s="627">
        <v>0</v>
      </c>
      <c r="GJ21" s="627">
        <v>0</v>
      </c>
      <c r="GK21" s="627">
        <v>0</v>
      </c>
      <c r="GL21" s="627">
        <v>0</v>
      </c>
      <c r="GM21" s="627">
        <v>0</v>
      </c>
      <c r="GN21" s="627">
        <v>0</v>
      </c>
      <c r="GO21" s="627">
        <v>0</v>
      </c>
      <c r="GP21" s="627">
        <v>0</v>
      </c>
      <c r="GQ21" s="627">
        <v>0</v>
      </c>
      <c r="GR21" s="627">
        <v>19080237</v>
      </c>
      <c r="GS21" s="627">
        <v>0</v>
      </c>
      <c r="GT21" s="627">
        <v>0</v>
      </c>
      <c r="GU21" s="627">
        <v>0</v>
      </c>
      <c r="GV21" s="627">
        <v>0</v>
      </c>
      <c r="GW21" s="627">
        <v>0</v>
      </c>
      <c r="GX21" s="627">
        <v>0</v>
      </c>
      <c r="GY21" s="627">
        <v>0</v>
      </c>
      <c r="GZ21" s="627">
        <v>0</v>
      </c>
      <c r="HA21" s="627">
        <v>0</v>
      </c>
      <c r="HB21" s="627">
        <v>0</v>
      </c>
      <c r="HC21" s="627">
        <v>361151439</v>
      </c>
      <c r="HD21" s="627">
        <v>3.9981999999999997E-2</v>
      </c>
      <c r="HE21" s="627">
        <v>294982</v>
      </c>
      <c r="HF21" s="627">
        <v>0</v>
      </c>
      <c r="HG21" s="627">
        <v>1798807</v>
      </c>
      <c r="HH21" s="627">
        <v>107800</v>
      </c>
      <c r="HI21" s="627">
        <v>220985</v>
      </c>
      <c r="HJ21" s="627">
        <v>0</v>
      </c>
      <c r="HK21" s="627">
        <v>93445</v>
      </c>
      <c r="HL21" s="627">
        <v>7012</v>
      </c>
      <c r="HM21" s="627">
        <v>5529</v>
      </c>
      <c r="HN21" s="627">
        <v>15000</v>
      </c>
      <c r="HO21" s="627">
        <v>0</v>
      </c>
      <c r="HP21" s="627">
        <v>0</v>
      </c>
      <c r="HQ21" s="627">
        <v>0</v>
      </c>
      <c r="HR21" s="627">
        <v>0</v>
      </c>
      <c r="HS21" s="627">
        <v>0</v>
      </c>
      <c r="HT21" s="627">
        <v>16215379</v>
      </c>
      <c r="HU21" s="627">
        <v>422915</v>
      </c>
      <c r="HV21" s="627">
        <v>0</v>
      </c>
      <c r="HW21" s="627">
        <v>0</v>
      </c>
      <c r="HX21" s="627">
        <v>0</v>
      </c>
      <c r="HY21" s="627">
        <v>274</v>
      </c>
      <c r="HZ21" s="627">
        <v>303</v>
      </c>
      <c r="IA21" s="627">
        <v>218</v>
      </c>
      <c r="IB21" s="627">
        <v>157</v>
      </c>
      <c r="IC21" s="627">
        <v>120</v>
      </c>
      <c r="ID21" s="627">
        <v>1072</v>
      </c>
      <c r="IE21" s="627">
        <v>0</v>
      </c>
      <c r="IF21" s="627">
        <v>0</v>
      </c>
      <c r="IG21" s="627">
        <v>0</v>
      </c>
      <c r="IH21" s="627">
        <v>175</v>
      </c>
      <c r="II21" s="627">
        <v>358.74200000000002</v>
      </c>
      <c r="IJ21" s="627">
        <v>0</v>
      </c>
      <c r="IK21" s="627">
        <v>136.65300000000002</v>
      </c>
      <c r="IL21" s="627">
        <v>0</v>
      </c>
      <c r="IM21" s="627">
        <v>0</v>
      </c>
      <c r="IN21" s="627">
        <v>5</v>
      </c>
      <c r="IO21" s="627">
        <v>0</v>
      </c>
      <c r="IP21" s="627">
        <v>5</v>
      </c>
      <c r="IQ21" s="627">
        <v>0</v>
      </c>
      <c r="IR21" s="627">
        <v>136.65300000000002</v>
      </c>
      <c r="IS21" s="627">
        <v>84178</v>
      </c>
      <c r="IT21" s="627">
        <v>0</v>
      </c>
      <c r="IU21" s="627">
        <v>0</v>
      </c>
      <c r="IV21" s="627">
        <v>15000</v>
      </c>
      <c r="IW21" s="627">
        <v>0</v>
      </c>
      <c r="IX21" s="627">
        <v>6160</v>
      </c>
      <c r="IY21" s="627">
        <v>0</v>
      </c>
      <c r="IZ21" s="627">
        <v>0</v>
      </c>
      <c r="JA21" s="627">
        <v>0</v>
      </c>
      <c r="JB21" s="627">
        <v>0</v>
      </c>
      <c r="JC21" s="627">
        <v>0</v>
      </c>
      <c r="JD21" s="627">
        <v>0</v>
      </c>
      <c r="JE21" s="627">
        <v>0</v>
      </c>
      <c r="JF21" s="627">
        <v>0</v>
      </c>
      <c r="JG21" s="627">
        <v>0</v>
      </c>
      <c r="JH21" s="627">
        <v>0</v>
      </c>
      <c r="JI21" s="627">
        <v>0</v>
      </c>
      <c r="JJ21" s="627">
        <v>0</v>
      </c>
      <c r="JK21" s="627">
        <v>0</v>
      </c>
      <c r="JL21" s="627">
        <v>0</v>
      </c>
      <c r="JM21" s="627">
        <v>0</v>
      </c>
      <c r="JN21" s="627">
        <v>0</v>
      </c>
      <c r="JO21" s="627">
        <v>32469</v>
      </c>
      <c r="JP21" s="627">
        <v>1.3120000000000001</v>
      </c>
      <c r="JQ21" s="627">
        <v>106.05800000000001</v>
      </c>
      <c r="JR21" s="627">
        <v>45.277999999999999</v>
      </c>
      <c r="JS21" s="627">
        <v>10481</v>
      </c>
      <c r="JT21" s="627">
        <v>985847</v>
      </c>
      <c r="JU21" s="627">
        <v>483349</v>
      </c>
      <c r="JV21" s="627">
        <v>0</v>
      </c>
      <c r="JW21" s="627">
        <v>0</v>
      </c>
      <c r="JX21" s="627">
        <v>0</v>
      </c>
      <c r="JY21" s="627">
        <v>0</v>
      </c>
      <c r="JZ21" s="627">
        <v>0</v>
      </c>
      <c r="KA21" s="627">
        <v>0</v>
      </c>
      <c r="KB21" s="627">
        <v>0</v>
      </c>
      <c r="KC21" s="627">
        <v>0</v>
      </c>
      <c r="KD21" s="627">
        <v>0</v>
      </c>
      <c r="KE21" s="627">
        <v>0</v>
      </c>
      <c r="KF21" s="627">
        <v>7262</v>
      </c>
      <c r="KG21" s="627">
        <v>0</v>
      </c>
      <c r="KH21" s="627">
        <v>0</v>
      </c>
      <c r="KI21" s="627">
        <v>19080237</v>
      </c>
      <c r="KJ21" s="627">
        <v>0</v>
      </c>
      <c r="KK21" s="627">
        <v>22</v>
      </c>
      <c r="KL21" s="627">
        <v>153</v>
      </c>
      <c r="KM21" s="627">
        <v>13552</v>
      </c>
      <c r="KN21" s="627">
        <v>94248</v>
      </c>
      <c r="KO21" s="627">
        <v>0</v>
      </c>
      <c r="KP21" s="627">
        <v>0</v>
      </c>
      <c r="KQ21" s="627">
        <v>19080237</v>
      </c>
      <c r="KR21" s="627">
        <v>0</v>
      </c>
      <c r="KS21" s="627">
        <v>0</v>
      </c>
      <c r="KT21" s="627">
        <v>0</v>
      </c>
      <c r="KU21" s="627">
        <v>0</v>
      </c>
      <c r="KV21" s="627">
        <v>0</v>
      </c>
      <c r="KW21" s="627">
        <v>0</v>
      </c>
      <c r="KX21" s="627">
        <v>0</v>
      </c>
      <c r="KY21" s="627">
        <v>0</v>
      </c>
      <c r="KZ21" s="627">
        <v>0</v>
      </c>
      <c r="LA21" s="627">
        <v>0</v>
      </c>
      <c r="LB21" s="627">
        <v>0</v>
      </c>
      <c r="LC21" s="627">
        <v>0</v>
      </c>
      <c r="LD21" s="627">
        <v>0</v>
      </c>
      <c r="LE21" s="627">
        <v>0</v>
      </c>
      <c r="LF21" s="627">
        <v>0</v>
      </c>
    </row>
    <row r="22" spans="1:318" x14ac:dyDescent="0.25">
      <c r="A22" s="627">
        <v>42602</v>
      </c>
      <c r="B22" s="627">
        <v>213801</v>
      </c>
      <c r="D22" s="627">
        <v>9</v>
      </c>
      <c r="E22" s="627">
        <v>2024</v>
      </c>
      <c r="F22" s="627">
        <v>6160</v>
      </c>
      <c r="G22" s="627">
        <v>0</v>
      </c>
      <c r="H22" s="627">
        <v>71.147000000000006</v>
      </c>
      <c r="I22" s="627">
        <v>56.577000000000005</v>
      </c>
      <c r="J22" s="627">
        <v>56.577000000000005</v>
      </c>
      <c r="K22" s="627">
        <v>71.147000000000006</v>
      </c>
      <c r="L22" s="627">
        <v>0</v>
      </c>
      <c r="M22" s="627">
        <v>6160</v>
      </c>
      <c r="N22" s="627">
        <v>0</v>
      </c>
      <c r="O22" s="627">
        <v>0</v>
      </c>
      <c r="P22" s="627">
        <v>0</v>
      </c>
      <c r="Q22" s="627">
        <v>94.50500000000001</v>
      </c>
      <c r="R22" s="627">
        <v>0</v>
      </c>
      <c r="S22" s="627">
        <v>39209</v>
      </c>
      <c r="T22" s="627">
        <v>414.88400000000001</v>
      </c>
      <c r="U22" s="627">
        <v>0</v>
      </c>
      <c r="V22" s="627">
        <v>20348</v>
      </c>
      <c r="W22" s="627">
        <v>0</v>
      </c>
      <c r="X22" s="627">
        <v>0</v>
      </c>
      <c r="Y22" s="627">
        <v>0</v>
      </c>
      <c r="Z22" s="627">
        <v>0</v>
      </c>
      <c r="AA22" s="627">
        <v>0</v>
      </c>
      <c r="AB22" s="627">
        <v>0</v>
      </c>
      <c r="AC22" s="627">
        <v>0</v>
      </c>
      <c r="AD22" s="627">
        <v>0</v>
      </c>
      <c r="AE22" s="627" t="s">
        <v>314</v>
      </c>
      <c r="AF22" s="627">
        <v>0</v>
      </c>
      <c r="AG22" s="627">
        <v>0</v>
      </c>
      <c r="AH22" s="627">
        <v>0</v>
      </c>
      <c r="AI22" s="627">
        <v>0</v>
      </c>
      <c r="AJ22" s="627">
        <v>0</v>
      </c>
      <c r="AK22" s="627">
        <v>6160</v>
      </c>
      <c r="AL22" s="627" t="s">
        <v>651</v>
      </c>
      <c r="AM22" s="627" t="s">
        <v>74</v>
      </c>
      <c r="AN22" s="627">
        <v>0</v>
      </c>
      <c r="AO22" s="627">
        <v>0</v>
      </c>
      <c r="AP22" s="627">
        <v>0</v>
      </c>
      <c r="AQ22" s="627">
        <v>0</v>
      </c>
      <c r="AR22" s="627">
        <v>0</v>
      </c>
      <c r="AS22" s="627">
        <v>0</v>
      </c>
      <c r="AT22" s="627">
        <v>0</v>
      </c>
      <c r="AU22" s="627">
        <v>0</v>
      </c>
      <c r="AV22" s="627">
        <v>0</v>
      </c>
      <c r="AW22" s="627">
        <v>0</v>
      </c>
      <c r="AX22" s="627">
        <v>803812</v>
      </c>
      <c r="AY22" s="627">
        <v>784141</v>
      </c>
      <c r="AZ22" s="627">
        <v>480080</v>
      </c>
      <c r="BA22" s="627">
        <v>39209</v>
      </c>
      <c r="BB22" s="627">
        <v>12</v>
      </c>
      <c r="BC22" s="627">
        <v>0</v>
      </c>
      <c r="BD22" s="627">
        <v>0</v>
      </c>
      <c r="BE22" s="627">
        <v>0</v>
      </c>
      <c r="BF22" s="627">
        <v>0</v>
      </c>
      <c r="BG22" s="627">
        <v>701477</v>
      </c>
      <c r="BH22" s="627">
        <v>0</v>
      </c>
      <c r="BI22" s="627">
        <v>0</v>
      </c>
      <c r="BJ22" s="627">
        <v>0</v>
      </c>
      <c r="BK22" s="627">
        <v>12</v>
      </c>
      <c r="BL22" s="627">
        <v>0</v>
      </c>
      <c r="BM22" s="627">
        <v>0</v>
      </c>
      <c r="BN22" s="627">
        <v>0</v>
      </c>
      <c r="BO22" s="627">
        <v>0</v>
      </c>
      <c r="BP22" s="627">
        <v>0</v>
      </c>
      <c r="BQ22" s="627">
        <v>0</v>
      </c>
      <c r="BR22" s="627">
        <v>761</v>
      </c>
      <c r="BS22" s="627">
        <v>0</v>
      </c>
      <c r="BT22" s="627">
        <v>0</v>
      </c>
      <c r="BU22" s="627">
        <v>0</v>
      </c>
      <c r="BV22" s="627">
        <v>0</v>
      </c>
      <c r="BW22" s="627">
        <v>0</v>
      </c>
      <c r="BX22" s="627">
        <v>0</v>
      </c>
      <c r="BY22" s="627">
        <v>0</v>
      </c>
      <c r="BZ22" s="627">
        <v>0</v>
      </c>
      <c r="CA22" s="627">
        <v>0</v>
      </c>
      <c r="CB22" s="627">
        <v>0</v>
      </c>
      <c r="CC22" s="627">
        <v>0</v>
      </c>
      <c r="CD22" s="627">
        <v>0</v>
      </c>
      <c r="CE22" s="627">
        <v>0</v>
      </c>
      <c r="CF22" s="627">
        <v>0</v>
      </c>
      <c r="CG22" s="627">
        <v>0</v>
      </c>
      <c r="CH22" s="627">
        <v>0</v>
      </c>
      <c r="CI22" s="627">
        <v>19872</v>
      </c>
      <c r="CJ22" s="627">
        <v>0</v>
      </c>
      <c r="CK22" s="627">
        <v>4</v>
      </c>
      <c r="CL22" s="627">
        <v>0</v>
      </c>
      <c r="CM22" s="627">
        <v>0</v>
      </c>
      <c r="CN22" s="627">
        <v>0</v>
      </c>
      <c r="CO22" s="627">
        <v>0</v>
      </c>
      <c r="CP22" s="627">
        <v>1</v>
      </c>
      <c r="CQ22" s="627">
        <v>0</v>
      </c>
      <c r="CR22" s="627">
        <v>4.1669999999999998</v>
      </c>
      <c r="CS22" s="627">
        <v>98.29</v>
      </c>
      <c r="CT22" s="627">
        <v>0</v>
      </c>
      <c r="CU22" s="627">
        <v>0</v>
      </c>
      <c r="CV22" s="627">
        <v>0</v>
      </c>
      <c r="CW22" s="627">
        <v>0</v>
      </c>
      <c r="CX22" s="627">
        <v>0</v>
      </c>
      <c r="CY22" s="627">
        <v>0</v>
      </c>
      <c r="CZ22" s="627">
        <v>0</v>
      </c>
      <c r="DA22" s="627">
        <v>0</v>
      </c>
      <c r="DB22" s="627">
        <v>0</v>
      </c>
      <c r="DC22" s="627">
        <v>0</v>
      </c>
      <c r="DD22" s="627">
        <v>0</v>
      </c>
      <c r="DE22" s="627">
        <v>0</v>
      </c>
      <c r="DF22" s="627">
        <v>42966</v>
      </c>
      <c r="DG22" s="627">
        <v>42966</v>
      </c>
      <c r="DH22" s="627">
        <v>6.9750000000000005</v>
      </c>
      <c r="DI22" s="627">
        <v>0</v>
      </c>
      <c r="DJ22" s="627">
        <v>0</v>
      </c>
      <c r="DK22" s="627">
        <v>0</v>
      </c>
      <c r="DL22" s="627">
        <v>3803</v>
      </c>
      <c r="DM22" s="627">
        <v>0</v>
      </c>
      <c r="DN22" s="627">
        <v>445244</v>
      </c>
      <c r="DO22" s="627">
        <v>201</v>
      </c>
      <c r="DP22" s="627">
        <v>0</v>
      </c>
      <c r="DQ22" s="627">
        <v>0</v>
      </c>
      <c r="DR22" s="627">
        <v>0</v>
      </c>
      <c r="DS22" s="627">
        <v>0</v>
      </c>
      <c r="DT22" s="627">
        <v>0</v>
      </c>
      <c r="DU22" s="627">
        <v>0</v>
      </c>
      <c r="DV22" s="627">
        <v>0</v>
      </c>
      <c r="DW22" s="627">
        <v>0</v>
      </c>
      <c r="DX22" s="627">
        <v>0</v>
      </c>
      <c r="DY22" s="627">
        <v>0</v>
      </c>
      <c r="DZ22" s="627">
        <v>0</v>
      </c>
      <c r="EA22" s="627">
        <v>0</v>
      </c>
      <c r="EB22" s="627">
        <v>0</v>
      </c>
      <c r="EC22" s="627">
        <v>0.94900000000000007</v>
      </c>
      <c r="ED22" s="627">
        <v>4.6930000000000005</v>
      </c>
      <c r="EE22" s="627">
        <v>33245</v>
      </c>
      <c r="EF22" s="627">
        <v>0</v>
      </c>
      <c r="EG22" s="627">
        <v>0</v>
      </c>
      <c r="EH22" s="627">
        <v>0</v>
      </c>
      <c r="EI22" s="627">
        <v>25995</v>
      </c>
      <c r="EJ22" s="627">
        <v>0</v>
      </c>
      <c r="EK22" s="627">
        <v>0</v>
      </c>
      <c r="EL22" s="627">
        <v>0.45100000000000001</v>
      </c>
      <c r="EM22" s="627">
        <v>0</v>
      </c>
      <c r="EN22" s="627">
        <v>0</v>
      </c>
      <c r="EO22" s="627">
        <v>4.0000000000000001E-3</v>
      </c>
      <c r="EP22" s="627">
        <v>0</v>
      </c>
      <c r="EQ22" s="627">
        <v>0</v>
      </c>
      <c r="ER22" s="627">
        <v>1.4040000000000001</v>
      </c>
      <c r="ES22" s="627">
        <v>0</v>
      </c>
      <c r="ET22" s="627">
        <v>4.22</v>
      </c>
      <c r="EU22" s="627">
        <v>0</v>
      </c>
      <c r="EV22" s="627">
        <v>0</v>
      </c>
      <c r="EW22" s="627">
        <v>0</v>
      </c>
      <c r="EX22" s="627">
        <v>0</v>
      </c>
      <c r="EY22" s="627">
        <v>0</v>
      </c>
      <c r="EZ22" s="627">
        <v>0</v>
      </c>
      <c r="FA22" s="627">
        <v>665637</v>
      </c>
      <c r="FB22" s="627">
        <v>0</v>
      </c>
      <c r="FC22" s="627">
        <v>704645</v>
      </c>
      <c r="FD22" s="627">
        <v>0</v>
      </c>
      <c r="FE22" s="627">
        <v>0</v>
      </c>
      <c r="FF22" s="627">
        <v>101010</v>
      </c>
      <c r="FG22" s="627">
        <v>17494</v>
      </c>
      <c r="FH22" s="627">
        <v>7.0280999999999996E-2</v>
      </c>
      <c r="FI22" s="627">
        <v>3.1172999999999999E-2</v>
      </c>
      <c r="FJ22" s="627">
        <v>0</v>
      </c>
      <c r="FK22" s="627">
        <v>0</v>
      </c>
      <c r="FL22" s="627">
        <v>113.876</v>
      </c>
      <c r="FM22" s="627">
        <v>843021</v>
      </c>
      <c r="FN22" s="627">
        <v>0</v>
      </c>
      <c r="FO22" s="627">
        <v>0</v>
      </c>
      <c r="FP22" s="627">
        <v>0</v>
      </c>
      <c r="FQ22" s="627">
        <v>0</v>
      </c>
      <c r="FR22" s="627">
        <v>0</v>
      </c>
      <c r="FS22" s="627">
        <v>0</v>
      </c>
      <c r="FT22" s="627">
        <v>0</v>
      </c>
      <c r="FU22" s="627">
        <v>0</v>
      </c>
      <c r="FV22" s="627">
        <v>0</v>
      </c>
      <c r="FW22" s="627">
        <v>0</v>
      </c>
      <c r="FX22" s="627">
        <v>0</v>
      </c>
      <c r="FY22" s="627">
        <v>0</v>
      </c>
      <c r="FZ22" s="627">
        <v>0</v>
      </c>
      <c r="GA22" s="627">
        <v>0</v>
      </c>
      <c r="GB22" s="627">
        <v>0</v>
      </c>
      <c r="GC22" s="627">
        <v>125151</v>
      </c>
      <c r="GD22" s="627">
        <v>125151</v>
      </c>
      <c r="GE22" s="627">
        <v>13.166</v>
      </c>
      <c r="GF22" s="627">
        <v>0</v>
      </c>
      <c r="GG22" s="627">
        <v>0</v>
      </c>
      <c r="GH22" s="627">
        <v>0</v>
      </c>
      <c r="GI22" s="627">
        <v>0</v>
      </c>
      <c r="GJ22" s="627">
        <v>0</v>
      </c>
      <c r="GK22" s="627">
        <v>0</v>
      </c>
      <c r="GL22" s="627">
        <v>0</v>
      </c>
      <c r="GM22" s="627">
        <v>0</v>
      </c>
      <c r="GN22" s="627">
        <v>0</v>
      </c>
      <c r="GO22" s="627">
        <v>0</v>
      </c>
      <c r="GP22" s="627">
        <v>0</v>
      </c>
      <c r="GQ22" s="627">
        <v>0</v>
      </c>
      <c r="GR22" s="627">
        <v>783940</v>
      </c>
      <c r="GS22" s="627">
        <v>0</v>
      </c>
      <c r="GT22" s="627">
        <v>0</v>
      </c>
      <c r="GU22" s="627">
        <v>0</v>
      </c>
      <c r="GV22" s="627">
        <v>0</v>
      </c>
      <c r="GW22" s="627">
        <v>0</v>
      </c>
      <c r="GX22" s="627">
        <v>0</v>
      </c>
      <c r="GY22" s="627">
        <v>0</v>
      </c>
      <c r="GZ22" s="627">
        <v>0</v>
      </c>
      <c r="HA22" s="627">
        <v>0</v>
      </c>
      <c r="HB22" s="627">
        <v>0</v>
      </c>
      <c r="HC22" s="627">
        <v>361151439</v>
      </c>
      <c r="HD22" s="627">
        <v>3.9981999999999997E-2</v>
      </c>
      <c r="HE22" s="627">
        <v>11378</v>
      </c>
      <c r="HF22" s="627">
        <v>0</v>
      </c>
      <c r="HG22" s="627">
        <v>62348</v>
      </c>
      <c r="HH22" s="627">
        <v>9856</v>
      </c>
      <c r="HI22" s="627">
        <v>0</v>
      </c>
      <c r="HJ22" s="627">
        <v>0</v>
      </c>
      <c r="HK22" s="627">
        <v>15711</v>
      </c>
      <c r="HL22" s="627">
        <v>1961</v>
      </c>
      <c r="HM22" s="627">
        <v>1408</v>
      </c>
      <c r="HN22" s="627">
        <v>0</v>
      </c>
      <c r="HO22" s="627">
        <v>0</v>
      </c>
      <c r="HP22" s="627">
        <v>0</v>
      </c>
      <c r="HQ22" s="627">
        <v>0</v>
      </c>
      <c r="HR22" s="627">
        <v>0</v>
      </c>
      <c r="HS22" s="627">
        <v>0</v>
      </c>
      <c r="HT22" s="627">
        <v>665436</v>
      </c>
      <c r="HU22" s="627">
        <v>17494</v>
      </c>
      <c r="HV22" s="627">
        <v>8494</v>
      </c>
      <c r="HW22" s="627">
        <v>0</v>
      </c>
      <c r="HX22" s="627">
        <v>0</v>
      </c>
      <c r="HY22" s="627">
        <v>7</v>
      </c>
      <c r="HZ22" s="627">
        <v>9</v>
      </c>
      <c r="IA22" s="627">
        <v>12</v>
      </c>
      <c r="IB22" s="627">
        <v>1</v>
      </c>
      <c r="IC22" s="627">
        <v>0</v>
      </c>
      <c r="ID22" s="627">
        <v>29</v>
      </c>
      <c r="IE22" s="627">
        <v>0</v>
      </c>
      <c r="IF22" s="627">
        <v>0</v>
      </c>
      <c r="IG22" s="627">
        <v>0</v>
      </c>
      <c r="IH22" s="627">
        <v>16</v>
      </c>
      <c r="II22" s="627">
        <v>0</v>
      </c>
      <c r="IJ22" s="627">
        <v>0</v>
      </c>
      <c r="IK22" s="627">
        <v>0</v>
      </c>
      <c r="IL22" s="627">
        <v>0</v>
      </c>
      <c r="IM22" s="627">
        <v>0</v>
      </c>
      <c r="IN22" s="627">
        <v>0</v>
      </c>
      <c r="IO22" s="627">
        <v>0</v>
      </c>
      <c r="IP22" s="627">
        <v>0</v>
      </c>
      <c r="IQ22" s="627">
        <v>0</v>
      </c>
      <c r="IR22" s="627">
        <v>0</v>
      </c>
      <c r="IS22" s="627">
        <v>0</v>
      </c>
      <c r="IT22" s="627">
        <v>0</v>
      </c>
      <c r="IU22" s="627">
        <v>0</v>
      </c>
      <c r="IV22" s="627">
        <v>0</v>
      </c>
      <c r="IW22" s="627">
        <v>0</v>
      </c>
      <c r="IX22" s="627">
        <v>6160</v>
      </c>
      <c r="IY22" s="627">
        <v>0</v>
      </c>
      <c r="IZ22" s="627">
        <v>0</v>
      </c>
      <c r="JA22" s="627">
        <v>0</v>
      </c>
      <c r="JB22" s="627">
        <v>0</v>
      </c>
      <c r="JC22" s="627">
        <v>0</v>
      </c>
      <c r="JD22" s="627">
        <v>0</v>
      </c>
      <c r="JE22" s="627">
        <v>0</v>
      </c>
      <c r="JF22" s="627">
        <v>0</v>
      </c>
      <c r="JG22" s="627">
        <v>0</v>
      </c>
      <c r="JH22" s="627">
        <v>0</v>
      </c>
      <c r="JI22" s="627">
        <v>0</v>
      </c>
      <c r="JJ22" s="627">
        <v>0</v>
      </c>
      <c r="JK22" s="627">
        <v>0</v>
      </c>
      <c r="JL22" s="627">
        <v>0</v>
      </c>
      <c r="JM22" s="627">
        <v>0</v>
      </c>
      <c r="JN22" s="627">
        <v>0</v>
      </c>
      <c r="JO22" s="627">
        <v>32469</v>
      </c>
      <c r="JP22" s="627">
        <v>1.611</v>
      </c>
      <c r="JQ22" s="627">
        <v>8.0220000000000002</v>
      </c>
      <c r="JR22" s="627">
        <v>3.5330000000000004</v>
      </c>
      <c r="JS22" s="627">
        <v>12869</v>
      </c>
      <c r="JT22" s="627">
        <v>74567</v>
      </c>
      <c r="JU22" s="627">
        <v>37715</v>
      </c>
      <c r="JV22" s="627">
        <v>0</v>
      </c>
      <c r="JW22" s="627">
        <v>8494</v>
      </c>
      <c r="JX22" s="627">
        <v>0</v>
      </c>
      <c r="JY22" s="627">
        <v>0</v>
      </c>
      <c r="JZ22" s="627">
        <v>0</v>
      </c>
      <c r="KA22" s="627">
        <v>0</v>
      </c>
      <c r="KB22" s="627">
        <v>0</v>
      </c>
      <c r="KC22" s="627">
        <v>0</v>
      </c>
      <c r="KD22" s="627">
        <v>0</v>
      </c>
      <c r="KE22" s="627">
        <v>0</v>
      </c>
      <c r="KF22" s="627">
        <v>7262</v>
      </c>
      <c r="KG22" s="627">
        <v>0</v>
      </c>
      <c r="KH22" s="627">
        <v>0</v>
      </c>
      <c r="KI22" s="627">
        <v>783940</v>
      </c>
      <c r="KJ22" s="627">
        <v>0</v>
      </c>
      <c r="KK22" s="627">
        <v>2</v>
      </c>
      <c r="KL22" s="627">
        <v>14</v>
      </c>
      <c r="KM22" s="627">
        <v>1232</v>
      </c>
      <c r="KN22" s="627">
        <v>8624</v>
      </c>
      <c r="KO22" s="627">
        <v>0</v>
      </c>
      <c r="KP22" s="627">
        <v>0</v>
      </c>
      <c r="KQ22" s="627">
        <v>783940</v>
      </c>
      <c r="KR22" s="627">
        <v>0</v>
      </c>
      <c r="KS22" s="627">
        <v>0</v>
      </c>
      <c r="KT22" s="627">
        <v>0</v>
      </c>
      <c r="KU22" s="627">
        <v>0</v>
      </c>
      <c r="KV22" s="627">
        <v>0</v>
      </c>
      <c r="KW22" s="627">
        <v>0</v>
      </c>
      <c r="KX22" s="627">
        <v>0</v>
      </c>
      <c r="KY22" s="627">
        <v>0</v>
      </c>
      <c r="KZ22" s="627">
        <v>0</v>
      </c>
      <c r="LA22" s="627">
        <v>0</v>
      </c>
      <c r="LB22" s="627">
        <v>0</v>
      </c>
      <c r="LC22" s="627">
        <v>0</v>
      </c>
      <c r="LD22" s="627">
        <v>0</v>
      </c>
      <c r="LE22" s="627">
        <v>0</v>
      </c>
      <c r="LF22" s="627">
        <v>0</v>
      </c>
    </row>
    <row r="23" spans="1:318" x14ac:dyDescent="0.25">
      <c r="A23" s="627">
        <v>42602</v>
      </c>
      <c r="B23" s="627">
        <v>220801</v>
      </c>
      <c r="D23" s="627">
        <v>9</v>
      </c>
      <c r="E23" s="627">
        <v>2024</v>
      </c>
      <c r="F23" s="627">
        <v>6160</v>
      </c>
      <c r="G23" s="627">
        <v>0</v>
      </c>
      <c r="H23" s="627">
        <v>330.91800000000001</v>
      </c>
      <c r="I23" s="627">
        <v>318.38400000000001</v>
      </c>
      <c r="J23" s="627">
        <v>318.38400000000001</v>
      </c>
      <c r="K23" s="627">
        <v>330.91800000000001</v>
      </c>
      <c r="L23" s="627">
        <v>0</v>
      </c>
      <c r="M23" s="627">
        <v>6160</v>
      </c>
      <c r="N23" s="627">
        <v>0</v>
      </c>
      <c r="O23" s="627">
        <v>0</v>
      </c>
      <c r="P23" s="627">
        <v>0</v>
      </c>
      <c r="Q23" s="627">
        <v>321.11</v>
      </c>
      <c r="R23" s="627">
        <v>0</v>
      </c>
      <c r="S23" s="627">
        <v>133223</v>
      </c>
      <c r="T23" s="627">
        <v>414.88400000000001</v>
      </c>
      <c r="U23" s="627">
        <v>0</v>
      </c>
      <c r="V23" s="627">
        <v>69136</v>
      </c>
      <c r="W23" s="627">
        <v>5.3850000000000007</v>
      </c>
      <c r="X23" s="627">
        <v>3317</v>
      </c>
      <c r="Y23" s="627">
        <v>3317</v>
      </c>
      <c r="Z23" s="627">
        <v>0</v>
      </c>
      <c r="AA23" s="627">
        <v>0</v>
      </c>
      <c r="AB23" s="627">
        <v>0</v>
      </c>
      <c r="AC23" s="627">
        <v>0</v>
      </c>
      <c r="AD23" s="627">
        <v>0</v>
      </c>
      <c r="AE23" s="627" t="s">
        <v>314</v>
      </c>
      <c r="AF23" s="627">
        <v>0</v>
      </c>
      <c r="AG23" s="627">
        <v>0</v>
      </c>
      <c r="AH23" s="627">
        <v>0</v>
      </c>
      <c r="AI23" s="627">
        <v>0</v>
      </c>
      <c r="AJ23" s="627">
        <v>0</v>
      </c>
      <c r="AK23" s="627">
        <v>6160</v>
      </c>
      <c r="AL23" s="627" t="s">
        <v>651</v>
      </c>
      <c r="AM23" s="627" t="s">
        <v>75</v>
      </c>
      <c r="AN23" s="627">
        <v>0</v>
      </c>
      <c r="AO23" s="627">
        <v>0</v>
      </c>
      <c r="AP23" s="627">
        <v>0</v>
      </c>
      <c r="AQ23" s="627">
        <v>0</v>
      </c>
      <c r="AR23" s="627">
        <v>0</v>
      </c>
      <c r="AS23" s="627">
        <v>0</v>
      </c>
      <c r="AT23" s="627">
        <v>0</v>
      </c>
      <c r="AU23" s="627">
        <v>0</v>
      </c>
      <c r="AV23" s="627">
        <v>0</v>
      </c>
      <c r="AW23" s="627">
        <v>0</v>
      </c>
      <c r="AX23" s="627">
        <v>3073329</v>
      </c>
      <c r="AY23" s="627">
        <v>3021168</v>
      </c>
      <c r="AZ23" s="627">
        <v>1558753</v>
      </c>
      <c r="BA23" s="627">
        <v>133223</v>
      </c>
      <c r="BB23" s="627">
        <v>1.8330000000000002</v>
      </c>
      <c r="BC23" s="627">
        <v>0</v>
      </c>
      <c r="BD23" s="627">
        <v>0</v>
      </c>
      <c r="BE23" s="627">
        <v>0</v>
      </c>
      <c r="BF23" s="627">
        <v>0</v>
      </c>
      <c r="BG23" s="627">
        <v>2697436</v>
      </c>
      <c r="BH23" s="627">
        <v>0</v>
      </c>
      <c r="BI23" s="627">
        <v>0</v>
      </c>
      <c r="BJ23" s="627">
        <v>0</v>
      </c>
      <c r="BK23" s="627">
        <v>12</v>
      </c>
      <c r="BL23" s="627">
        <v>0</v>
      </c>
      <c r="BM23" s="627">
        <v>0</v>
      </c>
      <c r="BN23" s="627">
        <v>0</v>
      </c>
      <c r="BO23" s="627">
        <v>0</v>
      </c>
      <c r="BP23" s="627">
        <v>0</v>
      </c>
      <c r="BQ23" s="627">
        <v>0</v>
      </c>
      <c r="BR23" s="627">
        <v>721</v>
      </c>
      <c r="BS23" s="627">
        <v>0</v>
      </c>
      <c r="BT23" s="627">
        <v>0</v>
      </c>
      <c r="BU23" s="627">
        <v>0</v>
      </c>
      <c r="BV23" s="627">
        <v>0</v>
      </c>
      <c r="BW23" s="627">
        <v>0</v>
      </c>
      <c r="BX23" s="627">
        <v>0</v>
      </c>
      <c r="BY23" s="627">
        <v>0</v>
      </c>
      <c r="BZ23" s="627">
        <v>0</v>
      </c>
      <c r="CA23" s="627">
        <v>0</v>
      </c>
      <c r="CB23" s="627">
        <v>0</v>
      </c>
      <c r="CC23" s="627">
        <v>0</v>
      </c>
      <c r="CD23" s="627">
        <v>0</v>
      </c>
      <c r="CE23" s="627">
        <v>0</v>
      </c>
      <c r="CF23" s="627">
        <v>0</v>
      </c>
      <c r="CG23" s="627">
        <v>0</v>
      </c>
      <c r="CH23" s="627">
        <v>0</v>
      </c>
      <c r="CI23" s="627">
        <v>52923</v>
      </c>
      <c r="CJ23" s="627">
        <v>0</v>
      </c>
      <c r="CK23" s="627">
        <v>4</v>
      </c>
      <c r="CL23" s="627">
        <v>0</v>
      </c>
      <c r="CM23" s="627">
        <v>0</v>
      </c>
      <c r="CN23" s="627">
        <v>0</v>
      </c>
      <c r="CO23" s="627">
        <v>0</v>
      </c>
      <c r="CP23" s="627">
        <v>1</v>
      </c>
      <c r="CQ23" s="627">
        <v>0</v>
      </c>
      <c r="CR23" s="627">
        <v>2</v>
      </c>
      <c r="CS23" s="627">
        <v>321.35000000000002</v>
      </c>
      <c r="CT23" s="627">
        <v>0</v>
      </c>
      <c r="CU23" s="627">
        <v>0</v>
      </c>
      <c r="CV23" s="627">
        <v>0</v>
      </c>
      <c r="CW23" s="627">
        <v>0</v>
      </c>
      <c r="CX23" s="627">
        <v>0</v>
      </c>
      <c r="CY23" s="627">
        <v>0</v>
      </c>
      <c r="CZ23" s="627">
        <v>0</v>
      </c>
      <c r="DA23" s="627">
        <v>0</v>
      </c>
      <c r="DB23" s="627">
        <v>0</v>
      </c>
      <c r="DC23" s="627">
        <v>1961245</v>
      </c>
      <c r="DD23" s="627">
        <v>0</v>
      </c>
      <c r="DE23" s="627">
        <v>0</v>
      </c>
      <c r="DF23" s="627">
        <v>56133</v>
      </c>
      <c r="DG23" s="627">
        <v>56133</v>
      </c>
      <c r="DH23" s="627">
        <v>9.1130000000000013</v>
      </c>
      <c r="DI23" s="627">
        <v>0</v>
      </c>
      <c r="DJ23" s="627">
        <v>0</v>
      </c>
      <c r="DK23" s="627">
        <v>0</v>
      </c>
      <c r="DL23" s="627">
        <v>3158</v>
      </c>
      <c r="DM23" s="627">
        <v>0</v>
      </c>
      <c r="DN23" s="627">
        <v>223514</v>
      </c>
      <c r="DO23" s="627">
        <v>762</v>
      </c>
      <c r="DP23" s="627">
        <v>0</v>
      </c>
      <c r="DQ23" s="627">
        <v>0</v>
      </c>
      <c r="DR23" s="627">
        <v>0</v>
      </c>
      <c r="DS23" s="627">
        <v>0</v>
      </c>
      <c r="DT23" s="627">
        <v>0</v>
      </c>
      <c r="DU23" s="627">
        <v>0</v>
      </c>
      <c r="DV23" s="627">
        <v>0</v>
      </c>
      <c r="DW23" s="627">
        <v>0</v>
      </c>
      <c r="DX23" s="627">
        <v>0</v>
      </c>
      <c r="DY23" s="627">
        <v>0</v>
      </c>
      <c r="DZ23" s="627">
        <v>0</v>
      </c>
      <c r="EA23" s="627">
        <v>0</v>
      </c>
      <c r="EB23" s="627">
        <v>0</v>
      </c>
      <c r="EC23" s="627">
        <v>0</v>
      </c>
      <c r="ED23" s="627">
        <v>16.202999999999999</v>
      </c>
      <c r="EE23" s="627">
        <v>114782</v>
      </c>
      <c r="EF23" s="627">
        <v>0</v>
      </c>
      <c r="EG23" s="627">
        <v>0</v>
      </c>
      <c r="EH23" s="627">
        <v>0</v>
      </c>
      <c r="EI23" s="627">
        <v>109494</v>
      </c>
      <c r="EJ23" s="627">
        <v>0</v>
      </c>
      <c r="EK23" s="627">
        <v>0</v>
      </c>
      <c r="EL23" s="627">
        <v>4.306</v>
      </c>
      <c r="EM23" s="627">
        <v>0</v>
      </c>
      <c r="EN23" s="627">
        <v>7.9000000000000001E-2</v>
      </c>
      <c r="EO23" s="627">
        <v>0.92400000000000004</v>
      </c>
      <c r="EP23" s="627">
        <v>0</v>
      </c>
      <c r="EQ23" s="627">
        <v>0</v>
      </c>
      <c r="ER23" s="627">
        <v>5.3090000000000002</v>
      </c>
      <c r="ES23" s="627">
        <v>0</v>
      </c>
      <c r="ET23" s="627">
        <v>17.775000000000002</v>
      </c>
      <c r="EU23" s="627">
        <v>0</v>
      </c>
      <c r="EV23" s="627">
        <v>0</v>
      </c>
      <c r="EW23" s="627">
        <v>0</v>
      </c>
      <c r="EX23" s="627">
        <v>0</v>
      </c>
      <c r="EY23" s="627">
        <v>0</v>
      </c>
      <c r="EZ23" s="627">
        <v>0</v>
      </c>
      <c r="FA23" s="627">
        <v>2565478</v>
      </c>
      <c r="FB23" s="627">
        <v>0</v>
      </c>
      <c r="FC23" s="627">
        <v>2697939</v>
      </c>
      <c r="FD23" s="627">
        <v>0</v>
      </c>
      <c r="FE23" s="627">
        <v>0</v>
      </c>
      <c r="FF23" s="627">
        <v>388420</v>
      </c>
      <c r="FG23" s="627">
        <v>67270</v>
      </c>
      <c r="FH23" s="627">
        <v>7.0280999999999996E-2</v>
      </c>
      <c r="FI23" s="627">
        <v>3.1172999999999999E-2</v>
      </c>
      <c r="FJ23" s="627">
        <v>0</v>
      </c>
      <c r="FK23" s="627">
        <v>0</v>
      </c>
      <c r="FL23" s="627">
        <v>437.89500000000004</v>
      </c>
      <c r="FM23" s="627">
        <v>3206552</v>
      </c>
      <c r="FN23" s="627">
        <v>0</v>
      </c>
      <c r="FO23" s="627">
        <v>0</v>
      </c>
      <c r="FP23" s="627">
        <v>0</v>
      </c>
      <c r="FQ23" s="627">
        <v>0</v>
      </c>
      <c r="FR23" s="627">
        <v>0</v>
      </c>
      <c r="FS23" s="627">
        <v>0</v>
      </c>
      <c r="FT23" s="627">
        <v>0</v>
      </c>
      <c r="FU23" s="627">
        <v>0</v>
      </c>
      <c r="FV23" s="627">
        <v>0</v>
      </c>
      <c r="FW23" s="627">
        <v>0</v>
      </c>
      <c r="FX23" s="627">
        <v>0</v>
      </c>
      <c r="FY23" s="627">
        <v>0</v>
      </c>
      <c r="FZ23" s="627">
        <v>0</v>
      </c>
      <c r="GA23" s="627">
        <v>0</v>
      </c>
      <c r="GB23" s="627">
        <v>0</v>
      </c>
      <c r="GC23" s="627">
        <v>72636</v>
      </c>
      <c r="GD23" s="627">
        <v>72636</v>
      </c>
      <c r="GE23" s="627">
        <v>7.2250000000000005</v>
      </c>
      <c r="GF23" s="627">
        <v>0</v>
      </c>
      <c r="GG23" s="627">
        <v>0</v>
      </c>
      <c r="GH23" s="627">
        <v>0</v>
      </c>
      <c r="GI23" s="627">
        <v>0</v>
      </c>
      <c r="GJ23" s="627">
        <v>0</v>
      </c>
      <c r="GK23" s="627">
        <v>0</v>
      </c>
      <c r="GL23" s="627">
        <v>0</v>
      </c>
      <c r="GM23" s="627">
        <v>0</v>
      </c>
      <c r="GN23" s="627">
        <v>0</v>
      </c>
      <c r="GO23" s="627">
        <v>0</v>
      </c>
      <c r="GP23" s="627">
        <v>0</v>
      </c>
      <c r="GQ23" s="627">
        <v>0</v>
      </c>
      <c r="GR23" s="627">
        <v>3020406</v>
      </c>
      <c r="GS23" s="627">
        <v>0</v>
      </c>
      <c r="GT23" s="627">
        <v>0</v>
      </c>
      <c r="GU23" s="627">
        <v>0</v>
      </c>
      <c r="GV23" s="627">
        <v>0</v>
      </c>
      <c r="GW23" s="627">
        <v>0</v>
      </c>
      <c r="GX23" s="627">
        <v>0</v>
      </c>
      <c r="GY23" s="627">
        <v>0</v>
      </c>
      <c r="GZ23" s="627">
        <v>0</v>
      </c>
      <c r="HA23" s="627">
        <v>0</v>
      </c>
      <c r="HB23" s="627">
        <v>0</v>
      </c>
      <c r="HC23" s="627">
        <v>361151439</v>
      </c>
      <c r="HD23" s="627">
        <v>3.9981999999999997E-2</v>
      </c>
      <c r="HE23" s="627">
        <v>52923</v>
      </c>
      <c r="HF23" s="627">
        <v>0</v>
      </c>
      <c r="HG23" s="627">
        <v>350859</v>
      </c>
      <c r="HH23" s="627">
        <v>0</v>
      </c>
      <c r="HI23" s="627">
        <v>1661</v>
      </c>
      <c r="HJ23" s="627">
        <v>0</v>
      </c>
      <c r="HK23" s="627">
        <v>18309</v>
      </c>
      <c r="HL23" s="627">
        <v>833</v>
      </c>
      <c r="HM23" s="627">
        <v>432</v>
      </c>
      <c r="HN23" s="627">
        <v>9000</v>
      </c>
      <c r="HO23" s="627">
        <v>0</v>
      </c>
      <c r="HP23" s="627">
        <v>0</v>
      </c>
      <c r="HQ23" s="627">
        <v>0</v>
      </c>
      <c r="HR23" s="627">
        <v>0</v>
      </c>
      <c r="HS23" s="627">
        <v>0</v>
      </c>
      <c r="HT23" s="627">
        <v>2564716</v>
      </c>
      <c r="HU23" s="627">
        <v>67270</v>
      </c>
      <c r="HV23" s="627">
        <v>0</v>
      </c>
      <c r="HW23" s="627">
        <v>0</v>
      </c>
      <c r="HX23" s="627">
        <v>0</v>
      </c>
      <c r="HY23" s="627">
        <v>15</v>
      </c>
      <c r="HZ23" s="627">
        <v>4</v>
      </c>
      <c r="IA23" s="627">
        <v>0</v>
      </c>
      <c r="IB23" s="627">
        <v>13</v>
      </c>
      <c r="IC23" s="627">
        <v>5</v>
      </c>
      <c r="ID23" s="627">
        <v>37</v>
      </c>
      <c r="IE23" s="627">
        <v>0</v>
      </c>
      <c r="IF23" s="627">
        <v>0</v>
      </c>
      <c r="IG23" s="627">
        <v>0</v>
      </c>
      <c r="IH23" s="627">
        <v>0</v>
      </c>
      <c r="II23" s="627">
        <v>2.6970000000000001</v>
      </c>
      <c r="IJ23" s="627">
        <v>0</v>
      </c>
      <c r="IK23" s="627">
        <v>5.3850000000000007</v>
      </c>
      <c r="IL23" s="627">
        <v>0</v>
      </c>
      <c r="IM23" s="627">
        <v>0</v>
      </c>
      <c r="IN23" s="627">
        <v>3</v>
      </c>
      <c r="IO23" s="627">
        <v>0</v>
      </c>
      <c r="IP23" s="627">
        <v>3</v>
      </c>
      <c r="IQ23" s="627">
        <v>0</v>
      </c>
      <c r="IR23" s="627">
        <v>5.3850000000000007</v>
      </c>
      <c r="IS23" s="627">
        <v>3317</v>
      </c>
      <c r="IT23" s="627">
        <v>0</v>
      </c>
      <c r="IU23" s="627">
        <v>0</v>
      </c>
      <c r="IV23" s="627">
        <v>9000</v>
      </c>
      <c r="IW23" s="627">
        <v>0</v>
      </c>
      <c r="IX23" s="627">
        <v>6160</v>
      </c>
      <c r="IY23" s="627">
        <v>0</v>
      </c>
      <c r="IZ23" s="627">
        <v>0</v>
      </c>
      <c r="JA23" s="627">
        <v>0</v>
      </c>
      <c r="JB23" s="627">
        <v>0</v>
      </c>
      <c r="JC23" s="627">
        <v>0</v>
      </c>
      <c r="JD23" s="627">
        <v>0</v>
      </c>
      <c r="JE23" s="627">
        <v>0</v>
      </c>
      <c r="JF23" s="627">
        <v>0</v>
      </c>
      <c r="JG23" s="627">
        <v>0</v>
      </c>
      <c r="JH23" s="627">
        <v>0</v>
      </c>
      <c r="JI23" s="627">
        <v>0</v>
      </c>
      <c r="JJ23" s="627">
        <v>0</v>
      </c>
      <c r="JK23" s="627">
        <v>0</v>
      </c>
      <c r="JL23" s="627">
        <v>0</v>
      </c>
      <c r="JM23" s="627">
        <v>0</v>
      </c>
      <c r="JN23" s="627">
        <v>0</v>
      </c>
      <c r="JO23" s="627">
        <v>32469</v>
      </c>
      <c r="JP23" s="627">
        <v>0</v>
      </c>
      <c r="JQ23" s="627">
        <v>3.2550000000000003</v>
      </c>
      <c r="JR23" s="627">
        <v>3.97</v>
      </c>
      <c r="JS23" s="627">
        <v>0</v>
      </c>
      <c r="JT23" s="627">
        <v>30256</v>
      </c>
      <c r="JU23" s="627">
        <v>42380</v>
      </c>
      <c r="JV23" s="627">
        <v>0</v>
      </c>
      <c r="JW23" s="627">
        <v>0</v>
      </c>
      <c r="JX23" s="627">
        <v>0</v>
      </c>
      <c r="JY23" s="627">
        <v>0</v>
      </c>
      <c r="JZ23" s="627">
        <v>0</v>
      </c>
      <c r="KA23" s="627">
        <v>0</v>
      </c>
      <c r="KB23" s="627">
        <v>0</v>
      </c>
      <c r="KC23" s="627">
        <v>0</v>
      </c>
      <c r="KD23" s="627">
        <v>0</v>
      </c>
      <c r="KE23" s="627">
        <v>0</v>
      </c>
      <c r="KF23" s="627">
        <v>7262</v>
      </c>
      <c r="KG23" s="627">
        <v>0</v>
      </c>
      <c r="KH23" s="627">
        <v>0</v>
      </c>
      <c r="KI23" s="627">
        <v>3020406</v>
      </c>
      <c r="KJ23" s="627">
        <v>0</v>
      </c>
      <c r="KK23" s="627">
        <v>0</v>
      </c>
      <c r="KL23" s="627">
        <v>0</v>
      </c>
      <c r="KM23" s="627">
        <v>0</v>
      </c>
      <c r="KN23" s="627">
        <v>0</v>
      </c>
      <c r="KO23" s="627">
        <v>0</v>
      </c>
      <c r="KP23" s="627">
        <v>0</v>
      </c>
      <c r="KQ23" s="627">
        <v>3020406</v>
      </c>
      <c r="KR23" s="627">
        <v>0</v>
      </c>
      <c r="KS23" s="627">
        <v>0</v>
      </c>
      <c r="KT23" s="627">
        <v>0</v>
      </c>
      <c r="KU23" s="627">
        <v>0</v>
      </c>
      <c r="KV23" s="627">
        <v>0</v>
      </c>
      <c r="KW23" s="627">
        <v>0</v>
      </c>
      <c r="KX23" s="627">
        <v>0</v>
      </c>
      <c r="KY23" s="627">
        <v>0</v>
      </c>
      <c r="KZ23" s="627">
        <v>0</v>
      </c>
      <c r="LA23" s="627">
        <v>0</v>
      </c>
      <c r="LB23" s="627">
        <v>0</v>
      </c>
      <c r="LC23" s="627">
        <v>0</v>
      </c>
      <c r="LD23" s="627">
        <v>0</v>
      </c>
      <c r="LE23" s="627">
        <v>0</v>
      </c>
      <c r="LF23" s="627">
        <v>0</v>
      </c>
    </row>
    <row r="24" spans="1:318" x14ac:dyDescent="0.25">
      <c r="A24" s="627">
        <v>42602</v>
      </c>
      <c r="B24" s="627">
        <v>221801</v>
      </c>
      <c r="D24" s="627">
        <v>9</v>
      </c>
      <c r="E24" s="627">
        <v>2024</v>
      </c>
      <c r="F24" s="627">
        <v>6160</v>
      </c>
      <c r="G24" s="627">
        <v>0</v>
      </c>
      <c r="H24" s="627">
        <v>15438.167000000001</v>
      </c>
      <c r="I24" s="627">
        <v>14919.452000000001</v>
      </c>
      <c r="J24" s="627">
        <v>14919.452000000001</v>
      </c>
      <c r="K24" s="627">
        <v>15438.167000000001</v>
      </c>
      <c r="L24" s="627">
        <v>0</v>
      </c>
      <c r="M24" s="627">
        <v>6160</v>
      </c>
      <c r="N24" s="627">
        <v>0</v>
      </c>
      <c r="O24" s="627">
        <v>0</v>
      </c>
      <c r="P24" s="627">
        <v>0</v>
      </c>
      <c r="Q24" s="627">
        <v>15090.17</v>
      </c>
      <c r="R24" s="627">
        <v>0</v>
      </c>
      <c r="S24" s="627">
        <v>6260670</v>
      </c>
      <c r="T24" s="627">
        <v>414.88400000000001</v>
      </c>
      <c r="U24" s="627">
        <v>0</v>
      </c>
      <c r="V24" s="627">
        <v>3249034</v>
      </c>
      <c r="W24" s="627">
        <v>1672.2330000000002</v>
      </c>
      <c r="X24" s="627">
        <v>1030096</v>
      </c>
      <c r="Y24" s="627">
        <v>1030096</v>
      </c>
      <c r="Z24" s="627">
        <v>0</v>
      </c>
      <c r="AA24" s="627">
        <v>0</v>
      </c>
      <c r="AB24" s="627">
        <v>0</v>
      </c>
      <c r="AC24" s="627">
        <v>0</v>
      </c>
      <c r="AD24" s="627">
        <v>0</v>
      </c>
      <c r="AE24" s="627" t="s">
        <v>314</v>
      </c>
      <c r="AF24" s="627">
        <v>0</v>
      </c>
      <c r="AG24" s="627">
        <v>0</v>
      </c>
      <c r="AH24" s="627">
        <v>0</v>
      </c>
      <c r="AI24" s="627">
        <v>0</v>
      </c>
      <c r="AJ24" s="627">
        <v>0</v>
      </c>
      <c r="AK24" s="627">
        <v>6160</v>
      </c>
      <c r="AL24" s="627" t="s">
        <v>651</v>
      </c>
      <c r="AM24" s="627" t="s">
        <v>363</v>
      </c>
      <c r="AN24" s="627">
        <v>0</v>
      </c>
      <c r="AO24" s="627">
        <v>0</v>
      </c>
      <c r="AP24" s="627">
        <v>0</v>
      </c>
      <c r="AQ24" s="627">
        <v>0</v>
      </c>
      <c r="AR24" s="627">
        <v>0</v>
      </c>
      <c r="AS24" s="627">
        <v>0</v>
      </c>
      <c r="AT24" s="627">
        <v>0</v>
      </c>
      <c r="AU24" s="627">
        <v>0</v>
      </c>
      <c r="AV24" s="627">
        <v>0</v>
      </c>
      <c r="AW24" s="627">
        <v>0</v>
      </c>
      <c r="AX24" s="627">
        <v>155476956</v>
      </c>
      <c r="AY24" s="627">
        <v>153042583</v>
      </c>
      <c r="AZ24" s="627">
        <v>77118306</v>
      </c>
      <c r="BA24" s="627">
        <v>6260670</v>
      </c>
      <c r="BB24" s="627">
        <v>557.83299999999997</v>
      </c>
      <c r="BC24" s="627">
        <v>0</v>
      </c>
      <c r="BD24" s="627">
        <v>0</v>
      </c>
      <c r="BE24" s="627">
        <v>0</v>
      </c>
      <c r="BF24" s="627">
        <v>0</v>
      </c>
      <c r="BG24" s="627">
        <v>135864435</v>
      </c>
      <c r="BH24" s="627">
        <v>0</v>
      </c>
      <c r="BI24" s="627">
        <v>0</v>
      </c>
      <c r="BJ24" s="627">
        <v>0</v>
      </c>
      <c r="BK24" s="627">
        <v>12</v>
      </c>
      <c r="BL24" s="627">
        <v>0</v>
      </c>
      <c r="BM24" s="627">
        <v>0</v>
      </c>
      <c r="BN24" s="627">
        <v>0</v>
      </c>
      <c r="BO24" s="627">
        <v>0</v>
      </c>
      <c r="BP24" s="627">
        <v>0</v>
      </c>
      <c r="BQ24" s="627">
        <v>0</v>
      </c>
      <c r="BR24" s="627">
        <v>0</v>
      </c>
      <c r="BS24" s="627">
        <v>0</v>
      </c>
      <c r="BT24" s="627">
        <v>0</v>
      </c>
      <c r="BU24" s="627">
        <v>0</v>
      </c>
      <c r="BV24" s="627">
        <v>0</v>
      </c>
      <c r="BW24" s="627">
        <v>0</v>
      </c>
      <c r="BX24" s="627">
        <v>0</v>
      </c>
      <c r="BY24" s="627">
        <v>0</v>
      </c>
      <c r="BZ24" s="627">
        <v>0</v>
      </c>
      <c r="CA24" s="627">
        <v>0</v>
      </c>
      <c r="CB24" s="627">
        <v>432.35700000000003</v>
      </c>
      <c r="CC24" s="627">
        <v>432357</v>
      </c>
      <c r="CD24" s="627">
        <v>0</v>
      </c>
      <c r="CE24" s="627">
        <v>0</v>
      </c>
      <c r="CF24" s="627">
        <v>0</v>
      </c>
      <c r="CG24" s="627">
        <v>0</v>
      </c>
      <c r="CH24" s="627">
        <v>0</v>
      </c>
      <c r="CI24" s="627">
        <v>2469005</v>
      </c>
      <c r="CJ24" s="627">
        <v>0</v>
      </c>
      <c r="CK24" s="627">
        <v>4</v>
      </c>
      <c r="CL24" s="627">
        <v>0</v>
      </c>
      <c r="CM24" s="627">
        <v>0</v>
      </c>
      <c r="CN24" s="627">
        <v>0</v>
      </c>
      <c r="CO24" s="627">
        <v>0</v>
      </c>
      <c r="CP24" s="627">
        <v>1</v>
      </c>
      <c r="CQ24" s="627">
        <v>0</v>
      </c>
      <c r="CR24" s="627">
        <v>156.75</v>
      </c>
      <c r="CS24" s="627">
        <v>15170.291000000001</v>
      </c>
      <c r="CT24" s="627">
        <v>0</v>
      </c>
      <c r="CU24" s="627">
        <v>0</v>
      </c>
      <c r="CV24" s="627">
        <v>0</v>
      </c>
      <c r="CW24" s="627">
        <v>0</v>
      </c>
      <c r="CX24" s="627">
        <v>0</v>
      </c>
      <c r="CY24" s="627">
        <v>0</v>
      </c>
      <c r="CZ24" s="627">
        <v>0</v>
      </c>
      <c r="DA24" s="627">
        <v>0</v>
      </c>
      <c r="DB24" s="627">
        <v>0</v>
      </c>
      <c r="DC24" s="627">
        <v>91903824</v>
      </c>
      <c r="DD24" s="627">
        <v>0</v>
      </c>
      <c r="DE24" s="627">
        <v>0</v>
      </c>
      <c r="DF24" s="627">
        <v>10310223</v>
      </c>
      <c r="DG24" s="627">
        <v>10310223</v>
      </c>
      <c r="DH24" s="627">
        <v>1673.7380000000001</v>
      </c>
      <c r="DI24" s="627">
        <v>0</v>
      </c>
      <c r="DJ24" s="627">
        <v>0</v>
      </c>
      <c r="DK24" s="627">
        <v>0</v>
      </c>
      <c r="DL24" s="627">
        <v>0</v>
      </c>
      <c r="DM24" s="627">
        <v>0</v>
      </c>
      <c r="DN24" s="627">
        <v>10160794</v>
      </c>
      <c r="DO24" s="627">
        <v>34632</v>
      </c>
      <c r="DP24" s="627">
        <v>0</v>
      </c>
      <c r="DQ24" s="627">
        <v>0</v>
      </c>
      <c r="DR24" s="627">
        <v>0</v>
      </c>
      <c r="DS24" s="627">
        <v>0</v>
      </c>
      <c r="DT24" s="627">
        <v>0</v>
      </c>
      <c r="DU24" s="627">
        <v>0</v>
      </c>
      <c r="DV24" s="627">
        <v>0</v>
      </c>
      <c r="DW24" s="627">
        <v>0</v>
      </c>
      <c r="DX24" s="627">
        <v>0</v>
      </c>
      <c r="DY24" s="627">
        <v>0</v>
      </c>
      <c r="DZ24" s="627">
        <v>0</v>
      </c>
      <c r="EA24" s="627">
        <v>0</v>
      </c>
      <c r="EB24" s="627">
        <v>0.09</v>
      </c>
      <c r="EC24" s="627">
        <v>0</v>
      </c>
      <c r="ED24" s="627">
        <v>394.851</v>
      </c>
      <c r="EE24" s="627">
        <v>2797124</v>
      </c>
      <c r="EF24" s="627">
        <v>0</v>
      </c>
      <c r="EG24" s="627">
        <v>0</v>
      </c>
      <c r="EH24" s="627">
        <v>0</v>
      </c>
      <c r="EI24" s="627">
        <v>7398302</v>
      </c>
      <c r="EJ24" s="627">
        <v>0</v>
      </c>
      <c r="EK24" s="627">
        <v>0</v>
      </c>
      <c r="EL24" s="627">
        <v>326.11799999999999</v>
      </c>
      <c r="EM24" s="627">
        <v>0.20900000000000002</v>
      </c>
      <c r="EN24" s="627">
        <v>24.478000000000002</v>
      </c>
      <c r="EO24" s="627">
        <v>29.757000000000001</v>
      </c>
      <c r="EP24" s="627">
        <v>0</v>
      </c>
      <c r="EQ24" s="627">
        <v>0</v>
      </c>
      <c r="ER24" s="627">
        <v>380.44300000000004</v>
      </c>
      <c r="ES24" s="627">
        <v>0</v>
      </c>
      <c r="ET24" s="627">
        <v>1201.0230000000001</v>
      </c>
      <c r="EU24" s="627">
        <v>0</v>
      </c>
      <c r="EV24" s="627">
        <v>0</v>
      </c>
      <c r="EW24" s="627">
        <v>0</v>
      </c>
      <c r="EX24" s="627">
        <v>0</v>
      </c>
      <c r="EY24" s="627">
        <v>0</v>
      </c>
      <c r="EZ24" s="627">
        <v>0</v>
      </c>
      <c r="FA24" s="627">
        <v>130090380</v>
      </c>
      <c r="FB24" s="627">
        <v>0</v>
      </c>
      <c r="FC24" s="627">
        <v>136316418</v>
      </c>
      <c r="FD24" s="627">
        <v>0</v>
      </c>
      <c r="FE24" s="627">
        <v>0</v>
      </c>
      <c r="FF24" s="627">
        <v>19563961</v>
      </c>
      <c r="FG24" s="627">
        <v>3388242</v>
      </c>
      <c r="FH24" s="627">
        <v>7.0280999999999996E-2</v>
      </c>
      <c r="FI24" s="627">
        <v>3.1172999999999999E-2</v>
      </c>
      <c r="FJ24" s="627">
        <v>0</v>
      </c>
      <c r="FK24" s="627">
        <v>0</v>
      </c>
      <c r="FL24" s="627">
        <v>22055.915000000001</v>
      </c>
      <c r="FM24" s="627">
        <v>161737626</v>
      </c>
      <c r="FN24" s="627">
        <v>0</v>
      </c>
      <c r="FO24" s="627">
        <v>0</v>
      </c>
      <c r="FP24" s="627">
        <v>224</v>
      </c>
      <c r="FQ24" s="627">
        <v>0</v>
      </c>
      <c r="FR24" s="627">
        <v>224</v>
      </c>
      <c r="FS24" s="627">
        <v>224</v>
      </c>
      <c r="FT24" s="627">
        <v>0</v>
      </c>
      <c r="FU24" s="627">
        <v>0</v>
      </c>
      <c r="FV24" s="627">
        <v>0</v>
      </c>
      <c r="FW24" s="627">
        <v>0</v>
      </c>
      <c r="FX24" s="627">
        <v>0</v>
      </c>
      <c r="FY24" s="627">
        <v>0</v>
      </c>
      <c r="FZ24" s="627">
        <v>0</v>
      </c>
      <c r="GA24" s="627">
        <v>0</v>
      </c>
      <c r="GB24" s="627">
        <v>0</v>
      </c>
      <c r="GC24" s="627">
        <v>1338288</v>
      </c>
      <c r="GD24" s="627">
        <v>1338288</v>
      </c>
      <c r="GE24" s="627">
        <v>138.27200000000002</v>
      </c>
      <c r="GF24" s="627">
        <v>0</v>
      </c>
      <c r="GG24" s="627">
        <v>0</v>
      </c>
      <c r="GH24" s="627">
        <v>0</v>
      </c>
      <c r="GI24" s="627">
        <v>0</v>
      </c>
      <c r="GJ24" s="627">
        <v>0</v>
      </c>
      <c r="GK24" s="627">
        <v>0</v>
      </c>
      <c r="GL24" s="627">
        <v>0</v>
      </c>
      <c r="GM24" s="627">
        <v>0</v>
      </c>
      <c r="GN24" s="627">
        <v>0</v>
      </c>
      <c r="GO24" s="627">
        <v>0</v>
      </c>
      <c r="GP24" s="627">
        <v>0</v>
      </c>
      <c r="GQ24" s="627">
        <v>0</v>
      </c>
      <c r="GR24" s="627">
        <v>153007951</v>
      </c>
      <c r="GS24" s="627">
        <v>0</v>
      </c>
      <c r="GT24" s="627">
        <v>0</v>
      </c>
      <c r="GU24" s="627">
        <v>0</v>
      </c>
      <c r="GV24" s="627">
        <v>0</v>
      </c>
      <c r="GW24" s="627">
        <v>0</v>
      </c>
      <c r="GX24" s="627">
        <v>0</v>
      </c>
      <c r="GY24" s="627">
        <v>0</v>
      </c>
      <c r="GZ24" s="627">
        <v>0</v>
      </c>
      <c r="HA24" s="627">
        <v>0</v>
      </c>
      <c r="HB24" s="627">
        <v>0</v>
      </c>
      <c r="HC24" s="627">
        <v>361151439</v>
      </c>
      <c r="HD24" s="627">
        <v>3.9981999999999997E-2</v>
      </c>
      <c r="HE24" s="627">
        <v>2469005</v>
      </c>
      <c r="HF24" s="627">
        <v>0</v>
      </c>
      <c r="HG24" s="627">
        <v>16441236</v>
      </c>
      <c r="HH24" s="627">
        <v>596288</v>
      </c>
      <c r="HI24" s="627">
        <v>1762969</v>
      </c>
      <c r="HJ24" s="627">
        <v>0</v>
      </c>
      <c r="HK24" s="627">
        <v>769382</v>
      </c>
      <c r="HL24" s="627">
        <v>34567</v>
      </c>
      <c r="HM24" s="627">
        <v>19467</v>
      </c>
      <c r="HN24" s="627">
        <v>511000</v>
      </c>
      <c r="HO24" s="627">
        <v>1005703</v>
      </c>
      <c r="HP24" s="627">
        <v>0</v>
      </c>
      <c r="HQ24" s="627">
        <v>0</v>
      </c>
      <c r="HR24" s="627">
        <v>0</v>
      </c>
      <c r="HS24" s="627">
        <v>0</v>
      </c>
      <c r="HT24" s="627">
        <v>130055748</v>
      </c>
      <c r="HU24" s="627">
        <v>3388242</v>
      </c>
      <c r="HV24" s="627">
        <v>0</v>
      </c>
      <c r="HW24" s="627">
        <v>0</v>
      </c>
      <c r="HX24" s="627">
        <v>0</v>
      </c>
      <c r="HY24" s="627">
        <v>1825</v>
      </c>
      <c r="HZ24" s="627">
        <v>1455</v>
      </c>
      <c r="IA24" s="627">
        <v>1342</v>
      </c>
      <c r="IB24" s="627">
        <v>1110</v>
      </c>
      <c r="IC24" s="627">
        <v>1057</v>
      </c>
      <c r="ID24" s="627">
        <v>6789</v>
      </c>
      <c r="IE24" s="627">
        <v>0</v>
      </c>
      <c r="IF24" s="627">
        <v>0</v>
      </c>
      <c r="IG24" s="627">
        <v>0</v>
      </c>
      <c r="IH24" s="627">
        <v>968</v>
      </c>
      <c r="II24" s="627">
        <v>2861.962</v>
      </c>
      <c r="IJ24" s="627">
        <v>0</v>
      </c>
      <c r="IK24" s="627">
        <v>1672.2330000000002</v>
      </c>
      <c r="IL24" s="627">
        <v>0</v>
      </c>
      <c r="IM24" s="627">
        <v>28</v>
      </c>
      <c r="IN24" s="627">
        <v>121</v>
      </c>
      <c r="IO24" s="627">
        <v>4</v>
      </c>
      <c r="IP24" s="627">
        <v>153</v>
      </c>
      <c r="IQ24" s="627">
        <v>0</v>
      </c>
      <c r="IR24" s="627">
        <v>1672.2330000000002</v>
      </c>
      <c r="IS24" s="627">
        <v>1030096</v>
      </c>
      <c r="IT24" s="627">
        <v>0</v>
      </c>
      <c r="IU24" s="627">
        <v>140000</v>
      </c>
      <c r="IV24" s="627">
        <v>363000</v>
      </c>
      <c r="IW24" s="627">
        <v>8000</v>
      </c>
      <c r="IX24" s="627">
        <v>6160</v>
      </c>
      <c r="IY24" s="627">
        <v>0</v>
      </c>
      <c r="IZ24" s="627">
        <v>0</v>
      </c>
      <c r="JA24" s="627">
        <v>0</v>
      </c>
      <c r="JB24" s="627">
        <v>0</v>
      </c>
      <c r="JC24" s="627">
        <v>16</v>
      </c>
      <c r="JD24" s="627">
        <v>245619</v>
      </c>
      <c r="JE24" s="627">
        <v>62</v>
      </c>
      <c r="JF24" s="627">
        <v>497257</v>
      </c>
      <c r="JG24" s="627">
        <v>52</v>
      </c>
      <c r="JH24" s="627">
        <v>195327</v>
      </c>
      <c r="JI24" s="627">
        <v>67500</v>
      </c>
      <c r="JJ24" s="627">
        <v>0</v>
      </c>
      <c r="JK24" s="627">
        <v>0</v>
      </c>
      <c r="JL24" s="627">
        <v>0</v>
      </c>
      <c r="JM24" s="627">
        <v>0</v>
      </c>
      <c r="JN24" s="627">
        <v>0</v>
      </c>
      <c r="JO24" s="627">
        <v>32469</v>
      </c>
      <c r="JP24" s="627">
        <v>4.2970000000000006</v>
      </c>
      <c r="JQ24" s="627">
        <v>91.492000000000004</v>
      </c>
      <c r="JR24" s="627">
        <v>42.483000000000004</v>
      </c>
      <c r="JS24" s="627">
        <v>34325</v>
      </c>
      <c r="JT24" s="627">
        <v>850451</v>
      </c>
      <c r="JU24" s="627">
        <v>453512</v>
      </c>
      <c r="JV24" s="627">
        <v>0</v>
      </c>
      <c r="JW24" s="627">
        <v>0</v>
      </c>
      <c r="JX24" s="627">
        <v>0</v>
      </c>
      <c r="JY24" s="627">
        <v>0</v>
      </c>
      <c r="JZ24" s="627">
        <v>0</v>
      </c>
      <c r="KA24" s="627">
        <v>0</v>
      </c>
      <c r="KB24" s="627">
        <v>0</v>
      </c>
      <c r="KC24" s="627">
        <v>0</v>
      </c>
      <c r="KD24" s="627">
        <v>0</v>
      </c>
      <c r="KE24" s="627">
        <v>0</v>
      </c>
      <c r="KF24" s="627">
        <v>7262</v>
      </c>
      <c r="KG24" s="627">
        <v>0</v>
      </c>
      <c r="KH24" s="627">
        <v>0</v>
      </c>
      <c r="KI24" s="627">
        <v>153007951</v>
      </c>
      <c r="KJ24" s="627">
        <v>0</v>
      </c>
      <c r="KK24" s="627">
        <v>276</v>
      </c>
      <c r="KL24" s="627">
        <v>692</v>
      </c>
      <c r="KM24" s="627">
        <v>170016</v>
      </c>
      <c r="KN24" s="627">
        <v>426272</v>
      </c>
      <c r="KO24" s="627">
        <v>0</v>
      </c>
      <c r="KP24" s="627">
        <v>0</v>
      </c>
      <c r="KQ24" s="627">
        <v>153007951</v>
      </c>
      <c r="KR24" s="627">
        <v>0</v>
      </c>
      <c r="KS24" s="627">
        <v>0</v>
      </c>
      <c r="KT24" s="627">
        <v>0</v>
      </c>
      <c r="KU24" s="627">
        <v>0</v>
      </c>
      <c r="KV24" s="627">
        <v>0</v>
      </c>
      <c r="KW24" s="627">
        <v>0</v>
      </c>
      <c r="KX24" s="627">
        <v>0</v>
      </c>
      <c r="KY24" s="627">
        <v>0</v>
      </c>
      <c r="KZ24" s="627">
        <v>0</v>
      </c>
      <c r="LA24" s="627">
        <v>0</v>
      </c>
      <c r="LB24" s="627">
        <v>0</v>
      </c>
      <c r="LC24" s="627">
        <v>0</v>
      </c>
      <c r="LD24" s="627">
        <v>0</v>
      </c>
      <c r="LE24" s="627">
        <v>0</v>
      </c>
      <c r="LF24" s="627">
        <v>0</v>
      </c>
    </row>
    <row r="25" spans="1:318" x14ac:dyDescent="0.25">
      <c r="A25" s="627">
        <v>42602</v>
      </c>
      <c r="B25" s="627">
        <v>226801</v>
      </c>
      <c r="D25" s="627">
        <v>9</v>
      </c>
      <c r="E25" s="627">
        <v>2024</v>
      </c>
      <c r="F25" s="627">
        <v>6160</v>
      </c>
      <c r="G25" s="627">
        <v>0</v>
      </c>
      <c r="H25" s="627">
        <v>3735.4880000000003</v>
      </c>
      <c r="I25" s="627">
        <v>3298.2420000000002</v>
      </c>
      <c r="J25" s="627">
        <v>3298.2420000000002</v>
      </c>
      <c r="K25" s="627">
        <v>3735.4880000000003</v>
      </c>
      <c r="L25" s="627">
        <v>0</v>
      </c>
      <c r="M25" s="627">
        <v>6160</v>
      </c>
      <c r="N25" s="627">
        <v>0</v>
      </c>
      <c r="O25" s="627">
        <v>0</v>
      </c>
      <c r="P25" s="627">
        <v>0</v>
      </c>
      <c r="Q25" s="627">
        <v>3481.3920000000003</v>
      </c>
      <c r="R25" s="627">
        <v>0</v>
      </c>
      <c r="S25" s="627">
        <v>1444374</v>
      </c>
      <c r="T25" s="627">
        <v>414.88400000000001</v>
      </c>
      <c r="U25" s="627">
        <v>0</v>
      </c>
      <c r="V25" s="627">
        <v>749573</v>
      </c>
      <c r="W25" s="627">
        <v>123.328</v>
      </c>
      <c r="X25" s="627">
        <v>75970</v>
      </c>
      <c r="Y25" s="627">
        <v>75970</v>
      </c>
      <c r="Z25" s="627">
        <v>0</v>
      </c>
      <c r="AA25" s="627">
        <v>0</v>
      </c>
      <c r="AB25" s="627">
        <v>0</v>
      </c>
      <c r="AC25" s="627">
        <v>0</v>
      </c>
      <c r="AD25" s="627">
        <v>0</v>
      </c>
      <c r="AE25" s="627" t="s">
        <v>314</v>
      </c>
      <c r="AF25" s="627">
        <v>0</v>
      </c>
      <c r="AG25" s="627">
        <v>0</v>
      </c>
      <c r="AH25" s="627">
        <v>0</v>
      </c>
      <c r="AI25" s="627">
        <v>0</v>
      </c>
      <c r="AJ25" s="627">
        <v>0</v>
      </c>
      <c r="AK25" s="627">
        <v>6160</v>
      </c>
      <c r="AL25" s="627" t="s">
        <v>651</v>
      </c>
      <c r="AM25" s="627" t="s">
        <v>639</v>
      </c>
      <c r="AN25" s="627">
        <v>0</v>
      </c>
      <c r="AO25" s="627">
        <v>0</v>
      </c>
      <c r="AP25" s="627">
        <v>0</v>
      </c>
      <c r="AQ25" s="627">
        <v>0</v>
      </c>
      <c r="AR25" s="627">
        <v>0</v>
      </c>
      <c r="AS25" s="627">
        <v>0</v>
      </c>
      <c r="AT25" s="627">
        <v>0</v>
      </c>
      <c r="AU25" s="627">
        <v>0</v>
      </c>
      <c r="AV25" s="627">
        <v>0</v>
      </c>
      <c r="AW25" s="627">
        <v>0</v>
      </c>
      <c r="AX25" s="627">
        <v>39498468</v>
      </c>
      <c r="AY25" s="627">
        <v>38912253</v>
      </c>
      <c r="AZ25" s="627">
        <v>19628067</v>
      </c>
      <c r="BA25" s="627">
        <v>1444374</v>
      </c>
      <c r="BB25" s="627">
        <v>0</v>
      </c>
      <c r="BC25" s="627">
        <v>0</v>
      </c>
      <c r="BD25" s="627">
        <v>0</v>
      </c>
      <c r="BE25" s="627">
        <v>0</v>
      </c>
      <c r="BF25" s="627">
        <v>0</v>
      </c>
      <c r="BG25" s="627">
        <v>34433156</v>
      </c>
      <c r="BH25" s="627">
        <v>0</v>
      </c>
      <c r="BI25" s="627">
        <v>0</v>
      </c>
      <c r="BJ25" s="627">
        <v>0</v>
      </c>
      <c r="BK25" s="627">
        <v>12</v>
      </c>
      <c r="BL25" s="627">
        <v>0</v>
      </c>
      <c r="BM25" s="627">
        <v>0</v>
      </c>
      <c r="BN25" s="627">
        <v>0</v>
      </c>
      <c r="BO25" s="627">
        <v>0</v>
      </c>
      <c r="BP25" s="627">
        <v>0</v>
      </c>
      <c r="BQ25" s="627">
        <v>0</v>
      </c>
      <c r="BR25" s="627">
        <v>262</v>
      </c>
      <c r="BS25" s="627">
        <v>0</v>
      </c>
      <c r="BT25" s="627">
        <v>0</v>
      </c>
      <c r="BU25" s="627">
        <v>0</v>
      </c>
      <c r="BV25" s="627">
        <v>0</v>
      </c>
      <c r="BW25" s="627">
        <v>0</v>
      </c>
      <c r="BX25" s="627">
        <v>0</v>
      </c>
      <c r="BY25" s="627">
        <v>0</v>
      </c>
      <c r="BZ25" s="627">
        <v>0</v>
      </c>
      <c r="CA25" s="627">
        <v>0</v>
      </c>
      <c r="CB25" s="627">
        <v>0</v>
      </c>
      <c r="CC25" s="627">
        <v>0</v>
      </c>
      <c r="CD25" s="627">
        <v>0</v>
      </c>
      <c r="CE25" s="627">
        <v>0</v>
      </c>
      <c r="CF25" s="627">
        <v>0</v>
      </c>
      <c r="CG25" s="627">
        <v>0</v>
      </c>
      <c r="CH25" s="627">
        <v>0</v>
      </c>
      <c r="CI25" s="627">
        <v>597412</v>
      </c>
      <c r="CJ25" s="627">
        <v>0</v>
      </c>
      <c r="CK25" s="627">
        <v>4</v>
      </c>
      <c r="CL25" s="627">
        <v>0</v>
      </c>
      <c r="CM25" s="627">
        <v>0</v>
      </c>
      <c r="CN25" s="627">
        <v>0</v>
      </c>
      <c r="CO25" s="627">
        <v>0</v>
      </c>
      <c r="CP25" s="627">
        <v>1</v>
      </c>
      <c r="CQ25" s="627">
        <v>8.3000000000000004E-2</v>
      </c>
      <c r="CR25" s="627">
        <v>0</v>
      </c>
      <c r="CS25" s="627">
        <v>3474</v>
      </c>
      <c r="CT25" s="627">
        <v>0</v>
      </c>
      <c r="CU25" s="627">
        <v>0</v>
      </c>
      <c r="CV25" s="627">
        <v>0</v>
      </c>
      <c r="CW25" s="627">
        <v>0</v>
      </c>
      <c r="CX25" s="627">
        <v>0</v>
      </c>
      <c r="CY25" s="627">
        <v>0</v>
      </c>
      <c r="CZ25" s="627">
        <v>0</v>
      </c>
      <c r="DA25" s="627">
        <v>0</v>
      </c>
      <c r="DB25" s="627">
        <v>0</v>
      </c>
      <c r="DC25" s="627">
        <v>20317171</v>
      </c>
      <c r="DD25" s="627">
        <v>0</v>
      </c>
      <c r="DE25" s="627">
        <v>0</v>
      </c>
      <c r="DF25" s="627">
        <v>3514049</v>
      </c>
      <c r="DG25" s="627">
        <v>3515281</v>
      </c>
      <c r="DH25" s="627">
        <v>570.46300000000008</v>
      </c>
      <c r="DI25" s="627">
        <v>0</v>
      </c>
      <c r="DJ25" s="627">
        <v>1232</v>
      </c>
      <c r="DK25" s="627">
        <v>0</v>
      </c>
      <c r="DL25" s="627">
        <v>0</v>
      </c>
      <c r="DM25" s="627">
        <v>0</v>
      </c>
      <c r="DN25" s="627">
        <v>3285037</v>
      </c>
      <c r="DO25" s="627">
        <v>11197</v>
      </c>
      <c r="DP25" s="627">
        <v>0</v>
      </c>
      <c r="DQ25" s="627">
        <v>0</v>
      </c>
      <c r="DR25" s="627">
        <v>0</v>
      </c>
      <c r="DS25" s="627">
        <v>0</v>
      </c>
      <c r="DT25" s="627">
        <v>0</v>
      </c>
      <c r="DU25" s="627">
        <v>0</v>
      </c>
      <c r="DV25" s="627">
        <v>0</v>
      </c>
      <c r="DW25" s="627">
        <v>0</v>
      </c>
      <c r="DX25" s="627">
        <v>0</v>
      </c>
      <c r="DY25" s="627">
        <v>0</v>
      </c>
      <c r="DZ25" s="627">
        <v>0</v>
      </c>
      <c r="EA25" s="627">
        <v>0</v>
      </c>
      <c r="EB25" s="627">
        <v>0</v>
      </c>
      <c r="EC25" s="627">
        <v>0</v>
      </c>
      <c r="ED25" s="627">
        <v>123.59200000000001</v>
      </c>
      <c r="EE25" s="627">
        <v>875526</v>
      </c>
      <c r="EF25" s="627">
        <v>0</v>
      </c>
      <c r="EG25" s="627">
        <v>0</v>
      </c>
      <c r="EH25" s="627">
        <v>0</v>
      </c>
      <c r="EI25" s="627">
        <v>2420708</v>
      </c>
      <c r="EJ25" s="627">
        <v>0</v>
      </c>
      <c r="EK25" s="627">
        <v>0</v>
      </c>
      <c r="EL25" s="627">
        <v>102.652</v>
      </c>
      <c r="EM25" s="627">
        <v>0</v>
      </c>
      <c r="EN25" s="627">
        <v>17.071999999999999</v>
      </c>
      <c r="EO25" s="627">
        <v>6.76</v>
      </c>
      <c r="EP25" s="627">
        <v>0</v>
      </c>
      <c r="EQ25" s="627">
        <v>0</v>
      </c>
      <c r="ER25" s="627">
        <v>126.48400000000001</v>
      </c>
      <c r="ES25" s="627">
        <v>0</v>
      </c>
      <c r="ET25" s="627">
        <v>392.97200000000004</v>
      </c>
      <c r="EU25" s="627">
        <v>0</v>
      </c>
      <c r="EV25" s="627">
        <v>0</v>
      </c>
      <c r="EW25" s="627">
        <v>0</v>
      </c>
      <c r="EX25" s="627">
        <v>0</v>
      </c>
      <c r="EY25" s="627">
        <v>0</v>
      </c>
      <c r="EZ25" s="627">
        <v>0</v>
      </c>
      <c r="FA25" s="627">
        <v>33095302</v>
      </c>
      <c r="FB25" s="627">
        <v>0</v>
      </c>
      <c r="FC25" s="627">
        <v>34528479</v>
      </c>
      <c r="FD25" s="627">
        <v>0</v>
      </c>
      <c r="FE25" s="627">
        <v>0</v>
      </c>
      <c r="FF25" s="627">
        <v>4958243</v>
      </c>
      <c r="FG25" s="627">
        <v>858708</v>
      </c>
      <c r="FH25" s="627">
        <v>7.0280999999999996E-2</v>
      </c>
      <c r="FI25" s="627">
        <v>3.1172999999999999E-2</v>
      </c>
      <c r="FJ25" s="627">
        <v>0</v>
      </c>
      <c r="FK25" s="627">
        <v>0</v>
      </c>
      <c r="FL25" s="627">
        <v>5589.7980000000007</v>
      </c>
      <c r="FM25" s="627">
        <v>40942842</v>
      </c>
      <c r="FN25" s="627">
        <v>0</v>
      </c>
      <c r="FO25" s="627">
        <v>0</v>
      </c>
      <c r="FP25" s="627">
        <v>90405</v>
      </c>
      <c r="FQ25" s="627">
        <v>0</v>
      </c>
      <c r="FR25" s="627">
        <v>90405</v>
      </c>
      <c r="FS25" s="627">
        <v>90405</v>
      </c>
      <c r="FT25" s="627">
        <v>0</v>
      </c>
      <c r="FU25" s="627">
        <v>0</v>
      </c>
      <c r="FV25" s="627">
        <v>0</v>
      </c>
      <c r="FW25" s="627">
        <v>0</v>
      </c>
      <c r="FX25" s="627">
        <v>0</v>
      </c>
      <c r="FY25" s="627">
        <v>0</v>
      </c>
      <c r="FZ25" s="627">
        <v>0</v>
      </c>
      <c r="GA25" s="627">
        <v>0</v>
      </c>
      <c r="GB25" s="627">
        <v>0</v>
      </c>
      <c r="GC25" s="627">
        <v>2939587</v>
      </c>
      <c r="GD25" s="627">
        <v>2939587</v>
      </c>
      <c r="GE25" s="627">
        <v>310.762</v>
      </c>
      <c r="GF25" s="627">
        <v>0</v>
      </c>
      <c r="GG25" s="627">
        <v>0</v>
      </c>
      <c r="GH25" s="627">
        <v>0</v>
      </c>
      <c r="GI25" s="627">
        <v>0</v>
      </c>
      <c r="GJ25" s="627">
        <v>0</v>
      </c>
      <c r="GK25" s="627">
        <v>0</v>
      </c>
      <c r="GL25" s="627">
        <v>0</v>
      </c>
      <c r="GM25" s="627">
        <v>0</v>
      </c>
      <c r="GN25" s="627">
        <v>0</v>
      </c>
      <c r="GO25" s="627">
        <v>0</v>
      </c>
      <c r="GP25" s="627">
        <v>0</v>
      </c>
      <c r="GQ25" s="627">
        <v>0</v>
      </c>
      <c r="GR25" s="627">
        <v>38901056</v>
      </c>
      <c r="GS25" s="627">
        <v>0</v>
      </c>
      <c r="GT25" s="627">
        <v>0</v>
      </c>
      <c r="GU25" s="627">
        <v>0</v>
      </c>
      <c r="GV25" s="627">
        <v>0</v>
      </c>
      <c r="GW25" s="627">
        <v>0</v>
      </c>
      <c r="GX25" s="627">
        <v>0</v>
      </c>
      <c r="GY25" s="627">
        <v>0</v>
      </c>
      <c r="GZ25" s="627">
        <v>0</v>
      </c>
      <c r="HA25" s="627">
        <v>0</v>
      </c>
      <c r="HB25" s="627">
        <v>0</v>
      </c>
      <c r="HC25" s="627">
        <v>361151439</v>
      </c>
      <c r="HD25" s="627">
        <v>3.9981999999999997E-2</v>
      </c>
      <c r="HE25" s="627">
        <v>597412</v>
      </c>
      <c r="HF25" s="627">
        <v>0</v>
      </c>
      <c r="HG25" s="627">
        <v>3634663</v>
      </c>
      <c r="HH25" s="627">
        <v>109032</v>
      </c>
      <c r="HI25" s="627">
        <v>447863</v>
      </c>
      <c r="HJ25" s="627">
        <v>0</v>
      </c>
      <c r="HK25" s="627">
        <v>97355</v>
      </c>
      <c r="HL25" s="627">
        <v>9546</v>
      </c>
      <c r="HM25" s="627">
        <v>6569</v>
      </c>
      <c r="HN25" s="627">
        <v>0</v>
      </c>
      <c r="HO25" s="627">
        <v>0</v>
      </c>
      <c r="HP25" s="627">
        <v>0</v>
      </c>
      <c r="HQ25" s="627">
        <v>0</v>
      </c>
      <c r="HR25" s="627">
        <v>0</v>
      </c>
      <c r="HS25" s="627">
        <v>0</v>
      </c>
      <c r="HT25" s="627">
        <v>33084105</v>
      </c>
      <c r="HU25" s="627">
        <v>858708</v>
      </c>
      <c r="HV25" s="627">
        <v>0</v>
      </c>
      <c r="HW25" s="627">
        <v>0</v>
      </c>
      <c r="HX25" s="627">
        <v>0</v>
      </c>
      <c r="HY25" s="627">
        <v>485</v>
      </c>
      <c r="HZ25" s="627">
        <v>653</v>
      </c>
      <c r="IA25" s="627">
        <v>377</v>
      </c>
      <c r="IB25" s="627">
        <v>486</v>
      </c>
      <c r="IC25" s="627">
        <v>307</v>
      </c>
      <c r="ID25" s="627">
        <v>2308</v>
      </c>
      <c r="IE25" s="627">
        <v>0</v>
      </c>
      <c r="IF25" s="627">
        <v>0</v>
      </c>
      <c r="IG25" s="627">
        <v>0</v>
      </c>
      <c r="IH25" s="627">
        <v>177</v>
      </c>
      <c r="II25" s="627">
        <v>727.05000000000007</v>
      </c>
      <c r="IJ25" s="627">
        <v>0</v>
      </c>
      <c r="IK25" s="627">
        <v>123.328</v>
      </c>
      <c r="IL25" s="627">
        <v>0</v>
      </c>
      <c r="IM25" s="627">
        <v>0</v>
      </c>
      <c r="IN25" s="627">
        <v>0</v>
      </c>
      <c r="IO25" s="627">
        <v>0</v>
      </c>
      <c r="IP25" s="627">
        <v>0</v>
      </c>
      <c r="IQ25" s="627">
        <v>0</v>
      </c>
      <c r="IR25" s="627">
        <v>123.328</v>
      </c>
      <c r="IS25" s="627">
        <v>75970</v>
      </c>
      <c r="IT25" s="627">
        <v>0</v>
      </c>
      <c r="IU25" s="627">
        <v>0</v>
      </c>
      <c r="IV25" s="627">
        <v>0</v>
      </c>
      <c r="IW25" s="627">
        <v>0</v>
      </c>
      <c r="IX25" s="627">
        <v>6160</v>
      </c>
      <c r="IY25" s="627">
        <v>0</v>
      </c>
      <c r="IZ25" s="627">
        <v>0</v>
      </c>
      <c r="JA25" s="627">
        <v>0</v>
      </c>
      <c r="JB25" s="627">
        <v>0</v>
      </c>
      <c r="JC25" s="627">
        <v>0</v>
      </c>
      <c r="JD25" s="627">
        <v>0</v>
      </c>
      <c r="JE25" s="627">
        <v>0</v>
      </c>
      <c r="JF25" s="627">
        <v>0</v>
      </c>
      <c r="JG25" s="627">
        <v>0</v>
      </c>
      <c r="JH25" s="627">
        <v>0</v>
      </c>
      <c r="JI25" s="627">
        <v>0</v>
      </c>
      <c r="JJ25" s="627">
        <v>0</v>
      </c>
      <c r="JK25" s="627">
        <v>0</v>
      </c>
      <c r="JL25" s="627">
        <v>0</v>
      </c>
      <c r="JM25" s="627">
        <v>0</v>
      </c>
      <c r="JN25" s="627">
        <v>0</v>
      </c>
      <c r="JO25" s="627">
        <v>32469</v>
      </c>
      <c r="JP25" s="627">
        <v>22.622</v>
      </c>
      <c r="JQ25" s="627">
        <v>229.78800000000001</v>
      </c>
      <c r="JR25" s="627">
        <v>58.352000000000004</v>
      </c>
      <c r="JS25" s="627">
        <v>180709</v>
      </c>
      <c r="JT25" s="627">
        <v>2135962</v>
      </c>
      <c r="JU25" s="627">
        <v>622916</v>
      </c>
      <c r="JV25" s="627">
        <v>0</v>
      </c>
      <c r="JW25" s="627">
        <v>0</v>
      </c>
      <c r="JX25" s="627">
        <v>0</v>
      </c>
      <c r="JY25" s="627">
        <v>0</v>
      </c>
      <c r="JZ25" s="627">
        <v>0</v>
      </c>
      <c r="KA25" s="627">
        <v>0</v>
      </c>
      <c r="KB25" s="627">
        <v>0</v>
      </c>
      <c r="KC25" s="627">
        <v>0</v>
      </c>
      <c r="KD25" s="627">
        <v>0</v>
      </c>
      <c r="KE25" s="627">
        <v>0</v>
      </c>
      <c r="KF25" s="627">
        <v>7262</v>
      </c>
      <c r="KG25" s="627">
        <v>0</v>
      </c>
      <c r="KH25" s="627">
        <v>0</v>
      </c>
      <c r="KI25" s="627">
        <v>38901056</v>
      </c>
      <c r="KJ25" s="627">
        <v>0</v>
      </c>
      <c r="KK25" s="627">
        <v>42</v>
      </c>
      <c r="KL25" s="627">
        <v>135</v>
      </c>
      <c r="KM25" s="627">
        <v>25872</v>
      </c>
      <c r="KN25" s="627">
        <v>83160</v>
      </c>
      <c r="KO25" s="627">
        <v>0</v>
      </c>
      <c r="KP25" s="627">
        <v>0</v>
      </c>
      <c r="KQ25" s="627">
        <v>38901056</v>
      </c>
      <c r="KR25" s="627">
        <v>0</v>
      </c>
      <c r="KS25" s="627">
        <v>0</v>
      </c>
      <c r="KT25" s="627">
        <v>0</v>
      </c>
      <c r="KU25" s="627">
        <v>0</v>
      </c>
      <c r="KV25" s="627">
        <v>0</v>
      </c>
      <c r="KW25" s="627">
        <v>0</v>
      </c>
      <c r="KX25" s="627">
        <v>0</v>
      </c>
      <c r="KY25" s="627">
        <v>0</v>
      </c>
      <c r="KZ25" s="627">
        <v>0</v>
      </c>
      <c r="LA25" s="627">
        <v>0</v>
      </c>
      <c r="LB25" s="627">
        <v>0</v>
      </c>
      <c r="LC25" s="627">
        <v>0</v>
      </c>
      <c r="LD25" s="627">
        <v>0</v>
      </c>
      <c r="LE25" s="627">
        <v>0</v>
      </c>
      <c r="LF25" s="627">
        <v>0</v>
      </c>
    </row>
    <row r="26" spans="1:318" x14ac:dyDescent="0.25">
      <c r="A26" s="627">
        <v>42602</v>
      </c>
      <c r="B26" s="627">
        <v>234801</v>
      </c>
      <c r="D26" s="627">
        <v>9</v>
      </c>
      <c r="E26" s="627">
        <v>2024</v>
      </c>
      <c r="F26" s="627">
        <v>6160</v>
      </c>
      <c r="G26" s="627">
        <v>0</v>
      </c>
      <c r="H26" s="627">
        <v>67.167000000000002</v>
      </c>
      <c r="I26" s="627">
        <v>55.702000000000005</v>
      </c>
      <c r="J26" s="627">
        <v>55.702000000000005</v>
      </c>
      <c r="K26" s="627">
        <v>67.167000000000002</v>
      </c>
      <c r="L26" s="627">
        <v>0</v>
      </c>
      <c r="M26" s="627">
        <v>6160</v>
      </c>
      <c r="N26" s="627">
        <v>0</v>
      </c>
      <c r="O26" s="627">
        <v>0</v>
      </c>
      <c r="P26" s="627">
        <v>0</v>
      </c>
      <c r="Q26" s="627">
        <v>84.867000000000004</v>
      </c>
      <c r="R26" s="627">
        <v>0</v>
      </c>
      <c r="S26" s="627">
        <v>35210</v>
      </c>
      <c r="T26" s="627">
        <v>414.88400000000001</v>
      </c>
      <c r="U26" s="627">
        <v>0</v>
      </c>
      <c r="V26" s="627">
        <v>18273</v>
      </c>
      <c r="W26" s="627">
        <v>0</v>
      </c>
      <c r="X26" s="627">
        <v>0</v>
      </c>
      <c r="Y26" s="627">
        <v>0</v>
      </c>
      <c r="Z26" s="627">
        <v>0</v>
      </c>
      <c r="AA26" s="627">
        <v>0</v>
      </c>
      <c r="AB26" s="627">
        <v>0</v>
      </c>
      <c r="AC26" s="627">
        <v>0</v>
      </c>
      <c r="AD26" s="627">
        <v>0</v>
      </c>
      <c r="AE26" s="627" t="s">
        <v>314</v>
      </c>
      <c r="AF26" s="627">
        <v>0</v>
      </c>
      <c r="AG26" s="627">
        <v>0</v>
      </c>
      <c r="AH26" s="627">
        <v>0</v>
      </c>
      <c r="AI26" s="627">
        <v>0</v>
      </c>
      <c r="AJ26" s="627">
        <v>0</v>
      </c>
      <c r="AK26" s="627">
        <v>6160</v>
      </c>
      <c r="AL26" s="627" t="s">
        <v>651</v>
      </c>
      <c r="AM26" s="627" t="s">
        <v>81</v>
      </c>
      <c r="AN26" s="627">
        <v>0</v>
      </c>
      <c r="AO26" s="627">
        <v>0</v>
      </c>
      <c r="AP26" s="627">
        <v>0</v>
      </c>
      <c r="AQ26" s="627">
        <v>0</v>
      </c>
      <c r="AR26" s="627">
        <v>0</v>
      </c>
      <c r="AS26" s="627">
        <v>0</v>
      </c>
      <c r="AT26" s="627">
        <v>0</v>
      </c>
      <c r="AU26" s="627">
        <v>0</v>
      </c>
      <c r="AV26" s="627">
        <v>0</v>
      </c>
      <c r="AW26" s="627">
        <v>-36087</v>
      </c>
      <c r="AX26" s="627">
        <v>941493</v>
      </c>
      <c r="AY26" s="627">
        <v>931751</v>
      </c>
      <c r="AZ26" s="627">
        <v>570403</v>
      </c>
      <c r="BA26" s="627">
        <v>35210</v>
      </c>
      <c r="BB26" s="627">
        <v>7</v>
      </c>
      <c r="BC26" s="627">
        <v>0</v>
      </c>
      <c r="BD26" s="627">
        <v>0</v>
      </c>
      <c r="BE26" s="627">
        <v>0</v>
      </c>
      <c r="BF26" s="627">
        <v>0</v>
      </c>
      <c r="BG26" s="627">
        <v>805836</v>
      </c>
      <c r="BH26" s="627">
        <v>0</v>
      </c>
      <c r="BI26" s="627">
        <v>0</v>
      </c>
      <c r="BJ26" s="627">
        <v>0</v>
      </c>
      <c r="BK26" s="627">
        <v>12</v>
      </c>
      <c r="BL26" s="627">
        <v>0</v>
      </c>
      <c r="BM26" s="627">
        <v>0</v>
      </c>
      <c r="BN26" s="627">
        <v>0</v>
      </c>
      <c r="BO26" s="627">
        <v>0</v>
      </c>
      <c r="BP26" s="627">
        <v>0</v>
      </c>
      <c r="BQ26" s="627">
        <v>0</v>
      </c>
      <c r="BR26" s="627">
        <v>761</v>
      </c>
      <c r="BS26" s="627">
        <v>0</v>
      </c>
      <c r="BT26" s="627">
        <v>0</v>
      </c>
      <c r="BU26" s="627">
        <v>0</v>
      </c>
      <c r="BV26" s="627">
        <v>0</v>
      </c>
      <c r="BW26" s="627">
        <v>0</v>
      </c>
      <c r="BX26" s="627">
        <v>0</v>
      </c>
      <c r="BY26" s="627">
        <v>0</v>
      </c>
      <c r="BZ26" s="627">
        <v>0</v>
      </c>
      <c r="CA26" s="627">
        <v>0</v>
      </c>
      <c r="CB26" s="627">
        <v>0</v>
      </c>
      <c r="CC26" s="627">
        <v>0</v>
      </c>
      <c r="CD26" s="627">
        <v>0</v>
      </c>
      <c r="CE26" s="627">
        <v>0</v>
      </c>
      <c r="CF26" s="627">
        <v>0</v>
      </c>
      <c r="CG26" s="627">
        <v>0</v>
      </c>
      <c r="CH26" s="627">
        <v>0</v>
      </c>
      <c r="CI26" s="627">
        <v>10742</v>
      </c>
      <c r="CJ26" s="627">
        <v>0</v>
      </c>
      <c r="CK26" s="627">
        <v>5</v>
      </c>
      <c r="CL26" s="627">
        <v>0</v>
      </c>
      <c r="CM26" s="627">
        <v>0</v>
      </c>
      <c r="CN26" s="627">
        <v>0</v>
      </c>
      <c r="CO26" s="627">
        <v>0</v>
      </c>
      <c r="CP26" s="627">
        <v>1</v>
      </c>
      <c r="CQ26" s="627">
        <v>0</v>
      </c>
      <c r="CR26" s="627">
        <v>0</v>
      </c>
      <c r="CS26" s="627">
        <v>81.510000000000005</v>
      </c>
      <c r="CT26" s="627">
        <v>0</v>
      </c>
      <c r="CU26" s="627">
        <v>0</v>
      </c>
      <c r="CV26" s="627">
        <v>0</v>
      </c>
      <c r="CW26" s="627">
        <v>0</v>
      </c>
      <c r="CX26" s="627">
        <v>0</v>
      </c>
      <c r="CY26" s="627">
        <v>0</v>
      </c>
      <c r="CZ26" s="627">
        <v>0</v>
      </c>
      <c r="DA26" s="627">
        <v>0</v>
      </c>
      <c r="DB26" s="627">
        <v>0</v>
      </c>
      <c r="DC26" s="627">
        <v>343124</v>
      </c>
      <c r="DD26" s="627">
        <v>0</v>
      </c>
      <c r="DE26" s="627">
        <v>0</v>
      </c>
      <c r="DF26" s="627">
        <v>80773</v>
      </c>
      <c r="DG26" s="627">
        <v>85701</v>
      </c>
      <c r="DH26" s="627">
        <v>13.113000000000001</v>
      </c>
      <c r="DI26" s="627">
        <v>0</v>
      </c>
      <c r="DJ26" s="627">
        <v>0</v>
      </c>
      <c r="DK26" s="627">
        <v>0</v>
      </c>
      <c r="DL26" s="627">
        <v>3805</v>
      </c>
      <c r="DM26" s="627">
        <v>0</v>
      </c>
      <c r="DN26" s="627">
        <v>293411</v>
      </c>
      <c r="DO26" s="627">
        <v>1000</v>
      </c>
      <c r="DP26" s="627">
        <v>0</v>
      </c>
      <c r="DQ26" s="627">
        <v>0</v>
      </c>
      <c r="DR26" s="627">
        <v>0</v>
      </c>
      <c r="DS26" s="627">
        <v>0</v>
      </c>
      <c r="DT26" s="627">
        <v>0</v>
      </c>
      <c r="DU26" s="627">
        <v>0</v>
      </c>
      <c r="DV26" s="627">
        <v>0</v>
      </c>
      <c r="DW26" s="627">
        <v>0</v>
      </c>
      <c r="DX26" s="627">
        <v>0</v>
      </c>
      <c r="DY26" s="627">
        <v>0</v>
      </c>
      <c r="DZ26" s="627">
        <v>0</v>
      </c>
      <c r="EA26" s="627">
        <v>0</v>
      </c>
      <c r="EB26" s="627">
        <v>0</v>
      </c>
      <c r="EC26" s="627">
        <v>0</v>
      </c>
      <c r="ED26" s="627">
        <v>3.9670000000000001</v>
      </c>
      <c r="EE26" s="627">
        <v>28102</v>
      </c>
      <c r="EF26" s="627">
        <v>0</v>
      </c>
      <c r="EG26" s="627">
        <v>0</v>
      </c>
      <c r="EH26" s="627">
        <v>0</v>
      </c>
      <c r="EI26" s="627">
        <v>51029</v>
      </c>
      <c r="EJ26" s="627">
        <v>215280</v>
      </c>
      <c r="EK26" s="627">
        <v>8.7370000000000001</v>
      </c>
      <c r="EL26" s="627">
        <v>2.6779999999999999</v>
      </c>
      <c r="EM26" s="627">
        <v>0</v>
      </c>
      <c r="EN26" s="627">
        <v>0</v>
      </c>
      <c r="EO26" s="627">
        <v>0.05</v>
      </c>
      <c r="EP26" s="627">
        <v>0</v>
      </c>
      <c r="EQ26" s="627">
        <v>0</v>
      </c>
      <c r="ER26" s="627">
        <v>11.465</v>
      </c>
      <c r="ES26" s="627">
        <v>0</v>
      </c>
      <c r="ET26" s="627">
        <v>8.2840000000000007</v>
      </c>
      <c r="EU26" s="627">
        <v>0</v>
      </c>
      <c r="EV26" s="627">
        <v>0</v>
      </c>
      <c r="EW26" s="627">
        <v>0</v>
      </c>
      <c r="EX26" s="627">
        <v>0</v>
      </c>
      <c r="EY26" s="627">
        <v>0</v>
      </c>
      <c r="EZ26" s="627">
        <v>0</v>
      </c>
      <c r="FA26" s="627">
        <v>795617</v>
      </c>
      <c r="FB26" s="627">
        <v>0</v>
      </c>
      <c r="FC26" s="627">
        <v>829827</v>
      </c>
      <c r="FD26" s="627">
        <v>0</v>
      </c>
      <c r="FE26" s="627">
        <v>0</v>
      </c>
      <c r="FF26" s="627">
        <v>116038</v>
      </c>
      <c r="FG26" s="627">
        <v>20096</v>
      </c>
      <c r="FH26" s="627">
        <v>7.0280999999999996E-2</v>
      </c>
      <c r="FI26" s="627">
        <v>3.1172999999999999E-2</v>
      </c>
      <c r="FJ26" s="627">
        <v>0</v>
      </c>
      <c r="FK26" s="627">
        <v>0</v>
      </c>
      <c r="FL26" s="627">
        <v>130.81800000000001</v>
      </c>
      <c r="FM26" s="627">
        <v>976703</v>
      </c>
      <c r="FN26" s="627">
        <v>0</v>
      </c>
      <c r="FO26" s="627">
        <v>0</v>
      </c>
      <c r="FP26" s="627">
        <v>0</v>
      </c>
      <c r="FQ26" s="627">
        <v>0</v>
      </c>
      <c r="FR26" s="627">
        <v>0</v>
      </c>
      <c r="FS26" s="627">
        <v>0</v>
      </c>
      <c r="FT26" s="627">
        <v>0</v>
      </c>
      <c r="FU26" s="627">
        <v>0</v>
      </c>
      <c r="FV26" s="627">
        <v>0</v>
      </c>
      <c r="FW26" s="627">
        <v>0</v>
      </c>
      <c r="FX26" s="627">
        <v>0</v>
      </c>
      <c r="FY26" s="627">
        <v>0</v>
      </c>
      <c r="FZ26" s="627">
        <v>0</v>
      </c>
      <c r="GA26" s="627">
        <v>0</v>
      </c>
      <c r="GB26" s="627">
        <v>0</v>
      </c>
      <c r="GC26" s="627">
        <v>0</v>
      </c>
      <c r="GD26" s="627">
        <v>0</v>
      </c>
      <c r="GE26" s="627">
        <v>0</v>
      </c>
      <c r="GF26" s="627">
        <v>0</v>
      </c>
      <c r="GG26" s="627">
        <v>0</v>
      </c>
      <c r="GH26" s="627">
        <v>0</v>
      </c>
      <c r="GI26" s="627">
        <v>0</v>
      </c>
      <c r="GJ26" s="627">
        <v>0</v>
      </c>
      <c r="GK26" s="627">
        <v>0</v>
      </c>
      <c r="GL26" s="627">
        <v>0</v>
      </c>
      <c r="GM26" s="627">
        <v>0</v>
      </c>
      <c r="GN26" s="627">
        <v>0</v>
      </c>
      <c r="GO26" s="627">
        <v>0</v>
      </c>
      <c r="GP26" s="627">
        <v>0</v>
      </c>
      <c r="GQ26" s="627">
        <v>0</v>
      </c>
      <c r="GR26" s="627">
        <v>930751</v>
      </c>
      <c r="GS26" s="627">
        <v>0</v>
      </c>
      <c r="GT26" s="627">
        <v>0</v>
      </c>
      <c r="GU26" s="627">
        <v>0</v>
      </c>
      <c r="GV26" s="627">
        <v>0</v>
      </c>
      <c r="GW26" s="627">
        <v>0</v>
      </c>
      <c r="GX26" s="627">
        <v>0</v>
      </c>
      <c r="GY26" s="627">
        <v>0</v>
      </c>
      <c r="GZ26" s="627">
        <v>0</v>
      </c>
      <c r="HA26" s="627">
        <v>0</v>
      </c>
      <c r="HB26" s="627">
        <v>0</v>
      </c>
      <c r="HC26" s="627">
        <v>361151439</v>
      </c>
      <c r="HD26" s="627">
        <v>3.9981999999999997E-2</v>
      </c>
      <c r="HE26" s="627">
        <v>10742</v>
      </c>
      <c r="HF26" s="627">
        <v>0</v>
      </c>
      <c r="HG26" s="627">
        <v>61384</v>
      </c>
      <c r="HH26" s="627">
        <v>5544</v>
      </c>
      <c r="HI26" s="627">
        <v>0</v>
      </c>
      <c r="HJ26" s="627">
        <v>0</v>
      </c>
      <c r="HK26" s="627">
        <v>15672</v>
      </c>
      <c r="HL26" s="627">
        <v>731</v>
      </c>
      <c r="HM26" s="627">
        <v>681</v>
      </c>
      <c r="HN26" s="627">
        <v>0</v>
      </c>
      <c r="HO26" s="627">
        <v>0</v>
      </c>
      <c r="HP26" s="627">
        <v>0</v>
      </c>
      <c r="HQ26" s="627">
        <v>16548</v>
      </c>
      <c r="HR26" s="627">
        <v>0</v>
      </c>
      <c r="HS26" s="627">
        <v>0</v>
      </c>
      <c r="HT26" s="627">
        <v>794617</v>
      </c>
      <c r="HU26" s="627">
        <v>20096</v>
      </c>
      <c r="HV26" s="627">
        <v>0</v>
      </c>
      <c r="HW26" s="627">
        <v>0</v>
      </c>
      <c r="HX26" s="627">
        <v>0</v>
      </c>
      <c r="HY26" s="627">
        <v>7</v>
      </c>
      <c r="HZ26" s="627">
        <v>14</v>
      </c>
      <c r="IA26" s="627">
        <v>1</v>
      </c>
      <c r="IB26" s="627">
        <v>1</v>
      </c>
      <c r="IC26" s="627">
        <v>28</v>
      </c>
      <c r="ID26" s="627">
        <v>51</v>
      </c>
      <c r="IE26" s="627">
        <v>4</v>
      </c>
      <c r="IF26" s="627">
        <v>0</v>
      </c>
      <c r="IG26" s="627">
        <v>0</v>
      </c>
      <c r="IH26" s="627">
        <v>9</v>
      </c>
      <c r="II26" s="627">
        <v>0</v>
      </c>
      <c r="IJ26" s="627">
        <v>60.175000000000004</v>
      </c>
      <c r="IK26" s="627">
        <v>0</v>
      </c>
      <c r="IL26" s="627">
        <v>25.567</v>
      </c>
      <c r="IM26" s="627">
        <v>0</v>
      </c>
      <c r="IN26" s="627">
        <v>0</v>
      </c>
      <c r="IO26" s="627">
        <v>0</v>
      </c>
      <c r="IP26" s="627">
        <v>0</v>
      </c>
      <c r="IQ26" s="627">
        <v>85.742000000000004</v>
      </c>
      <c r="IR26" s="627">
        <v>0</v>
      </c>
      <c r="IS26" s="627">
        <v>0</v>
      </c>
      <c r="IT26" s="627">
        <v>7031</v>
      </c>
      <c r="IU26" s="627">
        <v>0</v>
      </c>
      <c r="IV26" s="627">
        <v>0</v>
      </c>
      <c r="IW26" s="627">
        <v>0</v>
      </c>
      <c r="IX26" s="627">
        <v>6160</v>
      </c>
      <c r="IY26" s="627">
        <v>0</v>
      </c>
      <c r="IZ26" s="627">
        <v>0</v>
      </c>
      <c r="JA26" s="627">
        <v>23579</v>
      </c>
      <c r="JB26" s="627">
        <v>4928</v>
      </c>
      <c r="JC26" s="627">
        <v>0</v>
      </c>
      <c r="JD26" s="627">
        <v>0</v>
      </c>
      <c r="JE26" s="627">
        <v>0</v>
      </c>
      <c r="JF26" s="627">
        <v>0</v>
      </c>
      <c r="JG26" s="627">
        <v>0</v>
      </c>
      <c r="JH26" s="627">
        <v>0</v>
      </c>
      <c r="JI26" s="627">
        <v>0</v>
      </c>
      <c r="JJ26" s="627">
        <v>0</v>
      </c>
      <c r="JK26" s="627">
        <v>0</v>
      </c>
      <c r="JL26" s="627">
        <v>0</v>
      </c>
      <c r="JM26" s="627">
        <v>0</v>
      </c>
      <c r="JN26" s="627">
        <v>0</v>
      </c>
      <c r="JO26" s="627">
        <v>32469</v>
      </c>
      <c r="JP26" s="627">
        <v>0</v>
      </c>
      <c r="JQ26" s="627">
        <v>0</v>
      </c>
      <c r="JR26" s="627">
        <v>0</v>
      </c>
      <c r="JS26" s="627">
        <v>0</v>
      </c>
      <c r="JT26" s="627">
        <v>0</v>
      </c>
      <c r="JU26" s="627">
        <v>0</v>
      </c>
      <c r="JV26" s="627">
        <v>0</v>
      </c>
      <c r="JW26" s="627">
        <v>0</v>
      </c>
      <c r="JX26" s="627">
        <v>0</v>
      </c>
      <c r="JY26" s="627">
        <v>0</v>
      </c>
      <c r="JZ26" s="627">
        <v>0</v>
      </c>
      <c r="KA26" s="627">
        <v>0</v>
      </c>
      <c r="KB26" s="627">
        <v>0</v>
      </c>
      <c r="KC26" s="627">
        <v>0</v>
      </c>
      <c r="KD26" s="627">
        <v>0</v>
      </c>
      <c r="KE26" s="627">
        <v>0</v>
      </c>
      <c r="KF26" s="627">
        <v>7262</v>
      </c>
      <c r="KG26" s="627">
        <v>0</v>
      </c>
      <c r="KH26" s="627">
        <v>0</v>
      </c>
      <c r="KI26" s="627">
        <v>930751</v>
      </c>
      <c r="KJ26" s="627">
        <v>0</v>
      </c>
      <c r="KK26" s="627">
        <v>4</v>
      </c>
      <c r="KL26" s="627">
        <v>5</v>
      </c>
      <c r="KM26" s="627">
        <v>2464</v>
      </c>
      <c r="KN26" s="627">
        <v>3080</v>
      </c>
      <c r="KO26" s="627">
        <v>0</v>
      </c>
      <c r="KP26" s="627">
        <v>0</v>
      </c>
      <c r="KQ26" s="627">
        <v>930751</v>
      </c>
      <c r="KR26" s="627">
        <v>0</v>
      </c>
      <c r="KS26" s="627">
        <v>0</v>
      </c>
      <c r="KT26" s="627">
        <v>0</v>
      </c>
      <c r="KU26" s="627">
        <v>0</v>
      </c>
      <c r="KV26" s="627">
        <v>0</v>
      </c>
      <c r="KW26" s="627">
        <v>0</v>
      </c>
      <c r="KX26" s="627">
        <v>0</v>
      </c>
      <c r="KY26" s="627">
        <v>0</v>
      </c>
      <c r="KZ26" s="627">
        <v>0</v>
      </c>
      <c r="LA26" s="627">
        <v>0</v>
      </c>
      <c r="LB26" s="627">
        <v>0</v>
      </c>
      <c r="LC26" s="627">
        <v>0</v>
      </c>
      <c r="LD26" s="627">
        <v>0</v>
      </c>
      <c r="LE26" s="627">
        <v>0</v>
      </c>
      <c r="LF26" s="627">
        <v>0</v>
      </c>
    </row>
    <row r="27" spans="1:318" x14ac:dyDescent="0.25">
      <c r="A27" s="627">
        <v>42602</v>
      </c>
      <c r="B27" s="627">
        <v>236801</v>
      </c>
      <c r="D27" s="627">
        <v>9</v>
      </c>
      <c r="E27" s="627">
        <v>2024</v>
      </c>
      <c r="F27" s="627">
        <v>6160</v>
      </c>
      <c r="G27" s="627">
        <v>0</v>
      </c>
      <c r="H27" s="627">
        <v>38.274999999999999</v>
      </c>
      <c r="I27" s="627">
        <v>1.9140000000000001</v>
      </c>
      <c r="J27" s="627">
        <v>1.9140000000000001</v>
      </c>
      <c r="K27" s="627">
        <v>38.274999999999999</v>
      </c>
      <c r="L27" s="627">
        <v>0</v>
      </c>
      <c r="M27" s="627">
        <v>6160</v>
      </c>
      <c r="N27" s="627">
        <v>0</v>
      </c>
      <c r="O27" s="627">
        <v>0</v>
      </c>
      <c r="P27" s="627">
        <v>0</v>
      </c>
      <c r="Q27" s="627">
        <v>51.914999999999999</v>
      </c>
      <c r="R27" s="627">
        <v>0</v>
      </c>
      <c r="S27" s="627">
        <v>21539</v>
      </c>
      <c r="T27" s="627">
        <v>414.88400000000001</v>
      </c>
      <c r="U27" s="627">
        <v>0</v>
      </c>
      <c r="V27" s="627">
        <v>11177</v>
      </c>
      <c r="W27" s="627">
        <v>1.0820000000000001</v>
      </c>
      <c r="X27" s="627">
        <v>667</v>
      </c>
      <c r="Y27" s="627">
        <v>667</v>
      </c>
      <c r="Z27" s="627">
        <v>0</v>
      </c>
      <c r="AA27" s="627">
        <v>0</v>
      </c>
      <c r="AB27" s="627">
        <v>0</v>
      </c>
      <c r="AC27" s="627">
        <v>0</v>
      </c>
      <c r="AD27" s="627">
        <v>0</v>
      </c>
      <c r="AE27" s="627" t="s">
        <v>314</v>
      </c>
      <c r="AF27" s="627">
        <v>0</v>
      </c>
      <c r="AG27" s="627">
        <v>0</v>
      </c>
      <c r="AH27" s="627">
        <v>0</v>
      </c>
      <c r="AI27" s="627">
        <v>0</v>
      </c>
      <c r="AJ27" s="627">
        <v>0</v>
      </c>
      <c r="AK27" s="627">
        <v>6160</v>
      </c>
      <c r="AL27" s="627" t="s">
        <v>651</v>
      </c>
      <c r="AM27" s="627" t="s">
        <v>82</v>
      </c>
      <c r="AN27" s="627">
        <v>0</v>
      </c>
      <c r="AO27" s="627">
        <v>0</v>
      </c>
      <c r="AP27" s="627">
        <v>0</v>
      </c>
      <c r="AQ27" s="627">
        <v>0</v>
      </c>
      <c r="AR27" s="627">
        <v>0</v>
      </c>
      <c r="AS27" s="627">
        <v>0</v>
      </c>
      <c r="AT27" s="627">
        <v>0</v>
      </c>
      <c r="AU27" s="627">
        <v>0</v>
      </c>
      <c r="AV27" s="627">
        <v>0</v>
      </c>
      <c r="AW27" s="627">
        <v>-164942</v>
      </c>
      <c r="AX27" s="627">
        <v>989053</v>
      </c>
      <c r="AY27" s="627">
        <v>983298</v>
      </c>
      <c r="AZ27" s="627">
        <v>429478</v>
      </c>
      <c r="BA27" s="627">
        <v>21539</v>
      </c>
      <c r="BB27" s="627">
        <v>91.167000000000002</v>
      </c>
      <c r="BC27" s="627">
        <v>0</v>
      </c>
      <c r="BD27" s="627">
        <v>0</v>
      </c>
      <c r="BE27" s="627">
        <v>0</v>
      </c>
      <c r="BF27" s="627">
        <v>0</v>
      </c>
      <c r="BG27" s="627">
        <v>831963</v>
      </c>
      <c r="BH27" s="627">
        <v>0</v>
      </c>
      <c r="BI27" s="627">
        <v>0</v>
      </c>
      <c r="BJ27" s="627">
        <v>0</v>
      </c>
      <c r="BK27" s="627">
        <v>12</v>
      </c>
      <c r="BL27" s="627">
        <v>0</v>
      </c>
      <c r="BM27" s="627">
        <v>0</v>
      </c>
      <c r="BN27" s="627">
        <v>0</v>
      </c>
      <c r="BO27" s="627">
        <v>0</v>
      </c>
      <c r="BP27" s="627">
        <v>0</v>
      </c>
      <c r="BQ27" s="627">
        <v>0</v>
      </c>
      <c r="BR27" s="627">
        <v>770</v>
      </c>
      <c r="BS27" s="627">
        <v>0</v>
      </c>
      <c r="BT27" s="627">
        <v>0</v>
      </c>
      <c r="BU27" s="627">
        <v>0</v>
      </c>
      <c r="BV27" s="627">
        <v>0</v>
      </c>
      <c r="BW27" s="627">
        <v>0</v>
      </c>
      <c r="BX27" s="627">
        <v>0</v>
      </c>
      <c r="BY27" s="627">
        <v>0</v>
      </c>
      <c r="BZ27" s="627">
        <v>0</v>
      </c>
      <c r="CA27" s="627">
        <v>0</v>
      </c>
      <c r="CB27" s="627">
        <v>0</v>
      </c>
      <c r="CC27" s="627">
        <v>0</v>
      </c>
      <c r="CD27" s="627">
        <v>0</v>
      </c>
      <c r="CE27" s="627">
        <v>0</v>
      </c>
      <c r="CF27" s="627">
        <v>0</v>
      </c>
      <c r="CG27" s="627">
        <v>0</v>
      </c>
      <c r="CH27" s="627">
        <v>0</v>
      </c>
      <c r="CI27" s="627">
        <v>6121</v>
      </c>
      <c r="CJ27" s="627">
        <v>0</v>
      </c>
      <c r="CK27" s="627">
        <v>4</v>
      </c>
      <c r="CL27" s="627">
        <v>0</v>
      </c>
      <c r="CM27" s="627">
        <v>0</v>
      </c>
      <c r="CN27" s="627">
        <v>0</v>
      </c>
      <c r="CO27" s="627">
        <v>0</v>
      </c>
      <c r="CP27" s="627">
        <v>1</v>
      </c>
      <c r="CQ27" s="627">
        <v>0</v>
      </c>
      <c r="CR27" s="627">
        <v>4</v>
      </c>
      <c r="CS27" s="627">
        <v>46.09</v>
      </c>
      <c r="CT27" s="627">
        <v>0</v>
      </c>
      <c r="CU27" s="627">
        <v>0</v>
      </c>
      <c r="CV27" s="627">
        <v>0</v>
      </c>
      <c r="CW27" s="627">
        <v>0</v>
      </c>
      <c r="CX27" s="627">
        <v>0</v>
      </c>
      <c r="CY27" s="627">
        <v>0</v>
      </c>
      <c r="CZ27" s="627">
        <v>0</v>
      </c>
      <c r="DA27" s="627">
        <v>0</v>
      </c>
      <c r="DB27" s="627">
        <v>0</v>
      </c>
      <c r="DC27" s="627">
        <v>0</v>
      </c>
      <c r="DD27" s="627">
        <v>0</v>
      </c>
      <c r="DE27" s="627">
        <v>0</v>
      </c>
      <c r="DF27" s="627">
        <v>54670</v>
      </c>
      <c r="DG27" s="627">
        <v>54670</v>
      </c>
      <c r="DH27" s="627">
        <v>8.875</v>
      </c>
      <c r="DI27" s="627">
        <v>0</v>
      </c>
      <c r="DJ27" s="627">
        <v>0</v>
      </c>
      <c r="DK27" s="627">
        <v>0</v>
      </c>
      <c r="DL27" s="627">
        <v>3938</v>
      </c>
      <c r="DM27" s="627">
        <v>0</v>
      </c>
      <c r="DN27" s="627">
        <v>430520</v>
      </c>
      <c r="DO27" s="627">
        <v>366</v>
      </c>
      <c r="DP27" s="627">
        <v>0</v>
      </c>
      <c r="DQ27" s="627">
        <v>0</v>
      </c>
      <c r="DR27" s="627">
        <v>0</v>
      </c>
      <c r="DS27" s="627">
        <v>0</v>
      </c>
      <c r="DT27" s="627">
        <v>0</v>
      </c>
      <c r="DU27" s="627">
        <v>0</v>
      </c>
      <c r="DV27" s="627">
        <v>0</v>
      </c>
      <c r="DW27" s="627">
        <v>0</v>
      </c>
      <c r="DX27" s="627">
        <v>0</v>
      </c>
      <c r="DY27" s="627">
        <v>0</v>
      </c>
      <c r="DZ27" s="627">
        <v>0</v>
      </c>
      <c r="EA27" s="627">
        <v>0</v>
      </c>
      <c r="EB27" s="627">
        <v>0</v>
      </c>
      <c r="EC27" s="627">
        <v>0</v>
      </c>
      <c r="ED27" s="627">
        <v>0</v>
      </c>
      <c r="EE27" s="627">
        <v>0</v>
      </c>
      <c r="EF27" s="627">
        <v>0</v>
      </c>
      <c r="EG27" s="627">
        <v>0</v>
      </c>
      <c r="EH27" s="627">
        <v>0</v>
      </c>
      <c r="EI27" s="627">
        <v>0</v>
      </c>
      <c r="EJ27" s="627">
        <v>107652</v>
      </c>
      <c r="EK27" s="627">
        <v>4.3689999999999998</v>
      </c>
      <c r="EL27" s="627">
        <v>0</v>
      </c>
      <c r="EM27" s="627">
        <v>0</v>
      </c>
      <c r="EN27" s="627">
        <v>0</v>
      </c>
      <c r="EO27" s="627">
        <v>0</v>
      </c>
      <c r="EP27" s="627">
        <v>0</v>
      </c>
      <c r="EQ27" s="627">
        <v>0</v>
      </c>
      <c r="ER27" s="627">
        <v>4.3689999999999998</v>
      </c>
      <c r="ES27" s="627">
        <v>0</v>
      </c>
      <c r="ET27" s="627">
        <v>0</v>
      </c>
      <c r="EU27" s="627">
        <v>0</v>
      </c>
      <c r="EV27" s="627">
        <v>0</v>
      </c>
      <c r="EW27" s="627">
        <v>0</v>
      </c>
      <c r="EX27" s="627">
        <v>0</v>
      </c>
      <c r="EY27" s="627">
        <v>0</v>
      </c>
      <c r="EZ27" s="627">
        <v>0</v>
      </c>
      <c r="FA27" s="627">
        <v>842750</v>
      </c>
      <c r="FB27" s="627">
        <v>0</v>
      </c>
      <c r="FC27" s="627">
        <v>863923</v>
      </c>
      <c r="FD27" s="627">
        <v>0</v>
      </c>
      <c r="FE27" s="627">
        <v>0</v>
      </c>
      <c r="FF27" s="627">
        <v>119800</v>
      </c>
      <c r="FG27" s="627">
        <v>20748</v>
      </c>
      <c r="FH27" s="627">
        <v>7.0280999999999996E-2</v>
      </c>
      <c r="FI27" s="627">
        <v>3.1172999999999999E-2</v>
      </c>
      <c r="FJ27" s="627">
        <v>0</v>
      </c>
      <c r="FK27" s="627">
        <v>0</v>
      </c>
      <c r="FL27" s="627">
        <v>135.059</v>
      </c>
      <c r="FM27" s="627">
        <v>1010592</v>
      </c>
      <c r="FN27" s="627">
        <v>0</v>
      </c>
      <c r="FO27" s="627">
        <v>0</v>
      </c>
      <c r="FP27" s="627">
        <v>0</v>
      </c>
      <c r="FQ27" s="627">
        <v>0</v>
      </c>
      <c r="FR27" s="627">
        <v>0</v>
      </c>
      <c r="FS27" s="627">
        <v>0</v>
      </c>
      <c r="FT27" s="627">
        <v>0</v>
      </c>
      <c r="FU27" s="627">
        <v>0</v>
      </c>
      <c r="FV27" s="627">
        <v>0</v>
      </c>
      <c r="FW27" s="627">
        <v>0</v>
      </c>
      <c r="FX27" s="627">
        <v>0</v>
      </c>
      <c r="FY27" s="627">
        <v>0</v>
      </c>
      <c r="FZ27" s="627">
        <v>0</v>
      </c>
      <c r="GA27" s="627">
        <v>0</v>
      </c>
      <c r="GB27" s="627">
        <v>0</v>
      </c>
      <c r="GC27" s="627">
        <v>323248</v>
      </c>
      <c r="GD27" s="627">
        <v>323248</v>
      </c>
      <c r="GE27" s="627">
        <v>31.992000000000001</v>
      </c>
      <c r="GF27" s="627">
        <v>0</v>
      </c>
      <c r="GG27" s="627">
        <v>0</v>
      </c>
      <c r="GH27" s="627">
        <v>0</v>
      </c>
      <c r="GI27" s="627">
        <v>0</v>
      </c>
      <c r="GJ27" s="627">
        <v>0</v>
      </c>
      <c r="GK27" s="627">
        <v>0</v>
      </c>
      <c r="GL27" s="627">
        <v>0</v>
      </c>
      <c r="GM27" s="627">
        <v>0</v>
      </c>
      <c r="GN27" s="627">
        <v>0</v>
      </c>
      <c r="GO27" s="627">
        <v>0</v>
      </c>
      <c r="GP27" s="627">
        <v>0</v>
      </c>
      <c r="GQ27" s="627">
        <v>0</v>
      </c>
      <c r="GR27" s="627">
        <v>982932</v>
      </c>
      <c r="GS27" s="627">
        <v>0</v>
      </c>
      <c r="GT27" s="627">
        <v>0</v>
      </c>
      <c r="GU27" s="627">
        <v>0</v>
      </c>
      <c r="GV27" s="627">
        <v>0</v>
      </c>
      <c r="GW27" s="627">
        <v>0</v>
      </c>
      <c r="GX27" s="627">
        <v>0</v>
      </c>
      <c r="GY27" s="627">
        <v>0</v>
      </c>
      <c r="GZ27" s="627">
        <v>0</v>
      </c>
      <c r="HA27" s="627">
        <v>0</v>
      </c>
      <c r="HB27" s="627">
        <v>0</v>
      </c>
      <c r="HC27" s="627">
        <v>361151439</v>
      </c>
      <c r="HD27" s="627">
        <v>3.9981999999999997E-2</v>
      </c>
      <c r="HE27" s="627">
        <v>6121</v>
      </c>
      <c r="HF27" s="627">
        <v>0</v>
      </c>
      <c r="HG27" s="627">
        <v>2109</v>
      </c>
      <c r="HH27" s="627">
        <v>0</v>
      </c>
      <c r="HI27" s="627">
        <v>0</v>
      </c>
      <c r="HJ27" s="627">
        <v>0</v>
      </c>
      <c r="HK27" s="627">
        <v>15383</v>
      </c>
      <c r="HL27" s="627">
        <v>537</v>
      </c>
      <c r="HM27" s="627">
        <v>405</v>
      </c>
      <c r="HN27" s="627">
        <v>5000</v>
      </c>
      <c r="HO27" s="627">
        <v>0</v>
      </c>
      <c r="HP27" s="627">
        <v>0</v>
      </c>
      <c r="HQ27" s="627">
        <v>28560</v>
      </c>
      <c r="HR27" s="627">
        <v>0</v>
      </c>
      <c r="HS27" s="627">
        <v>0</v>
      </c>
      <c r="HT27" s="627">
        <v>842384</v>
      </c>
      <c r="HU27" s="627">
        <v>20748</v>
      </c>
      <c r="HV27" s="627">
        <v>0</v>
      </c>
      <c r="HW27" s="627">
        <v>0</v>
      </c>
      <c r="HX27" s="627">
        <v>0</v>
      </c>
      <c r="HY27" s="627">
        <v>5</v>
      </c>
      <c r="HZ27" s="627">
        <v>14</v>
      </c>
      <c r="IA27" s="627">
        <v>7</v>
      </c>
      <c r="IB27" s="627">
        <v>6</v>
      </c>
      <c r="IC27" s="627">
        <v>4</v>
      </c>
      <c r="ID27" s="627">
        <v>36</v>
      </c>
      <c r="IE27" s="627">
        <v>0</v>
      </c>
      <c r="IF27" s="627">
        <v>0</v>
      </c>
      <c r="IG27" s="627">
        <v>0</v>
      </c>
      <c r="IH27" s="627">
        <v>0</v>
      </c>
      <c r="II27" s="627">
        <v>0</v>
      </c>
      <c r="IJ27" s="627">
        <v>103.85600000000001</v>
      </c>
      <c r="IK27" s="627">
        <v>1.0820000000000001</v>
      </c>
      <c r="IL27" s="627">
        <v>10.268000000000001</v>
      </c>
      <c r="IM27" s="627">
        <v>1</v>
      </c>
      <c r="IN27" s="627">
        <v>0</v>
      </c>
      <c r="IO27" s="627">
        <v>0</v>
      </c>
      <c r="IP27" s="627">
        <v>1</v>
      </c>
      <c r="IQ27" s="627">
        <v>114.12400000000001</v>
      </c>
      <c r="IR27" s="627">
        <v>1.0820000000000001</v>
      </c>
      <c r="IS27" s="627">
        <v>667</v>
      </c>
      <c r="IT27" s="627">
        <v>2824</v>
      </c>
      <c r="IU27" s="627">
        <v>5000</v>
      </c>
      <c r="IV27" s="627">
        <v>0</v>
      </c>
      <c r="IW27" s="627">
        <v>0</v>
      </c>
      <c r="IX27" s="627">
        <v>6160</v>
      </c>
      <c r="IY27" s="627">
        <v>0</v>
      </c>
      <c r="IZ27" s="627">
        <v>0</v>
      </c>
      <c r="JA27" s="627">
        <v>31384</v>
      </c>
      <c r="JB27" s="627">
        <v>0</v>
      </c>
      <c r="JC27" s="627">
        <v>0</v>
      </c>
      <c r="JD27" s="627">
        <v>0</v>
      </c>
      <c r="JE27" s="627">
        <v>0</v>
      </c>
      <c r="JF27" s="627">
        <v>0</v>
      </c>
      <c r="JG27" s="627">
        <v>0</v>
      </c>
      <c r="JH27" s="627">
        <v>0</v>
      </c>
      <c r="JI27" s="627">
        <v>0</v>
      </c>
      <c r="JJ27" s="627">
        <v>0</v>
      </c>
      <c r="JK27" s="627">
        <v>0</v>
      </c>
      <c r="JL27" s="627">
        <v>0</v>
      </c>
      <c r="JM27" s="627">
        <v>0</v>
      </c>
      <c r="JN27" s="627">
        <v>0</v>
      </c>
      <c r="JO27" s="627">
        <v>32469</v>
      </c>
      <c r="JP27" s="627">
        <v>0</v>
      </c>
      <c r="JQ27" s="627">
        <v>13.242000000000001</v>
      </c>
      <c r="JR27" s="627">
        <v>18.75</v>
      </c>
      <c r="JS27" s="627">
        <v>0</v>
      </c>
      <c r="JT27" s="627">
        <v>123089</v>
      </c>
      <c r="JU27" s="627">
        <v>200159</v>
      </c>
      <c r="JV27" s="627">
        <v>0</v>
      </c>
      <c r="JW27" s="627">
        <v>0</v>
      </c>
      <c r="JX27" s="627">
        <v>0</v>
      </c>
      <c r="JY27" s="627">
        <v>0</v>
      </c>
      <c r="JZ27" s="627">
        <v>0</v>
      </c>
      <c r="KA27" s="627">
        <v>0</v>
      </c>
      <c r="KB27" s="627">
        <v>0</v>
      </c>
      <c r="KC27" s="627">
        <v>0</v>
      </c>
      <c r="KD27" s="627">
        <v>0</v>
      </c>
      <c r="KE27" s="627">
        <v>0</v>
      </c>
      <c r="KF27" s="627">
        <v>7262</v>
      </c>
      <c r="KG27" s="627">
        <v>0</v>
      </c>
      <c r="KH27" s="627">
        <v>0</v>
      </c>
      <c r="KI27" s="627">
        <v>982932</v>
      </c>
      <c r="KJ27" s="627">
        <v>0</v>
      </c>
      <c r="KK27" s="627">
        <v>0</v>
      </c>
      <c r="KL27" s="627">
        <v>0</v>
      </c>
      <c r="KM27" s="627">
        <v>0</v>
      </c>
      <c r="KN27" s="627">
        <v>0</v>
      </c>
      <c r="KO27" s="627">
        <v>0</v>
      </c>
      <c r="KP27" s="627">
        <v>0</v>
      </c>
      <c r="KQ27" s="627">
        <v>982932</v>
      </c>
      <c r="KR27" s="627">
        <v>0</v>
      </c>
      <c r="KS27" s="627">
        <v>0</v>
      </c>
      <c r="KT27" s="627">
        <v>0</v>
      </c>
      <c r="KU27" s="627">
        <v>0</v>
      </c>
      <c r="KV27" s="627">
        <v>0</v>
      </c>
      <c r="KW27" s="627">
        <v>0</v>
      </c>
      <c r="KX27" s="627">
        <v>0</v>
      </c>
      <c r="KY27" s="627">
        <v>0</v>
      </c>
      <c r="KZ27" s="627">
        <v>0</v>
      </c>
      <c r="LA27" s="627">
        <v>0</v>
      </c>
      <c r="LB27" s="627">
        <v>0</v>
      </c>
      <c r="LC27" s="627">
        <v>0</v>
      </c>
      <c r="LD27" s="627">
        <v>0</v>
      </c>
      <c r="LE27" s="627">
        <v>0</v>
      </c>
      <c r="LF27" s="627">
        <v>0</v>
      </c>
    </row>
    <row r="28" spans="1:318" x14ac:dyDescent="0.25">
      <c r="A28" s="627">
        <v>42602</v>
      </c>
      <c r="B28" s="627">
        <v>240801</v>
      </c>
      <c r="D28" s="627">
        <v>9</v>
      </c>
      <c r="E28" s="627">
        <v>2024</v>
      </c>
      <c r="F28" s="627">
        <v>6160</v>
      </c>
      <c r="G28" s="627">
        <v>0</v>
      </c>
      <c r="H28" s="627">
        <v>208.45700000000002</v>
      </c>
      <c r="I28" s="627">
        <v>192.09400000000002</v>
      </c>
      <c r="J28" s="627">
        <v>192.09400000000002</v>
      </c>
      <c r="K28" s="627">
        <v>208.45700000000002</v>
      </c>
      <c r="L28" s="627">
        <v>0</v>
      </c>
      <c r="M28" s="627">
        <v>6160</v>
      </c>
      <c r="N28" s="627">
        <v>0</v>
      </c>
      <c r="O28" s="627">
        <v>0</v>
      </c>
      <c r="P28" s="627">
        <v>0</v>
      </c>
      <c r="Q28" s="627">
        <v>180.697</v>
      </c>
      <c r="R28" s="627">
        <v>0</v>
      </c>
      <c r="S28" s="627">
        <v>74968</v>
      </c>
      <c r="T28" s="627">
        <v>414.88400000000001</v>
      </c>
      <c r="U28" s="627">
        <v>0</v>
      </c>
      <c r="V28" s="627">
        <v>38906</v>
      </c>
      <c r="W28" s="627">
        <v>126.77500000000001</v>
      </c>
      <c r="X28" s="627">
        <v>78093</v>
      </c>
      <c r="Y28" s="627">
        <v>78093</v>
      </c>
      <c r="Z28" s="627">
        <v>0</v>
      </c>
      <c r="AA28" s="627">
        <v>0</v>
      </c>
      <c r="AB28" s="627">
        <v>0</v>
      </c>
      <c r="AC28" s="627">
        <v>0</v>
      </c>
      <c r="AD28" s="627">
        <v>0</v>
      </c>
      <c r="AE28" s="627" t="s">
        <v>314</v>
      </c>
      <c r="AF28" s="627">
        <v>0</v>
      </c>
      <c r="AG28" s="627">
        <v>0</v>
      </c>
      <c r="AH28" s="627">
        <v>0</v>
      </c>
      <c r="AI28" s="627">
        <v>0</v>
      </c>
      <c r="AJ28" s="627">
        <v>0</v>
      </c>
      <c r="AK28" s="627">
        <v>6160</v>
      </c>
      <c r="AL28" s="627" t="s">
        <v>651</v>
      </c>
      <c r="AM28" s="627" t="s">
        <v>464</v>
      </c>
      <c r="AN28" s="627">
        <v>0</v>
      </c>
      <c r="AO28" s="627">
        <v>0</v>
      </c>
      <c r="AP28" s="627">
        <v>0</v>
      </c>
      <c r="AQ28" s="627">
        <v>0</v>
      </c>
      <c r="AR28" s="627">
        <v>0</v>
      </c>
      <c r="AS28" s="627">
        <v>0</v>
      </c>
      <c r="AT28" s="627">
        <v>0</v>
      </c>
      <c r="AU28" s="627">
        <v>0</v>
      </c>
      <c r="AV28" s="627">
        <v>0</v>
      </c>
      <c r="AW28" s="627">
        <v>0</v>
      </c>
      <c r="AX28" s="627">
        <v>2583807</v>
      </c>
      <c r="AY28" s="627">
        <v>2551121</v>
      </c>
      <c r="AZ28" s="627">
        <v>1233687</v>
      </c>
      <c r="BA28" s="627">
        <v>74968</v>
      </c>
      <c r="BB28" s="627">
        <v>17.917000000000002</v>
      </c>
      <c r="BC28" s="627">
        <v>0</v>
      </c>
      <c r="BD28" s="627">
        <v>0</v>
      </c>
      <c r="BE28" s="627">
        <v>0</v>
      </c>
      <c r="BF28" s="627">
        <v>0</v>
      </c>
      <c r="BG28" s="627">
        <v>2184601</v>
      </c>
      <c r="BH28" s="627">
        <v>0</v>
      </c>
      <c r="BI28" s="627">
        <v>0</v>
      </c>
      <c r="BJ28" s="627">
        <v>0</v>
      </c>
      <c r="BK28" s="627">
        <v>12</v>
      </c>
      <c r="BL28" s="627">
        <v>0</v>
      </c>
      <c r="BM28" s="627">
        <v>0</v>
      </c>
      <c r="BN28" s="627">
        <v>0</v>
      </c>
      <c r="BO28" s="627">
        <v>0</v>
      </c>
      <c r="BP28" s="627">
        <v>0</v>
      </c>
      <c r="BQ28" s="627">
        <v>0</v>
      </c>
      <c r="BR28" s="627">
        <v>740</v>
      </c>
      <c r="BS28" s="627">
        <v>0</v>
      </c>
      <c r="BT28" s="627">
        <v>0</v>
      </c>
      <c r="BU28" s="627">
        <v>0</v>
      </c>
      <c r="BV28" s="627">
        <v>0</v>
      </c>
      <c r="BW28" s="627">
        <v>0</v>
      </c>
      <c r="BX28" s="627">
        <v>0</v>
      </c>
      <c r="BY28" s="627">
        <v>0</v>
      </c>
      <c r="BZ28" s="627">
        <v>0</v>
      </c>
      <c r="CA28" s="627">
        <v>0</v>
      </c>
      <c r="CB28" s="627">
        <v>0</v>
      </c>
      <c r="CC28" s="627">
        <v>0</v>
      </c>
      <c r="CD28" s="627">
        <v>0</v>
      </c>
      <c r="CE28" s="627">
        <v>0</v>
      </c>
      <c r="CF28" s="627">
        <v>0</v>
      </c>
      <c r="CG28" s="627">
        <v>0</v>
      </c>
      <c r="CH28" s="627">
        <v>0</v>
      </c>
      <c r="CI28" s="627">
        <v>33338</v>
      </c>
      <c r="CJ28" s="627">
        <v>0</v>
      </c>
      <c r="CK28" s="627">
        <v>4</v>
      </c>
      <c r="CL28" s="627">
        <v>0</v>
      </c>
      <c r="CM28" s="627">
        <v>0</v>
      </c>
      <c r="CN28" s="627">
        <v>0</v>
      </c>
      <c r="CO28" s="627">
        <v>0</v>
      </c>
      <c r="CP28" s="627">
        <v>1</v>
      </c>
      <c r="CQ28" s="627">
        <v>0.56200000000000006</v>
      </c>
      <c r="CR28" s="627">
        <v>11.833</v>
      </c>
      <c r="CS28" s="627">
        <v>181.04</v>
      </c>
      <c r="CT28" s="627">
        <v>0</v>
      </c>
      <c r="CU28" s="627">
        <v>0</v>
      </c>
      <c r="CV28" s="627">
        <v>0</v>
      </c>
      <c r="CW28" s="627">
        <v>0</v>
      </c>
      <c r="CX28" s="627">
        <v>0</v>
      </c>
      <c r="CY28" s="627">
        <v>0</v>
      </c>
      <c r="CZ28" s="627">
        <v>0</v>
      </c>
      <c r="DA28" s="627">
        <v>0</v>
      </c>
      <c r="DB28" s="627">
        <v>0</v>
      </c>
      <c r="DC28" s="627">
        <v>1183299</v>
      </c>
      <c r="DD28" s="627">
        <v>0</v>
      </c>
      <c r="DE28" s="627">
        <v>0</v>
      </c>
      <c r="DF28" s="627">
        <v>367752</v>
      </c>
      <c r="DG28" s="627">
        <v>376095</v>
      </c>
      <c r="DH28" s="627">
        <v>59.7</v>
      </c>
      <c r="DI28" s="627">
        <v>0</v>
      </c>
      <c r="DJ28" s="627">
        <v>8343</v>
      </c>
      <c r="DK28" s="627">
        <v>0</v>
      </c>
      <c r="DL28" s="627">
        <v>3469</v>
      </c>
      <c r="DM28" s="627">
        <v>0</v>
      </c>
      <c r="DN28" s="627">
        <v>191335</v>
      </c>
      <c r="DO28" s="627">
        <v>652</v>
      </c>
      <c r="DP28" s="627">
        <v>0</v>
      </c>
      <c r="DQ28" s="627">
        <v>0</v>
      </c>
      <c r="DR28" s="627">
        <v>0</v>
      </c>
      <c r="DS28" s="627">
        <v>0</v>
      </c>
      <c r="DT28" s="627">
        <v>0</v>
      </c>
      <c r="DU28" s="627">
        <v>0</v>
      </c>
      <c r="DV28" s="627">
        <v>0</v>
      </c>
      <c r="DW28" s="627">
        <v>0</v>
      </c>
      <c r="DX28" s="627">
        <v>0</v>
      </c>
      <c r="DY28" s="627">
        <v>0</v>
      </c>
      <c r="DZ28" s="627">
        <v>0</v>
      </c>
      <c r="EA28" s="627">
        <v>0</v>
      </c>
      <c r="EB28" s="627">
        <v>5.2000000000000005E-2</v>
      </c>
      <c r="EC28" s="627">
        <v>0</v>
      </c>
      <c r="ED28" s="627">
        <v>15.278</v>
      </c>
      <c r="EE28" s="627">
        <v>108229</v>
      </c>
      <c r="EF28" s="627">
        <v>0</v>
      </c>
      <c r="EG28" s="627">
        <v>0</v>
      </c>
      <c r="EH28" s="627">
        <v>0</v>
      </c>
      <c r="EI28" s="627">
        <v>83758</v>
      </c>
      <c r="EJ28" s="627">
        <v>0</v>
      </c>
      <c r="EK28" s="627">
        <v>0</v>
      </c>
      <c r="EL28" s="627">
        <v>4.2620000000000005</v>
      </c>
      <c r="EM28" s="627">
        <v>0</v>
      </c>
      <c r="EN28" s="627">
        <v>5.2000000000000005E-2</v>
      </c>
      <c r="EO28" s="627">
        <v>7.9000000000000001E-2</v>
      </c>
      <c r="EP28" s="627">
        <v>0</v>
      </c>
      <c r="EQ28" s="627">
        <v>0</v>
      </c>
      <c r="ER28" s="627">
        <v>4.4450000000000003</v>
      </c>
      <c r="ES28" s="627">
        <v>0</v>
      </c>
      <c r="ET28" s="627">
        <v>13.597000000000001</v>
      </c>
      <c r="EU28" s="627">
        <v>0</v>
      </c>
      <c r="EV28" s="627">
        <v>0</v>
      </c>
      <c r="EW28" s="627">
        <v>0</v>
      </c>
      <c r="EX28" s="627">
        <v>0</v>
      </c>
      <c r="EY28" s="627">
        <v>0</v>
      </c>
      <c r="EZ28" s="627">
        <v>0</v>
      </c>
      <c r="FA28" s="627">
        <v>2182067</v>
      </c>
      <c r="FB28" s="627">
        <v>0</v>
      </c>
      <c r="FC28" s="627">
        <v>2256383</v>
      </c>
      <c r="FD28" s="627">
        <v>0</v>
      </c>
      <c r="FE28" s="627">
        <v>0</v>
      </c>
      <c r="FF28" s="627">
        <v>314574</v>
      </c>
      <c r="FG28" s="627">
        <v>54480</v>
      </c>
      <c r="FH28" s="627">
        <v>7.0280999999999996E-2</v>
      </c>
      <c r="FI28" s="627">
        <v>3.1172999999999999E-2</v>
      </c>
      <c r="FJ28" s="627">
        <v>0</v>
      </c>
      <c r="FK28" s="627">
        <v>0</v>
      </c>
      <c r="FL28" s="627">
        <v>354.64300000000003</v>
      </c>
      <c r="FM28" s="627">
        <v>2658775</v>
      </c>
      <c r="FN28" s="627">
        <v>0</v>
      </c>
      <c r="FO28" s="627">
        <v>0</v>
      </c>
      <c r="FP28" s="627">
        <v>0</v>
      </c>
      <c r="FQ28" s="627">
        <v>0</v>
      </c>
      <c r="FR28" s="627">
        <v>0</v>
      </c>
      <c r="FS28" s="627">
        <v>0</v>
      </c>
      <c r="FT28" s="627">
        <v>0</v>
      </c>
      <c r="FU28" s="627">
        <v>0</v>
      </c>
      <c r="FV28" s="627">
        <v>0</v>
      </c>
      <c r="FW28" s="627">
        <v>0</v>
      </c>
      <c r="FX28" s="627">
        <v>0</v>
      </c>
      <c r="FY28" s="627">
        <v>0</v>
      </c>
      <c r="FZ28" s="627">
        <v>0</v>
      </c>
      <c r="GA28" s="627">
        <v>0</v>
      </c>
      <c r="GB28" s="627">
        <v>0</v>
      </c>
      <c r="GC28" s="627">
        <v>111354</v>
      </c>
      <c r="GD28" s="627">
        <v>111354</v>
      </c>
      <c r="GE28" s="627">
        <v>11.918000000000001</v>
      </c>
      <c r="GF28" s="627">
        <v>0</v>
      </c>
      <c r="GG28" s="627">
        <v>0</v>
      </c>
      <c r="GH28" s="627">
        <v>0</v>
      </c>
      <c r="GI28" s="627">
        <v>0</v>
      </c>
      <c r="GJ28" s="627">
        <v>0</v>
      </c>
      <c r="GK28" s="627">
        <v>0</v>
      </c>
      <c r="GL28" s="627">
        <v>0</v>
      </c>
      <c r="GM28" s="627">
        <v>0</v>
      </c>
      <c r="GN28" s="627">
        <v>0</v>
      </c>
      <c r="GO28" s="627">
        <v>0</v>
      </c>
      <c r="GP28" s="627">
        <v>0</v>
      </c>
      <c r="GQ28" s="627">
        <v>0</v>
      </c>
      <c r="GR28" s="627">
        <v>2550469</v>
      </c>
      <c r="GS28" s="627">
        <v>0</v>
      </c>
      <c r="GT28" s="627">
        <v>0</v>
      </c>
      <c r="GU28" s="627">
        <v>0</v>
      </c>
      <c r="GV28" s="627">
        <v>0</v>
      </c>
      <c r="GW28" s="627">
        <v>0</v>
      </c>
      <c r="GX28" s="627">
        <v>0</v>
      </c>
      <c r="GY28" s="627">
        <v>0</v>
      </c>
      <c r="GZ28" s="627">
        <v>0</v>
      </c>
      <c r="HA28" s="627">
        <v>0</v>
      </c>
      <c r="HB28" s="627">
        <v>0</v>
      </c>
      <c r="HC28" s="627">
        <v>361151439</v>
      </c>
      <c r="HD28" s="627">
        <v>3.9981999999999997E-2</v>
      </c>
      <c r="HE28" s="627">
        <v>33338</v>
      </c>
      <c r="HF28" s="627">
        <v>0</v>
      </c>
      <c r="HG28" s="627">
        <v>211688</v>
      </c>
      <c r="HH28" s="627">
        <v>0</v>
      </c>
      <c r="HI28" s="627">
        <v>0</v>
      </c>
      <c r="HJ28" s="627">
        <v>0</v>
      </c>
      <c r="HK28" s="627">
        <v>32085</v>
      </c>
      <c r="HL28" s="627">
        <v>1212</v>
      </c>
      <c r="HM28" s="627">
        <v>2521</v>
      </c>
      <c r="HN28" s="627">
        <v>0</v>
      </c>
      <c r="HO28" s="627">
        <v>0</v>
      </c>
      <c r="HP28" s="627">
        <v>0</v>
      </c>
      <c r="HQ28" s="627">
        <v>68701</v>
      </c>
      <c r="HR28" s="627">
        <v>0</v>
      </c>
      <c r="HS28" s="627">
        <v>0</v>
      </c>
      <c r="HT28" s="627">
        <v>2181415</v>
      </c>
      <c r="HU28" s="627">
        <v>54480</v>
      </c>
      <c r="HV28" s="627">
        <v>0</v>
      </c>
      <c r="HW28" s="627">
        <v>0</v>
      </c>
      <c r="HX28" s="627">
        <v>0</v>
      </c>
      <c r="HY28" s="627">
        <v>15</v>
      </c>
      <c r="HZ28" s="627">
        <v>22</v>
      </c>
      <c r="IA28" s="627">
        <v>29</v>
      </c>
      <c r="IB28" s="627">
        <v>56</v>
      </c>
      <c r="IC28" s="627">
        <v>106</v>
      </c>
      <c r="ID28" s="627">
        <v>228</v>
      </c>
      <c r="IE28" s="627">
        <v>0</v>
      </c>
      <c r="IF28" s="627">
        <v>0</v>
      </c>
      <c r="IG28" s="627">
        <v>0</v>
      </c>
      <c r="IH28" s="627">
        <v>0</v>
      </c>
      <c r="II28" s="627">
        <v>0</v>
      </c>
      <c r="IJ28" s="627">
        <v>249.82300000000001</v>
      </c>
      <c r="IK28" s="627">
        <v>126.77500000000001</v>
      </c>
      <c r="IL28" s="627">
        <v>0</v>
      </c>
      <c r="IM28" s="627">
        <v>0</v>
      </c>
      <c r="IN28" s="627">
        <v>0</v>
      </c>
      <c r="IO28" s="627">
        <v>0</v>
      </c>
      <c r="IP28" s="627">
        <v>0</v>
      </c>
      <c r="IQ28" s="627">
        <v>249.82300000000001</v>
      </c>
      <c r="IR28" s="627">
        <v>126.77500000000001</v>
      </c>
      <c r="IS28" s="627">
        <v>78093</v>
      </c>
      <c r="IT28" s="627">
        <v>0</v>
      </c>
      <c r="IU28" s="627">
        <v>0</v>
      </c>
      <c r="IV28" s="627">
        <v>0</v>
      </c>
      <c r="IW28" s="627">
        <v>0</v>
      </c>
      <c r="IX28" s="627">
        <v>6160</v>
      </c>
      <c r="IY28" s="627">
        <v>0</v>
      </c>
      <c r="IZ28" s="627">
        <v>0</v>
      </c>
      <c r="JA28" s="627">
        <v>68701</v>
      </c>
      <c r="JB28" s="627">
        <v>0</v>
      </c>
      <c r="JC28" s="627">
        <v>0</v>
      </c>
      <c r="JD28" s="627">
        <v>0</v>
      </c>
      <c r="JE28" s="627">
        <v>0</v>
      </c>
      <c r="JF28" s="627">
        <v>0</v>
      </c>
      <c r="JG28" s="627">
        <v>0</v>
      </c>
      <c r="JH28" s="627">
        <v>0</v>
      </c>
      <c r="JI28" s="627">
        <v>0</v>
      </c>
      <c r="JJ28" s="627">
        <v>0</v>
      </c>
      <c r="JK28" s="627">
        <v>0</v>
      </c>
      <c r="JL28" s="627">
        <v>0</v>
      </c>
      <c r="JM28" s="627">
        <v>0</v>
      </c>
      <c r="JN28" s="627">
        <v>0</v>
      </c>
      <c r="JO28" s="627">
        <v>32469</v>
      </c>
      <c r="JP28" s="627">
        <v>0</v>
      </c>
      <c r="JQ28" s="627">
        <v>11.504000000000001</v>
      </c>
      <c r="JR28" s="627">
        <v>0.41400000000000003</v>
      </c>
      <c r="JS28" s="627">
        <v>0</v>
      </c>
      <c r="JT28" s="627">
        <v>106934</v>
      </c>
      <c r="JU28" s="627">
        <v>4420</v>
      </c>
      <c r="JV28" s="627">
        <v>0</v>
      </c>
      <c r="JW28" s="627">
        <v>0</v>
      </c>
      <c r="JX28" s="627">
        <v>0</v>
      </c>
      <c r="JY28" s="627">
        <v>0</v>
      </c>
      <c r="JZ28" s="627">
        <v>0</v>
      </c>
      <c r="KA28" s="627">
        <v>0</v>
      </c>
      <c r="KB28" s="627">
        <v>0</v>
      </c>
      <c r="KC28" s="627">
        <v>0</v>
      </c>
      <c r="KD28" s="627">
        <v>0</v>
      </c>
      <c r="KE28" s="627">
        <v>0</v>
      </c>
      <c r="KF28" s="627">
        <v>7262</v>
      </c>
      <c r="KG28" s="627">
        <v>0</v>
      </c>
      <c r="KH28" s="627">
        <v>0</v>
      </c>
      <c r="KI28" s="627">
        <v>2550469</v>
      </c>
      <c r="KJ28" s="627">
        <v>0</v>
      </c>
      <c r="KK28" s="627">
        <v>0</v>
      </c>
      <c r="KL28" s="627">
        <v>0</v>
      </c>
      <c r="KM28" s="627">
        <v>0</v>
      </c>
      <c r="KN28" s="627">
        <v>0</v>
      </c>
      <c r="KO28" s="627">
        <v>0</v>
      </c>
      <c r="KP28" s="627">
        <v>0</v>
      </c>
      <c r="KQ28" s="627">
        <v>2550469</v>
      </c>
      <c r="KR28" s="627">
        <v>0</v>
      </c>
      <c r="KS28" s="627">
        <v>0</v>
      </c>
      <c r="KT28" s="627">
        <v>0</v>
      </c>
      <c r="KU28" s="627">
        <v>0</v>
      </c>
      <c r="KV28" s="627">
        <v>0</v>
      </c>
      <c r="KW28" s="627">
        <v>0</v>
      </c>
      <c r="KX28" s="627">
        <v>0</v>
      </c>
      <c r="KY28" s="627">
        <v>0</v>
      </c>
      <c r="KZ28" s="627">
        <v>0</v>
      </c>
      <c r="LA28" s="627">
        <v>0</v>
      </c>
      <c r="LB28" s="627">
        <v>0</v>
      </c>
      <c r="LC28" s="627">
        <v>0</v>
      </c>
      <c r="LD28" s="627">
        <v>0</v>
      </c>
      <c r="LE28" s="627">
        <v>0</v>
      </c>
      <c r="LF28" s="627">
        <v>0</v>
      </c>
    </row>
    <row r="29" spans="1:318" x14ac:dyDescent="0.25">
      <c r="A29" s="627">
        <v>42602</v>
      </c>
      <c r="B29" s="627">
        <v>246801</v>
      </c>
      <c r="D29" s="627">
        <v>9</v>
      </c>
      <c r="E29" s="627">
        <v>2024</v>
      </c>
      <c r="F29" s="627">
        <v>6160</v>
      </c>
      <c r="G29" s="627">
        <v>0</v>
      </c>
      <c r="H29" s="627">
        <v>1668.6470000000002</v>
      </c>
      <c r="I29" s="627">
        <v>1629.769</v>
      </c>
      <c r="J29" s="627">
        <v>1629.769</v>
      </c>
      <c r="K29" s="627">
        <v>1668.6470000000002</v>
      </c>
      <c r="L29" s="627">
        <v>0</v>
      </c>
      <c r="M29" s="627">
        <v>6160</v>
      </c>
      <c r="N29" s="627">
        <v>0</v>
      </c>
      <c r="O29" s="627">
        <v>0</v>
      </c>
      <c r="P29" s="627">
        <v>0</v>
      </c>
      <c r="Q29" s="627">
        <v>1609.6120000000001</v>
      </c>
      <c r="R29" s="627">
        <v>0</v>
      </c>
      <c r="S29" s="627">
        <v>667802</v>
      </c>
      <c r="T29" s="627">
        <v>414.88400000000001</v>
      </c>
      <c r="U29" s="627">
        <v>0</v>
      </c>
      <c r="V29" s="627">
        <v>346561</v>
      </c>
      <c r="W29" s="627">
        <v>231.994</v>
      </c>
      <c r="X29" s="627">
        <v>142908</v>
      </c>
      <c r="Y29" s="627">
        <v>142908</v>
      </c>
      <c r="Z29" s="627">
        <v>0</v>
      </c>
      <c r="AA29" s="627">
        <v>0</v>
      </c>
      <c r="AB29" s="627">
        <v>0</v>
      </c>
      <c r="AC29" s="627">
        <v>0</v>
      </c>
      <c r="AD29" s="627">
        <v>0</v>
      </c>
      <c r="AE29" s="627" t="s">
        <v>314</v>
      </c>
      <c r="AF29" s="627">
        <v>0</v>
      </c>
      <c r="AG29" s="627">
        <v>0</v>
      </c>
      <c r="AH29" s="627">
        <v>0</v>
      </c>
      <c r="AI29" s="627">
        <v>0</v>
      </c>
      <c r="AJ29" s="627">
        <v>0</v>
      </c>
      <c r="AK29" s="627">
        <v>6160</v>
      </c>
      <c r="AL29" s="627" t="s">
        <v>651</v>
      </c>
      <c r="AM29" s="627" t="s">
        <v>96</v>
      </c>
      <c r="AN29" s="627">
        <v>0</v>
      </c>
      <c r="AO29" s="627">
        <v>0</v>
      </c>
      <c r="AP29" s="627">
        <v>0</v>
      </c>
      <c r="AQ29" s="627">
        <v>0</v>
      </c>
      <c r="AR29" s="627">
        <v>0</v>
      </c>
      <c r="AS29" s="627">
        <v>0</v>
      </c>
      <c r="AT29" s="627">
        <v>0</v>
      </c>
      <c r="AU29" s="627">
        <v>0</v>
      </c>
      <c r="AV29" s="627">
        <v>0</v>
      </c>
      <c r="AW29" s="627">
        <v>0</v>
      </c>
      <c r="AX29" s="627">
        <v>15629991</v>
      </c>
      <c r="AY29" s="627">
        <v>15366410</v>
      </c>
      <c r="AZ29" s="627">
        <v>7705073</v>
      </c>
      <c r="BA29" s="627">
        <v>667802</v>
      </c>
      <c r="BB29" s="627">
        <v>0</v>
      </c>
      <c r="BC29" s="627">
        <v>0</v>
      </c>
      <c r="BD29" s="627">
        <v>0</v>
      </c>
      <c r="BE29" s="627">
        <v>0</v>
      </c>
      <c r="BF29" s="627">
        <v>0</v>
      </c>
      <c r="BG29" s="627">
        <v>13711362</v>
      </c>
      <c r="BH29" s="627">
        <v>0</v>
      </c>
      <c r="BI29" s="627">
        <v>0</v>
      </c>
      <c r="BJ29" s="627">
        <v>0</v>
      </c>
      <c r="BK29" s="627">
        <v>12</v>
      </c>
      <c r="BL29" s="627">
        <v>0</v>
      </c>
      <c r="BM29" s="627">
        <v>0</v>
      </c>
      <c r="BN29" s="627">
        <v>0</v>
      </c>
      <c r="BO29" s="627">
        <v>0</v>
      </c>
      <c r="BP29" s="627">
        <v>0</v>
      </c>
      <c r="BQ29" s="627">
        <v>0</v>
      </c>
      <c r="BR29" s="627">
        <v>519</v>
      </c>
      <c r="BS29" s="627">
        <v>0</v>
      </c>
      <c r="BT29" s="627">
        <v>0</v>
      </c>
      <c r="BU29" s="627">
        <v>0</v>
      </c>
      <c r="BV29" s="627">
        <v>0</v>
      </c>
      <c r="BW29" s="627">
        <v>0</v>
      </c>
      <c r="BX29" s="627">
        <v>0</v>
      </c>
      <c r="BY29" s="627">
        <v>0</v>
      </c>
      <c r="BZ29" s="627">
        <v>0</v>
      </c>
      <c r="CA29" s="627">
        <v>0</v>
      </c>
      <c r="CB29" s="627">
        <v>0</v>
      </c>
      <c r="CC29" s="627">
        <v>0</v>
      </c>
      <c r="CD29" s="627">
        <v>0</v>
      </c>
      <c r="CE29" s="627">
        <v>0</v>
      </c>
      <c r="CF29" s="627">
        <v>0</v>
      </c>
      <c r="CG29" s="627">
        <v>0</v>
      </c>
      <c r="CH29" s="627">
        <v>0</v>
      </c>
      <c r="CI29" s="627">
        <v>266864</v>
      </c>
      <c r="CJ29" s="627">
        <v>0</v>
      </c>
      <c r="CK29" s="627">
        <v>4</v>
      </c>
      <c r="CL29" s="627">
        <v>0</v>
      </c>
      <c r="CM29" s="627">
        <v>0</v>
      </c>
      <c r="CN29" s="627">
        <v>0</v>
      </c>
      <c r="CO29" s="627">
        <v>0</v>
      </c>
      <c r="CP29" s="627">
        <v>1</v>
      </c>
      <c r="CQ29" s="627">
        <v>0</v>
      </c>
      <c r="CR29" s="627">
        <v>0</v>
      </c>
      <c r="CS29" s="627">
        <v>1610.92</v>
      </c>
      <c r="CT29" s="627">
        <v>0</v>
      </c>
      <c r="CU29" s="627">
        <v>0</v>
      </c>
      <c r="CV29" s="627">
        <v>0</v>
      </c>
      <c r="CW29" s="627">
        <v>0</v>
      </c>
      <c r="CX29" s="627">
        <v>0</v>
      </c>
      <c r="CY29" s="627">
        <v>0</v>
      </c>
      <c r="CZ29" s="627">
        <v>0</v>
      </c>
      <c r="DA29" s="627">
        <v>0</v>
      </c>
      <c r="DB29" s="627">
        <v>0</v>
      </c>
      <c r="DC29" s="627">
        <v>9740627</v>
      </c>
      <c r="DD29" s="627">
        <v>0</v>
      </c>
      <c r="DE29" s="627">
        <v>0</v>
      </c>
      <c r="DF29" s="627">
        <v>192038</v>
      </c>
      <c r="DG29" s="627">
        <v>192038</v>
      </c>
      <c r="DH29" s="627">
        <v>31.175000000000001</v>
      </c>
      <c r="DI29" s="627">
        <v>0</v>
      </c>
      <c r="DJ29" s="627">
        <v>0</v>
      </c>
      <c r="DK29" s="627">
        <v>0</v>
      </c>
      <c r="DL29" s="627">
        <v>0</v>
      </c>
      <c r="DM29" s="627">
        <v>0</v>
      </c>
      <c r="DN29" s="627">
        <v>1262042</v>
      </c>
      <c r="DO29" s="627">
        <v>3283</v>
      </c>
      <c r="DP29" s="627">
        <v>0</v>
      </c>
      <c r="DQ29" s="627">
        <v>0</v>
      </c>
      <c r="DR29" s="627">
        <v>0</v>
      </c>
      <c r="DS29" s="627">
        <v>0</v>
      </c>
      <c r="DT29" s="627">
        <v>0</v>
      </c>
      <c r="DU29" s="627">
        <v>0</v>
      </c>
      <c r="DV29" s="627">
        <v>0</v>
      </c>
      <c r="DW29" s="627">
        <v>0</v>
      </c>
      <c r="DX29" s="627">
        <v>0</v>
      </c>
      <c r="DY29" s="627">
        <v>0</v>
      </c>
      <c r="DZ29" s="627">
        <v>0</v>
      </c>
      <c r="EA29" s="627">
        <v>0</v>
      </c>
      <c r="EB29" s="627">
        <v>0</v>
      </c>
      <c r="EC29" s="627">
        <v>0</v>
      </c>
      <c r="ED29" s="627">
        <v>30.316000000000003</v>
      </c>
      <c r="EE29" s="627">
        <v>214759</v>
      </c>
      <c r="EF29" s="627">
        <v>0</v>
      </c>
      <c r="EG29" s="627">
        <v>0</v>
      </c>
      <c r="EH29" s="627">
        <v>0</v>
      </c>
      <c r="EI29" s="627">
        <v>751816</v>
      </c>
      <c r="EJ29" s="627">
        <v>0</v>
      </c>
      <c r="EK29" s="627">
        <v>0</v>
      </c>
      <c r="EL29" s="627">
        <v>32.371000000000002</v>
      </c>
      <c r="EM29" s="627">
        <v>0</v>
      </c>
      <c r="EN29" s="627">
        <v>3.8000000000000003</v>
      </c>
      <c r="EO29" s="627">
        <v>2.7070000000000003</v>
      </c>
      <c r="EP29" s="627">
        <v>0</v>
      </c>
      <c r="EQ29" s="627">
        <v>0</v>
      </c>
      <c r="ER29" s="627">
        <v>38.878</v>
      </c>
      <c r="ES29" s="627">
        <v>0</v>
      </c>
      <c r="ET29" s="627">
        <v>122.048</v>
      </c>
      <c r="EU29" s="627">
        <v>0</v>
      </c>
      <c r="EV29" s="627">
        <v>0</v>
      </c>
      <c r="EW29" s="627">
        <v>0</v>
      </c>
      <c r="EX29" s="627">
        <v>0</v>
      </c>
      <c r="EY29" s="627">
        <v>0</v>
      </c>
      <c r="EZ29" s="627">
        <v>0</v>
      </c>
      <c r="FA29" s="627">
        <v>13050088</v>
      </c>
      <c r="FB29" s="627">
        <v>0</v>
      </c>
      <c r="FC29" s="627">
        <v>13714607</v>
      </c>
      <c r="FD29" s="627">
        <v>0</v>
      </c>
      <c r="FE29" s="627">
        <v>0</v>
      </c>
      <c r="FF29" s="627">
        <v>1974383</v>
      </c>
      <c r="FG29" s="627">
        <v>341939</v>
      </c>
      <c r="FH29" s="627">
        <v>7.0280999999999996E-2</v>
      </c>
      <c r="FI29" s="627">
        <v>3.1172999999999999E-2</v>
      </c>
      <c r="FJ29" s="627">
        <v>0</v>
      </c>
      <c r="FK29" s="627">
        <v>0</v>
      </c>
      <c r="FL29" s="627">
        <v>2225.87</v>
      </c>
      <c r="FM29" s="627">
        <v>16297793</v>
      </c>
      <c r="FN29" s="627">
        <v>0</v>
      </c>
      <c r="FO29" s="627">
        <v>0</v>
      </c>
      <c r="FP29" s="627">
        <v>0</v>
      </c>
      <c r="FQ29" s="627">
        <v>0</v>
      </c>
      <c r="FR29" s="627">
        <v>0</v>
      </c>
      <c r="FS29" s="627">
        <v>0</v>
      </c>
      <c r="FT29" s="627">
        <v>0</v>
      </c>
      <c r="FU29" s="627">
        <v>0</v>
      </c>
      <c r="FV29" s="627">
        <v>1</v>
      </c>
      <c r="FW29" s="627">
        <v>0</v>
      </c>
      <c r="FX29" s="627">
        <v>0</v>
      </c>
      <c r="FY29" s="627">
        <v>0</v>
      </c>
      <c r="FZ29" s="627">
        <v>0</v>
      </c>
      <c r="GA29" s="627">
        <v>0</v>
      </c>
      <c r="GB29" s="627">
        <v>0</v>
      </c>
      <c r="GC29" s="627">
        <v>0</v>
      </c>
      <c r="GD29" s="627">
        <v>0</v>
      </c>
      <c r="GE29" s="627">
        <v>0</v>
      </c>
      <c r="GF29" s="627">
        <v>0</v>
      </c>
      <c r="GG29" s="627">
        <v>0</v>
      </c>
      <c r="GH29" s="627">
        <v>0</v>
      </c>
      <c r="GI29" s="627">
        <v>0</v>
      </c>
      <c r="GJ29" s="627">
        <v>0</v>
      </c>
      <c r="GK29" s="627">
        <v>0</v>
      </c>
      <c r="GL29" s="627">
        <v>0</v>
      </c>
      <c r="GM29" s="627">
        <v>0</v>
      </c>
      <c r="GN29" s="627">
        <v>0</v>
      </c>
      <c r="GO29" s="627">
        <v>0</v>
      </c>
      <c r="GP29" s="627">
        <v>0</v>
      </c>
      <c r="GQ29" s="627">
        <v>0</v>
      </c>
      <c r="GR29" s="627">
        <v>15363127</v>
      </c>
      <c r="GS29" s="627">
        <v>0</v>
      </c>
      <c r="GT29" s="627">
        <v>0</v>
      </c>
      <c r="GU29" s="627">
        <v>0</v>
      </c>
      <c r="GV29" s="627">
        <v>0</v>
      </c>
      <c r="GW29" s="627">
        <v>0</v>
      </c>
      <c r="GX29" s="627">
        <v>0</v>
      </c>
      <c r="GY29" s="627">
        <v>0</v>
      </c>
      <c r="GZ29" s="627">
        <v>0</v>
      </c>
      <c r="HA29" s="627">
        <v>0</v>
      </c>
      <c r="HB29" s="627">
        <v>0</v>
      </c>
      <c r="HC29" s="627">
        <v>361151439</v>
      </c>
      <c r="HD29" s="627">
        <v>3.9981999999999997E-2</v>
      </c>
      <c r="HE29" s="627">
        <v>266864</v>
      </c>
      <c r="HF29" s="627">
        <v>0</v>
      </c>
      <c r="HG29" s="627">
        <v>1796005</v>
      </c>
      <c r="HH29" s="627">
        <v>56672</v>
      </c>
      <c r="HI29" s="627">
        <v>106099</v>
      </c>
      <c r="HJ29" s="627">
        <v>0</v>
      </c>
      <c r="HK29" s="627">
        <v>31686</v>
      </c>
      <c r="HL29" s="627">
        <v>4375</v>
      </c>
      <c r="HM29" s="627">
        <v>2153</v>
      </c>
      <c r="HN29" s="627">
        <v>109000</v>
      </c>
      <c r="HO29" s="627">
        <v>271002</v>
      </c>
      <c r="HP29" s="627">
        <v>0</v>
      </c>
      <c r="HQ29" s="627">
        <v>0</v>
      </c>
      <c r="HR29" s="627">
        <v>0</v>
      </c>
      <c r="HS29" s="627">
        <v>0</v>
      </c>
      <c r="HT29" s="627">
        <v>13046805</v>
      </c>
      <c r="HU29" s="627">
        <v>341939</v>
      </c>
      <c r="HV29" s="627">
        <v>0</v>
      </c>
      <c r="HW29" s="627">
        <v>0</v>
      </c>
      <c r="HX29" s="627">
        <v>0</v>
      </c>
      <c r="HY29" s="627">
        <v>78</v>
      </c>
      <c r="HZ29" s="627">
        <v>29</v>
      </c>
      <c r="IA29" s="627">
        <v>13</v>
      </c>
      <c r="IB29" s="627">
        <v>7</v>
      </c>
      <c r="IC29" s="627">
        <v>6</v>
      </c>
      <c r="ID29" s="627">
        <v>133</v>
      </c>
      <c r="IE29" s="627">
        <v>0</v>
      </c>
      <c r="IF29" s="627">
        <v>0</v>
      </c>
      <c r="IG29" s="627">
        <v>0</v>
      </c>
      <c r="IH29" s="627">
        <v>92</v>
      </c>
      <c r="II29" s="627">
        <v>172.239</v>
      </c>
      <c r="IJ29" s="627">
        <v>0</v>
      </c>
      <c r="IK29" s="627">
        <v>231.994</v>
      </c>
      <c r="IL29" s="627">
        <v>0</v>
      </c>
      <c r="IM29" s="627">
        <v>5</v>
      </c>
      <c r="IN29" s="627">
        <v>26</v>
      </c>
      <c r="IO29" s="627">
        <v>3</v>
      </c>
      <c r="IP29" s="627">
        <v>34</v>
      </c>
      <c r="IQ29" s="627">
        <v>0</v>
      </c>
      <c r="IR29" s="627">
        <v>231.994</v>
      </c>
      <c r="IS29" s="627">
        <v>142908</v>
      </c>
      <c r="IT29" s="627">
        <v>0</v>
      </c>
      <c r="IU29" s="627">
        <v>25000</v>
      </c>
      <c r="IV29" s="627">
        <v>78000</v>
      </c>
      <c r="IW29" s="627">
        <v>6000</v>
      </c>
      <c r="IX29" s="627">
        <v>6160</v>
      </c>
      <c r="IY29" s="627">
        <v>0</v>
      </c>
      <c r="IZ29" s="627">
        <v>0</v>
      </c>
      <c r="JA29" s="627">
        <v>0</v>
      </c>
      <c r="JB29" s="627">
        <v>0</v>
      </c>
      <c r="JC29" s="627">
        <v>3</v>
      </c>
      <c r="JD29" s="627">
        <v>37155</v>
      </c>
      <c r="JE29" s="627">
        <v>27</v>
      </c>
      <c r="JF29" s="627">
        <v>168237</v>
      </c>
      <c r="JG29" s="627">
        <v>14</v>
      </c>
      <c r="JH29" s="627">
        <v>43610</v>
      </c>
      <c r="JI29" s="627">
        <v>22000</v>
      </c>
      <c r="JJ29" s="627">
        <v>0</v>
      </c>
      <c r="JK29" s="627">
        <v>0</v>
      </c>
      <c r="JL29" s="627">
        <v>0</v>
      </c>
      <c r="JM29" s="627">
        <v>0</v>
      </c>
      <c r="JN29" s="627">
        <v>0</v>
      </c>
      <c r="JO29" s="627">
        <v>32469</v>
      </c>
      <c r="JP29" s="627">
        <v>0</v>
      </c>
      <c r="JQ29" s="627">
        <v>0</v>
      </c>
      <c r="JR29" s="627">
        <v>0</v>
      </c>
      <c r="JS29" s="627">
        <v>0</v>
      </c>
      <c r="JT29" s="627">
        <v>0</v>
      </c>
      <c r="JU29" s="627">
        <v>0</v>
      </c>
      <c r="JV29" s="627">
        <v>0</v>
      </c>
      <c r="JW29" s="627">
        <v>0</v>
      </c>
      <c r="JX29" s="627">
        <v>0</v>
      </c>
      <c r="JY29" s="627">
        <v>0</v>
      </c>
      <c r="JZ29" s="627">
        <v>0</v>
      </c>
      <c r="KA29" s="627">
        <v>0</v>
      </c>
      <c r="KB29" s="627">
        <v>0</v>
      </c>
      <c r="KC29" s="627">
        <v>0</v>
      </c>
      <c r="KD29" s="627">
        <v>0</v>
      </c>
      <c r="KE29" s="627">
        <v>0</v>
      </c>
      <c r="KF29" s="627">
        <v>7262</v>
      </c>
      <c r="KG29" s="627">
        <v>0</v>
      </c>
      <c r="KH29" s="627">
        <v>0</v>
      </c>
      <c r="KI29" s="627">
        <v>15363127</v>
      </c>
      <c r="KJ29" s="627">
        <v>0</v>
      </c>
      <c r="KK29" s="627">
        <v>38</v>
      </c>
      <c r="KL29" s="627">
        <v>54</v>
      </c>
      <c r="KM29" s="627">
        <v>23408</v>
      </c>
      <c r="KN29" s="627">
        <v>33264</v>
      </c>
      <c r="KO29" s="627">
        <v>0</v>
      </c>
      <c r="KP29" s="627">
        <v>0</v>
      </c>
      <c r="KQ29" s="627">
        <v>15363127</v>
      </c>
      <c r="KR29" s="627">
        <v>0</v>
      </c>
      <c r="KS29" s="627">
        <v>0</v>
      </c>
      <c r="KT29" s="627">
        <v>0</v>
      </c>
      <c r="KU29" s="627">
        <v>0</v>
      </c>
      <c r="KV29" s="627">
        <v>0</v>
      </c>
      <c r="KW29" s="627">
        <v>0</v>
      </c>
      <c r="KX29" s="627">
        <v>0</v>
      </c>
      <c r="KY29" s="627">
        <v>0</v>
      </c>
      <c r="KZ29" s="627">
        <v>0</v>
      </c>
      <c r="LA29" s="627">
        <v>0</v>
      </c>
      <c r="LB29" s="627">
        <v>0</v>
      </c>
      <c r="LC29" s="627">
        <v>0</v>
      </c>
      <c r="LD29" s="627">
        <v>0</v>
      </c>
      <c r="LE29" s="627">
        <v>0</v>
      </c>
      <c r="LF29" s="627">
        <v>0</v>
      </c>
    </row>
    <row r="30" spans="1:318" x14ac:dyDescent="0.25">
      <c r="A30" s="627">
        <v>42602</v>
      </c>
      <c r="B30" s="627">
        <v>15802</v>
      </c>
      <c r="D30" s="627">
        <v>9</v>
      </c>
      <c r="E30" s="627">
        <v>2024</v>
      </c>
      <c r="F30" s="627">
        <v>6160</v>
      </c>
      <c r="G30" s="627">
        <v>0</v>
      </c>
      <c r="H30" s="627">
        <v>598.25200000000007</v>
      </c>
      <c r="I30" s="627">
        <v>566.61500000000001</v>
      </c>
      <c r="J30" s="627">
        <v>566.61500000000001</v>
      </c>
      <c r="K30" s="627">
        <v>598.25200000000007</v>
      </c>
      <c r="L30" s="627">
        <v>0</v>
      </c>
      <c r="M30" s="627">
        <v>6160</v>
      </c>
      <c r="N30" s="627">
        <v>0</v>
      </c>
      <c r="O30" s="627">
        <v>0</v>
      </c>
      <c r="P30" s="627">
        <v>0</v>
      </c>
      <c r="Q30" s="627">
        <v>533.07000000000005</v>
      </c>
      <c r="R30" s="627">
        <v>0</v>
      </c>
      <c r="S30" s="627">
        <v>221162</v>
      </c>
      <c r="T30" s="627">
        <v>414.88400000000001</v>
      </c>
      <c r="U30" s="627">
        <v>0</v>
      </c>
      <c r="V30" s="627">
        <v>114773</v>
      </c>
      <c r="W30" s="627">
        <v>65.165000000000006</v>
      </c>
      <c r="X30" s="627">
        <v>80678</v>
      </c>
      <c r="Y30" s="627">
        <v>80678</v>
      </c>
      <c r="Z30" s="627">
        <v>0</v>
      </c>
      <c r="AA30" s="627">
        <v>0</v>
      </c>
      <c r="AB30" s="627">
        <v>0</v>
      </c>
      <c r="AC30" s="627">
        <v>0</v>
      </c>
      <c r="AD30" s="627">
        <v>0</v>
      </c>
      <c r="AE30" s="627" t="s">
        <v>314</v>
      </c>
      <c r="AF30" s="627">
        <v>0</v>
      </c>
      <c r="AG30" s="627">
        <v>0</v>
      </c>
      <c r="AH30" s="627">
        <v>0</v>
      </c>
      <c r="AI30" s="627">
        <v>0</v>
      </c>
      <c r="AJ30" s="627">
        <v>0</v>
      </c>
      <c r="AK30" s="627">
        <v>6160</v>
      </c>
      <c r="AL30" s="627" t="s">
        <v>651</v>
      </c>
      <c r="AM30" s="627" t="s">
        <v>55</v>
      </c>
      <c r="AN30" s="627">
        <v>0</v>
      </c>
      <c r="AO30" s="627">
        <v>0</v>
      </c>
      <c r="AP30" s="627">
        <v>0</v>
      </c>
      <c r="AQ30" s="627">
        <v>0</v>
      </c>
      <c r="AR30" s="627">
        <v>0</v>
      </c>
      <c r="AS30" s="627">
        <v>0</v>
      </c>
      <c r="AT30" s="627">
        <v>0</v>
      </c>
      <c r="AU30" s="627">
        <v>0</v>
      </c>
      <c r="AV30" s="627">
        <v>0</v>
      </c>
      <c r="AW30" s="627">
        <v>0</v>
      </c>
      <c r="AX30" s="627">
        <v>7712454</v>
      </c>
      <c r="AY30" s="627">
        <v>7618893</v>
      </c>
      <c r="AZ30" s="627">
        <v>3573536</v>
      </c>
      <c r="BA30" s="627">
        <v>221162</v>
      </c>
      <c r="BB30" s="627">
        <v>46.833000000000006</v>
      </c>
      <c r="BC30" s="627">
        <v>2982</v>
      </c>
      <c r="BD30" s="627">
        <v>2963</v>
      </c>
      <c r="BE30" s="627">
        <v>7</v>
      </c>
      <c r="BF30" s="627">
        <v>19</v>
      </c>
      <c r="BG30" s="627">
        <v>6475457</v>
      </c>
      <c r="BH30" s="627">
        <v>0</v>
      </c>
      <c r="BI30" s="627">
        <v>0</v>
      </c>
      <c r="BJ30" s="627">
        <v>0</v>
      </c>
      <c r="BK30" s="627">
        <v>12</v>
      </c>
      <c r="BL30" s="627">
        <v>0</v>
      </c>
      <c r="BM30" s="627">
        <v>0</v>
      </c>
      <c r="BN30" s="627">
        <v>0</v>
      </c>
      <c r="BO30" s="627">
        <v>0</v>
      </c>
      <c r="BP30" s="627">
        <v>0</v>
      </c>
      <c r="BQ30" s="627">
        <v>0</v>
      </c>
      <c r="BR30" s="627">
        <v>683</v>
      </c>
      <c r="BS30" s="627">
        <v>0</v>
      </c>
      <c r="BT30" s="627">
        <v>0</v>
      </c>
      <c r="BU30" s="627">
        <v>0</v>
      </c>
      <c r="BV30" s="627">
        <v>0</v>
      </c>
      <c r="BW30" s="627">
        <v>0</v>
      </c>
      <c r="BX30" s="627">
        <v>0</v>
      </c>
      <c r="BY30" s="627">
        <v>0</v>
      </c>
      <c r="BZ30" s="627">
        <v>0</v>
      </c>
      <c r="CA30" s="627">
        <v>0</v>
      </c>
      <c r="CB30" s="627">
        <v>77.48</v>
      </c>
      <c r="CC30" s="627">
        <v>77480</v>
      </c>
      <c r="CD30" s="627">
        <v>0</v>
      </c>
      <c r="CE30" s="627">
        <v>0</v>
      </c>
      <c r="CF30" s="627">
        <v>0</v>
      </c>
      <c r="CG30" s="627">
        <v>0</v>
      </c>
      <c r="CH30" s="627">
        <v>0</v>
      </c>
      <c r="CI30" s="627">
        <v>95678</v>
      </c>
      <c r="CJ30" s="627">
        <v>0</v>
      </c>
      <c r="CK30" s="627">
        <v>4</v>
      </c>
      <c r="CL30" s="627">
        <v>0</v>
      </c>
      <c r="CM30" s="627">
        <v>0</v>
      </c>
      <c r="CN30" s="627">
        <v>0</v>
      </c>
      <c r="CO30" s="627">
        <v>0</v>
      </c>
      <c r="CP30" s="627">
        <v>1</v>
      </c>
      <c r="CQ30" s="627">
        <v>0.05</v>
      </c>
      <c r="CR30" s="627">
        <v>0</v>
      </c>
      <c r="CS30" s="627">
        <v>532.97</v>
      </c>
      <c r="CT30" s="627">
        <v>0</v>
      </c>
      <c r="CU30" s="627">
        <v>0</v>
      </c>
      <c r="CV30" s="627">
        <v>0</v>
      </c>
      <c r="CW30" s="627">
        <v>0</v>
      </c>
      <c r="CX30" s="627">
        <v>0</v>
      </c>
      <c r="CY30" s="627">
        <v>0</v>
      </c>
      <c r="CZ30" s="627">
        <v>0</v>
      </c>
      <c r="DA30" s="627">
        <v>0</v>
      </c>
      <c r="DB30" s="627">
        <v>0</v>
      </c>
      <c r="DC30" s="627">
        <v>3490348</v>
      </c>
      <c r="DD30" s="627">
        <v>0</v>
      </c>
      <c r="DE30" s="627">
        <v>0</v>
      </c>
      <c r="DF30" s="627">
        <v>1398474</v>
      </c>
      <c r="DG30" s="627">
        <v>1399216</v>
      </c>
      <c r="DH30" s="627">
        <v>227.02500000000001</v>
      </c>
      <c r="DI30" s="627">
        <v>0</v>
      </c>
      <c r="DJ30" s="627">
        <v>742</v>
      </c>
      <c r="DK30" s="627">
        <v>0</v>
      </c>
      <c r="DL30" s="627">
        <v>2546</v>
      </c>
      <c r="DM30" s="627">
        <v>0</v>
      </c>
      <c r="DN30" s="627">
        <v>615427</v>
      </c>
      <c r="DO30" s="627">
        <v>2098</v>
      </c>
      <c r="DP30" s="627">
        <v>0</v>
      </c>
      <c r="DQ30" s="627">
        <v>0</v>
      </c>
      <c r="DR30" s="627">
        <v>0</v>
      </c>
      <c r="DS30" s="627">
        <v>0</v>
      </c>
      <c r="DT30" s="627">
        <v>0</v>
      </c>
      <c r="DU30" s="627">
        <v>0</v>
      </c>
      <c r="DV30" s="627">
        <v>0</v>
      </c>
      <c r="DW30" s="627">
        <v>0</v>
      </c>
      <c r="DX30" s="627">
        <v>0</v>
      </c>
      <c r="DY30" s="627">
        <v>0</v>
      </c>
      <c r="DZ30" s="627">
        <v>0</v>
      </c>
      <c r="EA30" s="627">
        <v>0</v>
      </c>
      <c r="EB30" s="627">
        <v>0</v>
      </c>
      <c r="EC30" s="627">
        <v>0</v>
      </c>
      <c r="ED30" s="627">
        <v>13.637</v>
      </c>
      <c r="EE30" s="627">
        <v>96605</v>
      </c>
      <c r="EF30" s="627">
        <v>0</v>
      </c>
      <c r="EG30" s="627">
        <v>0</v>
      </c>
      <c r="EH30" s="627">
        <v>0</v>
      </c>
      <c r="EI30" s="627">
        <v>520920</v>
      </c>
      <c r="EJ30" s="627">
        <v>0</v>
      </c>
      <c r="EK30" s="627">
        <v>0</v>
      </c>
      <c r="EL30" s="627">
        <v>26.007000000000001</v>
      </c>
      <c r="EM30" s="627">
        <v>0</v>
      </c>
      <c r="EN30" s="627">
        <v>0.51300000000000001</v>
      </c>
      <c r="EO30" s="627">
        <v>1.0010000000000001</v>
      </c>
      <c r="EP30" s="627">
        <v>0</v>
      </c>
      <c r="EQ30" s="627">
        <v>0</v>
      </c>
      <c r="ER30" s="627">
        <v>27.521000000000001</v>
      </c>
      <c r="ES30" s="627">
        <v>0</v>
      </c>
      <c r="ET30" s="627">
        <v>84.564999999999998</v>
      </c>
      <c r="EU30" s="627">
        <v>0</v>
      </c>
      <c r="EV30" s="627">
        <v>0</v>
      </c>
      <c r="EW30" s="627">
        <v>0</v>
      </c>
      <c r="EX30" s="627">
        <v>0</v>
      </c>
      <c r="EY30" s="627">
        <v>0</v>
      </c>
      <c r="EZ30" s="627">
        <v>0</v>
      </c>
      <c r="FA30" s="627">
        <v>6524963</v>
      </c>
      <c r="FB30" s="627">
        <v>0</v>
      </c>
      <c r="FC30" s="627">
        <v>6744008</v>
      </c>
      <c r="FD30" s="627">
        <v>0</v>
      </c>
      <c r="FE30" s="627">
        <v>0</v>
      </c>
      <c r="FF30" s="627">
        <v>932442</v>
      </c>
      <c r="FG30" s="627">
        <v>161488</v>
      </c>
      <c r="FH30" s="627">
        <v>7.0280999999999996E-2</v>
      </c>
      <c r="FI30" s="627">
        <v>3.1172999999999999E-2</v>
      </c>
      <c r="FJ30" s="627">
        <v>0</v>
      </c>
      <c r="FK30" s="627">
        <v>0</v>
      </c>
      <c r="FL30" s="627">
        <v>1051.211</v>
      </c>
      <c r="FM30" s="627">
        <v>7933616</v>
      </c>
      <c r="FN30" s="627">
        <v>0</v>
      </c>
      <c r="FO30" s="627">
        <v>0</v>
      </c>
      <c r="FP30" s="627">
        <v>74353</v>
      </c>
      <c r="FQ30" s="627">
        <v>0</v>
      </c>
      <c r="FR30" s="627">
        <v>191684</v>
      </c>
      <c r="FS30" s="627">
        <v>74353</v>
      </c>
      <c r="FT30" s="627">
        <v>117331</v>
      </c>
      <c r="FU30" s="627">
        <v>0</v>
      </c>
      <c r="FV30" s="627">
        <v>0</v>
      </c>
      <c r="FW30" s="627">
        <v>0</v>
      </c>
      <c r="FX30" s="627">
        <v>0</v>
      </c>
      <c r="FY30" s="627">
        <v>0</v>
      </c>
      <c r="FZ30" s="627">
        <v>0</v>
      </c>
      <c r="GA30" s="627">
        <v>0</v>
      </c>
      <c r="GB30" s="627">
        <v>0</v>
      </c>
      <c r="GC30" s="627">
        <v>37247</v>
      </c>
      <c r="GD30" s="627">
        <v>37247</v>
      </c>
      <c r="GE30" s="627">
        <v>4.1160000000000005</v>
      </c>
      <c r="GF30" s="627">
        <v>0</v>
      </c>
      <c r="GG30" s="627">
        <v>0</v>
      </c>
      <c r="GH30" s="627">
        <v>0</v>
      </c>
      <c r="GI30" s="627">
        <v>0</v>
      </c>
      <c r="GJ30" s="627">
        <v>0</v>
      </c>
      <c r="GK30" s="627">
        <v>0</v>
      </c>
      <c r="GL30" s="627">
        <v>0</v>
      </c>
      <c r="GM30" s="627">
        <v>0</v>
      </c>
      <c r="GN30" s="627">
        <v>0</v>
      </c>
      <c r="GO30" s="627">
        <v>0</v>
      </c>
      <c r="GP30" s="627">
        <v>0</v>
      </c>
      <c r="GQ30" s="627">
        <v>0</v>
      </c>
      <c r="GR30" s="627">
        <v>7616776</v>
      </c>
      <c r="GS30" s="627">
        <v>0</v>
      </c>
      <c r="GT30" s="627">
        <v>0</v>
      </c>
      <c r="GU30" s="627">
        <v>0</v>
      </c>
      <c r="GV30" s="627">
        <v>0</v>
      </c>
      <c r="GW30" s="627">
        <v>0</v>
      </c>
      <c r="GX30" s="627">
        <v>0</v>
      </c>
      <c r="GY30" s="627">
        <v>0</v>
      </c>
      <c r="GZ30" s="627">
        <v>0</v>
      </c>
      <c r="HA30" s="627">
        <v>0</v>
      </c>
      <c r="HB30" s="627">
        <v>0</v>
      </c>
      <c r="HC30" s="627">
        <v>361151439</v>
      </c>
      <c r="HD30" s="627">
        <v>3.9981999999999997E-2</v>
      </c>
      <c r="HE30" s="627">
        <v>95678</v>
      </c>
      <c r="HF30" s="627">
        <v>0</v>
      </c>
      <c r="HG30" s="627">
        <v>624410</v>
      </c>
      <c r="HH30" s="627">
        <v>9240</v>
      </c>
      <c r="HI30" s="627">
        <v>151285</v>
      </c>
      <c r="HJ30" s="627">
        <v>0</v>
      </c>
      <c r="HK30" s="627">
        <v>35983</v>
      </c>
      <c r="HL30" s="627">
        <v>805</v>
      </c>
      <c r="HM30" s="627">
        <v>699</v>
      </c>
      <c r="HN30" s="627">
        <v>0</v>
      </c>
      <c r="HO30" s="627">
        <v>26543</v>
      </c>
      <c r="HP30" s="627">
        <v>0</v>
      </c>
      <c r="HQ30" s="627">
        <v>0</v>
      </c>
      <c r="HR30" s="627">
        <v>0</v>
      </c>
      <c r="HS30" s="627">
        <v>0</v>
      </c>
      <c r="HT30" s="627">
        <v>6522846</v>
      </c>
      <c r="HU30" s="627">
        <v>161488</v>
      </c>
      <c r="HV30" s="627">
        <v>0</v>
      </c>
      <c r="HW30" s="627">
        <v>0</v>
      </c>
      <c r="HX30" s="627">
        <v>0</v>
      </c>
      <c r="HY30" s="627">
        <v>82</v>
      </c>
      <c r="HZ30" s="627">
        <v>108</v>
      </c>
      <c r="IA30" s="627">
        <v>170</v>
      </c>
      <c r="IB30" s="627">
        <v>184</v>
      </c>
      <c r="IC30" s="627">
        <v>335</v>
      </c>
      <c r="ID30" s="627">
        <v>879</v>
      </c>
      <c r="IE30" s="627">
        <v>0</v>
      </c>
      <c r="IF30" s="627">
        <v>43.152000000000001</v>
      </c>
      <c r="IG30" s="627">
        <v>2.157</v>
      </c>
      <c r="IH30" s="627">
        <v>15</v>
      </c>
      <c r="II30" s="627">
        <v>245.59200000000001</v>
      </c>
      <c r="IJ30" s="627">
        <v>0</v>
      </c>
      <c r="IK30" s="627">
        <v>110.474</v>
      </c>
      <c r="IL30" s="627">
        <v>0</v>
      </c>
      <c r="IM30" s="627">
        <v>0</v>
      </c>
      <c r="IN30" s="627">
        <v>0</v>
      </c>
      <c r="IO30" s="627">
        <v>0</v>
      </c>
      <c r="IP30" s="627">
        <v>0</v>
      </c>
      <c r="IQ30" s="627">
        <v>0</v>
      </c>
      <c r="IR30" s="627">
        <v>65.165000000000006</v>
      </c>
      <c r="IS30" s="627">
        <v>40142</v>
      </c>
      <c r="IT30" s="627">
        <v>0</v>
      </c>
      <c r="IU30" s="627">
        <v>0</v>
      </c>
      <c r="IV30" s="627">
        <v>0</v>
      </c>
      <c r="IW30" s="627">
        <v>0</v>
      </c>
      <c r="IX30" s="627">
        <v>6160</v>
      </c>
      <c r="IY30" s="627">
        <v>39872</v>
      </c>
      <c r="IZ30" s="627">
        <v>664</v>
      </c>
      <c r="JA30" s="627">
        <v>0</v>
      </c>
      <c r="JB30" s="627">
        <v>0</v>
      </c>
      <c r="JC30" s="627">
        <v>1</v>
      </c>
      <c r="JD30" s="627">
        <v>26043</v>
      </c>
      <c r="JE30" s="627">
        <v>0</v>
      </c>
      <c r="JF30" s="627">
        <v>0</v>
      </c>
      <c r="JG30" s="627">
        <v>0</v>
      </c>
      <c r="JH30" s="627">
        <v>0</v>
      </c>
      <c r="JI30" s="627">
        <v>500</v>
      </c>
      <c r="JJ30" s="627">
        <v>0</v>
      </c>
      <c r="JK30" s="627">
        <v>0</v>
      </c>
      <c r="JL30" s="627">
        <v>0</v>
      </c>
      <c r="JM30" s="627">
        <v>0</v>
      </c>
      <c r="JN30" s="627">
        <v>0</v>
      </c>
      <c r="JO30" s="627">
        <v>32469</v>
      </c>
      <c r="JP30" s="627">
        <v>1.153</v>
      </c>
      <c r="JQ30" s="627">
        <v>2.6040000000000001</v>
      </c>
      <c r="JR30" s="627">
        <v>0.35900000000000004</v>
      </c>
      <c r="JS30" s="627">
        <v>9210</v>
      </c>
      <c r="JT30" s="627">
        <v>24205</v>
      </c>
      <c r="JU30" s="627">
        <v>3832</v>
      </c>
      <c r="JV30" s="627">
        <v>3018</v>
      </c>
      <c r="JW30" s="627">
        <v>0</v>
      </c>
      <c r="JX30" s="627">
        <v>0</v>
      </c>
      <c r="JY30" s="627">
        <v>0</v>
      </c>
      <c r="JZ30" s="627">
        <v>0</v>
      </c>
      <c r="KA30" s="627">
        <v>0</v>
      </c>
      <c r="KB30" s="627">
        <v>0</v>
      </c>
      <c r="KC30" s="627">
        <v>0</v>
      </c>
      <c r="KD30" s="627">
        <v>0</v>
      </c>
      <c r="KE30" s="627">
        <v>3018</v>
      </c>
      <c r="KF30" s="627">
        <v>7262</v>
      </c>
      <c r="KG30" s="627">
        <v>0</v>
      </c>
      <c r="KH30" s="627">
        <v>0</v>
      </c>
      <c r="KI30" s="627">
        <v>7616776</v>
      </c>
      <c r="KJ30" s="627">
        <v>0</v>
      </c>
      <c r="KK30" s="627">
        <v>12</v>
      </c>
      <c r="KL30" s="627">
        <v>3</v>
      </c>
      <c r="KM30" s="627">
        <v>7392</v>
      </c>
      <c r="KN30" s="627">
        <v>1848</v>
      </c>
      <c r="KO30" s="627">
        <v>0</v>
      </c>
      <c r="KP30" s="627">
        <v>0</v>
      </c>
      <c r="KQ30" s="627">
        <v>7616776</v>
      </c>
      <c r="KR30" s="627">
        <v>0</v>
      </c>
      <c r="KS30" s="627">
        <v>0</v>
      </c>
      <c r="KT30" s="627">
        <v>0</v>
      </c>
      <c r="KU30" s="627">
        <v>0</v>
      </c>
      <c r="KV30" s="627">
        <v>0</v>
      </c>
      <c r="KW30" s="627">
        <v>0</v>
      </c>
      <c r="KX30" s="627">
        <v>0</v>
      </c>
      <c r="KY30" s="627">
        <v>0</v>
      </c>
      <c r="KZ30" s="627">
        <v>0</v>
      </c>
      <c r="LA30" s="627">
        <v>0</v>
      </c>
      <c r="LB30" s="627">
        <v>0</v>
      </c>
      <c r="LC30" s="627">
        <v>0</v>
      </c>
      <c r="LD30" s="627">
        <v>0</v>
      </c>
      <c r="LE30" s="627">
        <v>0</v>
      </c>
      <c r="LF30" s="627">
        <v>0</v>
      </c>
    </row>
    <row r="31" spans="1:318" x14ac:dyDescent="0.25">
      <c r="A31" s="627">
        <v>42602</v>
      </c>
      <c r="B31" s="627">
        <v>43802</v>
      </c>
      <c r="D31" s="627">
        <v>9</v>
      </c>
      <c r="E31" s="627">
        <v>2024</v>
      </c>
      <c r="F31" s="627">
        <v>6160</v>
      </c>
      <c r="G31" s="627">
        <v>0</v>
      </c>
      <c r="H31" s="627">
        <v>212.88800000000001</v>
      </c>
      <c r="I31" s="627">
        <v>208.47300000000001</v>
      </c>
      <c r="J31" s="627">
        <v>208.47300000000001</v>
      </c>
      <c r="K31" s="627">
        <v>212.88800000000001</v>
      </c>
      <c r="L31" s="627">
        <v>0</v>
      </c>
      <c r="M31" s="627">
        <v>6160</v>
      </c>
      <c r="N31" s="627">
        <v>0</v>
      </c>
      <c r="O31" s="627">
        <v>0</v>
      </c>
      <c r="P31" s="627">
        <v>0</v>
      </c>
      <c r="Q31" s="627">
        <v>160.107</v>
      </c>
      <c r="R31" s="627">
        <v>0</v>
      </c>
      <c r="S31" s="627">
        <v>66426</v>
      </c>
      <c r="T31" s="627">
        <v>414.88400000000001</v>
      </c>
      <c r="U31" s="627">
        <v>0</v>
      </c>
      <c r="V31" s="627">
        <v>34471</v>
      </c>
      <c r="W31" s="627">
        <v>80.445000000000007</v>
      </c>
      <c r="X31" s="627">
        <v>49554</v>
      </c>
      <c r="Y31" s="627">
        <v>49554</v>
      </c>
      <c r="Z31" s="627">
        <v>0</v>
      </c>
      <c r="AA31" s="627">
        <v>0</v>
      </c>
      <c r="AB31" s="627">
        <v>0</v>
      </c>
      <c r="AC31" s="627">
        <v>0</v>
      </c>
      <c r="AD31" s="627">
        <v>0</v>
      </c>
      <c r="AE31" s="627" t="s">
        <v>314</v>
      </c>
      <c r="AF31" s="627">
        <v>0</v>
      </c>
      <c r="AG31" s="627">
        <v>0</v>
      </c>
      <c r="AH31" s="627">
        <v>0</v>
      </c>
      <c r="AI31" s="627">
        <v>0</v>
      </c>
      <c r="AJ31" s="627">
        <v>0</v>
      </c>
      <c r="AK31" s="627">
        <v>6160</v>
      </c>
      <c r="AL31" s="627" t="s">
        <v>651</v>
      </c>
      <c r="AM31" s="627" t="s">
        <v>440</v>
      </c>
      <c r="AN31" s="627">
        <v>0</v>
      </c>
      <c r="AO31" s="627">
        <v>0</v>
      </c>
      <c r="AP31" s="627">
        <v>0</v>
      </c>
      <c r="AQ31" s="627">
        <v>0</v>
      </c>
      <c r="AR31" s="627">
        <v>0</v>
      </c>
      <c r="AS31" s="627">
        <v>0</v>
      </c>
      <c r="AT31" s="627">
        <v>0</v>
      </c>
      <c r="AU31" s="627">
        <v>0</v>
      </c>
      <c r="AV31" s="627">
        <v>0</v>
      </c>
      <c r="AW31" s="627">
        <v>-8941</v>
      </c>
      <c r="AX31" s="627">
        <v>1997553</v>
      </c>
      <c r="AY31" s="627">
        <v>1963844</v>
      </c>
      <c r="AZ31" s="627">
        <v>1229519</v>
      </c>
      <c r="BA31" s="627">
        <v>66426</v>
      </c>
      <c r="BB31" s="627">
        <v>0</v>
      </c>
      <c r="BC31" s="627">
        <v>0</v>
      </c>
      <c r="BD31" s="627">
        <v>0</v>
      </c>
      <c r="BE31" s="627">
        <v>0</v>
      </c>
      <c r="BF31" s="627">
        <v>0</v>
      </c>
      <c r="BG31" s="627">
        <v>1736855</v>
      </c>
      <c r="BH31" s="627">
        <v>0</v>
      </c>
      <c r="BI31" s="627">
        <v>0</v>
      </c>
      <c r="BJ31" s="627">
        <v>0</v>
      </c>
      <c r="BK31" s="627">
        <v>12</v>
      </c>
      <c r="BL31" s="627">
        <v>0</v>
      </c>
      <c r="BM31" s="627">
        <v>0</v>
      </c>
      <c r="BN31" s="627">
        <v>0</v>
      </c>
      <c r="BO31" s="627">
        <v>0</v>
      </c>
      <c r="BP31" s="627">
        <v>0</v>
      </c>
      <c r="BQ31" s="627">
        <v>0</v>
      </c>
      <c r="BR31" s="627">
        <v>738</v>
      </c>
      <c r="BS31" s="627">
        <v>0</v>
      </c>
      <c r="BT31" s="627">
        <v>0</v>
      </c>
      <c r="BU31" s="627">
        <v>0</v>
      </c>
      <c r="BV31" s="627">
        <v>0</v>
      </c>
      <c r="BW31" s="627">
        <v>0</v>
      </c>
      <c r="BX31" s="627">
        <v>0</v>
      </c>
      <c r="BY31" s="627">
        <v>0</v>
      </c>
      <c r="BZ31" s="627">
        <v>0</v>
      </c>
      <c r="CA31" s="627">
        <v>0</v>
      </c>
      <c r="CB31" s="627">
        <v>0</v>
      </c>
      <c r="CC31" s="627">
        <v>0</v>
      </c>
      <c r="CD31" s="627">
        <v>0</v>
      </c>
      <c r="CE31" s="627">
        <v>0</v>
      </c>
      <c r="CF31" s="627">
        <v>0</v>
      </c>
      <c r="CG31" s="627">
        <v>0</v>
      </c>
      <c r="CH31" s="627">
        <v>0</v>
      </c>
      <c r="CI31" s="627">
        <v>34047</v>
      </c>
      <c r="CJ31" s="627">
        <v>0</v>
      </c>
      <c r="CK31" s="627">
        <v>5</v>
      </c>
      <c r="CL31" s="627">
        <v>0</v>
      </c>
      <c r="CM31" s="627">
        <v>0</v>
      </c>
      <c r="CN31" s="627">
        <v>0</v>
      </c>
      <c r="CO31" s="627">
        <v>0</v>
      </c>
      <c r="CP31" s="627">
        <v>1</v>
      </c>
      <c r="CQ31" s="627">
        <v>0</v>
      </c>
      <c r="CR31" s="627">
        <v>0</v>
      </c>
      <c r="CS31" s="627">
        <v>158.72</v>
      </c>
      <c r="CT31" s="627">
        <v>0</v>
      </c>
      <c r="CU31" s="627">
        <v>0</v>
      </c>
      <c r="CV31" s="627">
        <v>0</v>
      </c>
      <c r="CW31" s="627">
        <v>0</v>
      </c>
      <c r="CX31" s="627">
        <v>0</v>
      </c>
      <c r="CY31" s="627">
        <v>0</v>
      </c>
      <c r="CZ31" s="627">
        <v>0</v>
      </c>
      <c r="DA31" s="627">
        <v>0</v>
      </c>
      <c r="DB31" s="627">
        <v>0</v>
      </c>
      <c r="DC31" s="627">
        <v>1284194</v>
      </c>
      <c r="DD31" s="627">
        <v>0</v>
      </c>
      <c r="DE31" s="627">
        <v>0</v>
      </c>
      <c r="DF31" s="627">
        <v>2772</v>
      </c>
      <c r="DG31" s="627">
        <v>2772</v>
      </c>
      <c r="DH31" s="627">
        <v>0.45</v>
      </c>
      <c r="DI31" s="627">
        <v>0</v>
      </c>
      <c r="DJ31" s="627">
        <v>0</v>
      </c>
      <c r="DK31" s="627">
        <v>0</v>
      </c>
      <c r="DL31" s="627">
        <v>3429</v>
      </c>
      <c r="DM31" s="627">
        <v>0</v>
      </c>
      <c r="DN31" s="627">
        <v>99263</v>
      </c>
      <c r="DO31" s="627">
        <v>338</v>
      </c>
      <c r="DP31" s="627">
        <v>0</v>
      </c>
      <c r="DQ31" s="627">
        <v>0</v>
      </c>
      <c r="DR31" s="627">
        <v>0</v>
      </c>
      <c r="DS31" s="627">
        <v>0</v>
      </c>
      <c r="DT31" s="627">
        <v>0</v>
      </c>
      <c r="DU31" s="627">
        <v>0</v>
      </c>
      <c r="DV31" s="627">
        <v>0</v>
      </c>
      <c r="DW31" s="627">
        <v>0</v>
      </c>
      <c r="DX31" s="627">
        <v>0</v>
      </c>
      <c r="DY31" s="627">
        <v>0</v>
      </c>
      <c r="DZ31" s="627">
        <v>0</v>
      </c>
      <c r="EA31" s="627">
        <v>0</v>
      </c>
      <c r="EB31" s="627">
        <v>0</v>
      </c>
      <c r="EC31" s="627">
        <v>0</v>
      </c>
      <c r="ED31" s="627">
        <v>1.647</v>
      </c>
      <c r="EE31" s="627">
        <v>11667</v>
      </c>
      <c r="EF31" s="627">
        <v>0</v>
      </c>
      <c r="EG31" s="627">
        <v>0</v>
      </c>
      <c r="EH31" s="627">
        <v>0</v>
      </c>
      <c r="EI31" s="627">
        <v>87934</v>
      </c>
      <c r="EJ31" s="627">
        <v>0</v>
      </c>
      <c r="EK31" s="627">
        <v>0</v>
      </c>
      <c r="EL31" s="627">
        <v>3.9</v>
      </c>
      <c r="EM31" s="627">
        <v>0</v>
      </c>
      <c r="EN31" s="627">
        <v>0</v>
      </c>
      <c r="EO31" s="627">
        <v>0.51500000000000001</v>
      </c>
      <c r="EP31" s="627">
        <v>0</v>
      </c>
      <c r="EQ31" s="627">
        <v>0</v>
      </c>
      <c r="ER31" s="627">
        <v>4.415</v>
      </c>
      <c r="ES31" s="627">
        <v>0</v>
      </c>
      <c r="ET31" s="627">
        <v>14.275</v>
      </c>
      <c r="EU31" s="627">
        <v>0</v>
      </c>
      <c r="EV31" s="627">
        <v>0</v>
      </c>
      <c r="EW31" s="627">
        <v>0</v>
      </c>
      <c r="EX31" s="627">
        <v>0</v>
      </c>
      <c r="EY31" s="627">
        <v>0</v>
      </c>
      <c r="EZ31" s="627">
        <v>0</v>
      </c>
      <c r="FA31" s="627">
        <v>1670429</v>
      </c>
      <c r="FB31" s="627">
        <v>0</v>
      </c>
      <c r="FC31" s="627">
        <v>1736517</v>
      </c>
      <c r="FD31" s="627">
        <v>0</v>
      </c>
      <c r="FE31" s="627">
        <v>0</v>
      </c>
      <c r="FF31" s="627">
        <v>250101</v>
      </c>
      <c r="FG31" s="627">
        <v>43314</v>
      </c>
      <c r="FH31" s="627">
        <v>7.0280999999999996E-2</v>
      </c>
      <c r="FI31" s="627">
        <v>3.1172999999999999E-2</v>
      </c>
      <c r="FJ31" s="627">
        <v>0</v>
      </c>
      <c r="FK31" s="627">
        <v>0</v>
      </c>
      <c r="FL31" s="627">
        <v>281.95699999999999</v>
      </c>
      <c r="FM31" s="627">
        <v>2063979</v>
      </c>
      <c r="FN31" s="627">
        <v>0</v>
      </c>
      <c r="FO31" s="627">
        <v>0</v>
      </c>
      <c r="FP31" s="627">
        <v>0</v>
      </c>
      <c r="FQ31" s="627">
        <v>0</v>
      </c>
      <c r="FR31" s="627">
        <v>0</v>
      </c>
      <c r="FS31" s="627">
        <v>0</v>
      </c>
      <c r="FT31" s="627">
        <v>0</v>
      </c>
      <c r="FU31" s="627">
        <v>0</v>
      </c>
      <c r="FV31" s="627">
        <v>0</v>
      </c>
      <c r="FW31" s="627">
        <v>0</v>
      </c>
      <c r="FX31" s="627">
        <v>0</v>
      </c>
      <c r="FY31" s="627">
        <v>0</v>
      </c>
      <c r="FZ31" s="627">
        <v>0</v>
      </c>
      <c r="GA31" s="627">
        <v>0</v>
      </c>
      <c r="GB31" s="627">
        <v>0</v>
      </c>
      <c r="GC31" s="627">
        <v>0</v>
      </c>
      <c r="GD31" s="627">
        <v>0</v>
      </c>
      <c r="GE31" s="627">
        <v>0</v>
      </c>
      <c r="GF31" s="627">
        <v>0</v>
      </c>
      <c r="GG31" s="627">
        <v>0</v>
      </c>
      <c r="GH31" s="627">
        <v>0</v>
      </c>
      <c r="GI31" s="627">
        <v>0</v>
      </c>
      <c r="GJ31" s="627">
        <v>0</v>
      </c>
      <c r="GK31" s="627">
        <v>0</v>
      </c>
      <c r="GL31" s="627">
        <v>0</v>
      </c>
      <c r="GM31" s="627">
        <v>0</v>
      </c>
      <c r="GN31" s="627">
        <v>0</v>
      </c>
      <c r="GO31" s="627">
        <v>0</v>
      </c>
      <c r="GP31" s="627">
        <v>0</v>
      </c>
      <c r="GQ31" s="627">
        <v>0</v>
      </c>
      <c r="GR31" s="627">
        <v>1963506</v>
      </c>
      <c r="GS31" s="627">
        <v>0</v>
      </c>
      <c r="GT31" s="627">
        <v>0</v>
      </c>
      <c r="GU31" s="627">
        <v>0</v>
      </c>
      <c r="GV31" s="627">
        <v>0</v>
      </c>
      <c r="GW31" s="627">
        <v>0</v>
      </c>
      <c r="GX31" s="627">
        <v>0</v>
      </c>
      <c r="GY31" s="627">
        <v>0</v>
      </c>
      <c r="GZ31" s="627">
        <v>0</v>
      </c>
      <c r="HA31" s="627">
        <v>0</v>
      </c>
      <c r="HB31" s="627">
        <v>0</v>
      </c>
      <c r="HC31" s="627">
        <v>361151439</v>
      </c>
      <c r="HD31" s="627">
        <v>3.9981999999999997E-2</v>
      </c>
      <c r="HE31" s="627">
        <v>34047</v>
      </c>
      <c r="HF31" s="627">
        <v>0</v>
      </c>
      <c r="HG31" s="627">
        <v>229737</v>
      </c>
      <c r="HH31" s="627">
        <v>7392</v>
      </c>
      <c r="HI31" s="627">
        <v>46476</v>
      </c>
      <c r="HJ31" s="627">
        <v>0</v>
      </c>
      <c r="HK31" s="627">
        <v>17129</v>
      </c>
      <c r="HL31" s="627">
        <v>0</v>
      </c>
      <c r="HM31" s="627">
        <v>0</v>
      </c>
      <c r="HN31" s="627">
        <v>0</v>
      </c>
      <c r="HO31" s="627">
        <v>0</v>
      </c>
      <c r="HP31" s="627">
        <v>0</v>
      </c>
      <c r="HQ31" s="627">
        <v>0</v>
      </c>
      <c r="HR31" s="627">
        <v>0</v>
      </c>
      <c r="HS31" s="627">
        <v>0</v>
      </c>
      <c r="HT31" s="627">
        <v>1670091</v>
      </c>
      <c r="HU31" s="627">
        <v>43314</v>
      </c>
      <c r="HV31" s="627">
        <v>0</v>
      </c>
      <c r="HW31" s="627">
        <v>0</v>
      </c>
      <c r="HX31" s="627">
        <v>0</v>
      </c>
      <c r="HY31" s="627">
        <v>2</v>
      </c>
      <c r="HZ31" s="627">
        <v>0</v>
      </c>
      <c r="IA31" s="627">
        <v>0</v>
      </c>
      <c r="IB31" s="627">
        <v>0</v>
      </c>
      <c r="IC31" s="627">
        <v>0</v>
      </c>
      <c r="ID31" s="627">
        <v>2</v>
      </c>
      <c r="IE31" s="627">
        <v>0</v>
      </c>
      <c r="IF31" s="627">
        <v>0</v>
      </c>
      <c r="IG31" s="627">
        <v>0</v>
      </c>
      <c r="IH31" s="627">
        <v>12</v>
      </c>
      <c r="II31" s="627">
        <v>75.448000000000008</v>
      </c>
      <c r="IJ31" s="627">
        <v>0</v>
      </c>
      <c r="IK31" s="627">
        <v>80.445000000000007</v>
      </c>
      <c r="IL31" s="627">
        <v>0</v>
      </c>
      <c r="IM31" s="627">
        <v>0</v>
      </c>
      <c r="IN31" s="627">
        <v>0</v>
      </c>
      <c r="IO31" s="627">
        <v>0</v>
      </c>
      <c r="IP31" s="627">
        <v>0</v>
      </c>
      <c r="IQ31" s="627">
        <v>0</v>
      </c>
      <c r="IR31" s="627">
        <v>80.445000000000007</v>
      </c>
      <c r="IS31" s="627">
        <v>49554</v>
      </c>
      <c r="IT31" s="627">
        <v>0</v>
      </c>
      <c r="IU31" s="627">
        <v>0</v>
      </c>
      <c r="IV31" s="627">
        <v>0</v>
      </c>
      <c r="IW31" s="627">
        <v>0</v>
      </c>
      <c r="IX31" s="627">
        <v>6160</v>
      </c>
      <c r="IY31" s="627">
        <v>0</v>
      </c>
      <c r="IZ31" s="627">
        <v>0</v>
      </c>
      <c r="JA31" s="627">
        <v>0</v>
      </c>
      <c r="JB31" s="627">
        <v>0</v>
      </c>
      <c r="JC31" s="627">
        <v>0</v>
      </c>
      <c r="JD31" s="627">
        <v>0</v>
      </c>
      <c r="JE31" s="627">
        <v>0</v>
      </c>
      <c r="JF31" s="627">
        <v>0</v>
      </c>
      <c r="JG31" s="627">
        <v>0</v>
      </c>
      <c r="JH31" s="627">
        <v>0</v>
      </c>
      <c r="JI31" s="627">
        <v>0</v>
      </c>
      <c r="JJ31" s="627">
        <v>0</v>
      </c>
      <c r="JK31" s="627">
        <v>0</v>
      </c>
      <c r="JL31" s="627">
        <v>0</v>
      </c>
      <c r="JM31" s="627">
        <v>0</v>
      </c>
      <c r="JN31" s="627">
        <v>0</v>
      </c>
      <c r="JO31" s="627">
        <v>32469</v>
      </c>
      <c r="JP31" s="627">
        <v>0</v>
      </c>
      <c r="JQ31" s="627">
        <v>0</v>
      </c>
      <c r="JR31" s="627">
        <v>0</v>
      </c>
      <c r="JS31" s="627">
        <v>0</v>
      </c>
      <c r="JT31" s="627">
        <v>0</v>
      </c>
      <c r="JU31" s="627">
        <v>0</v>
      </c>
      <c r="JV31" s="627">
        <v>0</v>
      </c>
      <c r="JW31" s="627">
        <v>0</v>
      </c>
      <c r="JX31" s="627">
        <v>0</v>
      </c>
      <c r="JY31" s="627">
        <v>0</v>
      </c>
      <c r="JZ31" s="627">
        <v>0</v>
      </c>
      <c r="KA31" s="627">
        <v>0</v>
      </c>
      <c r="KB31" s="627">
        <v>0</v>
      </c>
      <c r="KC31" s="627">
        <v>0</v>
      </c>
      <c r="KD31" s="627">
        <v>0</v>
      </c>
      <c r="KE31" s="627">
        <v>0</v>
      </c>
      <c r="KF31" s="627">
        <v>7262</v>
      </c>
      <c r="KG31" s="627">
        <v>0</v>
      </c>
      <c r="KH31" s="627">
        <v>0</v>
      </c>
      <c r="KI31" s="627">
        <v>1963506</v>
      </c>
      <c r="KJ31" s="627">
        <v>0</v>
      </c>
      <c r="KK31" s="627">
        <v>0</v>
      </c>
      <c r="KL31" s="627">
        <v>12</v>
      </c>
      <c r="KM31" s="627">
        <v>0</v>
      </c>
      <c r="KN31" s="627">
        <v>7392</v>
      </c>
      <c r="KO31" s="627">
        <v>0</v>
      </c>
      <c r="KP31" s="627">
        <v>0</v>
      </c>
      <c r="KQ31" s="627">
        <v>1963506</v>
      </c>
      <c r="KR31" s="627">
        <v>0</v>
      </c>
      <c r="KS31" s="627">
        <v>0</v>
      </c>
      <c r="KT31" s="627">
        <v>0</v>
      </c>
      <c r="KU31" s="627">
        <v>0</v>
      </c>
      <c r="KV31" s="627">
        <v>0</v>
      </c>
      <c r="KW31" s="627">
        <v>0</v>
      </c>
      <c r="KX31" s="627">
        <v>0</v>
      </c>
      <c r="KY31" s="627">
        <v>0</v>
      </c>
      <c r="KZ31" s="627">
        <v>0</v>
      </c>
      <c r="LA31" s="627">
        <v>0</v>
      </c>
      <c r="LB31" s="627">
        <v>0</v>
      </c>
      <c r="LC31" s="627">
        <v>0</v>
      </c>
      <c r="LD31" s="627">
        <v>0</v>
      </c>
      <c r="LE31" s="627">
        <v>0</v>
      </c>
      <c r="LF31" s="627">
        <v>0</v>
      </c>
    </row>
    <row r="32" spans="1:318" x14ac:dyDescent="0.25">
      <c r="A32" s="627">
        <v>42602</v>
      </c>
      <c r="B32" s="627">
        <v>46802</v>
      </c>
      <c r="D32" s="627">
        <v>9</v>
      </c>
      <c r="E32" s="627">
        <v>2024</v>
      </c>
      <c r="F32" s="627">
        <v>6160</v>
      </c>
      <c r="G32" s="627">
        <v>0</v>
      </c>
      <c r="H32" s="627">
        <v>317.82499999999999</v>
      </c>
      <c r="I32" s="627">
        <v>222.01700000000002</v>
      </c>
      <c r="J32" s="627">
        <v>222.01700000000002</v>
      </c>
      <c r="K32" s="627">
        <v>317.82499999999999</v>
      </c>
      <c r="L32" s="627">
        <v>0</v>
      </c>
      <c r="M32" s="627">
        <v>6160</v>
      </c>
      <c r="N32" s="627">
        <v>0</v>
      </c>
      <c r="O32" s="627">
        <v>0</v>
      </c>
      <c r="P32" s="627">
        <v>0</v>
      </c>
      <c r="Q32" s="627">
        <v>317.48500000000001</v>
      </c>
      <c r="R32" s="627">
        <v>0</v>
      </c>
      <c r="S32" s="627">
        <v>131719</v>
      </c>
      <c r="T32" s="627">
        <v>414.88400000000001</v>
      </c>
      <c r="U32" s="627">
        <v>0</v>
      </c>
      <c r="V32" s="627">
        <v>68356</v>
      </c>
      <c r="W32" s="627">
        <v>11.173</v>
      </c>
      <c r="X32" s="627">
        <v>6883</v>
      </c>
      <c r="Y32" s="627">
        <v>6883</v>
      </c>
      <c r="Z32" s="627">
        <v>0</v>
      </c>
      <c r="AA32" s="627">
        <v>0</v>
      </c>
      <c r="AB32" s="627">
        <v>0</v>
      </c>
      <c r="AC32" s="627">
        <v>0</v>
      </c>
      <c r="AD32" s="627">
        <v>0</v>
      </c>
      <c r="AE32" s="627" t="s">
        <v>314</v>
      </c>
      <c r="AF32" s="627">
        <v>0</v>
      </c>
      <c r="AG32" s="627">
        <v>0</v>
      </c>
      <c r="AH32" s="627">
        <v>0</v>
      </c>
      <c r="AI32" s="627">
        <v>0</v>
      </c>
      <c r="AJ32" s="627">
        <v>0</v>
      </c>
      <c r="AK32" s="627">
        <v>6160</v>
      </c>
      <c r="AL32" s="627" t="s">
        <v>651</v>
      </c>
      <c r="AM32" s="627" t="s">
        <v>41</v>
      </c>
      <c r="AN32" s="627">
        <v>0</v>
      </c>
      <c r="AO32" s="627">
        <v>0</v>
      </c>
      <c r="AP32" s="627">
        <v>0</v>
      </c>
      <c r="AQ32" s="627">
        <v>0</v>
      </c>
      <c r="AR32" s="627">
        <v>0</v>
      </c>
      <c r="AS32" s="627">
        <v>0</v>
      </c>
      <c r="AT32" s="627">
        <v>0</v>
      </c>
      <c r="AU32" s="627">
        <v>0</v>
      </c>
      <c r="AV32" s="627">
        <v>0</v>
      </c>
      <c r="AW32" s="627">
        <v>0</v>
      </c>
      <c r="AX32" s="627">
        <v>5672161</v>
      </c>
      <c r="AY32" s="627">
        <v>5629060</v>
      </c>
      <c r="AZ32" s="627">
        <v>2846214</v>
      </c>
      <c r="BA32" s="627">
        <v>131719</v>
      </c>
      <c r="BB32" s="627">
        <v>42.083000000000006</v>
      </c>
      <c r="BC32" s="627">
        <v>0</v>
      </c>
      <c r="BD32" s="627">
        <v>0</v>
      </c>
      <c r="BE32" s="627">
        <v>0</v>
      </c>
      <c r="BF32" s="627">
        <v>0</v>
      </c>
      <c r="BG32" s="627">
        <v>4773134</v>
      </c>
      <c r="BH32" s="627">
        <v>0</v>
      </c>
      <c r="BI32" s="627">
        <v>0</v>
      </c>
      <c r="BJ32" s="627">
        <v>0</v>
      </c>
      <c r="BK32" s="627">
        <v>12</v>
      </c>
      <c r="BL32" s="627">
        <v>0</v>
      </c>
      <c r="BM32" s="627">
        <v>0</v>
      </c>
      <c r="BN32" s="627">
        <v>0</v>
      </c>
      <c r="BO32" s="627">
        <v>0</v>
      </c>
      <c r="BP32" s="627">
        <v>0</v>
      </c>
      <c r="BQ32" s="627">
        <v>0</v>
      </c>
      <c r="BR32" s="627">
        <v>736</v>
      </c>
      <c r="BS32" s="627">
        <v>0</v>
      </c>
      <c r="BT32" s="627">
        <v>0</v>
      </c>
      <c r="BU32" s="627">
        <v>0</v>
      </c>
      <c r="BV32" s="627">
        <v>0</v>
      </c>
      <c r="BW32" s="627">
        <v>0</v>
      </c>
      <c r="BX32" s="627">
        <v>0</v>
      </c>
      <c r="BY32" s="627">
        <v>0</v>
      </c>
      <c r="BZ32" s="627">
        <v>0</v>
      </c>
      <c r="CA32" s="627">
        <v>0</v>
      </c>
      <c r="CB32" s="627">
        <v>0</v>
      </c>
      <c r="CC32" s="627">
        <v>0</v>
      </c>
      <c r="CD32" s="627">
        <v>0</v>
      </c>
      <c r="CE32" s="627">
        <v>0</v>
      </c>
      <c r="CF32" s="627">
        <v>0</v>
      </c>
      <c r="CG32" s="627">
        <v>0</v>
      </c>
      <c r="CH32" s="627">
        <v>0</v>
      </c>
      <c r="CI32" s="627">
        <v>50829</v>
      </c>
      <c r="CJ32" s="627">
        <v>0</v>
      </c>
      <c r="CK32" s="627">
        <v>4</v>
      </c>
      <c r="CL32" s="627">
        <v>0</v>
      </c>
      <c r="CM32" s="627">
        <v>0</v>
      </c>
      <c r="CN32" s="627">
        <v>0</v>
      </c>
      <c r="CO32" s="627">
        <v>0</v>
      </c>
      <c r="CP32" s="627">
        <v>1</v>
      </c>
      <c r="CQ32" s="627">
        <v>0</v>
      </c>
      <c r="CR32" s="627">
        <v>0</v>
      </c>
      <c r="CS32" s="627">
        <v>318.97000000000003</v>
      </c>
      <c r="CT32" s="627">
        <v>0</v>
      </c>
      <c r="CU32" s="627">
        <v>0</v>
      </c>
      <c r="CV32" s="627">
        <v>0</v>
      </c>
      <c r="CW32" s="627">
        <v>0</v>
      </c>
      <c r="CX32" s="627">
        <v>0</v>
      </c>
      <c r="CY32" s="627">
        <v>0</v>
      </c>
      <c r="CZ32" s="627">
        <v>0</v>
      </c>
      <c r="DA32" s="627">
        <v>0</v>
      </c>
      <c r="DB32" s="627">
        <v>0</v>
      </c>
      <c r="DC32" s="627">
        <v>0</v>
      </c>
      <c r="DD32" s="627">
        <v>0</v>
      </c>
      <c r="DE32" s="627">
        <v>0</v>
      </c>
      <c r="DF32" s="627">
        <v>465696</v>
      </c>
      <c r="DG32" s="627">
        <v>466928</v>
      </c>
      <c r="DH32" s="627">
        <v>75.600000000000009</v>
      </c>
      <c r="DI32" s="627">
        <v>0</v>
      </c>
      <c r="DJ32" s="627">
        <v>0</v>
      </c>
      <c r="DK32" s="627">
        <v>0</v>
      </c>
      <c r="DL32" s="627">
        <v>3395</v>
      </c>
      <c r="DM32" s="627">
        <v>0</v>
      </c>
      <c r="DN32" s="627">
        <v>3809780</v>
      </c>
      <c r="DO32" s="627">
        <v>7728</v>
      </c>
      <c r="DP32" s="627">
        <v>0</v>
      </c>
      <c r="DQ32" s="627">
        <v>0</v>
      </c>
      <c r="DR32" s="627">
        <v>0</v>
      </c>
      <c r="DS32" s="627">
        <v>0</v>
      </c>
      <c r="DT32" s="627">
        <v>0</v>
      </c>
      <c r="DU32" s="627">
        <v>0</v>
      </c>
      <c r="DV32" s="627">
        <v>0</v>
      </c>
      <c r="DW32" s="627">
        <v>0</v>
      </c>
      <c r="DX32" s="627">
        <v>0</v>
      </c>
      <c r="DY32" s="627">
        <v>0</v>
      </c>
      <c r="DZ32" s="627">
        <v>0</v>
      </c>
      <c r="EA32" s="627">
        <v>0</v>
      </c>
      <c r="EB32" s="627">
        <v>0</v>
      </c>
      <c r="EC32" s="627">
        <v>0</v>
      </c>
      <c r="ED32" s="627">
        <v>20.847000000000001</v>
      </c>
      <c r="EE32" s="627">
        <v>147680</v>
      </c>
      <c r="EF32" s="627">
        <v>0</v>
      </c>
      <c r="EG32" s="627">
        <v>0</v>
      </c>
      <c r="EH32" s="627">
        <v>0</v>
      </c>
      <c r="EI32" s="627">
        <v>30024</v>
      </c>
      <c r="EJ32" s="627">
        <v>2097529</v>
      </c>
      <c r="EK32" s="627">
        <v>85.12700000000001</v>
      </c>
      <c r="EL32" s="627">
        <v>0.56800000000000006</v>
      </c>
      <c r="EM32" s="627">
        <v>0</v>
      </c>
      <c r="EN32" s="627">
        <v>0</v>
      </c>
      <c r="EO32" s="627">
        <v>0.63400000000000001</v>
      </c>
      <c r="EP32" s="627">
        <v>0</v>
      </c>
      <c r="EQ32" s="627">
        <v>0</v>
      </c>
      <c r="ER32" s="627">
        <v>86.329000000000008</v>
      </c>
      <c r="ES32" s="627">
        <v>0</v>
      </c>
      <c r="ET32" s="627">
        <v>4.8740000000000006</v>
      </c>
      <c r="EU32" s="627">
        <v>0</v>
      </c>
      <c r="EV32" s="627">
        <v>0</v>
      </c>
      <c r="EW32" s="627">
        <v>0</v>
      </c>
      <c r="EX32" s="627">
        <v>0</v>
      </c>
      <c r="EY32" s="627">
        <v>0</v>
      </c>
      <c r="EZ32" s="627">
        <v>0</v>
      </c>
      <c r="FA32" s="627">
        <v>4822713</v>
      </c>
      <c r="FB32" s="627">
        <v>0</v>
      </c>
      <c r="FC32" s="627">
        <v>4946704</v>
      </c>
      <c r="FD32" s="627">
        <v>0</v>
      </c>
      <c r="FE32" s="627">
        <v>0</v>
      </c>
      <c r="FF32" s="627">
        <v>687313</v>
      </c>
      <c r="FG32" s="627">
        <v>119034</v>
      </c>
      <c r="FH32" s="627">
        <v>7.0280999999999996E-2</v>
      </c>
      <c r="FI32" s="627">
        <v>3.1172999999999999E-2</v>
      </c>
      <c r="FJ32" s="627">
        <v>0</v>
      </c>
      <c r="FK32" s="627">
        <v>0</v>
      </c>
      <c r="FL32" s="627">
        <v>774.85900000000004</v>
      </c>
      <c r="FM32" s="627">
        <v>5803880</v>
      </c>
      <c r="FN32" s="627">
        <v>0</v>
      </c>
      <c r="FO32" s="627">
        <v>0</v>
      </c>
      <c r="FP32" s="627">
        <v>0</v>
      </c>
      <c r="FQ32" s="627">
        <v>0</v>
      </c>
      <c r="FR32" s="627">
        <v>0</v>
      </c>
      <c r="FS32" s="627">
        <v>0</v>
      </c>
      <c r="FT32" s="627">
        <v>0</v>
      </c>
      <c r="FU32" s="627">
        <v>0</v>
      </c>
      <c r="FV32" s="627">
        <v>0</v>
      </c>
      <c r="FW32" s="627">
        <v>0</v>
      </c>
      <c r="FX32" s="627">
        <v>0</v>
      </c>
      <c r="FY32" s="627">
        <v>0</v>
      </c>
      <c r="FZ32" s="627">
        <v>0</v>
      </c>
      <c r="GA32" s="627">
        <v>0</v>
      </c>
      <c r="GB32" s="627">
        <v>0</v>
      </c>
      <c r="GC32" s="627">
        <v>90966</v>
      </c>
      <c r="GD32" s="627">
        <v>90966</v>
      </c>
      <c r="GE32" s="627">
        <v>9.479000000000001</v>
      </c>
      <c r="GF32" s="627">
        <v>0</v>
      </c>
      <c r="GG32" s="627">
        <v>0</v>
      </c>
      <c r="GH32" s="627">
        <v>0</v>
      </c>
      <c r="GI32" s="627">
        <v>0</v>
      </c>
      <c r="GJ32" s="627">
        <v>0</v>
      </c>
      <c r="GK32" s="627">
        <v>0</v>
      </c>
      <c r="GL32" s="627">
        <v>0</v>
      </c>
      <c r="GM32" s="627">
        <v>0</v>
      </c>
      <c r="GN32" s="627">
        <v>0</v>
      </c>
      <c r="GO32" s="627">
        <v>0</v>
      </c>
      <c r="GP32" s="627">
        <v>0</v>
      </c>
      <c r="GQ32" s="627">
        <v>0</v>
      </c>
      <c r="GR32" s="627">
        <v>5621332</v>
      </c>
      <c r="GS32" s="627">
        <v>0</v>
      </c>
      <c r="GT32" s="627">
        <v>0</v>
      </c>
      <c r="GU32" s="627">
        <v>0</v>
      </c>
      <c r="GV32" s="627">
        <v>0</v>
      </c>
      <c r="GW32" s="627">
        <v>0</v>
      </c>
      <c r="GX32" s="627">
        <v>0</v>
      </c>
      <c r="GY32" s="627">
        <v>0</v>
      </c>
      <c r="GZ32" s="627">
        <v>0</v>
      </c>
      <c r="HA32" s="627">
        <v>0</v>
      </c>
      <c r="HB32" s="627">
        <v>0</v>
      </c>
      <c r="HC32" s="627">
        <v>361151439</v>
      </c>
      <c r="HD32" s="627">
        <v>3.9981999999999997E-2</v>
      </c>
      <c r="HE32" s="627">
        <v>50829</v>
      </c>
      <c r="HF32" s="627">
        <v>0</v>
      </c>
      <c r="HG32" s="627">
        <v>244663</v>
      </c>
      <c r="HH32" s="627">
        <v>8008</v>
      </c>
      <c r="HI32" s="627">
        <v>0</v>
      </c>
      <c r="HJ32" s="627">
        <v>0</v>
      </c>
      <c r="HK32" s="627">
        <v>138178</v>
      </c>
      <c r="HL32" s="627">
        <v>3053</v>
      </c>
      <c r="HM32" s="627">
        <v>1509</v>
      </c>
      <c r="HN32" s="627">
        <v>0</v>
      </c>
      <c r="HO32" s="627">
        <v>0</v>
      </c>
      <c r="HP32" s="627">
        <v>0</v>
      </c>
      <c r="HQ32" s="627">
        <v>113337</v>
      </c>
      <c r="HR32" s="627">
        <v>0</v>
      </c>
      <c r="HS32" s="627">
        <v>0</v>
      </c>
      <c r="HT32" s="627">
        <v>4814985</v>
      </c>
      <c r="HU32" s="627">
        <v>119034</v>
      </c>
      <c r="HV32" s="627">
        <v>0</v>
      </c>
      <c r="HW32" s="627">
        <v>0</v>
      </c>
      <c r="HX32" s="627">
        <v>0</v>
      </c>
      <c r="HY32" s="627">
        <v>19</v>
      </c>
      <c r="HZ32" s="627">
        <v>7</v>
      </c>
      <c r="IA32" s="627">
        <v>4</v>
      </c>
      <c r="IB32" s="627">
        <v>7</v>
      </c>
      <c r="IC32" s="627">
        <v>243</v>
      </c>
      <c r="ID32" s="627">
        <v>280</v>
      </c>
      <c r="IE32" s="627">
        <v>1</v>
      </c>
      <c r="IF32" s="627">
        <v>0</v>
      </c>
      <c r="IG32" s="627">
        <v>0</v>
      </c>
      <c r="IH32" s="627">
        <v>13</v>
      </c>
      <c r="II32" s="627">
        <v>0</v>
      </c>
      <c r="IJ32" s="627">
        <v>412.13500000000005</v>
      </c>
      <c r="IK32" s="627">
        <v>11.173</v>
      </c>
      <c r="IL32" s="627">
        <v>230.542</v>
      </c>
      <c r="IM32" s="627">
        <v>0</v>
      </c>
      <c r="IN32" s="627">
        <v>0</v>
      </c>
      <c r="IO32" s="627">
        <v>0</v>
      </c>
      <c r="IP32" s="627">
        <v>0</v>
      </c>
      <c r="IQ32" s="627">
        <v>642.67700000000002</v>
      </c>
      <c r="IR32" s="627">
        <v>11.173</v>
      </c>
      <c r="IS32" s="627">
        <v>6883</v>
      </c>
      <c r="IT32" s="627">
        <v>63399</v>
      </c>
      <c r="IU32" s="627">
        <v>0</v>
      </c>
      <c r="IV32" s="627">
        <v>0</v>
      </c>
      <c r="IW32" s="627">
        <v>0</v>
      </c>
      <c r="IX32" s="627">
        <v>6160</v>
      </c>
      <c r="IY32" s="627">
        <v>0</v>
      </c>
      <c r="IZ32" s="627">
        <v>0</v>
      </c>
      <c r="JA32" s="627">
        <v>176736</v>
      </c>
      <c r="JB32" s="627">
        <v>1232</v>
      </c>
      <c r="JC32" s="627">
        <v>0</v>
      </c>
      <c r="JD32" s="627">
        <v>0</v>
      </c>
      <c r="JE32" s="627">
        <v>0</v>
      </c>
      <c r="JF32" s="627">
        <v>0</v>
      </c>
      <c r="JG32" s="627">
        <v>0</v>
      </c>
      <c r="JH32" s="627">
        <v>0</v>
      </c>
      <c r="JI32" s="627">
        <v>0</v>
      </c>
      <c r="JJ32" s="627">
        <v>0</v>
      </c>
      <c r="JK32" s="627">
        <v>0</v>
      </c>
      <c r="JL32" s="627">
        <v>0</v>
      </c>
      <c r="JM32" s="627">
        <v>0</v>
      </c>
      <c r="JN32" s="627">
        <v>0</v>
      </c>
      <c r="JO32" s="627">
        <v>32469</v>
      </c>
      <c r="JP32" s="627">
        <v>0.82500000000000007</v>
      </c>
      <c r="JQ32" s="627">
        <v>5.8029999999999999</v>
      </c>
      <c r="JR32" s="627">
        <v>2.851</v>
      </c>
      <c r="JS32" s="627">
        <v>6590</v>
      </c>
      <c r="JT32" s="627">
        <v>53941</v>
      </c>
      <c r="JU32" s="627">
        <v>30435</v>
      </c>
      <c r="JV32" s="627">
        <v>0</v>
      </c>
      <c r="JW32" s="627">
        <v>0</v>
      </c>
      <c r="JX32" s="627">
        <v>0</v>
      </c>
      <c r="JY32" s="627">
        <v>0</v>
      </c>
      <c r="JZ32" s="627">
        <v>0</v>
      </c>
      <c r="KA32" s="627">
        <v>0</v>
      </c>
      <c r="KB32" s="627">
        <v>0</v>
      </c>
      <c r="KC32" s="627">
        <v>0</v>
      </c>
      <c r="KD32" s="627">
        <v>0</v>
      </c>
      <c r="KE32" s="627">
        <v>0</v>
      </c>
      <c r="KF32" s="627">
        <v>7262</v>
      </c>
      <c r="KG32" s="627">
        <v>0</v>
      </c>
      <c r="KH32" s="627">
        <v>0</v>
      </c>
      <c r="KI32" s="627">
        <v>5621332</v>
      </c>
      <c r="KJ32" s="627">
        <v>0</v>
      </c>
      <c r="KK32" s="627">
        <v>2</v>
      </c>
      <c r="KL32" s="627">
        <v>11</v>
      </c>
      <c r="KM32" s="627">
        <v>1232</v>
      </c>
      <c r="KN32" s="627">
        <v>6776</v>
      </c>
      <c r="KO32" s="627">
        <v>0</v>
      </c>
      <c r="KP32" s="627">
        <v>0</v>
      </c>
      <c r="KQ32" s="627">
        <v>5621332</v>
      </c>
      <c r="KR32" s="627">
        <v>0</v>
      </c>
      <c r="KS32" s="627">
        <v>0</v>
      </c>
      <c r="KT32" s="627">
        <v>0</v>
      </c>
      <c r="KU32" s="627">
        <v>0</v>
      </c>
      <c r="KV32" s="627">
        <v>0</v>
      </c>
      <c r="KW32" s="627">
        <v>0</v>
      </c>
      <c r="KX32" s="627">
        <v>0</v>
      </c>
      <c r="KY32" s="627">
        <v>0</v>
      </c>
      <c r="KZ32" s="627">
        <v>0</v>
      </c>
      <c r="LA32" s="627">
        <v>0</v>
      </c>
      <c r="LB32" s="627">
        <v>0</v>
      </c>
      <c r="LC32" s="627">
        <v>0</v>
      </c>
      <c r="LD32" s="627">
        <v>0</v>
      </c>
      <c r="LE32" s="627">
        <v>0</v>
      </c>
      <c r="LF32" s="627">
        <v>0</v>
      </c>
    </row>
    <row r="33" spans="1:318" x14ac:dyDescent="0.25">
      <c r="A33" s="627">
        <v>42602</v>
      </c>
      <c r="B33" s="627">
        <v>57802</v>
      </c>
      <c r="D33" s="627">
        <v>9</v>
      </c>
      <c r="E33" s="627">
        <v>2024</v>
      </c>
      <c r="F33" s="627">
        <v>6160</v>
      </c>
      <c r="G33" s="627">
        <v>0</v>
      </c>
      <c r="H33" s="627">
        <v>399.61700000000002</v>
      </c>
      <c r="I33" s="627">
        <v>375.3</v>
      </c>
      <c r="J33" s="627">
        <v>375.3</v>
      </c>
      <c r="K33" s="627">
        <v>399.61700000000002</v>
      </c>
      <c r="L33" s="627">
        <v>0</v>
      </c>
      <c r="M33" s="627">
        <v>6160</v>
      </c>
      <c r="N33" s="627">
        <v>0</v>
      </c>
      <c r="O33" s="627">
        <v>0</v>
      </c>
      <c r="P33" s="627">
        <v>0</v>
      </c>
      <c r="Q33" s="627">
        <v>432.82500000000005</v>
      </c>
      <c r="R33" s="627">
        <v>0</v>
      </c>
      <c r="S33" s="627">
        <v>179572</v>
      </c>
      <c r="T33" s="627">
        <v>414.88400000000001</v>
      </c>
      <c r="U33" s="627">
        <v>0</v>
      </c>
      <c r="V33" s="627">
        <v>93190</v>
      </c>
      <c r="W33" s="627">
        <v>91.02</v>
      </c>
      <c r="X33" s="627">
        <v>56068</v>
      </c>
      <c r="Y33" s="627">
        <v>56068</v>
      </c>
      <c r="Z33" s="627">
        <v>0</v>
      </c>
      <c r="AA33" s="627">
        <v>0</v>
      </c>
      <c r="AB33" s="627">
        <v>0</v>
      </c>
      <c r="AC33" s="627">
        <v>0</v>
      </c>
      <c r="AD33" s="627">
        <v>0</v>
      </c>
      <c r="AE33" s="627" t="s">
        <v>314</v>
      </c>
      <c r="AF33" s="627">
        <v>0</v>
      </c>
      <c r="AG33" s="627">
        <v>0</v>
      </c>
      <c r="AH33" s="627">
        <v>0</v>
      </c>
      <c r="AI33" s="627">
        <v>0</v>
      </c>
      <c r="AJ33" s="627">
        <v>0</v>
      </c>
      <c r="AK33" s="627">
        <v>6160</v>
      </c>
      <c r="AL33" s="627" t="s">
        <v>651</v>
      </c>
      <c r="AM33" s="627" t="s">
        <v>17</v>
      </c>
      <c r="AN33" s="627">
        <v>0</v>
      </c>
      <c r="AO33" s="627">
        <v>0</v>
      </c>
      <c r="AP33" s="627">
        <v>0</v>
      </c>
      <c r="AQ33" s="627">
        <v>0</v>
      </c>
      <c r="AR33" s="627">
        <v>0</v>
      </c>
      <c r="AS33" s="627">
        <v>0</v>
      </c>
      <c r="AT33" s="627">
        <v>0</v>
      </c>
      <c r="AU33" s="627">
        <v>0</v>
      </c>
      <c r="AV33" s="627">
        <v>0</v>
      </c>
      <c r="AW33" s="627">
        <v>-14025</v>
      </c>
      <c r="AX33" s="627">
        <v>4605984</v>
      </c>
      <c r="AY33" s="627">
        <v>4544052</v>
      </c>
      <c r="AZ33" s="627">
        <v>2388598</v>
      </c>
      <c r="BA33" s="627">
        <v>179572</v>
      </c>
      <c r="BB33" s="627">
        <v>14.667</v>
      </c>
      <c r="BC33" s="627">
        <v>0</v>
      </c>
      <c r="BD33" s="627">
        <v>0</v>
      </c>
      <c r="BE33" s="627">
        <v>0</v>
      </c>
      <c r="BF33" s="627">
        <v>0</v>
      </c>
      <c r="BG33" s="627">
        <v>3989231</v>
      </c>
      <c r="BH33" s="627">
        <v>0</v>
      </c>
      <c r="BI33" s="627">
        <v>0</v>
      </c>
      <c r="BJ33" s="627">
        <v>0</v>
      </c>
      <c r="BK33" s="627">
        <v>12</v>
      </c>
      <c r="BL33" s="627">
        <v>0</v>
      </c>
      <c r="BM33" s="627">
        <v>0</v>
      </c>
      <c r="BN33" s="627">
        <v>0</v>
      </c>
      <c r="BO33" s="627">
        <v>0</v>
      </c>
      <c r="BP33" s="627">
        <v>0</v>
      </c>
      <c r="BQ33" s="627">
        <v>0</v>
      </c>
      <c r="BR33" s="627">
        <v>712</v>
      </c>
      <c r="BS33" s="627">
        <v>0</v>
      </c>
      <c r="BT33" s="627">
        <v>0</v>
      </c>
      <c r="BU33" s="627">
        <v>0</v>
      </c>
      <c r="BV33" s="627">
        <v>0</v>
      </c>
      <c r="BW33" s="627">
        <v>0</v>
      </c>
      <c r="BX33" s="627">
        <v>0</v>
      </c>
      <c r="BY33" s="627">
        <v>0</v>
      </c>
      <c r="BZ33" s="627">
        <v>0</v>
      </c>
      <c r="CA33" s="627">
        <v>0</v>
      </c>
      <c r="CB33" s="627">
        <v>0</v>
      </c>
      <c r="CC33" s="627">
        <v>0</v>
      </c>
      <c r="CD33" s="627">
        <v>0</v>
      </c>
      <c r="CE33" s="627">
        <v>0</v>
      </c>
      <c r="CF33" s="627">
        <v>0</v>
      </c>
      <c r="CG33" s="627">
        <v>0</v>
      </c>
      <c r="CH33" s="627">
        <v>0</v>
      </c>
      <c r="CI33" s="627">
        <v>63910</v>
      </c>
      <c r="CJ33" s="627">
        <v>0</v>
      </c>
      <c r="CK33" s="627">
        <v>4</v>
      </c>
      <c r="CL33" s="627">
        <v>0</v>
      </c>
      <c r="CM33" s="627">
        <v>0</v>
      </c>
      <c r="CN33" s="627">
        <v>0</v>
      </c>
      <c r="CO33" s="627">
        <v>0</v>
      </c>
      <c r="CP33" s="627">
        <v>1</v>
      </c>
      <c r="CQ33" s="627">
        <v>0</v>
      </c>
      <c r="CR33" s="627">
        <v>0</v>
      </c>
      <c r="CS33" s="627">
        <v>433.86</v>
      </c>
      <c r="CT33" s="627">
        <v>0</v>
      </c>
      <c r="CU33" s="627">
        <v>0</v>
      </c>
      <c r="CV33" s="627">
        <v>0</v>
      </c>
      <c r="CW33" s="627">
        <v>0</v>
      </c>
      <c r="CX33" s="627">
        <v>0</v>
      </c>
      <c r="CY33" s="627">
        <v>0</v>
      </c>
      <c r="CZ33" s="627">
        <v>0</v>
      </c>
      <c r="DA33" s="627">
        <v>0</v>
      </c>
      <c r="DB33" s="627">
        <v>0</v>
      </c>
      <c r="DC33" s="627">
        <v>2311848</v>
      </c>
      <c r="DD33" s="627">
        <v>0</v>
      </c>
      <c r="DE33" s="627">
        <v>0</v>
      </c>
      <c r="DF33" s="627">
        <v>538230</v>
      </c>
      <c r="DG33" s="627">
        <v>538230</v>
      </c>
      <c r="DH33" s="627">
        <v>87.375</v>
      </c>
      <c r="DI33" s="627">
        <v>0</v>
      </c>
      <c r="DJ33" s="627">
        <v>0</v>
      </c>
      <c r="DK33" s="627">
        <v>0</v>
      </c>
      <c r="DL33" s="627">
        <v>3018</v>
      </c>
      <c r="DM33" s="627">
        <v>0</v>
      </c>
      <c r="DN33" s="627">
        <v>580230</v>
      </c>
      <c r="DO33" s="627">
        <v>1978</v>
      </c>
      <c r="DP33" s="627">
        <v>0</v>
      </c>
      <c r="DQ33" s="627">
        <v>0</v>
      </c>
      <c r="DR33" s="627">
        <v>0</v>
      </c>
      <c r="DS33" s="627">
        <v>0</v>
      </c>
      <c r="DT33" s="627">
        <v>0</v>
      </c>
      <c r="DU33" s="627">
        <v>0</v>
      </c>
      <c r="DV33" s="627">
        <v>0</v>
      </c>
      <c r="DW33" s="627">
        <v>0</v>
      </c>
      <c r="DX33" s="627">
        <v>0</v>
      </c>
      <c r="DY33" s="627">
        <v>0</v>
      </c>
      <c r="DZ33" s="627">
        <v>0</v>
      </c>
      <c r="EA33" s="627">
        <v>0</v>
      </c>
      <c r="EB33" s="627">
        <v>0</v>
      </c>
      <c r="EC33" s="627">
        <v>0</v>
      </c>
      <c r="ED33" s="627">
        <v>16.568000000000001</v>
      </c>
      <c r="EE33" s="627">
        <v>117368</v>
      </c>
      <c r="EF33" s="627">
        <v>0</v>
      </c>
      <c r="EG33" s="627">
        <v>0</v>
      </c>
      <c r="EH33" s="627">
        <v>0</v>
      </c>
      <c r="EI33" s="627">
        <v>464840</v>
      </c>
      <c r="EJ33" s="627">
        <v>0</v>
      </c>
      <c r="EK33" s="627">
        <v>0</v>
      </c>
      <c r="EL33" s="627">
        <v>23.04</v>
      </c>
      <c r="EM33" s="627">
        <v>0</v>
      </c>
      <c r="EN33" s="627">
        <v>2.2000000000000002E-2</v>
      </c>
      <c r="EO33" s="627">
        <v>1.2550000000000001</v>
      </c>
      <c r="EP33" s="627">
        <v>0</v>
      </c>
      <c r="EQ33" s="627">
        <v>0</v>
      </c>
      <c r="ER33" s="627">
        <v>24.317</v>
      </c>
      <c r="ES33" s="627">
        <v>0</v>
      </c>
      <c r="ET33" s="627">
        <v>75.460999999999999</v>
      </c>
      <c r="EU33" s="627">
        <v>0</v>
      </c>
      <c r="EV33" s="627">
        <v>0</v>
      </c>
      <c r="EW33" s="627">
        <v>0</v>
      </c>
      <c r="EX33" s="627">
        <v>0</v>
      </c>
      <c r="EY33" s="627">
        <v>0</v>
      </c>
      <c r="EZ33" s="627">
        <v>0</v>
      </c>
      <c r="FA33" s="627">
        <v>3870133</v>
      </c>
      <c r="FB33" s="627">
        <v>0</v>
      </c>
      <c r="FC33" s="627">
        <v>4047727</v>
      </c>
      <c r="FD33" s="627">
        <v>0</v>
      </c>
      <c r="FE33" s="627">
        <v>0</v>
      </c>
      <c r="FF33" s="627">
        <v>574434</v>
      </c>
      <c r="FG33" s="627">
        <v>99485</v>
      </c>
      <c r="FH33" s="627">
        <v>7.0280999999999996E-2</v>
      </c>
      <c r="FI33" s="627">
        <v>3.1172999999999999E-2</v>
      </c>
      <c r="FJ33" s="627">
        <v>0</v>
      </c>
      <c r="FK33" s="627">
        <v>0</v>
      </c>
      <c r="FL33" s="627">
        <v>647.60199999999998</v>
      </c>
      <c r="FM33" s="627">
        <v>4785556</v>
      </c>
      <c r="FN33" s="627">
        <v>0</v>
      </c>
      <c r="FO33" s="627">
        <v>0</v>
      </c>
      <c r="FP33" s="627">
        <v>58560</v>
      </c>
      <c r="FQ33" s="627">
        <v>0</v>
      </c>
      <c r="FR33" s="627">
        <v>58560</v>
      </c>
      <c r="FS33" s="627">
        <v>58560</v>
      </c>
      <c r="FT33" s="627">
        <v>0</v>
      </c>
      <c r="FU33" s="627">
        <v>0</v>
      </c>
      <c r="FV33" s="627">
        <v>0</v>
      </c>
      <c r="FW33" s="627">
        <v>0</v>
      </c>
      <c r="FX33" s="627">
        <v>0</v>
      </c>
      <c r="FY33" s="627">
        <v>0</v>
      </c>
      <c r="FZ33" s="627">
        <v>0</v>
      </c>
      <c r="GA33" s="627">
        <v>0</v>
      </c>
      <c r="GB33" s="627">
        <v>0</v>
      </c>
      <c r="GC33" s="627">
        <v>0</v>
      </c>
      <c r="GD33" s="627">
        <v>0</v>
      </c>
      <c r="GE33" s="627">
        <v>0</v>
      </c>
      <c r="GF33" s="627">
        <v>0</v>
      </c>
      <c r="GG33" s="627">
        <v>0</v>
      </c>
      <c r="GH33" s="627">
        <v>0</v>
      </c>
      <c r="GI33" s="627">
        <v>0</v>
      </c>
      <c r="GJ33" s="627">
        <v>0</v>
      </c>
      <c r="GK33" s="627">
        <v>0</v>
      </c>
      <c r="GL33" s="627">
        <v>0</v>
      </c>
      <c r="GM33" s="627">
        <v>0</v>
      </c>
      <c r="GN33" s="627">
        <v>0</v>
      </c>
      <c r="GO33" s="627">
        <v>0</v>
      </c>
      <c r="GP33" s="627">
        <v>0</v>
      </c>
      <c r="GQ33" s="627">
        <v>0</v>
      </c>
      <c r="GR33" s="627">
        <v>4542074</v>
      </c>
      <c r="GS33" s="627">
        <v>0</v>
      </c>
      <c r="GT33" s="627">
        <v>0</v>
      </c>
      <c r="GU33" s="627">
        <v>0</v>
      </c>
      <c r="GV33" s="627">
        <v>0</v>
      </c>
      <c r="GW33" s="627">
        <v>0</v>
      </c>
      <c r="GX33" s="627">
        <v>0</v>
      </c>
      <c r="GY33" s="627">
        <v>0</v>
      </c>
      <c r="GZ33" s="627">
        <v>0</v>
      </c>
      <c r="HA33" s="627">
        <v>0</v>
      </c>
      <c r="HB33" s="627">
        <v>0</v>
      </c>
      <c r="HC33" s="627">
        <v>361151439</v>
      </c>
      <c r="HD33" s="627">
        <v>3.9981999999999997E-2</v>
      </c>
      <c r="HE33" s="627">
        <v>63910</v>
      </c>
      <c r="HF33" s="627">
        <v>0</v>
      </c>
      <c r="HG33" s="627">
        <v>413581</v>
      </c>
      <c r="HH33" s="627">
        <v>17248</v>
      </c>
      <c r="HI33" s="627">
        <v>51052</v>
      </c>
      <c r="HJ33" s="627">
        <v>0</v>
      </c>
      <c r="HK33" s="627">
        <v>18996</v>
      </c>
      <c r="HL33" s="627">
        <v>1721</v>
      </c>
      <c r="HM33" s="627">
        <v>193</v>
      </c>
      <c r="HN33" s="627">
        <v>0</v>
      </c>
      <c r="HO33" s="627">
        <v>0</v>
      </c>
      <c r="HP33" s="627">
        <v>0</v>
      </c>
      <c r="HQ33" s="627">
        <v>0</v>
      </c>
      <c r="HR33" s="627">
        <v>0</v>
      </c>
      <c r="HS33" s="627">
        <v>0</v>
      </c>
      <c r="HT33" s="627">
        <v>3868155</v>
      </c>
      <c r="HU33" s="627">
        <v>99485</v>
      </c>
      <c r="HV33" s="627">
        <v>0</v>
      </c>
      <c r="HW33" s="627">
        <v>0</v>
      </c>
      <c r="HX33" s="627">
        <v>0</v>
      </c>
      <c r="HY33" s="627">
        <v>18</v>
      </c>
      <c r="HZ33" s="627">
        <v>58</v>
      </c>
      <c r="IA33" s="627">
        <v>58</v>
      </c>
      <c r="IB33" s="627">
        <v>62</v>
      </c>
      <c r="IC33" s="627">
        <v>141</v>
      </c>
      <c r="ID33" s="627">
        <v>337</v>
      </c>
      <c r="IE33" s="627">
        <v>0</v>
      </c>
      <c r="IF33" s="627">
        <v>0</v>
      </c>
      <c r="IG33" s="627">
        <v>0</v>
      </c>
      <c r="IH33" s="627">
        <v>28</v>
      </c>
      <c r="II33" s="627">
        <v>82.87700000000001</v>
      </c>
      <c r="IJ33" s="627">
        <v>0</v>
      </c>
      <c r="IK33" s="627">
        <v>91.02</v>
      </c>
      <c r="IL33" s="627">
        <v>0</v>
      </c>
      <c r="IM33" s="627">
        <v>0</v>
      </c>
      <c r="IN33" s="627">
        <v>0</v>
      </c>
      <c r="IO33" s="627">
        <v>0</v>
      </c>
      <c r="IP33" s="627">
        <v>0</v>
      </c>
      <c r="IQ33" s="627">
        <v>0</v>
      </c>
      <c r="IR33" s="627">
        <v>91.02</v>
      </c>
      <c r="IS33" s="627">
        <v>56068</v>
      </c>
      <c r="IT33" s="627">
        <v>0</v>
      </c>
      <c r="IU33" s="627">
        <v>0</v>
      </c>
      <c r="IV33" s="627">
        <v>0</v>
      </c>
      <c r="IW33" s="627">
        <v>0</v>
      </c>
      <c r="IX33" s="627">
        <v>6160</v>
      </c>
      <c r="IY33" s="627">
        <v>0</v>
      </c>
      <c r="IZ33" s="627">
        <v>0</v>
      </c>
      <c r="JA33" s="627">
        <v>0</v>
      </c>
      <c r="JB33" s="627">
        <v>0</v>
      </c>
      <c r="JC33" s="627">
        <v>0</v>
      </c>
      <c r="JD33" s="627">
        <v>0</v>
      </c>
      <c r="JE33" s="627">
        <v>0</v>
      </c>
      <c r="JF33" s="627">
        <v>0</v>
      </c>
      <c r="JG33" s="627">
        <v>0</v>
      </c>
      <c r="JH33" s="627">
        <v>0</v>
      </c>
      <c r="JI33" s="627">
        <v>0</v>
      </c>
      <c r="JJ33" s="627">
        <v>0</v>
      </c>
      <c r="JK33" s="627">
        <v>0</v>
      </c>
      <c r="JL33" s="627">
        <v>0</v>
      </c>
      <c r="JM33" s="627">
        <v>0</v>
      </c>
      <c r="JN33" s="627">
        <v>0</v>
      </c>
      <c r="JO33" s="627">
        <v>32469</v>
      </c>
      <c r="JP33" s="627">
        <v>0</v>
      </c>
      <c r="JQ33" s="627">
        <v>0</v>
      </c>
      <c r="JR33" s="627">
        <v>0</v>
      </c>
      <c r="JS33" s="627">
        <v>0</v>
      </c>
      <c r="JT33" s="627">
        <v>0</v>
      </c>
      <c r="JU33" s="627">
        <v>0</v>
      </c>
      <c r="JV33" s="627">
        <v>0</v>
      </c>
      <c r="JW33" s="627">
        <v>0</v>
      </c>
      <c r="JX33" s="627">
        <v>0</v>
      </c>
      <c r="JY33" s="627">
        <v>0</v>
      </c>
      <c r="JZ33" s="627">
        <v>0</v>
      </c>
      <c r="KA33" s="627">
        <v>0</v>
      </c>
      <c r="KB33" s="627">
        <v>0</v>
      </c>
      <c r="KC33" s="627">
        <v>0</v>
      </c>
      <c r="KD33" s="627">
        <v>0</v>
      </c>
      <c r="KE33" s="627">
        <v>0</v>
      </c>
      <c r="KF33" s="627">
        <v>7262</v>
      </c>
      <c r="KG33" s="627">
        <v>0</v>
      </c>
      <c r="KH33" s="627">
        <v>0</v>
      </c>
      <c r="KI33" s="627">
        <v>4542074</v>
      </c>
      <c r="KJ33" s="627">
        <v>0</v>
      </c>
      <c r="KK33" s="627">
        <v>15</v>
      </c>
      <c r="KL33" s="627">
        <v>13</v>
      </c>
      <c r="KM33" s="627">
        <v>9240</v>
      </c>
      <c r="KN33" s="627">
        <v>8008</v>
      </c>
      <c r="KO33" s="627">
        <v>0</v>
      </c>
      <c r="KP33" s="627">
        <v>0</v>
      </c>
      <c r="KQ33" s="627">
        <v>4542074</v>
      </c>
      <c r="KR33" s="627">
        <v>0</v>
      </c>
      <c r="KS33" s="627">
        <v>0</v>
      </c>
      <c r="KT33" s="627">
        <v>0</v>
      </c>
      <c r="KU33" s="627">
        <v>0</v>
      </c>
      <c r="KV33" s="627">
        <v>0</v>
      </c>
      <c r="KW33" s="627">
        <v>0</v>
      </c>
      <c r="KX33" s="627">
        <v>0</v>
      </c>
      <c r="KY33" s="627">
        <v>0</v>
      </c>
      <c r="KZ33" s="627">
        <v>0</v>
      </c>
      <c r="LA33" s="627">
        <v>0</v>
      </c>
      <c r="LB33" s="627">
        <v>0</v>
      </c>
      <c r="LC33" s="627">
        <v>0</v>
      </c>
      <c r="LD33" s="627">
        <v>0</v>
      </c>
      <c r="LE33" s="627">
        <v>0</v>
      </c>
      <c r="LF33" s="627">
        <v>0</v>
      </c>
    </row>
    <row r="34" spans="1:318" x14ac:dyDescent="0.25">
      <c r="A34" s="627">
        <v>42602</v>
      </c>
      <c r="B34" s="627">
        <v>61802</v>
      </c>
      <c r="D34" s="627">
        <v>9</v>
      </c>
      <c r="E34" s="627">
        <v>2024</v>
      </c>
      <c r="F34" s="627">
        <v>6160</v>
      </c>
      <c r="G34" s="627">
        <v>0</v>
      </c>
      <c r="H34" s="627">
        <v>666.87700000000007</v>
      </c>
      <c r="I34" s="627">
        <v>648.90200000000004</v>
      </c>
      <c r="J34" s="627">
        <v>648.90200000000004</v>
      </c>
      <c r="K34" s="627">
        <v>666.87700000000007</v>
      </c>
      <c r="L34" s="627">
        <v>0</v>
      </c>
      <c r="M34" s="627">
        <v>6160</v>
      </c>
      <c r="N34" s="627">
        <v>0</v>
      </c>
      <c r="O34" s="627">
        <v>0</v>
      </c>
      <c r="P34" s="627">
        <v>0</v>
      </c>
      <c r="Q34" s="627">
        <v>656.553</v>
      </c>
      <c r="R34" s="627">
        <v>0</v>
      </c>
      <c r="S34" s="627">
        <v>272393</v>
      </c>
      <c r="T34" s="627">
        <v>414.88400000000001</v>
      </c>
      <c r="U34" s="627">
        <v>0</v>
      </c>
      <c r="V34" s="627">
        <v>141360</v>
      </c>
      <c r="W34" s="627">
        <v>250.27200000000002</v>
      </c>
      <c r="X34" s="627">
        <v>154168</v>
      </c>
      <c r="Y34" s="627">
        <v>154168</v>
      </c>
      <c r="Z34" s="627">
        <v>0</v>
      </c>
      <c r="AA34" s="627">
        <v>0</v>
      </c>
      <c r="AB34" s="627">
        <v>0</v>
      </c>
      <c r="AC34" s="627">
        <v>0</v>
      </c>
      <c r="AD34" s="627">
        <v>0</v>
      </c>
      <c r="AE34" s="627" t="s">
        <v>314</v>
      </c>
      <c r="AF34" s="627">
        <v>0</v>
      </c>
      <c r="AG34" s="627">
        <v>0</v>
      </c>
      <c r="AH34" s="627">
        <v>0</v>
      </c>
      <c r="AI34" s="627">
        <v>0</v>
      </c>
      <c r="AJ34" s="627">
        <v>0</v>
      </c>
      <c r="AK34" s="627">
        <v>6160</v>
      </c>
      <c r="AL34" s="627" t="s">
        <v>651</v>
      </c>
      <c r="AM34" s="627" t="s">
        <v>333</v>
      </c>
      <c r="AN34" s="627">
        <v>0</v>
      </c>
      <c r="AO34" s="627">
        <v>0</v>
      </c>
      <c r="AP34" s="627">
        <v>0</v>
      </c>
      <c r="AQ34" s="627">
        <v>0</v>
      </c>
      <c r="AR34" s="627">
        <v>0</v>
      </c>
      <c r="AS34" s="627">
        <v>0</v>
      </c>
      <c r="AT34" s="627">
        <v>0</v>
      </c>
      <c r="AU34" s="627">
        <v>0</v>
      </c>
      <c r="AV34" s="627">
        <v>0</v>
      </c>
      <c r="AW34" s="627">
        <v>-5397</v>
      </c>
      <c r="AX34" s="627">
        <v>7852423</v>
      </c>
      <c r="AY34" s="627">
        <v>7746878</v>
      </c>
      <c r="AZ34" s="627">
        <v>3962831</v>
      </c>
      <c r="BA34" s="627">
        <v>272393</v>
      </c>
      <c r="BB34" s="627">
        <v>11.333</v>
      </c>
      <c r="BC34" s="627">
        <v>0</v>
      </c>
      <c r="BD34" s="627">
        <v>0</v>
      </c>
      <c r="BE34" s="627">
        <v>0</v>
      </c>
      <c r="BF34" s="627">
        <v>0</v>
      </c>
      <c r="BG34" s="627">
        <v>6796191</v>
      </c>
      <c r="BH34" s="627">
        <v>0</v>
      </c>
      <c r="BI34" s="627">
        <v>0</v>
      </c>
      <c r="BJ34" s="627">
        <v>0</v>
      </c>
      <c r="BK34" s="627">
        <v>12</v>
      </c>
      <c r="BL34" s="627">
        <v>0</v>
      </c>
      <c r="BM34" s="627">
        <v>0</v>
      </c>
      <c r="BN34" s="627">
        <v>0</v>
      </c>
      <c r="BO34" s="627">
        <v>0</v>
      </c>
      <c r="BP34" s="627">
        <v>0</v>
      </c>
      <c r="BQ34" s="627">
        <v>0</v>
      </c>
      <c r="BR34" s="627">
        <v>670</v>
      </c>
      <c r="BS34" s="627">
        <v>0</v>
      </c>
      <c r="BT34" s="627">
        <v>0</v>
      </c>
      <c r="BU34" s="627">
        <v>0</v>
      </c>
      <c r="BV34" s="627">
        <v>0</v>
      </c>
      <c r="BW34" s="627">
        <v>0</v>
      </c>
      <c r="BX34" s="627">
        <v>0</v>
      </c>
      <c r="BY34" s="627">
        <v>0</v>
      </c>
      <c r="BZ34" s="627">
        <v>0</v>
      </c>
      <c r="CA34" s="627">
        <v>0</v>
      </c>
      <c r="CB34" s="627">
        <v>0</v>
      </c>
      <c r="CC34" s="627">
        <v>0</v>
      </c>
      <c r="CD34" s="627">
        <v>0</v>
      </c>
      <c r="CE34" s="627">
        <v>0</v>
      </c>
      <c r="CF34" s="627">
        <v>0</v>
      </c>
      <c r="CG34" s="627">
        <v>0</v>
      </c>
      <c r="CH34" s="627">
        <v>0</v>
      </c>
      <c r="CI34" s="627">
        <v>106653</v>
      </c>
      <c r="CJ34" s="627">
        <v>0</v>
      </c>
      <c r="CK34" s="627">
        <v>4</v>
      </c>
      <c r="CL34" s="627">
        <v>0</v>
      </c>
      <c r="CM34" s="627">
        <v>0</v>
      </c>
      <c r="CN34" s="627">
        <v>0</v>
      </c>
      <c r="CO34" s="627">
        <v>0</v>
      </c>
      <c r="CP34" s="627">
        <v>1</v>
      </c>
      <c r="CQ34" s="627">
        <v>0</v>
      </c>
      <c r="CR34" s="627">
        <v>1.5</v>
      </c>
      <c r="CS34" s="627">
        <v>648.21</v>
      </c>
      <c r="CT34" s="627">
        <v>0</v>
      </c>
      <c r="CU34" s="627">
        <v>0</v>
      </c>
      <c r="CV34" s="627">
        <v>0</v>
      </c>
      <c r="CW34" s="627">
        <v>0</v>
      </c>
      <c r="CX34" s="627">
        <v>0</v>
      </c>
      <c r="CY34" s="627">
        <v>0</v>
      </c>
      <c r="CZ34" s="627">
        <v>0</v>
      </c>
      <c r="DA34" s="627">
        <v>0</v>
      </c>
      <c r="DB34" s="627">
        <v>0</v>
      </c>
      <c r="DC34" s="627">
        <v>3907035</v>
      </c>
      <c r="DD34" s="627">
        <v>0</v>
      </c>
      <c r="DE34" s="627">
        <v>0</v>
      </c>
      <c r="DF34" s="627">
        <v>1102178</v>
      </c>
      <c r="DG34" s="627">
        <v>1102178</v>
      </c>
      <c r="DH34" s="627">
        <v>178.92500000000001</v>
      </c>
      <c r="DI34" s="627">
        <v>0</v>
      </c>
      <c r="DJ34" s="627">
        <v>0</v>
      </c>
      <c r="DK34" s="627">
        <v>0</v>
      </c>
      <c r="DL34" s="627">
        <v>2344</v>
      </c>
      <c r="DM34" s="627">
        <v>0</v>
      </c>
      <c r="DN34" s="627">
        <v>415309</v>
      </c>
      <c r="DO34" s="627">
        <v>1108</v>
      </c>
      <c r="DP34" s="627">
        <v>0</v>
      </c>
      <c r="DQ34" s="627">
        <v>0</v>
      </c>
      <c r="DR34" s="627">
        <v>0</v>
      </c>
      <c r="DS34" s="627">
        <v>0</v>
      </c>
      <c r="DT34" s="627">
        <v>0</v>
      </c>
      <c r="DU34" s="627">
        <v>0</v>
      </c>
      <c r="DV34" s="627">
        <v>0</v>
      </c>
      <c r="DW34" s="627">
        <v>0</v>
      </c>
      <c r="DX34" s="627">
        <v>0</v>
      </c>
      <c r="DY34" s="627">
        <v>0</v>
      </c>
      <c r="DZ34" s="627">
        <v>0</v>
      </c>
      <c r="EA34" s="627">
        <v>0</v>
      </c>
      <c r="EB34" s="627">
        <v>0</v>
      </c>
      <c r="EC34" s="627">
        <v>0</v>
      </c>
      <c r="ED34" s="627">
        <v>4.9140000000000006</v>
      </c>
      <c r="EE34" s="627">
        <v>34811</v>
      </c>
      <c r="EF34" s="627">
        <v>0</v>
      </c>
      <c r="EG34" s="627">
        <v>0</v>
      </c>
      <c r="EH34" s="627">
        <v>0</v>
      </c>
      <c r="EI34" s="627">
        <v>291405</v>
      </c>
      <c r="EJ34" s="627">
        <v>0</v>
      </c>
      <c r="EK34" s="627">
        <v>0</v>
      </c>
      <c r="EL34" s="627">
        <v>13.397</v>
      </c>
      <c r="EM34" s="627">
        <v>0</v>
      </c>
      <c r="EN34" s="627">
        <v>0</v>
      </c>
      <c r="EO34" s="627">
        <v>1.423</v>
      </c>
      <c r="EP34" s="627">
        <v>0</v>
      </c>
      <c r="EQ34" s="627">
        <v>0</v>
      </c>
      <c r="ER34" s="627">
        <v>14.82</v>
      </c>
      <c r="ES34" s="627">
        <v>0</v>
      </c>
      <c r="ET34" s="627">
        <v>47.306000000000004</v>
      </c>
      <c r="EU34" s="627">
        <v>0</v>
      </c>
      <c r="EV34" s="627">
        <v>0</v>
      </c>
      <c r="EW34" s="627">
        <v>0</v>
      </c>
      <c r="EX34" s="627">
        <v>0</v>
      </c>
      <c r="EY34" s="627">
        <v>0</v>
      </c>
      <c r="EZ34" s="627">
        <v>0</v>
      </c>
      <c r="FA34" s="627">
        <v>6598766</v>
      </c>
      <c r="FB34" s="627">
        <v>0</v>
      </c>
      <c r="FC34" s="627">
        <v>6870051</v>
      </c>
      <c r="FD34" s="627">
        <v>0</v>
      </c>
      <c r="FE34" s="627">
        <v>0</v>
      </c>
      <c r="FF34" s="627">
        <v>978626</v>
      </c>
      <c r="FG34" s="627">
        <v>169486</v>
      </c>
      <c r="FH34" s="627">
        <v>7.0280999999999996E-2</v>
      </c>
      <c r="FI34" s="627">
        <v>3.1172999999999999E-2</v>
      </c>
      <c r="FJ34" s="627">
        <v>0</v>
      </c>
      <c r="FK34" s="627">
        <v>0</v>
      </c>
      <c r="FL34" s="627">
        <v>1103.278</v>
      </c>
      <c r="FM34" s="627">
        <v>8124816</v>
      </c>
      <c r="FN34" s="627">
        <v>0</v>
      </c>
      <c r="FO34" s="627">
        <v>0</v>
      </c>
      <c r="FP34" s="627">
        <v>74968</v>
      </c>
      <c r="FQ34" s="627">
        <v>0</v>
      </c>
      <c r="FR34" s="627">
        <v>74968</v>
      </c>
      <c r="FS34" s="627">
        <v>74968</v>
      </c>
      <c r="FT34" s="627">
        <v>0</v>
      </c>
      <c r="FU34" s="627">
        <v>0</v>
      </c>
      <c r="FV34" s="627">
        <v>0</v>
      </c>
      <c r="FW34" s="627">
        <v>0</v>
      </c>
      <c r="FX34" s="627">
        <v>0</v>
      </c>
      <c r="FY34" s="627">
        <v>0</v>
      </c>
      <c r="FZ34" s="627">
        <v>0</v>
      </c>
      <c r="GA34" s="627">
        <v>0</v>
      </c>
      <c r="GB34" s="627">
        <v>0</v>
      </c>
      <c r="GC34" s="627">
        <v>29483</v>
      </c>
      <c r="GD34" s="627">
        <v>29483</v>
      </c>
      <c r="GE34" s="627">
        <v>3.1550000000000002</v>
      </c>
      <c r="GF34" s="627">
        <v>0</v>
      </c>
      <c r="GG34" s="627">
        <v>0</v>
      </c>
      <c r="GH34" s="627">
        <v>0</v>
      </c>
      <c r="GI34" s="627">
        <v>0</v>
      </c>
      <c r="GJ34" s="627">
        <v>0</v>
      </c>
      <c r="GK34" s="627">
        <v>0</v>
      </c>
      <c r="GL34" s="627">
        <v>0</v>
      </c>
      <c r="GM34" s="627">
        <v>0</v>
      </c>
      <c r="GN34" s="627">
        <v>0</v>
      </c>
      <c r="GO34" s="627">
        <v>0</v>
      </c>
      <c r="GP34" s="627">
        <v>0</v>
      </c>
      <c r="GQ34" s="627">
        <v>0</v>
      </c>
      <c r="GR34" s="627">
        <v>7745770</v>
      </c>
      <c r="GS34" s="627">
        <v>0</v>
      </c>
      <c r="GT34" s="627">
        <v>0</v>
      </c>
      <c r="GU34" s="627">
        <v>0</v>
      </c>
      <c r="GV34" s="627">
        <v>0</v>
      </c>
      <c r="GW34" s="627">
        <v>0</v>
      </c>
      <c r="GX34" s="627">
        <v>0</v>
      </c>
      <c r="GY34" s="627">
        <v>0</v>
      </c>
      <c r="GZ34" s="627">
        <v>0</v>
      </c>
      <c r="HA34" s="627">
        <v>0</v>
      </c>
      <c r="HB34" s="627">
        <v>0</v>
      </c>
      <c r="HC34" s="627">
        <v>361151439</v>
      </c>
      <c r="HD34" s="627">
        <v>3.9981999999999997E-2</v>
      </c>
      <c r="HE34" s="627">
        <v>106653</v>
      </c>
      <c r="HF34" s="627">
        <v>0</v>
      </c>
      <c r="HG34" s="627">
        <v>715090</v>
      </c>
      <c r="HH34" s="627">
        <v>0</v>
      </c>
      <c r="HI34" s="627">
        <v>196368</v>
      </c>
      <c r="HJ34" s="627">
        <v>0</v>
      </c>
      <c r="HK34" s="627">
        <v>51669</v>
      </c>
      <c r="HL34" s="627">
        <v>0</v>
      </c>
      <c r="HM34" s="627">
        <v>0</v>
      </c>
      <c r="HN34" s="627">
        <v>0</v>
      </c>
      <c r="HO34" s="627">
        <v>223783</v>
      </c>
      <c r="HP34" s="627">
        <v>0</v>
      </c>
      <c r="HQ34" s="627">
        <v>0</v>
      </c>
      <c r="HR34" s="627">
        <v>0</v>
      </c>
      <c r="HS34" s="627">
        <v>0</v>
      </c>
      <c r="HT34" s="627">
        <v>6597658</v>
      </c>
      <c r="HU34" s="627">
        <v>169486</v>
      </c>
      <c r="HV34" s="627">
        <v>0</v>
      </c>
      <c r="HW34" s="627">
        <v>0</v>
      </c>
      <c r="HX34" s="627">
        <v>0</v>
      </c>
      <c r="HY34" s="627">
        <v>160</v>
      </c>
      <c r="HZ34" s="627">
        <v>110</v>
      </c>
      <c r="IA34" s="627">
        <v>92</v>
      </c>
      <c r="IB34" s="627">
        <v>130</v>
      </c>
      <c r="IC34" s="627">
        <v>217</v>
      </c>
      <c r="ID34" s="627">
        <v>709</v>
      </c>
      <c r="IE34" s="627">
        <v>0</v>
      </c>
      <c r="IF34" s="627">
        <v>0</v>
      </c>
      <c r="IG34" s="627">
        <v>0</v>
      </c>
      <c r="IH34" s="627">
        <v>0</v>
      </c>
      <c r="II34" s="627">
        <v>318.78000000000003</v>
      </c>
      <c r="IJ34" s="627">
        <v>0</v>
      </c>
      <c r="IK34" s="627">
        <v>250.27200000000002</v>
      </c>
      <c r="IL34" s="627">
        <v>0</v>
      </c>
      <c r="IM34" s="627">
        <v>0</v>
      </c>
      <c r="IN34" s="627">
        <v>0</v>
      </c>
      <c r="IO34" s="627">
        <v>0</v>
      </c>
      <c r="IP34" s="627">
        <v>0</v>
      </c>
      <c r="IQ34" s="627">
        <v>0</v>
      </c>
      <c r="IR34" s="627">
        <v>250.27200000000002</v>
      </c>
      <c r="IS34" s="627">
        <v>154168</v>
      </c>
      <c r="IT34" s="627">
        <v>0</v>
      </c>
      <c r="IU34" s="627">
        <v>0</v>
      </c>
      <c r="IV34" s="627">
        <v>0</v>
      </c>
      <c r="IW34" s="627">
        <v>0</v>
      </c>
      <c r="IX34" s="627">
        <v>6160</v>
      </c>
      <c r="IY34" s="627">
        <v>0</v>
      </c>
      <c r="IZ34" s="627">
        <v>0</v>
      </c>
      <c r="JA34" s="627">
        <v>0</v>
      </c>
      <c r="JB34" s="627">
        <v>0</v>
      </c>
      <c r="JC34" s="627">
        <v>8</v>
      </c>
      <c r="JD34" s="627">
        <v>196062</v>
      </c>
      <c r="JE34" s="627">
        <v>1</v>
      </c>
      <c r="JF34" s="627">
        <v>16481</v>
      </c>
      <c r="JG34" s="627">
        <v>1</v>
      </c>
      <c r="JH34" s="627">
        <v>8240</v>
      </c>
      <c r="JI34" s="627">
        <v>3000</v>
      </c>
      <c r="JJ34" s="627">
        <v>0</v>
      </c>
      <c r="JK34" s="627">
        <v>0</v>
      </c>
      <c r="JL34" s="627">
        <v>0</v>
      </c>
      <c r="JM34" s="627">
        <v>0</v>
      </c>
      <c r="JN34" s="627">
        <v>0</v>
      </c>
      <c r="JO34" s="627">
        <v>32469</v>
      </c>
      <c r="JP34" s="627">
        <v>0.32400000000000001</v>
      </c>
      <c r="JQ34" s="627">
        <v>2.411</v>
      </c>
      <c r="JR34" s="627">
        <v>0.42</v>
      </c>
      <c r="JS34" s="627">
        <v>2588</v>
      </c>
      <c r="JT34" s="627">
        <v>22411</v>
      </c>
      <c r="JU34" s="627">
        <v>4484</v>
      </c>
      <c r="JV34" s="627">
        <v>0</v>
      </c>
      <c r="JW34" s="627">
        <v>0</v>
      </c>
      <c r="JX34" s="627">
        <v>0</v>
      </c>
      <c r="JY34" s="627">
        <v>0</v>
      </c>
      <c r="JZ34" s="627">
        <v>0</v>
      </c>
      <c r="KA34" s="627">
        <v>0</v>
      </c>
      <c r="KB34" s="627">
        <v>0</v>
      </c>
      <c r="KC34" s="627">
        <v>0</v>
      </c>
      <c r="KD34" s="627">
        <v>0</v>
      </c>
      <c r="KE34" s="627">
        <v>0</v>
      </c>
      <c r="KF34" s="627">
        <v>7262</v>
      </c>
      <c r="KG34" s="627">
        <v>0</v>
      </c>
      <c r="KH34" s="627">
        <v>0</v>
      </c>
      <c r="KI34" s="627">
        <v>7745770</v>
      </c>
      <c r="KJ34" s="627">
        <v>0</v>
      </c>
      <c r="KK34" s="627">
        <v>0</v>
      </c>
      <c r="KL34" s="627">
        <v>0</v>
      </c>
      <c r="KM34" s="627">
        <v>0</v>
      </c>
      <c r="KN34" s="627">
        <v>0</v>
      </c>
      <c r="KO34" s="627">
        <v>0</v>
      </c>
      <c r="KP34" s="627">
        <v>0</v>
      </c>
      <c r="KQ34" s="627">
        <v>7745770</v>
      </c>
      <c r="KR34" s="627">
        <v>0</v>
      </c>
      <c r="KS34" s="627">
        <v>0</v>
      </c>
      <c r="KT34" s="627">
        <v>0</v>
      </c>
      <c r="KU34" s="627">
        <v>0</v>
      </c>
      <c r="KV34" s="627">
        <v>0</v>
      </c>
      <c r="KW34" s="627">
        <v>0</v>
      </c>
      <c r="KX34" s="627">
        <v>0</v>
      </c>
      <c r="KY34" s="627">
        <v>0</v>
      </c>
      <c r="KZ34" s="627">
        <v>0</v>
      </c>
      <c r="LA34" s="627">
        <v>0</v>
      </c>
      <c r="LB34" s="627">
        <v>0</v>
      </c>
      <c r="LC34" s="627">
        <v>0</v>
      </c>
      <c r="LD34" s="627">
        <v>0</v>
      </c>
      <c r="LE34" s="627">
        <v>0</v>
      </c>
      <c r="LF34" s="627">
        <v>0</v>
      </c>
    </row>
    <row r="35" spans="1:318" x14ac:dyDescent="0.25">
      <c r="A35" s="627">
        <v>42602</v>
      </c>
      <c r="B35" s="627">
        <v>68802</v>
      </c>
      <c r="D35" s="627">
        <v>9</v>
      </c>
      <c r="E35" s="627">
        <v>2024</v>
      </c>
      <c r="F35" s="627">
        <v>6160</v>
      </c>
      <c r="G35" s="627">
        <v>0</v>
      </c>
      <c r="H35" s="627">
        <v>1368.6020000000001</v>
      </c>
      <c r="I35" s="627">
        <v>1335.7730000000001</v>
      </c>
      <c r="J35" s="627">
        <v>1335.7730000000001</v>
      </c>
      <c r="K35" s="627">
        <v>1368.6020000000001</v>
      </c>
      <c r="L35" s="627">
        <v>0</v>
      </c>
      <c r="M35" s="627">
        <v>6160</v>
      </c>
      <c r="N35" s="627">
        <v>0</v>
      </c>
      <c r="O35" s="627">
        <v>0</v>
      </c>
      <c r="P35" s="627">
        <v>0</v>
      </c>
      <c r="Q35" s="627">
        <v>1331.2170000000001</v>
      </c>
      <c r="R35" s="627">
        <v>0</v>
      </c>
      <c r="S35" s="627">
        <v>552301</v>
      </c>
      <c r="T35" s="627">
        <v>414.88400000000001</v>
      </c>
      <c r="U35" s="627">
        <v>0</v>
      </c>
      <c r="V35" s="627">
        <v>286622</v>
      </c>
      <c r="W35" s="627">
        <v>2.0550000000000002</v>
      </c>
      <c r="X35" s="627">
        <v>1266</v>
      </c>
      <c r="Y35" s="627">
        <v>1266</v>
      </c>
      <c r="Z35" s="627">
        <v>0</v>
      </c>
      <c r="AA35" s="627">
        <v>0</v>
      </c>
      <c r="AB35" s="627">
        <v>0</v>
      </c>
      <c r="AC35" s="627">
        <v>0</v>
      </c>
      <c r="AD35" s="627">
        <v>0</v>
      </c>
      <c r="AE35" s="627" t="s">
        <v>314</v>
      </c>
      <c r="AF35" s="627">
        <v>0</v>
      </c>
      <c r="AG35" s="627">
        <v>0</v>
      </c>
      <c r="AH35" s="627">
        <v>0</v>
      </c>
      <c r="AI35" s="627">
        <v>0</v>
      </c>
      <c r="AJ35" s="627">
        <v>0</v>
      </c>
      <c r="AK35" s="627">
        <v>6160</v>
      </c>
      <c r="AL35" s="627" t="s">
        <v>651</v>
      </c>
      <c r="AM35" s="627" t="s">
        <v>335</v>
      </c>
      <c r="AN35" s="627">
        <v>0</v>
      </c>
      <c r="AO35" s="627">
        <v>0</v>
      </c>
      <c r="AP35" s="627">
        <v>0</v>
      </c>
      <c r="AQ35" s="627">
        <v>0</v>
      </c>
      <c r="AR35" s="627">
        <v>0</v>
      </c>
      <c r="AS35" s="627">
        <v>0</v>
      </c>
      <c r="AT35" s="627">
        <v>0</v>
      </c>
      <c r="AU35" s="627">
        <v>0</v>
      </c>
      <c r="AV35" s="627">
        <v>0</v>
      </c>
      <c r="AW35" s="627">
        <v>0</v>
      </c>
      <c r="AX35" s="627">
        <v>12233126</v>
      </c>
      <c r="AY35" s="627">
        <v>12017327</v>
      </c>
      <c r="AZ35" s="627">
        <v>6135595</v>
      </c>
      <c r="BA35" s="627">
        <v>552301</v>
      </c>
      <c r="BB35" s="627">
        <v>0</v>
      </c>
      <c r="BC35" s="627">
        <v>2556</v>
      </c>
      <c r="BD35" s="627">
        <v>2540</v>
      </c>
      <c r="BE35" s="627">
        <v>6</v>
      </c>
      <c r="BF35" s="627">
        <v>16</v>
      </c>
      <c r="BG35" s="627">
        <v>10749183</v>
      </c>
      <c r="BH35" s="627">
        <v>0</v>
      </c>
      <c r="BI35" s="627">
        <v>0</v>
      </c>
      <c r="BJ35" s="627">
        <v>0</v>
      </c>
      <c r="BK35" s="627">
        <v>12</v>
      </c>
      <c r="BL35" s="627">
        <v>0</v>
      </c>
      <c r="BM35" s="627">
        <v>0</v>
      </c>
      <c r="BN35" s="627">
        <v>0</v>
      </c>
      <c r="BO35" s="627">
        <v>0</v>
      </c>
      <c r="BP35" s="627">
        <v>0</v>
      </c>
      <c r="BQ35" s="627">
        <v>0</v>
      </c>
      <c r="BR35" s="627">
        <v>564</v>
      </c>
      <c r="BS35" s="627">
        <v>0</v>
      </c>
      <c r="BT35" s="627">
        <v>0</v>
      </c>
      <c r="BU35" s="627">
        <v>0</v>
      </c>
      <c r="BV35" s="627">
        <v>0</v>
      </c>
      <c r="BW35" s="627">
        <v>0</v>
      </c>
      <c r="BX35" s="627">
        <v>0</v>
      </c>
      <c r="BY35" s="627">
        <v>0</v>
      </c>
      <c r="BZ35" s="627">
        <v>0</v>
      </c>
      <c r="CA35" s="627">
        <v>0</v>
      </c>
      <c r="CB35" s="627">
        <v>0</v>
      </c>
      <c r="CC35" s="627">
        <v>0</v>
      </c>
      <c r="CD35" s="627">
        <v>0</v>
      </c>
      <c r="CE35" s="627">
        <v>0</v>
      </c>
      <c r="CF35" s="627">
        <v>0</v>
      </c>
      <c r="CG35" s="627">
        <v>0</v>
      </c>
      <c r="CH35" s="627">
        <v>0</v>
      </c>
      <c r="CI35" s="627">
        <v>218879</v>
      </c>
      <c r="CJ35" s="627">
        <v>0</v>
      </c>
      <c r="CK35" s="627">
        <v>4</v>
      </c>
      <c r="CL35" s="627">
        <v>0</v>
      </c>
      <c r="CM35" s="627">
        <v>0</v>
      </c>
      <c r="CN35" s="627">
        <v>0</v>
      </c>
      <c r="CO35" s="627">
        <v>0</v>
      </c>
      <c r="CP35" s="627">
        <v>1</v>
      </c>
      <c r="CQ35" s="627">
        <v>0</v>
      </c>
      <c r="CR35" s="627">
        <v>0</v>
      </c>
      <c r="CS35" s="627">
        <v>1331.72</v>
      </c>
      <c r="CT35" s="627">
        <v>0</v>
      </c>
      <c r="CU35" s="627">
        <v>0</v>
      </c>
      <c r="CV35" s="627">
        <v>0</v>
      </c>
      <c r="CW35" s="627">
        <v>0</v>
      </c>
      <c r="CX35" s="627">
        <v>0</v>
      </c>
      <c r="CY35" s="627">
        <v>0</v>
      </c>
      <c r="CZ35" s="627">
        <v>0</v>
      </c>
      <c r="DA35" s="627">
        <v>0</v>
      </c>
      <c r="DB35" s="627">
        <v>0</v>
      </c>
      <c r="DC35" s="627">
        <v>8228362</v>
      </c>
      <c r="DD35" s="627">
        <v>0</v>
      </c>
      <c r="DE35" s="627">
        <v>0</v>
      </c>
      <c r="DF35" s="627">
        <v>97790</v>
      </c>
      <c r="DG35" s="627">
        <v>97790</v>
      </c>
      <c r="DH35" s="627">
        <v>15.875</v>
      </c>
      <c r="DI35" s="627">
        <v>0</v>
      </c>
      <c r="DJ35" s="627">
        <v>0</v>
      </c>
      <c r="DK35" s="627">
        <v>0</v>
      </c>
      <c r="DL35" s="627">
        <v>651</v>
      </c>
      <c r="DM35" s="627">
        <v>0</v>
      </c>
      <c r="DN35" s="627">
        <v>898852</v>
      </c>
      <c r="DO35" s="627">
        <v>3064</v>
      </c>
      <c r="DP35" s="627">
        <v>0</v>
      </c>
      <c r="DQ35" s="627">
        <v>0</v>
      </c>
      <c r="DR35" s="627">
        <v>0</v>
      </c>
      <c r="DS35" s="627">
        <v>0</v>
      </c>
      <c r="DT35" s="627">
        <v>0</v>
      </c>
      <c r="DU35" s="627">
        <v>0</v>
      </c>
      <c r="DV35" s="627">
        <v>0</v>
      </c>
      <c r="DW35" s="627">
        <v>0</v>
      </c>
      <c r="DX35" s="627">
        <v>0</v>
      </c>
      <c r="DY35" s="627">
        <v>0</v>
      </c>
      <c r="DZ35" s="627">
        <v>0</v>
      </c>
      <c r="EA35" s="627">
        <v>0</v>
      </c>
      <c r="EB35" s="627">
        <v>0</v>
      </c>
      <c r="EC35" s="627">
        <v>0</v>
      </c>
      <c r="ED35" s="627">
        <v>37.92</v>
      </c>
      <c r="EE35" s="627">
        <v>268625</v>
      </c>
      <c r="EF35" s="627">
        <v>0</v>
      </c>
      <c r="EG35" s="627">
        <v>0</v>
      </c>
      <c r="EH35" s="627">
        <v>0</v>
      </c>
      <c r="EI35" s="627">
        <v>633291</v>
      </c>
      <c r="EJ35" s="627">
        <v>0</v>
      </c>
      <c r="EK35" s="627">
        <v>0</v>
      </c>
      <c r="EL35" s="627">
        <v>30.669</v>
      </c>
      <c r="EM35" s="627">
        <v>0</v>
      </c>
      <c r="EN35" s="627">
        <v>0</v>
      </c>
      <c r="EO35" s="627">
        <v>2.16</v>
      </c>
      <c r="EP35" s="627">
        <v>0</v>
      </c>
      <c r="EQ35" s="627">
        <v>0</v>
      </c>
      <c r="ER35" s="627">
        <v>32.829000000000001</v>
      </c>
      <c r="ES35" s="627">
        <v>0</v>
      </c>
      <c r="ET35" s="627">
        <v>102.807</v>
      </c>
      <c r="EU35" s="627">
        <v>0</v>
      </c>
      <c r="EV35" s="627">
        <v>0</v>
      </c>
      <c r="EW35" s="627">
        <v>0</v>
      </c>
      <c r="EX35" s="627">
        <v>0</v>
      </c>
      <c r="EY35" s="627">
        <v>0</v>
      </c>
      <c r="EZ35" s="627">
        <v>0</v>
      </c>
      <c r="FA35" s="627">
        <v>10201419</v>
      </c>
      <c r="FB35" s="627">
        <v>0</v>
      </c>
      <c r="FC35" s="627">
        <v>10750640</v>
      </c>
      <c r="FD35" s="627">
        <v>0</v>
      </c>
      <c r="FE35" s="627">
        <v>0</v>
      </c>
      <c r="FF35" s="627">
        <v>1547841</v>
      </c>
      <c r="FG35" s="627">
        <v>268067</v>
      </c>
      <c r="FH35" s="627">
        <v>7.0280999999999996E-2</v>
      </c>
      <c r="FI35" s="627">
        <v>3.1172999999999999E-2</v>
      </c>
      <c r="FJ35" s="627">
        <v>0</v>
      </c>
      <c r="FK35" s="627">
        <v>0</v>
      </c>
      <c r="FL35" s="627">
        <v>1744.9970000000001</v>
      </c>
      <c r="FM35" s="627">
        <v>12785427</v>
      </c>
      <c r="FN35" s="627">
        <v>0</v>
      </c>
      <c r="FO35" s="627">
        <v>0</v>
      </c>
      <c r="FP35" s="627">
        <v>0</v>
      </c>
      <c r="FQ35" s="627">
        <v>0</v>
      </c>
      <c r="FR35" s="627">
        <v>0</v>
      </c>
      <c r="FS35" s="627">
        <v>0</v>
      </c>
      <c r="FT35" s="627">
        <v>0</v>
      </c>
      <c r="FU35" s="627">
        <v>0</v>
      </c>
      <c r="FV35" s="627">
        <v>0</v>
      </c>
      <c r="FW35" s="627">
        <v>0</v>
      </c>
      <c r="FX35" s="627">
        <v>0</v>
      </c>
      <c r="FY35" s="627">
        <v>0</v>
      </c>
      <c r="FZ35" s="627">
        <v>0</v>
      </c>
      <c r="GA35" s="627">
        <v>0</v>
      </c>
      <c r="GB35" s="627">
        <v>0</v>
      </c>
      <c r="GC35" s="627">
        <v>0</v>
      </c>
      <c r="GD35" s="627">
        <v>0</v>
      </c>
      <c r="GE35" s="627">
        <v>0</v>
      </c>
      <c r="GF35" s="627">
        <v>0</v>
      </c>
      <c r="GG35" s="627">
        <v>0</v>
      </c>
      <c r="GH35" s="627">
        <v>0</v>
      </c>
      <c r="GI35" s="627">
        <v>0</v>
      </c>
      <c r="GJ35" s="627">
        <v>0</v>
      </c>
      <c r="GK35" s="627">
        <v>0</v>
      </c>
      <c r="GL35" s="627">
        <v>0</v>
      </c>
      <c r="GM35" s="627">
        <v>0</v>
      </c>
      <c r="GN35" s="627">
        <v>0</v>
      </c>
      <c r="GO35" s="627">
        <v>0</v>
      </c>
      <c r="GP35" s="627">
        <v>0</v>
      </c>
      <c r="GQ35" s="627">
        <v>0</v>
      </c>
      <c r="GR35" s="627">
        <v>12014247</v>
      </c>
      <c r="GS35" s="627">
        <v>0</v>
      </c>
      <c r="GT35" s="627">
        <v>0</v>
      </c>
      <c r="GU35" s="627">
        <v>0</v>
      </c>
      <c r="GV35" s="627">
        <v>0</v>
      </c>
      <c r="GW35" s="627">
        <v>0</v>
      </c>
      <c r="GX35" s="627">
        <v>0</v>
      </c>
      <c r="GY35" s="627">
        <v>0</v>
      </c>
      <c r="GZ35" s="627">
        <v>0</v>
      </c>
      <c r="HA35" s="627">
        <v>0</v>
      </c>
      <c r="HB35" s="627">
        <v>0</v>
      </c>
      <c r="HC35" s="627">
        <v>361151439</v>
      </c>
      <c r="HD35" s="627">
        <v>3.9981999999999997E-2</v>
      </c>
      <c r="HE35" s="627">
        <v>218879</v>
      </c>
      <c r="HF35" s="627">
        <v>0</v>
      </c>
      <c r="HG35" s="627">
        <v>1472022</v>
      </c>
      <c r="HH35" s="627">
        <v>15400</v>
      </c>
      <c r="HI35" s="627">
        <v>1185</v>
      </c>
      <c r="HJ35" s="627">
        <v>0</v>
      </c>
      <c r="HK35" s="627">
        <v>28686</v>
      </c>
      <c r="HL35" s="627">
        <v>3663</v>
      </c>
      <c r="HM35" s="627">
        <v>874</v>
      </c>
      <c r="HN35" s="627">
        <v>0</v>
      </c>
      <c r="HO35" s="627">
        <v>0</v>
      </c>
      <c r="HP35" s="627">
        <v>0</v>
      </c>
      <c r="HQ35" s="627">
        <v>0</v>
      </c>
      <c r="HR35" s="627">
        <v>0</v>
      </c>
      <c r="HS35" s="627">
        <v>0</v>
      </c>
      <c r="HT35" s="627">
        <v>10198339</v>
      </c>
      <c r="HU35" s="627">
        <v>268067</v>
      </c>
      <c r="HV35" s="627">
        <v>0</v>
      </c>
      <c r="HW35" s="627">
        <v>0</v>
      </c>
      <c r="HX35" s="627">
        <v>0</v>
      </c>
      <c r="HY35" s="627">
        <v>25</v>
      </c>
      <c r="HZ35" s="627">
        <v>27</v>
      </c>
      <c r="IA35" s="627">
        <v>8</v>
      </c>
      <c r="IB35" s="627">
        <v>7</v>
      </c>
      <c r="IC35" s="627">
        <v>0</v>
      </c>
      <c r="ID35" s="627">
        <v>67</v>
      </c>
      <c r="IE35" s="627">
        <v>0</v>
      </c>
      <c r="IF35" s="627">
        <v>0</v>
      </c>
      <c r="IG35" s="627">
        <v>0</v>
      </c>
      <c r="IH35" s="627">
        <v>25</v>
      </c>
      <c r="II35" s="627">
        <v>1.923</v>
      </c>
      <c r="IJ35" s="627">
        <v>0</v>
      </c>
      <c r="IK35" s="627">
        <v>2.0550000000000002</v>
      </c>
      <c r="IL35" s="627">
        <v>0</v>
      </c>
      <c r="IM35" s="627">
        <v>0</v>
      </c>
      <c r="IN35" s="627">
        <v>0</v>
      </c>
      <c r="IO35" s="627">
        <v>0</v>
      </c>
      <c r="IP35" s="627">
        <v>0</v>
      </c>
      <c r="IQ35" s="627">
        <v>0</v>
      </c>
      <c r="IR35" s="627">
        <v>2.0550000000000002</v>
      </c>
      <c r="IS35" s="627">
        <v>1266</v>
      </c>
      <c r="IT35" s="627">
        <v>0</v>
      </c>
      <c r="IU35" s="627">
        <v>0</v>
      </c>
      <c r="IV35" s="627">
        <v>0</v>
      </c>
      <c r="IW35" s="627">
        <v>0</v>
      </c>
      <c r="IX35" s="627">
        <v>6160</v>
      </c>
      <c r="IY35" s="627">
        <v>0</v>
      </c>
      <c r="IZ35" s="627">
        <v>0</v>
      </c>
      <c r="JA35" s="627">
        <v>0</v>
      </c>
      <c r="JB35" s="627">
        <v>0</v>
      </c>
      <c r="JC35" s="627">
        <v>0</v>
      </c>
      <c r="JD35" s="627">
        <v>0</v>
      </c>
      <c r="JE35" s="627">
        <v>0</v>
      </c>
      <c r="JF35" s="627">
        <v>0</v>
      </c>
      <c r="JG35" s="627">
        <v>0</v>
      </c>
      <c r="JH35" s="627">
        <v>0</v>
      </c>
      <c r="JI35" s="627">
        <v>0</v>
      </c>
      <c r="JJ35" s="627">
        <v>0</v>
      </c>
      <c r="JK35" s="627">
        <v>0</v>
      </c>
      <c r="JL35" s="627">
        <v>0</v>
      </c>
      <c r="JM35" s="627">
        <v>0</v>
      </c>
      <c r="JN35" s="627">
        <v>0</v>
      </c>
      <c r="JO35" s="627">
        <v>32469</v>
      </c>
      <c r="JP35" s="627">
        <v>0</v>
      </c>
      <c r="JQ35" s="627">
        <v>0</v>
      </c>
      <c r="JR35" s="627">
        <v>0</v>
      </c>
      <c r="JS35" s="627">
        <v>0</v>
      </c>
      <c r="JT35" s="627">
        <v>0</v>
      </c>
      <c r="JU35" s="627">
        <v>0</v>
      </c>
      <c r="JV35" s="627">
        <v>2587</v>
      </c>
      <c r="JW35" s="627">
        <v>0</v>
      </c>
      <c r="JX35" s="627">
        <v>0</v>
      </c>
      <c r="JY35" s="627">
        <v>0</v>
      </c>
      <c r="JZ35" s="627">
        <v>0</v>
      </c>
      <c r="KA35" s="627">
        <v>0</v>
      </c>
      <c r="KB35" s="627">
        <v>0</v>
      </c>
      <c r="KC35" s="627">
        <v>0</v>
      </c>
      <c r="KD35" s="627">
        <v>0</v>
      </c>
      <c r="KE35" s="627">
        <v>2587</v>
      </c>
      <c r="KF35" s="627">
        <v>7262</v>
      </c>
      <c r="KG35" s="627">
        <v>0</v>
      </c>
      <c r="KH35" s="627">
        <v>0</v>
      </c>
      <c r="KI35" s="627">
        <v>12014247</v>
      </c>
      <c r="KJ35" s="627">
        <v>0</v>
      </c>
      <c r="KK35" s="627">
        <v>6</v>
      </c>
      <c r="KL35" s="627">
        <v>19</v>
      </c>
      <c r="KM35" s="627">
        <v>3696</v>
      </c>
      <c r="KN35" s="627">
        <v>11704</v>
      </c>
      <c r="KO35" s="627">
        <v>0</v>
      </c>
      <c r="KP35" s="627">
        <v>0</v>
      </c>
      <c r="KQ35" s="627">
        <v>12014247</v>
      </c>
      <c r="KR35" s="627">
        <v>0</v>
      </c>
      <c r="KS35" s="627">
        <v>0</v>
      </c>
      <c r="KT35" s="627">
        <v>0</v>
      </c>
      <c r="KU35" s="627">
        <v>0</v>
      </c>
      <c r="KV35" s="627">
        <v>0</v>
      </c>
      <c r="KW35" s="627">
        <v>0</v>
      </c>
      <c r="KX35" s="627">
        <v>0</v>
      </c>
      <c r="KY35" s="627">
        <v>0</v>
      </c>
      <c r="KZ35" s="627">
        <v>0</v>
      </c>
      <c r="LA35" s="627">
        <v>0</v>
      </c>
      <c r="LB35" s="627">
        <v>0</v>
      </c>
      <c r="LC35" s="627">
        <v>0</v>
      </c>
      <c r="LD35" s="627">
        <v>0</v>
      </c>
      <c r="LE35" s="627">
        <v>0</v>
      </c>
      <c r="LF35" s="627">
        <v>0</v>
      </c>
    </row>
    <row r="36" spans="1:318" x14ac:dyDescent="0.25">
      <c r="A36" s="627">
        <v>42602</v>
      </c>
      <c r="B36" s="627">
        <v>72802</v>
      </c>
      <c r="D36" s="627">
        <v>9</v>
      </c>
      <c r="E36" s="627">
        <v>2024</v>
      </c>
      <c r="F36" s="627">
        <v>6160</v>
      </c>
      <c r="G36" s="627">
        <v>0</v>
      </c>
      <c r="H36" s="627">
        <v>99</v>
      </c>
      <c r="I36" s="627">
        <v>81.884</v>
      </c>
      <c r="J36" s="627">
        <v>81.884</v>
      </c>
      <c r="K36" s="627">
        <v>99</v>
      </c>
      <c r="L36" s="627">
        <v>0</v>
      </c>
      <c r="M36" s="627">
        <v>6160</v>
      </c>
      <c r="N36" s="627">
        <v>0</v>
      </c>
      <c r="O36" s="627">
        <v>0</v>
      </c>
      <c r="P36" s="627">
        <v>0</v>
      </c>
      <c r="Q36" s="627">
        <v>96.8</v>
      </c>
      <c r="R36" s="627">
        <v>0</v>
      </c>
      <c r="S36" s="627">
        <v>40161</v>
      </c>
      <c r="T36" s="627">
        <v>414.88400000000001</v>
      </c>
      <c r="U36" s="627">
        <v>0</v>
      </c>
      <c r="V36" s="627">
        <v>20842</v>
      </c>
      <c r="W36" s="627">
        <v>3.0500000000000003</v>
      </c>
      <c r="X36" s="627">
        <v>1879</v>
      </c>
      <c r="Y36" s="627">
        <v>1879</v>
      </c>
      <c r="Z36" s="627">
        <v>0</v>
      </c>
      <c r="AA36" s="627">
        <v>0</v>
      </c>
      <c r="AB36" s="627">
        <v>0</v>
      </c>
      <c r="AC36" s="627">
        <v>0</v>
      </c>
      <c r="AD36" s="627">
        <v>0</v>
      </c>
      <c r="AE36" s="627" t="s">
        <v>314</v>
      </c>
      <c r="AF36" s="627">
        <v>0</v>
      </c>
      <c r="AG36" s="627">
        <v>0</v>
      </c>
      <c r="AH36" s="627">
        <v>0</v>
      </c>
      <c r="AI36" s="627">
        <v>0</v>
      </c>
      <c r="AJ36" s="627">
        <v>0</v>
      </c>
      <c r="AK36" s="627">
        <v>6160</v>
      </c>
      <c r="AL36" s="627" t="s">
        <v>651</v>
      </c>
      <c r="AM36" s="627" t="s">
        <v>340</v>
      </c>
      <c r="AN36" s="627">
        <v>0</v>
      </c>
      <c r="AO36" s="627">
        <v>0</v>
      </c>
      <c r="AP36" s="627">
        <v>0</v>
      </c>
      <c r="AQ36" s="627">
        <v>0</v>
      </c>
      <c r="AR36" s="627">
        <v>0</v>
      </c>
      <c r="AS36" s="627">
        <v>0</v>
      </c>
      <c r="AT36" s="627">
        <v>0</v>
      </c>
      <c r="AU36" s="627">
        <v>0</v>
      </c>
      <c r="AV36" s="627">
        <v>0</v>
      </c>
      <c r="AW36" s="627">
        <v>0</v>
      </c>
      <c r="AX36" s="627">
        <v>1253510</v>
      </c>
      <c r="AY36" s="627">
        <v>1238368</v>
      </c>
      <c r="AZ36" s="627">
        <v>649044</v>
      </c>
      <c r="BA36" s="627">
        <v>40161</v>
      </c>
      <c r="BB36" s="627">
        <v>5</v>
      </c>
      <c r="BC36" s="627">
        <v>0</v>
      </c>
      <c r="BD36" s="627">
        <v>0</v>
      </c>
      <c r="BE36" s="627">
        <v>0</v>
      </c>
      <c r="BF36" s="627">
        <v>0</v>
      </c>
      <c r="BG36" s="627">
        <v>1078579</v>
      </c>
      <c r="BH36" s="627">
        <v>0</v>
      </c>
      <c r="BI36" s="627">
        <v>0</v>
      </c>
      <c r="BJ36" s="627">
        <v>0</v>
      </c>
      <c r="BK36" s="627">
        <v>12</v>
      </c>
      <c r="BL36" s="627">
        <v>0</v>
      </c>
      <c r="BM36" s="627">
        <v>0</v>
      </c>
      <c r="BN36" s="627">
        <v>0</v>
      </c>
      <c r="BO36" s="627">
        <v>0</v>
      </c>
      <c r="BP36" s="627">
        <v>0</v>
      </c>
      <c r="BQ36" s="627">
        <v>0</v>
      </c>
      <c r="BR36" s="627">
        <v>757</v>
      </c>
      <c r="BS36" s="627">
        <v>0</v>
      </c>
      <c r="BT36" s="627">
        <v>0</v>
      </c>
      <c r="BU36" s="627">
        <v>0</v>
      </c>
      <c r="BV36" s="627">
        <v>0</v>
      </c>
      <c r="BW36" s="627">
        <v>0</v>
      </c>
      <c r="BX36" s="627">
        <v>0</v>
      </c>
      <c r="BY36" s="627">
        <v>0</v>
      </c>
      <c r="BZ36" s="627">
        <v>0</v>
      </c>
      <c r="CA36" s="627">
        <v>0</v>
      </c>
      <c r="CB36" s="627">
        <v>0</v>
      </c>
      <c r="CC36" s="627">
        <v>0</v>
      </c>
      <c r="CD36" s="627">
        <v>0</v>
      </c>
      <c r="CE36" s="627">
        <v>0</v>
      </c>
      <c r="CF36" s="627">
        <v>0</v>
      </c>
      <c r="CG36" s="627">
        <v>0</v>
      </c>
      <c r="CH36" s="627">
        <v>0</v>
      </c>
      <c r="CI36" s="627">
        <v>15833</v>
      </c>
      <c r="CJ36" s="627">
        <v>0</v>
      </c>
      <c r="CK36" s="627">
        <v>4</v>
      </c>
      <c r="CL36" s="627">
        <v>0</v>
      </c>
      <c r="CM36" s="627">
        <v>0</v>
      </c>
      <c r="CN36" s="627">
        <v>0</v>
      </c>
      <c r="CO36" s="627">
        <v>0</v>
      </c>
      <c r="CP36" s="627">
        <v>1</v>
      </c>
      <c r="CQ36" s="627">
        <v>4.7E-2</v>
      </c>
      <c r="CR36" s="627">
        <v>0</v>
      </c>
      <c r="CS36" s="627">
        <v>97.25</v>
      </c>
      <c r="CT36" s="627">
        <v>0</v>
      </c>
      <c r="CU36" s="627">
        <v>0</v>
      </c>
      <c r="CV36" s="627">
        <v>0</v>
      </c>
      <c r="CW36" s="627">
        <v>0</v>
      </c>
      <c r="CX36" s="627">
        <v>0</v>
      </c>
      <c r="CY36" s="627">
        <v>0</v>
      </c>
      <c r="CZ36" s="627">
        <v>0</v>
      </c>
      <c r="DA36" s="627">
        <v>0</v>
      </c>
      <c r="DB36" s="627">
        <v>0</v>
      </c>
      <c r="DC36" s="627">
        <v>504405</v>
      </c>
      <c r="DD36" s="627">
        <v>0</v>
      </c>
      <c r="DE36" s="627">
        <v>0</v>
      </c>
      <c r="DF36" s="627">
        <v>154924</v>
      </c>
      <c r="DG36" s="627">
        <v>155622</v>
      </c>
      <c r="DH36" s="627">
        <v>25.150000000000002</v>
      </c>
      <c r="DI36" s="627">
        <v>0</v>
      </c>
      <c r="DJ36" s="627">
        <v>698</v>
      </c>
      <c r="DK36" s="627">
        <v>0</v>
      </c>
      <c r="DL36" s="627">
        <v>3741</v>
      </c>
      <c r="DM36" s="627">
        <v>0</v>
      </c>
      <c r="DN36" s="627">
        <v>202817</v>
      </c>
      <c r="DO36" s="627">
        <v>691</v>
      </c>
      <c r="DP36" s="627">
        <v>0</v>
      </c>
      <c r="DQ36" s="627">
        <v>0</v>
      </c>
      <c r="DR36" s="627">
        <v>0</v>
      </c>
      <c r="DS36" s="627">
        <v>0</v>
      </c>
      <c r="DT36" s="627">
        <v>0</v>
      </c>
      <c r="DU36" s="627">
        <v>0</v>
      </c>
      <c r="DV36" s="627">
        <v>0</v>
      </c>
      <c r="DW36" s="627">
        <v>0</v>
      </c>
      <c r="DX36" s="627">
        <v>0</v>
      </c>
      <c r="DY36" s="627">
        <v>0</v>
      </c>
      <c r="DZ36" s="627">
        <v>0</v>
      </c>
      <c r="EA36" s="627">
        <v>0</v>
      </c>
      <c r="EB36" s="627">
        <v>0</v>
      </c>
      <c r="EC36" s="627">
        <v>0</v>
      </c>
      <c r="ED36" s="627">
        <v>3.1</v>
      </c>
      <c r="EE36" s="627">
        <v>21960</v>
      </c>
      <c r="EF36" s="627">
        <v>0</v>
      </c>
      <c r="EG36" s="627">
        <v>0</v>
      </c>
      <c r="EH36" s="627">
        <v>0</v>
      </c>
      <c r="EI36" s="627">
        <v>31170</v>
      </c>
      <c r="EJ36" s="627">
        <v>150378</v>
      </c>
      <c r="EK36" s="627">
        <v>6.1030000000000006</v>
      </c>
      <c r="EL36" s="627">
        <v>1.5850000000000002</v>
      </c>
      <c r="EM36" s="627">
        <v>0</v>
      </c>
      <c r="EN36" s="627">
        <v>0</v>
      </c>
      <c r="EO36" s="627">
        <v>6.1000000000000006E-2</v>
      </c>
      <c r="EP36" s="627">
        <v>0</v>
      </c>
      <c r="EQ36" s="627">
        <v>0</v>
      </c>
      <c r="ER36" s="627">
        <v>7.7490000000000006</v>
      </c>
      <c r="ES36" s="627">
        <v>0</v>
      </c>
      <c r="ET36" s="627">
        <v>5.0600000000000005</v>
      </c>
      <c r="EU36" s="627">
        <v>0</v>
      </c>
      <c r="EV36" s="627">
        <v>0</v>
      </c>
      <c r="EW36" s="627">
        <v>0</v>
      </c>
      <c r="EX36" s="627">
        <v>0</v>
      </c>
      <c r="EY36" s="627">
        <v>0</v>
      </c>
      <c r="EZ36" s="627">
        <v>0</v>
      </c>
      <c r="FA36" s="627">
        <v>1056159</v>
      </c>
      <c r="FB36" s="627">
        <v>0</v>
      </c>
      <c r="FC36" s="627">
        <v>1095629</v>
      </c>
      <c r="FD36" s="627">
        <v>0</v>
      </c>
      <c r="FE36" s="627">
        <v>0</v>
      </c>
      <c r="FF36" s="627">
        <v>155311</v>
      </c>
      <c r="FG36" s="627">
        <v>26898</v>
      </c>
      <c r="FH36" s="627">
        <v>7.0280999999999996E-2</v>
      </c>
      <c r="FI36" s="627">
        <v>3.1172999999999999E-2</v>
      </c>
      <c r="FJ36" s="627">
        <v>0</v>
      </c>
      <c r="FK36" s="627">
        <v>0</v>
      </c>
      <c r="FL36" s="627">
        <v>175.09400000000002</v>
      </c>
      <c r="FM36" s="627">
        <v>1293671</v>
      </c>
      <c r="FN36" s="627">
        <v>0</v>
      </c>
      <c r="FO36" s="627">
        <v>0</v>
      </c>
      <c r="FP36" s="627">
        <v>0</v>
      </c>
      <c r="FQ36" s="627">
        <v>0</v>
      </c>
      <c r="FR36" s="627">
        <v>0</v>
      </c>
      <c r="FS36" s="627">
        <v>0</v>
      </c>
      <c r="FT36" s="627">
        <v>0</v>
      </c>
      <c r="FU36" s="627">
        <v>0</v>
      </c>
      <c r="FV36" s="627">
        <v>0</v>
      </c>
      <c r="FW36" s="627">
        <v>0</v>
      </c>
      <c r="FX36" s="627">
        <v>0</v>
      </c>
      <c r="FY36" s="627">
        <v>0</v>
      </c>
      <c r="FZ36" s="627">
        <v>0</v>
      </c>
      <c r="GA36" s="627">
        <v>0</v>
      </c>
      <c r="GB36" s="627">
        <v>0</v>
      </c>
      <c r="GC36" s="627">
        <v>88243</v>
      </c>
      <c r="GD36" s="627">
        <v>88243</v>
      </c>
      <c r="GE36" s="627">
        <v>9.3670000000000009</v>
      </c>
      <c r="GF36" s="627">
        <v>0</v>
      </c>
      <c r="GG36" s="627">
        <v>0</v>
      </c>
      <c r="GH36" s="627">
        <v>0</v>
      </c>
      <c r="GI36" s="627">
        <v>0</v>
      </c>
      <c r="GJ36" s="627">
        <v>0</v>
      </c>
      <c r="GK36" s="627">
        <v>0</v>
      </c>
      <c r="GL36" s="627">
        <v>0</v>
      </c>
      <c r="GM36" s="627">
        <v>0</v>
      </c>
      <c r="GN36" s="627">
        <v>0</v>
      </c>
      <c r="GO36" s="627">
        <v>0</v>
      </c>
      <c r="GP36" s="627">
        <v>0</v>
      </c>
      <c r="GQ36" s="627">
        <v>0</v>
      </c>
      <c r="GR36" s="627">
        <v>1237677</v>
      </c>
      <c r="GS36" s="627">
        <v>0</v>
      </c>
      <c r="GT36" s="627">
        <v>0</v>
      </c>
      <c r="GU36" s="627">
        <v>0</v>
      </c>
      <c r="GV36" s="627">
        <v>0</v>
      </c>
      <c r="GW36" s="627">
        <v>0</v>
      </c>
      <c r="GX36" s="627">
        <v>0</v>
      </c>
      <c r="GY36" s="627">
        <v>0</v>
      </c>
      <c r="GZ36" s="627">
        <v>0</v>
      </c>
      <c r="HA36" s="627">
        <v>0</v>
      </c>
      <c r="HB36" s="627">
        <v>0</v>
      </c>
      <c r="HC36" s="627">
        <v>361151439</v>
      </c>
      <c r="HD36" s="627">
        <v>3.9981999999999997E-2</v>
      </c>
      <c r="HE36" s="627">
        <v>15833</v>
      </c>
      <c r="HF36" s="627">
        <v>0</v>
      </c>
      <c r="HG36" s="627">
        <v>90236</v>
      </c>
      <c r="HH36" s="627">
        <v>3696</v>
      </c>
      <c r="HI36" s="627">
        <v>0</v>
      </c>
      <c r="HJ36" s="627">
        <v>0</v>
      </c>
      <c r="HK36" s="627">
        <v>30990</v>
      </c>
      <c r="HL36" s="627">
        <v>1166</v>
      </c>
      <c r="HM36" s="627">
        <v>1408</v>
      </c>
      <c r="HN36" s="627">
        <v>0</v>
      </c>
      <c r="HO36" s="627">
        <v>0</v>
      </c>
      <c r="HP36" s="627">
        <v>0</v>
      </c>
      <c r="HQ36" s="627">
        <v>12761</v>
      </c>
      <c r="HR36" s="627">
        <v>0</v>
      </c>
      <c r="HS36" s="627">
        <v>0</v>
      </c>
      <c r="HT36" s="627">
        <v>1055468</v>
      </c>
      <c r="HU36" s="627">
        <v>26898</v>
      </c>
      <c r="HV36" s="627">
        <v>0</v>
      </c>
      <c r="HW36" s="627">
        <v>0</v>
      </c>
      <c r="HX36" s="627">
        <v>0</v>
      </c>
      <c r="HY36" s="627">
        <v>7</v>
      </c>
      <c r="HZ36" s="627">
        <v>5</v>
      </c>
      <c r="IA36" s="627">
        <v>11</v>
      </c>
      <c r="IB36" s="627">
        <v>13</v>
      </c>
      <c r="IC36" s="627">
        <v>59</v>
      </c>
      <c r="ID36" s="627">
        <v>95</v>
      </c>
      <c r="IE36" s="627">
        <v>0</v>
      </c>
      <c r="IF36" s="627">
        <v>0</v>
      </c>
      <c r="IG36" s="627">
        <v>0</v>
      </c>
      <c r="IH36" s="627">
        <v>6</v>
      </c>
      <c r="II36" s="627">
        <v>0</v>
      </c>
      <c r="IJ36" s="627">
        <v>46.402999999999999</v>
      </c>
      <c r="IK36" s="627">
        <v>3.0500000000000003</v>
      </c>
      <c r="IL36" s="627">
        <v>8.75</v>
      </c>
      <c r="IM36" s="627">
        <v>0</v>
      </c>
      <c r="IN36" s="627">
        <v>0</v>
      </c>
      <c r="IO36" s="627">
        <v>0</v>
      </c>
      <c r="IP36" s="627">
        <v>0</v>
      </c>
      <c r="IQ36" s="627">
        <v>55.153000000000006</v>
      </c>
      <c r="IR36" s="627">
        <v>3.0500000000000003</v>
      </c>
      <c r="IS36" s="627">
        <v>1879</v>
      </c>
      <c r="IT36" s="627">
        <v>2406</v>
      </c>
      <c r="IU36" s="627">
        <v>0</v>
      </c>
      <c r="IV36" s="627">
        <v>0</v>
      </c>
      <c r="IW36" s="627">
        <v>0</v>
      </c>
      <c r="IX36" s="627">
        <v>6160</v>
      </c>
      <c r="IY36" s="627">
        <v>0</v>
      </c>
      <c r="IZ36" s="627">
        <v>0</v>
      </c>
      <c r="JA36" s="627">
        <v>15167</v>
      </c>
      <c r="JB36" s="627">
        <v>0</v>
      </c>
      <c r="JC36" s="627">
        <v>0</v>
      </c>
      <c r="JD36" s="627">
        <v>0</v>
      </c>
      <c r="JE36" s="627">
        <v>0</v>
      </c>
      <c r="JF36" s="627">
        <v>0</v>
      </c>
      <c r="JG36" s="627">
        <v>0</v>
      </c>
      <c r="JH36" s="627">
        <v>0</v>
      </c>
      <c r="JI36" s="627">
        <v>0</v>
      </c>
      <c r="JJ36" s="627">
        <v>0</v>
      </c>
      <c r="JK36" s="627">
        <v>0</v>
      </c>
      <c r="JL36" s="627">
        <v>0</v>
      </c>
      <c r="JM36" s="627">
        <v>0</v>
      </c>
      <c r="JN36" s="627">
        <v>0</v>
      </c>
      <c r="JO36" s="627">
        <v>32469</v>
      </c>
      <c r="JP36" s="627">
        <v>0</v>
      </c>
      <c r="JQ36" s="627">
        <v>8.5170000000000012</v>
      </c>
      <c r="JR36" s="627">
        <v>0.85</v>
      </c>
      <c r="JS36" s="627">
        <v>0</v>
      </c>
      <c r="JT36" s="627">
        <v>79169</v>
      </c>
      <c r="JU36" s="627">
        <v>9074</v>
      </c>
      <c r="JV36" s="627">
        <v>0</v>
      </c>
      <c r="JW36" s="627">
        <v>0</v>
      </c>
      <c r="JX36" s="627">
        <v>0</v>
      </c>
      <c r="JY36" s="627">
        <v>0</v>
      </c>
      <c r="JZ36" s="627">
        <v>0</v>
      </c>
      <c r="KA36" s="627">
        <v>0</v>
      </c>
      <c r="KB36" s="627">
        <v>0</v>
      </c>
      <c r="KC36" s="627">
        <v>0</v>
      </c>
      <c r="KD36" s="627">
        <v>0</v>
      </c>
      <c r="KE36" s="627">
        <v>0</v>
      </c>
      <c r="KF36" s="627">
        <v>7262</v>
      </c>
      <c r="KG36" s="627">
        <v>0</v>
      </c>
      <c r="KH36" s="627">
        <v>0</v>
      </c>
      <c r="KI36" s="627">
        <v>1237677</v>
      </c>
      <c r="KJ36" s="627">
        <v>0</v>
      </c>
      <c r="KK36" s="627">
        <v>1</v>
      </c>
      <c r="KL36" s="627">
        <v>5</v>
      </c>
      <c r="KM36" s="627">
        <v>616</v>
      </c>
      <c r="KN36" s="627">
        <v>3080</v>
      </c>
      <c r="KO36" s="627">
        <v>0</v>
      </c>
      <c r="KP36" s="627">
        <v>0</v>
      </c>
      <c r="KQ36" s="627">
        <v>1237677</v>
      </c>
      <c r="KR36" s="627">
        <v>0</v>
      </c>
      <c r="KS36" s="627">
        <v>0</v>
      </c>
      <c r="KT36" s="627">
        <v>0</v>
      </c>
      <c r="KU36" s="627">
        <v>0</v>
      </c>
      <c r="KV36" s="627">
        <v>0</v>
      </c>
      <c r="KW36" s="627">
        <v>0</v>
      </c>
      <c r="KX36" s="627">
        <v>0</v>
      </c>
      <c r="KY36" s="627">
        <v>0</v>
      </c>
      <c r="KZ36" s="627">
        <v>0</v>
      </c>
      <c r="LA36" s="627">
        <v>0</v>
      </c>
      <c r="LB36" s="627">
        <v>0</v>
      </c>
      <c r="LC36" s="627">
        <v>0</v>
      </c>
      <c r="LD36" s="627">
        <v>0</v>
      </c>
      <c r="LE36" s="627">
        <v>0</v>
      </c>
      <c r="LF36" s="627">
        <v>0</v>
      </c>
    </row>
    <row r="37" spans="1:318" x14ac:dyDescent="0.25">
      <c r="A37" s="627">
        <v>42602</v>
      </c>
      <c r="B37" s="627">
        <v>84802</v>
      </c>
      <c r="D37" s="627">
        <v>9</v>
      </c>
      <c r="E37" s="627">
        <v>2024</v>
      </c>
      <c r="F37" s="627">
        <v>6160</v>
      </c>
      <c r="G37" s="627">
        <v>0</v>
      </c>
      <c r="H37" s="627">
        <v>1324.08</v>
      </c>
      <c r="I37" s="627">
        <v>1213.875</v>
      </c>
      <c r="J37" s="627">
        <v>1213.875</v>
      </c>
      <c r="K37" s="627">
        <v>1324.08</v>
      </c>
      <c r="L37" s="627">
        <v>0</v>
      </c>
      <c r="M37" s="627">
        <v>6160</v>
      </c>
      <c r="N37" s="627">
        <v>0</v>
      </c>
      <c r="O37" s="627">
        <v>0</v>
      </c>
      <c r="P37" s="627">
        <v>0</v>
      </c>
      <c r="Q37" s="627">
        <v>1338.3970000000002</v>
      </c>
      <c r="R37" s="627">
        <v>0</v>
      </c>
      <c r="S37" s="627">
        <v>555280</v>
      </c>
      <c r="T37" s="627">
        <v>414.88400000000001</v>
      </c>
      <c r="U37" s="627">
        <v>0</v>
      </c>
      <c r="V37" s="627">
        <v>288169</v>
      </c>
      <c r="W37" s="627">
        <v>280.68700000000001</v>
      </c>
      <c r="X37" s="627">
        <v>172903</v>
      </c>
      <c r="Y37" s="627">
        <v>172903</v>
      </c>
      <c r="Z37" s="627">
        <v>0</v>
      </c>
      <c r="AA37" s="627">
        <v>0</v>
      </c>
      <c r="AB37" s="627">
        <v>0</v>
      </c>
      <c r="AC37" s="627">
        <v>0</v>
      </c>
      <c r="AD37" s="627">
        <v>0</v>
      </c>
      <c r="AE37" s="627" t="s">
        <v>314</v>
      </c>
      <c r="AF37" s="627">
        <v>0</v>
      </c>
      <c r="AG37" s="627">
        <v>0</v>
      </c>
      <c r="AH37" s="627">
        <v>0</v>
      </c>
      <c r="AI37" s="627">
        <v>0</v>
      </c>
      <c r="AJ37" s="627">
        <v>0</v>
      </c>
      <c r="AK37" s="627">
        <v>6160</v>
      </c>
      <c r="AL37" s="627" t="s">
        <v>651</v>
      </c>
      <c r="AM37" s="627" t="s">
        <v>341</v>
      </c>
      <c r="AN37" s="627">
        <v>0</v>
      </c>
      <c r="AO37" s="627">
        <v>0</v>
      </c>
      <c r="AP37" s="627">
        <v>0</v>
      </c>
      <c r="AQ37" s="627">
        <v>0</v>
      </c>
      <c r="AR37" s="627">
        <v>0</v>
      </c>
      <c r="AS37" s="627">
        <v>0</v>
      </c>
      <c r="AT37" s="627">
        <v>0</v>
      </c>
      <c r="AU37" s="627">
        <v>0</v>
      </c>
      <c r="AV37" s="627">
        <v>0</v>
      </c>
      <c r="AW37" s="627">
        <v>0</v>
      </c>
      <c r="AX37" s="627">
        <v>15550598</v>
      </c>
      <c r="AY37" s="627">
        <v>15343715</v>
      </c>
      <c r="AZ37" s="627">
        <v>7767609</v>
      </c>
      <c r="BA37" s="627">
        <v>555280</v>
      </c>
      <c r="BB37" s="627">
        <v>24.583000000000002</v>
      </c>
      <c r="BC37" s="627">
        <v>28120</v>
      </c>
      <c r="BD37" s="627">
        <v>27940</v>
      </c>
      <c r="BE37" s="627">
        <v>66</v>
      </c>
      <c r="BF37" s="627">
        <v>179</v>
      </c>
      <c r="BG37" s="627">
        <v>13598357</v>
      </c>
      <c r="BH37" s="627">
        <v>0</v>
      </c>
      <c r="BI37" s="627">
        <v>0</v>
      </c>
      <c r="BJ37" s="627">
        <v>0</v>
      </c>
      <c r="BK37" s="627">
        <v>12</v>
      </c>
      <c r="BL37" s="627">
        <v>0</v>
      </c>
      <c r="BM37" s="627">
        <v>0</v>
      </c>
      <c r="BN37" s="627">
        <v>0</v>
      </c>
      <c r="BO37" s="627">
        <v>0</v>
      </c>
      <c r="BP37" s="627">
        <v>0</v>
      </c>
      <c r="BQ37" s="627">
        <v>0</v>
      </c>
      <c r="BR37" s="627">
        <v>583</v>
      </c>
      <c r="BS37" s="627">
        <v>0</v>
      </c>
      <c r="BT37" s="627">
        <v>0</v>
      </c>
      <c r="BU37" s="627">
        <v>0</v>
      </c>
      <c r="BV37" s="627">
        <v>0</v>
      </c>
      <c r="BW37" s="627">
        <v>0</v>
      </c>
      <c r="BX37" s="627">
        <v>0</v>
      </c>
      <c r="BY37" s="627">
        <v>0</v>
      </c>
      <c r="BZ37" s="627">
        <v>0</v>
      </c>
      <c r="CA37" s="627">
        <v>0</v>
      </c>
      <c r="CB37" s="627">
        <v>0</v>
      </c>
      <c r="CC37" s="627">
        <v>0</v>
      </c>
      <c r="CD37" s="627">
        <v>0</v>
      </c>
      <c r="CE37" s="627">
        <v>0</v>
      </c>
      <c r="CF37" s="627">
        <v>0</v>
      </c>
      <c r="CG37" s="627">
        <v>0</v>
      </c>
      <c r="CH37" s="627">
        <v>0</v>
      </c>
      <c r="CI37" s="627">
        <v>211758</v>
      </c>
      <c r="CJ37" s="627">
        <v>0</v>
      </c>
      <c r="CK37" s="627">
        <v>4</v>
      </c>
      <c r="CL37" s="627">
        <v>0</v>
      </c>
      <c r="CM37" s="627">
        <v>0</v>
      </c>
      <c r="CN37" s="627">
        <v>0</v>
      </c>
      <c r="CO37" s="627">
        <v>0</v>
      </c>
      <c r="CP37" s="627">
        <v>1</v>
      </c>
      <c r="CQ37" s="627">
        <v>0</v>
      </c>
      <c r="CR37" s="627">
        <v>1</v>
      </c>
      <c r="CS37" s="627">
        <v>1334.68</v>
      </c>
      <c r="CT37" s="627">
        <v>0</v>
      </c>
      <c r="CU37" s="627">
        <v>0</v>
      </c>
      <c r="CV37" s="627">
        <v>0</v>
      </c>
      <c r="CW37" s="627">
        <v>0</v>
      </c>
      <c r="CX37" s="627">
        <v>0</v>
      </c>
      <c r="CY37" s="627">
        <v>0</v>
      </c>
      <c r="CZ37" s="627">
        <v>0</v>
      </c>
      <c r="DA37" s="627">
        <v>0</v>
      </c>
      <c r="DB37" s="627">
        <v>0</v>
      </c>
      <c r="DC37" s="627">
        <v>7477470</v>
      </c>
      <c r="DD37" s="627">
        <v>0</v>
      </c>
      <c r="DE37" s="627">
        <v>0</v>
      </c>
      <c r="DF37" s="627">
        <v>1977899</v>
      </c>
      <c r="DG37" s="627">
        <v>1977899</v>
      </c>
      <c r="DH37" s="627">
        <v>321.08800000000002</v>
      </c>
      <c r="DI37" s="627">
        <v>0</v>
      </c>
      <c r="DJ37" s="627">
        <v>0</v>
      </c>
      <c r="DK37" s="627">
        <v>0</v>
      </c>
      <c r="DL37" s="627">
        <v>951</v>
      </c>
      <c r="DM37" s="627">
        <v>0</v>
      </c>
      <c r="DN37" s="627">
        <v>1377567</v>
      </c>
      <c r="DO37" s="627">
        <v>4695</v>
      </c>
      <c r="DP37" s="627">
        <v>0</v>
      </c>
      <c r="DQ37" s="627">
        <v>0</v>
      </c>
      <c r="DR37" s="627">
        <v>0</v>
      </c>
      <c r="DS37" s="627">
        <v>0</v>
      </c>
      <c r="DT37" s="627">
        <v>0</v>
      </c>
      <c r="DU37" s="627">
        <v>0</v>
      </c>
      <c r="DV37" s="627">
        <v>0</v>
      </c>
      <c r="DW37" s="627">
        <v>0</v>
      </c>
      <c r="DX37" s="627">
        <v>0</v>
      </c>
      <c r="DY37" s="627">
        <v>0</v>
      </c>
      <c r="DZ37" s="627">
        <v>0</v>
      </c>
      <c r="EA37" s="627">
        <v>0</v>
      </c>
      <c r="EB37" s="627">
        <v>0</v>
      </c>
      <c r="EC37" s="627">
        <v>0</v>
      </c>
      <c r="ED37" s="627">
        <v>44.947000000000003</v>
      </c>
      <c r="EE37" s="627">
        <v>318405</v>
      </c>
      <c r="EF37" s="627">
        <v>0</v>
      </c>
      <c r="EG37" s="627">
        <v>0</v>
      </c>
      <c r="EH37" s="627">
        <v>0</v>
      </c>
      <c r="EI37" s="627">
        <v>1063857</v>
      </c>
      <c r="EJ37" s="627">
        <v>0</v>
      </c>
      <c r="EK37" s="627">
        <v>0</v>
      </c>
      <c r="EL37" s="627">
        <v>54.264000000000003</v>
      </c>
      <c r="EM37" s="627">
        <v>0</v>
      </c>
      <c r="EN37" s="627">
        <v>0.13400000000000001</v>
      </c>
      <c r="EO37" s="627">
        <v>1.9020000000000001</v>
      </c>
      <c r="EP37" s="627">
        <v>0</v>
      </c>
      <c r="EQ37" s="627">
        <v>0</v>
      </c>
      <c r="ER37" s="627">
        <v>56.300000000000004</v>
      </c>
      <c r="ES37" s="627">
        <v>0</v>
      </c>
      <c r="ET37" s="627">
        <v>172.70400000000001</v>
      </c>
      <c r="EU37" s="627">
        <v>0</v>
      </c>
      <c r="EV37" s="627">
        <v>0</v>
      </c>
      <c r="EW37" s="627">
        <v>0</v>
      </c>
      <c r="EX37" s="627">
        <v>0</v>
      </c>
      <c r="EY37" s="627">
        <v>0</v>
      </c>
      <c r="EZ37" s="627">
        <v>0</v>
      </c>
      <c r="FA37" s="627">
        <v>13046483</v>
      </c>
      <c r="FB37" s="627">
        <v>0</v>
      </c>
      <c r="FC37" s="627">
        <v>13596888</v>
      </c>
      <c r="FD37" s="627">
        <v>0</v>
      </c>
      <c r="FE37" s="627">
        <v>0</v>
      </c>
      <c r="FF37" s="627">
        <v>1958111</v>
      </c>
      <c r="FG37" s="627">
        <v>339121</v>
      </c>
      <c r="FH37" s="627">
        <v>7.0280999999999996E-2</v>
      </c>
      <c r="FI37" s="627">
        <v>3.1172999999999999E-2</v>
      </c>
      <c r="FJ37" s="627">
        <v>0</v>
      </c>
      <c r="FK37" s="627">
        <v>0</v>
      </c>
      <c r="FL37" s="627">
        <v>2207.5250000000001</v>
      </c>
      <c r="FM37" s="627">
        <v>16105878</v>
      </c>
      <c r="FN37" s="627">
        <v>0</v>
      </c>
      <c r="FO37" s="627">
        <v>0</v>
      </c>
      <c r="FP37" s="627">
        <v>0</v>
      </c>
      <c r="FQ37" s="627">
        <v>0</v>
      </c>
      <c r="FR37" s="627">
        <v>0</v>
      </c>
      <c r="FS37" s="627">
        <v>0</v>
      </c>
      <c r="FT37" s="627">
        <v>0</v>
      </c>
      <c r="FU37" s="627">
        <v>0</v>
      </c>
      <c r="FV37" s="627">
        <v>1</v>
      </c>
      <c r="FW37" s="627">
        <v>0</v>
      </c>
      <c r="FX37" s="627">
        <v>0</v>
      </c>
      <c r="FY37" s="627">
        <v>0</v>
      </c>
      <c r="FZ37" s="627">
        <v>0</v>
      </c>
      <c r="GA37" s="627">
        <v>0</v>
      </c>
      <c r="GB37" s="627">
        <v>0</v>
      </c>
      <c r="GC37" s="627">
        <v>522828</v>
      </c>
      <c r="GD37" s="627">
        <v>522828</v>
      </c>
      <c r="GE37" s="627">
        <v>53.905000000000001</v>
      </c>
      <c r="GF37" s="627">
        <v>0</v>
      </c>
      <c r="GG37" s="627">
        <v>0</v>
      </c>
      <c r="GH37" s="627">
        <v>0</v>
      </c>
      <c r="GI37" s="627">
        <v>0</v>
      </c>
      <c r="GJ37" s="627">
        <v>0</v>
      </c>
      <c r="GK37" s="627">
        <v>0</v>
      </c>
      <c r="GL37" s="627">
        <v>0</v>
      </c>
      <c r="GM37" s="627">
        <v>0</v>
      </c>
      <c r="GN37" s="627">
        <v>0</v>
      </c>
      <c r="GO37" s="627">
        <v>0</v>
      </c>
      <c r="GP37" s="627">
        <v>0</v>
      </c>
      <c r="GQ37" s="627">
        <v>0</v>
      </c>
      <c r="GR37" s="627">
        <v>15338840</v>
      </c>
      <c r="GS37" s="627">
        <v>0</v>
      </c>
      <c r="GT37" s="627">
        <v>0</v>
      </c>
      <c r="GU37" s="627">
        <v>0</v>
      </c>
      <c r="GV37" s="627">
        <v>0</v>
      </c>
      <c r="GW37" s="627">
        <v>0</v>
      </c>
      <c r="GX37" s="627">
        <v>0</v>
      </c>
      <c r="GY37" s="627">
        <v>0</v>
      </c>
      <c r="GZ37" s="627">
        <v>0</v>
      </c>
      <c r="HA37" s="627">
        <v>0</v>
      </c>
      <c r="HB37" s="627">
        <v>0</v>
      </c>
      <c r="HC37" s="627">
        <v>361151439</v>
      </c>
      <c r="HD37" s="627">
        <v>3.9981999999999997E-2</v>
      </c>
      <c r="HE37" s="627">
        <v>211758</v>
      </c>
      <c r="HF37" s="627">
        <v>0</v>
      </c>
      <c r="HG37" s="627">
        <v>1337690</v>
      </c>
      <c r="HH37" s="627">
        <v>24640</v>
      </c>
      <c r="HI37" s="627">
        <v>276204</v>
      </c>
      <c r="HJ37" s="627">
        <v>0</v>
      </c>
      <c r="HK37" s="627">
        <v>43241</v>
      </c>
      <c r="HL37" s="627">
        <v>2063</v>
      </c>
      <c r="HM37" s="627">
        <v>1343</v>
      </c>
      <c r="HN37" s="627">
        <v>29000</v>
      </c>
      <c r="HO37" s="627">
        <v>326100</v>
      </c>
      <c r="HP37" s="627">
        <v>0</v>
      </c>
      <c r="HQ37" s="627">
        <v>0</v>
      </c>
      <c r="HR37" s="627">
        <v>0</v>
      </c>
      <c r="HS37" s="627">
        <v>0</v>
      </c>
      <c r="HT37" s="627">
        <v>13041608</v>
      </c>
      <c r="HU37" s="627">
        <v>339121</v>
      </c>
      <c r="HV37" s="627">
        <v>0</v>
      </c>
      <c r="HW37" s="627">
        <v>0</v>
      </c>
      <c r="HX37" s="627">
        <v>0</v>
      </c>
      <c r="HY37" s="627">
        <v>276</v>
      </c>
      <c r="HZ37" s="627">
        <v>232</v>
      </c>
      <c r="IA37" s="627">
        <v>297</v>
      </c>
      <c r="IB37" s="627">
        <v>233</v>
      </c>
      <c r="IC37" s="627">
        <v>249</v>
      </c>
      <c r="ID37" s="627">
        <v>1287</v>
      </c>
      <c r="IE37" s="627">
        <v>0</v>
      </c>
      <c r="IF37" s="627">
        <v>0</v>
      </c>
      <c r="IG37" s="627">
        <v>0</v>
      </c>
      <c r="IH37" s="627">
        <v>40</v>
      </c>
      <c r="II37" s="627">
        <v>448.38300000000004</v>
      </c>
      <c r="IJ37" s="627">
        <v>0</v>
      </c>
      <c r="IK37" s="627">
        <v>280.68700000000001</v>
      </c>
      <c r="IL37" s="627">
        <v>0</v>
      </c>
      <c r="IM37" s="627">
        <v>4</v>
      </c>
      <c r="IN37" s="627">
        <v>3</v>
      </c>
      <c r="IO37" s="627">
        <v>0</v>
      </c>
      <c r="IP37" s="627">
        <v>7</v>
      </c>
      <c r="IQ37" s="627">
        <v>0</v>
      </c>
      <c r="IR37" s="627">
        <v>280.68700000000001</v>
      </c>
      <c r="IS37" s="627">
        <v>172903</v>
      </c>
      <c r="IT37" s="627">
        <v>0</v>
      </c>
      <c r="IU37" s="627">
        <v>20000</v>
      </c>
      <c r="IV37" s="627">
        <v>9000</v>
      </c>
      <c r="IW37" s="627">
        <v>0</v>
      </c>
      <c r="IX37" s="627">
        <v>6160</v>
      </c>
      <c r="IY37" s="627">
        <v>0</v>
      </c>
      <c r="IZ37" s="627">
        <v>0</v>
      </c>
      <c r="JA37" s="627">
        <v>0</v>
      </c>
      <c r="JB37" s="627">
        <v>0</v>
      </c>
      <c r="JC37" s="627">
        <v>4</v>
      </c>
      <c r="JD37" s="627">
        <v>82054</v>
      </c>
      <c r="JE37" s="627">
        <v>17</v>
      </c>
      <c r="JF37" s="627">
        <v>190394</v>
      </c>
      <c r="JG37" s="627">
        <v>7</v>
      </c>
      <c r="JH37" s="627">
        <v>39652</v>
      </c>
      <c r="JI37" s="627">
        <v>14000</v>
      </c>
      <c r="JJ37" s="627">
        <v>0</v>
      </c>
      <c r="JK37" s="627">
        <v>0</v>
      </c>
      <c r="JL37" s="627">
        <v>0</v>
      </c>
      <c r="JM37" s="627">
        <v>0</v>
      </c>
      <c r="JN37" s="627">
        <v>0</v>
      </c>
      <c r="JO37" s="627">
        <v>32469</v>
      </c>
      <c r="JP37" s="627">
        <v>0</v>
      </c>
      <c r="JQ37" s="627">
        <v>38.133000000000003</v>
      </c>
      <c r="JR37" s="627">
        <v>15.772</v>
      </c>
      <c r="JS37" s="627">
        <v>0</v>
      </c>
      <c r="JT37" s="627">
        <v>354460</v>
      </c>
      <c r="JU37" s="627">
        <v>168368</v>
      </c>
      <c r="JV37" s="627">
        <v>28459</v>
      </c>
      <c r="JW37" s="627">
        <v>0</v>
      </c>
      <c r="JX37" s="627">
        <v>0</v>
      </c>
      <c r="JY37" s="627">
        <v>0</v>
      </c>
      <c r="JZ37" s="627">
        <v>0</v>
      </c>
      <c r="KA37" s="627">
        <v>0</v>
      </c>
      <c r="KB37" s="627">
        <v>0</v>
      </c>
      <c r="KC37" s="627">
        <v>0</v>
      </c>
      <c r="KD37" s="627">
        <v>0</v>
      </c>
      <c r="KE37" s="627">
        <v>28459</v>
      </c>
      <c r="KF37" s="627">
        <v>7262</v>
      </c>
      <c r="KG37" s="627">
        <v>0</v>
      </c>
      <c r="KH37" s="627">
        <v>0</v>
      </c>
      <c r="KI37" s="627">
        <v>15338840</v>
      </c>
      <c r="KJ37" s="627">
        <v>0</v>
      </c>
      <c r="KK37" s="627">
        <v>34</v>
      </c>
      <c r="KL37" s="627">
        <v>6</v>
      </c>
      <c r="KM37" s="627">
        <v>20944</v>
      </c>
      <c r="KN37" s="627">
        <v>3696</v>
      </c>
      <c r="KO37" s="627">
        <v>0</v>
      </c>
      <c r="KP37" s="627">
        <v>0</v>
      </c>
      <c r="KQ37" s="627">
        <v>15338840</v>
      </c>
      <c r="KR37" s="627">
        <v>0</v>
      </c>
      <c r="KS37" s="627">
        <v>0</v>
      </c>
      <c r="KT37" s="627">
        <v>0</v>
      </c>
      <c r="KU37" s="627">
        <v>0</v>
      </c>
      <c r="KV37" s="627">
        <v>0</v>
      </c>
      <c r="KW37" s="627">
        <v>0</v>
      </c>
      <c r="KX37" s="627">
        <v>0</v>
      </c>
      <c r="KY37" s="627">
        <v>0</v>
      </c>
      <c r="KZ37" s="627">
        <v>0</v>
      </c>
      <c r="LA37" s="627">
        <v>0</v>
      </c>
      <c r="LB37" s="627">
        <v>0</v>
      </c>
      <c r="LC37" s="627">
        <v>0</v>
      </c>
      <c r="LD37" s="627">
        <v>0</v>
      </c>
      <c r="LE37" s="627">
        <v>0</v>
      </c>
      <c r="LF37" s="627">
        <v>0</v>
      </c>
    </row>
    <row r="38" spans="1:318" x14ac:dyDescent="0.25">
      <c r="A38" s="627">
        <v>42602</v>
      </c>
      <c r="B38" s="627">
        <v>101802</v>
      </c>
      <c r="D38" s="627">
        <v>9</v>
      </c>
      <c r="E38" s="627">
        <v>2024</v>
      </c>
      <c r="F38" s="627">
        <v>6160</v>
      </c>
      <c r="G38" s="627">
        <v>0</v>
      </c>
      <c r="H38" s="627">
        <v>1045.462</v>
      </c>
      <c r="I38" s="627">
        <v>1030.442</v>
      </c>
      <c r="J38" s="627">
        <v>1030.442</v>
      </c>
      <c r="K38" s="627">
        <v>1045.462</v>
      </c>
      <c r="L38" s="627">
        <v>0</v>
      </c>
      <c r="M38" s="627">
        <v>6160</v>
      </c>
      <c r="N38" s="627">
        <v>0</v>
      </c>
      <c r="O38" s="627">
        <v>0</v>
      </c>
      <c r="P38" s="627">
        <v>0</v>
      </c>
      <c r="Q38" s="627">
        <v>1037.9570000000001</v>
      </c>
      <c r="R38" s="627">
        <v>0</v>
      </c>
      <c r="S38" s="627">
        <v>430632</v>
      </c>
      <c r="T38" s="627">
        <v>414.88400000000001</v>
      </c>
      <c r="U38" s="627">
        <v>0</v>
      </c>
      <c r="V38" s="627">
        <v>223479</v>
      </c>
      <c r="W38" s="627">
        <v>31.35</v>
      </c>
      <c r="X38" s="627">
        <v>837427</v>
      </c>
      <c r="Y38" s="627">
        <v>837427</v>
      </c>
      <c r="Z38" s="627">
        <v>0</v>
      </c>
      <c r="AA38" s="627">
        <v>0</v>
      </c>
      <c r="AB38" s="627">
        <v>0</v>
      </c>
      <c r="AC38" s="627">
        <v>0</v>
      </c>
      <c r="AD38" s="627">
        <v>0</v>
      </c>
      <c r="AE38" s="627" t="s">
        <v>314</v>
      </c>
      <c r="AF38" s="627">
        <v>0</v>
      </c>
      <c r="AG38" s="627">
        <v>0</v>
      </c>
      <c r="AH38" s="627">
        <v>0</v>
      </c>
      <c r="AI38" s="627">
        <v>0</v>
      </c>
      <c r="AJ38" s="627">
        <v>0</v>
      </c>
      <c r="AK38" s="627">
        <v>6160</v>
      </c>
      <c r="AL38" s="627" t="s">
        <v>651</v>
      </c>
      <c r="AM38" s="627" t="s">
        <v>50</v>
      </c>
      <c r="AN38" s="627">
        <v>0</v>
      </c>
      <c r="AO38" s="627">
        <v>0</v>
      </c>
      <c r="AP38" s="627">
        <v>0</v>
      </c>
      <c r="AQ38" s="627">
        <v>0</v>
      </c>
      <c r="AR38" s="627">
        <v>0</v>
      </c>
      <c r="AS38" s="627">
        <v>0</v>
      </c>
      <c r="AT38" s="627">
        <v>0</v>
      </c>
      <c r="AU38" s="627">
        <v>0</v>
      </c>
      <c r="AV38" s="627">
        <v>0</v>
      </c>
      <c r="AW38" s="627">
        <v>-244839</v>
      </c>
      <c r="AX38" s="627">
        <v>12577372</v>
      </c>
      <c r="AY38" s="627">
        <v>12411205</v>
      </c>
      <c r="AZ38" s="627">
        <v>6231607</v>
      </c>
      <c r="BA38" s="627">
        <v>430632</v>
      </c>
      <c r="BB38" s="627">
        <v>0</v>
      </c>
      <c r="BC38" s="627">
        <v>0</v>
      </c>
      <c r="BD38" s="627">
        <v>0</v>
      </c>
      <c r="BE38" s="627">
        <v>0</v>
      </c>
      <c r="BF38" s="627">
        <v>0</v>
      </c>
      <c r="BG38" s="627">
        <v>10985932</v>
      </c>
      <c r="BH38" s="627">
        <v>0</v>
      </c>
      <c r="BI38" s="627">
        <v>0</v>
      </c>
      <c r="BJ38" s="627">
        <v>0</v>
      </c>
      <c r="BK38" s="627">
        <v>12</v>
      </c>
      <c r="BL38" s="627">
        <v>0</v>
      </c>
      <c r="BM38" s="627">
        <v>0</v>
      </c>
      <c r="BN38" s="627">
        <v>0</v>
      </c>
      <c r="BO38" s="627">
        <v>0</v>
      </c>
      <c r="BP38" s="627">
        <v>0</v>
      </c>
      <c r="BQ38" s="627">
        <v>0</v>
      </c>
      <c r="BR38" s="627">
        <v>611</v>
      </c>
      <c r="BS38" s="627">
        <v>0</v>
      </c>
      <c r="BT38" s="627">
        <v>0</v>
      </c>
      <c r="BU38" s="627">
        <v>0</v>
      </c>
      <c r="BV38" s="627">
        <v>0</v>
      </c>
      <c r="BW38" s="627">
        <v>0</v>
      </c>
      <c r="BX38" s="627">
        <v>0</v>
      </c>
      <c r="BY38" s="627">
        <v>0</v>
      </c>
      <c r="BZ38" s="627">
        <v>0</v>
      </c>
      <c r="CA38" s="627">
        <v>0</v>
      </c>
      <c r="CB38" s="627">
        <v>0</v>
      </c>
      <c r="CC38" s="627">
        <v>0</v>
      </c>
      <c r="CD38" s="627">
        <v>0</v>
      </c>
      <c r="CE38" s="627">
        <v>0</v>
      </c>
      <c r="CF38" s="627">
        <v>0</v>
      </c>
      <c r="CG38" s="627">
        <v>0</v>
      </c>
      <c r="CH38" s="627">
        <v>0</v>
      </c>
      <c r="CI38" s="627">
        <v>167199</v>
      </c>
      <c r="CJ38" s="627">
        <v>0</v>
      </c>
      <c r="CK38" s="627">
        <v>4</v>
      </c>
      <c r="CL38" s="627">
        <v>0</v>
      </c>
      <c r="CM38" s="627">
        <v>0</v>
      </c>
      <c r="CN38" s="627">
        <v>0</v>
      </c>
      <c r="CO38" s="627">
        <v>0</v>
      </c>
      <c r="CP38" s="627">
        <v>1</v>
      </c>
      <c r="CQ38" s="627">
        <v>0</v>
      </c>
      <c r="CR38" s="627">
        <v>0</v>
      </c>
      <c r="CS38" s="627">
        <v>1011.62</v>
      </c>
      <c r="CT38" s="627">
        <v>0</v>
      </c>
      <c r="CU38" s="627">
        <v>0</v>
      </c>
      <c r="CV38" s="627">
        <v>0</v>
      </c>
      <c r="CW38" s="627">
        <v>0</v>
      </c>
      <c r="CX38" s="627">
        <v>0</v>
      </c>
      <c r="CY38" s="627">
        <v>0</v>
      </c>
      <c r="CZ38" s="627">
        <v>0</v>
      </c>
      <c r="DA38" s="627">
        <v>0</v>
      </c>
      <c r="DB38" s="627">
        <v>0</v>
      </c>
      <c r="DC38" s="627">
        <v>6335559</v>
      </c>
      <c r="DD38" s="627">
        <v>0</v>
      </c>
      <c r="DE38" s="627">
        <v>0</v>
      </c>
      <c r="DF38" s="627">
        <v>1832292</v>
      </c>
      <c r="DG38" s="627">
        <v>1832292</v>
      </c>
      <c r="DH38" s="627">
        <v>297.45</v>
      </c>
      <c r="DI38" s="627">
        <v>0</v>
      </c>
      <c r="DJ38" s="627">
        <v>0</v>
      </c>
      <c r="DK38" s="627">
        <v>0</v>
      </c>
      <c r="DL38" s="627">
        <v>1403</v>
      </c>
      <c r="DM38" s="627">
        <v>0</v>
      </c>
      <c r="DN38" s="627">
        <v>314807</v>
      </c>
      <c r="DO38" s="627">
        <v>1032</v>
      </c>
      <c r="DP38" s="627">
        <v>0</v>
      </c>
      <c r="DQ38" s="627">
        <v>0</v>
      </c>
      <c r="DR38" s="627">
        <v>0</v>
      </c>
      <c r="DS38" s="627">
        <v>0</v>
      </c>
      <c r="DT38" s="627">
        <v>0</v>
      </c>
      <c r="DU38" s="627">
        <v>0</v>
      </c>
      <c r="DV38" s="627">
        <v>0</v>
      </c>
      <c r="DW38" s="627">
        <v>0</v>
      </c>
      <c r="DX38" s="627">
        <v>0</v>
      </c>
      <c r="DY38" s="627">
        <v>0</v>
      </c>
      <c r="DZ38" s="627">
        <v>0</v>
      </c>
      <c r="EA38" s="627">
        <v>0</v>
      </c>
      <c r="EB38" s="627">
        <v>0</v>
      </c>
      <c r="EC38" s="627">
        <v>0</v>
      </c>
      <c r="ED38" s="627">
        <v>1.8230000000000002</v>
      </c>
      <c r="EE38" s="627">
        <v>12914</v>
      </c>
      <c r="EF38" s="627">
        <v>0</v>
      </c>
      <c r="EG38" s="627">
        <v>0</v>
      </c>
      <c r="EH38" s="627">
        <v>0</v>
      </c>
      <c r="EI38" s="627">
        <v>290961</v>
      </c>
      <c r="EJ38" s="627">
        <v>0</v>
      </c>
      <c r="EK38" s="627">
        <v>0</v>
      </c>
      <c r="EL38" s="627">
        <v>13.933</v>
      </c>
      <c r="EM38" s="627">
        <v>0</v>
      </c>
      <c r="EN38" s="627">
        <v>0</v>
      </c>
      <c r="EO38" s="627">
        <v>1.087</v>
      </c>
      <c r="EP38" s="627">
        <v>0</v>
      </c>
      <c r="EQ38" s="627">
        <v>0</v>
      </c>
      <c r="ER38" s="627">
        <v>15.02</v>
      </c>
      <c r="ES38" s="627">
        <v>0</v>
      </c>
      <c r="ET38" s="627">
        <v>47.234000000000002</v>
      </c>
      <c r="EU38" s="627">
        <v>0</v>
      </c>
      <c r="EV38" s="627">
        <v>0</v>
      </c>
      <c r="EW38" s="627">
        <v>0</v>
      </c>
      <c r="EX38" s="627">
        <v>0</v>
      </c>
      <c r="EY38" s="627">
        <v>0</v>
      </c>
      <c r="EZ38" s="627">
        <v>0</v>
      </c>
      <c r="FA38" s="627">
        <v>10555300</v>
      </c>
      <c r="FB38" s="627">
        <v>0</v>
      </c>
      <c r="FC38" s="627">
        <v>10984900</v>
      </c>
      <c r="FD38" s="627">
        <v>0</v>
      </c>
      <c r="FE38" s="627">
        <v>0</v>
      </c>
      <c r="FF38" s="627">
        <v>1581933</v>
      </c>
      <c r="FG38" s="627">
        <v>273972</v>
      </c>
      <c r="FH38" s="627">
        <v>7.0280999999999996E-2</v>
      </c>
      <c r="FI38" s="627">
        <v>3.1172999999999999E-2</v>
      </c>
      <c r="FJ38" s="627">
        <v>0</v>
      </c>
      <c r="FK38" s="627">
        <v>0</v>
      </c>
      <c r="FL38" s="627">
        <v>1783.431</v>
      </c>
      <c r="FM38" s="627">
        <v>13008004</v>
      </c>
      <c r="FN38" s="627">
        <v>0</v>
      </c>
      <c r="FO38" s="627">
        <v>0</v>
      </c>
      <c r="FP38" s="627">
        <v>0</v>
      </c>
      <c r="FQ38" s="627">
        <v>0</v>
      </c>
      <c r="FR38" s="627">
        <v>0</v>
      </c>
      <c r="FS38" s="627">
        <v>0</v>
      </c>
      <c r="FT38" s="627">
        <v>0</v>
      </c>
      <c r="FU38" s="627">
        <v>0</v>
      </c>
      <c r="FV38" s="627">
        <v>0</v>
      </c>
      <c r="FW38" s="627">
        <v>0</v>
      </c>
      <c r="FX38" s="627">
        <v>0</v>
      </c>
      <c r="FY38" s="627">
        <v>0</v>
      </c>
      <c r="FZ38" s="627">
        <v>0</v>
      </c>
      <c r="GA38" s="627">
        <v>0</v>
      </c>
      <c r="GB38" s="627">
        <v>0</v>
      </c>
      <c r="GC38" s="627">
        <v>0</v>
      </c>
      <c r="GD38" s="627">
        <v>0</v>
      </c>
      <c r="GE38" s="627">
        <v>0</v>
      </c>
      <c r="GF38" s="627">
        <v>0</v>
      </c>
      <c r="GG38" s="627">
        <v>0</v>
      </c>
      <c r="GH38" s="627">
        <v>0</v>
      </c>
      <c r="GI38" s="627">
        <v>0</v>
      </c>
      <c r="GJ38" s="627">
        <v>0</v>
      </c>
      <c r="GK38" s="627">
        <v>0</v>
      </c>
      <c r="GL38" s="627">
        <v>0</v>
      </c>
      <c r="GM38" s="627">
        <v>0</v>
      </c>
      <c r="GN38" s="627">
        <v>0</v>
      </c>
      <c r="GO38" s="627">
        <v>0</v>
      </c>
      <c r="GP38" s="627">
        <v>0</v>
      </c>
      <c r="GQ38" s="627">
        <v>0</v>
      </c>
      <c r="GR38" s="627">
        <v>12410173</v>
      </c>
      <c r="GS38" s="627">
        <v>0</v>
      </c>
      <c r="GT38" s="627">
        <v>0</v>
      </c>
      <c r="GU38" s="627">
        <v>0</v>
      </c>
      <c r="GV38" s="627">
        <v>0</v>
      </c>
      <c r="GW38" s="627">
        <v>0</v>
      </c>
      <c r="GX38" s="627">
        <v>0</v>
      </c>
      <c r="GY38" s="627">
        <v>0</v>
      </c>
      <c r="GZ38" s="627">
        <v>0</v>
      </c>
      <c r="HA38" s="627">
        <v>0</v>
      </c>
      <c r="HB38" s="627">
        <v>0</v>
      </c>
      <c r="HC38" s="627">
        <v>361151439</v>
      </c>
      <c r="HD38" s="627">
        <v>3.9981999999999997E-2</v>
      </c>
      <c r="HE38" s="627">
        <v>167199</v>
      </c>
      <c r="HF38" s="627">
        <v>0</v>
      </c>
      <c r="HG38" s="627">
        <v>1135547</v>
      </c>
      <c r="HH38" s="627">
        <v>616</v>
      </c>
      <c r="HI38" s="627">
        <v>458197</v>
      </c>
      <c r="HJ38" s="627">
        <v>0</v>
      </c>
      <c r="HK38" s="627">
        <v>70455</v>
      </c>
      <c r="HL38" s="627">
        <v>0</v>
      </c>
      <c r="HM38" s="627">
        <v>0</v>
      </c>
      <c r="HN38" s="627">
        <v>0</v>
      </c>
      <c r="HO38" s="627">
        <v>0</v>
      </c>
      <c r="HP38" s="627">
        <v>0</v>
      </c>
      <c r="HQ38" s="627">
        <v>0</v>
      </c>
      <c r="HR38" s="627">
        <v>0</v>
      </c>
      <c r="HS38" s="627">
        <v>0</v>
      </c>
      <c r="HT38" s="627">
        <v>10554268</v>
      </c>
      <c r="HU38" s="627">
        <v>273972</v>
      </c>
      <c r="HV38" s="627">
        <v>0</v>
      </c>
      <c r="HW38" s="627">
        <v>0</v>
      </c>
      <c r="HX38" s="627">
        <v>0</v>
      </c>
      <c r="HY38" s="627">
        <v>46</v>
      </c>
      <c r="HZ38" s="627">
        <v>41</v>
      </c>
      <c r="IA38" s="627">
        <v>39</v>
      </c>
      <c r="IB38" s="627">
        <v>85</v>
      </c>
      <c r="IC38" s="627">
        <v>892</v>
      </c>
      <c r="ID38" s="627">
        <v>1103</v>
      </c>
      <c r="IE38" s="627">
        <v>0</v>
      </c>
      <c r="IF38" s="627">
        <v>860.02200000000005</v>
      </c>
      <c r="IG38" s="627">
        <v>76.152000000000001</v>
      </c>
      <c r="IH38" s="627">
        <v>1</v>
      </c>
      <c r="II38" s="627">
        <v>743.827</v>
      </c>
      <c r="IJ38" s="627">
        <v>0</v>
      </c>
      <c r="IK38" s="627">
        <v>967.524</v>
      </c>
      <c r="IL38" s="627">
        <v>0</v>
      </c>
      <c r="IM38" s="627">
        <v>0</v>
      </c>
      <c r="IN38" s="627">
        <v>0</v>
      </c>
      <c r="IO38" s="627">
        <v>0</v>
      </c>
      <c r="IP38" s="627">
        <v>0</v>
      </c>
      <c r="IQ38" s="627">
        <v>0</v>
      </c>
      <c r="IR38" s="627">
        <v>31.35</v>
      </c>
      <c r="IS38" s="627">
        <v>19312</v>
      </c>
      <c r="IT38" s="627">
        <v>0</v>
      </c>
      <c r="IU38" s="627">
        <v>0</v>
      </c>
      <c r="IV38" s="627">
        <v>0</v>
      </c>
      <c r="IW38" s="627">
        <v>0</v>
      </c>
      <c r="IX38" s="627">
        <v>6160</v>
      </c>
      <c r="IY38" s="627">
        <v>794660</v>
      </c>
      <c r="IZ38" s="627">
        <v>23455</v>
      </c>
      <c r="JA38" s="627">
        <v>0</v>
      </c>
      <c r="JB38" s="627">
        <v>0</v>
      </c>
      <c r="JC38" s="627">
        <v>0</v>
      </c>
      <c r="JD38" s="627">
        <v>0</v>
      </c>
      <c r="JE38" s="627">
        <v>0</v>
      </c>
      <c r="JF38" s="627">
        <v>0</v>
      </c>
      <c r="JG38" s="627">
        <v>0</v>
      </c>
      <c r="JH38" s="627">
        <v>0</v>
      </c>
      <c r="JI38" s="627">
        <v>0</v>
      </c>
      <c r="JJ38" s="627">
        <v>0</v>
      </c>
      <c r="JK38" s="627">
        <v>0</v>
      </c>
      <c r="JL38" s="627">
        <v>0</v>
      </c>
      <c r="JM38" s="627">
        <v>0</v>
      </c>
      <c r="JN38" s="627">
        <v>0</v>
      </c>
      <c r="JO38" s="627">
        <v>32469</v>
      </c>
      <c r="JP38" s="627">
        <v>0</v>
      </c>
      <c r="JQ38" s="627">
        <v>0</v>
      </c>
      <c r="JR38" s="627">
        <v>0</v>
      </c>
      <c r="JS38" s="627">
        <v>0</v>
      </c>
      <c r="JT38" s="627">
        <v>0</v>
      </c>
      <c r="JU38" s="627">
        <v>0</v>
      </c>
      <c r="JV38" s="627">
        <v>0</v>
      </c>
      <c r="JW38" s="627">
        <v>0</v>
      </c>
      <c r="JX38" s="627">
        <v>0</v>
      </c>
      <c r="JY38" s="627">
        <v>0</v>
      </c>
      <c r="JZ38" s="627">
        <v>0</v>
      </c>
      <c r="KA38" s="627">
        <v>0</v>
      </c>
      <c r="KB38" s="627">
        <v>0</v>
      </c>
      <c r="KC38" s="627">
        <v>0</v>
      </c>
      <c r="KD38" s="627">
        <v>0</v>
      </c>
      <c r="KE38" s="627">
        <v>0</v>
      </c>
      <c r="KF38" s="627">
        <v>7262</v>
      </c>
      <c r="KG38" s="627">
        <v>0</v>
      </c>
      <c r="KH38" s="627">
        <v>0</v>
      </c>
      <c r="KI38" s="627">
        <v>12410173</v>
      </c>
      <c r="KJ38" s="627">
        <v>0</v>
      </c>
      <c r="KK38" s="627">
        <v>1</v>
      </c>
      <c r="KL38" s="627">
        <v>0</v>
      </c>
      <c r="KM38" s="627">
        <v>616</v>
      </c>
      <c r="KN38" s="627">
        <v>0</v>
      </c>
      <c r="KO38" s="627">
        <v>0</v>
      </c>
      <c r="KP38" s="627">
        <v>0</v>
      </c>
      <c r="KQ38" s="627">
        <v>12410173</v>
      </c>
      <c r="KR38" s="627">
        <v>0</v>
      </c>
      <c r="KS38" s="627">
        <v>0</v>
      </c>
      <c r="KT38" s="627">
        <v>0</v>
      </c>
      <c r="KU38" s="627">
        <v>0</v>
      </c>
      <c r="KV38" s="627">
        <v>0</v>
      </c>
      <c r="KW38" s="627">
        <v>0</v>
      </c>
      <c r="KX38" s="627">
        <v>0</v>
      </c>
      <c r="KY38" s="627">
        <v>0</v>
      </c>
      <c r="KZ38" s="627">
        <v>0</v>
      </c>
      <c r="LA38" s="627">
        <v>0</v>
      </c>
      <c r="LB38" s="627">
        <v>0</v>
      </c>
      <c r="LC38" s="627">
        <v>0</v>
      </c>
      <c r="LD38" s="627">
        <v>0</v>
      </c>
      <c r="LE38" s="627">
        <v>0</v>
      </c>
      <c r="LF38" s="627">
        <v>0</v>
      </c>
    </row>
    <row r="39" spans="1:318" x14ac:dyDescent="0.25">
      <c r="A39" s="627">
        <v>42602</v>
      </c>
      <c r="B39" s="627">
        <v>105802</v>
      </c>
      <c r="D39" s="627">
        <v>9</v>
      </c>
      <c r="E39" s="627">
        <v>2024</v>
      </c>
      <c r="F39" s="627">
        <v>6160</v>
      </c>
      <c r="G39" s="627">
        <v>0</v>
      </c>
      <c r="H39" s="627">
        <v>85.122</v>
      </c>
      <c r="I39" s="627">
        <v>84.921999999999997</v>
      </c>
      <c r="J39" s="627">
        <v>84.921999999999997</v>
      </c>
      <c r="K39" s="627">
        <v>85.122</v>
      </c>
      <c r="L39" s="627">
        <v>0</v>
      </c>
      <c r="M39" s="627">
        <v>6160</v>
      </c>
      <c r="N39" s="627">
        <v>0</v>
      </c>
      <c r="O39" s="627">
        <v>0</v>
      </c>
      <c r="P39" s="627">
        <v>0</v>
      </c>
      <c r="Q39" s="627">
        <v>72.338000000000008</v>
      </c>
      <c r="R39" s="627">
        <v>0</v>
      </c>
      <c r="S39" s="627">
        <v>30012</v>
      </c>
      <c r="T39" s="627">
        <v>414.88400000000001</v>
      </c>
      <c r="U39" s="627">
        <v>0</v>
      </c>
      <c r="V39" s="627">
        <v>15575</v>
      </c>
      <c r="W39" s="627">
        <v>5.3620000000000001</v>
      </c>
      <c r="X39" s="627">
        <v>3303</v>
      </c>
      <c r="Y39" s="627">
        <v>3303</v>
      </c>
      <c r="Z39" s="627">
        <v>0</v>
      </c>
      <c r="AA39" s="627">
        <v>0</v>
      </c>
      <c r="AB39" s="627">
        <v>0</v>
      </c>
      <c r="AC39" s="627">
        <v>0</v>
      </c>
      <c r="AD39" s="627">
        <v>0</v>
      </c>
      <c r="AE39" s="627" t="s">
        <v>314</v>
      </c>
      <c r="AF39" s="627">
        <v>0</v>
      </c>
      <c r="AG39" s="627">
        <v>0</v>
      </c>
      <c r="AH39" s="627">
        <v>0</v>
      </c>
      <c r="AI39" s="627">
        <v>0</v>
      </c>
      <c r="AJ39" s="627">
        <v>0</v>
      </c>
      <c r="AK39" s="627">
        <v>6160</v>
      </c>
      <c r="AL39" s="627" t="s">
        <v>651</v>
      </c>
      <c r="AM39" s="627" t="s">
        <v>3</v>
      </c>
      <c r="AN39" s="627">
        <v>0</v>
      </c>
      <c r="AO39" s="627">
        <v>0</v>
      </c>
      <c r="AP39" s="627">
        <v>0</v>
      </c>
      <c r="AQ39" s="627">
        <v>0</v>
      </c>
      <c r="AR39" s="627">
        <v>0</v>
      </c>
      <c r="AS39" s="627">
        <v>0</v>
      </c>
      <c r="AT39" s="627">
        <v>0</v>
      </c>
      <c r="AU39" s="627">
        <v>0</v>
      </c>
      <c r="AV39" s="627">
        <v>0</v>
      </c>
      <c r="AW39" s="627">
        <v>0</v>
      </c>
      <c r="AX39" s="627">
        <v>966859</v>
      </c>
      <c r="AY39" s="627">
        <v>953600</v>
      </c>
      <c r="AZ39" s="627">
        <v>507924</v>
      </c>
      <c r="BA39" s="627">
        <v>30012</v>
      </c>
      <c r="BB39" s="627">
        <v>15</v>
      </c>
      <c r="BC39" s="627">
        <v>0</v>
      </c>
      <c r="BD39" s="627">
        <v>0</v>
      </c>
      <c r="BE39" s="627">
        <v>0</v>
      </c>
      <c r="BF39" s="627">
        <v>0</v>
      </c>
      <c r="BG39" s="627">
        <v>828080</v>
      </c>
      <c r="BH39" s="627">
        <v>0</v>
      </c>
      <c r="BI39" s="627">
        <v>0</v>
      </c>
      <c r="BJ39" s="627">
        <v>0</v>
      </c>
      <c r="BK39" s="627">
        <v>12</v>
      </c>
      <c r="BL39" s="627">
        <v>0</v>
      </c>
      <c r="BM39" s="627">
        <v>0</v>
      </c>
      <c r="BN39" s="627">
        <v>0</v>
      </c>
      <c r="BO39" s="627">
        <v>0</v>
      </c>
      <c r="BP39" s="627">
        <v>0</v>
      </c>
      <c r="BQ39" s="627">
        <v>0</v>
      </c>
      <c r="BR39" s="627">
        <v>757</v>
      </c>
      <c r="BS39" s="627">
        <v>0</v>
      </c>
      <c r="BT39" s="627">
        <v>0</v>
      </c>
      <c r="BU39" s="627">
        <v>0</v>
      </c>
      <c r="BV39" s="627">
        <v>0</v>
      </c>
      <c r="BW39" s="627">
        <v>0</v>
      </c>
      <c r="BX39" s="627">
        <v>0</v>
      </c>
      <c r="BY39" s="627">
        <v>0</v>
      </c>
      <c r="BZ39" s="627">
        <v>0</v>
      </c>
      <c r="CA39" s="627">
        <v>0</v>
      </c>
      <c r="CB39" s="627">
        <v>0</v>
      </c>
      <c r="CC39" s="627">
        <v>0</v>
      </c>
      <c r="CD39" s="627">
        <v>0</v>
      </c>
      <c r="CE39" s="627">
        <v>0</v>
      </c>
      <c r="CF39" s="627">
        <v>0</v>
      </c>
      <c r="CG39" s="627">
        <v>0</v>
      </c>
      <c r="CH39" s="627">
        <v>0</v>
      </c>
      <c r="CI39" s="627">
        <v>13613</v>
      </c>
      <c r="CJ39" s="627">
        <v>0</v>
      </c>
      <c r="CK39" s="627">
        <v>4</v>
      </c>
      <c r="CL39" s="627">
        <v>0</v>
      </c>
      <c r="CM39" s="627">
        <v>0</v>
      </c>
      <c r="CN39" s="627">
        <v>0</v>
      </c>
      <c r="CO39" s="627">
        <v>0</v>
      </c>
      <c r="CP39" s="627">
        <v>1</v>
      </c>
      <c r="CQ39" s="627">
        <v>0</v>
      </c>
      <c r="CR39" s="627">
        <v>5.4170000000000007</v>
      </c>
      <c r="CS39" s="627">
        <v>71.92</v>
      </c>
      <c r="CT39" s="627">
        <v>0</v>
      </c>
      <c r="CU39" s="627">
        <v>0</v>
      </c>
      <c r="CV39" s="627">
        <v>0</v>
      </c>
      <c r="CW39" s="627">
        <v>0</v>
      </c>
      <c r="CX39" s="627">
        <v>0</v>
      </c>
      <c r="CY39" s="627">
        <v>0</v>
      </c>
      <c r="CZ39" s="627">
        <v>0</v>
      </c>
      <c r="DA39" s="627">
        <v>0</v>
      </c>
      <c r="DB39" s="627">
        <v>0</v>
      </c>
      <c r="DC39" s="627">
        <v>523120</v>
      </c>
      <c r="DD39" s="627">
        <v>0</v>
      </c>
      <c r="DE39" s="627">
        <v>0</v>
      </c>
      <c r="DF39" s="627">
        <v>59983</v>
      </c>
      <c r="DG39" s="627">
        <v>59983</v>
      </c>
      <c r="DH39" s="627">
        <v>9.7380000000000013</v>
      </c>
      <c r="DI39" s="627">
        <v>0</v>
      </c>
      <c r="DJ39" s="627">
        <v>0</v>
      </c>
      <c r="DK39" s="627">
        <v>0</v>
      </c>
      <c r="DL39" s="627">
        <v>3733</v>
      </c>
      <c r="DM39" s="627">
        <v>0</v>
      </c>
      <c r="DN39" s="627">
        <v>103820</v>
      </c>
      <c r="DO39" s="627">
        <v>354</v>
      </c>
      <c r="DP39" s="627">
        <v>0</v>
      </c>
      <c r="DQ39" s="627">
        <v>0</v>
      </c>
      <c r="DR39" s="627">
        <v>0</v>
      </c>
      <c r="DS39" s="627">
        <v>0</v>
      </c>
      <c r="DT39" s="627">
        <v>0</v>
      </c>
      <c r="DU39" s="627">
        <v>0</v>
      </c>
      <c r="DV39" s="627">
        <v>0</v>
      </c>
      <c r="DW39" s="627">
        <v>0</v>
      </c>
      <c r="DX39" s="627">
        <v>0</v>
      </c>
      <c r="DY39" s="627">
        <v>0</v>
      </c>
      <c r="DZ39" s="627">
        <v>0</v>
      </c>
      <c r="EA39" s="627">
        <v>0</v>
      </c>
      <c r="EB39" s="627">
        <v>0</v>
      </c>
      <c r="EC39" s="627">
        <v>0</v>
      </c>
      <c r="ED39" s="627">
        <v>13.836</v>
      </c>
      <c r="EE39" s="627">
        <v>98014</v>
      </c>
      <c r="EF39" s="627">
        <v>0</v>
      </c>
      <c r="EG39" s="627">
        <v>0</v>
      </c>
      <c r="EH39" s="627">
        <v>0</v>
      </c>
      <c r="EI39" s="627">
        <v>6160</v>
      </c>
      <c r="EJ39" s="627">
        <v>0</v>
      </c>
      <c r="EK39" s="627">
        <v>0</v>
      </c>
      <c r="EL39" s="627">
        <v>0</v>
      </c>
      <c r="EM39" s="627">
        <v>0</v>
      </c>
      <c r="EN39" s="627">
        <v>0</v>
      </c>
      <c r="EO39" s="627">
        <v>0.2</v>
      </c>
      <c r="EP39" s="627">
        <v>0</v>
      </c>
      <c r="EQ39" s="627">
        <v>0</v>
      </c>
      <c r="ER39" s="627">
        <v>0.2</v>
      </c>
      <c r="ES39" s="627">
        <v>0</v>
      </c>
      <c r="ET39" s="627">
        <v>1</v>
      </c>
      <c r="EU39" s="627">
        <v>0</v>
      </c>
      <c r="EV39" s="627">
        <v>0</v>
      </c>
      <c r="EW39" s="627">
        <v>0</v>
      </c>
      <c r="EX39" s="627">
        <v>0</v>
      </c>
      <c r="EY39" s="627">
        <v>0</v>
      </c>
      <c r="EZ39" s="627">
        <v>0</v>
      </c>
      <c r="FA39" s="627">
        <v>813708</v>
      </c>
      <c r="FB39" s="627">
        <v>0</v>
      </c>
      <c r="FC39" s="627">
        <v>843366</v>
      </c>
      <c r="FD39" s="627">
        <v>0</v>
      </c>
      <c r="FE39" s="627">
        <v>0</v>
      </c>
      <c r="FF39" s="627">
        <v>119241</v>
      </c>
      <c r="FG39" s="627">
        <v>20651</v>
      </c>
      <c r="FH39" s="627">
        <v>7.0280999999999996E-2</v>
      </c>
      <c r="FI39" s="627">
        <v>3.1172999999999999E-2</v>
      </c>
      <c r="FJ39" s="627">
        <v>0</v>
      </c>
      <c r="FK39" s="627">
        <v>0</v>
      </c>
      <c r="FL39" s="627">
        <v>134.429</v>
      </c>
      <c r="FM39" s="627">
        <v>996871</v>
      </c>
      <c r="FN39" s="627">
        <v>0</v>
      </c>
      <c r="FO39" s="627">
        <v>0</v>
      </c>
      <c r="FP39" s="627">
        <v>15640</v>
      </c>
      <c r="FQ39" s="627">
        <v>0</v>
      </c>
      <c r="FR39" s="627">
        <v>15640</v>
      </c>
      <c r="FS39" s="627">
        <v>15640</v>
      </c>
      <c r="FT39" s="627">
        <v>0</v>
      </c>
      <c r="FU39" s="627">
        <v>0</v>
      </c>
      <c r="FV39" s="627">
        <v>0</v>
      </c>
      <c r="FW39" s="627">
        <v>0</v>
      </c>
      <c r="FX39" s="627">
        <v>0</v>
      </c>
      <c r="FY39" s="627">
        <v>0</v>
      </c>
      <c r="FZ39" s="627">
        <v>0</v>
      </c>
      <c r="GA39" s="627">
        <v>0</v>
      </c>
      <c r="GB39" s="627">
        <v>0</v>
      </c>
      <c r="GC39" s="627">
        <v>0</v>
      </c>
      <c r="GD39" s="627">
        <v>0</v>
      </c>
      <c r="GE39" s="627">
        <v>0</v>
      </c>
      <c r="GF39" s="627">
        <v>0</v>
      </c>
      <c r="GG39" s="627">
        <v>0</v>
      </c>
      <c r="GH39" s="627">
        <v>0</v>
      </c>
      <c r="GI39" s="627">
        <v>0</v>
      </c>
      <c r="GJ39" s="627">
        <v>0</v>
      </c>
      <c r="GK39" s="627">
        <v>0</v>
      </c>
      <c r="GL39" s="627">
        <v>0</v>
      </c>
      <c r="GM39" s="627">
        <v>0</v>
      </c>
      <c r="GN39" s="627">
        <v>0</v>
      </c>
      <c r="GO39" s="627">
        <v>0</v>
      </c>
      <c r="GP39" s="627">
        <v>0</v>
      </c>
      <c r="GQ39" s="627">
        <v>0</v>
      </c>
      <c r="GR39" s="627">
        <v>953246</v>
      </c>
      <c r="GS39" s="627">
        <v>0</v>
      </c>
      <c r="GT39" s="627">
        <v>0</v>
      </c>
      <c r="GU39" s="627">
        <v>0</v>
      </c>
      <c r="GV39" s="627">
        <v>0</v>
      </c>
      <c r="GW39" s="627">
        <v>0</v>
      </c>
      <c r="GX39" s="627">
        <v>0</v>
      </c>
      <c r="GY39" s="627">
        <v>0</v>
      </c>
      <c r="GZ39" s="627">
        <v>0</v>
      </c>
      <c r="HA39" s="627">
        <v>0</v>
      </c>
      <c r="HB39" s="627">
        <v>0</v>
      </c>
      <c r="HC39" s="627">
        <v>361151439</v>
      </c>
      <c r="HD39" s="627">
        <v>3.9981999999999997E-2</v>
      </c>
      <c r="HE39" s="627">
        <v>13613</v>
      </c>
      <c r="HF39" s="627">
        <v>0</v>
      </c>
      <c r="HG39" s="627">
        <v>93584</v>
      </c>
      <c r="HH39" s="627">
        <v>1232</v>
      </c>
      <c r="HI39" s="627">
        <v>11833</v>
      </c>
      <c r="HJ39" s="627">
        <v>0</v>
      </c>
      <c r="HK39" s="627">
        <v>30851</v>
      </c>
      <c r="HL39" s="627">
        <v>0</v>
      </c>
      <c r="HM39" s="627">
        <v>0</v>
      </c>
      <c r="HN39" s="627">
        <v>0</v>
      </c>
      <c r="HO39" s="627">
        <v>0</v>
      </c>
      <c r="HP39" s="627">
        <v>0</v>
      </c>
      <c r="HQ39" s="627">
        <v>0</v>
      </c>
      <c r="HR39" s="627">
        <v>0</v>
      </c>
      <c r="HS39" s="627">
        <v>0</v>
      </c>
      <c r="HT39" s="627">
        <v>813354</v>
      </c>
      <c r="HU39" s="627">
        <v>20651</v>
      </c>
      <c r="HV39" s="627">
        <v>0</v>
      </c>
      <c r="HW39" s="627">
        <v>0</v>
      </c>
      <c r="HX39" s="627">
        <v>0</v>
      </c>
      <c r="HY39" s="627">
        <v>4</v>
      </c>
      <c r="HZ39" s="627">
        <v>2</v>
      </c>
      <c r="IA39" s="627">
        <v>4</v>
      </c>
      <c r="IB39" s="627">
        <v>5</v>
      </c>
      <c r="IC39" s="627">
        <v>22</v>
      </c>
      <c r="ID39" s="627">
        <v>37</v>
      </c>
      <c r="IE39" s="627">
        <v>0</v>
      </c>
      <c r="IF39" s="627">
        <v>0</v>
      </c>
      <c r="IG39" s="627">
        <v>0</v>
      </c>
      <c r="IH39" s="627">
        <v>2</v>
      </c>
      <c r="II39" s="627">
        <v>19.209</v>
      </c>
      <c r="IJ39" s="627">
        <v>0</v>
      </c>
      <c r="IK39" s="627">
        <v>5.3620000000000001</v>
      </c>
      <c r="IL39" s="627">
        <v>0</v>
      </c>
      <c r="IM39" s="627">
        <v>0</v>
      </c>
      <c r="IN39" s="627">
        <v>0</v>
      </c>
      <c r="IO39" s="627">
        <v>0</v>
      </c>
      <c r="IP39" s="627">
        <v>0</v>
      </c>
      <c r="IQ39" s="627">
        <v>0</v>
      </c>
      <c r="IR39" s="627">
        <v>5.3620000000000001</v>
      </c>
      <c r="IS39" s="627">
        <v>3303</v>
      </c>
      <c r="IT39" s="627">
        <v>0</v>
      </c>
      <c r="IU39" s="627">
        <v>0</v>
      </c>
      <c r="IV39" s="627">
        <v>0</v>
      </c>
      <c r="IW39" s="627">
        <v>0</v>
      </c>
      <c r="IX39" s="627">
        <v>6160</v>
      </c>
      <c r="IY39" s="627">
        <v>0</v>
      </c>
      <c r="IZ39" s="627">
        <v>0</v>
      </c>
      <c r="JA39" s="627">
        <v>0</v>
      </c>
      <c r="JB39" s="627">
        <v>0</v>
      </c>
      <c r="JC39" s="627">
        <v>0</v>
      </c>
      <c r="JD39" s="627">
        <v>0</v>
      </c>
      <c r="JE39" s="627">
        <v>0</v>
      </c>
      <c r="JF39" s="627">
        <v>0</v>
      </c>
      <c r="JG39" s="627">
        <v>0</v>
      </c>
      <c r="JH39" s="627">
        <v>0</v>
      </c>
      <c r="JI39" s="627">
        <v>0</v>
      </c>
      <c r="JJ39" s="627">
        <v>0</v>
      </c>
      <c r="JK39" s="627">
        <v>0</v>
      </c>
      <c r="JL39" s="627">
        <v>0</v>
      </c>
      <c r="JM39" s="627">
        <v>0</v>
      </c>
      <c r="JN39" s="627">
        <v>0</v>
      </c>
      <c r="JO39" s="627">
        <v>32469</v>
      </c>
      <c r="JP39" s="627">
        <v>0</v>
      </c>
      <c r="JQ39" s="627">
        <v>0</v>
      </c>
      <c r="JR39" s="627">
        <v>0</v>
      </c>
      <c r="JS39" s="627">
        <v>0</v>
      </c>
      <c r="JT39" s="627">
        <v>0</v>
      </c>
      <c r="JU39" s="627">
        <v>0</v>
      </c>
      <c r="JV39" s="627">
        <v>0</v>
      </c>
      <c r="JW39" s="627">
        <v>0</v>
      </c>
      <c r="JX39" s="627">
        <v>0</v>
      </c>
      <c r="JY39" s="627">
        <v>0</v>
      </c>
      <c r="JZ39" s="627">
        <v>0</v>
      </c>
      <c r="KA39" s="627">
        <v>0</v>
      </c>
      <c r="KB39" s="627">
        <v>0</v>
      </c>
      <c r="KC39" s="627">
        <v>0</v>
      </c>
      <c r="KD39" s="627">
        <v>0</v>
      </c>
      <c r="KE39" s="627">
        <v>0</v>
      </c>
      <c r="KF39" s="627">
        <v>7262</v>
      </c>
      <c r="KG39" s="627">
        <v>0</v>
      </c>
      <c r="KH39" s="627">
        <v>0</v>
      </c>
      <c r="KI39" s="627">
        <v>953246</v>
      </c>
      <c r="KJ39" s="627">
        <v>0</v>
      </c>
      <c r="KK39" s="627">
        <v>1</v>
      </c>
      <c r="KL39" s="627">
        <v>1</v>
      </c>
      <c r="KM39" s="627">
        <v>616</v>
      </c>
      <c r="KN39" s="627">
        <v>616</v>
      </c>
      <c r="KO39" s="627">
        <v>0</v>
      </c>
      <c r="KP39" s="627">
        <v>0</v>
      </c>
      <c r="KQ39" s="627">
        <v>953246</v>
      </c>
      <c r="KR39" s="627">
        <v>0</v>
      </c>
      <c r="KS39" s="627">
        <v>0</v>
      </c>
      <c r="KT39" s="627">
        <v>0</v>
      </c>
      <c r="KU39" s="627">
        <v>0</v>
      </c>
      <c r="KV39" s="627">
        <v>0</v>
      </c>
      <c r="KW39" s="627">
        <v>0</v>
      </c>
      <c r="KX39" s="627">
        <v>0</v>
      </c>
      <c r="KY39" s="627">
        <v>0</v>
      </c>
      <c r="KZ39" s="627">
        <v>0</v>
      </c>
      <c r="LA39" s="627">
        <v>0</v>
      </c>
      <c r="LB39" s="627">
        <v>0</v>
      </c>
      <c r="LC39" s="627">
        <v>0</v>
      </c>
      <c r="LD39" s="627">
        <v>0</v>
      </c>
      <c r="LE39" s="627">
        <v>0</v>
      </c>
      <c r="LF39" s="627">
        <v>0</v>
      </c>
    </row>
    <row r="40" spans="1:318" x14ac:dyDescent="0.25">
      <c r="A40" s="627">
        <v>42602</v>
      </c>
      <c r="B40" s="627">
        <v>108802</v>
      </c>
      <c r="D40" s="627">
        <v>9</v>
      </c>
      <c r="E40" s="627">
        <v>2024</v>
      </c>
      <c r="F40" s="627">
        <v>6160</v>
      </c>
      <c r="G40" s="627">
        <v>0</v>
      </c>
      <c r="H40" s="627">
        <v>1175.548</v>
      </c>
      <c r="I40" s="627">
        <v>1134.8970000000002</v>
      </c>
      <c r="J40" s="627">
        <v>1134.8970000000002</v>
      </c>
      <c r="K40" s="627">
        <v>1175.548</v>
      </c>
      <c r="L40" s="627">
        <v>0</v>
      </c>
      <c r="M40" s="627">
        <v>6160</v>
      </c>
      <c r="N40" s="627">
        <v>0</v>
      </c>
      <c r="O40" s="627">
        <v>0</v>
      </c>
      <c r="P40" s="627">
        <v>0</v>
      </c>
      <c r="Q40" s="627">
        <v>1203.9480000000001</v>
      </c>
      <c r="R40" s="627">
        <v>0</v>
      </c>
      <c r="S40" s="627">
        <v>499499</v>
      </c>
      <c r="T40" s="627">
        <v>414.88400000000001</v>
      </c>
      <c r="U40" s="627">
        <v>0</v>
      </c>
      <c r="V40" s="627">
        <v>259219</v>
      </c>
      <c r="W40" s="627">
        <v>362.52</v>
      </c>
      <c r="X40" s="627">
        <v>223312</v>
      </c>
      <c r="Y40" s="627">
        <v>223312</v>
      </c>
      <c r="Z40" s="627">
        <v>0</v>
      </c>
      <c r="AA40" s="627">
        <v>0</v>
      </c>
      <c r="AB40" s="627">
        <v>0</v>
      </c>
      <c r="AC40" s="627">
        <v>0</v>
      </c>
      <c r="AD40" s="627">
        <v>0</v>
      </c>
      <c r="AE40" s="627" t="s">
        <v>314</v>
      </c>
      <c r="AF40" s="627">
        <v>0</v>
      </c>
      <c r="AG40" s="627">
        <v>0</v>
      </c>
      <c r="AH40" s="627">
        <v>0</v>
      </c>
      <c r="AI40" s="627">
        <v>0</v>
      </c>
      <c r="AJ40" s="627">
        <v>0</v>
      </c>
      <c r="AK40" s="627">
        <v>6160</v>
      </c>
      <c r="AL40" s="627" t="s">
        <v>651</v>
      </c>
      <c r="AM40" s="627" t="s">
        <v>352</v>
      </c>
      <c r="AN40" s="627">
        <v>0</v>
      </c>
      <c r="AO40" s="627">
        <v>0</v>
      </c>
      <c r="AP40" s="627">
        <v>0</v>
      </c>
      <c r="AQ40" s="627">
        <v>0</v>
      </c>
      <c r="AR40" s="627">
        <v>0</v>
      </c>
      <c r="AS40" s="627">
        <v>0</v>
      </c>
      <c r="AT40" s="627">
        <v>0</v>
      </c>
      <c r="AU40" s="627">
        <v>0</v>
      </c>
      <c r="AV40" s="627">
        <v>0</v>
      </c>
      <c r="AW40" s="627">
        <v>0</v>
      </c>
      <c r="AX40" s="627">
        <v>13158276</v>
      </c>
      <c r="AY40" s="627">
        <v>12973088</v>
      </c>
      <c r="AZ40" s="627">
        <v>6533809</v>
      </c>
      <c r="BA40" s="627">
        <v>499499</v>
      </c>
      <c r="BB40" s="627">
        <v>107.417</v>
      </c>
      <c r="BC40" s="627">
        <v>25043</v>
      </c>
      <c r="BD40" s="627">
        <v>24883</v>
      </c>
      <c r="BE40" s="627">
        <v>58.777000000000001</v>
      </c>
      <c r="BF40" s="627">
        <v>160</v>
      </c>
      <c r="BG40" s="627">
        <v>11525503</v>
      </c>
      <c r="BH40" s="627">
        <v>0</v>
      </c>
      <c r="BI40" s="627">
        <v>0</v>
      </c>
      <c r="BJ40" s="627">
        <v>0</v>
      </c>
      <c r="BK40" s="627">
        <v>12</v>
      </c>
      <c r="BL40" s="627">
        <v>0</v>
      </c>
      <c r="BM40" s="627">
        <v>0</v>
      </c>
      <c r="BN40" s="627">
        <v>0</v>
      </c>
      <c r="BO40" s="627">
        <v>0</v>
      </c>
      <c r="BP40" s="627">
        <v>0</v>
      </c>
      <c r="BQ40" s="627">
        <v>0</v>
      </c>
      <c r="BR40" s="627">
        <v>595</v>
      </c>
      <c r="BS40" s="627">
        <v>0</v>
      </c>
      <c r="BT40" s="627">
        <v>0</v>
      </c>
      <c r="BU40" s="627">
        <v>0</v>
      </c>
      <c r="BV40" s="627">
        <v>0</v>
      </c>
      <c r="BW40" s="627">
        <v>0</v>
      </c>
      <c r="BX40" s="627">
        <v>0</v>
      </c>
      <c r="BY40" s="627">
        <v>0</v>
      </c>
      <c r="BZ40" s="627">
        <v>0</v>
      </c>
      <c r="CA40" s="627">
        <v>0</v>
      </c>
      <c r="CB40" s="627">
        <v>0</v>
      </c>
      <c r="CC40" s="627">
        <v>0</v>
      </c>
      <c r="CD40" s="627">
        <v>0</v>
      </c>
      <c r="CE40" s="627">
        <v>0</v>
      </c>
      <c r="CF40" s="627">
        <v>0</v>
      </c>
      <c r="CG40" s="627">
        <v>0</v>
      </c>
      <c r="CH40" s="627">
        <v>0</v>
      </c>
      <c r="CI40" s="627">
        <v>188004</v>
      </c>
      <c r="CJ40" s="627">
        <v>0</v>
      </c>
      <c r="CK40" s="627">
        <v>4</v>
      </c>
      <c r="CL40" s="627">
        <v>0</v>
      </c>
      <c r="CM40" s="627">
        <v>0</v>
      </c>
      <c r="CN40" s="627">
        <v>0</v>
      </c>
      <c r="CO40" s="627">
        <v>0</v>
      </c>
      <c r="CP40" s="627">
        <v>1</v>
      </c>
      <c r="CQ40" s="627">
        <v>0</v>
      </c>
      <c r="CR40" s="627">
        <v>5.6670000000000007</v>
      </c>
      <c r="CS40" s="627">
        <v>1195.8</v>
      </c>
      <c r="CT40" s="627">
        <v>0</v>
      </c>
      <c r="CU40" s="627">
        <v>0</v>
      </c>
      <c r="CV40" s="627">
        <v>0</v>
      </c>
      <c r="CW40" s="627">
        <v>0</v>
      </c>
      <c r="CX40" s="627">
        <v>0</v>
      </c>
      <c r="CY40" s="627">
        <v>0</v>
      </c>
      <c r="CZ40" s="627">
        <v>0</v>
      </c>
      <c r="DA40" s="627">
        <v>0</v>
      </c>
      <c r="DB40" s="627">
        <v>0</v>
      </c>
      <c r="DC40" s="627">
        <v>6990966</v>
      </c>
      <c r="DD40" s="627">
        <v>0</v>
      </c>
      <c r="DE40" s="627">
        <v>0</v>
      </c>
      <c r="DF40" s="627">
        <v>1683528</v>
      </c>
      <c r="DG40" s="627">
        <v>1683528</v>
      </c>
      <c r="DH40" s="627">
        <v>273.3</v>
      </c>
      <c r="DI40" s="627">
        <v>0</v>
      </c>
      <c r="DJ40" s="627">
        <v>0</v>
      </c>
      <c r="DK40" s="627">
        <v>0</v>
      </c>
      <c r="DL40" s="627">
        <v>1146</v>
      </c>
      <c r="DM40" s="627">
        <v>0</v>
      </c>
      <c r="DN40" s="627">
        <v>779345</v>
      </c>
      <c r="DO40" s="627">
        <v>2656</v>
      </c>
      <c r="DP40" s="627">
        <v>0</v>
      </c>
      <c r="DQ40" s="627">
        <v>0</v>
      </c>
      <c r="DR40" s="627">
        <v>0</v>
      </c>
      <c r="DS40" s="627">
        <v>0</v>
      </c>
      <c r="DT40" s="627">
        <v>0</v>
      </c>
      <c r="DU40" s="627">
        <v>0</v>
      </c>
      <c r="DV40" s="627">
        <v>0</v>
      </c>
      <c r="DW40" s="627">
        <v>0</v>
      </c>
      <c r="DX40" s="627">
        <v>0</v>
      </c>
      <c r="DY40" s="627">
        <v>0</v>
      </c>
      <c r="DZ40" s="627">
        <v>0</v>
      </c>
      <c r="EA40" s="627">
        <v>0</v>
      </c>
      <c r="EB40" s="627">
        <v>0</v>
      </c>
      <c r="EC40" s="627">
        <v>0</v>
      </c>
      <c r="ED40" s="627">
        <v>36.302</v>
      </c>
      <c r="EE40" s="627">
        <v>257163</v>
      </c>
      <c r="EF40" s="627">
        <v>0</v>
      </c>
      <c r="EG40" s="627">
        <v>0</v>
      </c>
      <c r="EH40" s="627">
        <v>0</v>
      </c>
      <c r="EI40" s="627">
        <v>524838</v>
      </c>
      <c r="EJ40" s="627">
        <v>0</v>
      </c>
      <c r="EK40" s="627">
        <v>0</v>
      </c>
      <c r="EL40" s="627">
        <v>23.878</v>
      </c>
      <c r="EM40" s="627">
        <v>0</v>
      </c>
      <c r="EN40" s="627">
        <v>0.39400000000000002</v>
      </c>
      <c r="EO40" s="627">
        <v>2.4770000000000003</v>
      </c>
      <c r="EP40" s="627">
        <v>0</v>
      </c>
      <c r="EQ40" s="627">
        <v>0</v>
      </c>
      <c r="ER40" s="627">
        <v>26.749000000000002</v>
      </c>
      <c r="ES40" s="627">
        <v>0</v>
      </c>
      <c r="ET40" s="627">
        <v>85.201000000000008</v>
      </c>
      <c r="EU40" s="627">
        <v>0</v>
      </c>
      <c r="EV40" s="627">
        <v>0</v>
      </c>
      <c r="EW40" s="627">
        <v>0</v>
      </c>
      <c r="EX40" s="627">
        <v>0</v>
      </c>
      <c r="EY40" s="627">
        <v>0</v>
      </c>
      <c r="EZ40" s="627">
        <v>0</v>
      </c>
      <c r="FA40" s="627">
        <v>11026032</v>
      </c>
      <c r="FB40" s="627">
        <v>0</v>
      </c>
      <c r="FC40" s="627">
        <v>11522715</v>
      </c>
      <c r="FD40" s="627">
        <v>0</v>
      </c>
      <c r="FE40" s="627">
        <v>0</v>
      </c>
      <c r="FF40" s="627">
        <v>1659628</v>
      </c>
      <c r="FG40" s="627">
        <v>287428</v>
      </c>
      <c r="FH40" s="627">
        <v>7.0280999999999996E-2</v>
      </c>
      <c r="FI40" s="627">
        <v>3.1172999999999999E-2</v>
      </c>
      <c r="FJ40" s="627">
        <v>0</v>
      </c>
      <c r="FK40" s="627">
        <v>0</v>
      </c>
      <c r="FL40" s="627">
        <v>1871.0230000000001</v>
      </c>
      <c r="FM40" s="627">
        <v>13657775</v>
      </c>
      <c r="FN40" s="627">
        <v>0</v>
      </c>
      <c r="FO40" s="627">
        <v>0</v>
      </c>
      <c r="FP40" s="627">
        <v>0</v>
      </c>
      <c r="FQ40" s="627">
        <v>0</v>
      </c>
      <c r="FR40" s="627">
        <v>0</v>
      </c>
      <c r="FS40" s="627">
        <v>0</v>
      </c>
      <c r="FT40" s="627">
        <v>0</v>
      </c>
      <c r="FU40" s="627">
        <v>0</v>
      </c>
      <c r="FV40" s="627">
        <v>0</v>
      </c>
      <c r="FW40" s="627">
        <v>0</v>
      </c>
      <c r="FX40" s="627">
        <v>0</v>
      </c>
      <c r="FY40" s="627">
        <v>0</v>
      </c>
      <c r="FZ40" s="627">
        <v>0</v>
      </c>
      <c r="GA40" s="627">
        <v>0</v>
      </c>
      <c r="GB40" s="627">
        <v>0</v>
      </c>
      <c r="GC40" s="627">
        <v>120128</v>
      </c>
      <c r="GD40" s="627">
        <v>120128</v>
      </c>
      <c r="GE40" s="627">
        <v>13.902000000000001</v>
      </c>
      <c r="GF40" s="627">
        <v>0</v>
      </c>
      <c r="GG40" s="627">
        <v>0</v>
      </c>
      <c r="GH40" s="627">
        <v>0</v>
      </c>
      <c r="GI40" s="627">
        <v>0</v>
      </c>
      <c r="GJ40" s="627">
        <v>0</v>
      </c>
      <c r="GK40" s="627">
        <v>0</v>
      </c>
      <c r="GL40" s="627">
        <v>0</v>
      </c>
      <c r="GM40" s="627">
        <v>0</v>
      </c>
      <c r="GN40" s="627">
        <v>0</v>
      </c>
      <c r="GO40" s="627">
        <v>0</v>
      </c>
      <c r="GP40" s="627">
        <v>0</v>
      </c>
      <c r="GQ40" s="627">
        <v>0</v>
      </c>
      <c r="GR40" s="627">
        <v>12970272</v>
      </c>
      <c r="GS40" s="627">
        <v>0</v>
      </c>
      <c r="GT40" s="627">
        <v>0</v>
      </c>
      <c r="GU40" s="627">
        <v>0</v>
      </c>
      <c r="GV40" s="627">
        <v>0</v>
      </c>
      <c r="GW40" s="627">
        <v>0</v>
      </c>
      <c r="GX40" s="627">
        <v>0</v>
      </c>
      <c r="GY40" s="627">
        <v>0</v>
      </c>
      <c r="GZ40" s="627">
        <v>0</v>
      </c>
      <c r="HA40" s="627">
        <v>0</v>
      </c>
      <c r="HB40" s="627">
        <v>0</v>
      </c>
      <c r="HC40" s="627">
        <v>361151439</v>
      </c>
      <c r="HD40" s="627">
        <v>3.9981999999999997E-2</v>
      </c>
      <c r="HE40" s="627">
        <v>188004</v>
      </c>
      <c r="HF40" s="627">
        <v>0</v>
      </c>
      <c r="HG40" s="627">
        <v>1250656</v>
      </c>
      <c r="HH40" s="627">
        <v>4928</v>
      </c>
      <c r="HI40" s="627">
        <v>373186</v>
      </c>
      <c r="HJ40" s="627">
        <v>0</v>
      </c>
      <c r="HK40" s="627">
        <v>71755</v>
      </c>
      <c r="HL40" s="627">
        <v>0</v>
      </c>
      <c r="HM40" s="627">
        <v>28</v>
      </c>
      <c r="HN40" s="627">
        <v>0</v>
      </c>
      <c r="HO40" s="627">
        <v>0</v>
      </c>
      <c r="HP40" s="627">
        <v>0</v>
      </c>
      <c r="HQ40" s="627">
        <v>0</v>
      </c>
      <c r="HR40" s="627">
        <v>0</v>
      </c>
      <c r="HS40" s="627">
        <v>0</v>
      </c>
      <c r="HT40" s="627">
        <v>11023216</v>
      </c>
      <c r="HU40" s="627">
        <v>287428</v>
      </c>
      <c r="HV40" s="627">
        <v>0</v>
      </c>
      <c r="HW40" s="627">
        <v>0</v>
      </c>
      <c r="HX40" s="627">
        <v>0</v>
      </c>
      <c r="HY40" s="627">
        <v>197</v>
      </c>
      <c r="HZ40" s="627">
        <v>241</v>
      </c>
      <c r="IA40" s="627">
        <v>242</v>
      </c>
      <c r="IB40" s="627">
        <v>231</v>
      </c>
      <c r="IC40" s="627">
        <v>184</v>
      </c>
      <c r="ID40" s="627">
        <v>1095</v>
      </c>
      <c r="IE40" s="627">
        <v>0</v>
      </c>
      <c r="IF40" s="627">
        <v>0</v>
      </c>
      <c r="IG40" s="627">
        <v>0</v>
      </c>
      <c r="IH40" s="627">
        <v>8</v>
      </c>
      <c r="II40" s="627">
        <v>605.822</v>
      </c>
      <c r="IJ40" s="627">
        <v>0</v>
      </c>
      <c r="IK40" s="627">
        <v>362.52</v>
      </c>
      <c r="IL40" s="627">
        <v>0</v>
      </c>
      <c r="IM40" s="627">
        <v>0</v>
      </c>
      <c r="IN40" s="627">
        <v>0</v>
      </c>
      <c r="IO40" s="627">
        <v>0</v>
      </c>
      <c r="IP40" s="627">
        <v>0</v>
      </c>
      <c r="IQ40" s="627">
        <v>0</v>
      </c>
      <c r="IR40" s="627">
        <v>362.52</v>
      </c>
      <c r="IS40" s="627">
        <v>223312</v>
      </c>
      <c r="IT40" s="627">
        <v>0</v>
      </c>
      <c r="IU40" s="627">
        <v>0</v>
      </c>
      <c r="IV40" s="627">
        <v>0</v>
      </c>
      <c r="IW40" s="627">
        <v>0</v>
      </c>
      <c r="IX40" s="627">
        <v>6160</v>
      </c>
      <c r="IY40" s="627">
        <v>0</v>
      </c>
      <c r="IZ40" s="627">
        <v>0</v>
      </c>
      <c r="JA40" s="627">
        <v>0</v>
      </c>
      <c r="JB40" s="627">
        <v>0</v>
      </c>
      <c r="JC40" s="627">
        <v>0</v>
      </c>
      <c r="JD40" s="627">
        <v>0</v>
      </c>
      <c r="JE40" s="627">
        <v>0</v>
      </c>
      <c r="JF40" s="627">
        <v>0</v>
      </c>
      <c r="JG40" s="627">
        <v>0</v>
      </c>
      <c r="JH40" s="627">
        <v>0</v>
      </c>
      <c r="JI40" s="627">
        <v>0</v>
      </c>
      <c r="JJ40" s="627">
        <v>0</v>
      </c>
      <c r="JK40" s="627">
        <v>0</v>
      </c>
      <c r="JL40" s="627">
        <v>0</v>
      </c>
      <c r="JM40" s="627">
        <v>0</v>
      </c>
      <c r="JN40" s="627">
        <v>0</v>
      </c>
      <c r="JO40" s="627">
        <v>32469</v>
      </c>
      <c r="JP40" s="627">
        <v>6.9590000000000005</v>
      </c>
      <c r="JQ40" s="627">
        <v>6.9430000000000005</v>
      </c>
      <c r="JR40" s="627">
        <v>0</v>
      </c>
      <c r="JS40" s="627">
        <v>55590</v>
      </c>
      <c r="JT40" s="627">
        <v>64538</v>
      </c>
      <c r="JU40" s="627">
        <v>0</v>
      </c>
      <c r="JV40" s="627">
        <v>25345</v>
      </c>
      <c r="JW40" s="627">
        <v>0</v>
      </c>
      <c r="JX40" s="627">
        <v>0</v>
      </c>
      <c r="JY40" s="627">
        <v>0</v>
      </c>
      <c r="JZ40" s="627">
        <v>0</v>
      </c>
      <c r="KA40" s="627">
        <v>0</v>
      </c>
      <c r="KB40" s="627">
        <v>0</v>
      </c>
      <c r="KC40" s="627">
        <v>0</v>
      </c>
      <c r="KD40" s="627">
        <v>0</v>
      </c>
      <c r="KE40" s="627">
        <v>25441</v>
      </c>
      <c r="KF40" s="627">
        <v>7262</v>
      </c>
      <c r="KG40" s="627">
        <v>0</v>
      </c>
      <c r="KH40" s="627">
        <v>0</v>
      </c>
      <c r="KI40" s="627">
        <v>12970272</v>
      </c>
      <c r="KJ40" s="627">
        <v>0</v>
      </c>
      <c r="KK40" s="627">
        <v>0</v>
      </c>
      <c r="KL40" s="627">
        <v>8</v>
      </c>
      <c r="KM40" s="627">
        <v>0</v>
      </c>
      <c r="KN40" s="627">
        <v>4928</v>
      </c>
      <c r="KO40" s="627">
        <v>0</v>
      </c>
      <c r="KP40" s="627">
        <v>0</v>
      </c>
      <c r="KQ40" s="627">
        <v>12970272</v>
      </c>
      <c r="KR40" s="627">
        <v>0</v>
      </c>
      <c r="KS40" s="627">
        <v>0</v>
      </c>
      <c r="KT40" s="627">
        <v>0</v>
      </c>
      <c r="KU40" s="627">
        <v>0</v>
      </c>
      <c r="KV40" s="627">
        <v>0</v>
      </c>
      <c r="KW40" s="627">
        <v>0</v>
      </c>
      <c r="KX40" s="627">
        <v>0</v>
      </c>
      <c r="KY40" s="627">
        <v>0</v>
      </c>
      <c r="KZ40" s="627">
        <v>0</v>
      </c>
      <c r="LA40" s="627">
        <v>0</v>
      </c>
      <c r="LB40" s="627">
        <v>0</v>
      </c>
      <c r="LC40" s="627">
        <v>0</v>
      </c>
      <c r="LD40" s="627">
        <v>0</v>
      </c>
      <c r="LE40" s="627">
        <v>0</v>
      </c>
      <c r="LF40" s="627">
        <v>0</v>
      </c>
    </row>
    <row r="41" spans="1:318" x14ac:dyDescent="0.25">
      <c r="A41" s="627">
        <v>42602</v>
      </c>
      <c r="B41" s="627">
        <v>152802</v>
      </c>
      <c r="D41" s="627">
        <v>9</v>
      </c>
      <c r="E41" s="627">
        <v>2024</v>
      </c>
      <c r="F41" s="627">
        <v>6160</v>
      </c>
      <c r="G41" s="627">
        <v>0</v>
      </c>
      <c r="H41" s="627">
        <v>238.71800000000002</v>
      </c>
      <c r="I41" s="627">
        <v>234.208</v>
      </c>
      <c r="J41" s="627">
        <v>234.208</v>
      </c>
      <c r="K41" s="627">
        <v>238.71800000000002</v>
      </c>
      <c r="L41" s="627">
        <v>0</v>
      </c>
      <c r="M41" s="627">
        <v>6160</v>
      </c>
      <c r="N41" s="627">
        <v>0</v>
      </c>
      <c r="O41" s="627">
        <v>0</v>
      </c>
      <c r="P41" s="627">
        <v>0</v>
      </c>
      <c r="Q41" s="627">
        <v>240.65200000000002</v>
      </c>
      <c r="R41" s="627">
        <v>0</v>
      </c>
      <c r="S41" s="627">
        <v>99843</v>
      </c>
      <c r="T41" s="627">
        <v>414.88400000000001</v>
      </c>
      <c r="U41" s="627">
        <v>0</v>
      </c>
      <c r="V41" s="627">
        <v>51814</v>
      </c>
      <c r="W41" s="627">
        <v>0</v>
      </c>
      <c r="X41" s="627">
        <v>0</v>
      </c>
      <c r="Y41" s="627">
        <v>0</v>
      </c>
      <c r="Z41" s="627">
        <v>0</v>
      </c>
      <c r="AA41" s="627">
        <v>0</v>
      </c>
      <c r="AB41" s="627">
        <v>0</v>
      </c>
      <c r="AC41" s="627">
        <v>0</v>
      </c>
      <c r="AD41" s="627">
        <v>0</v>
      </c>
      <c r="AE41" s="627" t="s">
        <v>314</v>
      </c>
      <c r="AF41" s="627">
        <v>0</v>
      </c>
      <c r="AG41" s="627">
        <v>0</v>
      </c>
      <c r="AH41" s="627">
        <v>0</v>
      </c>
      <c r="AI41" s="627">
        <v>0</v>
      </c>
      <c r="AJ41" s="627">
        <v>0</v>
      </c>
      <c r="AK41" s="627">
        <v>6160</v>
      </c>
      <c r="AL41" s="627" t="s">
        <v>651</v>
      </c>
      <c r="AM41" s="627" t="s">
        <v>89</v>
      </c>
      <c r="AN41" s="627">
        <v>0</v>
      </c>
      <c r="AO41" s="627">
        <v>0</v>
      </c>
      <c r="AP41" s="627">
        <v>0</v>
      </c>
      <c r="AQ41" s="627">
        <v>0</v>
      </c>
      <c r="AR41" s="627">
        <v>0</v>
      </c>
      <c r="AS41" s="627">
        <v>0</v>
      </c>
      <c r="AT41" s="627">
        <v>0</v>
      </c>
      <c r="AU41" s="627">
        <v>0</v>
      </c>
      <c r="AV41" s="627">
        <v>0</v>
      </c>
      <c r="AW41" s="627">
        <v>0</v>
      </c>
      <c r="AX41" s="627">
        <v>2631501</v>
      </c>
      <c r="AY41" s="627">
        <v>2593694</v>
      </c>
      <c r="AZ41" s="627">
        <v>1328772</v>
      </c>
      <c r="BA41" s="627">
        <v>99843</v>
      </c>
      <c r="BB41" s="627">
        <v>11.25</v>
      </c>
      <c r="BC41" s="627">
        <v>0</v>
      </c>
      <c r="BD41" s="627">
        <v>0</v>
      </c>
      <c r="BE41" s="627">
        <v>0</v>
      </c>
      <c r="BF41" s="627">
        <v>0</v>
      </c>
      <c r="BG41" s="627">
        <v>2304267</v>
      </c>
      <c r="BH41" s="627">
        <v>0</v>
      </c>
      <c r="BI41" s="627">
        <v>0</v>
      </c>
      <c r="BJ41" s="627">
        <v>0</v>
      </c>
      <c r="BK41" s="627">
        <v>12</v>
      </c>
      <c r="BL41" s="627">
        <v>0</v>
      </c>
      <c r="BM41" s="627">
        <v>0</v>
      </c>
      <c r="BN41" s="627">
        <v>0</v>
      </c>
      <c r="BO41" s="627">
        <v>0</v>
      </c>
      <c r="BP41" s="627">
        <v>0</v>
      </c>
      <c r="BQ41" s="627">
        <v>0</v>
      </c>
      <c r="BR41" s="627">
        <v>734</v>
      </c>
      <c r="BS41" s="627">
        <v>0</v>
      </c>
      <c r="BT41" s="627">
        <v>0</v>
      </c>
      <c r="BU41" s="627">
        <v>0</v>
      </c>
      <c r="BV41" s="627">
        <v>0</v>
      </c>
      <c r="BW41" s="627">
        <v>0</v>
      </c>
      <c r="BX41" s="627">
        <v>0</v>
      </c>
      <c r="BY41" s="627">
        <v>0</v>
      </c>
      <c r="BZ41" s="627">
        <v>0</v>
      </c>
      <c r="CA41" s="627">
        <v>0</v>
      </c>
      <c r="CB41" s="627">
        <v>0</v>
      </c>
      <c r="CC41" s="627">
        <v>0</v>
      </c>
      <c r="CD41" s="627">
        <v>0</v>
      </c>
      <c r="CE41" s="627">
        <v>0</v>
      </c>
      <c r="CF41" s="627">
        <v>0</v>
      </c>
      <c r="CG41" s="627">
        <v>0</v>
      </c>
      <c r="CH41" s="627">
        <v>0</v>
      </c>
      <c r="CI41" s="627">
        <v>38178</v>
      </c>
      <c r="CJ41" s="627">
        <v>0</v>
      </c>
      <c r="CK41" s="627">
        <v>4</v>
      </c>
      <c r="CL41" s="627">
        <v>0</v>
      </c>
      <c r="CM41" s="627">
        <v>0</v>
      </c>
      <c r="CN41" s="627">
        <v>0</v>
      </c>
      <c r="CO41" s="627">
        <v>0</v>
      </c>
      <c r="CP41" s="627">
        <v>1</v>
      </c>
      <c r="CQ41" s="627">
        <v>0</v>
      </c>
      <c r="CR41" s="627">
        <v>0.5</v>
      </c>
      <c r="CS41" s="627">
        <v>243.197</v>
      </c>
      <c r="CT41" s="627">
        <v>0</v>
      </c>
      <c r="CU41" s="627">
        <v>0</v>
      </c>
      <c r="CV41" s="627">
        <v>0</v>
      </c>
      <c r="CW41" s="627">
        <v>0</v>
      </c>
      <c r="CX41" s="627">
        <v>0</v>
      </c>
      <c r="CY41" s="627">
        <v>0</v>
      </c>
      <c r="CZ41" s="627">
        <v>0</v>
      </c>
      <c r="DA41" s="627">
        <v>0</v>
      </c>
      <c r="DB41" s="627">
        <v>0</v>
      </c>
      <c r="DC41" s="627">
        <v>1442721</v>
      </c>
      <c r="DD41" s="627">
        <v>0</v>
      </c>
      <c r="DE41" s="627">
        <v>0</v>
      </c>
      <c r="DF41" s="627">
        <v>412643</v>
      </c>
      <c r="DG41" s="627">
        <v>412643</v>
      </c>
      <c r="DH41" s="627">
        <v>66.988</v>
      </c>
      <c r="DI41" s="627">
        <v>0</v>
      </c>
      <c r="DJ41" s="627">
        <v>0</v>
      </c>
      <c r="DK41" s="627">
        <v>0</v>
      </c>
      <c r="DL41" s="627">
        <v>3365</v>
      </c>
      <c r="DM41" s="627">
        <v>0</v>
      </c>
      <c r="DN41" s="627">
        <v>108906</v>
      </c>
      <c r="DO41" s="627">
        <v>371</v>
      </c>
      <c r="DP41" s="627">
        <v>0</v>
      </c>
      <c r="DQ41" s="627">
        <v>0</v>
      </c>
      <c r="DR41" s="627">
        <v>0</v>
      </c>
      <c r="DS41" s="627">
        <v>0</v>
      </c>
      <c r="DT41" s="627">
        <v>0</v>
      </c>
      <c r="DU41" s="627">
        <v>0</v>
      </c>
      <c r="DV41" s="627">
        <v>0</v>
      </c>
      <c r="DW41" s="627">
        <v>0</v>
      </c>
      <c r="DX41" s="627">
        <v>0</v>
      </c>
      <c r="DY41" s="627">
        <v>0</v>
      </c>
      <c r="DZ41" s="627">
        <v>0</v>
      </c>
      <c r="EA41" s="627">
        <v>0</v>
      </c>
      <c r="EB41" s="627">
        <v>0</v>
      </c>
      <c r="EC41" s="627">
        <v>0</v>
      </c>
      <c r="ED41" s="627">
        <v>1.9320000000000002</v>
      </c>
      <c r="EE41" s="627">
        <v>13686</v>
      </c>
      <c r="EF41" s="627">
        <v>0</v>
      </c>
      <c r="EG41" s="627">
        <v>0</v>
      </c>
      <c r="EH41" s="627">
        <v>0</v>
      </c>
      <c r="EI41" s="627">
        <v>95591</v>
      </c>
      <c r="EJ41" s="627">
        <v>0</v>
      </c>
      <c r="EK41" s="627">
        <v>0</v>
      </c>
      <c r="EL41" s="627">
        <v>3.516</v>
      </c>
      <c r="EM41" s="627">
        <v>0</v>
      </c>
      <c r="EN41" s="627">
        <v>0</v>
      </c>
      <c r="EO41" s="627">
        <v>0.99399999999999999</v>
      </c>
      <c r="EP41" s="627">
        <v>0</v>
      </c>
      <c r="EQ41" s="627">
        <v>0</v>
      </c>
      <c r="ER41" s="627">
        <v>4.51</v>
      </c>
      <c r="ES41" s="627">
        <v>0</v>
      </c>
      <c r="ET41" s="627">
        <v>15.518000000000001</v>
      </c>
      <c r="EU41" s="627">
        <v>0</v>
      </c>
      <c r="EV41" s="627">
        <v>0</v>
      </c>
      <c r="EW41" s="627">
        <v>0</v>
      </c>
      <c r="EX41" s="627">
        <v>0</v>
      </c>
      <c r="EY41" s="627">
        <v>0</v>
      </c>
      <c r="EZ41" s="627">
        <v>0</v>
      </c>
      <c r="FA41" s="627">
        <v>2204424</v>
      </c>
      <c r="FB41" s="627">
        <v>0</v>
      </c>
      <c r="FC41" s="627">
        <v>2303896</v>
      </c>
      <c r="FD41" s="627">
        <v>0</v>
      </c>
      <c r="FE41" s="627">
        <v>0</v>
      </c>
      <c r="FF41" s="627">
        <v>331805</v>
      </c>
      <c r="FG41" s="627">
        <v>57465</v>
      </c>
      <c r="FH41" s="627">
        <v>7.0280999999999996E-2</v>
      </c>
      <c r="FI41" s="627">
        <v>3.1172999999999999E-2</v>
      </c>
      <c r="FJ41" s="627">
        <v>0</v>
      </c>
      <c r="FK41" s="627">
        <v>0</v>
      </c>
      <c r="FL41" s="627">
        <v>374.06900000000002</v>
      </c>
      <c r="FM41" s="627">
        <v>2731344</v>
      </c>
      <c r="FN41" s="627">
        <v>0</v>
      </c>
      <c r="FO41" s="627">
        <v>0</v>
      </c>
      <c r="FP41" s="627">
        <v>0</v>
      </c>
      <c r="FQ41" s="627">
        <v>0</v>
      </c>
      <c r="FR41" s="627">
        <v>0</v>
      </c>
      <c r="FS41" s="627">
        <v>0</v>
      </c>
      <c r="FT41" s="627">
        <v>0</v>
      </c>
      <c r="FU41" s="627">
        <v>0</v>
      </c>
      <c r="FV41" s="627">
        <v>0</v>
      </c>
      <c r="FW41" s="627">
        <v>0</v>
      </c>
      <c r="FX41" s="627">
        <v>0</v>
      </c>
      <c r="FY41" s="627">
        <v>0</v>
      </c>
      <c r="FZ41" s="627">
        <v>0</v>
      </c>
      <c r="GA41" s="627">
        <v>0</v>
      </c>
      <c r="GB41" s="627">
        <v>0</v>
      </c>
      <c r="GC41" s="627">
        <v>0</v>
      </c>
      <c r="GD41" s="627">
        <v>0</v>
      </c>
      <c r="GE41" s="627">
        <v>0</v>
      </c>
      <c r="GF41" s="627">
        <v>0</v>
      </c>
      <c r="GG41" s="627">
        <v>0</v>
      </c>
      <c r="GH41" s="627">
        <v>0</v>
      </c>
      <c r="GI41" s="627">
        <v>0</v>
      </c>
      <c r="GJ41" s="627">
        <v>0</v>
      </c>
      <c r="GK41" s="627">
        <v>0</v>
      </c>
      <c r="GL41" s="627">
        <v>0</v>
      </c>
      <c r="GM41" s="627">
        <v>0</v>
      </c>
      <c r="GN41" s="627">
        <v>0</v>
      </c>
      <c r="GO41" s="627">
        <v>0</v>
      </c>
      <c r="GP41" s="627">
        <v>0</v>
      </c>
      <c r="GQ41" s="627">
        <v>0</v>
      </c>
      <c r="GR41" s="627">
        <v>2593323</v>
      </c>
      <c r="GS41" s="627">
        <v>0</v>
      </c>
      <c r="GT41" s="627">
        <v>0</v>
      </c>
      <c r="GU41" s="627">
        <v>0</v>
      </c>
      <c r="GV41" s="627">
        <v>0</v>
      </c>
      <c r="GW41" s="627">
        <v>0</v>
      </c>
      <c r="GX41" s="627">
        <v>0</v>
      </c>
      <c r="GY41" s="627">
        <v>0</v>
      </c>
      <c r="GZ41" s="627">
        <v>0</v>
      </c>
      <c r="HA41" s="627">
        <v>0</v>
      </c>
      <c r="HB41" s="627">
        <v>0</v>
      </c>
      <c r="HC41" s="627">
        <v>361151439</v>
      </c>
      <c r="HD41" s="627">
        <v>3.9981999999999997E-2</v>
      </c>
      <c r="HE41" s="627">
        <v>38178</v>
      </c>
      <c r="HF41" s="627">
        <v>0</v>
      </c>
      <c r="HG41" s="627">
        <v>258097</v>
      </c>
      <c r="HH41" s="627">
        <v>616</v>
      </c>
      <c r="HI41" s="627">
        <v>63526</v>
      </c>
      <c r="HJ41" s="627">
        <v>0</v>
      </c>
      <c r="HK41" s="627">
        <v>17387</v>
      </c>
      <c r="HL41" s="627">
        <v>0</v>
      </c>
      <c r="HM41" s="627">
        <v>0</v>
      </c>
      <c r="HN41" s="627">
        <v>0</v>
      </c>
      <c r="HO41" s="627">
        <v>0</v>
      </c>
      <c r="HP41" s="627">
        <v>0</v>
      </c>
      <c r="HQ41" s="627">
        <v>0</v>
      </c>
      <c r="HR41" s="627">
        <v>0</v>
      </c>
      <c r="HS41" s="627">
        <v>0</v>
      </c>
      <c r="HT41" s="627">
        <v>2204053</v>
      </c>
      <c r="HU41" s="627">
        <v>57465</v>
      </c>
      <c r="HV41" s="627">
        <v>0</v>
      </c>
      <c r="HW41" s="627">
        <v>0</v>
      </c>
      <c r="HX41" s="627">
        <v>0</v>
      </c>
      <c r="HY41" s="627">
        <v>32</v>
      </c>
      <c r="HZ41" s="627">
        <v>23</v>
      </c>
      <c r="IA41" s="627">
        <v>56</v>
      </c>
      <c r="IB41" s="627">
        <v>52</v>
      </c>
      <c r="IC41" s="627">
        <v>97</v>
      </c>
      <c r="ID41" s="627">
        <v>260</v>
      </c>
      <c r="IE41" s="627">
        <v>0</v>
      </c>
      <c r="IF41" s="627">
        <v>0</v>
      </c>
      <c r="IG41" s="627">
        <v>0</v>
      </c>
      <c r="IH41" s="627">
        <v>1</v>
      </c>
      <c r="II41" s="627">
        <v>103.12700000000001</v>
      </c>
      <c r="IJ41" s="627">
        <v>0</v>
      </c>
      <c r="IK41" s="627">
        <v>0</v>
      </c>
      <c r="IL41" s="627">
        <v>0</v>
      </c>
      <c r="IM41" s="627">
        <v>0</v>
      </c>
      <c r="IN41" s="627">
        <v>0</v>
      </c>
      <c r="IO41" s="627">
        <v>0</v>
      </c>
      <c r="IP41" s="627">
        <v>0</v>
      </c>
      <c r="IQ41" s="627">
        <v>0</v>
      </c>
      <c r="IR41" s="627">
        <v>0</v>
      </c>
      <c r="IS41" s="627">
        <v>0</v>
      </c>
      <c r="IT41" s="627">
        <v>0</v>
      </c>
      <c r="IU41" s="627">
        <v>0</v>
      </c>
      <c r="IV41" s="627">
        <v>0</v>
      </c>
      <c r="IW41" s="627">
        <v>0</v>
      </c>
      <c r="IX41" s="627">
        <v>6160</v>
      </c>
      <c r="IY41" s="627">
        <v>0</v>
      </c>
      <c r="IZ41" s="627">
        <v>0</v>
      </c>
      <c r="JA41" s="627">
        <v>0</v>
      </c>
      <c r="JB41" s="627">
        <v>0</v>
      </c>
      <c r="JC41" s="627">
        <v>0</v>
      </c>
      <c r="JD41" s="627">
        <v>0</v>
      </c>
      <c r="JE41" s="627">
        <v>0</v>
      </c>
      <c r="JF41" s="627">
        <v>0</v>
      </c>
      <c r="JG41" s="627">
        <v>0</v>
      </c>
      <c r="JH41" s="627">
        <v>0</v>
      </c>
      <c r="JI41" s="627">
        <v>0</v>
      </c>
      <c r="JJ41" s="627">
        <v>0</v>
      </c>
      <c r="JK41" s="627">
        <v>0</v>
      </c>
      <c r="JL41" s="627">
        <v>0</v>
      </c>
      <c r="JM41" s="627">
        <v>0</v>
      </c>
      <c r="JN41" s="627">
        <v>0</v>
      </c>
      <c r="JO41" s="627">
        <v>32469</v>
      </c>
      <c r="JP41" s="627">
        <v>0</v>
      </c>
      <c r="JQ41" s="627">
        <v>0</v>
      </c>
      <c r="JR41" s="627">
        <v>0</v>
      </c>
      <c r="JS41" s="627">
        <v>0</v>
      </c>
      <c r="JT41" s="627">
        <v>0</v>
      </c>
      <c r="JU41" s="627">
        <v>0</v>
      </c>
      <c r="JV41" s="627">
        <v>0</v>
      </c>
      <c r="JW41" s="627">
        <v>0</v>
      </c>
      <c r="JX41" s="627">
        <v>0</v>
      </c>
      <c r="JY41" s="627">
        <v>0</v>
      </c>
      <c r="JZ41" s="627">
        <v>0</v>
      </c>
      <c r="KA41" s="627">
        <v>0</v>
      </c>
      <c r="KB41" s="627">
        <v>0</v>
      </c>
      <c r="KC41" s="627">
        <v>0</v>
      </c>
      <c r="KD41" s="627">
        <v>0</v>
      </c>
      <c r="KE41" s="627">
        <v>0</v>
      </c>
      <c r="KF41" s="627">
        <v>7262</v>
      </c>
      <c r="KG41" s="627">
        <v>0</v>
      </c>
      <c r="KH41" s="627">
        <v>0</v>
      </c>
      <c r="KI41" s="627">
        <v>2593323</v>
      </c>
      <c r="KJ41" s="627">
        <v>0</v>
      </c>
      <c r="KK41" s="627">
        <v>1</v>
      </c>
      <c r="KL41" s="627">
        <v>0</v>
      </c>
      <c r="KM41" s="627">
        <v>616</v>
      </c>
      <c r="KN41" s="627">
        <v>0</v>
      </c>
      <c r="KO41" s="627">
        <v>0</v>
      </c>
      <c r="KP41" s="627">
        <v>0</v>
      </c>
      <c r="KQ41" s="627">
        <v>2593323</v>
      </c>
      <c r="KR41" s="627">
        <v>0</v>
      </c>
      <c r="KS41" s="627">
        <v>0</v>
      </c>
      <c r="KT41" s="627">
        <v>0</v>
      </c>
      <c r="KU41" s="627">
        <v>0</v>
      </c>
      <c r="KV41" s="627">
        <v>0</v>
      </c>
      <c r="KW41" s="627">
        <v>0</v>
      </c>
      <c r="KX41" s="627">
        <v>0</v>
      </c>
      <c r="KY41" s="627">
        <v>0</v>
      </c>
      <c r="KZ41" s="627">
        <v>0</v>
      </c>
      <c r="LA41" s="627">
        <v>0</v>
      </c>
      <c r="LB41" s="627">
        <v>0</v>
      </c>
      <c r="LC41" s="627">
        <v>0</v>
      </c>
      <c r="LD41" s="627">
        <v>0</v>
      </c>
      <c r="LE41" s="627">
        <v>0</v>
      </c>
      <c r="LF41" s="627">
        <v>0</v>
      </c>
    </row>
    <row r="42" spans="1:318" x14ac:dyDescent="0.25">
      <c r="A42" s="627">
        <v>42602</v>
      </c>
      <c r="B42" s="627">
        <v>161802</v>
      </c>
      <c r="D42" s="627">
        <v>9</v>
      </c>
      <c r="E42" s="627">
        <v>2024</v>
      </c>
      <c r="F42" s="627">
        <v>6160</v>
      </c>
      <c r="G42" s="627">
        <v>0</v>
      </c>
      <c r="H42" s="627">
        <v>801.66800000000001</v>
      </c>
      <c r="I42" s="627">
        <v>713.37200000000007</v>
      </c>
      <c r="J42" s="627">
        <v>713.37200000000007</v>
      </c>
      <c r="K42" s="627">
        <v>801.66800000000001</v>
      </c>
      <c r="L42" s="627">
        <v>0</v>
      </c>
      <c r="M42" s="627">
        <v>6160</v>
      </c>
      <c r="N42" s="627">
        <v>0</v>
      </c>
      <c r="O42" s="627">
        <v>0</v>
      </c>
      <c r="P42" s="627">
        <v>0</v>
      </c>
      <c r="Q42" s="627">
        <v>764.85</v>
      </c>
      <c r="R42" s="627">
        <v>0</v>
      </c>
      <c r="S42" s="627">
        <v>317324</v>
      </c>
      <c r="T42" s="627">
        <v>414.88400000000001</v>
      </c>
      <c r="U42" s="627">
        <v>0</v>
      </c>
      <c r="V42" s="627">
        <v>164679</v>
      </c>
      <c r="W42" s="627">
        <v>69.671999999999997</v>
      </c>
      <c r="X42" s="627">
        <v>42918</v>
      </c>
      <c r="Y42" s="627">
        <v>42918</v>
      </c>
      <c r="Z42" s="627">
        <v>0</v>
      </c>
      <c r="AA42" s="627">
        <v>0</v>
      </c>
      <c r="AB42" s="627">
        <v>0</v>
      </c>
      <c r="AC42" s="627">
        <v>0</v>
      </c>
      <c r="AD42" s="627">
        <v>0</v>
      </c>
      <c r="AE42" s="627" t="s">
        <v>314</v>
      </c>
      <c r="AF42" s="627">
        <v>0</v>
      </c>
      <c r="AG42" s="627">
        <v>0</v>
      </c>
      <c r="AH42" s="627">
        <v>0</v>
      </c>
      <c r="AI42" s="627">
        <v>0</v>
      </c>
      <c r="AJ42" s="627">
        <v>0</v>
      </c>
      <c r="AK42" s="627">
        <v>6160</v>
      </c>
      <c r="AL42" s="627" t="s">
        <v>651</v>
      </c>
      <c r="AM42" s="627" t="s">
        <v>357</v>
      </c>
      <c r="AN42" s="627">
        <v>0</v>
      </c>
      <c r="AO42" s="627">
        <v>0</v>
      </c>
      <c r="AP42" s="627">
        <v>0</v>
      </c>
      <c r="AQ42" s="627">
        <v>0</v>
      </c>
      <c r="AR42" s="627">
        <v>0</v>
      </c>
      <c r="AS42" s="627">
        <v>0</v>
      </c>
      <c r="AT42" s="627">
        <v>0</v>
      </c>
      <c r="AU42" s="627">
        <v>0</v>
      </c>
      <c r="AV42" s="627">
        <v>0</v>
      </c>
      <c r="AW42" s="627">
        <v>0</v>
      </c>
      <c r="AX42" s="627">
        <v>9440289</v>
      </c>
      <c r="AY42" s="627">
        <v>9315858</v>
      </c>
      <c r="AZ42" s="627">
        <v>4682347</v>
      </c>
      <c r="BA42" s="627">
        <v>317324</v>
      </c>
      <c r="BB42" s="627">
        <v>0</v>
      </c>
      <c r="BC42" s="627">
        <v>0</v>
      </c>
      <c r="BD42" s="627">
        <v>0</v>
      </c>
      <c r="BE42" s="627">
        <v>0</v>
      </c>
      <c r="BF42" s="627">
        <v>0</v>
      </c>
      <c r="BG42" s="627">
        <v>8237574</v>
      </c>
      <c r="BH42" s="627">
        <v>0</v>
      </c>
      <c r="BI42" s="627">
        <v>0</v>
      </c>
      <c r="BJ42" s="627">
        <v>0</v>
      </c>
      <c r="BK42" s="627">
        <v>12</v>
      </c>
      <c r="BL42" s="627">
        <v>0</v>
      </c>
      <c r="BM42" s="627">
        <v>0</v>
      </c>
      <c r="BN42" s="627">
        <v>0</v>
      </c>
      <c r="BO42" s="627">
        <v>0</v>
      </c>
      <c r="BP42" s="627">
        <v>0</v>
      </c>
      <c r="BQ42" s="627">
        <v>0</v>
      </c>
      <c r="BR42" s="627">
        <v>660</v>
      </c>
      <c r="BS42" s="627">
        <v>0</v>
      </c>
      <c r="BT42" s="627">
        <v>0</v>
      </c>
      <c r="BU42" s="627">
        <v>0</v>
      </c>
      <c r="BV42" s="627">
        <v>0</v>
      </c>
      <c r="BW42" s="627">
        <v>0</v>
      </c>
      <c r="BX42" s="627">
        <v>0</v>
      </c>
      <c r="BY42" s="627">
        <v>0</v>
      </c>
      <c r="BZ42" s="627">
        <v>0</v>
      </c>
      <c r="CA42" s="627">
        <v>0</v>
      </c>
      <c r="CB42" s="627">
        <v>0</v>
      </c>
      <c r="CC42" s="627">
        <v>0</v>
      </c>
      <c r="CD42" s="627">
        <v>0</v>
      </c>
      <c r="CE42" s="627">
        <v>0</v>
      </c>
      <c r="CF42" s="627">
        <v>0</v>
      </c>
      <c r="CG42" s="627">
        <v>0</v>
      </c>
      <c r="CH42" s="627">
        <v>0</v>
      </c>
      <c r="CI42" s="627">
        <v>128210</v>
      </c>
      <c r="CJ42" s="627">
        <v>0</v>
      </c>
      <c r="CK42" s="627">
        <v>4</v>
      </c>
      <c r="CL42" s="627">
        <v>0</v>
      </c>
      <c r="CM42" s="627">
        <v>0</v>
      </c>
      <c r="CN42" s="627">
        <v>0</v>
      </c>
      <c r="CO42" s="627">
        <v>0</v>
      </c>
      <c r="CP42" s="627">
        <v>1</v>
      </c>
      <c r="CQ42" s="627">
        <v>0</v>
      </c>
      <c r="CR42" s="627">
        <v>0</v>
      </c>
      <c r="CS42" s="627">
        <v>762.84</v>
      </c>
      <c r="CT42" s="627">
        <v>0</v>
      </c>
      <c r="CU42" s="627">
        <v>0</v>
      </c>
      <c r="CV42" s="627">
        <v>0</v>
      </c>
      <c r="CW42" s="627">
        <v>0</v>
      </c>
      <c r="CX42" s="627">
        <v>0</v>
      </c>
      <c r="CY42" s="627">
        <v>0</v>
      </c>
      <c r="CZ42" s="627">
        <v>0</v>
      </c>
      <c r="DA42" s="627">
        <v>0</v>
      </c>
      <c r="DB42" s="627">
        <v>0</v>
      </c>
      <c r="DC42" s="627">
        <v>4394372</v>
      </c>
      <c r="DD42" s="627">
        <v>0</v>
      </c>
      <c r="DE42" s="627">
        <v>0</v>
      </c>
      <c r="DF42" s="627">
        <v>1074381</v>
      </c>
      <c r="DG42" s="627">
        <v>1074381</v>
      </c>
      <c r="DH42" s="627">
        <v>174.41300000000001</v>
      </c>
      <c r="DI42" s="627">
        <v>0</v>
      </c>
      <c r="DJ42" s="627">
        <v>0</v>
      </c>
      <c r="DK42" s="627">
        <v>0</v>
      </c>
      <c r="DL42" s="627">
        <v>2185</v>
      </c>
      <c r="DM42" s="627">
        <v>0</v>
      </c>
      <c r="DN42" s="627">
        <v>1108630</v>
      </c>
      <c r="DO42" s="627">
        <v>3779</v>
      </c>
      <c r="DP42" s="627">
        <v>0</v>
      </c>
      <c r="DQ42" s="627">
        <v>0</v>
      </c>
      <c r="DR42" s="627">
        <v>0</v>
      </c>
      <c r="DS42" s="627">
        <v>0</v>
      </c>
      <c r="DT42" s="627">
        <v>0</v>
      </c>
      <c r="DU42" s="627">
        <v>0</v>
      </c>
      <c r="DV42" s="627">
        <v>0</v>
      </c>
      <c r="DW42" s="627">
        <v>0</v>
      </c>
      <c r="DX42" s="627">
        <v>0</v>
      </c>
      <c r="DY42" s="627">
        <v>0</v>
      </c>
      <c r="DZ42" s="627">
        <v>0</v>
      </c>
      <c r="EA42" s="627">
        <v>0</v>
      </c>
      <c r="EB42" s="627">
        <v>0</v>
      </c>
      <c r="EC42" s="627">
        <v>0</v>
      </c>
      <c r="ED42" s="627">
        <v>68.332000000000008</v>
      </c>
      <c r="EE42" s="627">
        <v>484064</v>
      </c>
      <c r="EF42" s="627">
        <v>0</v>
      </c>
      <c r="EG42" s="627">
        <v>0</v>
      </c>
      <c r="EH42" s="627">
        <v>0</v>
      </c>
      <c r="EI42" s="627">
        <v>628345</v>
      </c>
      <c r="EJ42" s="627">
        <v>0</v>
      </c>
      <c r="EK42" s="627">
        <v>0</v>
      </c>
      <c r="EL42" s="627">
        <v>27.826000000000001</v>
      </c>
      <c r="EM42" s="627">
        <v>0</v>
      </c>
      <c r="EN42" s="627">
        <v>1.8120000000000001</v>
      </c>
      <c r="EO42" s="627">
        <v>2.6180000000000003</v>
      </c>
      <c r="EP42" s="627">
        <v>0</v>
      </c>
      <c r="EQ42" s="627">
        <v>0</v>
      </c>
      <c r="ER42" s="627">
        <v>32.256</v>
      </c>
      <c r="ES42" s="627">
        <v>0</v>
      </c>
      <c r="ET42" s="627">
        <v>102.004</v>
      </c>
      <c r="EU42" s="627">
        <v>0</v>
      </c>
      <c r="EV42" s="627">
        <v>0</v>
      </c>
      <c r="EW42" s="627">
        <v>0</v>
      </c>
      <c r="EX42" s="627">
        <v>0</v>
      </c>
      <c r="EY42" s="627">
        <v>0</v>
      </c>
      <c r="EZ42" s="627">
        <v>0</v>
      </c>
      <c r="FA42" s="627">
        <v>7924246</v>
      </c>
      <c r="FB42" s="627">
        <v>0</v>
      </c>
      <c r="FC42" s="627">
        <v>8237791</v>
      </c>
      <c r="FD42" s="627">
        <v>0</v>
      </c>
      <c r="FE42" s="627">
        <v>0</v>
      </c>
      <c r="FF42" s="627">
        <v>1186180</v>
      </c>
      <c r="FG42" s="627">
        <v>205432</v>
      </c>
      <c r="FH42" s="627">
        <v>7.0280999999999996E-2</v>
      </c>
      <c r="FI42" s="627">
        <v>3.1172999999999999E-2</v>
      </c>
      <c r="FJ42" s="627">
        <v>0</v>
      </c>
      <c r="FK42" s="627">
        <v>0</v>
      </c>
      <c r="FL42" s="627">
        <v>1337.269</v>
      </c>
      <c r="FM42" s="627">
        <v>9757613</v>
      </c>
      <c r="FN42" s="627">
        <v>0</v>
      </c>
      <c r="FO42" s="627">
        <v>0</v>
      </c>
      <c r="FP42" s="627">
        <v>0</v>
      </c>
      <c r="FQ42" s="627">
        <v>0</v>
      </c>
      <c r="FR42" s="627">
        <v>0</v>
      </c>
      <c r="FS42" s="627">
        <v>0</v>
      </c>
      <c r="FT42" s="627">
        <v>0</v>
      </c>
      <c r="FU42" s="627">
        <v>0</v>
      </c>
      <c r="FV42" s="627">
        <v>0</v>
      </c>
      <c r="FW42" s="627">
        <v>0</v>
      </c>
      <c r="FX42" s="627">
        <v>0</v>
      </c>
      <c r="FY42" s="627">
        <v>0</v>
      </c>
      <c r="FZ42" s="627">
        <v>0</v>
      </c>
      <c r="GA42" s="627">
        <v>0</v>
      </c>
      <c r="GB42" s="627">
        <v>0</v>
      </c>
      <c r="GC42" s="627">
        <v>549638</v>
      </c>
      <c r="GD42" s="627">
        <v>549638</v>
      </c>
      <c r="GE42" s="627">
        <v>56.04</v>
      </c>
      <c r="GF42" s="627">
        <v>0</v>
      </c>
      <c r="GG42" s="627">
        <v>0</v>
      </c>
      <c r="GH42" s="627">
        <v>0</v>
      </c>
      <c r="GI42" s="627">
        <v>0</v>
      </c>
      <c r="GJ42" s="627">
        <v>0</v>
      </c>
      <c r="GK42" s="627">
        <v>0</v>
      </c>
      <c r="GL42" s="627">
        <v>0</v>
      </c>
      <c r="GM42" s="627">
        <v>0</v>
      </c>
      <c r="GN42" s="627">
        <v>0</v>
      </c>
      <c r="GO42" s="627">
        <v>0</v>
      </c>
      <c r="GP42" s="627">
        <v>0</v>
      </c>
      <c r="GQ42" s="627">
        <v>0</v>
      </c>
      <c r="GR42" s="627">
        <v>9312079</v>
      </c>
      <c r="GS42" s="627">
        <v>0</v>
      </c>
      <c r="GT42" s="627">
        <v>0</v>
      </c>
      <c r="GU42" s="627">
        <v>0</v>
      </c>
      <c r="GV42" s="627">
        <v>0</v>
      </c>
      <c r="GW42" s="627">
        <v>0</v>
      </c>
      <c r="GX42" s="627">
        <v>0</v>
      </c>
      <c r="GY42" s="627">
        <v>0</v>
      </c>
      <c r="GZ42" s="627">
        <v>0</v>
      </c>
      <c r="HA42" s="627">
        <v>0</v>
      </c>
      <c r="HB42" s="627">
        <v>0</v>
      </c>
      <c r="HC42" s="627">
        <v>361151439</v>
      </c>
      <c r="HD42" s="627">
        <v>3.9981999999999997E-2</v>
      </c>
      <c r="HE42" s="627">
        <v>128210</v>
      </c>
      <c r="HF42" s="627">
        <v>0</v>
      </c>
      <c r="HG42" s="627">
        <v>786136</v>
      </c>
      <c r="HH42" s="627">
        <v>37576</v>
      </c>
      <c r="HI42" s="627">
        <v>136127</v>
      </c>
      <c r="HJ42" s="627">
        <v>0</v>
      </c>
      <c r="HK42" s="627">
        <v>53017</v>
      </c>
      <c r="HL42" s="627">
        <v>2239</v>
      </c>
      <c r="HM42" s="627">
        <v>1757</v>
      </c>
      <c r="HN42" s="627">
        <v>51000</v>
      </c>
      <c r="HO42" s="627">
        <v>0</v>
      </c>
      <c r="HP42" s="627">
        <v>0</v>
      </c>
      <c r="HQ42" s="627">
        <v>0</v>
      </c>
      <c r="HR42" s="627">
        <v>0</v>
      </c>
      <c r="HS42" s="627">
        <v>0</v>
      </c>
      <c r="HT42" s="627">
        <v>7920467</v>
      </c>
      <c r="HU42" s="627">
        <v>205432</v>
      </c>
      <c r="HV42" s="627">
        <v>0</v>
      </c>
      <c r="HW42" s="627">
        <v>0</v>
      </c>
      <c r="HX42" s="627">
        <v>0</v>
      </c>
      <c r="HY42" s="627">
        <v>37</v>
      </c>
      <c r="HZ42" s="627">
        <v>34</v>
      </c>
      <c r="IA42" s="627">
        <v>96</v>
      </c>
      <c r="IB42" s="627">
        <v>169</v>
      </c>
      <c r="IC42" s="627">
        <v>326</v>
      </c>
      <c r="ID42" s="627">
        <v>662</v>
      </c>
      <c r="IE42" s="627">
        <v>0</v>
      </c>
      <c r="IF42" s="627">
        <v>0</v>
      </c>
      <c r="IG42" s="627">
        <v>0</v>
      </c>
      <c r="IH42" s="627">
        <v>61</v>
      </c>
      <c r="II42" s="627">
        <v>220.98500000000001</v>
      </c>
      <c r="IJ42" s="627">
        <v>0</v>
      </c>
      <c r="IK42" s="627">
        <v>69.671999999999997</v>
      </c>
      <c r="IL42" s="627">
        <v>0</v>
      </c>
      <c r="IM42" s="627">
        <v>9</v>
      </c>
      <c r="IN42" s="627">
        <v>2</v>
      </c>
      <c r="IO42" s="627">
        <v>0</v>
      </c>
      <c r="IP42" s="627">
        <v>11</v>
      </c>
      <c r="IQ42" s="627">
        <v>0</v>
      </c>
      <c r="IR42" s="627">
        <v>69.671999999999997</v>
      </c>
      <c r="IS42" s="627">
        <v>42918</v>
      </c>
      <c r="IT42" s="627">
        <v>0</v>
      </c>
      <c r="IU42" s="627">
        <v>45000</v>
      </c>
      <c r="IV42" s="627">
        <v>6000</v>
      </c>
      <c r="IW42" s="627">
        <v>0</v>
      </c>
      <c r="IX42" s="627">
        <v>6160</v>
      </c>
      <c r="IY42" s="627">
        <v>0</v>
      </c>
      <c r="IZ42" s="627">
        <v>0</v>
      </c>
      <c r="JA42" s="627">
        <v>0</v>
      </c>
      <c r="JB42" s="627">
        <v>0</v>
      </c>
      <c r="JC42" s="627">
        <v>0</v>
      </c>
      <c r="JD42" s="627">
        <v>0</v>
      </c>
      <c r="JE42" s="627">
        <v>0</v>
      </c>
      <c r="JF42" s="627">
        <v>0</v>
      </c>
      <c r="JG42" s="627">
        <v>0</v>
      </c>
      <c r="JH42" s="627">
        <v>0</v>
      </c>
      <c r="JI42" s="627">
        <v>0</v>
      </c>
      <c r="JJ42" s="627">
        <v>0</v>
      </c>
      <c r="JK42" s="627">
        <v>0</v>
      </c>
      <c r="JL42" s="627">
        <v>0</v>
      </c>
      <c r="JM42" s="627">
        <v>0</v>
      </c>
      <c r="JN42" s="627">
        <v>0</v>
      </c>
      <c r="JO42" s="627">
        <v>32469</v>
      </c>
      <c r="JP42" s="627">
        <v>0.71500000000000008</v>
      </c>
      <c r="JQ42" s="627">
        <v>33.828000000000003</v>
      </c>
      <c r="JR42" s="627">
        <v>21.497</v>
      </c>
      <c r="JS42" s="627">
        <v>5712</v>
      </c>
      <c r="JT42" s="627">
        <v>314443</v>
      </c>
      <c r="JU42" s="627">
        <v>229483</v>
      </c>
      <c r="JV42" s="627">
        <v>0</v>
      </c>
      <c r="JW42" s="627">
        <v>0</v>
      </c>
      <c r="JX42" s="627">
        <v>0</v>
      </c>
      <c r="JY42" s="627">
        <v>0</v>
      </c>
      <c r="JZ42" s="627">
        <v>0</v>
      </c>
      <c r="KA42" s="627">
        <v>0</v>
      </c>
      <c r="KB42" s="627">
        <v>0</v>
      </c>
      <c r="KC42" s="627">
        <v>0</v>
      </c>
      <c r="KD42" s="627">
        <v>0</v>
      </c>
      <c r="KE42" s="627">
        <v>0</v>
      </c>
      <c r="KF42" s="627">
        <v>7262</v>
      </c>
      <c r="KG42" s="627">
        <v>0</v>
      </c>
      <c r="KH42" s="627">
        <v>0</v>
      </c>
      <c r="KI42" s="627">
        <v>9312079</v>
      </c>
      <c r="KJ42" s="627">
        <v>0</v>
      </c>
      <c r="KK42" s="627">
        <v>44</v>
      </c>
      <c r="KL42" s="627">
        <v>17</v>
      </c>
      <c r="KM42" s="627">
        <v>27104</v>
      </c>
      <c r="KN42" s="627">
        <v>10472</v>
      </c>
      <c r="KO42" s="627">
        <v>0</v>
      </c>
      <c r="KP42" s="627">
        <v>0</v>
      </c>
      <c r="KQ42" s="627">
        <v>9312079</v>
      </c>
      <c r="KR42" s="627">
        <v>0</v>
      </c>
      <c r="KS42" s="627">
        <v>0</v>
      </c>
      <c r="KT42" s="627">
        <v>0</v>
      </c>
      <c r="KU42" s="627">
        <v>0</v>
      </c>
      <c r="KV42" s="627">
        <v>0</v>
      </c>
      <c r="KW42" s="627">
        <v>0</v>
      </c>
      <c r="KX42" s="627">
        <v>0</v>
      </c>
      <c r="KY42" s="627">
        <v>0</v>
      </c>
      <c r="KZ42" s="627">
        <v>0</v>
      </c>
      <c r="LA42" s="627">
        <v>0</v>
      </c>
      <c r="LB42" s="627">
        <v>0</v>
      </c>
      <c r="LC42" s="627">
        <v>0</v>
      </c>
      <c r="LD42" s="627">
        <v>0</v>
      </c>
      <c r="LE42" s="627">
        <v>0</v>
      </c>
      <c r="LF42" s="627">
        <v>0</v>
      </c>
    </row>
    <row r="43" spans="1:318" x14ac:dyDescent="0.25">
      <c r="A43" s="627">
        <v>42602</v>
      </c>
      <c r="B43" s="627">
        <v>165802</v>
      </c>
      <c r="D43" s="627">
        <v>9</v>
      </c>
      <c r="E43" s="627">
        <v>2024</v>
      </c>
      <c r="F43" s="627">
        <v>6160</v>
      </c>
      <c r="G43" s="627">
        <v>0</v>
      </c>
      <c r="H43" s="627">
        <v>392.05200000000002</v>
      </c>
      <c r="I43" s="627">
        <v>382.541</v>
      </c>
      <c r="J43" s="627">
        <v>382.541</v>
      </c>
      <c r="K43" s="627">
        <v>392.05200000000002</v>
      </c>
      <c r="L43" s="627">
        <v>0</v>
      </c>
      <c r="M43" s="627">
        <v>6160</v>
      </c>
      <c r="N43" s="627">
        <v>0</v>
      </c>
      <c r="O43" s="627">
        <v>0</v>
      </c>
      <c r="P43" s="627">
        <v>0</v>
      </c>
      <c r="Q43" s="627">
        <v>370.99</v>
      </c>
      <c r="R43" s="627">
        <v>0</v>
      </c>
      <c r="S43" s="627">
        <v>153918</v>
      </c>
      <c r="T43" s="627">
        <v>414.88400000000001</v>
      </c>
      <c r="U43" s="627">
        <v>0</v>
      </c>
      <c r="V43" s="627">
        <v>79877</v>
      </c>
      <c r="W43" s="627">
        <v>16.957000000000001</v>
      </c>
      <c r="X43" s="627">
        <v>10446</v>
      </c>
      <c r="Y43" s="627">
        <v>10446</v>
      </c>
      <c r="Z43" s="627">
        <v>0</v>
      </c>
      <c r="AA43" s="627">
        <v>0</v>
      </c>
      <c r="AB43" s="627">
        <v>0</v>
      </c>
      <c r="AC43" s="627">
        <v>0</v>
      </c>
      <c r="AD43" s="627">
        <v>0</v>
      </c>
      <c r="AE43" s="627" t="s">
        <v>314</v>
      </c>
      <c r="AF43" s="627">
        <v>0</v>
      </c>
      <c r="AG43" s="627">
        <v>0</v>
      </c>
      <c r="AH43" s="627">
        <v>0</v>
      </c>
      <c r="AI43" s="627">
        <v>0</v>
      </c>
      <c r="AJ43" s="627">
        <v>0</v>
      </c>
      <c r="AK43" s="627">
        <v>6160</v>
      </c>
      <c r="AL43" s="627" t="s">
        <v>651</v>
      </c>
      <c r="AM43" s="627" t="s">
        <v>90</v>
      </c>
      <c r="AN43" s="627">
        <v>0</v>
      </c>
      <c r="AO43" s="627">
        <v>0</v>
      </c>
      <c r="AP43" s="627">
        <v>0</v>
      </c>
      <c r="AQ43" s="627">
        <v>0</v>
      </c>
      <c r="AR43" s="627">
        <v>0</v>
      </c>
      <c r="AS43" s="627">
        <v>0</v>
      </c>
      <c r="AT43" s="627">
        <v>0</v>
      </c>
      <c r="AU43" s="627">
        <v>0</v>
      </c>
      <c r="AV43" s="627">
        <v>0</v>
      </c>
      <c r="AW43" s="627">
        <v>-491099</v>
      </c>
      <c r="AX43" s="627">
        <v>3795443</v>
      </c>
      <c r="AY43" s="627">
        <v>3733413</v>
      </c>
      <c r="AZ43" s="627">
        <v>1596494</v>
      </c>
      <c r="BA43" s="627">
        <v>153918</v>
      </c>
      <c r="BB43" s="627">
        <v>13.417</v>
      </c>
      <c r="BC43" s="627">
        <v>8352</v>
      </c>
      <c r="BD43" s="627">
        <v>8299</v>
      </c>
      <c r="BE43" s="627">
        <v>19.603000000000002</v>
      </c>
      <c r="BF43" s="627">
        <v>53</v>
      </c>
      <c r="BG43" s="627">
        <v>3325534</v>
      </c>
      <c r="BH43" s="627">
        <v>0</v>
      </c>
      <c r="BI43" s="627">
        <v>0</v>
      </c>
      <c r="BJ43" s="627">
        <v>0</v>
      </c>
      <c r="BK43" s="627">
        <v>12</v>
      </c>
      <c r="BL43" s="627">
        <v>0</v>
      </c>
      <c r="BM43" s="627">
        <v>0</v>
      </c>
      <c r="BN43" s="627">
        <v>0</v>
      </c>
      <c r="BO43" s="627">
        <v>0</v>
      </c>
      <c r="BP43" s="627">
        <v>0</v>
      </c>
      <c r="BQ43" s="627">
        <v>0</v>
      </c>
      <c r="BR43" s="627">
        <v>711</v>
      </c>
      <c r="BS43" s="627">
        <v>0</v>
      </c>
      <c r="BT43" s="627">
        <v>0</v>
      </c>
      <c r="BU43" s="627">
        <v>0</v>
      </c>
      <c r="BV43" s="627">
        <v>0</v>
      </c>
      <c r="BW43" s="627">
        <v>0</v>
      </c>
      <c r="BX43" s="627">
        <v>0</v>
      </c>
      <c r="BY43" s="627">
        <v>0</v>
      </c>
      <c r="BZ43" s="627">
        <v>0</v>
      </c>
      <c r="CA43" s="627">
        <v>0</v>
      </c>
      <c r="CB43" s="627">
        <v>0</v>
      </c>
      <c r="CC43" s="627">
        <v>0</v>
      </c>
      <c r="CD43" s="627">
        <v>0</v>
      </c>
      <c r="CE43" s="627">
        <v>0</v>
      </c>
      <c r="CF43" s="627">
        <v>0</v>
      </c>
      <c r="CG43" s="627">
        <v>0</v>
      </c>
      <c r="CH43" s="627">
        <v>0</v>
      </c>
      <c r="CI43" s="627">
        <v>62700</v>
      </c>
      <c r="CJ43" s="627">
        <v>0</v>
      </c>
      <c r="CK43" s="627">
        <v>4</v>
      </c>
      <c r="CL43" s="627">
        <v>0</v>
      </c>
      <c r="CM43" s="627">
        <v>0</v>
      </c>
      <c r="CN43" s="627">
        <v>0</v>
      </c>
      <c r="CO43" s="627">
        <v>0</v>
      </c>
      <c r="CP43" s="627">
        <v>1</v>
      </c>
      <c r="CQ43" s="627">
        <v>0</v>
      </c>
      <c r="CR43" s="627">
        <v>0</v>
      </c>
      <c r="CS43" s="627">
        <v>309.5</v>
      </c>
      <c r="CT43" s="627">
        <v>0</v>
      </c>
      <c r="CU43" s="627">
        <v>0</v>
      </c>
      <c r="CV43" s="627">
        <v>0</v>
      </c>
      <c r="CW43" s="627">
        <v>0</v>
      </c>
      <c r="CX43" s="627">
        <v>0</v>
      </c>
      <c r="CY43" s="627">
        <v>0</v>
      </c>
      <c r="CZ43" s="627">
        <v>0</v>
      </c>
      <c r="DA43" s="627">
        <v>0</v>
      </c>
      <c r="DB43" s="627">
        <v>0</v>
      </c>
      <c r="DC43" s="627">
        <v>2356453</v>
      </c>
      <c r="DD43" s="627">
        <v>0</v>
      </c>
      <c r="DE43" s="627">
        <v>0</v>
      </c>
      <c r="DF43" s="627">
        <v>271425</v>
      </c>
      <c r="DG43" s="627">
        <v>271425</v>
      </c>
      <c r="DH43" s="627">
        <v>44.063000000000002</v>
      </c>
      <c r="DI43" s="627">
        <v>0</v>
      </c>
      <c r="DJ43" s="627">
        <v>0</v>
      </c>
      <c r="DK43" s="627">
        <v>0</v>
      </c>
      <c r="DL43" s="627">
        <v>3000</v>
      </c>
      <c r="DM43" s="627">
        <v>0</v>
      </c>
      <c r="DN43" s="627">
        <v>180912</v>
      </c>
      <c r="DO43" s="627">
        <v>617</v>
      </c>
      <c r="DP43" s="627">
        <v>0</v>
      </c>
      <c r="DQ43" s="627">
        <v>0</v>
      </c>
      <c r="DR43" s="627">
        <v>0</v>
      </c>
      <c r="DS43" s="627">
        <v>0</v>
      </c>
      <c r="DT43" s="627">
        <v>0</v>
      </c>
      <c r="DU43" s="627">
        <v>0</v>
      </c>
      <c r="DV43" s="627">
        <v>0</v>
      </c>
      <c r="DW43" s="627">
        <v>0</v>
      </c>
      <c r="DX43" s="627">
        <v>0</v>
      </c>
      <c r="DY43" s="627">
        <v>0</v>
      </c>
      <c r="DZ43" s="627">
        <v>0</v>
      </c>
      <c r="EA43" s="627">
        <v>0</v>
      </c>
      <c r="EB43" s="627">
        <v>0</v>
      </c>
      <c r="EC43" s="627">
        <v>0</v>
      </c>
      <c r="ED43" s="627">
        <v>0</v>
      </c>
      <c r="EE43" s="627">
        <v>0</v>
      </c>
      <c r="EF43" s="627">
        <v>0</v>
      </c>
      <c r="EG43" s="627">
        <v>0</v>
      </c>
      <c r="EH43" s="627">
        <v>0</v>
      </c>
      <c r="EI43" s="627">
        <v>181529</v>
      </c>
      <c r="EJ43" s="627">
        <v>0</v>
      </c>
      <c r="EK43" s="627">
        <v>0</v>
      </c>
      <c r="EL43" s="627">
        <v>9.043000000000001</v>
      </c>
      <c r="EM43" s="627">
        <v>0</v>
      </c>
      <c r="EN43" s="627">
        <v>0</v>
      </c>
      <c r="EO43" s="627">
        <v>0.46800000000000003</v>
      </c>
      <c r="EP43" s="627">
        <v>0</v>
      </c>
      <c r="EQ43" s="627">
        <v>0</v>
      </c>
      <c r="ER43" s="627">
        <v>9.511000000000001</v>
      </c>
      <c r="ES43" s="627">
        <v>0</v>
      </c>
      <c r="ET43" s="627">
        <v>29.469000000000001</v>
      </c>
      <c r="EU43" s="627">
        <v>0</v>
      </c>
      <c r="EV43" s="627">
        <v>0</v>
      </c>
      <c r="EW43" s="627">
        <v>0</v>
      </c>
      <c r="EX43" s="627">
        <v>0</v>
      </c>
      <c r="EY43" s="627">
        <v>0</v>
      </c>
      <c r="EZ43" s="627">
        <v>0</v>
      </c>
      <c r="FA43" s="627">
        <v>3171616</v>
      </c>
      <c r="FB43" s="627">
        <v>0</v>
      </c>
      <c r="FC43" s="627">
        <v>3324864</v>
      </c>
      <c r="FD43" s="627">
        <v>0</v>
      </c>
      <c r="FE43" s="627">
        <v>0</v>
      </c>
      <c r="FF43" s="627">
        <v>478864</v>
      </c>
      <c r="FG43" s="627">
        <v>82933</v>
      </c>
      <c r="FH43" s="627">
        <v>7.0280999999999996E-2</v>
      </c>
      <c r="FI43" s="627">
        <v>3.1172999999999999E-2</v>
      </c>
      <c r="FJ43" s="627">
        <v>0</v>
      </c>
      <c r="FK43" s="627">
        <v>0</v>
      </c>
      <c r="FL43" s="627">
        <v>539.85900000000004</v>
      </c>
      <c r="FM43" s="627">
        <v>3949361</v>
      </c>
      <c r="FN43" s="627">
        <v>0</v>
      </c>
      <c r="FO43" s="627">
        <v>0</v>
      </c>
      <c r="FP43" s="627">
        <v>0</v>
      </c>
      <c r="FQ43" s="627">
        <v>0</v>
      </c>
      <c r="FR43" s="627">
        <v>0</v>
      </c>
      <c r="FS43" s="627">
        <v>0</v>
      </c>
      <c r="FT43" s="627">
        <v>0</v>
      </c>
      <c r="FU43" s="627">
        <v>0</v>
      </c>
      <c r="FV43" s="627">
        <v>0</v>
      </c>
      <c r="FW43" s="627">
        <v>0</v>
      </c>
      <c r="FX43" s="627">
        <v>0</v>
      </c>
      <c r="FY43" s="627">
        <v>0</v>
      </c>
      <c r="FZ43" s="627">
        <v>0</v>
      </c>
      <c r="GA43" s="627">
        <v>0</v>
      </c>
      <c r="GB43" s="627">
        <v>0</v>
      </c>
      <c r="GC43" s="627">
        <v>0</v>
      </c>
      <c r="GD43" s="627">
        <v>0</v>
      </c>
      <c r="GE43" s="627">
        <v>0</v>
      </c>
      <c r="GF43" s="627">
        <v>0</v>
      </c>
      <c r="GG43" s="627">
        <v>0</v>
      </c>
      <c r="GH43" s="627">
        <v>0</v>
      </c>
      <c r="GI43" s="627">
        <v>0</v>
      </c>
      <c r="GJ43" s="627">
        <v>0</v>
      </c>
      <c r="GK43" s="627">
        <v>0</v>
      </c>
      <c r="GL43" s="627">
        <v>0</v>
      </c>
      <c r="GM43" s="627">
        <v>0</v>
      </c>
      <c r="GN43" s="627">
        <v>0</v>
      </c>
      <c r="GO43" s="627">
        <v>0</v>
      </c>
      <c r="GP43" s="627">
        <v>0</v>
      </c>
      <c r="GQ43" s="627">
        <v>0</v>
      </c>
      <c r="GR43" s="627">
        <v>3732743</v>
      </c>
      <c r="GS43" s="627">
        <v>0</v>
      </c>
      <c r="GT43" s="627">
        <v>0</v>
      </c>
      <c r="GU43" s="627">
        <v>0</v>
      </c>
      <c r="GV43" s="627">
        <v>0</v>
      </c>
      <c r="GW43" s="627">
        <v>0</v>
      </c>
      <c r="GX43" s="627">
        <v>0</v>
      </c>
      <c r="GY43" s="627">
        <v>0</v>
      </c>
      <c r="GZ43" s="627">
        <v>0</v>
      </c>
      <c r="HA43" s="627">
        <v>0</v>
      </c>
      <c r="HB43" s="627">
        <v>0</v>
      </c>
      <c r="HC43" s="627">
        <v>361151439</v>
      </c>
      <c r="HD43" s="627">
        <v>3.9981999999999997E-2</v>
      </c>
      <c r="HE43" s="627">
        <v>62700</v>
      </c>
      <c r="HF43" s="627">
        <v>0</v>
      </c>
      <c r="HG43" s="627">
        <v>421560</v>
      </c>
      <c r="HH43" s="627">
        <v>3696</v>
      </c>
      <c r="HI43" s="627">
        <v>53152</v>
      </c>
      <c r="HJ43" s="627">
        <v>0</v>
      </c>
      <c r="HK43" s="627">
        <v>18921</v>
      </c>
      <c r="HL43" s="627">
        <v>0</v>
      </c>
      <c r="HM43" s="627">
        <v>0</v>
      </c>
      <c r="HN43" s="627">
        <v>0</v>
      </c>
      <c r="HO43" s="627">
        <v>0</v>
      </c>
      <c r="HP43" s="627">
        <v>0</v>
      </c>
      <c r="HQ43" s="627">
        <v>0</v>
      </c>
      <c r="HR43" s="627">
        <v>0</v>
      </c>
      <c r="HS43" s="627">
        <v>0</v>
      </c>
      <c r="HT43" s="627">
        <v>3170946</v>
      </c>
      <c r="HU43" s="627">
        <v>82933</v>
      </c>
      <c r="HV43" s="627">
        <v>0</v>
      </c>
      <c r="HW43" s="627">
        <v>0</v>
      </c>
      <c r="HX43" s="627">
        <v>0</v>
      </c>
      <c r="HY43" s="627">
        <v>40</v>
      </c>
      <c r="HZ43" s="627">
        <v>51</v>
      </c>
      <c r="IA43" s="627">
        <v>47</v>
      </c>
      <c r="IB43" s="627">
        <v>28</v>
      </c>
      <c r="IC43" s="627">
        <v>14</v>
      </c>
      <c r="ID43" s="627">
        <v>180</v>
      </c>
      <c r="IE43" s="627">
        <v>0</v>
      </c>
      <c r="IF43" s="627">
        <v>0</v>
      </c>
      <c r="IG43" s="627">
        <v>0</v>
      </c>
      <c r="IH43" s="627">
        <v>6</v>
      </c>
      <c r="II43" s="627">
        <v>86.285000000000011</v>
      </c>
      <c r="IJ43" s="627">
        <v>0</v>
      </c>
      <c r="IK43" s="627">
        <v>16.957000000000001</v>
      </c>
      <c r="IL43" s="627">
        <v>0</v>
      </c>
      <c r="IM43" s="627">
        <v>0</v>
      </c>
      <c r="IN43" s="627">
        <v>0</v>
      </c>
      <c r="IO43" s="627">
        <v>0</v>
      </c>
      <c r="IP43" s="627">
        <v>0</v>
      </c>
      <c r="IQ43" s="627">
        <v>0</v>
      </c>
      <c r="IR43" s="627">
        <v>16.957000000000001</v>
      </c>
      <c r="IS43" s="627">
        <v>10446</v>
      </c>
      <c r="IT43" s="627">
        <v>0</v>
      </c>
      <c r="IU43" s="627">
        <v>0</v>
      </c>
      <c r="IV43" s="627">
        <v>0</v>
      </c>
      <c r="IW43" s="627">
        <v>0</v>
      </c>
      <c r="IX43" s="627">
        <v>6160</v>
      </c>
      <c r="IY43" s="627">
        <v>0</v>
      </c>
      <c r="IZ43" s="627">
        <v>0</v>
      </c>
      <c r="JA43" s="627">
        <v>0</v>
      </c>
      <c r="JB43" s="627">
        <v>0</v>
      </c>
      <c r="JC43" s="627">
        <v>0</v>
      </c>
      <c r="JD43" s="627">
        <v>0</v>
      </c>
      <c r="JE43" s="627">
        <v>0</v>
      </c>
      <c r="JF43" s="627">
        <v>0</v>
      </c>
      <c r="JG43" s="627">
        <v>0</v>
      </c>
      <c r="JH43" s="627">
        <v>0</v>
      </c>
      <c r="JI43" s="627">
        <v>0</v>
      </c>
      <c r="JJ43" s="627">
        <v>0</v>
      </c>
      <c r="JK43" s="627">
        <v>0</v>
      </c>
      <c r="JL43" s="627">
        <v>0</v>
      </c>
      <c r="JM43" s="627">
        <v>0</v>
      </c>
      <c r="JN43" s="627">
        <v>0</v>
      </c>
      <c r="JO43" s="627">
        <v>32469</v>
      </c>
      <c r="JP43" s="627">
        <v>0</v>
      </c>
      <c r="JQ43" s="627">
        <v>0</v>
      </c>
      <c r="JR43" s="627">
        <v>0</v>
      </c>
      <c r="JS43" s="627">
        <v>0</v>
      </c>
      <c r="JT43" s="627">
        <v>0</v>
      </c>
      <c r="JU43" s="627">
        <v>0</v>
      </c>
      <c r="JV43" s="627">
        <v>8453</v>
      </c>
      <c r="JW43" s="627">
        <v>0</v>
      </c>
      <c r="JX43" s="627">
        <v>0</v>
      </c>
      <c r="JY43" s="627">
        <v>0</v>
      </c>
      <c r="JZ43" s="627">
        <v>0</v>
      </c>
      <c r="KA43" s="627">
        <v>0</v>
      </c>
      <c r="KB43" s="627">
        <v>0</v>
      </c>
      <c r="KC43" s="627">
        <v>0</v>
      </c>
      <c r="KD43" s="627">
        <v>0</v>
      </c>
      <c r="KE43" s="627">
        <v>8624</v>
      </c>
      <c r="KF43" s="627">
        <v>7262</v>
      </c>
      <c r="KG43" s="627">
        <v>0</v>
      </c>
      <c r="KH43" s="627">
        <v>0</v>
      </c>
      <c r="KI43" s="627">
        <v>3732743</v>
      </c>
      <c r="KJ43" s="627">
        <v>0</v>
      </c>
      <c r="KK43" s="627">
        <v>0</v>
      </c>
      <c r="KL43" s="627">
        <v>6</v>
      </c>
      <c r="KM43" s="627">
        <v>0</v>
      </c>
      <c r="KN43" s="627">
        <v>3696</v>
      </c>
      <c r="KO43" s="627">
        <v>0</v>
      </c>
      <c r="KP43" s="627">
        <v>0</v>
      </c>
      <c r="KQ43" s="627">
        <v>3732743</v>
      </c>
      <c r="KR43" s="627">
        <v>0</v>
      </c>
      <c r="KS43" s="627">
        <v>0</v>
      </c>
      <c r="KT43" s="627">
        <v>0</v>
      </c>
      <c r="KU43" s="627">
        <v>0</v>
      </c>
      <c r="KV43" s="627">
        <v>0</v>
      </c>
      <c r="KW43" s="627">
        <v>0</v>
      </c>
      <c r="KX43" s="627">
        <v>0</v>
      </c>
      <c r="KY43" s="627">
        <v>0</v>
      </c>
      <c r="KZ43" s="627">
        <v>0</v>
      </c>
      <c r="LA43" s="627">
        <v>0</v>
      </c>
      <c r="LB43" s="627">
        <v>0</v>
      </c>
      <c r="LC43" s="627">
        <v>0</v>
      </c>
      <c r="LD43" s="627">
        <v>0</v>
      </c>
      <c r="LE43" s="627">
        <v>0</v>
      </c>
      <c r="LF43" s="627">
        <v>0</v>
      </c>
    </row>
    <row r="44" spans="1:318" x14ac:dyDescent="0.25">
      <c r="A44" s="627">
        <v>42602</v>
      </c>
      <c r="B44" s="627">
        <v>170802</v>
      </c>
      <c r="D44" s="627">
        <v>9</v>
      </c>
      <c r="E44" s="627">
        <v>2024</v>
      </c>
      <c r="F44" s="627">
        <v>6160</v>
      </c>
      <c r="G44" s="627">
        <v>0</v>
      </c>
      <c r="H44" s="627">
        <v>108.09700000000001</v>
      </c>
      <c r="I44" s="627">
        <v>57.879000000000005</v>
      </c>
      <c r="J44" s="627">
        <v>57.879000000000005</v>
      </c>
      <c r="K44" s="627">
        <v>108.09700000000001</v>
      </c>
      <c r="L44" s="627">
        <v>0</v>
      </c>
      <c r="M44" s="627">
        <v>6160</v>
      </c>
      <c r="N44" s="627">
        <v>0</v>
      </c>
      <c r="O44" s="627">
        <v>0</v>
      </c>
      <c r="P44" s="627">
        <v>0</v>
      </c>
      <c r="Q44" s="627">
        <v>80.903000000000006</v>
      </c>
      <c r="R44" s="627">
        <v>0</v>
      </c>
      <c r="S44" s="627">
        <v>33565</v>
      </c>
      <c r="T44" s="627">
        <v>414.88400000000001</v>
      </c>
      <c r="U44" s="627">
        <v>0</v>
      </c>
      <c r="V44" s="627">
        <v>17419</v>
      </c>
      <c r="W44" s="627">
        <v>4.1980000000000004</v>
      </c>
      <c r="X44" s="627">
        <v>2586</v>
      </c>
      <c r="Y44" s="627">
        <v>2586</v>
      </c>
      <c r="Z44" s="627">
        <v>0</v>
      </c>
      <c r="AA44" s="627">
        <v>0</v>
      </c>
      <c r="AB44" s="627">
        <v>0</v>
      </c>
      <c r="AC44" s="627">
        <v>0</v>
      </c>
      <c r="AD44" s="627">
        <v>0</v>
      </c>
      <c r="AE44" s="627" t="s">
        <v>314</v>
      </c>
      <c r="AF44" s="627">
        <v>0</v>
      </c>
      <c r="AG44" s="627">
        <v>0</v>
      </c>
      <c r="AH44" s="627">
        <v>0</v>
      </c>
      <c r="AI44" s="627">
        <v>0</v>
      </c>
      <c r="AJ44" s="627">
        <v>0</v>
      </c>
      <c r="AK44" s="627">
        <v>6160</v>
      </c>
      <c r="AL44" s="627" t="s">
        <v>651</v>
      </c>
      <c r="AM44" s="627" t="s">
        <v>805</v>
      </c>
      <c r="AN44" s="627">
        <v>0</v>
      </c>
      <c r="AO44" s="627">
        <v>0</v>
      </c>
      <c r="AP44" s="627">
        <v>0</v>
      </c>
      <c r="AQ44" s="627">
        <v>0</v>
      </c>
      <c r="AR44" s="627">
        <v>0</v>
      </c>
      <c r="AS44" s="627">
        <v>0</v>
      </c>
      <c r="AT44" s="627">
        <v>0</v>
      </c>
      <c r="AU44" s="627">
        <v>0</v>
      </c>
      <c r="AV44" s="627">
        <v>0</v>
      </c>
      <c r="AW44" s="627">
        <v>0</v>
      </c>
      <c r="AX44" s="627">
        <v>1794885</v>
      </c>
      <c r="AY44" s="627">
        <v>1798194</v>
      </c>
      <c r="AZ44" s="627">
        <v>1019385</v>
      </c>
      <c r="BA44" s="627">
        <v>33565</v>
      </c>
      <c r="BB44" s="627">
        <v>0</v>
      </c>
      <c r="BC44" s="627">
        <v>0</v>
      </c>
      <c r="BD44" s="627">
        <v>0</v>
      </c>
      <c r="BE44" s="627">
        <v>0</v>
      </c>
      <c r="BF44" s="627">
        <v>0</v>
      </c>
      <c r="BG44" s="627">
        <v>1455376</v>
      </c>
      <c r="BH44" s="627">
        <v>0</v>
      </c>
      <c r="BI44" s="627">
        <v>0</v>
      </c>
      <c r="BJ44" s="627">
        <v>0</v>
      </c>
      <c r="BK44" s="627">
        <v>12</v>
      </c>
      <c r="BL44" s="627">
        <v>0</v>
      </c>
      <c r="BM44" s="627">
        <v>0</v>
      </c>
      <c r="BN44" s="627">
        <v>0</v>
      </c>
      <c r="BO44" s="627">
        <v>0</v>
      </c>
      <c r="BP44" s="627">
        <v>0</v>
      </c>
      <c r="BQ44" s="627">
        <v>0</v>
      </c>
      <c r="BR44" s="627">
        <v>761</v>
      </c>
      <c r="BS44" s="627">
        <v>0</v>
      </c>
      <c r="BT44" s="627">
        <v>0</v>
      </c>
      <c r="BU44" s="627">
        <v>0</v>
      </c>
      <c r="BV44" s="627">
        <v>0</v>
      </c>
      <c r="BW44" s="627">
        <v>0</v>
      </c>
      <c r="BX44" s="627">
        <v>0</v>
      </c>
      <c r="BY44" s="627">
        <v>0</v>
      </c>
      <c r="BZ44" s="627">
        <v>0</v>
      </c>
      <c r="CA44" s="627">
        <v>0</v>
      </c>
      <c r="CB44" s="627">
        <v>115.69800000000001</v>
      </c>
      <c r="CC44" s="627">
        <v>115698</v>
      </c>
      <c r="CD44" s="627">
        <v>0</v>
      </c>
      <c r="CE44" s="627">
        <v>0</v>
      </c>
      <c r="CF44" s="627">
        <v>0</v>
      </c>
      <c r="CG44" s="627">
        <v>0</v>
      </c>
      <c r="CH44" s="627">
        <v>0</v>
      </c>
      <c r="CI44" s="627">
        <v>0</v>
      </c>
      <c r="CJ44" s="627">
        <v>0</v>
      </c>
      <c r="CK44" s="627">
        <v>5</v>
      </c>
      <c r="CL44" s="627">
        <v>0</v>
      </c>
      <c r="CM44" s="627">
        <v>0</v>
      </c>
      <c r="CN44" s="627">
        <v>0</v>
      </c>
      <c r="CO44" s="627">
        <v>0</v>
      </c>
      <c r="CP44" s="627">
        <v>1</v>
      </c>
      <c r="CQ44" s="627">
        <v>0</v>
      </c>
      <c r="CR44" s="627">
        <v>0</v>
      </c>
      <c r="CS44" s="627">
        <v>80.58</v>
      </c>
      <c r="CT44" s="627">
        <v>0</v>
      </c>
      <c r="CU44" s="627">
        <v>0</v>
      </c>
      <c r="CV44" s="627">
        <v>0</v>
      </c>
      <c r="CW44" s="627">
        <v>0</v>
      </c>
      <c r="CX44" s="627">
        <v>0</v>
      </c>
      <c r="CY44" s="627">
        <v>0</v>
      </c>
      <c r="CZ44" s="627">
        <v>0</v>
      </c>
      <c r="DA44" s="627">
        <v>0</v>
      </c>
      <c r="DB44" s="627">
        <v>0</v>
      </c>
      <c r="DC44" s="627">
        <v>356535</v>
      </c>
      <c r="DD44" s="627">
        <v>0</v>
      </c>
      <c r="DE44" s="627">
        <v>0</v>
      </c>
      <c r="DF44" s="627">
        <v>27027</v>
      </c>
      <c r="DG44" s="627">
        <v>27027</v>
      </c>
      <c r="DH44" s="627">
        <v>4.3879999999999999</v>
      </c>
      <c r="DI44" s="627">
        <v>0</v>
      </c>
      <c r="DJ44" s="627">
        <v>0</v>
      </c>
      <c r="DK44" s="627">
        <v>0</v>
      </c>
      <c r="DL44" s="627">
        <v>3800</v>
      </c>
      <c r="DM44" s="627">
        <v>0</v>
      </c>
      <c r="DN44" s="627">
        <v>970747</v>
      </c>
      <c r="DO44" s="627">
        <v>3309</v>
      </c>
      <c r="DP44" s="627">
        <v>0</v>
      </c>
      <c r="DQ44" s="627">
        <v>0</v>
      </c>
      <c r="DR44" s="627">
        <v>0</v>
      </c>
      <c r="DS44" s="627">
        <v>0</v>
      </c>
      <c r="DT44" s="627">
        <v>0</v>
      </c>
      <c r="DU44" s="627">
        <v>0</v>
      </c>
      <c r="DV44" s="627">
        <v>0</v>
      </c>
      <c r="DW44" s="627">
        <v>0</v>
      </c>
      <c r="DX44" s="627">
        <v>0</v>
      </c>
      <c r="DY44" s="627">
        <v>0</v>
      </c>
      <c r="DZ44" s="627">
        <v>0</v>
      </c>
      <c r="EA44" s="627">
        <v>0</v>
      </c>
      <c r="EB44" s="627">
        <v>0</v>
      </c>
      <c r="EC44" s="627">
        <v>0</v>
      </c>
      <c r="ED44" s="627">
        <v>0</v>
      </c>
      <c r="EE44" s="627">
        <v>0</v>
      </c>
      <c r="EF44" s="627">
        <v>0</v>
      </c>
      <c r="EG44" s="627">
        <v>0</v>
      </c>
      <c r="EH44" s="627">
        <v>0</v>
      </c>
      <c r="EI44" s="627">
        <v>974056</v>
      </c>
      <c r="EJ44" s="627">
        <v>0</v>
      </c>
      <c r="EK44" s="627">
        <v>0</v>
      </c>
      <c r="EL44" s="627">
        <v>0</v>
      </c>
      <c r="EM44" s="627">
        <v>0</v>
      </c>
      <c r="EN44" s="627">
        <v>46.481999999999999</v>
      </c>
      <c r="EO44" s="627">
        <v>3.7360000000000002</v>
      </c>
      <c r="EP44" s="627">
        <v>0</v>
      </c>
      <c r="EQ44" s="627">
        <v>0</v>
      </c>
      <c r="ER44" s="627">
        <v>50.218000000000004</v>
      </c>
      <c r="ES44" s="627">
        <v>0</v>
      </c>
      <c r="ET44" s="627">
        <v>158.126</v>
      </c>
      <c r="EU44" s="627">
        <v>0</v>
      </c>
      <c r="EV44" s="627">
        <v>0</v>
      </c>
      <c r="EW44" s="627">
        <v>0</v>
      </c>
      <c r="EX44" s="627">
        <v>0</v>
      </c>
      <c r="EY44" s="627">
        <v>0</v>
      </c>
      <c r="EZ44" s="627">
        <v>0</v>
      </c>
      <c r="FA44" s="627">
        <v>1552331</v>
      </c>
      <c r="FB44" s="627">
        <v>0</v>
      </c>
      <c r="FC44" s="627">
        <v>1582587</v>
      </c>
      <c r="FD44" s="627">
        <v>0</v>
      </c>
      <c r="FE44" s="627">
        <v>0</v>
      </c>
      <c r="FF44" s="627">
        <v>209568</v>
      </c>
      <c r="FG44" s="627">
        <v>36295</v>
      </c>
      <c r="FH44" s="627">
        <v>7.0280999999999996E-2</v>
      </c>
      <c r="FI44" s="627">
        <v>3.1172999999999999E-2</v>
      </c>
      <c r="FJ44" s="627">
        <v>0</v>
      </c>
      <c r="FK44" s="627">
        <v>0</v>
      </c>
      <c r="FL44" s="627">
        <v>236.262</v>
      </c>
      <c r="FM44" s="627">
        <v>1828450</v>
      </c>
      <c r="FN44" s="627">
        <v>0</v>
      </c>
      <c r="FO44" s="627">
        <v>0</v>
      </c>
      <c r="FP44" s="627">
        <v>0</v>
      </c>
      <c r="FQ44" s="627">
        <v>14822</v>
      </c>
      <c r="FR44" s="627">
        <v>14822</v>
      </c>
      <c r="FS44" s="627">
        <v>0</v>
      </c>
      <c r="FT44" s="627">
        <v>0</v>
      </c>
      <c r="FU44" s="627">
        <v>0</v>
      </c>
      <c r="FV44" s="627">
        <v>0</v>
      </c>
      <c r="FW44" s="627">
        <v>0</v>
      </c>
      <c r="FX44" s="627">
        <v>0</v>
      </c>
      <c r="FY44" s="627">
        <v>0</v>
      </c>
      <c r="FZ44" s="627">
        <v>0</v>
      </c>
      <c r="GA44" s="627">
        <v>0</v>
      </c>
      <c r="GB44" s="627">
        <v>0</v>
      </c>
      <c r="GC44" s="627">
        <v>0</v>
      </c>
      <c r="GD44" s="627">
        <v>0</v>
      </c>
      <c r="GE44" s="627">
        <v>0</v>
      </c>
      <c r="GF44" s="627">
        <v>0</v>
      </c>
      <c r="GG44" s="627">
        <v>0</v>
      </c>
      <c r="GH44" s="627">
        <v>0</v>
      </c>
      <c r="GI44" s="627">
        <v>0</v>
      </c>
      <c r="GJ44" s="627">
        <v>0</v>
      </c>
      <c r="GK44" s="627">
        <v>0</v>
      </c>
      <c r="GL44" s="627">
        <v>0</v>
      </c>
      <c r="GM44" s="627">
        <v>0</v>
      </c>
      <c r="GN44" s="627">
        <v>0</v>
      </c>
      <c r="GO44" s="627">
        <v>0</v>
      </c>
      <c r="GP44" s="627">
        <v>0</v>
      </c>
      <c r="GQ44" s="627">
        <v>0</v>
      </c>
      <c r="GR44" s="627">
        <v>1794885</v>
      </c>
      <c r="GS44" s="627">
        <v>0</v>
      </c>
      <c r="GT44" s="627">
        <v>0</v>
      </c>
      <c r="GU44" s="627">
        <v>0</v>
      </c>
      <c r="GV44" s="627">
        <v>0</v>
      </c>
      <c r="GW44" s="627">
        <v>0</v>
      </c>
      <c r="GX44" s="627">
        <v>0</v>
      </c>
      <c r="GY44" s="627">
        <v>0</v>
      </c>
      <c r="GZ44" s="627">
        <v>0</v>
      </c>
      <c r="HA44" s="627">
        <v>0</v>
      </c>
      <c r="HB44" s="627">
        <v>0</v>
      </c>
      <c r="HC44" s="627">
        <v>0</v>
      </c>
      <c r="HD44" s="627">
        <v>3.9981999999999997E-2</v>
      </c>
      <c r="HE44" s="627">
        <v>0</v>
      </c>
      <c r="HF44" s="627">
        <v>0</v>
      </c>
      <c r="HG44" s="627">
        <v>63783</v>
      </c>
      <c r="HH44" s="627">
        <v>7392</v>
      </c>
      <c r="HI44" s="627">
        <v>7916</v>
      </c>
      <c r="HJ44" s="627">
        <v>0</v>
      </c>
      <c r="HK44" s="627">
        <v>16081</v>
      </c>
      <c r="HL44" s="627">
        <v>0</v>
      </c>
      <c r="HM44" s="627">
        <v>0</v>
      </c>
      <c r="HN44" s="627">
        <v>0</v>
      </c>
      <c r="HO44" s="627">
        <v>0</v>
      </c>
      <c r="HP44" s="627">
        <v>0</v>
      </c>
      <c r="HQ44" s="627">
        <v>0</v>
      </c>
      <c r="HR44" s="627">
        <v>0</v>
      </c>
      <c r="HS44" s="627">
        <v>0</v>
      </c>
      <c r="HT44" s="627">
        <v>1549022</v>
      </c>
      <c r="HU44" s="627">
        <v>36295</v>
      </c>
      <c r="HV44" s="627">
        <v>0</v>
      </c>
      <c r="HW44" s="627">
        <v>0</v>
      </c>
      <c r="HX44" s="627">
        <v>0</v>
      </c>
      <c r="HY44" s="627">
        <v>5</v>
      </c>
      <c r="HZ44" s="627">
        <v>5</v>
      </c>
      <c r="IA44" s="627">
        <v>4</v>
      </c>
      <c r="IB44" s="627">
        <v>2</v>
      </c>
      <c r="IC44" s="627">
        <v>2</v>
      </c>
      <c r="ID44" s="627">
        <v>18</v>
      </c>
      <c r="IE44" s="627">
        <v>0</v>
      </c>
      <c r="IF44" s="627">
        <v>0</v>
      </c>
      <c r="IG44" s="627">
        <v>0</v>
      </c>
      <c r="IH44" s="627">
        <v>12</v>
      </c>
      <c r="II44" s="627">
        <v>12.85</v>
      </c>
      <c r="IJ44" s="627">
        <v>0</v>
      </c>
      <c r="IK44" s="627">
        <v>4.1980000000000004</v>
      </c>
      <c r="IL44" s="627">
        <v>0</v>
      </c>
      <c r="IM44" s="627">
        <v>0</v>
      </c>
      <c r="IN44" s="627">
        <v>0</v>
      </c>
      <c r="IO44" s="627">
        <v>0</v>
      </c>
      <c r="IP44" s="627">
        <v>0</v>
      </c>
      <c r="IQ44" s="627">
        <v>0</v>
      </c>
      <c r="IR44" s="627">
        <v>4.1980000000000004</v>
      </c>
      <c r="IS44" s="627">
        <v>2586</v>
      </c>
      <c r="IT44" s="627">
        <v>0</v>
      </c>
      <c r="IU44" s="627">
        <v>0</v>
      </c>
      <c r="IV44" s="627">
        <v>0</v>
      </c>
      <c r="IW44" s="627">
        <v>0</v>
      </c>
      <c r="IX44" s="627">
        <v>6160</v>
      </c>
      <c r="IY44" s="627">
        <v>0</v>
      </c>
      <c r="IZ44" s="627">
        <v>0</v>
      </c>
      <c r="JA44" s="627">
        <v>0</v>
      </c>
      <c r="JB44" s="627">
        <v>0</v>
      </c>
      <c r="JC44" s="627">
        <v>0</v>
      </c>
      <c r="JD44" s="627">
        <v>0</v>
      </c>
      <c r="JE44" s="627">
        <v>0</v>
      </c>
      <c r="JF44" s="627">
        <v>0</v>
      </c>
      <c r="JG44" s="627">
        <v>0</v>
      </c>
      <c r="JH44" s="627">
        <v>0</v>
      </c>
      <c r="JI44" s="627">
        <v>0</v>
      </c>
      <c r="JJ44" s="627">
        <v>0</v>
      </c>
      <c r="JK44" s="627">
        <v>0</v>
      </c>
      <c r="JL44" s="627">
        <v>0</v>
      </c>
      <c r="JM44" s="627">
        <v>0</v>
      </c>
      <c r="JN44" s="627">
        <v>0</v>
      </c>
      <c r="JO44" s="627">
        <v>0</v>
      </c>
      <c r="JP44" s="627">
        <v>0</v>
      </c>
      <c r="JQ44" s="627">
        <v>0</v>
      </c>
      <c r="JR44" s="627">
        <v>0</v>
      </c>
      <c r="JS44" s="627">
        <v>0</v>
      </c>
      <c r="JT44" s="627">
        <v>0</v>
      </c>
      <c r="JU44" s="627">
        <v>0</v>
      </c>
      <c r="JV44" s="627">
        <v>0</v>
      </c>
      <c r="JW44" s="627">
        <v>0</v>
      </c>
      <c r="JX44" s="627">
        <v>0</v>
      </c>
      <c r="JY44" s="627">
        <v>0</v>
      </c>
      <c r="JZ44" s="627">
        <v>0</v>
      </c>
      <c r="KA44" s="627">
        <v>0</v>
      </c>
      <c r="KB44" s="627">
        <v>0</v>
      </c>
      <c r="KC44" s="627">
        <v>0</v>
      </c>
      <c r="KD44" s="627">
        <v>0</v>
      </c>
      <c r="KE44" s="627">
        <v>0</v>
      </c>
      <c r="KF44" s="627">
        <v>7262</v>
      </c>
      <c r="KG44" s="627">
        <v>0</v>
      </c>
      <c r="KH44" s="627">
        <v>0</v>
      </c>
      <c r="KI44" s="627">
        <v>1794885</v>
      </c>
      <c r="KJ44" s="627">
        <v>0</v>
      </c>
      <c r="KK44" s="627">
        <v>6</v>
      </c>
      <c r="KL44" s="627">
        <v>6</v>
      </c>
      <c r="KM44" s="627">
        <v>3696</v>
      </c>
      <c r="KN44" s="627">
        <v>3696</v>
      </c>
      <c r="KO44" s="627">
        <v>0</v>
      </c>
      <c r="KP44" s="627">
        <v>0</v>
      </c>
      <c r="KQ44" s="627">
        <v>1794885</v>
      </c>
      <c r="KR44" s="627">
        <v>0</v>
      </c>
      <c r="KS44" s="627">
        <v>0</v>
      </c>
      <c r="KT44" s="627">
        <v>0</v>
      </c>
      <c r="KU44" s="627">
        <v>0</v>
      </c>
      <c r="KV44" s="627">
        <v>0</v>
      </c>
      <c r="KW44" s="627">
        <v>0</v>
      </c>
      <c r="KX44" s="627">
        <v>0</v>
      </c>
      <c r="KY44" s="627">
        <v>0</v>
      </c>
      <c r="KZ44" s="627">
        <v>0</v>
      </c>
      <c r="LA44" s="627">
        <v>0</v>
      </c>
      <c r="LB44" s="627">
        <v>0</v>
      </c>
      <c r="LC44" s="627">
        <v>0</v>
      </c>
      <c r="LD44" s="627">
        <v>0</v>
      </c>
      <c r="LE44" s="627">
        <v>0</v>
      </c>
      <c r="LF44" s="627">
        <v>0</v>
      </c>
    </row>
    <row r="45" spans="1:318" x14ac:dyDescent="0.25">
      <c r="A45" s="627">
        <v>42602</v>
      </c>
      <c r="B45" s="627">
        <v>220802</v>
      </c>
      <c r="D45" s="627">
        <v>9</v>
      </c>
      <c r="E45" s="627">
        <v>2024</v>
      </c>
      <c r="F45" s="627">
        <v>6160</v>
      </c>
      <c r="G45" s="627">
        <v>0</v>
      </c>
      <c r="H45" s="627">
        <v>1439.4570000000001</v>
      </c>
      <c r="I45" s="627">
        <v>1404.066</v>
      </c>
      <c r="J45" s="627">
        <v>1404.066</v>
      </c>
      <c r="K45" s="627">
        <v>1439.4570000000001</v>
      </c>
      <c r="L45" s="627">
        <v>0</v>
      </c>
      <c r="M45" s="627">
        <v>6160</v>
      </c>
      <c r="N45" s="627">
        <v>0</v>
      </c>
      <c r="O45" s="627">
        <v>0</v>
      </c>
      <c r="P45" s="627">
        <v>0</v>
      </c>
      <c r="Q45" s="627">
        <v>1443.6470000000002</v>
      </c>
      <c r="R45" s="627">
        <v>0</v>
      </c>
      <c r="S45" s="627">
        <v>598946</v>
      </c>
      <c r="T45" s="627">
        <v>414.88400000000001</v>
      </c>
      <c r="U45" s="627">
        <v>0</v>
      </c>
      <c r="V45" s="627">
        <v>310828</v>
      </c>
      <c r="W45" s="627">
        <v>136.28700000000001</v>
      </c>
      <c r="X45" s="627">
        <v>83953</v>
      </c>
      <c r="Y45" s="627">
        <v>83953</v>
      </c>
      <c r="Z45" s="627">
        <v>0</v>
      </c>
      <c r="AA45" s="627">
        <v>0</v>
      </c>
      <c r="AB45" s="627">
        <v>0</v>
      </c>
      <c r="AC45" s="627">
        <v>0</v>
      </c>
      <c r="AD45" s="627">
        <v>0</v>
      </c>
      <c r="AE45" s="627" t="s">
        <v>314</v>
      </c>
      <c r="AF45" s="627">
        <v>0</v>
      </c>
      <c r="AG45" s="627">
        <v>0</v>
      </c>
      <c r="AH45" s="627">
        <v>0</v>
      </c>
      <c r="AI45" s="627">
        <v>0</v>
      </c>
      <c r="AJ45" s="627">
        <v>0</v>
      </c>
      <c r="AK45" s="627">
        <v>6160</v>
      </c>
      <c r="AL45" s="627" t="s">
        <v>651</v>
      </c>
      <c r="AM45" s="627" t="s">
        <v>76</v>
      </c>
      <c r="AN45" s="627">
        <v>0</v>
      </c>
      <c r="AO45" s="627">
        <v>0</v>
      </c>
      <c r="AP45" s="627">
        <v>0</v>
      </c>
      <c r="AQ45" s="627">
        <v>0</v>
      </c>
      <c r="AR45" s="627">
        <v>0</v>
      </c>
      <c r="AS45" s="627">
        <v>0</v>
      </c>
      <c r="AT45" s="627">
        <v>0</v>
      </c>
      <c r="AU45" s="627">
        <v>0</v>
      </c>
      <c r="AV45" s="627">
        <v>0</v>
      </c>
      <c r="AW45" s="627">
        <v>0</v>
      </c>
      <c r="AX45" s="627">
        <v>13589659</v>
      </c>
      <c r="AY45" s="627">
        <v>13361491</v>
      </c>
      <c r="AZ45" s="627">
        <v>6751109</v>
      </c>
      <c r="BA45" s="627">
        <v>598946</v>
      </c>
      <c r="BB45" s="627">
        <v>33.5</v>
      </c>
      <c r="BC45" s="627">
        <v>0</v>
      </c>
      <c r="BD45" s="627">
        <v>0</v>
      </c>
      <c r="BE45" s="627">
        <v>0</v>
      </c>
      <c r="BF45" s="627">
        <v>0</v>
      </c>
      <c r="BG45" s="627">
        <v>11942873</v>
      </c>
      <c r="BH45" s="627">
        <v>0</v>
      </c>
      <c r="BI45" s="627">
        <v>0</v>
      </c>
      <c r="BJ45" s="627">
        <v>0</v>
      </c>
      <c r="BK45" s="627">
        <v>12</v>
      </c>
      <c r="BL45" s="627">
        <v>0</v>
      </c>
      <c r="BM45" s="627">
        <v>0</v>
      </c>
      <c r="BN45" s="627">
        <v>0</v>
      </c>
      <c r="BO45" s="627">
        <v>0</v>
      </c>
      <c r="BP45" s="627">
        <v>0</v>
      </c>
      <c r="BQ45" s="627">
        <v>0</v>
      </c>
      <c r="BR45" s="627">
        <v>554</v>
      </c>
      <c r="BS45" s="627">
        <v>0</v>
      </c>
      <c r="BT45" s="627">
        <v>0</v>
      </c>
      <c r="BU45" s="627">
        <v>0</v>
      </c>
      <c r="BV45" s="627">
        <v>0</v>
      </c>
      <c r="BW45" s="627">
        <v>0</v>
      </c>
      <c r="BX45" s="627">
        <v>0</v>
      </c>
      <c r="BY45" s="627">
        <v>0</v>
      </c>
      <c r="BZ45" s="627">
        <v>0</v>
      </c>
      <c r="CA45" s="627">
        <v>0</v>
      </c>
      <c r="CB45" s="627">
        <v>0</v>
      </c>
      <c r="CC45" s="627">
        <v>0</v>
      </c>
      <c r="CD45" s="627">
        <v>0</v>
      </c>
      <c r="CE45" s="627">
        <v>0</v>
      </c>
      <c r="CF45" s="627">
        <v>0</v>
      </c>
      <c r="CG45" s="627">
        <v>0</v>
      </c>
      <c r="CH45" s="627">
        <v>0</v>
      </c>
      <c r="CI45" s="627">
        <v>230210</v>
      </c>
      <c r="CJ45" s="627">
        <v>0</v>
      </c>
      <c r="CK45" s="627">
        <v>4</v>
      </c>
      <c r="CL45" s="627">
        <v>0</v>
      </c>
      <c r="CM45" s="627">
        <v>0</v>
      </c>
      <c r="CN45" s="627">
        <v>0</v>
      </c>
      <c r="CO45" s="627">
        <v>0</v>
      </c>
      <c r="CP45" s="627">
        <v>1</v>
      </c>
      <c r="CQ45" s="627">
        <v>0</v>
      </c>
      <c r="CR45" s="627">
        <v>0</v>
      </c>
      <c r="CS45" s="627">
        <v>1442.45</v>
      </c>
      <c r="CT45" s="627">
        <v>0</v>
      </c>
      <c r="CU45" s="627">
        <v>0</v>
      </c>
      <c r="CV45" s="627">
        <v>0</v>
      </c>
      <c r="CW45" s="627">
        <v>0</v>
      </c>
      <c r="CX45" s="627">
        <v>0</v>
      </c>
      <c r="CY45" s="627">
        <v>0</v>
      </c>
      <c r="CZ45" s="627">
        <v>0</v>
      </c>
      <c r="DA45" s="627">
        <v>0</v>
      </c>
      <c r="DB45" s="627">
        <v>0</v>
      </c>
      <c r="DC45" s="627">
        <v>8649047</v>
      </c>
      <c r="DD45" s="627">
        <v>0</v>
      </c>
      <c r="DE45" s="627">
        <v>0</v>
      </c>
      <c r="DF45" s="627">
        <v>695849</v>
      </c>
      <c r="DG45" s="627">
        <v>695849</v>
      </c>
      <c r="DH45" s="627">
        <v>112.96300000000001</v>
      </c>
      <c r="DI45" s="627">
        <v>0</v>
      </c>
      <c r="DJ45" s="627">
        <v>0</v>
      </c>
      <c r="DK45" s="627">
        <v>0</v>
      </c>
      <c r="DL45" s="627">
        <v>483</v>
      </c>
      <c r="DM45" s="627">
        <v>0</v>
      </c>
      <c r="DN45" s="627">
        <v>599036</v>
      </c>
      <c r="DO45" s="627">
        <v>2042</v>
      </c>
      <c r="DP45" s="627">
        <v>0</v>
      </c>
      <c r="DQ45" s="627">
        <v>0</v>
      </c>
      <c r="DR45" s="627">
        <v>0</v>
      </c>
      <c r="DS45" s="627">
        <v>0</v>
      </c>
      <c r="DT45" s="627">
        <v>0</v>
      </c>
      <c r="DU45" s="627">
        <v>0</v>
      </c>
      <c r="DV45" s="627">
        <v>0</v>
      </c>
      <c r="DW45" s="627">
        <v>0</v>
      </c>
      <c r="DX45" s="627">
        <v>0</v>
      </c>
      <c r="DY45" s="627">
        <v>0</v>
      </c>
      <c r="DZ45" s="627">
        <v>0</v>
      </c>
      <c r="EA45" s="627">
        <v>0</v>
      </c>
      <c r="EB45" s="627">
        <v>0.03</v>
      </c>
      <c r="EC45" s="627">
        <v>0</v>
      </c>
      <c r="ED45" s="627">
        <v>25.997</v>
      </c>
      <c r="EE45" s="627">
        <v>184163</v>
      </c>
      <c r="EF45" s="627">
        <v>0</v>
      </c>
      <c r="EG45" s="627">
        <v>0</v>
      </c>
      <c r="EH45" s="627">
        <v>0</v>
      </c>
      <c r="EI45" s="627">
        <v>416915</v>
      </c>
      <c r="EJ45" s="627">
        <v>0</v>
      </c>
      <c r="EK45" s="627">
        <v>0</v>
      </c>
      <c r="EL45" s="627">
        <v>18.194000000000003</v>
      </c>
      <c r="EM45" s="627">
        <v>0</v>
      </c>
      <c r="EN45" s="627">
        <v>0.93800000000000006</v>
      </c>
      <c r="EO45" s="627">
        <v>2.0270000000000001</v>
      </c>
      <c r="EP45" s="627">
        <v>0</v>
      </c>
      <c r="EQ45" s="627">
        <v>0</v>
      </c>
      <c r="ER45" s="627">
        <v>21.189</v>
      </c>
      <c r="ES45" s="627">
        <v>0</v>
      </c>
      <c r="ET45" s="627">
        <v>67.680999999999997</v>
      </c>
      <c r="EU45" s="627">
        <v>0</v>
      </c>
      <c r="EV45" s="627">
        <v>0</v>
      </c>
      <c r="EW45" s="627">
        <v>0</v>
      </c>
      <c r="EX45" s="627">
        <v>0</v>
      </c>
      <c r="EY45" s="627">
        <v>0</v>
      </c>
      <c r="EZ45" s="627">
        <v>0</v>
      </c>
      <c r="FA45" s="627">
        <v>11343927</v>
      </c>
      <c r="FB45" s="627">
        <v>0</v>
      </c>
      <c r="FC45" s="627">
        <v>11940831</v>
      </c>
      <c r="FD45" s="627">
        <v>0</v>
      </c>
      <c r="FE45" s="627">
        <v>0</v>
      </c>
      <c r="FF45" s="627">
        <v>1719728</v>
      </c>
      <c r="FG45" s="627">
        <v>297836</v>
      </c>
      <c r="FH45" s="627">
        <v>7.0280999999999996E-2</v>
      </c>
      <c r="FI45" s="627">
        <v>3.1172999999999999E-2</v>
      </c>
      <c r="FJ45" s="627">
        <v>0</v>
      </c>
      <c r="FK45" s="627">
        <v>0</v>
      </c>
      <c r="FL45" s="627">
        <v>1938.778</v>
      </c>
      <c r="FM45" s="627">
        <v>14188605</v>
      </c>
      <c r="FN45" s="627">
        <v>0</v>
      </c>
      <c r="FO45" s="627">
        <v>0</v>
      </c>
      <c r="FP45" s="627">
        <v>0</v>
      </c>
      <c r="FQ45" s="627">
        <v>0</v>
      </c>
      <c r="FR45" s="627">
        <v>0</v>
      </c>
      <c r="FS45" s="627">
        <v>0</v>
      </c>
      <c r="FT45" s="627">
        <v>0</v>
      </c>
      <c r="FU45" s="627">
        <v>0</v>
      </c>
      <c r="FV45" s="627">
        <v>0</v>
      </c>
      <c r="FW45" s="627">
        <v>0</v>
      </c>
      <c r="FX45" s="627">
        <v>0</v>
      </c>
      <c r="FY45" s="627">
        <v>0</v>
      </c>
      <c r="FZ45" s="627">
        <v>0</v>
      </c>
      <c r="GA45" s="627">
        <v>0</v>
      </c>
      <c r="GB45" s="627">
        <v>0</v>
      </c>
      <c r="GC45" s="627">
        <v>113448</v>
      </c>
      <c r="GD45" s="627">
        <v>113448</v>
      </c>
      <c r="GE45" s="627">
        <v>14.202</v>
      </c>
      <c r="GF45" s="627">
        <v>0</v>
      </c>
      <c r="GG45" s="627">
        <v>0</v>
      </c>
      <c r="GH45" s="627">
        <v>0</v>
      </c>
      <c r="GI45" s="627">
        <v>0</v>
      </c>
      <c r="GJ45" s="627">
        <v>0</v>
      </c>
      <c r="GK45" s="627">
        <v>0</v>
      </c>
      <c r="GL45" s="627">
        <v>0</v>
      </c>
      <c r="GM45" s="627">
        <v>0</v>
      </c>
      <c r="GN45" s="627">
        <v>0</v>
      </c>
      <c r="GO45" s="627">
        <v>0</v>
      </c>
      <c r="GP45" s="627">
        <v>0</v>
      </c>
      <c r="GQ45" s="627">
        <v>0</v>
      </c>
      <c r="GR45" s="627">
        <v>13359449</v>
      </c>
      <c r="GS45" s="627">
        <v>0</v>
      </c>
      <c r="GT45" s="627">
        <v>0</v>
      </c>
      <c r="GU45" s="627">
        <v>0</v>
      </c>
      <c r="GV45" s="627">
        <v>0</v>
      </c>
      <c r="GW45" s="627">
        <v>0</v>
      </c>
      <c r="GX45" s="627">
        <v>0</v>
      </c>
      <c r="GY45" s="627">
        <v>0</v>
      </c>
      <c r="GZ45" s="627">
        <v>0</v>
      </c>
      <c r="HA45" s="627">
        <v>0</v>
      </c>
      <c r="HB45" s="627">
        <v>0</v>
      </c>
      <c r="HC45" s="627">
        <v>361151439</v>
      </c>
      <c r="HD45" s="627">
        <v>3.9981999999999997E-2</v>
      </c>
      <c r="HE45" s="627">
        <v>230210</v>
      </c>
      <c r="HF45" s="627">
        <v>0</v>
      </c>
      <c r="HG45" s="627">
        <v>1547281</v>
      </c>
      <c r="HH45" s="627">
        <v>14168</v>
      </c>
      <c r="HI45" s="627">
        <v>171145</v>
      </c>
      <c r="HJ45" s="627">
        <v>0</v>
      </c>
      <c r="HK45" s="627">
        <v>59395</v>
      </c>
      <c r="HL45" s="627">
        <v>0</v>
      </c>
      <c r="HM45" s="627">
        <v>0</v>
      </c>
      <c r="HN45" s="627">
        <v>0</v>
      </c>
      <c r="HO45" s="627">
        <v>7509</v>
      </c>
      <c r="HP45" s="627">
        <v>0</v>
      </c>
      <c r="HQ45" s="627">
        <v>0</v>
      </c>
      <c r="HR45" s="627">
        <v>0</v>
      </c>
      <c r="HS45" s="627">
        <v>0</v>
      </c>
      <c r="HT45" s="627">
        <v>11341885</v>
      </c>
      <c r="HU45" s="627">
        <v>297836</v>
      </c>
      <c r="HV45" s="627">
        <v>0</v>
      </c>
      <c r="HW45" s="627">
        <v>0</v>
      </c>
      <c r="HX45" s="627">
        <v>0</v>
      </c>
      <c r="HY45" s="627">
        <v>153</v>
      </c>
      <c r="HZ45" s="627">
        <v>103</v>
      </c>
      <c r="IA45" s="627">
        <v>99</v>
      </c>
      <c r="IB45" s="627">
        <v>74</v>
      </c>
      <c r="IC45" s="627">
        <v>36</v>
      </c>
      <c r="ID45" s="627">
        <v>465</v>
      </c>
      <c r="IE45" s="627">
        <v>0</v>
      </c>
      <c r="IF45" s="627">
        <v>0</v>
      </c>
      <c r="IG45" s="627">
        <v>0</v>
      </c>
      <c r="IH45" s="627">
        <v>23</v>
      </c>
      <c r="II45" s="627">
        <v>277.83199999999999</v>
      </c>
      <c r="IJ45" s="627">
        <v>0</v>
      </c>
      <c r="IK45" s="627">
        <v>136.28700000000001</v>
      </c>
      <c r="IL45" s="627">
        <v>0</v>
      </c>
      <c r="IM45" s="627">
        <v>0</v>
      </c>
      <c r="IN45" s="627">
        <v>0</v>
      </c>
      <c r="IO45" s="627">
        <v>0</v>
      </c>
      <c r="IP45" s="627">
        <v>0</v>
      </c>
      <c r="IQ45" s="627">
        <v>0</v>
      </c>
      <c r="IR45" s="627">
        <v>136.28700000000001</v>
      </c>
      <c r="IS45" s="627">
        <v>83953</v>
      </c>
      <c r="IT45" s="627">
        <v>0</v>
      </c>
      <c r="IU45" s="627">
        <v>0</v>
      </c>
      <c r="IV45" s="627">
        <v>0</v>
      </c>
      <c r="IW45" s="627">
        <v>0</v>
      </c>
      <c r="IX45" s="627">
        <v>6160</v>
      </c>
      <c r="IY45" s="627">
        <v>0</v>
      </c>
      <c r="IZ45" s="627">
        <v>0</v>
      </c>
      <c r="JA45" s="627">
        <v>0</v>
      </c>
      <c r="JB45" s="627">
        <v>0</v>
      </c>
      <c r="JC45" s="627">
        <v>0</v>
      </c>
      <c r="JD45" s="627">
        <v>0</v>
      </c>
      <c r="JE45" s="627">
        <v>1</v>
      </c>
      <c r="JF45" s="627">
        <v>7509</v>
      </c>
      <c r="JG45" s="627">
        <v>0</v>
      </c>
      <c r="JH45" s="627">
        <v>0</v>
      </c>
      <c r="JI45" s="627">
        <v>0</v>
      </c>
      <c r="JJ45" s="627">
        <v>0</v>
      </c>
      <c r="JK45" s="627">
        <v>0</v>
      </c>
      <c r="JL45" s="627">
        <v>0</v>
      </c>
      <c r="JM45" s="627">
        <v>0</v>
      </c>
      <c r="JN45" s="627">
        <v>0</v>
      </c>
      <c r="JO45" s="627">
        <v>32469</v>
      </c>
      <c r="JP45" s="627">
        <v>14.202</v>
      </c>
      <c r="JQ45" s="627">
        <v>0</v>
      </c>
      <c r="JR45" s="627">
        <v>0</v>
      </c>
      <c r="JS45" s="627">
        <v>113448</v>
      </c>
      <c r="JT45" s="627">
        <v>0</v>
      </c>
      <c r="JU45" s="627">
        <v>0</v>
      </c>
      <c r="JV45" s="627">
        <v>0</v>
      </c>
      <c r="JW45" s="627">
        <v>0</v>
      </c>
      <c r="JX45" s="627">
        <v>0</v>
      </c>
      <c r="JY45" s="627">
        <v>0</v>
      </c>
      <c r="JZ45" s="627">
        <v>0</v>
      </c>
      <c r="KA45" s="627">
        <v>0</v>
      </c>
      <c r="KB45" s="627">
        <v>0</v>
      </c>
      <c r="KC45" s="627">
        <v>0</v>
      </c>
      <c r="KD45" s="627">
        <v>0</v>
      </c>
      <c r="KE45" s="627">
        <v>0</v>
      </c>
      <c r="KF45" s="627">
        <v>7262</v>
      </c>
      <c r="KG45" s="627">
        <v>0</v>
      </c>
      <c r="KH45" s="627">
        <v>0</v>
      </c>
      <c r="KI45" s="627">
        <v>13359449</v>
      </c>
      <c r="KJ45" s="627">
        <v>0</v>
      </c>
      <c r="KK45" s="627">
        <v>10</v>
      </c>
      <c r="KL45" s="627">
        <v>13</v>
      </c>
      <c r="KM45" s="627">
        <v>6160</v>
      </c>
      <c r="KN45" s="627">
        <v>8008</v>
      </c>
      <c r="KO45" s="627">
        <v>0</v>
      </c>
      <c r="KP45" s="627">
        <v>0</v>
      </c>
      <c r="KQ45" s="627">
        <v>13359449</v>
      </c>
      <c r="KR45" s="627">
        <v>0</v>
      </c>
      <c r="KS45" s="627">
        <v>0</v>
      </c>
      <c r="KT45" s="627">
        <v>0</v>
      </c>
      <c r="KU45" s="627">
        <v>0</v>
      </c>
      <c r="KV45" s="627">
        <v>0</v>
      </c>
      <c r="KW45" s="627">
        <v>0</v>
      </c>
      <c r="KX45" s="627">
        <v>0</v>
      </c>
      <c r="KY45" s="627">
        <v>0</v>
      </c>
      <c r="KZ45" s="627">
        <v>0</v>
      </c>
      <c r="LA45" s="627">
        <v>0</v>
      </c>
      <c r="LB45" s="627">
        <v>0</v>
      </c>
      <c r="LC45" s="627">
        <v>0</v>
      </c>
      <c r="LD45" s="627">
        <v>0</v>
      </c>
      <c r="LE45" s="627">
        <v>0</v>
      </c>
      <c r="LF45" s="627">
        <v>0</v>
      </c>
    </row>
    <row r="46" spans="1:318" x14ac:dyDescent="0.25">
      <c r="A46" s="627">
        <v>42602</v>
      </c>
      <c r="B46" s="627">
        <v>236802</v>
      </c>
      <c r="D46" s="627">
        <v>9</v>
      </c>
      <c r="E46" s="627">
        <v>2024</v>
      </c>
      <c r="F46" s="627">
        <v>6160</v>
      </c>
      <c r="G46" s="627">
        <v>0</v>
      </c>
      <c r="H46" s="627">
        <v>436.63300000000004</v>
      </c>
      <c r="I46" s="627">
        <v>425.00800000000004</v>
      </c>
      <c r="J46" s="627">
        <v>425.00800000000004</v>
      </c>
      <c r="K46" s="627">
        <v>436.63300000000004</v>
      </c>
      <c r="L46" s="627">
        <v>0</v>
      </c>
      <c r="M46" s="627">
        <v>6160</v>
      </c>
      <c r="N46" s="627">
        <v>0</v>
      </c>
      <c r="O46" s="627">
        <v>0</v>
      </c>
      <c r="P46" s="627">
        <v>0</v>
      </c>
      <c r="Q46" s="627">
        <v>459.94</v>
      </c>
      <c r="R46" s="627">
        <v>0</v>
      </c>
      <c r="S46" s="627">
        <v>190822</v>
      </c>
      <c r="T46" s="627">
        <v>414.88400000000001</v>
      </c>
      <c r="U46" s="627">
        <v>0</v>
      </c>
      <c r="V46" s="627">
        <v>99029</v>
      </c>
      <c r="W46" s="627">
        <v>37.198</v>
      </c>
      <c r="X46" s="627">
        <v>22914</v>
      </c>
      <c r="Y46" s="627">
        <v>22914</v>
      </c>
      <c r="Z46" s="627">
        <v>0</v>
      </c>
      <c r="AA46" s="627">
        <v>0</v>
      </c>
      <c r="AB46" s="627">
        <v>0</v>
      </c>
      <c r="AC46" s="627">
        <v>0</v>
      </c>
      <c r="AD46" s="627">
        <v>0</v>
      </c>
      <c r="AE46" s="627" t="s">
        <v>314</v>
      </c>
      <c r="AF46" s="627">
        <v>0</v>
      </c>
      <c r="AG46" s="627">
        <v>0</v>
      </c>
      <c r="AH46" s="627">
        <v>0</v>
      </c>
      <c r="AI46" s="627">
        <v>0</v>
      </c>
      <c r="AJ46" s="627">
        <v>0</v>
      </c>
      <c r="AK46" s="627">
        <v>6160</v>
      </c>
      <c r="AL46" s="627" t="s">
        <v>651</v>
      </c>
      <c r="AM46" s="627" t="s">
        <v>385</v>
      </c>
      <c r="AN46" s="627">
        <v>0</v>
      </c>
      <c r="AO46" s="627">
        <v>0</v>
      </c>
      <c r="AP46" s="627">
        <v>0</v>
      </c>
      <c r="AQ46" s="627">
        <v>0</v>
      </c>
      <c r="AR46" s="627">
        <v>0</v>
      </c>
      <c r="AS46" s="627">
        <v>0</v>
      </c>
      <c r="AT46" s="627">
        <v>0</v>
      </c>
      <c r="AU46" s="627">
        <v>0</v>
      </c>
      <c r="AV46" s="627">
        <v>0</v>
      </c>
      <c r="AW46" s="627">
        <v>-19185</v>
      </c>
      <c r="AX46" s="627">
        <v>4150255</v>
      </c>
      <c r="AY46" s="627">
        <v>4081484</v>
      </c>
      <c r="AZ46" s="627">
        <v>2096456</v>
      </c>
      <c r="BA46" s="627">
        <v>190822</v>
      </c>
      <c r="BB46" s="627">
        <v>0</v>
      </c>
      <c r="BC46" s="627">
        <v>9302</v>
      </c>
      <c r="BD46" s="627">
        <v>9242</v>
      </c>
      <c r="BE46" s="627">
        <v>21.832000000000001</v>
      </c>
      <c r="BF46" s="627">
        <v>59</v>
      </c>
      <c r="BG46" s="627">
        <v>3654872</v>
      </c>
      <c r="BH46" s="627">
        <v>0</v>
      </c>
      <c r="BI46" s="627">
        <v>0</v>
      </c>
      <c r="BJ46" s="627">
        <v>0</v>
      </c>
      <c r="BK46" s="627">
        <v>12</v>
      </c>
      <c r="BL46" s="627">
        <v>0</v>
      </c>
      <c r="BM46" s="627">
        <v>0</v>
      </c>
      <c r="BN46" s="627">
        <v>0</v>
      </c>
      <c r="BO46" s="627">
        <v>0</v>
      </c>
      <c r="BP46" s="627">
        <v>0</v>
      </c>
      <c r="BQ46" s="627">
        <v>0</v>
      </c>
      <c r="BR46" s="627">
        <v>705</v>
      </c>
      <c r="BS46" s="627">
        <v>0</v>
      </c>
      <c r="BT46" s="627">
        <v>0</v>
      </c>
      <c r="BU46" s="627">
        <v>0</v>
      </c>
      <c r="BV46" s="627">
        <v>0</v>
      </c>
      <c r="BW46" s="627">
        <v>0</v>
      </c>
      <c r="BX46" s="627">
        <v>0</v>
      </c>
      <c r="BY46" s="627">
        <v>0</v>
      </c>
      <c r="BZ46" s="627">
        <v>0</v>
      </c>
      <c r="CA46" s="627">
        <v>0</v>
      </c>
      <c r="CB46" s="627">
        <v>0</v>
      </c>
      <c r="CC46" s="627">
        <v>0</v>
      </c>
      <c r="CD46" s="627">
        <v>0</v>
      </c>
      <c r="CE46" s="627">
        <v>0</v>
      </c>
      <c r="CF46" s="627">
        <v>0</v>
      </c>
      <c r="CG46" s="627">
        <v>0</v>
      </c>
      <c r="CH46" s="627">
        <v>0</v>
      </c>
      <c r="CI46" s="627">
        <v>69830</v>
      </c>
      <c r="CJ46" s="627">
        <v>0</v>
      </c>
      <c r="CK46" s="627">
        <v>4</v>
      </c>
      <c r="CL46" s="627">
        <v>0</v>
      </c>
      <c r="CM46" s="627">
        <v>0</v>
      </c>
      <c r="CN46" s="627">
        <v>0</v>
      </c>
      <c r="CO46" s="627">
        <v>0</v>
      </c>
      <c r="CP46" s="627">
        <v>1</v>
      </c>
      <c r="CQ46" s="627">
        <v>0</v>
      </c>
      <c r="CR46" s="627">
        <v>0</v>
      </c>
      <c r="CS46" s="627">
        <v>458.26</v>
      </c>
      <c r="CT46" s="627">
        <v>0</v>
      </c>
      <c r="CU46" s="627">
        <v>0</v>
      </c>
      <c r="CV46" s="627">
        <v>0</v>
      </c>
      <c r="CW46" s="627">
        <v>0</v>
      </c>
      <c r="CX46" s="627">
        <v>0</v>
      </c>
      <c r="CY46" s="627">
        <v>0</v>
      </c>
      <c r="CZ46" s="627">
        <v>0</v>
      </c>
      <c r="DA46" s="627">
        <v>0</v>
      </c>
      <c r="DB46" s="627">
        <v>0</v>
      </c>
      <c r="DC46" s="627">
        <v>2618049</v>
      </c>
      <c r="DD46" s="627">
        <v>0</v>
      </c>
      <c r="DE46" s="627">
        <v>0</v>
      </c>
      <c r="DF46" s="627">
        <v>145838</v>
      </c>
      <c r="DG46" s="627">
        <v>145838</v>
      </c>
      <c r="DH46" s="627">
        <v>23.675000000000001</v>
      </c>
      <c r="DI46" s="627">
        <v>0</v>
      </c>
      <c r="DJ46" s="627">
        <v>0</v>
      </c>
      <c r="DK46" s="627">
        <v>0</v>
      </c>
      <c r="DL46" s="627">
        <v>2895</v>
      </c>
      <c r="DM46" s="627">
        <v>0</v>
      </c>
      <c r="DN46" s="627">
        <v>293316</v>
      </c>
      <c r="DO46" s="627">
        <v>1000</v>
      </c>
      <c r="DP46" s="627">
        <v>0</v>
      </c>
      <c r="DQ46" s="627">
        <v>0</v>
      </c>
      <c r="DR46" s="627">
        <v>0</v>
      </c>
      <c r="DS46" s="627">
        <v>0</v>
      </c>
      <c r="DT46" s="627">
        <v>0</v>
      </c>
      <c r="DU46" s="627">
        <v>0</v>
      </c>
      <c r="DV46" s="627">
        <v>0</v>
      </c>
      <c r="DW46" s="627">
        <v>0</v>
      </c>
      <c r="DX46" s="627">
        <v>0</v>
      </c>
      <c r="DY46" s="627">
        <v>0</v>
      </c>
      <c r="DZ46" s="627">
        <v>0</v>
      </c>
      <c r="EA46" s="627">
        <v>0</v>
      </c>
      <c r="EB46" s="627">
        <v>0</v>
      </c>
      <c r="EC46" s="627">
        <v>0</v>
      </c>
      <c r="ED46" s="627">
        <v>7.8970000000000002</v>
      </c>
      <c r="EE46" s="627">
        <v>55942</v>
      </c>
      <c r="EF46" s="627">
        <v>0</v>
      </c>
      <c r="EG46" s="627">
        <v>0</v>
      </c>
      <c r="EH46" s="627">
        <v>0</v>
      </c>
      <c r="EI46" s="627">
        <v>238374</v>
      </c>
      <c r="EJ46" s="627">
        <v>0</v>
      </c>
      <c r="EK46" s="627">
        <v>0</v>
      </c>
      <c r="EL46" s="627">
        <v>9.7140000000000004</v>
      </c>
      <c r="EM46" s="627">
        <v>0</v>
      </c>
      <c r="EN46" s="627">
        <v>0</v>
      </c>
      <c r="EO46" s="627">
        <v>1.911</v>
      </c>
      <c r="EP46" s="627">
        <v>0</v>
      </c>
      <c r="EQ46" s="627">
        <v>0</v>
      </c>
      <c r="ER46" s="627">
        <v>11.625</v>
      </c>
      <c r="ES46" s="627">
        <v>0</v>
      </c>
      <c r="ET46" s="627">
        <v>38.697000000000003</v>
      </c>
      <c r="EU46" s="627">
        <v>0</v>
      </c>
      <c r="EV46" s="627">
        <v>0</v>
      </c>
      <c r="EW46" s="627">
        <v>0</v>
      </c>
      <c r="EX46" s="627">
        <v>0</v>
      </c>
      <c r="EY46" s="627">
        <v>0</v>
      </c>
      <c r="EZ46" s="627">
        <v>0</v>
      </c>
      <c r="FA46" s="627">
        <v>3464050</v>
      </c>
      <c r="FB46" s="627">
        <v>0</v>
      </c>
      <c r="FC46" s="627">
        <v>3653813</v>
      </c>
      <c r="FD46" s="627">
        <v>0</v>
      </c>
      <c r="FE46" s="627">
        <v>0</v>
      </c>
      <c r="FF46" s="627">
        <v>526287</v>
      </c>
      <c r="FG46" s="627">
        <v>91147</v>
      </c>
      <c r="FH46" s="627">
        <v>7.0280999999999996E-2</v>
      </c>
      <c r="FI46" s="627">
        <v>3.1172999999999999E-2</v>
      </c>
      <c r="FJ46" s="627">
        <v>0</v>
      </c>
      <c r="FK46" s="627">
        <v>0</v>
      </c>
      <c r="FL46" s="627">
        <v>593.32299999999998</v>
      </c>
      <c r="FM46" s="627">
        <v>4341077</v>
      </c>
      <c r="FN46" s="627">
        <v>0</v>
      </c>
      <c r="FO46" s="627">
        <v>0</v>
      </c>
      <c r="FP46" s="627">
        <v>0</v>
      </c>
      <c r="FQ46" s="627">
        <v>0</v>
      </c>
      <c r="FR46" s="627">
        <v>0</v>
      </c>
      <c r="FS46" s="627">
        <v>0</v>
      </c>
      <c r="FT46" s="627">
        <v>0</v>
      </c>
      <c r="FU46" s="627">
        <v>0</v>
      </c>
      <c r="FV46" s="627">
        <v>0</v>
      </c>
      <c r="FW46" s="627">
        <v>0</v>
      </c>
      <c r="FX46" s="627">
        <v>0</v>
      </c>
      <c r="FY46" s="627">
        <v>0</v>
      </c>
      <c r="FZ46" s="627">
        <v>0</v>
      </c>
      <c r="GA46" s="627">
        <v>0</v>
      </c>
      <c r="GB46" s="627">
        <v>0</v>
      </c>
      <c r="GC46" s="627">
        <v>0</v>
      </c>
      <c r="GD46" s="627">
        <v>0</v>
      </c>
      <c r="GE46" s="627">
        <v>0</v>
      </c>
      <c r="GF46" s="627">
        <v>0</v>
      </c>
      <c r="GG46" s="627">
        <v>0</v>
      </c>
      <c r="GH46" s="627">
        <v>0</v>
      </c>
      <c r="GI46" s="627">
        <v>0</v>
      </c>
      <c r="GJ46" s="627">
        <v>0</v>
      </c>
      <c r="GK46" s="627">
        <v>0</v>
      </c>
      <c r="GL46" s="627">
        <v>0</v>
      </c>
      <c r="GM46" s="627">
        <v>0</v>
      </c>
      <c r="GN46" s="627">
        <v>0</v>
      </c>
      <c r="GO46" s="627">
        <v>0</v>
      </c>
      <c r="GP46" s="627">
        <v>0</v>
      </c>
      <c r="GQ46" s="627">
        <v>0</v>
      </c>
      <c r="GR46" s="627">
        <v>4080425</v>
      </c>
      <c r="GS46" s="627">
        <v>0</v>
      </c>
      <c r="GT46" s="627">
        <v>0</v>
      </c>
      <c r="GU46" s="627">
        <v>0</v>
      </c>
      <c r="GV46" s="627">
        <v>0</v>
      </c>
      <c r="GW46" s="627">
        <v>0</v>
      </c>
      <c r="GX46" s="627">
        <v>0</v>
      </c>
      <c r="GY46" s="627">
        <v>0</v>
      </c>
      <c r="GZ46" s="627">
        <v>0</v>
      </c>
      <c r="HA46" s="627">
        <v>0</v>
      </c>
      <c r="HB46" s="627">
        <v>0</v>
      </c>
      <c r="HC46" s="627">
        <v>361151439</v>
      </c>
      <c r="HD46" s="627">
        <v>3.9981999999999997E-2</v>
      </c>
      <c r="HE46" s="627">
        <v>69830</v>
      </c>
      <c r="HF46" s="627">
        <v>0</v>
      </c>
      <c r="HG46" s="627">
        <v>468359</v>
      </c>
      <c r="HH46" s="627">
        <v>24640</v>
      </c>
      <c r="HI46" s="627">
        <v>52088</v>
      </c>
      <c r="HJ46" s="627">
        <v>0</v>
      </c>
      <c r="HK46" s="627">
        <v>19366</v>
      </c>
      <c r="HL46" s="627">
        <v>0</v>
      </c>
      <c r="HM46" s="627">
        <v>0</v>
      </c>
      <c r="HN46" s="627">
        <v>0</v>
      </c>
      <c r="HO46" s="627">
        <v>0</v>
      </c>
      <c r="HP46" s="627">
        <v>0</v>
      </c>
      <c r="HQ46" s="627">
        <v>0</v>
      </c>
      <c r="HR46" s="627">
        <v>0</v>
      </c>
      <c r="HS46" s="627">
        <v>0</v>
      </c>
      <c r="HT46" s="627">
        <v>3462991</v>
      </c>
      <c r="HU46" s="627">
        <v>91147</v>
      </c>
      <c r="HV46" s="627">
        <v>0</v>
      </c>
      <c r="HW46" s="627">
        <v>0</v>
      </c>
      <c r="HX46" s="627">
        <v>0</v>
      </c>
      <c r="HY46" s="627">
        <v>29</v>
      </c>
      <c r="HZ46" s="627">
        <v>27</v>
      </c>
      <c r="IA46" s="627">
        <v>15</v>
      </c>
      <c r="IB46" s="627">
        <v>13</v>
      </c>
      <c r="IC46" s="627">
        <v>13</v>
      </c>
      <c r="ID46" s="627">
        <v>97</v>
      </c>
      <c r="IE46" s="627">
        <v>0</v>
      </c>
      <c r="IF46" s="627">
        <v>0</v>
      </c>
      <c r="IG46" s="627">
        <v>0</v>
      </c>
      <c r="IH46" s="627">
        <v>40</v>
      </c>
      <c r="II46" s="627">
        <v>84.558000000000007</v>
      </c>
      <c r="IJ46" s="627">
        <v>0</v>
      </c>
      <c r="IK46" s="627">
        <v>37.198</v>
      </c>
      <c r="IL46" s="627">
        <v>0</v>
      </c>
      <c r="IM46" s="627">
        <v>0</v>
      </c>
      <c r="IN46" s="627">
        <v>0</v>
      </c>
      <c r="IO46" s="627">
        <v>0</v>
      </c>
      <c r="IP46" s="627">
        <v>0</v>
      </c>
      <c r="IQ46" s="627">
        <v>0</v>
      </c>
      <c r="IR46" s="627">
        <v>37.198</v>
      </c>
      <c r="IS46" s="627">
        <v>22914</v>
      </c>
      <c r="IT46" s="627">
        <v>0</v>
      </c>
      <c r="IU46" s="627">
        <v>0</v>
      </c>
      <c r="IV46" s="627">
        <v>0</v>
      </c>
      <c r="IW46" s="627">
        <v>0</v>
      </c>
      <c r="IX46" s="627">
        <v>6160</v>
      </c>
      <c r="IY46" s="627">
        <v>0</v>
      </c>
      <c r="IZ46" s="627">
        <v>0</v>
      </c>
      <c r="JA46" s="627">
        <v>0</v>
      </c>
      <c r="JB46" s="627">
        <v>0</v>
      </c>
      <c r="JC46" s="627">
        <v>0</v>
      </c>
      <c r="JD46" s="627">
        <v>0</v>
      </c>
      <c r="JE46" s="627">
        <v>0</v>
      </c>
      <c r="JF46" s="627">
        <v>0</v>
      </c>
      <c r="JG46" s="627">
        <v>0</v>
      </c>
      <c r="JH46" s="627">
        <v>0</v>
      </c>
      <c r="JI46" s="627">
        <v>0</v>
      </c>
      <c r="JJ46" s="627">
        <v>0</v>
      </c>
      <c r="JK46" s="627">
        <v>0</v>
      </c>
      <c r="JL46" s="627">
        <v>0</v>
      </c>
      <c r="JM46" s="627">
        <v>0</v>
      </c>
      <c r="JN46" s="627">
        <v>0</v>
      </c>
      <c r="JO46" s="627">
        <v>32469</v>
      </c>
      <c r="JP46" s="627">
        <v>0</v>
      </c>
      <c r="JQ46" s="627">
        <v>0</v>
      </c>
      <c r="JR46" s="627">
        <v>0</v>
      </c>
      <c r="JS46" s="627">
        <v>0</v>
      </c>
      <c r="JT46" s="627">
        <v>0</v>
      </c>
      <c r="JU46" s="627">
        <v>0</v>
      </c>
      <c r="JV46" s="627">
        <v>9414</v>
      </c>
      <c r="JW46" s="627">
        <v>0</v>
      </c>
      <c r="JX46" s="627">
        <v>0</v>
      </c>
      <c r="JY46" s="627">
        <v>0</v>
      </c>
      <c r="JZ46" s="627">
        <v>0</v>
      </c>
      <c r="KA46" s="627">
        <v>0</v>
      </c>
      <c r="KB46" s="627">
        <v>0</v>
      </c>
      <c r="KC46" s="627">
        <v>0</v>
      </c>
      <c r="KD46" s="627">
        <v>0</v>
      </c>
      <c r="KE46" s="627">
        <v>9486</v>
      </c>
      <c r="KF46" s="627">
        <v>7262</v>
      </c>
      <c r="KG46" s="627">
        <v>0</v>
      </c>
      <c r="KH46" s="627">
        <v>0</v>
      </c>
      <c r="KI46" s="627">
        <v>4080425</v>
      </c>
      <c r="KJ46" s="627">
        <v>0</v>
      </c>
      <c r="KK46" s="627">
        <v>15</v>
      </c>
      <c r="KL46" s="627">
        <v>25</v>
      </c>
      <c r="KM46" s="627">
        <v>9240</v>
      </c>
      <c r="KN46" s="627">
        <v>15400</v>
      </c>
      <c r="KO46" s="627">
        <v>0</v>
      </c>
      <c r="KP46" s="627">
        <v>0</v>
      </c>
      <c r="KQ46" s="627">
        <v>4080425</v>
      </c>
      <c r="KR46" s="627">
        <v>0</v>
      </c>
      <c r="KS46" s="627">
        <v>0</v>
      </c>
      <c r="KT46" s="627">
        <v>0</v>
      </c>
      <c r="KU46" s="627">
        <v>0</v>
      </c>
      <c r="KV46" s="627">
        <v>0</v>
      </c>
      <c r="KW46" s="627">
        <v>0</v>
      </c>
      <c r="KX46" s="627">
        <v>0</v>
      </c>
      <c r="KY46" s="627">
        <v>0</v>
      </c>
      <c r="KZ46" s="627">
        <v>0</v>
      </c>
      <c r="LA46" s="627">
        <v>0</v>
      </c>
      <c r="LB46" s="627">
        <v>0</v>
      </c>
      <c r="LC46" s="627">
        <v>0</v>
      </c>
      <c r="LD46" s="627">
        <v>0</v>
      </c>
      <c r="LE46" s="627">
        <v>0</v>
      </c>
      <c r="LF46" s="627">
        <v>0</v>
      </c>
    </row>
    <row r="47" spans="1:318" x14ac:dyDescent="0.25">
      <c r="A47" s="627">
        <v>42602</v>
      </c>
      <c r="B47" s="627">
        <v>246802</v>
      </c>
      <c r="D47" s="627">
        <v>9</v>
      </c>
      <c r="E47" s="627">
        <v>2024</v>
      </c>
      <c r="F47" s="627">
        <v>6160</v>
      </c>
      <c r="G47" s="627">
        <v>0</v>
      </c>
      <c r="H47" s="627">
        <v>335.62800000000004</v>
      </c>
      <c r="I47" s="627">
        <v>311.32800000000003</v>
      </c>
      <c r="J47" s="627">
        <v>311.32800000000003</v>
      </c>
      <c r="K47" s="627">
        <v>335.62800000000004</v>
      </c>
      <c r="L47" s="627">
        <v>0</v>
      </c>
      <c r="M47" s="627">
        <v>6160</v>
      </c>
      <c r="N47" s="627">
        <v>0</v>
      </c>
      <c r="O47" s="627">
        <v>0</v>
      </c>
      <c r="P47" s="627">
        <v>0</v>
      </c>
      <c r="Q47" s="627">
        <v>322.79000000000002</v>
      </c>
      <c r="R47" s="627">
        <v>0</v>
      </c>
      <c r="S47" s="627">
        <v>133920</v>
      </c>
      <c r="T47" s="627">
        <v>414.88400000000001</v>
      </c>
      <c r="U47" s="627">
        <v>0</v>
      </c>
      <c r="V47" s="627">
        <v>69497</v>
      </c>
      <c r="W47" s="627">
        <v>17.326000000000001</v>
      </c>
      <c r="X47" s="627">
        <v>10673</v>
      </c>
      <c r="Y47" s="627">
        <v>10673</v>
      </c>
      <c r="Z47" s="627">
        <v>0</v>
      </c>
      <c r="AA47" s="627">
        <v>0</v>
      </c>
      <c r="AB47" s="627">
        <v>0</v>
      </c>
      <c r="AC47" s="627">
        <v>0</v>
      </c>
      <c r="AD47" s="627">
        <v>0</v>
      </c>
      <c r="AE47" s="627" t="s">
        <v>314</v>
      </c>
      <c r="AF47" s="627">
        <v>0</v>
      </c>
      <c r="AG47" s="627">
        <v>0</v>
      </c>
      <c r="AH47" s="627">
        <v>0</v>
      </c>
      <c r="AI47" s="627">
        <v>0</v>
      </c>
      <c r="AJ47" s="627">
        <v>0</v>
      </c>
      <c r="AK47" s="627">
        <v>6160</v>
      </c>
      <c r="AL47" s="627" t="s">
        <v>651</v>
      </c>
      <c r="AM47" s="627" t="s">
        <v>414</v>
      </c>
      <c r="AN47" s="627">
        <v>0</v>
      </c>
      <c r="AO47" s="627">
        <v>0</v>
      </c>
      <c r="AP47" s="627">
        <v>0</v>
      </c>
      <c r="AQ47" s="627">
        <v>0</v>
      </c>
      <c r="AR47" s="627">
        <v>0</v>
      </c>
      <c r="AS47" s="627">
        <v>0</v>
      </c>
      <c r="AT47" s="627">
        <v>0</v>
      </c>
      <c r="AU47" s="627">
        <v>0</v>
      </c>
      <c r="AV47" s="627">
        <v>0</v>
      </c>
      <c r="AW47" s="627">
        <v>0</v>
      </c>
      <c r="AX47" s="627">
        <v>3462375</v>
      </c>
      <c r="AY47" s="627">
        <v>3410350</v>
      </c>
      <c r="AZ47" s="627">
        <v>1726678</v>
      </c>
      <c r="BA47" s="627">
        <v>133920</v>
      </c>
      <c r="BB47" s="627">
        <v>0</v>
      </c>
      <c r="BC47" s="627">
        <v>0</v>
      </c>
      <c r="BD47" s="627">
        <v>0</v>
      </c>
      <c r="BE47" s="627">
        <v>0</v>
      </c>
      <c r="BF47" s="627">
        <v>0</v>
      </c>
      <c r="BG47" s="627">
        <v>3032052</v>
      </c>
      <c r="BH47" s="627">
        <v>0</v>
      </c>
      <c r="BI47" s="627">
        <v>0</v>
      </c>
      <c r="BJ47" s="627">
        <v>0</v>
      </c>
      <c r="BK47" s="627">
        <v>12</v>
      </c>
      <c r="BL47" s="627">
        <v>0</v>
      </c>
      <c r="BM47" s="627">
        <v>0</v>
      </c>
      <c r="BN47" s="627">
        <v>0</v>
      </c>
      <c r="BO47" s="627">
        <v>0</v>
      </c>
      <c r="BP47" s="627">
        <v>0</v>
      </c>
      <c r="BQ47" s="627">
        <v>0</v>
      </c>
      <c r="BR47" s="627">
        <v>722</v>
      </c>
      <c r="BS47" s="627">
        <v>0</v>
      </c>
      <c r="BT47" s="627">
        <v>0</v>
      </c>
      <c r="BU47" s="627">
        <v>0</v>
      </c>
      <c r="BV47" s="627">
        <v>0</v>
      </c>
      <c r="BW47" s="627">
        <v>0</v>
      </c>
      <c r="BX47" s="627">
        <v>0</v>
      </c>
      <c r="BY47" s="627">
        <v>0</v>
      </c>
      <c r="BZ47" s="627">
        <v>0</v>
      </c>
      <c r="CA47" s="627">
        <v>0</v>
      </c>
      <c r="CB47" s="627">
        <v>0</v>
      </c>
      <c r="CC47" s="627">
        <v>0</v>
      </c>
      <c r="CD47" s="627">
        <v>0</v>
      </c>
      <c r="CE47" s="627">
        <v>0</v>
      </c>
      <c r="CF47" s="627">
        <v>0</v>
      </c>
      <c r="CG47" s="627">
        <v>0</v>
      </c>
      <c r="CH47" s="627">
        <v>0</v>
      </c>
      <c r="CI47" s="627">
        <v>53677</v>
      </c>
      <c r="CJ47" s="627">
        <v>0</v>
      </c>
      <c r="CK47" s="627">
        <v>4</v>
      </c>
      <c r="CL47" s="627">
        <v>0</v>
      </c>
      <c r="CM47" s="627">
        <v>0</v>
      </c>
      <c r="CN47" s="627">
        <v>0</v>
      </c>
      <c r="CO47" s="627">
        <v>0</v>
      </c>
      <c r="CP47" s="627">
        <v>1</v>
      </c>
      <c r="CQ47" s="627">
        <v>0</v>
      </c>
      <c r="CR47" s="627">
        <v>0</v>
      </c>
      <c r="CS47" s="627">
        <v>321.82</v>
      </c>
      <c r="CT47" s="627">
        <v>0</v>
      </c>
      <c r="CU47" s="627">
        <v>0</v>
      </c>
      <c r="CV47" s="627">
        <v>0</v>
      </c>
      <c r="CW47" s="627">
        <v>0</v>
      </c>
      <c r="CX47" s="627">
        <v>0</v>
      </c>
      <c r="CY47" s="627">
        <v>0</v>
      </c>
      <c r="CZ47" s="627">
        <v>0</v>
      </c>
      <c r="DA47" s="627">
        <v>0</v>
      </c>
      <c r="DB47" s="627">
        <v>0</v>
      </c>
      <c r="DC47" s="627">
        <v>1917780</v>
      </c>
      <c r="DD47" s="627">
        <v>0</v>
      </c>
      <c r="DE47" s="627">
        <v>0</v>
      </c>
      <c r="DF47" s="627">
        <v>208593</v>
      </c>
      <c r="DG47" s="627">
        <v>208593</v>
      </c>
      <c r="DH47" s="627">
        <v>33.863</v>
      </c>
      <c r="DI47" s="627">
        <v>0</v>
      </c>
      <c r="DJ47" s="627">
        <v>0</v>
      </c>
      <c r="DK47" s="627">
        <v>0</v>
      </c>
      <c r="DL47" s="627">
        <v>3175</v>
      </c>
      <c r="DM47" s="627">
        <v>0</v>
      </c>
      <c r="DN47" s="627">
        <v>484802</v>
      </c>
      <c r="DO47" s="627">
        <v>1652</v>
      </c>
      <c r="DP47" s="627">
        <v>0</v>
      </c>
      <c r="DQ47" s="627">
        <v>0</v>
      </c>
      <c r="DR47" s="627">
        <v>0</v>
      </c>
      <c r="DS47" s="627">
        <v>0</v>
      </c>
      <c r="DT47" s="627">
        <v>0</v>
      </c>
      <c r="DU47" s="627">
        <v>0</v>
      </c>
      <c r="DV47" s="627">
        <v>0</v>
      </c>
      <c r="DW47" s="627">
        <v>0</v>
      </c>
      <c r="DX47" s="627">
        <v>0</v>
      </c>
      <c r="DY47" s="627">
        <v>0</v>
      </c>
      <c r="DZ47" s="627">
        <v>0</v>
      </c>
      <c r="EA47" s="627">
        <v>0</v>
      </c>
      <c r="EB47" s="627">
        <v>0</v>
      </c>
      <c r="EC47" s="627">
        <v>0</v>
      </c>
      <c r="ED47" s="627">
        <v>2.9250000000000003</v>
      </c>
      <c r="EE47" s="627">
        <v>20721</v>
      </c>
      <c r="EF47" s="627">
        <v>0</v>
      </c>
      <c r="EG47" s="627">
        <v>0</v>
      </c>
      <c r="EH47" s="627">
        <v>0</v>
      </c>
      <c r="EI47" s="627">
        <v>465733</v>
      </c>
      <c r="EJ47" s="627">
        <v>0</v>
      </c>
      <c r="EK47" s="627">
        <v>0</v>
      </c>
      <c r="EL47" s="627">
        <v>20.76</v>
      </c>
      <c r="EM47" s="627">
        <v>0</v>
      </c>
      <c r="EN47" s="627">
        <v>2.1870000000000003</v>
      </c>
      <c r="EO47" s="627">
        <v>1.353</v>
      </c>
      <c r="EP47" s="627">
        <v>0</v>
      </c>
      <c r="EQ47" s="627">
        <v>0</v>
      </c>
      <c r="ER47" s="627">
        <v>24.3</v>
      </c>
      <c r="ES47" s="627">
        <v>0</v>
      </c>
      <c r="ET47" s="627">
        <v>75.606000000000009</v>
      </c>
      <c r="EU47" s="627">
        <v>0</v>
      </c>
      <c r="EV47" s="627">
        <v>0</v>
      </c>
      <c r="EW47" s="627">
        <v>0</v>
      </c>
      <c r="EX47" s="627">
        <v>0</v>
      </c>
      <c r="EY47" s="627">
        <v>0</v>
      </c>
      <c r="EZ47" s="627">
        <v>0</v>
      </c>
      <c r="FA47" s="627">
        <v>2898132</v>
      </c>
      <c r="FB47" s="627">
        <v>0</v>
      </c>
      <c r="FC47" s="627">
        <v>3030400</v>
      </c>
      <c r="FD47" s="627">
        <v>0</v>
      </c>
      <c r="FE47" s="627">
        <v>0</v>
      </c>
      <c r="FF47" s="627">
        <v>436604</v>
      </c>
      <c r="FG47" s="627">
        <v>75614</v>
      </c>
      <c r="FH47" s="627">
        <v>7.0280999999999996E-2</v>
      </c>
      <c r="FI47" s="627">
        <v>3.1172999999999999E-2</v>
      </c>
      <c r="FJ47" s="627">
        <v>0</v>
      </c>
      <c r="FK47" s="627">
        <v>0</v>
      </c>
      <c r="FL47" s="627">
        <v>492.21600000000001</v>
      </c>
      <c r="FM47" s="627">
        <v>3596295</v>
      </c>
      <c r="FN47" s="627">
        <v>0</v>
      </c>
      <c r="FO47" s="627">
        <v>0</v>
      </c>
      <c r="FP47" s="627">
        <v>0</v>
      </c>
      <c r="FQ47" s="627">
        <v>0</v>
      </c>
      <c r="FR47" s="627">
        <v>0</v>
      </c>
      <c r="FS47" s="627">
        <v>0</v>
      </c>
      <c r="FT47" s="627">
        <v>0</v>
      </c>
      <c r="FU47" s="627">
        <v>0</v>
      </c>
      <c r="FV47" s="627">
        <v>0</v>
      </c>
      <c r="FW47" s="627">
        <v>0</v>
      </c>
      <c r="FX47" s="627">
        <v>0</v>
      </c>
      <c r="FY47" s="627">
        <v>0</v>
      </c>
      <c r="FZ47" s="627">
        <v>0</v>
      </c>
      <c r="GA47" s="627">
        <v>0</v>
      </c>
      <c r="GB47" s="627">
        <v>0</v>
      </c>
      <c r="GC47" s="627">
        <v>0</v>
      </c>
      <c r="GD47" s="627">
        <v>0</v>
      </c>
      <c r="GE47" s="627">
        <v>0</v>
      </c>
      <c r="GF47" s="627">
        <v>0</v>
      </c>
      <c r="GG47" s="627">
        <v>0</v>
      </c>
      <c r="GH47" s="627">
        <v>0</v>
      </c>
      <c r="GI47" s="627">
        <v>0</v>
      </c>
      <c r="GJ47" s="627">
        <v>0</v>
      </c>
      <c r="GK47" s="627">
        <v>0</v>
      </c>
      <c r="GL47" s="627">
        <v>0</v>
      </c>
      <c r="GM47" s="627">
        <v>0</v>
      </c>
      <c r="GN47" s="627">
        <v>0</v>
      </c>
      <c r="GO47" s="627">
        <v>0</v>
      </c>
      <c r="GP47" s="627">
        <v>0</v>
      </c>
      <c r="GQ47" s="627">
        <v>0</v>
      </c>
      <c r="GR47" s="627">
        <v>3408698</v>
      </c>
      <c r="GS47" s="627">
        <v>0</v>
      </c>
      <c r="GT47" s="627">
        <v>0</v>
      </c>
      <c r="GU47" s="627">
        <v>0</v>
      </c>
      <c r="GV47" s="627">
        <v>0</v>
      </c>
      <c r="GW47" s="627">
        <v>0</v>
      </c>
      <c r="GX47" s="627">
        <v>0</v>
      </c>
      <c r="GY47" s="627">
        <v>0</v>
      </c>
      <c r="GZ47" s="627">
        <v>0</v>
      </c>
      <c r="HA47" s="627">
        <v>0</v>
      </c>
      <c r="HB47" s="627">
        <v>0</v>
      </c>
      <c r="HC47" s="627">
        <v>361151439</v>
      </c>
      <c r="HD47" s="627">
        <v>3.9981999999999997E-2</v>
      </c>
      <c r="HE47" s="627">
        <v>53677</v>
      </c>
      <c r="HF47" s="627">
        <v>0</v>
      </c>
      <c r="HG47" s="627">
        <v>343083</v>
      </c>
      <c r="HH47" s="627">
        <v>2464</v>
      </c>
      <c r="HI47" s="627">
        <v>44649</v>
      </c>
      <c r="HJ47" s="627">
        <v>0</v>
      </c>
      <c r="HK47" s="627">
        <v>18356</v>
      </c>
      <c r="HL47" s="627">
        <v>0</v>
      </c>
      <c r="HM47" s="627">
        <v>0</v>
      </c>
      <c r="HN47" s="627">
        <v>0</v>
      </c>
      <c r="HO47" s="627">
        <v>0</v>
      </c>
      <c r="HP47" s="627">
        <v>0</v>
      </c>
      <c r="HQ47" s="627">
        <v>0</v>
      </c>
      <c r="HR47" s="627">
        <v>0</v>
      </c>
      <c r="HS47" s="627">
        <v>0</v>
      </c>
      <c r="HT47" s="627">
        <v>2896480</v>
      </c>
      <c r="HU47" s="627">
        <v>75614</v>
      </c>
      <c r="HV47" s="627">
        <v>0</v>
      </c>
      <c r="HW47" s="627">
        <v>0</v>
      </c>
      <c r="HX47" s="627">
        <v>0</v>
      </c>
      <c r="HY47" s="627">
        <v>76</v>
      </c>
      <c r="HZ47" s="627">
        <v>46</v>
      </c>
      <c r="IA47" s="627">
        <v>18</v>
      </c>
      <c r="IB47" s="627">
        <v>3</v>
      </c>
      <c r="IC47" s="627">
        <v>2</v>
      </c>
      <c r="ID47" s="627">
        <v>145</v>
      </c>
      <c r="IE47" s="627">
        <v>0</v>
      </c>
      <c r="IF47" s="627">
        <v>0</v>
      </c>
      <c r="IG47" s="627">
        <v>0</v>
      </c>
      <c r="IH47" s="627">
        <v>4</v>
      </c>
      <c r="II47" s="627">
        <v>72.481999999999999</v>
      </c>
      <c r="IJ47" s="627">
        <v>0</v>
      </c>
      <c r="IK47" s="627">
        <v>17.326000000000001</v>
      </c>
      <c r="IL47" s="627">
        <v>0</v>
      </c>
      <c r="IM47" s="627">
        <v>0</v>
      </c>
      <c r="IN47" s="627">
        <v>0</v>
      </c>
      <c r="IO47" s="627">
        <v>0</v>
      </c>
      <c r="IP47" s="627">
        <v>0</v>
      </c>
      <c r="IQ47" s="627">
        <v>0</v>
      </c>
      <c r="IR47" s="627">
        <v>17.326000000000001</v>
      </c>
      <c r="IS47" s="627">
        <v>10673</v>
      </c>
      <c r="IT47" s="627">
        <v>0</v>
      </c>
      <c r="IU47" s="627">
        <v>0</v>
      </c>
      <c r="IV47" s="627">
        <v>0</v>
      </c>
      <c r="IW47" s="627">
        <v>0</v>
      </c>
      <c r="IX47" s="627">
        <v>6160</v>
      </c>
      <c r="IY47" s="627">
        <v>0</v>
      </c>
      <c r="IZ47" s="627">
        <v>0</v>
      </c>
      <c r="JA47" s="627">
        <v>0</v>
      </c>
      <c r="JB47" s="627">
        <v>0</v>
      </c>
      <c r="JC47" s="627">
        <v>0</v>
      </c>
      <c r="JD47" s="627">
        <v>0</v>
      </c>
      <c r="JE47" s="627">
        <v>0</v>
      </c>
      <c r="JF47" s="627">
        <v>0</v>
      </c>
      <c r="JG47" s="627">
        <v>0</v>
      </c>
      <c r="JH47" s="627">
        <v>0</v>
      </c>
      <c r="JI47" s="627">
        <v>0</v>
      </c>
      <c r="JJ47" s="627">
        <v>0</v>
      </c>
      <c r="JK47" s="627">
        <v>0</v>
      </c>
      <c r="JL47" s="627">
        <v>0</v>
      </c>
      <c r="JM47" s="627">
        <v>0</v>
      </c>
      <c r="JN47" s="627">
        <v>0</v>
      </c>
      <c r="JO47" s="627">
        <v>32469</v>
      </c>
      <c r="JP47" s="627">
        <v>0</v>
      </c>
      <c r="JQ47" s="627">
        <v>0</v>
      </c>
      <c r="JR47" s="627">
        <v>0</v>
      </c>
      <c r="JS47" s="627">
        <v>0</v>
      </c>
      <c r="JT47" s="627">
        <v>0</v>
      </c>
      <c r="JU47" s="627">
        <v>0</v>
      </c>
      <c r="JV47" s="627">
        <v>0</v>
      </c>
      <c r="JW47" s="627">
        <v>0</v>
      </c>
      <c r="JX47" s="627">
        <v>0</v>
      </c>
      <c r="JY47" s="627">
        <v>0</v>
      </c>
      <c r="JZ47" s="627">
        <v>0</v>
      </c>
      <c r="KA47" s="627">
        <v>0</v>
      </c>
      <c r="KB47" s="627">
        <v>0</v>
      </c>
      <c r="KC47" s="627">
        <v>0</v>
      </c>
      <c r="KD47" s="627">
        <v>0</v>
      </c>
      <c r="KE47" s="627">
        <v>0</v>
      </c>
      <c r="KF47" s="627">
        <v>7262</v>
      </c>
      <c r="KG47" s="627">
        <v>0</v>
      </c>
      <c r="KH47" s="627">
        <v>0</v>
      </c>
      <c r="KI47" s="627">
        <v>3408698</v>
      </c>
      <c r="KJ47" s="627">
        <v>0</v>
      </c>
      <c r="KK47" s="627">
        <v>2</v>
      </c>
      <c r="KL47" s="627">
        <v>2</v>
      </c>
      <c r="KM47" s="627">
        <v>1232</v>
      </c>
      <c r="KN47" s="627">
        <v>1232</v>
      </c>
      <c r="KO47" s="627">
        <v>0</v>
      </c>
      <c r="KP47" s="627">
        <v>0</v>
      </c>
      <c r="KQ47" s="627">
        <v>3408698</v>
      </c>
      <c r="KR47" s="627">
        <v>0</v>
      </c>
      <c r="KS47" s="627">
        <v>0</v>
      </c>
      <c r="KT47" s="627">
        <v>0</v>
      </c>
      <c r="KU47" s="627">
        <v>0</v>
      </c>
      <c r="KV47" s="627">
        <v>0</v>
      </c>
      <c r="KW47" s="627">
        <v>0</v>
      </c>
      <c r="KX47" s="627">
        <v>0</v>
      </c>
      <c r="KY47" s="627">
        <v>0</v>
      </c>
      <c r="KZ47" s="627">
        <v>0</v>
      </c>
      <c r="LA47" s="627">
        <v>0</v>
      </c>
      <c r="LB47" s="627">
        <v>0</v>
      </c>
      <c r="LC47" s="627">
        <v>0</v>
      </c>
      <c r="LD47" s="627">
        <v>0</v>
      </c>
      <c r="LE47" s="627">
        <v>0</v>
      </c>
      <c r="LF47" s="627">
        <v>0</v>
      </c>
    </row>
    <row r="48" spans="1:318" x14ac:dyDescent="0.25">
      <c r="A48" s="627">
        <v>42602</v>
      </c>
      <c r="B48" s="627">
        <v>14803</v>
      </c>
      <c r="D48" s="627">
        <v>9</v>
      </c>
      <c r="E48" s="627">
        <v>2024</v>
      </c>
      <c r="F48" s="627">
        <v>6160</v>
      </c>
      <c r="G48" s="627">
        <v>0</v>
      </c>
      <c r="H48" s="627">
        <v>424.2</v>
      </c>
      <c r="I48" s="627">
        <v>375.07100000000003</v>
      </c>
      <c r="J48" s="627">
        <v>375.07100000000003</v>
      </c>
      <c r="K48" s="627">
        <v>424.2</v>
      </c>
      <c r="L48" s="627">
        <v>0</v>
      </c>
      <c r="M48" s="627">
        <v>6160</v>
      </c>
      <c r="N48" s="627">
        <v>0</v>
      </c>
      <c r="O48" s="627">
        <v>0</v>
      </c>
      <c r="P48" s="627">
        <v>0</v>
      </c>
      <c r="Q48" s="627">
        <v>625.66500000000008</v>
      </c>
      <c r="R48" s="627">
        <v>0</v>
      </c>
      <c r="S48" s="627">
        <v>259578</v>
      </c>
      <c r="T48" s="627">
        <v>414.88400000000001</v>
      </c>
      <c r="U48" s="627">
        <v>0</v>
      </c>
      <c r="V48" s="627">
        <v>134711</v>
      </c>
      <c r="W48" s="627">
        <v>19.397000000000002</v>
      </c>
      <c r="X48" s="627">
        <v>11949</v>
      </c>
      <c r="Y48" s="627">
        <v>11949</v>
      </c>
      <c r="Z48" s="627">
        <v>0</v>
      </c>
      <c r="AA48" s="627">
        <v>0</v>
      </c>
      <c r="AB48" s="627">
        <v>0</v>
      </c>
      <c r="AC48" s="627">
        <v>0</v>
      </c>
      <c r="AD48" s="627">
        <v>0</v>
      </c>
      <c r="AE48" s="627" t="s">
        <v>314</v>
      </c>
      <c r="AF48" s="627">
        <v>0</v>
      </c>
      <c r="AG48" s="627">
        <v>0</v>
      </c>
      <c r="AH48" s="627">
        <v>0</v>
      </c>
      <c r="AI48" s="627">
        <v>0</v>
      </c>
      <c r="AJ48" s="627">
        <v>0</v>
      </c>
      <c r="AK48" s="627">
        <v>6160</v>
      </c>
      <c r="AL48" s="627" t="s">
        <v>651</v>
      </c>
      <c r="AM48" s="627" t="s">
        <v>315</v>
      </c>
      <c r="AN48" s="627">
        <v>0</v>
      </c>
      <c r="AO48" s="627">
        <v>0</v>
      </c>
      <c r="AP48" s="627">
        <v>0</v>
      </c>
      <c r="AQ48" s="627">
        <v>0</v>
      </c>
      <c r="AR48" s="627">
        <v>0</v>
      </c>
      <c r="AS48" s="627">
        <v>0</v>
      </c>
      <c r="AT48" s="627">
        <v>0</v>
      </c>
      <c r="AU48" s="627">
        <v>0</v>
      </c>
      <c r="AV48" s="627">
        <v>0</v>
      </c>
      <c r="AW48" s="627">
        <v>0</v>
      </c>
      <c r="AX48" s="627">
        <v>4816652</v>
      </c>
      <c r="AY48" s="627">
        <v>4750902</v>
      </c>
      <c r="AZ48" s="627">
        <v>2579951</v>
      </c>
      <c r="BA48" s="627">
        <v>259578</v>
      </c>
      <c r="BB48" s="627">
        <v>34.5</v>
      </c>
      <c r="BC48" s="627">
        <v>8947</v>
      </c>
      <c r="BD48" s="627">
        <v>8890</v>
      </c>
      <c r="BE48" s="627">
        <v>21</v>
      </c>
      <c r="BF48" s="627">
        <v>57</v>
      </c>
      <c r="BG48" s="627">
        <v>4163630</v>
      </c>
      <c r="BH48" s="627">
        <v>0</v>
      </c>
      <c r="BI48" s="627">
        <v>0</v>
      </c>
      <c r="BJ48" s="627">
        <v>0</v>
      </c>
      <c r="BK48" s="627">
        <v>12</v>
      </c>
      <c r="BL48" s="627">
        <v>0</v>
      </c>
      <c r="BM48" s="627">
        <v>0</v>
      </c>
      <c r="BN48" s="627">
        <v>0</v>
      </c>
      <c r="BO48" s="627">
        <v>0</v>
      </c>
      <c r="BP48" s="627">
        <v>0</v>
      </c>
      <c r="BQ48" s="627">
        <v>0</v>
      </c>
      <c r="BR48" s="627">
        <v>712</v>
      </c>
      <c r="BS48" s="627">
        <v>0</v>
      </c>
      <c r="BT48" s="627">
        <v>0</v>
      </c>
      <c r="BU48" s="627">
        <v>0</v>
      </c>
      <c r="BV48" s="627">
        <v>0</v>
      </c>
      <c r="BW48" s="627">
        <v>0</v>
      </c>
      <c r="BX48" s="627">
        <v>0</v>
      </c>
      <c r="BY48" s="627">
        <v>0</v>
      </c>
      <c r="BZ48" s="627">
        <v>0</v>
      </c>
      <c r="CA48" s="627">
        <v>0</v>
      </c>
      <c r="CB48" s="627">
        <v>76.841999999999999</v>
      </c>
      <c r="CC48" s="627">
        <v>76842</v>
      </c>
      <c r="CD48" s="627">
        <v>0</v>
      </c>
      <c r="CE48" s="627">
        <v>0</v>
      </c>
      <c r="CF48" s="627">
        <v>0</v>
      </c>
      <c r="CG48" s="627">
        <v>0</v>
      </c>
      <c r="CH48" s="627">
        <v>0</v>
      </c>
      <c r="CI48" s="627">
        <v>67842</v>
      </c>
      <c r="CJ48" s="627">
        <v>0</v>
      </c>
      <c r="CK48" s="627">
        <v>4</v>
      </c>
      <c r="CL48" s="627">
        <v>0</v>
      </c>
      <c r="CM48" s="627">
        <v>0</v>
      </c>
      <c r="CN48" s="627">
        <v>0</v>
      </c>
      <c r="CO48" s="627">
        <v>0</v>
      </c>
      <c r="CP48" s="627">
        <v>1</v>
      </c>
      <c r="CQ48" s="627">
        <v>0</v>
      </c>
      <c r="CR48" s="627">
        <v>1</v>
      </c>
      <c r="CS48" s="627">
        <v>623.9</v>
      </c>
      <c r="CT48" s="627">
        <v>0</v>
      </c>
      <c r="CU48" s="627">
        <v>0</v>
      </c>
      <c r="CV48" s="627">
        <v>0</v>
      </c>
      <c r="CW48" s="627">
        <v>0</v>
      </c>
      <c r="CX48" s="627">
        <v>0</v>
      </c>
      <c r="CY48" s="627">
        <v>0</v>
      </c>
      <c r="CZ48" s="627">
        <v>0</v>
      </c>
      <c r="DA48" s="627">
        <v>0</v>
      </c>
      <c r="DB48" s="627">
        <v>0</v>
      </c>
      <c r="DC48" s="627">
        <v>2193951</v>
      </c>
      <c r="DD48" s="627">
        <v>0</v>
      </c>
      <c r="DE48" s="627">
        <v>0</v>
      </c>
      <c r="DF48" s="627">
        <v>489643</v>
      </c>
      <c r="DG48" s="627">
        <v>489643</v>
      </c>
      <c r="DH48" s="627">
        <v>79.488</v>
      </c>
      <c r="DI48" s="627">
        <v>0</v>
      </c>
      <c r="DJ48" s="627">
        <v>0</v>
      </c>
      <c r="DK48" s="627">
        <v>0</v>
      </c>
      <c r="DL48" s="627">
        <v>3018</v>
      </c>
      <c r="DM48" s="627">
        <v>0</v>
      </c>
      <c r="DN48" s="627">
        <v>713622</v>
      </c>
      <c r="DO48" s="627">
        <v>2035</v>
      </c>
      <c r="DP48" s="627">
        <v>0</v>
      </c>
      <c r="DQ48" s="627">
        <v>0</v>
      </c>
      <c r="DR48" s="627">
        <v>0</v>
      </c>
      <c r="DS48" s="627">
        <v>0</v>
      </c>
      <c r="DT48" s="627">
        <v>0</v>
      </c>
      <c r="DU48" s="627">
        <v>0</v>
      </c>
      <c r="DV48" s="627">
        <v>0</v>
      </c>
      <c r="DW48" s="627">
        <v>0</v>
      </c>
      <c r="DX48" s="627">
        <v>0</v>
      </c>
      <c r="DY48" s="627">
        <v>0</v>
      </c>
      <c r="DZ48" s="627">
        <v>0</v>
      </c>
      <c r="EA48" s="627">
        <v>0</v>
      </c>
      <c r="EB48" s="627">
        <v>0</v>
      </c>
      <c r="EC48" s="627">
        <v>0</v>
      </c>
      <c r="ED48" s="627">
        <v>5.4130000000000003</v>
      </c>
      <c r="EE48" s="627">
        <v>38346</v>
      </c>
      <c r="EF48" s="627">
        <v>0</v>
      </c>
      <c r="EG48" s="627">
        <v>0</v>
      </c>
      <c r="EH48" s="627">
        <v>0</v>
      </c>
      <c r="EI48" s="627">
        <v>560825</v>
      </c>
      <c r="EJ48" s="627">
        <v>0</v>
      </c>
      <c r="EK48" s="627">
        <v>0</v>
      </c>
      <c r="EL48" s="627">
        <v>28.681000000000001</v>
      </c>
      <c r="EM48" s="627">
        <v>0</v>
      </c>
      <c r="EN48" s="627">
        <v>0</v>
      </c>
      <c r="EO48" s="627">
        <v>1</v>
      </c>
      <c r="EP48" s="627">
        <v>0</v>
      </c>
      <c r="EQ48" s="627">
        <v>0</v>
      </c>
      <c r="ER48" s="627">
        <v>29.681000000000001</v>
      </c>
      <c r="ES48" s="627">
        <v>0</v>
      </c>
      <c r="ET48" s="627">
        <v>91.043000000000006</v>
      </c>
      <c r="EU48" s="627">
        <v>0</v>
      </c>
      <c r="EV48" s="627">
        <v>0</v>
      </c>
      <c r="EW48" s="627">
        <v>0</v>
      </c>
      <c r="EX48" s="627">
        <v>0</v>
      </c>
      <c r="EY48" s="627">
        <v>0</v>
      </c>
      <c r="EZ48" s="627">
        <v>0</v>
      </c>
      <c r="FA48" s="627">
        <v>4047521</v>
      </c>
      <c r="FB48" s="627">
        <v>0</v>
      </c>
      <c r="FC48" s="627">
        <v>4305007</v>
      </c>
      <c r="FD48" s="627">
        <v>0</v>
      </c>
      <c r="FE48" s="627">
        <v>0</v>
      </c>
      <c r="FF48" s="627">
        <v>599547</v>
      </c>
      <c r="FG48" s="627">
        <v>103834</v>
      </c>
      <c r="FH48" s="627">
        <v>7.0280999999999996E-2</v>
      </c>
      <c r="FI48" s="627">
        <v>3.1172999999999999E-2</v>
      </c>
      <c r="FJ48" s="627">
        <v>0</v>
      </c>
      <c r="FK48" s="627">
        <v>0</v>
      </c>
      <c r="FL48" s="627">
        <v>675.91399999999999</v>
      </c>
      <c r="FM48" s="627">
        <v>5076230</v>
      </c>
      <c r="FN48" s="627">
        <v>0</v>
      </c>
      <c r="FO48" s="627">
        <v>0</v>
      </c>
      <c r="FP48" s="627">
        <v>63525</v>
      </c>
      <c r="FQ48" s="627">
        <v>0</v>
      </c>
      <c r="FR48" s="627">
        <v>63525</v>
      </c>
      <c r="FS48" s="627">
        <v>63525</v>
      </c>
      <c r="FT48" s="627">
        <v>0</v>
      </c>
      <c r="FU48" s="627">
        <v>0</v>
      </c>
      <c r="FV48" s="627">
        <v>0</v>
      </c>
      <c r="FW48" s="627">
        <v>0</v>
      </c>
      <c r="FX48" s="627">
        <v>0</v>
      </c>
      <c r="FY48" s="627">
        <v>0</v>
      </c>
      <c r="FZ48" s="627">
        <v>0</v>
      </c>
      <c r="GA48" s="627">
        <v>0</v>
      </c>
      <c r="GB48" s="627">
        <v>0</v>
      </c>
      <c r="GC48" s="627">
        <v>185245</v>
      </c>
      <c r="GD48" s="627">
        <v>185245</v>
      </c>
      <c r="GE48" s="627">
        <v>19.448</v>
      </c>
      <c r="GF48" s="627">
        <v>0</v>
      </c>
      <c r="GG48" s="627">
        <v>0</v>
      </c>
      <c r="GH48" s="627">
        <v>0</v>
      </c>
      <c r="GI48" s="627">
        <v>0</v>
      </c>
      <c r="GJ48" s="627">
        <v>0</v>
      </c>
      <c r="GK48" s="627">
        <v>0</v>
      </c>
      <c r="GL48" s="627">
        <v>0</v>
      </c>
      <c r="GM48" s="627">
        <v>0</v>
      </c>
      <c r="GN48" s="627">
        <v>0</v>
      </c>
      <c r="GO48" s="627">
        <v>0</v>
      </c>
      <c r="GP48" s="627">
        <v>0</v>
      </c>
      <c r="GQ48" s="627">
        <v>0</v>
      </c>
      <c r="GR48" s="627">
        <v>4748810</v>
      </c>
      <c r="GS48" s="627">
        <v>0</v>
      </c>
      <c r="GT48" s="627">
        <v>0</v>
      </c>
      <c r="GU48" s="627">
        <v>0</v>
      </c>
      <c r="GV48" s="627">
        <v>0</v>
      </c>
      <c r="GW48" s="627">
        <v>0</v>
      </c>
      <c r="GX48" s="627">
        <v>0</v>
      </c>
      <c r="GY48" s="627">
        <v>0</v>
      </c>
      <c r="GZ48" s="627">
        <v>0</v>
      </c>
      <c r="HA48" s="627">
        <v>0</v>
      </c>
      <c r="HB48" s="627">
        <v>0</v>
      </c>
      <c r="HC48" s="627">
        <v>361151439</v>
      </c>
      <c r="HD48" s="627">
        <v>3.9981999999999997E-2</v>
      </c>
      <c r="HE48" s="627">
        <v>67842</v>
      </c>
      <c r="HF48" s="627">
        <v>0</v>
      </c>
      <c r="HG48" s="627">
        <v>413328</v>
      </c>
      <c r="HH48" s="627">
        <v>9240</v>
      </c>
      <c r="HI48" s="627">
        <v>66428</v>
      </c>
      <c r="HJ48" s="627">
        <v>0</v>
      </c>
      <c r="HK48" s="627">
        <v>64242</v>
      </c>
      <c r="HL48" s="627">
        <v>2044</v>
      </c>
      <c r="HM48" s="627">
        <v>1058</v>
      </c>
      <c r="HN48" s="627">
        <v>5000</v>
      </c>
      <c r="HO48" s="627">
        <v>0</v>
      </c>
      <c r="HP48" s="627">
        <v>0</v>
      </c>
      <c r="HQ48" s="627">
        <v>0</v>
      </c>
      <c r="HR48" s="627">
        <v>0</v>
      </c>
      <c r="HS48" s="627">
        <v>0</v>
      </c>
      <c r="HT48" s="627">
        <v>4045429</v>
      </c>
      <c r="HU48" s="627">
        <v>103834</v>
      </c>
      <c r="HV48" s="627">
        <v>0</v>
      </c>
      <c r="HW48" s="627">
        <v>0</v>
      </c>
      <c r="HX48" s="627">
        <v>0</v>
      </c>
      <c r="HY48" s="627">
        <v>56</v>
      </c>
      <c r="HZ48" s="627">
        <v>81</v>
      </c>
      <c r="IA48" s="627">
        <v>65</v>
      </c>
      <c r="IB48" s="627">
        <v>62</v>
      </c>
      <c r="IC48" s="627">
        <v>55</v>
      </c>
      <c r="ID48" s="627">
        <v>319</v>
      </c>
      <c r="IE48" s="627">
        <v>0</v>
      </c>
      <c r="IF48" s="627">
        <v>0</v>
      </c>
      <c r="IG48" s="627">
        <v>0</v>
      </c>
      <c r="IH48" s="627">
        <v>15</v>
      </c>
      <c r="II48" s="627">
        <v>107.837</v>
      </c>
      <c r="IJ48" s="627">
        <v>0</v>
      </c>
      <c r="IK48" s="627">
        <v>19.397000000000002</v>
      </c>
      <c r="IL48" s="627">
        <v>0</v>
      </c>
      <c r="IM48" s="627">
        <v>1</v>
      </c>
      <c r="IN48" s="627">
        <v>0</v>
      </c>
      <c r="IO48" s="627">
        <v>0</v>
      </c>
      <c r="IP48" s="627">
        <v>1</v>
      </c>
      <c r="IQ48" s="627">
        <v>0</v>
      </c>
      <c r="IR48" s="627">
        <v>19.397000000000002</v>
      </c>
      <c r="IS48" s="627">
        <v>11949</v>
      </c>
      <c r="IT48" s="627">
        <v>0</v>
      </c>
      <c r="IU48" s="627">
        <v>5000</v>
      </c>
      <c r="IV48" s="627">
        <v>0</v>
      </c>
      <c r="IW48" s="627">
        <v>0</v>
      </c>
      <c r="IX48" s="627">
        <v>6160</v>
      </c>
      <c r="IY48" s="627">
        <v>0</v>
      </c>
      <c r="IZ48" s="627">
        <v>0</v>
      </c>
      <c r="JA48" s="627">
        <v>0</v>
      </c>
      <c r="JB48" s="627">
        <v>0</v>
      </c>
      <c r="JC48" s="627">
        <v>0</v>
      </c>
      <c r="JD48" s="627">
        <v>0</v>
      </c>
      <c r="JE48" s="627">
        <v>0</v>
      </c>
      <c r="JF48" s="627">
        <v>0</v>
      </c>
      <c r="JG48" s="627">
        <v>0</v>
      </c>
      <c r="JH48" s="627">
        <v>0</v>
      </c>
      <c r="JI48" s="627">
        <v>0</v>
      </c>
      <c r="JJ48" s="627">
        <v>0</v>
      </c>
      <c r="JK48" s="627">
        <v>0</v>
      </c>
      <c r="JL48" s="627">
        <v>0</v>
      </c>
      <c r="JM48" s="627">
        <v>0</v>
      </c>
      <c r="JN48" s="627">
        <v>0</v>
      </c>
      <c r="JO48" s="627">
        <v>32469</v>
      </c>
      <c r="JP48" s="627">
        <v>0</v>
      </c>
      <c r="JQ48" s="627">
        <v>16.217000000000002</v>
      </c>
      <c r="JR48" s="627">
        <v>3.2320000000000002</v>
      </c>
      <c r="JS48" s="627">
        <v>0</v>
      </c>
      <c r="JT48" s="627">
        <v>150743</v>
      </c>
      <c r="JU48" s="627">
        <v>34502</v>
      </c>
      <c r="JV48" s="627">
        <v>9055</v>
      </c>
      <c r="JW48" s="627">
        <v>0</v>
      </c>
      <c r="JX48" s="627">
        <v>0</v>
      </c>
      <c r="JY48" s="627">
        <v>0</v>
      </c>
      <c r="JZ48" s="627">
        <v>0</v>
      </c>
      <c r="KA48" s="627">
        <v>0</v>
      </c>
      <c r="KB48" s="627">
        <v>0</v>
      </c>
      <c r="KC48" s="627">
        <v>0</v>
      </c>
      <c r="KD48" s="627">
        <v>0</v>
      </c>
      <c r="KE48" s="627">
        <v>9055</v>
      </c>
      <c r="KF48" s="627">
        <v>7262</v>
      </c>
      <c r="KG48" s="627">
        <v>0</v>
      </c>
      <c r="KH48" s="627">
        <v>0</v>
      </c>
      <c r="KI48" s="627">
        <v>4748810</v>
      </c>
      <c r="KJ48" s="627">
        <v>0</v>
      </c>
      <c r="KK48" s="627">
        <v>10</v>
      </c>
      <c r="KL48" s="627">
        <v>5</v>
      </c>
      <c r="KM48" s="627">
        <v>6160</v>
      </c>
      <c r="KN48" s="627">
        <v>3080</v>
      </c>
      <c r="KO48" s="627">
        <v>0</v>
      </c>
      <c r="KP48" s="627">
        <v>0</v>
      </c>
      <c r="KQ48" s="627">
        <v>4748810</v>
      </c>
      <c r="KR48" s="627">
        <v>0</v>
      </c>
      <c r="KS48" s="627">
        <v>0</v>
      </c>
      <c r="KT48" s="627">
        <v>0</v>
      </c>
      <c r="KU48" s="627">
        <v>0</v>
      </c>
      <c r="KV48" s="627">
        <v>0</v>
      </c>
      <c r="KW48" s="627">
        <v>0</v>
      </c>
      <c r="KX48" s="627">
        <v>0</v>
      </c>
      <c r="KY48" s="627">
        <v>0</v>
      </c>
      <c r="KZ48" s="627">
        <v>0</v>
      </c>
      <c r="LA48" s="627">
        <v>0</v>
      </c>
      <c r="LB48" s="627">
        <v>0</v>
      </c>
      <c r="LC48" s="627">
        <v>0</v>
      </c>
      <c r="LD48" s="627">
        <v>0</v>
      </c>
      <c r="LE48" s="627">
        <v>0</v>
      </c>
      <c r="LF48" s="627">
        <v>0</v>
      </c>
    </row>
    <row r="49" spans="1:318" x14ac:dyDescent="0.25">
      <c r="A49" s="627">
        <v>42602</v>
      </c>
      <c r="B49" s="627">
        <v>21803</v>
      </c>
      <c r="D49" s="627">
        <v>9</v>
      </c>
      <c r="E49" s="627">
        <v>2024</v>
      </c>
      <c r="F49" s="627">
        <v>6160</v>
      </c>
      <c r="G49" s="627">
        <v>0</v>
      </c>
      <c r="H49" s="627">
        <v>228.815</v>
      </c>
      <c r="I49" s="627">
        <v>223.709</v>
      </c>
      <c r="J49" s="627">
        <v>223.709</v>
      </c>
      <c r="K49" s="627">
        <v>228.815</v>
      </c>
      <c r="L49" s="627">
        <v>0</v>
      </c>
      <c r="M49" s="627">
        <v>6160</v>
      </c>
      <c r="N49" s="627">
        <v>0</v>
      </c>
      <c r="O49" s="627">
        <v>0</v>
      </c>
      <c r="P49" s="627">
        <v>0</v>
      </c>
      <c r="Q49" s="627">
        <v>243.05800000000002</v>
      </c>
      <c r="R49" s="627">
        <v>0</v>
      </c>
      <c r="S49" s="627">
        <v>100841</v>
      </c>
      <c r="T49" s="627">
        <v>414.88400000000001</v>
      </c>
      <c r="U49" s="627">
        <v>0</v>
      </c>
      <c r="V49" s="627">
        <v>52333</v>
      </c>
      <c r="W49" s="627">
        <v>93.158000000000001</v>
      </c>
      <c r="X49" s="627">
        <v>57385</v>
      </c>
      <c r="Y49" s="627">
        <v>57385</v>
      </c>
      <c r="Z49" s="627">
        <v>0</v>
      </c>
      <c r="AA49" s="627">
        <v>0</v>
      </c>
      <c r="AB49" s="627">
        <v>0</v>
      </c>
      <c r="AC49" s="627">
        <v>0</v>
      </c>
      <c r="AD49" s="627">
        <v>0</v>
      </c>
      <c r="AE49" s="627" t="s">
        <v>314</v>
      </c>
      <c r="AF49" s="627">
        <v>0</v>
      </c>
      <c r="AG49" s="627">
        <v>0</v>
      </c>
      <c r="AH49" s="627">
        <v>0</v>
      </c>
      <c r="AI49" s="627">
        <v>0</v>
      </c>
      <c r="AJ49" s="627">
        <v>0</v>
      </c>
      <c r="AK49" s="627">
        <v>6160</v>
      </c>
      <c r="AL49" s="627" t="s">
        <v>651</v>
      </c>
      <c r="AM49" s="627" t="s">
        <v>40</v>
      </c>
      <c r="AN49" s="627">
        <v>0</v>
      </c>
      <c r="AO49" s="627">
        <v>0</v>
      </c>
      <c r="AP49" s="627">
        <v>0</v>
      </c>
      <c r="AQ49" s="627">
        <v>0</v>
      </c>
      <c r="AR49" s="627">
        <v>0</v>
      </c>
      <c r="AS49" s="627">
        <v>0</v>
      </c>
      <c r="AT49" s="627">
        <v>0</v>
      </c>
      <c r="AU49" s="627">
        <v>0</v>
      </c>
      <c r="AV49" s="627">
        <v>0</v>
      </c>
      <c r="AW49" s="627">
        <v>-23590</v>
      </c>
      <c r="AX49" s="627">
        <v>2717474</v>
      </c>
      <c r="AY49" s="627">
        <v>2681235</v>
      </c>
      <c r="AZ49" s="627">
        <v>1370872</v>
      </c>
      <c r="BA49" s="627">
        <v>100841</v>
      </c>
      <c r="BB49" s="627">
        <v>17.833000000000002</v>
      </c>
      <c r="BC49" s="627">
        <v>0</v>
      </c>
      <c r="BD49" s="627">
        <v>0</v>
      </c>
      <c r="BE49" s="627">
        <v>0</v>
      </c>
      <c r="BF49" s="627">
        <v>0</v>
      </c>
      <c r="BG49" s="627">
        <v>2380010</v>
      </c>
      <c r="BH49" s="627">
        <v>0</v>
      </c>
      <c r="BI49" s="627">
        <v>0</v>
      </c>
      <c r="BJ49" s="627">
        <v>0</v>
      </c>
      <c r="BK49" s="627">
        <v>12</v>
      </c>
      <c r="BL49" s="627">
        <v>0</v>
      </c>
      <c r="BM49" s="627">
        <v>0</v>
      </c>
      <c r="BN49" s="627">
        <v>0</v>
      </c>
      <c r="BO49" s="627">
        <v>0</v>
      </c>
      <c r="BP49" s="627">
        <v>0</v>
      </c>
      <c r="BQ49" s="627">
        <v>0</v>
      </c>
      <c r="BR49" s="627">
        <v>736</v>
      </c>
      <c r="BS49" s="627">
        <v>0</v>
      </c>
      <c r="BT49" s="627">
        <v>0</v>
      </c>
      <c r="BU49" s="627">
        <v>0</v>
      </c>
      <c r="BV49" s="627">
        <v>0</v>
      </c>
      <c r="BW49" s="627">
        <v>0</v>
      </c>
      <c r="BX49" s="627">
        <v>0</v>
      </c>
      <c r="BY49" s="627">
        <v>0</v>
      </c>
      <c r="BZ49" s="627">
        <v>0</v>
      </c>
      <c r="CA49" s="627">
        <v>0</v>
      </c>
      <c r="CB49" s="627">
        <v>0</v>
      </c>
      <c r="CC49" s="627">
        <v>0</v>
      </c>
      <c r="CD49" s="627">
        <v>0</v>
      </c>
      <c r="CE49" s="627">
        <v>0</v>
      </c>
      <c r="CF49" s="627">
        <v>0</v>
      </c>
      <c r="CG49" s="627">
        <v>0</v>
      </c>
      <c r="CH49" s="627">
        <v>0</v>
      </c>
      <c r="CI49" s="627">
        <v>36594</v>
      </c>
      <c r="CJ49" s="627">
        <v>0</v>
      </c>
      <c r="CK49" s="627">
        <v>4</v>
      </c>
      <c r="CL49" s="627">
        <v>0</v>
      </c>
      <c r="CM49" s="627">
        <v>0</v>
      </c>
      <c r="CN49" s="627">
        <v>0</v>
      </c>
      <c r="CO49" s="627">
        <v>0</v>
      </c>
      <c r="CP49" s="627">
        <v>1</v>
      </c>
      <c r="CQ49" s="627">
        <v>0</v>
      </c>
      <c r="CR49" s="627">
        <v>2</v>
      </c>
      <c r="CS49" s="627">
        <v>239.98000000000002</v>
      </c>
      <c r="CT49" s="627">
        <v>0</v>
      </c>
      <c r="CU49" s="627">
        <v>0</v>
      </c>
      <c r="CV49" s="627">
        <v>0</v>
      </c>
      <c r="CW49" s="627">
        <v>0</v>
      </c>
      <c r="CX49" s="627">
        <v>0</v>
      </c>
      <c r="CY49" s="627">
        <v>0</v>
      </c>
      <c r="CZ49" s="627">
        <v>0</v>
      </c>
      <c r="DA49" s="627">
        <v>0</v>
      </c>
      <c r="DB49" s="627">
        <v>0</v>
      </c>
      <c r="DC49" s="627">
        <v>1315600</v>
      </c>
      <c r="DD49" s="627">
        <v>0</v>
      </c>
      <c r="DE49" s="627">
        <v>0</v>
      </c>
      <c r="DF49" s="627">
        <v>461307</v>
      </c>
      <c r="DG49" s="627">
        <v>461307</v>
      </c>
      <c r="DH49" s="627">
        <v>74.888000000000005</v>
      </c>
      <c r="DI49" s="627">
        <v>0</v>
      </c>
      <c r="DJ49" s="627">
        <v>0</v>
      </c>
      <c r="DK49" s="627">
        <v>0</v>
      </c>
      <c r="DL49" s="627">
        <v>3391</v>
      </c>
      <c r="DM49" s="627">
        <v>0</v>
      </c>
      <c r="DN49" s="627">
        <v>166566</v>
      </c>
      <c r="DO49" s="627">
        <v>355</v>
      </c>
      <c r="DP49" s="627">
        <v>0</v>
      </c>
      <c r="DQ49" s="627">
        <v>0</v>
      </c>
      <c r="DR49" s="627">
        <v>0</v>
      </c>
      <c r="DS49" s="627">
        <v>0</v>
      </c>
      <c r="DT49" s="627">
        <v>0</v>
      </c>
      <c r="DU49" s="627">
        <v>0</v>
      </c>
      <c r="DV49" s="627">
        <v>0</v>
      </c>
      <c r="DW49" s="627">
        <v>0</v>
      </c>
      <c r="DX49" s="627">
        <v>0</v>
      </c>
      <c r="DY49" s="627">
        <v>0</v>
      </c>
      <c r="DZ49" s="627">
        <v>0</v>
      </c>
      <c r="EA49" s="627">
        <v>0</v>
      </c>
      <c r="EB49" s="627">
        <v>0</v>
      </c>
      <c r="EC49" s="627">
        <v>0</v>
      </c>
      <c r="ED49" s="627">
        <v>0</v>
      </c>
      <c r="EE49" s="627">
        <v>0</v>
      </c>
      <c r="EF49" s="627">
        <v>0</v>
      </c>
      <c r="EG49" s="627">
        <v>0</v>
      </c>
      <c r="EH49" s="627">
        <v>0</v>
      </c>
      <c r="EI49" s="627">
        <v>104474</v>
      </c>
      <c r="EJ49" s="627">
        <v>0</v>
      </c>
      <c r="EK49" s="627">
        <v>0</v>
      </c>
      <c r="EL49" s="627">
        <v>4.2850000000000001</v>
      </c>
      <c r="EM49" s="627">
        <v>0</v>
      </c>
      <c r="EN49" s="627">
        <v>0</v>
      </c>
      <c r="EO49" s="627">
        <v>0.82100000000000006</v>
      </c>
      <c r="EP49" s="627">
        <v>0</v>
      </c>
      <c r="EQ49" s="627">
        <v>0</v>
      </c>
      <c r="ER49" s="627">
        <v>5.1059999999999999</v>
      </c>
      <c r="ES49" s="627">
        <v>0</v>
      </c>
      <c r="ET49" s="627">
        <v>16.96</v>
      </c>
      <c r="EU49" s="627">
        <v>0</v>
      </c>
      <c r="EV49" s="627">
        <v>0</v>
      </c>
      <c r="EW49" s="627">
        <v>0</v>
      </c>
      <c r="EX49" s="627">
        <v>0</v>
      </c>
      <c r="EY49" s="627">
        <v>0</v>
      </c>
      <c r="EZ49" s="627">
        <v>0</v>
      </c>
      <c r="FA49" s="627">
        <v>2279169</v>
      </c>
      <c r="FB49" s="627">
        <v>0</v>
      </c>
      <c r="FC49" s="627">
        <v>2379655</v>
      </c>
      <c r="FD49" s="627">
        <v>0</v>
      </c>
      <c r="FE49" s="627">
        <v>0</v>
      </c>
      <c r="FF49" s="627">
        <v>342712</v>
      </c>
      <c r="FG49" s="627">
        <v>59354</v>
      </c>
      <c r="FH49" s="627">
        <v>7.0280999999999996E-2</v>
      </c>
      <c r="FI49" s="627">
        <v>3.1172999999999999E-2</v>
      </c>
      <c r="FJ49" s="627">
        <v>0</v>
      </c>
      <c r="FK49" s="627">
        <v>0</v>
      </c>
      <c r="FL49" s="627">
        <v>386.36500000000001</v>
      </c>
      <c r="FM49" s="627">
        <v>2818315</v>
      </c>
      <c r="FN49" s="627">
        <v>0</v>
      </c>
      <c r="FO49" s="627">
        <v>0</v>
      </c>
      <c r="FP49" s="627">
        <v>0</v>
      </c>
      <c r="FQ49" s="627">
        <v>0</v>
      </c>
      <c r="FR49" s="627">
        <v>0</v>
      </c>
      <c r="FS49" s="627">
        <v>0</v>
      </c>
      <c r="FT49" s="627">
        <v>0</v>
      </c>
      <c r="FU49" s="627">
        <v>0</v>
      </c>
      <c r="FV49" s="627">
        <v>0</v>
      </c>
      <c r="FW49" s="627">
        <v>0</v>
      </c>
      <c r="FX49" s="627">
        <v>0</v>
      </c>
      <c r="FY49" s="627">
        <v>0</v>
      </c>
      <c r="FZ49" s="627">
        <v>0</v>
      </c>
      <c r="GA49" s="627">
        <v>0</v>
      </c>
      <c r="GB49" s="627">
        <v>0</v>
      </c>
      <c r="GC49" s="627">
        <v>0</v>
      </c>
      <c r="GD49" s="627">
        <v>0</v>
      </c>
      <c r="GE49" s="627">
        <v>0</v>
      </c>
      <c r="GF49" s="627">
        <v>0</v>
      </c>
      <c r="GG49" s="627">
        <v>0</v>
      </c>
      <c r="GH49" s="627">
        <v>0</v>
      </c>
      <c r="GI49" s="627">
        <v>0</v>
      </c>
      <c r="GJ49" s="627">
        <v>0</v>
      </c>
      <c r="GK49" s="627">
        <v>0</v>
      </c>
      <c r="GL49" s="627">
        <v>0</v>
      </c>
      <c r="GM49" s="627">
        <v>0</v>
      </c>
      <c r="GN49" s="627">
        <v>0</v>
      </c>
      <c r="GO49" s="627">
        <v>0</v>
      </c>
      <c r="GP49" s="627">
        <v>0</v>
      </c>
      <c r="GQ49" s="627">
        <v>0</v>
      </c>
      <c r="GR49" s="627">
        <v>2680880</v>
      </c>
      <c r="GS49" s="627">
        <v>0</v>
      </c>
      <c r="GT49" s="627">
        <v>0</v>
      </c>
      <c r="GU49" s="627">
        <v>0</v>
      </c>
      <c r="GV49" s="627">
        <v>0</v>
      </c>
      <c r="GW49" s="627">
        <v>0</v>
      </c>
      <c r="GX49" s="627">
        <v>0</v>
      </c>
      <c r="GY49" s="627">
        <v>0</v>
      </c>
      <c r="GZ49" s="627">
        <v>0</v>
      </c>
      <c r="HA49" s="627">
        <v>0</v>
      </c>
      <c r="HB49" s="627">
        <v>0</v>
      </c>
      <c r="HC49" s="627">
        <v>361151439</v>
      </c>
      <c r="HD49" s="627">
        <v>3.9981999999999997E-2</v>
      </c>
      <c r="HE49" s="627">
        <v>36594</v>
      </c>
      <c r="HF49" s="627">
        <v>0</v>
      </c>
      <c r="HG49" s="627">
        <v>246527</v>
      </c>
      <c r="HH49" s="627">
        <v>1848</v>
      </c>
      <c r="HI49" s="627">
        <v>98134</v>
      </c>
      <c r="HJ49" s="627">
        <v>0</v>
      </c>
      <c r="HK49" s="627">
        <v>32288</v>
      </c>
      <c r="HL49" s="627">
        <v>0</v>
      </c>
      <c r="HM49" s="627">
        <v>0</v>
      </c>
      <c r="HN49" s="627">
        <v>0</v>
      </c>
      <c r="HO49" s="627">
        <v>0</v>
      </c>
      <c r="HP49" s="627">
        <v>0</v>
      </c>
      <c r="HQ49" s="627">
        <v>0</v>
      </c>
      <c r="HR49" s="627">
        <v>0</v>
      </c>
      <c r="HS49" s="627">
        <v>0</v>
      </c>
      <c r="HT49" s="627">
        <v>2278814</v>
      </c>
      <c r="HU49" s="627">
        <v>59354</v>
      </c>
      <c r="HV49" s="627">
        <v>0</v>
      </c>
      <c r="HW49" s="627">
        <v>0</v>
      </c>
      <c r="HX49" s="627">
        <v>0</v>
      </c>
      <c r="HY49" s="627">
        <v>26</v>
      </c>
      <c r="HZ49" s="627">
        <v>37</v>
      </c>
      <c r="IA49" s="627">
        <v>55</v>
      </c>
      <c r="IB49" s="627">
        <v>42</v>
      </c>
      <c r="IC49" s="627">
        <v>129</v>
      </c>
      <c r="ID49" s="627">
        <v>289</v>
      </c>
      <c r="IE49" s="627">
        <v>0</v>
      </c>
      <c r="IF49" s="627">
        <v>0</v>
      </c>
      <c r="IG49" s="627">
        <v>0</v>
      </c>
      <c r="IH49" s="627">
        <v>3</v>
      </c>
      <c r="II49" s="627">
        <v>159.30800000000002</v>
      </c>
      <c r="IJ49" s="627">
        <v>0</v>
      </c>
      <c r="IK49" s="627">
        <v>93.158000000000001</v>
      </c>
      <c r="IL49" s="627">
        <v>0</v>
      </c>
      <c r="IM49" s="627">
        <v>0</v>
      </c>
      <c r="IN49" s="627">
        <v>0</v>
      </c>
      <c r="IO49" s="627">
        <v>0</v>
      </c>
      <c r="IP49" s="627">
        <v>0</v>
      </c>
      <c r="IQ49" s="627">
        <v>0</v>
      </c>
      <c r="IR49" s="627">
        <v>93.158000000000001</v>
      </c>
      <c r="IS49" s="627">
        <v>57385</v>
      </c>
      <c r="IT49" s="627">
        <v>0</v>
      </c>
      <c r="IU49" s="627">
        <v>0</v>
      </c>
      <c r="IV49" s="627">
        <v>0</v>
      </c>
      <c r="IW49" s="627">
        <v>0</v>
      </c>
      <c r="IX49" s="627">
        <v>6160</v>
      </c>
      <c r="IY49" s="627">
        <v>0</v>
      </c>
      <c r="IZ49" s="627">
        <v>0</v>
      </c>
      <c r="JA49" s="627">
        <v>0</v>
      </c>
      <c r="JB49" s="627">
        <v>0</v>
      </c>
      <c r="JC49" s="627">
        <v>0</v>
      </c>
      <c r="JD49" s="627">
        <v>0</v>
      </c>
      <c r="JE49" s="627">
        <v>0</v>
      </c>
      <c r="JF49" s="627">
        <v>0</v>
      </c>
      <c r="JG49" s="627">
        <v>0</v>
      </c>
      <c r="JH49" s="627">
        <v>0</v>
      </c>
      <c r="JI49" s="627">
        <v>0</v>
      </c>
      <c r="JJ49" s="627">
        <v>0</v>
      </c>
      <c r="JK49" s="627">
        <v>0</v>
      </c>
      <c r="JL49" s="627">
        <v>0</v>
      </c>
      <c r="JM49" s="627">
        <v>0</v>
      </c>
      <c r="JN49" s="627">
        <v>0</v>
      </c>
      <c r="JO49" s="627">
        <v>41884</v>
      </c>
      <c r="JP49" s="627">
        <v>0</v>
      </c>
      <c r="JQ49" s="627">
        <v>0</v>
      </c>
      <c r="JR49" s="627">
        <v>0</v>
      </c>
      <c r="JS49" s="627">
        <v>0</v>
      </c>
      <c r="JT49" s="627">
        <v>0</v>
      </c>
      <c r="JU49" s="627">
        <v>0</v>
      </c>
      <c r="JV49" s="627">
        <v>0</v>
      </c>
      <c r="JW49" s="627">
        <v>0</v>
      </c>
      <c r="JX49" s="627">
        <v>0</v>
      </c>
      <c r="JY49" s="627">
        <v>0</v>
      </c>
      <c r="JZ49" s="627">
        <v>0</v>
      </c>
      <c r="KA49" s="627">
        <v>0</v>
      </c>
      <c r="KB49" s="627">
        <v>0</v>
      </c>
      <c r="KC49" s="627">
        <v>0</v>
      </c>
      <c r="KD49" s="627">
        <v>0</v>
      </c>
      <c r="KE49" s="627">
        <v>0</v>
      </c>
      <c r="KF49" s="627">
        <v>7262</v>
      </c>
      <c r="KG49" s="627">
        <v>0</v>
      </c>
      <c r="KH49" s="627">
        <v>0</v>
      </c>
      <c r="KI49" s="627">
        <v>2680880</v>
      </c>
      <c r="KJ49" s="627">
        <v>0</v>
      </c>
      <c r="KK49" s="627">
        <v>1</v>
      </c>
      <c r="KL49" s="627">
        <v>2</v>
      </c>
      <c r="KM49" s="627">
        <v>616</v>
      </c>
      <c r="KN49" s="627">
        <v>1232</v>
      </c>
      <c r="KO49" s="627">
        <v>0</v>
      </c>
      <c r="KP49" s="627">
        <v>0</v>
      </c>
      <c r="KQ49" s="627">
        <v>2680880</v>
      </c>
      <c r="KR49" s="627">
        <v>0</v>
      </c>
      <c r="KS49" s="627">
        <v>0</v>
      </c>
      <c r="KT49" s="627">
        <v>0</v>
      </c>
      <c r="KU49" s="627">
        <v>0</v>
      </c>
      <c r="KV49" s="627">
        <v>0</v>
      </c>
      <c r="KW49" s="627">
        <v>0</v>
      </c>
      <c r="KX49" s="627">
        <v>0</v>
      </c>
      <c r="KY49" s="627">
        <v>0</v>
      </c>
      <c r="KZ49" s="627">
        <v>0</v>
      </c>
      <c r="LA49" s="627">
        <v>0</v>
      </c>
      <c r="LB49" s="627">
        <v>0</v>
      </c>
      <c r="LC49" s="627">
        <v>0</v>
      </c>
      <c r="LD49" s="627">
        <v>0</v>
      </c>
      <c r="LE49" s="627">
        <v>0</v>
      </c>
      <c r="LF49" s="627">
        <v>0</v>
      </c>
    </row>
    <row r="50" spans="1:318" x14ac:dyDescent="0.25">
      <c r="A50" s="627">
        <v>42602</v>
      </c>
      <c r="B50" s="627">
        <v>57803</v>
      </c>
      <c r="D50" s="627">
        <v>9</v>
      </c>
      <c r="E50" s="627">
        <v>2024</v>
      </c>
      <c r="F50" s="627">
        <v>6160</v>
      </c>
      <c r="G50" s="627">
        <v>0</v>
      </c>
      <c r="H50" s="627">
        <v>20568.435000000001</v>
      </c>
      <c r="I50" s="627">
        <v>18265.055</v>
      </c>
      <c r="J50" s="627">
        <v>18265.055</v>
      </c>
      <c r="K50" s="627">
        <v>20568.435000000001</v>
      </c>
      <c r="L50" s="627">
        <v>0</v>
      </c>
      <c r="M50" s="627">
        <v>6160</v>
      </c>
      <c r="N50" s="627">
        <v>0</v>
      </c>
      <c r="O50" s="627">
        <v>0</v>
      </c>
      <c r="P50" s="627">
        <v>0</v>
      </c>
      <c r="Q50" s="627">
        <v>20706.988000000001</v>
      </c>
      <c r="R50" s="627">
        <v>0</v>
      </c>
      <c r="S50" s="627">
        <v>8590998</v>
      </c>
      <c r="T50" s="627">
        <v>414.88400000000001</v>
      </c>
      <c r="U50" s="627">
        <v>0</v>
      </c>
      <c r="V50" s="627">
        <v>4458380</v>
      </c>
      <c r="W50" s="627">
        <v>6941.5250000000005</v>
      </c>
      <c r="X50" s="627">
        <v>4275979</v>
      </c>
      <c r="Y50" s="627">
        <v>4275979</v>
      </c>
      <c r="Z50" s="627">
        <v>0</v>
      </c>
      <c r="AA50" s="627">
        <v>0</v>
      </c>
      <c r="AB50" s="627">
        <v>0</v>
      </c>
      <c r="AC50" s="627">
        <v>0</v>
      </c>
      <c r="AD50" s="627">
        <v>0</v>
      </c>
      <c r="AE50" s="627" t="s">
        <v>314</v>
      </c>
      <c r="AF50" s="627">
        <v>0</v>
      </c>
      <c r="AG50" s="627">
        <v>0</v>
      </c>
      <c r="AH50" s="627">
        <v>0</v>
      </c>
      <c r="AI50" s="627">
        <v>0</v>
      </c>
      <c r="AJ50" s="627">
        <v>0</v>
      </c>
      <c r="AK50" s="627">
        <v>6160</v>
      </c>
      <c r="AL50" s="627" t="s">
        <v>651</v>
      </c>
      <c r="AM50" s="627" t="s">
        <v>381</v>
      </c>
      <c r="AN50" s="627">
        <v>0</v>
      </c>
      <c r="AO50" s="627">
        <v>0</v>
      </c>
      <c r="AP50" s="627">
        <v>0</v>
      </c>
      <c r="AQ50" s="627">
        <v>0</v>
      </c>
      <c r="AR50" s="627">
        <v>0</v>
      </c>
      <c r="AS50" s="627">
        <v>0</v>
      </c>
      <c r="AT50" s="627">
        <v>0</v>
      </c>
      <c r="AU50" s="627">
        <v>0</v>
      </c>
      <c r="AV50" s="627">
        <v>0</v>
      </c>
      <c r="AW50" s="627">
        <v>0</v>
      </c>
      <c r="AX50" s="627">
        <v>233720629</v>
      </c>
      <c r="AY50" s="627">
        <v>230486262</v>
      </c>
      <c r="AZ50" s="627">
        <v>116550878</v>
      </c>
      <c r="BA50" s="627">
        <v>8590998</v>
      </c>
      <c r="BB50" s="627">
        <v>345.91700000000003</v>
      </c>
      <c r="BC50" s="627">
        <v>0</v>
      </c>
      <c r="BD50" s="627">
        <v>0</v>
      </c>
      <c r="BE50" s="627">
        <v>0</v>
      </c>
      <c r="BF50" s="627">
        <v>0</v>
      </c>
      <c r="BG50" s="627">
        <v>204436100</v>
      </c>
      <c r="BH50" s="627">
        <v>0</v>
      </c>
      <c r="BI50" s="627">
        <v>0</v>
      </c>
      <c r="BJ50" s="627">
        <v>0</v>
      </c>
      <c r="BK50" s="627">
        <v>12</v>
      </c>
      <c r="BL50" s="627">
        <v>0</v>
      </c>
      <c r="BM50" s="627">
        <v>0</v>
      </c>
      <c r="BN50" s="627">
        <v>0</v>
      </c>
      <c r="BO50" s="627">
        <v>0</v>
      </c>
      <c r="BP50" s="627">
        <v>0</v>
      </c>
      <c r="BQ50" s="627">
        <v>0</v>
      </c>
      <c r="BR50" s="627">
        <v>0</v>
      </c>
      <c r="BS50" s="627">
        <v>0</v>
      </c>
      <c r="BT50" s="627">
        <v>0</v>
      </c>
      <c r="BU50" s="627">
        <v>0</v>
      </c>
      <c r="BV50" s="627">
        <v>0</v>
      </c>
      <c r="BW50" s="627">
        <v>0</v>
      </c>
      <c r="BX50" s="627">
        <v>0</v>
      </c>
      <c r="BY50" s="627">
        <v>0</v>
      </c>
      <c r="BZ50" s="627">
        <v>0</v>
      </c>
      <c r="CA50" s="627">
        <v>0</v>
      </c>
      <c r="CB50" s="627">
        <v>0</v>
      </c>
      <c r="CC50" s="627">
        <v>0</v>
      </c>
      <c r="CD50" s="627">
        <v>0</v>
      </c>
      <c r="CE50" s="627">
        <v>0</v>
      </c>
      <c r="CF50" s="627">
        <v>0</v>
      </c>
      <c r="CG50" s="627">
        <v>0</v>
      </c>
      <c r="CH50" s="627">
        <v>0</v>
      </c>
      <c r="CI50" s="627">
        <v>3289482</v>
      </c>
      <c r="CJ50" s="627">
        <v>0</v>
      </c>
      <c r="CK50" s="627">
        <v>4</v>
      </c>
      <c r="CL50" s="627">
        <v>0</v>
      </c>
      <c r="CM50" s="627">
        <v>0</v>
      </c>
      <c r="CN50" s="627">
        <v>0</v>
      </c>
      <c r="CO50" s="627">
        <v>0</v>
      </c>
      <c r="CP50" s="627">
        <v>1</v>
      </c>
      <c r="CQ50" s="627">
        <v>0</v>
      </c>
      <c r="CR50" s="627">
        <v>2.6670000000000003</v>
      </c>
      <c r="CS50" s="627">
        <v>20663.901000000002</v>
      </c>
      <c r="CT50" s="627">
        <v>0</v>
      </c>
      <c r="CU50" s="627">
        <v>0</v>
      </c>
      <c r="CV50" s="627">
        <v>0</v>
      </c>
      <c r="CW50" s="627">
        <v>0</v>
      </c>
      <c r="CX50" s="627">
        <v>0</v>
      </c>
      <c r="CY50" s="627">
        <v>0</v>
      </c>
      <c r="CZ50" s="627">
        <v>0</v>
      </c>
      <c r="DA50" s="627">
        <v>0</v>
      </c>
      <c r="DB50" s="627">
        <v>0</v>
      </c>
      <c r="DC50" s="627">
        <v>112512739</v>
      </c>
      <c r="DD50" s="627">
        <v>0</v>
      </c>
      <c r="DE50" s="627">
        <v>0</v>
      </c>
      <c r="DF50" s="627">
        <v>29813476</v>
      </c>
      <c r="DG50" s="627">
        <v>29813476</v>
      </c>
      <c r="DH50" s="627">
        <v>4839.8500000000004</v>
      </c>
      <c r="DI50" s="627">
        <v>0</v>
      </c>
      <c r="DJ50" s="627">
        <v>0</v>
      </c>
      <c r="DK50" s="627">
        <v>0</v>
      </c>
      <c r="DL50" s="627">
        <v>0</v>
      </c>
      <c r="DM50" s="627">
        <v>0</v>
      </c>
      <c r="DN50" s="627">
        <v>16170643</v>
      </c>
      <c r="DO50" s="627">
        <v>55115</v>
      </c>
      <c r="DP50" s="627">
        <v>0</v>
      </c>
      <c r="DQ50" s="627">
        <v>0</v>
      </c>
      <c r="DR50" s="627">
        <v>0</v>
      </c>
      <c r="DS50" s="627">
        <v>0</v>
      </c>
      <c r="DT50" s="627">
        <v>0</v>
      </c>
      <c r="DU50" s="627">
        <v>0</v>
      </c>
      <c r="DV50" s="627">
        <v>0</v>
      </c>
      <c r="DW50" s="627">
        <v>0</v>
      </c>
      <c r="DX50" s="627">
        <v>0</v>
      </c>
      <c r="DY50" s="627">
        <v>0</v>
      </c>
      <c r="DZ50" s="627">
        <v>0</v>
      </c>
      <c r="EA50" s="627">
        <v>0</v>
      </c>
      <c r="EB50" s="627">
        <v>0.57000000000000006</v>
      </c>
      <c r="EC50" s="627">
        <v>0</v>
      </c>
      <c r="ED50" s="627">
        <v>297.15700000000004</v>
      </c>
      <c r="EE50" s="627">
        <v>2105060</v>
      </c>
      <c r="EF50" s="627">
        <v>0</v>
      </c>
      <c r="EG50" s="627">
        <v>0</v>
      </c>
      <c r="EH50" s="627">
        <v>0</v>
      </c>
      <c r="EI50" s="627">
        <v>14109930</v>
      </c>
      <c r="EJ50" s="627">
        <v>10768</v>
      </c>
      <c r="EK50" s="627">
        <v>0.437</v>
      </c>
      <c r="EL50" s="627">
        <v>544.01499999999999</v>
      </c>
      <c r="EM50" s="627">
        <v>0.46800000000000003</v>
      </c>
      <c r="EN50" s="627">
        <v>144.40100000000001</v>
      </c>
      <c r="EO50" s="627">
        <v>44.317</v>
      </c>
      <c r="EP50" s="627">
        <v>0</v>
      </c>
      <c r="EQ50" s="627">
        <v>0</v>
      </c>
      <c r="ER50" s="627">
        <v>734.12700000000007</v>
      </c>
      <c r="ES50" s="627">
        <v>0.38700000000000001</v>
      </c>
      <c r="ET50" s="627">
        <v>2290.5730000000003</v>
      </c>
      <c r="EU50" s="627">
        <v>0</v>
      </c>
      <c r="EV50" s="627">
        <v>0</v>
      </c>
      <c r="EW50" s="627">
        <v>0</v>
      </c>
      <c r="EX50" s="627">
        <v>0</v>
      </c>
      <c r="EY50" s="627">
        <v>0</v>
      </c>
      <c r="EZ50" s="627">
        <v>0</v>
      </c>
      <c r="FA50" s="627">
        <v>195949934</v>
      </c>
      <c r="FB50" s="627">
        <v>0</v>
      </c>
      <c r="FC50" s="627">
        <v>204485817</v>
      </c>
      <c r="FD50" s="627">
        <v>0</v>
      </c>
      <c r="FE50" s="627">
        <v>0</v>
      </c>
      <c r="FF50" s="627">
        <v>29438019</v>
      </c>
      <c r="FG50" s="627">
        <v>5098309</v>
      </c>
      <c r="FH50" s="627">
        <v>7.0280999999999996E-2</v>
      </c>
      <c r="FI50" s="627">
        <v>3.1172999999999999E-2</v>
      </c>
      <c r="FJ50" s="627">
        <v>0</v>
      </c>
      <c r="FK50" s="627">
        <v>0</v>
      </c>
      <c r="FL50" s="627">
        <v>33187.679000000004</v>
      </c>
      <c r="FM50" s="627">
        <v>242311627</v>
      </c>
      <c r="FN50" s="627">
        <v>0</v>
      </c>
      <c r="FO50" s="627">
        <v>0</v>
      </c>
      <c r="FP50" s="627">
        <v>0</v>
      </c>
      <c r="FQ50" s="627">
        <v>0</v>
      </c>
      <c r="FR50" s="627">
        <v>0</v>
      </c>
      <c r="FS50" s="627">
        <v>0</v>
      </c>
      <c r="FT50" s="627">
        <v>0</v>
      </c>
      <c r="FU50" s="627">
        <v>0</v>
      </c>
      <c r="FV50" s="627">
        <v>0.9860000000000001</v>
      </c>
      <c r="FW50" s="627">
        <v>0</v>
      </c>
      <c r="FX50" s="627">
        <v>0</v>
      </c>
      <c r="FY50" s="627">
        <v>0</v>
      </c>
      <c r="FZ50" s="627">
        <v>0</v>
      </c>
      <c r="GA50" s="627">
        <v>0</v>
      </c>
      <c r="GB50" s="627">
        <v>0</v>
      </c>
      <c r="GC50" s="627">
        <v>13780121</v>
      </c>
      <c r="GD50" s="627">
        <v>13780121</v>
      </c>
      <c r="GE50" s="627">
        <v>1569.2530000000002</v>
      </c>
      <c r="GF50" s="627">
        <v>0</v>
      </c>
      <c r="GG50" s="627">
        <v>0</v>
      </c>
      <c r="GH50" s="627">
        <v>0</v>
      </c>
      <c r="GI50" s="627">
        <v>0</v>
      </c>
      <c r="GJ50" s="627">
        <v>0</v>
      </c>
      <c r="GK50" s="627">
        <v>0</v>
      </c>
      <c r="GL50" s="627">
        <v>0</v>
      </c>
      <c r="GM50" s="627">
        <v>0</v>
      </c>
      <c r="GN50" s="627">
        <v>0</v>
      </c>
      <c r="GO50" s="627">
        <v>0</v>
      </c>
      <c r="GP50" s="627">
        <v>0</v>
      </c>
      <c r="GQ50" s="627">
        <v>0</v>
      </c>
      <c r="GR50" s="627">
        <v>230431147</v>
      </c>
      <c r="GS50" s="627">
        <v>0</v>
      </c>
      <c r="GT50" s="627">
        <v>0</v>
      </c>
      <c r="GU50" s="627">
        <v>0</v>
      </c>
      <c r="GV50" s="627">
        <v>0</v>
      </c>
      <c r="GW50" s="627">
        <v>0</v>
      </c>
      <c r="GX50" s="627">
        <v>0</v>
      </c>
      <c r="GY50" s="627">
        <v>0</v>
      </c>
      <c r="GZ50" s="627">
        <v>0</v>
      </c>
      <c r="HA50" s="627">
        <v>0</v>
      </c>
      <c r="HB50" s="627">
        <v>0</v>
      </c>
      <c r="HC50" s="627">
        <v>361151439</v>
      </c>
      <c r="HD50" s="627">
        <v>3.9981999999999997E-2</v>
      </c>
      <c r="HE50" s="627">
        <v>3289482</v>
      </c>
      <c r="HF50" s="627">
        <v>0</v>
      </c>
      <c r="HG50" s="627">
        <v>20128091</v>
      </c>
      <c r="HH50" s="627">
        <v>260568</v>
      </c>
      <c r="HI50" s="627">
        <v>4290444</v>
      </c>
      <c r="HJ50" s="627">
        <v>0</v>
      </c>
      <c r="HK50" s="627">
        <v>850684</v>
      </c>
      <c r="HL50" s="627">
        <v>59117</v>
      </c>
      <c r="HM50" s="627">
        <v>45715</v>
      </c>
      <c r="HN50" s="627">
        <v>416000</v>
      </c>
      <c r="HO50" s="627">
        <v>1882240</v>
      </c>
      <c r="HP50" s="627">
        <v>0</v>
      </c>
      <c r="HQ50" s="627">
        <v>0</v>
      </c>
      <c r="HR50" s="627">
        <v>0</v>
      </c>
      <c r="HS50" s="627">
        <v>0</v>
      </c>
      <c r="HT50" s="627">
        <v>195894819</v>
      </c>
      <c r="HU50" s="627">
        <v>5098309</v>
      </c>
      <c r="HV50" s="627">
        <v>0</v>
      </c>
      <c r="HW50" s="627">
        <v>0</v>
      </c>
      <c r="HX50" s="627">
        <v>0</v>
      </c>
      <c r="HY50" s="627">
        <v>1438</v>
      </c>
      <c r="HZ50" s="627">
        <v>2451</v>
      </c>
      <c r="IA50" s="627">
        <v>3929</v>
      </c>
      <c r="IB50" s="627">
        <v>5163</v>
      </c>
      <c r="IC50" s="627">
        <v>5806</v>
      </c>
      <c r="ID50" s="627">
        <v>18787</v>
      </c>
      <c r="IE50" s="627">
        <v>0</v>
      </c>
      <c r="IF50" s="627">
        <v>0</v>
      </c>
      <c r="IG50" s="627">
        <v>0</v>
      </c>
      <c r="IH50" s="627">
        <v>423</v>
      </c>
      <c r="II50" s="627">
        <v>6965.0070000000005</v>
      </c>
      <c r="IJ50" s="627">
        <v>0</v>
      </c>
      <c r="IK50" s="627">
        <v>6941.5250000000005</v>
      </c>
      <c r="IL50" s="627">
        <v>0</v>
      </c>
      <c r="IM50" s="627">
        <v>47</v>
      </c>
      <c r="IN50" s="627">
        <v>59</v>
      </c>
      <c r="IO50" s="627">
        <v>2</v>
      </c>
      <c r="IP50" s="627">
        <v>108</v>
      </c>
      <c r="IQ50" s="627">
        <v>0</v>
      </c>
      <c r="IR50" s="627">
        <v>6941.5250000000005</v>
      </c>
      <c r="IS50" s="627">
        <v>4275979</v>
      </c>
      <c r="IT50" s="627">
        <v>0</v>
      </c>
      <c r="IU50" s="627">
        <v>235000</v>
      </c>
      <c r="IV50" s="627">
        <v>177000</v>
      </c>
      <c r="IW50" s="627">
        <v>4000</v>
      </c>
      <c r="IX50" s="627">
        <v>6160</v>
      </c>
      <c r="IY50" s="627">
        <v>0</v>
      </c>
      <c r="IZ50" s="627">
        <v>0</v>
      </c>
      <c r="JA50" s="627">
        <v>0</v>
      </c>
      <c r="JB50" s="627">
        <v>0</v>
      </c>
      <c r="JC50" s="627">
        <v>28</v>
      </c>
      <c r="JD50" s="627">
        <v>514027</v>
      </c>
      <c r="JE50" s="627">
        <v>59</v>
      </c>
      <c r="JF50" s="627">
        <v>712833</v>
      </c>
      <c r="JG50" s="627">
        <v>98</v>
      </c>
      <c r="JH50" s="627">
        <v>604380</v>
      </c>
      <c r="JI50" s="627">
        <v>51000</v>
      </c>
      <c r="JJ50" s="627">
        <v>0</v>
      </c>
      <c r="JK50" s="627">
        <v>0</v>
      </c>
      <c r="JL50" s="627">
        <v>0</v>
      </c>
      <c r="JM50" s="627">
        <v>0</v>
      </c>
      <c r="JN50" s="627">
        <v>0</v>
      </c>
      <c r="JO50" s="627">
        <v>40371</v>
      </c>
      <c r="JP50" s="627">
        <v>854.34300000000007</v>
      </c>
      <c r="JQ50" s="627">
        <v>490.15500000000003</v>
      </c>
      <c r="JR50" s="627">
        <v>224.75500000000002</v>
      </c>
      <c r="JS50" s="627">
        <v>6824663</v>
      </c>
      <c r="JT50" s="627">
        <v>4556167</v>
      </c>
      <c r="JU50" s="627">
        <v>2399291</v>
      </c>
      <c r="JV50" s="627">
        <v>0</v>
      </c>
      <c r="JW50" s="627">
        <v>0</v>
      </c>
      <c r="JX50" s="627">
        <v>0</v>
      </c>
      <c r="JY50" s="627">
        <v>0</v>
      </c>
      <c r="JZ50" s="627">
        <v>0</v>
      </c>
      <c r="KA50" s="627">
        <v>0</v>
      </c>
      <c r="KB50" s="627">
        <v>0</v>
      </c>
      <c r="KC50" s="627">
        <v>0</v>
      </c>
      <c r="KD50" s="627">
        <v>0</v>
      </c>
      <c r="KE50" s="627">
        <v>0</v>
      </c>
      <c r="KF50" s="627">
        <v>7262</v>
      </c>
      <c r="KG50" s="627">
        <v>0</v>
      </c>
      <c r="KH50" s="627">
        <v>0</v>
      </c>
      <c r="KI50" s="627">
        <v>230431147</v>
      </c>
      <c r="KJ50" s="627">
        <v>0</v>
      </c>
      <c r="KK50" s="627">
        <v>223</v>
      </c>
      <c r="KL50" s="627">
        <v>200</v>
      </c>
      <c r="KM50" s="627">
        <v>137368</v>
      </c>
      <c r="KN50" s="627">
        <v>123200</v>
      </c>
      <c r="KO50" s="627">
        <v>0</v>
      </c>
      <c r="KP50" s="627">
        <v>0</v>
      </c>
      <c r="KQ50" s="627">
        <v>230431147</v>
      </c>
      <c r="KR50" s="627">
        <v>0</v>
      </c>
      <c r="KS50" s="627">
        <v>0</v>
      </c>
      <c r="KT50" s="627">
        <v>0</v>
      </c>
      <c r="KU50" s="627">
        <v>0</v>
      </c>
      <c r="KV50" s="627">
        <v>0</v>
      </c>
      <c r="KW50" s="627">
        <v>0</v>
      </c>
      <c r="KX50" s="627">
        <v>0</v>
      </c>
      <c r="KY50" s="627">
        <v>0</v>
      </c>
      <c r="KZ50" s="627">
        <v>0</v>
      </c>
      <c r="LA50" s="627">
        <v>0</v>
      </c>
      <c r="LB50" s="627">
        <v>0</v>
      </c>
      <c r="LC50" s="627">
        <v>0</v>
      </c>
      <c r="LD50" s="627">
        <v>0</v>
      </c>
      <c r="LE50" s="627">
        <v>0</v>
      </c>
      <c r="LF50" s="627">
        <v>0</v>
      </c>
    </row>
    <row r="51" spans="1:318" x14ac:dyDescent="0.25">
      <c r="A51" s="627">
        <v>42602</v>
      </c>
      <c r="B51" s="627">
        <v>71803</v>
      </c>
      <c r="D51" s="627">
        <v>9</v>
      </c>
      <c r="E51" s="627">
        <v>2024</v>
      </c>
      <c r="F51" s="627">
        <v>6160</v>
      </c>
      <c r="G51" s="627">
        <v>0</v>
      </c>
      <c r="H51" s="627">
        <v>203.65</v>
      </c>
      <c r="I51" s="627">
        <v>200.078</v>
      </c>
      <c r="J51" s="627">
        <v>200.078</v>
      </c>
      <c r="K51" s="627">
        <v>203.65</v>
      </c>
      <c r="L51" s="627">
        <v>0</v>
      </c>
      <c r="M51" s="627">
        <v>6160</v>
      </c>
      <c r="N51" s="627">
        <v>0</v>
      </c>
      <c r="O51" s="627">
        <v>0</v>
      </c>
      <c r="P51" s="627">
        <v>0</v>
      </c>
      <c r="Q51" s="627">
        <v>180.58200000000002</v>
      </c>
      <c r="R51" s="627">
        <v>0</v>
      </c>
      <c r="S51" s="627">
        <v>74921</v>
      </c>
      <c r="T51" s="627">
        <v>414.88400000000001</v>
      </c>
      <c r="U51" s="627">
        <v>0</v>
      </c>
      <c r="V51" s="627">
        <v>38880</v>
      </c>
      <c r="W51" s="627">
        <v>69.150000000000006</v>
      </c>
      <c r="X51" s="627">
        <v>42596</v>
      </c>
      <c r="Y51" s="627">
        <v>42596</v>
      </c>
      <c r="Z51" s="627">
        <v>0</v>
      </c>
      <c r="AA51" s="627">
        <v>0</v>
      </c>
      <c r="AB51" s="627">
        <v>0</v>
      </c>
      <c r="AC51" s="627">
        <v>0</v>
      </c>
      <c r="AD51" s="627">
        <v>0</v>
      </c>
      <c r="AE51" s="627" t="s">
        <v>314</v>
      </c>
      <c r="AF51" s="627">
        <v>0</v>
      </c>
      <c r="AG51" s="627">
        <v>0</v>
      </c>
      <c r="AH51" s="627">
        <v>0</v>
      </c>
      <c r="AI51" s="627">
        <v>0</v>
      </c>
      <c r="AJ51" s="627">
        <v>0</v>
      </c>
      <c r="AK51" s="627">
        <v>6160</v>
      </c>
      <c r="AL51" s="627" t="s">
        <v>651</v>
      </c>
      <c r="AM51" s="627" t="s">
        <v>465</v>
      </c>
      <c r="AN51" s="627">
        <v>0</v>
      </c>
      <c r="AO51" s="627">
        <v>0</v>
      </c>
      <c r="AP51" s="627">
        <v>0</v>
      </c>
      <c r="AQ51" s="627">
        <v>0</v>
      </c>
      <c r="AR51" s="627">
        <v>0</v>
      </c>
      <c r="AS51" s="627">
        <v>0</v>
      </c>
      <c r="AT51" s="627">
        <v>0</v>
      </c>
      <c r="AU51" s="627">
        <v>0</v>
      </c>
      <c r="AV51" s="627">
        <v>0</v>
      </c>
      <c r="AW51" s="627">
        <v>-6347</v>
      </c>
      <c r="AX51" s="627">
        <v>2400800</v>
      </c>
      <c r="AY51" s="627">
        <v>2368693</v>
      </c>
      <c r="AZ51" s="627">
        <v>1128160</v>
      </c>
      <c r="BA51" s="627">
        <v>74921</v>
      </c>
      <c r="BB51" s="627">
        <v>7.75</v>
      </c>
      <c r="BC51" s="627">
        <v>0</v>
      </c>
      <c r="BD51" s="627">
        <v>0</v>
      </c>
      <c r="BE51" s="627">
        <v>0</v>
      </c>
      <c r="BF51" s="627">
        <v>0</v>
      </c>
      <c r="BG51" s="627">
        <v>2039814</v>
      </c>
      <c r="BH51" s="627">
        <v>0</v>
      </c>
      <c r="BI51" s="627">
        <v>0</v>
      </c>
      <c r="BJ51" s="627">
        <v>0</v>
      </c>
      <c r="BK51" s="627">
        <v>12</v>
      </c>
      <c r="BL51" s="627">
        <v>0</v>
      </c>
      <c r="BM51" s="627">
        <v>0</v>
      </c>
      <c r="BN51" s="627">
        <v>0</v>
      </c>
      <c r="BO51" s="627">
        <v>0</v>
      </c>
      <c r="BP51" s="627">
        <v>0</v>
      </c>
      <c r="BQ51" s="627">
        <v>0</v>
      </c>
      <c r="BR51" s="627">
        <v>739</v>
      </c>
      <c r="BS51" s="627">
        <v>0</v>
      </c>
      <c r="BT51" s="627">
        <v>0</v>
      </c>
      <c r="BU51" s="627">
        <v>0</v>
      </c>
      <c r="BV51" s="627">
        <v>0</v>
      </c>
      <c r="BW51" s="627">
        <v>0</v>
      </c>
      <c r="BX51" s="627">
        <v>0</v>
      </c>
      <c r="BY51" s="627">
        <v>0</v>
      </c>
      <c r="BZ51" s="627">
        <v>0</v>
      </c>
      <c r="CA51" s="627">
        <v>0</v>
      </c>
      <c r="CB51" s="627">
        <v>0</v>
      </c>
      <c r="CC51" s="627">
        <v>0</v>
      </c>
      <c r="CD51" s="627">
        <v>0</v>
      </c>
      <c r="CE51" s="627">
        <v>0</v>
      </c>
      <c r="CF51" s="627">
        <v>0</v>
      </c>
      <c r="CG51" s="627">
        <v>0</v>
      </c>
      <c r="CH51" s="627">
        <v>0</v>
      </c>
      <c r="CI51" s="627">
        <v>32569</v>
      </c>
      <c r="CJ51" s="627">
        <v>0</v>
      </c>
      <c r="CK51" s="627">
        <v>4</v>
      </c>
      <c r="CL51" s="627">
        <v>0</v>
      </c>
      <c r="CM51" s="627">
        <v>0</v>
      </c>
      <c r="CN51" s="627">
        <v>0</v>
      </c>
      <c r="CO51" s="627">
        <v>0</v>
      </c>
      <c r="CP51" s="627">
        <v>1</v>
      </c>
      <c r="CQ51" s="627">
        <v>0.53500000000000003</v>
      </c>
      <c r="CR51" s="627">
        <v>11.667</v>
      </c>
      <c r="CS51" s="627">
        <v>179.8</v>
      </c>
      <c r="CT51" s="627">
        <v>0</v>
      </c>
      <c r="CU51" s="627">
        <v>0</v>
      </c>
      <c r="CV51" s="627">
        <v>0</v>
      </c>
      <c r="CW51" s="627">
        <v>0</v>
      </c>
      <c r="CX51" s="627">
        <v>0</v>
      </c>
      <c r="CY51" s="627">
        <v>0</v>
      </c>
      <c r="CZ51" s="627">
        <v>0</v>
      </c>
      <c r="DA51" s="627">
        <v>0</v>
      </c>
      <c r="DB51" s="627">
        <v>0</v>
      </c>
      <c r="DC51" s="627">
        <v>1232480</v>
      </c>
      <c r="DD51" s="627">
        <v>0</v>
      </c>
      <c r="DE51" s="627">
        <v>0</v>
      </c>
      <c r="DF51" s="627">
        <v>349657</v>
      </c>
      <c r="DG51" s="627">
        <v>357599</v>
      </c>
      <c r="DH51" s="627">
        <v>56.763000000000005</v>
      </c>
      <c r="DI51" s="627">
        <v>0</v>
      </c>
      <c r="DJ51" s="627">
        <v>7942</v>
      </c>
      <c r="DK51" s="627">
        <v>0</v>
      </c>
      <c r="DL51" s="627">
        <v>3449</v>
      </c>
      <c r="DM51" s="627">
        <v>0</v>
      </c>
      <c r="DN51" s="627">
        <v>135332</v>
      </c>
      <c r="DO51" s="627">
        <v>461</v>
      </c>
      <c r="DP51" s="627">
        <v>0</v>
      </c>
      <c r="DQ51" s="627">
        <v>0</v>
      </c>
      <c r="DR51" s="627">
        <v>0</v>
      </c>
      <c r="DS51" s="627">
        <v>0</v>
      </c>
      <c r="DT51" s="627">
        <v>0</v>
      </c>
      <c r="DU51" s="627">
        <v>0</v>
      </c>
      <c r="DV51" s="627">
        <v>0</v>
      </c>
      <c r="DW51" s="627">
        <v>0</v>
      </c>
      <c r="DX51" s="627">
        <v>0</v>
      </c>
      <c r="DY51" s="627">
        <v>0</v>
      </c>
      <c r="DZ51" s="627">
        <v>0</v>
      </c>
      <c r="EA51" s="627">
        <v>0</v>
      </c>
      <c r="EB51" s="627">
        <v>0</v>
      </c>
      <c r="EC51" s="627">
        <v>0</v>
      </c>
      <c r="ED51" s="627">
        <v>15.095000000000001</v>
      </c>
      <c r="EE51" s="627">
        <v>106933</v>
      </c>
      <c r="EF51" s="627">
        <v>0</v>
      </c>
      <c r="EG51" s="627">
        <v>0</v>
      </c>
      <c r="EH51" s="627">
        <v>0</v>
      </c>
      <c r="EI51" s="627">
        <v>28860</v>
      </c>
      <c r="EJ51" s="627">
        <v>0</v>
      </c>
      <c r="EK51" s="627">
        <v>0</v>
      </c>
      <c r="EL51" s="627">
        <v>1.5250000000000001</v>
      </c>
      <c r="EM51" s="627">
        <v>0</v>
      </c>
      <c r="EN51" s="627">
        <v>0</v>
      </c>
      <c r="EO51" s="627">
        <v>2.2000000000000002E-2</v>
      </c>
      <c r="EP51" s="627">
        <v>0</v>
      </c>
      <c r="EQ51" s="627">
        <v>0</v>
      </c>
      <c r="ER51" s="627">
        <v>1.5470000000000002</v>
      </c>
      <c r="ES51" s="627">
        <v>0</v>
      </c>
      <c r="ET51" s="627">
        <v>4.6850000000000005</v>
      </c>
      <c r="EU51" s="627">
        <v>0</v>
      </c>
      <c r="EV51" s="627">
        <v>0</v>
      </c>
      <c r="EW51" s="627">
        <v>0</v>
      </c>
      <c r="EX51" s="627">
        <v>0</v>
      </c>
      <c r="EY51" s="627">
        <v>0</v>
      </c>
      <c r="EZ51" s="627">
        <v>0</v>
      </c>
      <c r="FA51" s="627">
        <v>2024097</v>
      </c>
      <c r="FB51" s="627">
        <v>0</v>
      </c>
      <c r="FC51" s="627">
        <v>2098556</v>
      </c>
      <c r="FD51" s="627">
        <v>0</v>
      </c>
      <c r="FE51" s="627">
        <v>0</v>
      </c>
      <c r="FF51" s="627">
        <v>293726</v>
      </c>
      <c r="FG51" s="627">
        <v>50870</v>
      </c>
      <c r="FH51" s="627">
        <v>7.0280999999999996E-2</v>
      </c>
      <c r="FI51" s="627">
        <v>3.1172999999999999E-2</v>
      </c>
      <c r="FJ51" s="627">
        <v>0</v>
      </c>
      <c r="FK51" s="627">
        <v>0</v>
      </c>
      <c r="FL51" s="627">
        <v>331.13900000000001</v>
      </c>
      <c r="FM51" s="627">
        <v>2475721</v>
      </c>
      <c r="FN51" s="627">
        <v>0</v>
      </c>
      <c r="FO51" s="627">
        <v>0</v>
      </c>
      <c r="FP51" s="627">
        <v>0</v>
      </c>
      <c r="FQ51" s="627">
        <v>0</v>
      </c>
      <c r="FR51" s="627">
        <v>0</v>
      </c>
      <c r="FS51" s="627">
        <v>0</v>
      </c>
      <c r="FT51" s="627">
        <v>0</v>
      </c>
      <c r="FU51" s="627">
        <v>0</v>
      </c>
      <c r="FV51" s="627">
        <v>0</v>
      </c>
      <c r="FW51" s="627">
        <v>0</v>
      </c>
      <c r="FX51" s="627">
        <v>0</v>
      </c>
      <c r="FY51" s="627">
        <v>0</v>
      </c>
      <c r="FZ51" s="627">
        <v>0</v>
      </c>
      <c r="GA51" s="627">
        <v>0</v>
      </c>
      <c r="GB51" s="627">
        <v>0</v>
      </c>
      <c r="GC51" s="627">
        <v>18823</v>
      </c>
      <c r="GD51" s="627">
        <v>18823</v>
      </c>
      <c r="GE51" s="627">
        <v>2.0249999999999999</v>
      </c>
      <c r="GF51" s="627">
        <v>0</v>
      </c>
      <c r="GG51" s="627">
        <v>0</v>
      </c>
      <c r="GH51" s="627">
        <v>0</v>
      </c>
      <c r="GI51" s="627">
        <v>0</v>
      </c>
      <c r="GJ51" s="627">
        <v>0</v>
      </c>
      <c r="GK51" s="627">
        <v>0</v>
      </c>
      <c r="GL51" s="627">
        <v>0</v>
      </c>
      <c r="GM51" s="627">
        <v>0</v>
      </c>
      <c r="GN51" s="627">
        <v>0</v>
      </c>
      <c r="GO51" s="627">
        <v>0</v>
      </c>
      <c r="GP51" s="627">
        <v>0</v>
      </c>
      <c r="GQ51" s="627">
        <v>0</v>
      </c>
      <c r="GR51" s="627">
        <v>2368231</v>
      </c>
      <c r="GS51" s="627">
        <v>0</v>
      </c>
      <c r="GT51" s="627">
        <v>0</v>
      </c>
      <c r="GU51" s="627">
        <v>0</v>
      </c>
      <c r="GV51" s="627">
        <v>0</v>
      </c>
      <c r="GW51" s="627">
        <v>0</v>
      </c>
      <c r="GX51" s="627">
        <v>0</v>
      </c>
      <c r="GY51" s="627">
        <v>0</v>
      </c>
      <c r="GZ51" s="627">
        <v>0</v>
      </c>
      <c r="HA51" s="627">
        <v>0</v>
      </c>
      <c r="HB51" s="627">
        <v>0</v>
      </c>
      <c r="HC51" s="627">
        <v>361151439</v>
      </c>
      <c r="HD51" s="627">
        <v>3.9981999999999997E-2</v>
      </c>
      <c r="HE51" s="627">
        <v>32569</v>
      </c>
      <c r="HF51" s="627">
        <v>0</v>
      </c>
      <c r="HG51" s="627">
        <v>220486</v>
      </c>
      <c r="HH51" s="627">
        <v>0</v>
      </c>
      <c r="HI51" s="627">
        <v>0</v>
      </c>
      <c r="HJ51" s="627">
        <v>0</v>
      </c>
      <c r="HK51" s="627">
        <v>32037</v>
      </c>
      <c r="HL51" s="627">
        <v>2562</v>
      </c>
      <c r="HM51" s="627">
        <v>2383</v>
      </c>
      <c r="HN51" s="627">
        <v>0</v>
      </c>
      <c r="HO51" s="627">
        <v>0</v>
      </c>
      <c r="HP51" s="627">
        <v>0</v>
      </c>
      <c r="HQ51" s="627">
        <v>54259</v>
      </c>
      <c r="HR51" s="627">
        <v>0</v>
      </c>
      <c r="HS51" s="627">
        <v>0</v>
      </c>
      <c r="HT51" s="627">
        <v>2023635</v>
      </c>
      <c r="HU51" s="627">
        <v>50870</v>
      </c>
      <c r="HV51" s="627">
        <v>0</v>
      </c>
      <c r="HW51" s="627">
        <v>0</v>
      </c>
      <c r="HX51" s="627">
        <v>0</v>
      </c>
      <c r="HY51" s="627">
        <v>25</v>
      </c>
      <c r="HZ51" s="627">
        <v>24</v>
      </c>
      <c r="IA51" s="627">
        <v>37</v>
      </c>
      <c r="IB51" s="627">
        <v>53</v>
      </c>
      <c r="IC51" s="627">
        <v>81</v>
      </c>
      <c r="ID51" s="627">
        <v>220</v>
      </c>
      <c r="IE51" s="627">
        <v>0</v>
      </c>
      <c r="IF51" s="627">
        <v>0</v>
      </c>
      <c r="IG51" s="627">
        <v>0</v>
      </c>
      <c r="IH51" s="627">
        <v>0</v>
      </c>
      <c r="II51" s="627">
        <v>0</v>
      </c>
      <c r="IJ51" s="627">
        <v>197.304</v>
      </c>
      <c r="IK51" s="627">
        <v>69.150000000000006</v>
      </c>
      <c r="IL51" s="627">
        <v>0</v>
      </c>
      <c r="IM51" s="627">
        <v>0</v>
      </c>
      <c r="IN51" s="627">
        <v>0</v>
      </c>
      <c r="IO51" s="627">
        <v>0</v>
      </c>
      <c r="IP51" s="627">
        <v>0</v>
      </c>
      <c r="IQ51" s="627">
        <v>197.304</v>
      </c>
      <c r="IR51" s="627">
        <v>69.150000000000006</v>
      </c>
      <c r="IS51" s="627">
        <v>42596</v>
      </c>
      <c r="IT51" s="627">
        <v>0</v>
      </c>
      <c r="IU51" s="627">
        <v>0</v>
      </c>
      <c r="IV51" s="627">
        <v>0</v>
      </c>
      <c r="IW51" s="627">
        <v>0</v>
      </c>
      <c r="IX51" s="627">
        <v>6160</v>
      </c>
      <c r="IY51" s="627">
        <v>0</v>
      </c>
      <c r="IZ51" s="627">
        <v>0</v>
      </c>
      <c r="JA51" s="627">
        <v>54259</v>
      </c>
      <c r="JB51" s="627">
        <v>0</v>
      </c>
      <c r="JC51" s="627">
        <v>0</v>
      </c>
      <c r="JD51" s="627">
        <v>0</v>
      </c>
      <c r="JE51" s="627">
        <v>0</v>
      </c>
      <c r="JF51" s="627">
        <v>0</v>
      </c>
      <c r="JG51" s="627">
        <v>0</v>
      </c>
      <c r="JH51" s="627">
        <v>0</v>
      </c>
      <c r="JI51" s="627">
        <v>0</v>
      </c>
      <c r="JJ51" s="627">
        <v>0</v>
      </c>
      <c r="JK51" s="627">
        <v>0</v>
      </c>
      <c r="JL51" s="627">
        <v>0</v>
      </c>
      <c r="JM51" s="627">
        <v>0</v>
      </c>
      <c r="JN51" s="627">
        <v>0</v>
      </c>
      <c r="JO51" s="627">
        <v>32469</v>
      </c>
      <c r="JP51" s="627">
        <v>0</v>
      </c>
      <c r="JQ51" s="627">
        <v>2.0249999999999999</v>
      </c>
      <c r="JR51" s="627">
        <v>0</v>
      </c>
      <c r="JS51" s="627">
        <v>0</v>
      </c>
      <c r="JT51" s="627">
        <v>18823</v>
      </c>
      <c r="JU51" s="627">
        <v>0</v>
      </c>
      <c r="JV51" s="627">
        <v>0</v>
      </c>
      <c r="JW51" s="627">
        <v>0</v>
      </c>
      <c r="JX51" s="627">
        <v>0</v>
      </c>
      <c r="JY51" s="627">
        <v>0</v>
      </c>
      <c r="JZ51" s="627">
        <v>0</v>
      </c>
      <c r="KA51" s="627">
        <v>0</v>
      </c>
      <c r="KB51" s="627">
        <v>0</v>
      </c>
      <c r="KC51" s="627">
        <v>0</v>
      </c>
      <c r="KD51" s="627">
        <v>0</v>
      </c>
      <c r="KE51" s="627">
        <v>0</v>
      </c>
      <c r="KF51" s="627">
        <v>7262</v>
      </c>
      <c r="KG51" s="627">
        <v>0</v>
      </c>
      <c r="KH51" s="627">
        <v>0</v>
      </c>
      <c r="KI51" s="627">
        <v>2368231</v>
      </c>
      <c r="KJ51" s="627">
        <v>0</v>
      </c>
      <c r="KK51" s="627">
        <v>0</v>
      </c>
      <c r="KL51" s="627">
        <v>0</v>
      </c>
      <c r="KM51" s="627">
        <v>0</v>
      </c>
      <c r="KN51" s="627">
        <v>0</v>
      </c>
      <c r="KO51" s="627">
        <v>0</v>
      </c>
      <c r="KP51" s="627">
        <v>0</v>
      </c>
      <c r="KQ51" s="627">
        <v>2368231</v>
      </c>
      <c r="KR51" s="627">
        <v>0</v>
      </c>
      <c r="KS51" s="627">
        <v>0</v>
      </c>
      <c r="KT51" s="627">
        <v>0</v>
      </c>
      <c r="KU51" s="627">
        <v>0</v>
      </c>
      <c r="KV51" s="627">
        <v>0</v>
      </c>
      <c r="KW51" s="627">
        <v>0</v>
      </c>
      <c r="KX51" s="627">
        <v>0</v>
      </c>
      <c r="KY51" s="627">
        <v>0</v>
      </c>
      <c r="KZ51" s="627">
        <v>0</v>
      </c>
      <c r="LA51" s="627">
        <v>0</v>
      </c>
      <c r="LB51" s="627">
        <v>0</v>
      </c>
      <c r="LC51" s="627">
        <v>0</v>
      </c>
      <c r="LD51" s="627">
        <v>0</v>
      </c>
      <c r="LE51" s="627">
        <v>0</v>
      </c>
      <c r="LF51" s="627">
        <v>0</v>
      </c>
    </row>
    <row r="52" spans="1:318" x14ac:dyDescent="0.25">
      <c r="A52" s="627">
        <v>42602</v>
      </c>
      <c r="B52" s="627">
        <v>101803</v>
      </c>
      <c r="D52" s="627">
        <v>9</v>
      </c>
      <c r="E52" s="627">
        <v>2024</v>
      </c>
      <c r="F52" s="627">
        <v>6160</v>
      </c>
      <c r="G52" s="627">
        <v>0</v>
      </c>
      <c r="H52" s="627">
        <v>1463.9</v>
      </c>
      <c r="I52" s="627">
        <v>1416.84</v>
      </c>
      <c r="J52" s="627">
        <v>1416.84</v>
      </c>
      <c r="K52" s="627">
        <v>1463.9</v>
      </c>
      <c r="L52" s="627">
        <v>0</v>
      </c>
      <c r="M52" s="627">
        <v>6160</v>
      </c>
      <c r="N52" s="627">
        <v>0</v>
      </c>
      <c r="O52" s="627">
        <v>0</v>
      </c>
      <c r="P52" s="627">
        <v>0</v>
      </c>
      <c r="Q52" s="627">
        <v>1256.895</v>
      </c>
      <c r="R52" s="627">
        <v>0</v>
      </c>
      <c r="S52" s="627">
        <v>521466</v>
      </c>
      <c r="T52" s="627">
        <v>414.88400000000001</v>
      </c>
      <c r="U52" s="627">
        <v>0</v>
      </c>
      <c r="V52" s="627">
        <v>270619</v>
      </c>
      <c r="W52" s="627">
        <v>53.822000000000003</v>
      </c>
      <c r="X52" s="627">
        <v>33154</v>
      </c>
      <c r="Y52" s="627">
        <v>33154</v>
      </c>
      <c r="Z52" s="627">
        <v>0</v>
      </c>
      <c r="AA52" s="627">
        <v>0</v>
      </c>
      <c r="AB52" s="627">
        <v>0</v>
      </c>
      <c r="AC52" s="627">
        <v>0</v>
      </c>
      <c r="AD52" s="627">
        <v>0</v>
      </c>
      <c r="AE52" s="627" t="s">
        <v>314</v>
      </c>
      <c r="AF52" s="627">
        <v>0</v>
      </c>
      <c r="AG52" s="627">
        <v>0</v>
      </c>
      <c r="AH52" s="627">
        <v>0</v>
      </c>
      <c r="AI52" s="627">
        <v>0</v>
      </c>
      <c r="AJ52" s="627">
        <v>0</v>
      </c>
      <c r="AK52" s="627">
        <v>6160</v>
      </c>
      <c r="AL52" s="627" t="s">
        <v>651</v>
      </c>
      <c r="AM52" s="627" t="s">
        <v>91</v>
      </c>
      <c r="AN52" s="627">
        <v>0</v>
      </c>
      <c r="AO52" s="627">
        <v>0</v>
      </c>
      <c r="AP52" s="627">
        <v>0</v>
      </c>
      <c r="AQ52" s="627">
        <v>0</v>
      </c>
      <c r="AR52" s="627">
        <v>0</v>
      </c>
      <c r="AS52" s="627">
        <v>0</v>
      </c>
      <c r="AT52" s="627">
        <v>0</v>
      </c>
      <c r="AU52" s="627">
        <v>0</v>
      </c>
      <c r="AV52" s="627">
        <v>0</v>
      </c>
      <c r="AW52" s="627">
        <v>0</v>
      </c>
      <c r="AX52" s="627">
        <v>14245745</v>
      </c>
      <c r="AY52" s="627">
        <v>14015382</v>
      </c>
      <c r="AZ52" s="627">
        <v>8589605</v>
      </c>
      <c r="BA52" s="627">
        <v>521466</v>
      </c>
      <c r="BB52" s="627">
        <v>20.917000000000002</v>
      </c>
      <c r="BC52" s="627">
        <v>0</v>
      </c>
      <c r="BD52" s="627">
        <v>0</v>
      </c>
      <c r="BE52" s="627">
        <v>0</v>
      </c>
      <c r="BF52" s="627">
        <v>0</v>
      </c>
      <c r="BG52" s="627">
        <v>12433018</v>
      </c>
      <c r="BH52" s="627">
        <v>0</v>
      </c>
      <c r="BI52" s="627">
        <v>0</v>
      </c>
      <c r="BJ52" s="627">
        <v>0</v>
      </c>
      <c r="BK52" s="627">
        <v>12</v>
      </c>
      <c r="BL52" s="627">
        <v>0</v>
      </c>
      <c r="BM52" s="627">
        <v>0</v>
      </c>
      <c r="BN52" s="627">
        <v>0</v>
      </c>
      <c r="BO52" s="627">
        <v>0</v>
      </c>
      <c r="BP52" s="627">
        <v>0</v>
      </c>
      <c r="BQ52" s="627">
        <v>0</v>
      </c>
      <c r="BR52" s="627">
        <v>552</v>
      </c>
      <c r="BS52" s="627">
        <v>0</v>
      </c>
      <c r="BT52" s="627">
        <v>0</v>
      </c>
      <c r="BU52" s="627">
        <v>0</v>
      </c>
      <c r="BV52" s="627">
        <v>0</v>
      </c>
      <c r="BW52" s="627">
        <v>0</v>
      </c>
      <c r="BX52" s="627">
        <v>0</v>
      </c>
      <c r="BY52" s="627">
        <v>0</v>
      </c>
      <c r="BZ52" s="627">
        <v>0</v>
      </c>
      <c r="CA52" s="627">
        <v>0</v>
      </c>
      <c r="CB52" s="627">
        <v>0</v>
      </c>
      <c r="CC52" s="627">
        <v>0</v>
      </c>
      <c r="CD52" s="627">
        <v>0</v>
      </c>
      <c r="CE52" s="627">
        <v>0</v>
      </c>
      <c r="CF52" s="627">
        <v>0</v>
      </c>
      <c r="CG52" s="627">
        <v>0</v>
      </c>
      <c r="CH52" s="627">
        <v>0</v>
      </c>
      <c r="CI52" s="627">
        <v>234120</v>
      </c>
      <c r="CJ52" s="627">
        <v>0</v>
      </c>
      <c r="CK52" s="627">
        <v>5</v>
      </c>
      <c r="CL52" s="627">
        <v>0</v>
      </c>
      <c r="CM52" s="627">
        <v>0</v>
      </c>
      <c r="CN52" s="627">
        <v>0</v>
      </c>
      <c r="CO52" s="627">
        <v>0</v>
      </c>
      <c r="CP52" s="627">
        <v>1</v>
      </c>
      <c r="CQ52" s="627">
        <v>0</v>
      </c>
      <c r="CR52" s="627">
        <v>0.75</v>
      </c>
      <c r="CS52" s="627">
        <v>1259.308</v>
      </c>
      <c r="CT52" s="627">
        <v>0</v>
      </c>
      <c r="CU52" s="627">
        <v>0</v>
      </c>
      <c r="CV52" s="627">
        <v>0</v>
      </c>
      <c r="CW52" s="627">
        <v>0</v>
      </c>
      <c r="CX52" s="627">
        <v>0</v>
      </c>
      <c r="CY52" s="627">
        <v>0</v>
      </c>
      <c r="CZ52" s="627">
        <v>0</v>
      </c>
      <c r="DA52" s="627">
        <v>0</v>
      </c>
      <c r="DB52" s="627">
        <v>0</v>
      </c>
      <c r="DC52" s="627">
        <v>8727734</v>
      </c>
      <c r="DD52" s="627">
        <v>0</v>
      </c>
      <c r="DE52" s="627">
        <v>0</v>
      </c>
      <c r="DF52" s="627">
        <v>624701</v>
      </c>
      <c r="DG52" s="627">
        <v>624701</v>
      </c>
      <c r="DH52" s="627">
        <v>101.41300000000001</v>
      </c>
      <c r="DI52" s="627">
        <v>0</v>
      </c>
      <c r="DJ52" s="627">
        <v>0</v>
      </c>
      <c r="DK52" s="627">
        <v>0</v>
      </c>
      <c r="DL52" s="627">
        <v>451</v>
      </c>
      <c r="DM52" s="627">
        <v>0</v>
      </c>
      <c r="DN52" s="627">
        <v>1102291</v>
      </c>
      <c r="DO52" s="627">
        <v>3757</v>
      </c>
      <c r="DP52" s="627">
        <v>0</v>
      </c>
      <c r="DQ52" s="627">
        <v>0</v>
      </c>
      <c r="DR52" s="627">
        <v>0</v>
      </c>
      <c r="DS52" s="627">
        <v>0</v>
      </c>
      <c r="DT52" s="627">
        <v>0</v>
      </c>
      <c r="DU52" s="627">
        <v>0</v>
      </c>
      <c r="DV52" s="627">
        <v>0</v>
      </c>
      <c r="DW52" s="627">
        <v>0</v>
      </c>
      <c r="DX52" s="627">
        <v>0</v>
      </c>
      <c r="DY52" s="627">
        <v>0</v>
      </c>
      <c r="DZ52" s="627">
        <v>0</v>
      </c>
      <c r="EA52" s="627">
        <v>0</v>
      </c>
      <c r="EB52" s="627">
        <v>0</v>
      </c>
      <c r="EC52" s="627">
        <v>0</v>
      </c>
      <c r="ED52" s="627">
        <v>55.882000000000005</v>
      </c>
      <c r="EE52" s="627">
        <v>395868</v>
      </c>
      <c r="EF52" s="627">
        <v>0</v>
      </c>
      <c r="EG52" s="627">
        <v>0</v>
      </c>
      <c r="EH52" s="627">
        <v>0</v>
      </c>
      <c r="EI52" s="627">
        <v>710180</v>
      </c>
      <c r="EJ52" s="627">
        <v>0</v>
      </c>
      <c r="EK52" s="627">
        <v>0</v>
      </c>
      <c r="EL52" s="627">
        <v>29.705000000000002</v>
      </c>
      <c r="EM52" s="627">
        <v>0</v>
      </c>
      <c r="EN52" s="627">
        <v>2.5180000000000002</v>
      </c>
      <c r="EO52" s="627">
        <v>3.7240000000000002</v>
      </c>
      <c r="EP52" s="627">
        <v>0</v>
      </c>
      <c r="EQ52" s="627">
        <v>0</v>
      </c>
      <c r="ER52" s="627">
        <v>35.947000000000003</v>
      </c>
      <c r="ES52" s="627">
        <v>0</v>
      </c>
      <c r="ET52" s="627">
        <v>115.289</v>
      </c>
      <c r="EU52" s="627">
        <v>0</v>
      </c>
      <c r="EV52" s="627">
        <v>0</v>
      </c>
      <c r="EW52" s="627">
        <v>0</v>
      </c>
      <c r="EX52" s="627">
        <v>0</v>
      </c>
      <c r="EY52" s="627">
        <v>0</v>
      </c>
      <c r="EZ52" s="627">
        <v>0</v>
      </c>
      <c r="FA52" s="627">
        <v>11915015</v>
      </c>
      <c r="FB52" s="627">
        <v>0</v>
      </c>
      <c r="FC52" s="627">
        <v>12432724</v>
      </c>
      <c r="FD52" s="627">
        <v>0</v>
      </c>
      <c r="FE52" s="627">
        <v>0</v>
      </c>
      <c r="FF52" s="627">
        <v>1790307</v>
      </c>
      <c r="FG52" s="627">
        <v>310060</v>
      </c>
      <c r="FH52" s="627">
        <v>7.0280999999999996E-2</v>
      </c>
      <c r="FI52" s="627">
        <v>3.1172999999999999E-2</v>
      </c>
      <c r="FJ52" s="627">
        <v>0</v>
      </c>
      <c r="FK52" s="627">
        <v>0</v>
      </c>
      <c r="FL52" s="627">
        <v>2018.3470000000002</v>
      </c>
      <c r="FM52" s="627">
        <v>14767211</v>
      </c>
      <c r="FN52" s="627">
        <v>0</v>
      </c>
      <c r="FO52" s="627">
        <v>0</v>
      </c>
      <c r="FP52" s="627">
        <v>0</v>
      </c>
      <c r="FQ52" s="627">
        <v>0</v>
      </c>
      <c r="FR52" s="627">
        <v>0</v>
      </c>
      <c r="FS52" s="627">
        <v>0</v>
      </c>
      <c r="FT52" s="627">
        <v>0</v>
      </c>
      <c r="FU52" s="627">
        <v>0</v>
      </c>
      <c r="FV52" s="627">
        <v>0</v>
      </c>
      <c r="FW52" s="627">
        <v>0</v>
      </c>
      <c r="FX52" s="627">
        <v>0</v>
      </c>
      <c r="FY52" s="627">
        <v>0</v>
      </c>
      <c r="FZ52" s="627">
        <v>0</v>
      </c>
      <c r="GA52" s="627">
        <v>0</v>
      </c>
      <c r="GB52" s="627">
        <v>0</v>
      </c>
      <c r="GC52" s="627">
        <v>108969</v>
      </c>
      <c r="GD52" s="627">
        <v>108969</v>
      </c>
      <c r="GE52" s="627">
        <v>11.113000000000001</v>
      </c>
      <c r="GF52" s="627">
        <v>0</v>
      </c>
      <c r="GG52" s="627">
        <v>0</v>
      </c>
      <c r="GH52" s="627">
        <v>0</v>
      </c>
      <c r="GI52" s="627">
        <v>0</v>
      </c>
      <c r="GJ52" s="627">
        <v>0</v>
      </c>
      <c r="GK52" s="627">
        <v>0</v>
      </c>
      <c r="GL52" s="627">
        <v>0</v>
      </c>
      <c r="GM52" s="627">
        <v>0</v>
      </c>
      <c r="GN52" s="627">
        <v>0</v>
      </c>
      <c r="GO52" s="627">
        <v>0</v>
      </c>
      <c r="GP52" s="627">
        <v>0</v>
      </c>
      <c r="GQ52" s="627">
        <v>0</v>
      </c>
      <c r="GR52" s="627">
        <v>14011625</v>
      </c>
      <c r="GS52" s="627">
        <v>0</v>
      </c>
      <c r="GT52" s="627">
        <v>0</v>
      </c>
      <c r="GU52" s="627">
        <v>0</v>
      </c>
      <c r="GV52" s="627">
        <v>0</v>
      </c>
      <c r="GW52" s="627">
        <v>0</v>
      </c>
      <c r="GX52" s="627">
        <v>0</v>
      </c>
      <c r="GY52" s="627">
        <v>0</v>
      </c>
      <c r="GZ52" s="627">
        <v>0</v>
      </c>
      <c r="HA52" s="627">
        <v>0</v>
      </c>
      <c r="HB52" s="627">
        <v>0</v>
      </c>
      <c r="HC52" s="627">
        <v>361151439</v>
      </c>
      <c r="HD52" s="627">
        <v>3.9981999999999997E-2</v>
      </c>
      <c r="HE52" s="627">
        <v>234120</v>
      </c>
      <c r="HF52" s="627">
        <v>0</v>
      </c>
      <c r="HG52" s="627">
        <v>1561358</v>
      </c>
      <c r="HH52" s="627">
        <v>57904</v>
      </c>
      <c r="HI52" s="627">
        <v>118511</v>
      </c>
      <c r="HJ52" s="627">
        <v>0</v>
      </c>
      <c r="HK52" s="627">
        <v>59639</v>
      </c>
      <c r="HL52" s="627">
        <v>2377</v>
      </c>
      <c r="HM52" s="627">
        <v>1086</v>
      </c>
      <c r="HN52" s="627">
        <v>35000</v>
      </c>
      <c r="HO52" s="627">
        <v>0</v>
      </c>
      <c r="HP52" s="627">
        <v>0</v>
      </c>
      <c r="HQ52" s="627">
        <v>0</v>
      </c>
      <c r="HR52" s="627">
        <v>0</v>
      </c>
      <c r="HS52" s="627">
        <v>0</v>
      </c>
      <c r="HT52" s="627">
        <v>11911258</v>
      </c>
      <c r="HU52" s="627">
        <v>310060</v>
      </c>
      <c r="HV52" s="627">
        <v>0</v>
      </c>
      <c r="HW52" s="627">
        <v>0</v>
      </c>
      <c r="HX52" s="627">
        <v>0</v>
      </c>
      <c r="HY52" s="627">
        <v>222</v>
      </c>
      <c r="HZ52" s="627">
        <v>127</v>
      </c>
      <c r="IA52" s="627">
        <v>52</v>
      </c>
      <c r="IB52" s="627">
        <v>18</v>
      </c>
      <c r="IC52" s="627">
        <v>13</v>
      </c>
      <c r="ID52" s="627">
        <v>432</v>
      </c>
      <c r="IE52" s="627">
        <v>0</v>
      </c>
      <c r="IF52" s="627">
        <v>0</v>
      </c>
      <c r="IG52" s="627">
        <v>0</v>
      </c>
      <c r="IH52" s="627">
        <v>94</v>
      </c>
      <c r="II52" s="627">
        <v>192.38800000000001</v>
      </c>
      <c r="IJ52" s="627">
        <v>0</v>
      </c>
      <c r="IK52" s="627">
        <v>53.822000000000003</v>
      </c>
      <c r="IL52" s="627">
        <v>0</v>
      </c>
      <c r="IM52" s="627">
        <v>4</v>
      </c>
      <c r="IN52" s="627">
        <v>5</v>
      </c>
      <c r="IO52" s="627">
        <v>0</v>
      </c>
      <c r="IP52" s="627">
        <v>9</v>
      </c>
      <c r="IQ52" s="627">
        <v>0</v>
      </c>
      <c r="IR52" s="627">
        <v>53.822000000000003</v>
      </c>
      <c r="IS52" s="627">
        <v>33154</v>
      </c>
      <c r="IT52" s="627">
        <v>0</v>
      </c>
      <c r="IU52" s="627">
        <v>20000</v>
      </c>
      <c r="IV52" s="627">
        <v>15000</v>
      </c>
      <c r="IW52" s="627">
        <v>0</v>
      </c>
      <c r="IX52" s="627">
        <v>6160</v>
      </c>
      <c r="IY52" s="627">
        <v>0</v>
      </c>
      <c r="IZ52" s="627">
        <v>0</v>
      </c>
      <c r="JA52" s="627">
        <v>0</v>
      </c>
      <c r="JB52" s="627">
        <v>0</v>
      </c>
      <c r="JC52" s="627">
        <v>0</v>
      </c>
      <c r="JD52" s="627">
        <v>0</v>
      </c>
      <c r="JE52" s="627">
        <v>0</v>
      </c>
      <c r="JF52" s="627">
        <v>0</v>
      </c>
      <c r="JG52" s="627">
        <v>0</v>
      </c>
      <c r="JH52" s="627">
        <v>0</v>
      </c>
      <c r="JI52" s="627">
        <v>0</v>
      </c>
      <c r="JJ52" s="627">
        <v>0</v>
      </c>
      <c r="JK52" s="627">
        <v>0</v>
      </c>
      <c r="JL52" s="627">
        <v>0</v>
      </c>
      <c r="JM52" s="627">
        <v>0</v>
      </c>
      <c r="JN52" s="627">
        <v>0</v>
      </c>
      <c r="JO52" s="627">
        <v>32469</v>
      </c>
      <c r="JP52" s="627">
        <v>0</v>
      </c>
      <c r="JQ52" s="627">
        <v>6.9960000000000004</v>
      </c>
      <c r="JR52" s="627">
        <v>4.1160000000000005</v>
      </c>
      <c r="JS52" s="627">
        <v>0</v>
      </c>
      <c r="JT52" s="627">
        <v>65030</v>
      </c>
      <c r="JU52" s="627">
        <v>43939</v>
      </c>
      <c r="JV52" s="627">
        <v>0</v>
      </c>
      <c r="JW52" s="627">
        <v>0</v>
      </c>
      <c r="JX52" s="627">
        <v>0</v>
      </c>
      <c r="JY52" s="627">
        <v>0</v>
      </c>
      <c r="JZ52" s="627">
        <v>0</v>
      </c>
      <c r="KA52" s="627">
        <v>0</v>
      </c>
      <c r="KB52" s="627">
        <v>0</v>
      </c>
      <c r="KC52" s="627">
        <v>0</v>
      </c>
      <c r="KD52" s="627">
        <v>0</v>
      </c>
      <c r="KE52" s="627">
        <v>0</v>
      </c>
      <c r="KF52" s="627">
        <v>7262</v>
      </c>
      <c r="KG52" s="627">
        <v>0</v>
      </c>
      <c r="KH52" s="627">
        <v>0</v>
      </c>
      <c r="KI52" s="627">
        <v>14011625</v>
      </c>
      <c r="KJ52" s="627">
        <v>0</v>
      </c>
      <c r="KK52" s="627">
        <v>49</v>
      </c>
      <c r="KL52" s="627">
        <v>45</v>
      </c>
      <c r="KM52" s="627">
        <v>30184</v>
      </c>
      <c r="KN52" s="627">
        <v>27720</v>
      </c>
      <c r="KO52" s="627">
        <v>0</v>
      </c>
      <c r="KP52" s="627">
        <v>0</v>
      </c>
      <c r="KQ52" s="627">
        <v>14011625</v>
      </c>
      <c r="KR52" s="627">
        <v>0</v>
      </c>
      <c r="KS52" s="627">
        <v>0</v>
      </c>
      <c r="KT52" s="627">
        <v>0</v>
      </c>
      <c r="KU52" s="627">
        <v>0</v>
      </c>
      <c r="KV52" s="627">
        <v>0</v>
      </c>
      <c r="KW52" s="627">
        <v>0</v>
      </c>
      <c r="KX52" s="627">
        <v>0</v>
      </c>
      <c r="KY52" s="627">
        <v>0</v>
      </c>
      <c r="KZ52" s="627">
        <v>0</v>
      </c>
      <c r="LA52" s="627">
        <v>0</v>
      </c>
      <c r="LB52" s="627">
        <v>0</v>
      </c>
      <c r="LC52" s="627">
        <v>0</v>
      </c>
      <c r="LD52" s="627">
        <v>0</v>
      </c>
      <c r="LE52" s="627">
        <v>0</v>
      </c>
      <c r="LF52" s="627">
        <v>0</v>
      </c>
    </row>
    <row r="53" spans="1:318" x14ac:dyDescent="0.25">
      <c r="A53" s="627">
        <v>42602</v>
      </c>
      <c r="B53" s="627">
        <v>105803</v>
      </c>
      <c r="D53" s="627">
        <v>9</v>
      </c>
      <c r="E53" s="627">
        <v>2024</v>
      </c>
      <c r="F53" s="627">
        <v>6160</v>
      </c>
      <c r="G53" s="627">
        <v>0</v>
      </c>
      <c r="H53" s="627">
        <v>401.86500000000001</v>
      </c>
      <c r="I53" s="627">
        <v>268.30700000000002</v>
      </c>
      <c r="J53" s="627">
        <v>268.30700000000002</v>
      </c>
      <c r="K53" s="627">
        <v>401.86500000000001</v>
      </c>
      <c r="L53" s="627">
        <v>0</v>
      </c>
      <c r="M53" s="627">
        <v>6160</v>
      </c>
      <c r="N53" s="627">
        <v>0</v>
      </c>
      <c r="O53" s="627">
        <v>0</v>
      </c>
      <c r="P53" s="627">
        <v>0</v>
      </c>
      <c r="Q53" s="627">
        <v>418.012</v>
      </c>
      <c r="R53" s="627">
        <v>0</v>
      </c>
      <c r="S53" s="627">
        <v>173426</v>
      </c>
      <c r="T53" s="627">
        <v>414.88400000000001</v>
      </c>
      <c r="U53" s="627">
        <v>0</v>
      </c>
      <c r="V53" s="627">
        <v>90000</v>
      </c>
      <c r="W53" s="627">
        <v>0.51800000000000002</v>
      </c>
      <c r="X53" s="627">
        <v>319</v>
      </c>
      <c r="Y53" s="627">
        <v>319</v>
      </c>
      <c r="Z53" s="627">
        <v>0</v>
      </c>
      <c r="AA53" s="627">
        <v>0</v>
      </c>
      <c r="AB53" s="627">
        <v>0</v>
      </c>
      <c r="AC53" s="627">
        <v>0</v>
      </c>
      <c r="AD53" s="627">
        <v>0</v>
      </c>
      <c r="AE53" s="627" t="s">
        <v>314</v>
      </c>
      <c r="AF53" s="627">
        <v>0</v>
      </c>
      <c r="AG53" s="627">
        <v>0</v>
      </c>
      <c r="AH53" s="627">
        <v>0</v>
      </c>
      <c r="AI53" s="627">
        <v>0</v>
      </c>
      <c r="AJ53" s="627">
        <v>0</v>
      </c>
      <c r="AK53" s="627">
        <v>6160</v>
      </c>
      <c r="AL53" s="627" t="s">
        <v>651</v>
      </c>
      <c r="AM53" s="627" t="s">
        <v>1094</v>
      </c>
      <c r="AN53" s="627">
        <v>0</v>
      </c>
      <c r="AO53" s="627">
        <v>0</v>
      </c>
      <c r="AP53" s="627">
        <v>0</v>
      </c>
      <c r="AQ53" s="627">
        <v>0</v>
      </c>
      <c r="AR53" s="627">
        <v>0</v>
      </c>
      <c r="AS53" s="627">
        <v>0</v>
      </c>
      <c r="AT53" s="627">
        <v>0</v>
      </c>
      <c r="AU53" s="627">
        <v>0</v>
      </c>
      <c r="AV53" s="627">
        <v>0</v>
      </c>
      <c r="AW53" s="627">
        <v>0</v>
      </c>
      <c r="AX53" s="627">
        <v>6795713</v>
      </c>
      <c r="AY53" s="627">
        <v>6741764</v>
      </c>
      <c r="AZ53" s="627">
        <v>3277756</v>
      </c>
      <c r="BA53" s="627">
        <v>173426</v>
      </c>
      <c r="BB53" s="627">
        <v>0</v>
      </c>
      <c r="BC53" s="627">
        <v>0</v>
      </c>
      <c r="BD53" s="627">
        <v>0</v>
      </c>
      <c r="BE53" s="627">
        <v>0</v>
      </c>
      <c r="BF53" s="627">
        <v>0</v>
      </c>
      <c r="BG53" s="627">
        <v>5845226</v>
      </c>
      <c r="BH53" s="627">
        <v>0</v>
      </c>
      <c r="BI53" s="627">
        <v>0</v>
      </c>
      <c r="BJ53" s="627">
        <v>0</v>
      </c>
      <c r="BK53" s="627">
        <v>12</v>
      </c>
      <c r="BL53" s="627">
        <v>0</v>
      </c>
      <c r="BM53" s="627">
        <v>0</v>
      </c>
      <c r="BN53" s="627">
        <v>0</v>
      </c>
      <c r="BO53" s="627">
        <v>0</v>
      </c>
      <c r="BP53" s="627">
        <v>0</v>
      </c>
      <c r="BQ53" s="627">
        <v>0</v>
      </c>
      <c r="BR53" s="627">
        <v>729</v>
      </c>
      <c r="BS53" s="627">
        <v>0</v>
      </c>
      <c r="BT53" s="627">
        <v>0</v>
      </c>
      <c r="BU53" s="627">
        <v>0</v>
      </c>
      <c r="BV53" s="627">
        <v>0</v>
      </c>
      <c r="BW53" s="627">
        <v>0</v>
      </c>
      <c r="BX53" s="627">
        <v>0</v>
      </c>
      <c r="BY53" s="627">
        <v>0</v>
      </c>
      <c r="BZ53" s="627">
        <v>0</v>
      </c>
      <c r="CA53" s="627">
        <v>0</v>
      </c>
      <c r="CB53" s="627">
        <v>0</v>
      </c>
      <c r="CC53" s="627">
        <v>0</v>
      </c>
      <c r="CD53" s="627">
        <v>0</v>
      </c>
      <c r="CE53" s="627">
        <v>0</v>
      </c>
      <c r="CF53" s="627">
        <v>0</v>
      </c>
      <c r="CG53" s="627">
        <v>0</v>
      </c>
      <c r="CH53" s="627">
        <v>0</v>
      </c>
      <c r="CI53" s="627">
        <v>64270</v>
      </c>
      <c r="CJ53" s="627">
        <v>0</v>
      </c>
      <c r="CK53" s="627">
        <v>4</v>
      </c>
      <c r="CL53" s="627">
        <v>0</v>
      </c>
      <c r="CM53" s="627">
        <v>0</v>
      </c>
      <c r="CN53" s="627">
        <v>0</v>
      </c>
      <c r="CO53" s="627">
        <v>0</v>
      </c>
      <c r="CP53" s="627">
        <v>1</v>
      </c>
      <c r="CQ53" s="627">
        <v>0</v>
      </c>
      <c r="CR53" s="627">
        <v>0</v>
      </c>
      <c r="CS53" s="627">
        <v>418.16</v>
      </c>
      <c r="CT53" s="627">
        <v>0</v>
      </c>
      <c r="CU53" s="627">
        <v>0</v>
      </c>
      <c r="CV53" s="627">
        <v>0</v>
      </c>
      <c r="CW53" s="627">
        <v>0</v>
      </c>
      <c r="CX53" s="627">
        <v>0</v>
      </c>
      <c r="CY53" s="627">
        <v>0</v>
      </c>
      <c r="CZ53" s="627">
        <v>0</v>
      </c>
      <c r="DA53" s="627">
        <v>0</v>
      </c>
      <c r="DB53" s="627">
        <v>0</v>
      </c>
      <c r="DC53" s="627">
        <v>1652771</v>
      </c>
      <c r="DD53" s="627">
        <v>0</v>
      </c>
      <c r="DE53" s="627">
        <v>0</v>
      </c>
      <c r="DF53" s="627">
        <v>647570</v>
      </c>
      <c r="DG53" s="627">
        <v>662354</v>
      </c>
      <c r="DH53" s="627">
        <v>105.125</v>
      </c>
      <c r="DI53" s="627">
        <v>0</v>
      </c>
      <c r="DJ53" s="627">
        <v>0</v>
      </c>
      <c r="DK53" s="627">
        <v>0</v>
      </c>
      <c r="DL53" s="627">
        <v>3281</v>
      </c>
      <c r="DM53" s="627">
        <v>0</v>
      </c>
      <c r="DN53" s="627">
        <v>3028270</v>
      </c>
      <c r="DO53" s="627">
        <v>10321</v>
      </c>
      <c r="DP53" s="627">
        <v>0</v>
      </c>
      <c r="DQ53" s="627">
        <v>0</v>
      </c>
      <c r="DR53" s="627">
        <v>0</v>
      </c>
      <c r="DS53" s="627">
        <v>0</v>
      </c>
      <c r="DT53" s="627">
        <v>0</v>
      </c>
      <c r="DU53" s="627">
        <v>0</v>
      </c>
      <c r="DV53" s="627">
        <v>0</v>
      </c>
      <c r="DW53" s="627">
        <v>0</v>
      </c>
      <c r="DX53" s="627">
        <v>0</v>
      </c>
      <c r="DY53" s="627">
        <v>0</v>
      </c>
      <c r="DZ53" s="627">
        <v>0</v>
      </c>
      <c r="EA53" s="627">
        <v>0</v>
      </c>
      <c r="EB53" s="627">
        <v>0</v>
      </c>
      <c r="EC53" s="627">
        <v>11.68</v>
      </c>
      <c r="ED53" s="627">
        <v>4.5049999999999999</v>
      </c>
      <c r="EE53" s="627">
        <v>31913</v>
      </c>
      <c r="EF53" s="627">
        <v>0</v>
      </c>
      <c r="EG53" s="627">
        <v>0</v>
      </c>
      <c r="EH53" s="627">
        <v>0</v>
      </c>
      <c r="EI53" s="627">
        <v>268755</v>
      </c>
      <c r="EJ53" s="627">
        <v>2737923</v>
      </c>
      <c r="EK53" s="627">
        <v>111.117</v>
      </c>
      <c r="EL53" s="627">
        <v>0.77</v>
      </c>
      <c r="EM53" s="627">
        <v>0</v>
      </c>
      <c r="EN53" s="627">
        <v>0.47300000000000003</v>
      </c>
      <c r="EO53" s="627">
        <v>0.97200000000000009</v>
      </c>
      <c r="EP53" s="627">
        <v>0</v>
      </c>
      <c r="EQ53" s="627">
        <v>0</v>
      </c>
      <c r="ER53" s="627">
        <v>125.012</v>
      </c>
      <c r="ES53" s="627">
        <v>0</v>
      </c>
      <c r="ET53" s="627">
        <v>43.629000000000005</v>
      </c>
      <c r="EU53" s="627">
        <v>0</v>
      </c>
      <c r="EV53" s="627">
        <v>0</v>
      </c>
      <c r="EW53" s="627">
        <v>0</v>
      </c>
      <c r="EX53" s="627">
        <v>0</v>
      </c>
      <c r="EY53" s="627">
        <v>0</v>
      </c>
      <c r="EZ53" s="627">
        <v>0</v>
      </c>
      <c r="FA53" s="627">
        <v>5754303</v>
      </c>
      <c r="FB53" s="627">
        <v>0</v>
      </c>
      <c r="FC53" s="627">
        <v>5917408</v>
      </c>
      <c r="FD53" s="627">
        <v>0</v>
      </c>
      <c r="FE53" s="627">
        <v>0</v>
      </c>
      <c r="FF53" s="627">
        <v>841690</v>
      </c>
      <c r="FG53" s="627">
        <v>145771</v>
      </c>
      <c r="FH53" s="627">
        <v>7.0280999999999996E-2</v>
      </c>
      <c r="FI53" s="627">
        <v>3.1172999999999999E-2</v>
      </c>
      <c r="FJ53" s="627">
        <v>0</v>
      </c>
      <c r="FK53" s="627">
        <v>0</v>
      </c>
      <c r="FL53" s="627">
        <v>948.9</v>
      </c>
      <c r="FM53" s="627">
        <v>6969139</v>
      </c>
      <c r="FN53" s="627">
        <v>0</v>
      </c>
      <c r="FO53" s="627">
        <v>0</v>
      </c>
      <c r="FP53" s="627">
        <v>0</v>
      </c>
      <c r="FQ53" s="627">
        <v>0</v>
      </c>
      <c r="FR53" s="627">
        <v>0</v>
      </c>
      <c r="FS53" s="627">
        <v>0</v>
      </c>
      <c r="FT53" s="627">
        <v>0</v>
      </c>
      <c r="FU53" s="627">
        <v>0</v>
      </c>
      <c r="FV53" s="627">
        <v>0</v>
      </c>
      <c r="FW53" s="627">
        <v>0</v>
      </c>
      <c r="FX53" s="627">
        <v>0</v>
      </c>
      <c r="FY53" s="627">
        <v>0</v>
      </c>
      <c r="FZ53" s="627">
        <v>0</v>
      </c>
      <c r="GA53" s="627">
        <v>0</v>
      </c>
      <c r="GB53" s="627">
        <v>0</v>
      </c>
      <c r="GC53" s="627">
        <v>79932</v>
      </c>
      <c r="GD53" s="627">
        <v>79932</v>
      </c>
      <c r="GE53" s="627">
        <v>8.5460000000000012</v>
      </c>
      <c r="GF53" s="627">
        <v>0</v>
      </c>
      <c r="GG53" s="627">
        <v>0</v>
      </c>
      <c r="GH53" s="627">
        <v>0</v>
      </c>
      <c r="GI53" s="627">
        <v>0</v>
      </c>
      <c r="GJ53" s="627">
        <v>0</v>
      </c>
      <c r="GK53" s="627">
        <v>0</v>
      </c>
      <c r="GL53" s="627">
        <v>0</v>
      </c>
      <c r="GM53" s="627">
        <v>0</v>
      </c>
      <c r="GN53" s="627">
        <v>0</v>
      </c>
      <c r="GO53" s="627">
        <v>0</v>
      </c>
      <c r="GP53" s="627">
        <v>0</v>
      </c>
      <c r="GQ53" s="627">
        <v>0</v>
      </c>
      <c r="GR53" s="627">
        <v>6731443</v>
      </c>
      <c r="GS53" s="627">
        <v>0</v>
      </c>
      <c r="GT53" s="627">
        <v>0</v>
      </c>
      <c r="GU53" s="627">
        <v>0</v>
      </c>
      <c r="GV53" s="627">
        <v>0</v>
      </c>
      <c r="GW53" s="627">
        <v>0</v>
      </c>
      <c r="GX53" s="627">
        <v>0</v>
      </c>
      <c r="GY53" s="627">
        <v>0</v>
      </c>
      <c r="GZ53" s="627">
        <v>0</v>
      </c>
      <c r="HA53" s="627">
        <v>0</v>
      </c>
      <c r="HB53" s="627">
        <v>0</v>
      </c>
      <c r="HC53" s="627">
        <v>361151439</v>
      </c>
      <c r="HD53" s="627">
        <v>3.9981999999999997E-2</v>
      </c>
      <c r="HE53" s="627">
        <v>64270</v>
      </c>
      <c r="HF53" s="627">
        <v>0</v>
      </c>
      <c r="HG53" s="627">
        <v>295674</v>
      </c>
      <c r="HH53" s="627">
        <v>9856</v>
      </c>
      <c r="HI53" s="627">
        <v>11710</v>
      </c>
      <c r="HJ53" s="627">
        <v>0</v>
      </c>
      <c r="HK53" s="627">
        <v>94019</v>
      </c>
      <c r="HL53" s="627">
        <v>2017</v>
      </c>
      <c r="HM53" s="627">
        <v>957</v>
      </c>
      <c r="HN53" s="627">
        <v>0</v>
      </c>
      <c r="HO53" s="627">
        <v>0</v>
      </c>
      <c r="HP53" s="627">
        <v>0</v>
      </c>
      <c r="HQ53" s="627">
        <v>0</v>
      </c>
      <c r="HR53" s="627">
        <v>0</v>
      </c>
      <c r="HS53" s="627">
        <v>0</v>
      </c>
      <c r="HT53" s="627">
        <v>5743982</v>
      </c>
      <c r="HU53" s="627">
        <v>145771</v>
      </c>
      <c r="HV53" s="627">
        <v>0</v>
      </c>
      <c r="HW53" s="627">
        <v>0</v>
      </c>
      <c r="HX53" s="627">
        <v>0</v>
      </c>
      <c r="HY53" s="627">
        <v>28</v>
      </c>
      <c r="HZ53" s="627">
        <v>25</v>
      </c>
      <c r="IA53" s="627">
        <v>14</v>
      </c>
      <c r="IB53" s="627">
        <v>21</v>
      </c>
      <c r="IC53" s="627">
        <v>305</v>
      </c>
      <c r="ID53" s="627">
        <v>393</v>
      </c>
      <c r="IE53" s="627">
        <v>12</v>
      </c>
      <c r="IF53" s="627">
        <v>0</v>
      </c>
      <c r="IG53" s="627">
        <v>0</v>
      </c>
      <c r="IH53" s="627">
        <v>16</v>
      </c>
      <c r="II53" s="627">
        <v>19.009</v>
      </c>
      <c r="IJ53" s="627">
        <v>0</v>
      </c>
      <c r="IK53" s="627">
        <v>0.51800000000000002</v>
      </c>
      <c r="IL53" s="627">
        <v>289.197</v>
      </c>
      <c r="IM53" s="627">
        <v>0</v>
      </c>
      <c r="IN53" s="627">
        <v>0</v>
      </c>
      <c r="IO53" s="627">
        <v>0</v>
      </c>
      <c r="IP53" s="627">
        <v>0</v>
      </c>
      <c r="IQ53" s="627">
        <v>289.197</v>
      </c>
      <c r="IR53" s="627">
        <v>0.51800000000000002</v>
      </c>
      <c r="IS53" s="627">
        <v>319</v>
      </c>
      <c r="IT53" s="627">
        <v>79529</v>
      </c>
      <c r="IU53" s="627">
        <v>0</v>
      </c>
      <c r="IV53" s="627">
        <v>0</v>
      </c>
      <c r="IW53" s="627">
        <v>0</v>
      </c>
      <c r="IX53" s="627">
        <v>6160</v>
      </c>
      <c r="IY53" s="627">
        <v>0</v>
      </c>
      <c r="IZ53" s="627">
        <v>0</v>
      </c>
      <c r="JA53" s="627">
        <v>79529</v>
      </c>
      <c r="JB53" s="627">
        <v>14784</v>
      </c>
      <c r="JC53" s="627">
        <v>0</v>
      </c>
      <c r="JD53" s="627">
        <v>0</v>
      </c>
      <c r="JE53" s="627">
        <v>0</v>
      </c>
      <c r="JF53" s="627">
        <v>0</v>
      </c>
      <c r="JG53" s="627">
        <v>0</v>
      </c>
      <c r="JH53" s="627">
        <v>0</v>
      </c>
      <c r="JI53" s="627">
        <v>0</v>
      </c>
      <c r="JJ53" s="627">
        <v>0</v>
      </c>
      <c r="JK53" s="627">
        <v>0</v>
      </c>
      <c r="JL53" s="627">
        <v>0</v>
      </c>
      <c r="JM53" s="627">
        <v>0</v>
      </c>
      <c r="JN53" s="627">
        <v>0</v>
      </c>
      <c r="JO53" s="627">
        <v>32469</v>
      </c>
      <c r="JP53" s="627">
        <v>0</v>
      </c>
      <c r="JQ53" s="627">
        <v>8.1880000000000006</v>
      </c>
      <c r="JR53" s="627">
        <v>0.35800000000000004</v>
      </c>
      <c r="JS53" s="627">
        <v>0</v>
      </c>
      <c r="JT53" s="627">
        <v>76110</v>
      </c>
      <c r="JU53" s="627">
        <v>3822</v>
      </c>
      <c r="JV53" s="627">
        <v>0</v>
      </c>
      <c r="JW53" s="627">
        <v>0</v>
      </c>
      <c r="JX53" s="627">
        <v>0</v>
      </c>
      <c r="JY53" s="627">
        <v>0</v>
      </c>
      <c r="JZ53" s="627">
        <v>0</v>
      </c>
      <c r="KA53" s="627">
        <v>0</v>
      </c>
      <c r="KB53" s="627">
        <v>0</v>
      </c>
      <c r="KC53" s="627">
        <v>0</v>
      </c>
      <c r="KD53" s="627">
        <v>0</v>
      </c>
      <c r="KE53" s="627">
        <v>0</v>
      </c>
      <c r="KF53" s="627">
        <v>7262</v>
      </c>
      <c r="KG53" s="627">
        <v>0</v>
      </c>
      <c r="KH53" s="627">
        <v>0</v>
      </c>
      <c r="KI53" s="627">
        <v>6731443</v>
      </c>
      <c r="KJ53" s="627">
        <v>0</v>
      </c>
      <c r="KK53" s="627">
        <v>8</v>
      </c>
      <c r="KL53" s="627">
        <v>8</v>
      </c>
      <c r="KM53" s="627">
        <v>4928</v>
      </c>
      <c r="KN53" s="627">
        <v>4928</v>
      </c>
      <c r="KO53" s="627">
        <v>0</v>
      </c>
      <c r="KP53" s="627">
        <v>0</v>
      </c>
      <c r="KQ53" s="627">
        <v>6731443</v>
      </c>
      <c r="KR53" s="627">
        <v>0</v>
      </c>
      <c r="KS53" s="627">
        <v>0</v>
      </c>
      <c r="KT53" s="627">
        <v>0</v>
      </c>
      <c r="KU53" s="627">
        <v>0</v>
      </c>
      <c r="KV53" s="627">
        <v>0</v>
      </c>
      <c r="KW53" s="627">
        <v>0</v>
      </c>
      <c r="KX53" s="627">
        <v>0</v>
      </c>
      <c r="KY53" s="627">
        <v>0</v>
      </c>
      <c r="KZ53" s="627">
        <v>0</v>
      </c>
      <c r="LA53" s="627">
        <v>0</v>
      </c>
      <c r="LB53" s="627">
        <v>0</v>
      </c>
      <c r="LC53" s="627">
        <v>0</v>
      </c>
      <c r="LD53" s="627">
        <v>0</v>
      </c>
      <c r="LE53" s="627">
        <v>0</v>
      </c>
      <c r="LF53" s="627">
        <v>0</v>
      </c>
    </row>
    <row r="54" spans="1:318" x14ac:dyDescent="0.25">
      <c r="A54" s="627">
        <v>42602</v>
      </c>
      <c r="B54" s="627">
        <v>123803</v>
      </c>
      <c r="D54" s="627">
        <v>9</v>
      </c>
      <c r="E54" s="627">
        <v>2024</v>
      </c>
      <c r="F54" s="627">
        <v>6160</v>
      </c>
      <c r="G54" s="627">
        <v>0</v>
      </c>
      <c r="H54" s="627">
        <v>356.53700000000003</v>
      </c>
      <c r="I54" s="627">
        <v>350.791</v>
      </c>
      <c r="J54" s="627">
        <v>350.791</v>
      </c>
      <c r="K54" s="627">
        <v>356.53700000000003</v>
      </c>
      <c r="L54" s="627">
        <v>0</v>
      </c>
      <c r="M54" s="627">
        <v>6160</v>
      </c>
      <c r="N54" s="627">
        <v>0</v>
      </c>
      <c r="O54" s="627">
        <v>0</v>
      </c>
      <c r="P54" s="627">
        <v>0</v>
      </c>
      <c r="Q54" s="627">
        <v>286.935</v>
      </c>
      <c r="R54" s="627">
        <v>0</v>
      </c>
      <c r="S54" s="627">
        <v>119045</v>
      </c>
      <c r="T54" s="627">
        <v>414.88400000000001</v>
      </c>
      <c r="U54" s="627">
        <v>0</v>
      </c>
      <c r="V54" s="627">
        <v>61779</v>
      </c>
      <c r="W54" s="627">
        <v>0</v>
      </c>
      <c r="X54" s="627">
        <v>0</v>
      </c>
      <c r="Y54" s="627">
        <v>0</v>
      </c>
      <c r="Z54" s="627">
        <v>0</v>
      </c>
      <c r="AA54" s="627">
        <v>0</v>
      </c>
      <c r="AB54" s="627">
        <v>0</v>
      </c>
      <c r="AC54" s="627">
        <v>0</v>
      </c>
      <c r="AD54" s="627">
        <v>0</v>
      </c>
      <c r="AE54" s="627" t="s">
        <v>314</v>
      </c>
      <c r="AF54" s="627">
        <v>0</v>
      </c>
      <c r="AG54" s="627">
        <v>0</v>
      </c>
      <c r="AH54" s="627">
        <v>0</v>
      </c>
      <c r="AI54" s="627">
        <v>0</v>
      </c>
      <c r="AJ54" s="627">
        <v>0</v>
      </c>
      <c r="AK54" s="627">
        <v>6160</v>
      </c>
      <c r="AL54" s="627" t="s">
        <v>651</v>
      </c>
      <c r="AM54" s="627" t="s">
        <v>354</v>
      </c>
      <c r="AN54" s="627">
        <v>0</v>
      </c>
      <c r="AO54" s="627">
        <v>0</v>
      </c>
      <c r="AP54" s="627">
        <v>0</v>
      </c>
      <c r="AQ54" s="627">
        <v>0</v>
      </c>
      <c r="AR54" s="627">
        <v>0</v>
      </c>
      <c r="AS54" s="627">
        <v>0</v>
      </c>
      <c r="AT54" s="627">
        <v>0</v>
      </c>
      <c r="AU54" s="627">
        <v>0</v>
      </c>
      <c r="AV54" s="627">
        <v>0</v>
      </c>
      <c r="AW54" s="627">
        <v>-28064</v>
      </c>
      <c r="AX54" s="627">
        <v>3964115</v>
      </c>
      <c r="AY54" s="627">
        <v>3907339</v>
      </c>
      <c r="AZ54" s="627">
        <v>1890997</v>
      </c>
      <c r="BA54" s="627">
        <v>119045</v>
      </c>
      <c r="BB54" s="627">
        <v>34</v>
      </c>
      <c r="BC54" s="627">
        <v>0</v>
      </c>
      <c r="BD54" s="627">
        <v>0</v>
      </c>
      <c r="BE54" s="627">
        <v>0</v>
      </c>
      <c r="BF54" s="627">
        <v>0</v>
      </c>
      <c r="BG54" s="627">
        <v>3427969</v>
      </c>
      <c r="BH54" s="627">
        <v>0</v>
      </c>
      <c r="BI54" s="627">
        <v>0</v>
      </c>
      <c r="BJ54" s="627">
        <v>0</v>
      </c>
      <c r="BK54" s="627">
        <v>12</v>
      </c>
      <c r="BL54" s="627">
        <v>0</v>
      </c>
      <c r="BM54" s="627">
        <v>0</v>
      </c>
      <c r="BN54" s="627">
        <v>0</v>
      </c>
      <c r="BO54" s="627">
        <v>0</v>
      </c>
      <c r="BP54" s="627">
        <v>0</v>
      </c>
      <c r="BQ54" s="627">
        <v>0</v>
      </c>
      <c r="BR54" s="627">
        <v>716</v>
      </c>
      <c r="BS54" s="627">
        <v>0</v>
      </c>
      <c r="BT54" s="627">
        <v>0</v>
      </c>
      <c r="BU54" s="627">
        <v>0</v>
      </c>
      <c r="BV54" s="627">
        <v>0</v>
      </c>
      <c r="BW54" s="627">
        <v>0</v>
      </c>
      <c r="BX54" s="627">
        <v>0</v>
      </c>
      <c r="BY54" s="627">
        <v>0</v>
      </c>
      <c r="BZ54" s="627">
        <v>0</v>
      </c>
      <c r="CA54" s="627">
        <v>0</v>
      </c>
      <c r="CB54" s="627">
        <v>0</v>
      </c>
      <c r="CC54" s="627">
        <v>0</v>
      </c>
      <c r="CD54" s="627">
        <v>0</v>
      </c>
      <c r="CE54" s="627">
        <v>0</v>
      </c>
      <c r="CF54" s="627">
        <v>0</v>
      </c>
      <c r="CG54" s="627">
        <v>0</v>
      </c>
      <c r="CH54" s="627">
        <v>0</v>
      </c>
      <c r="CI54" s="627">
        <v>57020</v>
      </c>
      <c r="CJ54" s="627">
        <v>0</v>
      </c>
      <c r="CK54" s="627">
        <v>4</v>
      </c>
      <c r="CL54" s="627">
        <v>0</v>
      </c>
      <c r="CM54" s="627">
        <v>0</v>
      </c>
      <c r="CN54" s="627">
        <v>0</v>
      </c>
      <c r="CO54" s="627">
        <v>0</v>
      </c>
      <c r="CP54" s="627">
        <v>1</v>
      </c>
      <c r="CQ54" s="627">
        <v>0</v>
      </c>
      <c r="CR54" s="627">
        <v>1.5830000000000002</v>
      </c>
      <c r="CS54" s="627">
        <v>282.44</v>
      </c>
      <c r="CT54" s="627">
        <v>0</v>
      </c>
      <c r="CU54" s="627">
        <v>0</v>
      </c>
      <c r="CV54" s="627">
        <v>0</v>
      </c>
      <c r="CW54" s="627">
        <v>0</v>
      </c>
      <c r="CX54" s="627">
        <v>0</v>
      </c>
      <c r="CY54" s="627">
        <v>0</v>
      </c>
      <c r="CZ54" s="627">
        <v>0</v>
      </c>
      <c r="DA54" s="627">
        <v>0</v>
      </c>
      <c r="DB54" s="627">
        <v>0</v>
      </c>
      <c r="DC54" s="627">
        <v>2160873</v>
      </c>
      <c r="DD54" s="627">
        <v>0</v>
      </c>
      <c r="DE54" s="627">
        <v>0</v>
      </c>
      <c r="DF54" s="627">
        <v>626703</v>
      </c>
      <c r="DG54" s="627">
        <v>626703</v>
      </c>
      <c r="DH54" s="627">
        <v>101.738</v>
      </c>
      <c r="DI54" s="627">
        <v>0</v>
      </c>
      <c r="DJ54" s="627">
        <v>0</v>
      </c>
      <c r="DK54" s="627">
        <v>0</v>
      </c>
      <c r="DL54" s="627">
        <v>3078</v>
      </c>
      <c r="DM54" s="627">
        <v>0</v>
      </c>
      <c r="DN54" s="627">
        <v>71617</v>
      </c>
      <c r="DO54" s="627">
        <v>244</v>
      </c>
      <c r="DP54" s="627">
        <v>0</v>
      </c>
      <c r="DQ54" s="627">
        <v>0</v>
      </c>
      <c r="DR54" s="627">
        <v>0</v>
      </c>
      <c r="DS54" s="627">
        <v>0</v>
      </c>
      <c r="DT54" s="627">
        <v>0</v>
      </c>
      <c r="DU54" s="627">
        <v>0</v>
      </c>
      <c r="DV54" s="627">
        <v>0</v>
      </c>
      <c r="DW54" s="627">
        <v>0</v>
      </c>
      <c r="DX54" s="627">
        <v>0</v>
      </c>
      <c r="DY54" s="627">
        <v>0</v>
      </c>
      <c r="DZ54" s="627">
        <v>0</v>
      </c>
      <c r="EA54" s="627">
        <v>0</v>
      </c>
      <c r="EB54" s="627">
        <v>0</v>
      </c>
      <c r="EC54" s="627">
        <v>0</v>
      </c>
      <c r="ED54" s="627">
        <v>4.9180000000000001</v>
      </c>
      <c r="EE54" s="627">
        <v>34839</v>
      </c>
      <c r="EF54" s="627">
        <v>0</v>
      </c>
      <c r="EG54" s="627">
        <v>0</v>
      </c>
      <c r="EH54" s="627">
        <v>0</v>
      </c>
      <c r="EI54" s="627">
        <v>37022</v>
      </c>
      <c r="EJ54" s="627">
        <v>0</v>
      </c>
      <c r="EK54" s="627">
        <v>0</v>
      </c>
      <c r="EL54" s="627">
        <v>1.4350000000000001</v>
      </c>
      <c r="EM54" s="627">
        <v>0</v>
      </c>
      <c r="EN54" s="627">
        <v>0</v>
      </c>
      <c r="EO54" s="627">
        <v>0.34100000000000003</v>
      </c>
      <c r="EP54" s="627">
        <v>0</v>
      </c>
      <c r="EQ54" s="627">
        <v>0</v>
      </c>
      <c r="ER54" s="627">
        <v>1.776</v>
      </c>
      <c r="ES54" s="627">
        <v>0</v>
      </c>
      <c r="ET54" s="627">
        <v>6.01</v>
      </c>
      <c r="EU54" s="627">
        <v>0</v>
      </c>
      <c r="EV54" s="627">
        <v>0</v>
      </c>
      <c r="EW54" s="627">
        <v>0</v>
      </c>
      <c r="EX54" s="627">
        <v>0</v>
      </c>
      <c r="EY54" s="627">
        <v>0</v>
      </c>
      <c r="EZ54" s="627">
        <v>0</v>
      </c>
      <c r="FA54" s="627">
        <v>3328237</v>
      </c>
      <c r="FB54" s="627">
        <v>0</v>
      </c>
      <c r="FC54" s="627">
        <v>3447038</v>
      </c>
      <c r="FD54" s="627">
        <v>0</v>
      </c>
      <c r="FE54" s="627">
        <v>0</v>
      </c>
      <c r="FF54" s="627">
        <v>493614</v>
      </c>
      <c r="FG54" s="627">
        <v>85488</v>
      </c>
      <c r="FH54" s="627">
        <v>7.0280999999999996E-2</v>
      </c>
      <c r="FI54" s="627">
        <v>3.1172999999999999E-2</v>
      </c>
      <c r="FJ54" s="627">
        <v>0</v>
      </c>
      <c r="FK54" s="627">
        <v>0</v>
      </c>
      <c r="FL54" s="627">
        <v>556.48800000000006</v>
      </c>
      <c r="FM54" s="627">
        <v>4083160</v>
      </c>
      <c r="FN54" s="627">
        <v>0</v>
      </c>
      <c r="FO54" s="627">
        <v>0</v>
      </c>
      <c r="FP54" s="627">
        <v>18104</v>
      </c>
      <c r="FQ54" s="627">
        <v>0</v>
      </c>
      <c r="FR54" s="627">
        <v>18104</v>
      </c>
      <c r="FS54" s="627">
        <v>18104</v>
      </c>
      <c r="FT54" s="627">
        <v>0</v>
      </c>
      <c r="FU54" s="627">
        <v>0</v>
      </c>
      <c r="FV54" s="627">
        <v>0</v>
      </c>
      <c r="FW54" s="627">
        <v>0</v>
      </c>
      <c r="FX54" s="627">
        <v>0</v>
      </c>
      <c r="FY54" s="627">
        <v>0</v>
      </c>
      <c r="FZ54" s="627">
        <v>0</v>
      </c>
      <c r="GA54" s="627">
        <v>0</v>
      </c>
      <c r="GB54" s="627">
        <v>0</v>
      </c>
      <c r="GC54" s="627">
        <v>36903</v>
      </c>
      <c r="GD54" s="627">
        <v>36903</v>
      </c>
      <c r="GE54" s="627">
        <v>3.97</v>
      </c>
      <c r="GF54" s="627">
        <v>0</v>
      </c>
      <c r="GG54" s="627">
        <v>0</v>
      </c>
      <c r="GH54" s="627">
        <v>0</v>
      </c>
      <c r="GI54" s="627">
        <v>0</v>
      </c>
      <c r="GJ54" s="627">
        <v>0</v>
      </c>
      <c r="GK54" s="627">
        <v>0</v>
      </c>
      <c r="GL54" s="627">
        <v>0</v>
      </c>
      <c r="GM54" s="627">
        <v>0</v>
      </c>
      <c r="GN54" s="627">
        <v>0</v>
      </c>
      <c r="GO54" s="627">
        <v>0</v>
      </c>
      <c r="GP54" s="627">
        <v>0</v>
      </c>
      <c r="GQ54" s="627">
        <v>0</v>
      </c>
      <c r="GR54" s="627">
        <v>3907095</v>
      </c>
      <c r="GS54" s="627">
        <v>0</v>
      </c>
      <c r="GT54" s="627">
        <v>0</v>
      </c>
      <c r="GU54" s="627">
        <v>0</v>
      </c>
      <c r="GV54" s="627">
        <v>0</v>
      </c>
      <c r="GW54" s="627">
        <v>0</v>
      </c>
      <c r="GX54" s="627">
        <v>0</v>
      </c>
      <c r="GY54" s="627">
        <v>0</v>
      </c>
      <c r="GZ54" s="627">
        <v>0</v>
      </c>
      <c r="HA54" s="627">
        <v>0</v>
      </c>
      <c r="HB54" s="627">
        <v>0</v>
      </c>
      <c r="HC54" s="627">
        <v>361151439</v>
      </c>
      <c r="HD54" s="627">
        <v>3.9981999999999997E-2</v>
      </c>
      <c r="HE54" s="627">
        <v>57020</v>
      </c>
      <c r="HF54" s="627">
        <v>0</v>
      </c>
      <c r="HG54" s="627">
        <v>386572</v>
      </c>
      <c r="HH54" s="627">
        <v>3080</v>
      </c>
      <c r="HI54" s="627">
        <v>78412</v>
      </c>
      <c r="HJ54" s="627">
        <v>0</v>
      </c>
      <c r="HK54" s="627">
        <v>63565</v>
      </c>
      <c r="HL54" s="627">
        <v>648</v>
      </c>
      <c r="HM54" s="627">
        <v>561</v>
      </c>
      <c r="HN54" s="627">
        <v>0</v>
      </c>
      <c r="HO54" s="627">
        <v>0</v>
      </c>
      <c r="HP54" s="627">
        <v>0</v>
      </c>
      <c r="HQ54" s="627">
        <v>0</v>
      </c>
      <c r="HR54" s="627">
        <v>0</v>
      </c>
      <c r="HS54" s="627">
        <v>0</v>
      </c>
      <c r="HT54" s="627">
        <v>3327993</v>
      </c>
      <c r="HU54" s="627">
        <v>85488</v>
      </c>
      <c r="HV54" s="627">
        <v>0</v>
      </c>
      <c r="HW54" s="627">
        <v>0</v>
      </c>
      <c r="HX54" s="627">
        <v>0</v>
      </c>
      <c r="HY54" s="627">
        <v>22</v>
      </c>
      <c r="HZ54" s="627">
        <v>36</v>
      </c>
      <c r="IA54" s="627">
        <v>94</v>
      </c>
      <c r="IB54" s="627">
        <v>145</v>
      </c>
      <c r="IC54" s="627">
        <v>97</v>
      </c>
      <c r="ID54" s="627">
        <v>394</v>
      </c>
      <c r="IE54" s="627">
        <v>0</v>
      </c>
      <c r="IF54" s="627">
        <v>0</v>
      </c>
      <c r="IG54" s="627">
        <v>0</v>
      </c>
      <c r="IH54" s="627">
        <v>5</v>
      </c>
      <c r="II54" s="627">
        <v>127.29300000000001</v>
      </c>
      <c r="IJ54" s="627">
        <v>0</v>
      </c>
      <c r="IK54" s="627">
        <v>0</v>
      </c>
      <c r="IL54" s="627">
        <v>0</v>
      </c>
      <c r="IM54" s="627">
        <v>0</v>
      </c>
      <c r="IN54" s="627">
        <v>0</v>
      </c>
      <c r="IO54" s="627">
        <v>0</v>
      </c>
      <c r="IP54" s="627">
        <v>0</v>
      </c>
      <c r="IQ54" s="627">
        <v>0</v>
      </c>
      <c r="IR54" s="627">
        <v>0</v>
      </c>
      <c r="IS54" s="627">
        <v>0</v>
      </c>
      <c r="IT54" s="627">
        <v>0</v>
      </c>
      <c r="IU54" s="627">
        <v>0</v>
      </c>
      <c r="IV54" s="627">
        <v>0</v>
      </c>
      <c r="IW54" s="627">
        <v>0</v>
      </c>
      <c r="IX54" s="627">
        <v>6160</v>
      </c>
      <c r="IY54" s="627">
        <v>0</v>
      </c>
      <c r="IZ54" s="627">
        <v>0</v>
      </c>
      <c r="JA54" s="627">
        <v>0</v>
      </c>
      <c r="JB54" s="627">
        <v>0</v>
      </c>
      <c r="JC54" s="627">
        <v>0</v>
      </c>
      <c r="JD54" s="627">
        <v>0</v>
      </c>
      <c r="JE54" s="627">
        <v>0</v>
      </c>
      <c r="JF54" s="627">
        <v>0</v>
      </c>
      <c r="JG54" s="627">
        <v>0</v>
      </c>
      <c r="JH54" s="627">
        <v>0</v>
      </c>
      <c r="JI54" s="627">
        <v>0</v>
      </c>
      <c r="JJ54" s="627">
        <v>0</v>
      </c>
      <c r="JK54" s="627">
        <v>0</v>
      </c>
      <c r="JL54" s="627">
        <v>0</v>
      </c>
      <c r="JM54" s="627">
        <v>0</v>
      </c>
      <c r="JN54" s="627">
        <v>0</v>
      </c>
      <c r="JO54" s="627">
        <v>32469</v>
      </c>
      <c r="JP54" s="627">
        <v>0</v>
      </c>
      <c r="JQ54" s="627">
        <v>3.97</v>
      </c>
      <c r="JR54" s="627">
        <v>0</v>
      </c>
      <c r="JS54" s="627">
        <v>0</v>
      </c>
      <c r="JT54" s="627">
        <v>36903</v>
      </c>
      <c r="JU54" s="627">
        <v>0</v>
      </c>
      <c r="JV54" s="627">
        <v>0</v>
      </c>
      <c r="JW54" s="627">
        <v>0</v>
      </c>
      <c r="JX54" s="627">
        <v>0</v>
      </c>
      <c r="JY54" s="627">
        <v>0</v>
      </c>
      <c r="JZ54" s="627">
        <v>0</v>
      </c>
      <c r="KA54" s="627">
        <v>0</v>
      </c>
      <c r="KB54" s="627">
        <v>0</v>
      </c>
      <c r="KC54" s="627">
        <v>0</v>
      </c>
      <c r="KD54" s="627">
        <v>0</v>
      </c>
      <c r="KE54" s="627">
        <v>0</v>
      </c>
      <c r="KF54" s="627">
        <v>7262</v>
      </c>
      <c r="KG54" s="627">
        <v>0</v>
      </c>
      <c r="KH54" s="627">
        <v>0</v>
      </c>
      <c r="KI54" s="627">
        <v>3907095</v>
      </c>
      <c r="KJ54" s="627">
        <v>0</v>
      </c>
      <c r="KK54" s="627">
        <v>3</v>
      </c>
      <c r="KL54" s="627">
        <v>2</v>
      </c>
      <c r="KM54" s="627">
        <v>1848</v>
      </c>
      <c r="KN54" s="627">
        <v>1232</v>
      </c>
      <c r="KO54" s="627">
        <v>0</v>
      </c>
      <c r="KP54" s="627">
        <v>0</v>
      </c>
      <c r="KQ54" s="627">
        <v>3907095</v>
      </c>
      <c r="KR54" s="627">
        <v>0</v>
      </c>
      <c r="KS54" s="627">
        <v>0</v>
      </c>
      <c r="KT54" s="627">
        <v>0</v>
      </c>
      <c r="KU54" s="627">
        <v>0</v>
      </c>
      <c r="KV54" s="627">
        <v>0</v>
      </c>
      <c r="KW54" s="627">
        <v>0</v>
      </c>
      <c r="KX54" s="627">
        <v>0</v>
      </c>
      <c r="KY54" s="627">
        <v>0</v>
      </c>
      <c r="KZ54" s="627">
        <v>0</v>
      </c>
      <c r="LA54" s="627">
        <v>0</v>
      </c>
      <c r="LB54" s="627">
        <v>0</v>
      </c>
      <c r="LC54" s="627">
        <v>0</v>
      </c>
      <c r="LD54" s="627">
        <v>0</v>
      </c>
      <c r="LE54" s="627">
        <v>0</v>
      </c>
      <c r="LF54" s="627">
        <v>0</v>
      </c>
    </row>
    <row r="55" spans="1:318" x14ac:dyDescent="0.25">
      <c r="A55" s="627">
        <v>42602</v>
      </c>
      <c r="B55" s="627">
        <v>152803</v>
      </c>
      <c r="D55" s="627">
        <v>9</v>
      </c>
      <c r="E55" s="627">
        <v>2024</v>
      </c>
      <c r="F55" s="627">
        <v>6160</v>
      </c>
      <c r="G55" s="627">
        <v>0</v>
      </c>
      <c r="H55" s="627">
        <v>119.102</v>
      </c>
      <c r="I55" s="627">
        <v>112.825</v>
      </c>
      <c r="J55" s="627">
        <v>112.825</v>
      </c>
      <c r="K55" s="627">
        <v>119.102</v>
      </c>
      <c r="L55" s="627">
        <v>0</v>
      </c>
      <c r="M55" s="627">
        <v>6160</v>
      </c>
      <c r="N55" s="627">
        <v>0</v>
      </c>
      <c r="O55" s="627">
        <v>0</v>
      </c>
      <c r="P55" s="627">
        <v>0</v>
      </c>
      <c r="Q55" s="627">
        <v>145.77000000000001</v>
      </c>
      <c r="R55" s="627">
        <v>0</v>
      </c>
      <c r="S55" s="627">
        <v>60478</v>
      </c>
      <c r="T55" s="627">
        <v>414.88400000000001</v>
      </c>
      <c r="U55" s="627">
        <v>0</v>
      </c>
      <c r="V55" s="627">
        <v>31385</v>
      </c>
      <c r="W55" s="627">
        <v>4.9770000000000003</v>
      </c>
      <c r="X55" s="627">
        <v>3066</v>
      </c>
      <c r="Y55" s="627">
        <v>3066</v>
      </c>
      <c r="Z55" s="627">
        <v>0</v>
      </c>
      <c r="AA55" s="627">
        <v>0</v>
      </c>
      <c r="AB55" s="627">
        <v>0</v>
      </c>
      <c r="AC55" s="627">
        <v>0</v>
      </c>
      <c r="AD55" s="627">
        <v>0</v>
      </c>
      <c r="AE55" s="627" t="s">
        <v>314</v>
      </c>
      <c r="AF55" s="627">
        <v>0</v>
      </c>
      <c r="AG55" s="627">
        <v>0</v>
      </c>
      <c r="AH55" s="627">
        <v>0</v>
      </c>
      <c r="AI55" s="627">
        <v>0</v>
      </c>
      <c r="AJ55" s="627">
        <v>0</v>
      </c>
      <c r="AK55" s="627">
        <v>6160</v>
      </c>
      <c r="AL55" s="627" t="s">
        <v>651</v>
      </c>
      <c r="AM55" s="627" t="s">
        <v>466</v>
      </c>
      <c r="AN55" s="627">
        <v>0</v>
      </c>
      <c r="AO55" s="627">
        <v>0</v>
      </c>
      <c r="AP55" s="627">
        <v>0</v>
      </c>
      <c r="AQ55" s="627">
        <v>0</v>
      </c>
      <c r="AR55" s="627">
        <v>0</v>
      </c>
      <c r="AS55" s="627">
        <v>0</v>
      </c>
      <c r="AT55" s="627">
        <v>0</v>
      </c>
      <c r="AU55" s="627">
        <v>0</v>
      </c>
      <c r="AV55" s="627">
        <v>0</v>
      </c>
      <c r="AW55" s="627">
        <v>-35904</v>
      </c>
      <c r="AX55" s="627">
        <v>1413956</v>
      </c>
      <c r="AY55" s="627">
        <v>1395260</v>
      </c>
      <c r="AZ55" s="627">
        <v>749736</v>
      </c>
      <c r="BA55" s="627">
        <v>60478</v>
      </c>
      <c r="BB55" s="627">
        <v>4</v>
      </c>
      <c r="BC55" s="627">
        <v>0</v>
      </c>
      <c r="BD55" s="627">
        <v>0</v>
      </c>
      <c r="BE55" s="627">
        <v>0</v>
      </c>
      <c r="BF55" s="627">
        <v>0</v>
      </c>
      <c r="BG55" s="627">
        <v>1241856</v>
      </c>
      <c r="BH55" s="627">
        <v>0</v>
      </c>
      <c r="BI55" s="627">
        <v>0</v>
      </c>
      <c r="BJ55" s="627">
        <v>0</v>
      </c>
      <c r="BK55" s="627">
        <v>12</v>
      </c>
      <c r="BL55" s="627">
        <v>0</v>
      </c>
      <c r="BM55" s="627">
        <v>0</v>
      </c>
      <c r="BN55" s="627">
        <v>0</v>
      </c>
      <c r="BO55" s="627">
        <v>0</v>
      </c>
      <c r="BP55" s="627">
        <v>0</v>
      </c>
      <c r="BQ55" s="627">
        <v>0</v>
      </c>
      <c r="BR55" s="627">
        <v>753</v>
      </c>
      <c r="BS55" s="627">
        <v>0</v>
      </c>
      <c r="BT55" s="627">
        <v>0</v>
      </c>
      <c r="BU55" s="627">
        <v>0</v>
      </c>
      <c r="BV55" s="627">
        <v>0</v>
      </c>
      <c r="BW55" s="627">
        <v>0</v>
      </c>
      <c r="BX55" s="627">
        <v>0</v>
      </c>
      <c r="BY55" s="627">
        <v>0</v>
      </c>
      <c r="BZ55" s="627">
        <v>0</v>
      </c>
      <c r="CA55" s="627">
        <v>0</v>
      </c>
      <c r="CB55" s="627">
        <v>0</v>
      </c>
      <c r="CC55" s="627">
        <v>0</v>
      </c>
      <c r="CD55" s="627">
        <v>0</v>
      </c>
      <c r="CE55" s="627">
        <v>0</v>
      </c>
      <c r="CF55" s="627">
        <v>0</v>
      </c>
      <c r="CG55" s="627">
        <v>0</v>
      </c>
      <c r="CH55" s="627">
        <v>0</v>
      </c>
      <c r="CI55" s="627">
        <v>19048</v>
      </c>
      <c r="CJ55" s="627">
        <v>0</v>
      </c>
      <c r="CK55" s="627">
        <v>4</v>
      </c>
      <c r="CL55" s="627">
        <v>0</v>
      </c>
      <c r="CM55" s="627">
        <v>0</v>
      </c>
      <c r="CN55" s="627">
        <v>0</v>
      </c>
      <c r="CO55" s="627">
        <v>0</v>
      </c>
      <c r="CP55" s="627">
        <v>1</v>
      </c>
      <c r="CQ55" s="627">
        <v>0.86299999999999999</v>
      </c>
      <c r="CR55" s="627">
        <v>12</v>
      </c>
      <c r="CS55" s="627">
        <v>141.81</v>
      </c>
      <c r="CT55" s="627">
        <v>0</v>
      </c>
      <c r="CU55" s="627">
        <v>0</v>
      </c>
      <c r="CV55" s="627">
        <v>0</v>
      </c>
      <c r="CW55" s="627">
        <v>0</v>
      </c>
      <c r="CX55" s="627">
        <v>0</v>
      </c>
      <c r="CY55" s="627">
        <v>0</v>
      </c>
      <c r="CZ55" s="627">
        <v>0</v>
      </c>
      <c r="DA55" s="627">
        <v>0</v>
      </c>
      <c r="DB55" s="627">
        <v>0</v>
      </c>
      <c r="DC55" s="627">
        <v>623285</v>
      </c>
      <c r="DD55" s="627">
        <v>0</v>
      </c>
      <c r="DE55" s="627">
        <v>0</v>
      </c>
      <c r="DF55" s="627">
        <v>229999</v>
      </c>
      <c r="DG55" s="627">
        <v>242811</v>
      </c>
      <c r="DH55" s="627">
        <v>37.338000000000001</v>
      </c>
      <c r="DI55" s="627">
        <v>0</v>
      </c>
      <c r="DJ55" s="627">
        <v>12812</v>
      </c>
      <c r="DK55" s="627">
        <v>0</v>
      </c>
      <c r="DL55" s="627">
        <v>3664</v>
      </c>
      <c r="DM55" s="627">
        <v>0</v>
      </c>
      <c r="DN55" s="627">
        <v>175096</v>
      </c>
      <c r="DO55" s="627">
        <v>352</v>
      </c>
      <c r="DP55" s="627">
        <v>0</v>
      </c>
      <c r="DQ55" s="627">
        <v>0</v>
      </c>
      <c r="DR55" s="627">
        <v>0</v>
      </c>
      <c r="DS55" s="627">
        <v>0</v>
      </c>
      <c r="DT55" s="627">
        <v>0</v>
      </c>
      <c r="DU55" s="627">
        <v>0</v>
      </c>
      <c r="DV55" s="627">
        <v>0</v>
      </c>
      <c r="DW55" s="627">
        <v>0</v>
      </c>
      <c r="DX55" s="627">
        <v>0</v>
      </c>
      <c r="DY55" s="627">
        <v>0</v>
      </c>
      <c r="DZ55" s="627">
        <v>0</v>
      </c>
      <c r="EA55" s="627">
        <v>0</v>
      </c>
      <c r="EB55" s="627">
        <v>0</v>
      </c>
      <c r="EC55" s="627">
        <v>0</v>
      </c>
      <c r="ED55" s="627">
        <v>11.763</v>
      </c>
      <c r="EE55" s="627">
        <v>83329</v>
      </c>
      <c r="EF55" s="627">
        <v>0</v>
      </c>
      <c r="EG55" s="627">
        <v>0</v>
      </c>
      <c r="EH55" s="627">
        <v>0</v>
      </c>
      <c r="EI55" s="627">
        <v>20402</v>
      </c>
      <c r="EJ55" s="627">
        <v>0</v>
      </c>
      <c r="EK55" s="627">
        <v>0</v>
      </c>
      <c r="EL55" s="627">
        <v>1.1040000000000001</v>
      </c>
      <c r="EM55" s="627">
        <v>0</v>
      </c>
      <c r="EN55" s="627">
        <v>0</v>
      </c>
      <c r="EO55" s="627">
        <v>0</v>
      </c>
      <c r="EP55" s="627">
        <v>0</v>
      </c>
      <c r="EQ55" s="627">
        <v>0</v>
      </c>
      <c r="ER55" s="627">
        <v>1.1040000000000001</v>
      </c>
      <c r="ES55" s="627">
        <v>0</v>
      </c>
      <c r="ET55" s="627">
        <v>3.3120000000000003</v>
      </c>
      <c r="EU55" s="627">
        <v>0</v>
      </c>
      <c r="EV55" s="627">
        <v>0</v>
      </c>
      <c r="EW55" s="627">
        <v>0</v>
      </c>
      <c r="EX55" s="627">
        <v>0</v>
      </c>
      <c r="EY55" s="627">
        <v>0</v>
      </c>
      <c r="EZ55" s="627">
        <v>0</v>
      </c>
      <c r="FA55" s="627">
        <v>1185467</v>
      </c>
      <c r="FB55" s="627">
        <v>0</v>
      </c>
      <c r="FC55" s="627">
        <v>1245593</v>
      </c>
      <c r="FD55" s="627">
        <v>0</v>
      </c>
      <c r="FE55" s="627">
        <v>0</v>
      </c>
      <c r="FF55" s="627">
        <v>178823</v>
      </c>
      <c r="FG55" s="627">
        <v>30970</v>
      </c>
      <c r="FH55" s="627">
        <v>7.0280999999999996E-2</v>
      </c>
      <c r="FI55" s="627">
        <v>3.1172999999999999E-2</v>
      </c>
      <c r="FJ55" s="627">
        <v>0</v>
      </c>
      <c r="FK55" s="627">
        <v>0</v>
      </c>
      <c r="FL55" s="627">
        <v>201.6</v>
      </c>
      <c r="FM55" s="627">
        <v>1474434</v>
      </c>
      <c r="FN55" s="627">
        <v>0</v>
      </c>
      <c r="FO55" s="627">
        <v>0</v>
      </c>
      <c r="FP55" s="627">
        <v>0</v>
      </c>
      <c r="FQ55" s="627">
        <v>0</v>
      </c>
      <c r="FR55" s="627">
        <v>0</v>
      </c>
      <c r="FS55" s="627">
        <v>0</v>
      </c>
      <c r="FT55" s="627">
        <v>0</v>
      </c>
      <c r="FU55" s="627">
        <v>0</v>
      </c>
      <c r="FV55" s="627">
        <v>0</v>
      </c>
      <c r="FW55" s="627">
        <v>0</v>
      </c>
      <c r="FX55" s="627">
        <v>0</v>
      </c>
      <c r="FY55" s="627">
        <v>0</v>
      </c>
      <c r="FZ55" s="627">
        <v>0</v>
      </c>
      <c r="GA55" s="627">
        <v>0</v>
      </c>
      <c r="GB55" s="627">
        <v>0</v>
      </c>
      <c r="GC55" s="627">
        <v>51794</v>
      </c>
      <c r="GD55" s="627">
        <v>51794</v>
      </c>
      <c r="GE55" s="627">
        <v>5.173</v>
      </c>
      <c r="GF55" s="627">
        <v>0</v>
      </c>
      <c r="GG55" s="627">
        <v>0</v>
      </c>
      <c r="GH55" s="627">
        <v>0</v>
      </c>
      <c r="GI55" s="627">
        <v>0</v>
      </c>
      <c r="GJ55" s="627">
        <v>0</v>
      </c>
      <c r="GK55" s="627">
        <v>0</v>
      </c>
      <c r="GL55" s="627">
        <v>0</v>
      </c>
      <c r="GM55" s="627">
        <v>0</v>
      </c>
      <c r="GN55" s="627">
        <v>0</v>
      </c>
      <c r="GO55" s="627">
        <v>0</v>
      </c>
      <c r="GP55" s="627">
        <v>0</v>
      </c>
      <c r="GQ55" s="627">
        <v>0</v>
      </c>
      <c r="GR55" s="627">
        <v>1394908</v>
      </c>
      <c r="GS55" s="627">
        <v>0</v>
      </c>
      <c r="GT55" s="627">
        <v>0</v>
      </c>
      <c r="GU55" s="627">
        <v>0</v>
      </c>
      <c r="GV55" s="627">
        <v>0</v>
      </c>
      <c r="GW55" s="627">
        <v>0</v>
      </c>
      <c r="GX55" s="627">
        <v>0</v>
      </c>
      <c r="GY55" s="627">
        <v>0</v>
      </c>
      <c r="GZ55" s="627">
        <v>0</v>
      </c>
      <c r="HA55" s="627">
        <v>0</v>
      </c>
      <c r="HB55" s="627">
        <v>0</v>
      </c>
      <c r="HC55" s="627">
        <v>361151439</v>
      </c>
      <c r="HD55" s="627">
        <v>3.9981999999999997E-2</v>
      </c>
      <c r="HE55" s="627">
        <v>19048</v>
      </c>
      <c r="HF55" s="627">
        <v>0</v>
      </c>
      <c r="HG55" s="627">
        <v>124333</v>
      </c>
      <c r="HH55" s="627">
        <v>4928</v>
      </c>
      <c r="HI55" s="627">
        <v>0</v>
      </c>
      <c r="HJ55" s="627">
        <v>0</v>
      </c>
      <c r="HK55" s="627">
        <v>16191</v>
      </c>
      <c r="HL55" s="627">
        <v>2470</v>
      </c>
      <c r="HM55" s="627">
        <v>1619</v>
      </c>
      <c r="HN55" s="627">
        <v>0</v>
      </c>
      <c r="HO55" s="627">
        <v>0</v>
      </c>
      <c r="HP55" s="627">
        <v>0</v>
      </c>
      <c r="HQ55" s="627">
        <v>0</v>
      </c>
      <c r="HR55" s="627">
        <v>0</v>
      </c>
      <c r="HS55" s="627">
        <v>0</v>
      </c>
      <c r="HT55" s="627">
        <v>1185115</v>
      </c>
      <c r="HU55" s="627">
        <v>30970</v>
      </c>
      <c r="HV55" s="627">
        <v>0</v>
      </c>
      <c r="HW55" s="627">
        <v>0</v>
      </c>
      <c r="HX55" s="627">
        <v>0</v>
      </c>
      <c r="HY55" s="627">
        <v>7</v>
      </c>
      <c r="HZ55" s="627">
        <v>15</v>
      </c>
      <c r="IA55" s="627">
        <v>28</v>
      </c>
      <c r="IB55" s="627">
        <v>30</v>
      </c>
      <c r="IC55" s="627">
        <v>63</v>
      </c>
      <c r="ID55" s="627">
        <v>143</v>
      </c>
      <c r="IE55" s="627">
        <v>0</v>
      </c>
      <c r="IF55" s="627">
        <v>0</v>
      </c>
      <c r="IG55" s="627">
        <v>0</v>
      </c>
      <c r="IH55" s="627">
        <v>8</v>
      </c>
      <c r="II55" s="627">
        <v>0</v>
      </c>
      <c r="IJ55" s="627">
        <v>0</v>
      </c>
      <c r="IK55" s="627">
        <v>4.9770000000000003</v>
      </c>
      <c r="IL55" s="627">
        <v>0</v>
      </c>
      <c r="IM55" s="627">
        <v>0</v>
      </c>
      <c r="IN55" s="627">
        <v>0</v>
      </c>
      <c r="IO55" s="627">
        <v>0</v>
      </c>
      <c r="IP55" s="627">
        <v>0</v>
      </c>
      <c r="IQ55" s="627">
        <v>0</v>
      </c>
      <c r="IR55" s="627">
        <v>4.9770000000000003</v>
      </c>
      <c r="IS55" s="627">
        <v>3066</v>
      </c>
      <c r="IT55" s="627">
        <v>0</v>
      </c>
      <c r="IU55" s="627">
        <v>0</v>
      </c>
      <c r="IV55" s="627">
        <v>0</v>
      </c>
      <c r="IW55" s="627">
        <v>0</v>
      </c>
      <c r="IX55" s="627">
        <v>6160</v>
      </c>
      <c r="IY55" s="627">
        <v>0</v>
      </c>
      <c r="IZ55" s="627">
        <v>0</v>
      </c>
      <c r="JA55" s="627">
        <v>0</v>
      </c>
      <c r="JB55" s="627">
        <v>0</v>
      </c>
      <c r="JC55" s="627">
        <v>0</v>
      </c>
      <c r="JD55" s="627">
        <v>0</v>
      </c>
      <c r="JE55" s="627">
        <v>0</v>
      </c>
      <c r="JF55" s="627">
        <v>0</v>
      </c>
      <c r="JG55" s="627">
        <v>0</v>
      </c>
      <c r="JH55" s="627">
        <v>0</v>
      </c>
      <c r="JI55" s="627">
        <v>0</v>
      </c>
      <c r="JJ55" s="627">
        <v>0</v>
      </c>
      <c r="JK55" s="627">
        <v>0</v>
      </c>
      <c r="JL55" s="627">
        <v>0</v>
      </c>
      <c r="JM55" s="627">
        <v>0</v>
      </c>
      <c r="JN55" s="627">
        <v>0</v>
      </c>
      <c r="JO55" s="627">
        <v>40471</v>
      </c>
      <c r="JP55" s="627">
        <v>0</v>
      </c>
      <c r="JQ55" s="627">
        <v>2.4850000000000003</v>
      </c>
      <c r="JR55" s="627">
        <v>2.6880000000000002</v>
      </c>
      <c r="JS55" s="627">
        <v>0</v>
      </c>
      <c r="JT55" s="627">
        <v>23099</v>
      </c>
      <c r="JU55" s="627">
        <v>28695</v>
      </c>
      <c r="JV55" s="627">
        <v>0</v>
      </c>
      <c r="JW55" s="627">
        <v>0</v>
      </c>
      <c r="JX55" s="627">
        <v>0</v>
      </c>
      <c r="JY55" s="627">
        <v>0</v>
      </c>
      <c r="JZ55" s="627">
        <v>0</v>
      </c>
      <c r="KA55" s="627">
        <v>0</v>
      </c>
      <c r="KB55" s="627">
        <v>0</v>
      </c>
      <c r="KC55" s="627">
        <v>0</v>
      </c>
      <c r="KD55" s="627">
        <v>0</v>
      </c>
      <c r="KE55" s="627">
        <v>0</v>
      </c>
      <c r="KF55" s="627">
        <v>7262</v>
      </c>
      <c r="KG55" s="627">
        <v>0</v>
      </c>
      <c r="KH55" s="627">
        <v>0</v>
      </c>
      <c r="KI55" s="627">
        <v>1394908</v>
      </c>
      <c r="KJ55" s="627">
        <v>0</v>
      </c>
      <c r="KK55" s="627">
        <v>4</v>
      </c>
      <c r="KL55" s="627">
        <v>4</v>
      </c>
      <c r="KM55" s="627">
        <v>2464</v>
      </c>
      <c r="KN55" s="627">
        <v>2464</v>
      </c>
      <c r="KO55" s="627">
        <v>0</v>
      </c>
      <c r="KP55" s="627">
        <v>0</v>
      </c>
      <c r="KQ55" s="627">
        <v>1394908</v>
      </c>
      <c r="KR55" s="627">
        <v>0</v>
      </c>
      <c r="KS55" s="627">
        <v>0</v>
      </c>
      <c r="KT55" s="627">
        <v>0</v>
      </c>
      <c r="KU55" s="627">
        <v>0</v>
      </c>
      <c r="KV55" s="627">
        <v>0</v>
      </c>
      <c r="KW55" s="627">
        <v>0</v>
      </c>
      <c r="KX55" s="627">
        <v>0</v>
      </c>
      <c r="KY55" s="627">
        <v>0</v>
      </c>
      <c r="KZ55" s="627">
        <v>0</v>
      </c>
      <c r="LA55" s="627">
        <v>0</v>
      </c>
      <c r="LB55" s="627">
        <v>0</v>
      </c>
      <c r="LC55" s="627">
        <v>0</v>
      </c>
      <c r="LD55" s="627">
        <v>0</v>
      </c>
      <c r="LE55" s="627">
        <v>0</v>
      </c>
      <c r="LF55" s="627">
        <v>0</v>
      </c>
    </row>
    <row r="56" spans="1:318" x14ac:dyDescent="0.25">
      <c r="A56" s="627">
        <v>42602</v>
      </c>
      <c r="B56" s="627">
        <v>227803</v>
      </c>
      <c r="D56" s="627">
        <v>9</v>
      </c>
      <c r="E56" s="627">
        <v>2024</v>
      </c>
      <c r="F56" s="627">
        <v>6160</v>
      </c>
      <c r="G56" s="627">
        <v>0</v>
      </c>
      <c r="H56" s="627">
        <v>1489.07</v>
      </c>
      <c r="I56" s="627">
        <v>1370.5260000000001</v>
      </c>
      <c r="J56" s="627">
        <v>1370.5260000000001</v>
      </c>
      <c r="K56" s="627">
        <v>1489.07</v>
      </c>
      <c r="L56" s="627">
        <v>0</v>
      </c>
      <c r="M56" s="627">
        <v>6160</v>
      </c>
      <c r="N56" s="627">
        <v>0</v>
      </c>
      <c r="O56" s="627">
        <v>0</v>
      </c>
      <c r="P56" s="627">
        <v>0</v>
      </c>
      <c r="Q56" s="627">
        <v>1448.9750000000001</v>
      </c>
      <c r="R56" s="627">
        <v>0</v>
      </c>
      <c r="S56" s="627">
        <v>601157</v>
      </c>
      <c r="T56" s="627">
        <v>414.88400000000001</v>
      </c>
      <c r="U56" s="627">
        <v>0</v>
      </c>
      <c r="V56" s="627">
        <v>311976</v>
      </c>
      <c r="W56" s="627">
        <v>701.71699999999998</v>
      </c>
      <c r="X56" s="627">
        <v>432258</v>
      </c>
      <c r="Y56" s="627">
        <v>432258</v>
      </c>
      <c r="Z56" s="627">
        <v>0</v>
      </c>
      <c r="AA56" s="627">
        <v>0</v>
      </c>
      <c r="AB56" s="627">
        <v>0</v>
      </c>
      <c r="AC56" s="627">
        <v>0</v>
      </c>
      <c r="AD56" s="627">
        <v>0</v>
      </c>
      <c r="AE56" s="627" t="s">
        <v>314</v>
      </c>
      <c r="AF56" s="627">
        <v>0</v>
      </c>
      <c r="AG56" s="627">
        <v>0</v>
      </c>
      <c r="AH56" s="627">
        <v>0</v>
      </c>
      <c r="AI56" s="627">
        <v>0</v>
      </c>
      <c r="AJ56" s="627">
        <v>0</v>
      </c>
      <c r="AK56" s="627">
        <v>6160</v>
      </c>
      <c r="AL56" s="627" t="s">
        <v>651</v>
      </c>
      <c r="AM56" s="627" t="s">
        <v>364</v>
      </c>
      <c r="AN56" s="627">
        <v>0</v>
      </c>
      <c r="AO56" s="627">
        <v>0</v>
      </c>
      <c r="AP56" s="627">
        <v>0</v>
      </c>
      <c r="AQ56" s="627">
        <v>0</v>
      </c>
      <c r="AR56" s="627">
        <v>0</v>
      </c>
      <c r="AS56" s="627">
        <v>0</v>
      </c>
      <c r="AT56" s="627">
        <v>0</v>
      </c>
      <c r="AU56" s="627">
        <v>0</v>
      </c>
      <c r="AV56" s="627">
        <v>0</v>
      </c>
      <c r="AW56" s="627">
        <v>0</v>
      </c>
      <c r="AX56" s="627">
        <v>17605309</v>
      </c>
      <c r="AY56" s="627">
        <v>17373979</v>
      </c>
      <c r="AZ56" s="627">
        <v>8679891</v>
      </c>
      <c r="BA56" s="627">
        <v>601157</v>
      </c>
      <c r="BB56" s="627">
        <v>71.832999999999998</v>
      </c>
      <c r="BC56" s="627">
        <v>0</v>
      </c>
      <c r="BD56" s="627">
        <v>0</v>
      </c>
      <c r="BE56" s="627">
        <v>0</v>
      </c>
      <c r="BF56" s="627">
        <v>0</v>
      </c>
      <c r="BG56" s="627">
        <v>15373578</v>
      </c>
      <c r="BH56" s="627">
        <v>0</v>
      </c>
      <c r="BI56" s="627">
        <v>0</v>
      </c>
      <c r="BJ56" s="627">
        <v>0</v>
      </c>
      <c r="BK56" s="627">
        <v>12</v>
      </c>
      <c r="BL56" s="627">
        <v>0</v>
      </c>
      <c r="BM56" s="627">
        <v>0</v>
      </c>
      <c r="BN56" s="627">
        <v>0</v>
      </c>
      <c r="BO56" s="627">
        <v>0</v>
      </c>
      <c r="BP56" s="627">
        <v>0</v>
      </c>
      <c r="BQ56" s="627">
        <v>0</v>
      </c>
      <c r="BR56" s="627">
        <v>559</v>
      </c>
      <c r="BS56" s="627">
        <v>0</v>
      </c>
      <c r="BT56" s="627">
        <v>0</v>
      </c>
      <c r="BU56" s="627">
        <v>0</v>
      </c>
      <c r="BV56" s="627">
        <v>0</v>
      </c>
      <c r="BW56" s="627">
        <v>0</v>
      </c>
      <c r="BX56" s="627">
        <v>0</v>
      </c>
      <c r="BY56" s="627">
        <v>0</v>
      </c>
      <c r="BZ56" s="627">
        <v>0</v>
      </c>
      <c r="CA56" s="627">
        <v>0</v>
      </c>
      <c r="CB56" s="627">
        <v>0</v>
      </c>
      <c r="CC56" s="627">
        <v>0</v>
      </c>
      <c r="CD56" s="627">
        <v>0</v>
      </c>
      <c r="CE56" s="627">
        <v>0</v>
      </c>
      <c r="CF56" s="627">
        <v>0</v>
      </c>
      <c r="CG56" s="627">
        <v>0</v>
      </c>
      <c r="CH56" s="627">
        <v>0</v>
      </c>
      <c r="CI56" s="627">
        <v>238145</v>
      </c>
      <c r="CJ56" s="627">
        <v>0</v>
      </c>
      <c r="CK56" s="627">
        <v>4</v>
      </c>
      <c r="CL56" s="627">
        <v>0</v>
      </c>
      <c r="CM56" s="627">
        <v>0</v>
      </c>
      <c r="CN56" s="627">
        <v>0</v>
      </c>
      <c r="CO56" s="627">
        <v>0</v>
      </c>
      <c r="CP56" s="627">
        <v>1</v>
      </c>
      <c r="CQ56" s="627">
        <v>0</v>
      </c>
      <c r="CR56" s="627">
        <v>2</v>
      </c>
      <c r="CS56" s="627">
        <v>1444.59</v>
      </c>
      <c r="CT56" s="627">
        <v>0</v>
      </c>
      <c r="CU56" s="627">
        <v>0</v>
      </c>
      <c r="CV56" s="627">
        <v>0</v>
      </c>
      <c r="CW56" s="627">
        <v>0</v>
      </c>
      <c r="CX56" s="627">
        <v>0</v>
      </c>
      <c r="CY56" s="627">
        <v>0</v>
      </c>
      <c r="CZ56" s="627">
        <v>0</v>
      </c>
      <c r="DA56" s="627">
        <v>0</v>
      </c>
      <c r="DB56" s="627">
        <v>0</v>
      </c>
      <c r="DC56" s="627">
        <v>8442440</v>
      </c>
      <c r="DD56" s="627">
        <v>0</v>
      </c>
      <c r="DE56" s="627">
        <v>0</v>
      </c>
      <c r="DF56" s="627">
        <v>2258949</v>
      </c>
      <c r="DG56" s="627">
        <v>2258949</v>
      </c>
      <c r="DH56" s="627">
        <v>366.71300000000002</v>
      </c>
      <c r="DI56" s="627">
        <v>0</v>
      </c>
      <c r="DJ56" s="627">
        <v>0</v>
      </c>
      <c r="DK56" s="627">
        <v>0</v>
      </c>
      <c r="DL56" s="627">
        <v>565</v>
      </c>
      <c r="DM56" s="627">
        <v>0</v>
      </c>
      <c r="DN56" s="627">
        <v>1999406</v>
      </c>
      <c r="DO56" s="627">
        <v>6815</v>
      </c>
      <c r="DP56" s="627">
        <v>0</v>
      </c>
      <c r="DQ56" s="627">
        <v>0</v>
      </c>
      <c r="DR56" s="627">
        <v>0</v>
      </c>
      <c r="DS56" s="627">
        <v>0</v>
      </c>
      <c r="DT56" s="627">
        <v>0</v>
      </c>
      <c r="DU56" s="627">
        <v>0</v>
      </c>
      <c r="DV56" s="627">
        <v>0</v>
      </c>
      <c r="DW56" s="627">
        <v>0</v>
      </c>
      <c r="DX56" s="627">
        <v>0</v>
      </c>
      <c r="DY56" s="627">
        <v>0</v>
      </c>
      <c r="DZ56" s="627">
        <v>0</v>
      </c>
      <c r="EA56" s="627">
        <v>0</v>
      </c>
      <c r="EB56" s="627">
        <v>0</v>
      </c>
      <c r="EC56" s="627">
        <v>0</v>
      </c>
      <c r="ED56" s="627">
        <v>42.114000000000004</v>
      </c>
      <c r="EE56" s="627">
        <v>298336</v>
      </c>
      <c r="EF56" s="627">
        <v>0</v>
      </c>
      <c r="EG56" s="627">
        <v>0</v>
      </c>
      <c r="EH56" s="627">
        <v>0</v>
      </c>
      <c r="EI56" s="627">
        <v>1707885</v>
      </c>
      <c r="EJ56" s="627">
        <v>0</v>
      </c>
      <c r="EK56" s="627">
        <v>0</v>
      </c>
      <c r="EL56" s="627">
        <v>80.69</v>
      </c>
      <c r="EM56" s="627">
        <v>0</v>
      </c>
      <c r="EN56" s="627">
        <v>5.7030000000000003</v>
      </c>
      <c r="EO56" s="627">
        <v>3.6150000000000002</v>
      </c>
      <c r="EP56" s="627">
        <v>0</v>
      </c>
      <c r="EQ56" s="627">
        <v>0</v>
      </c>
      <c r="ER56" s="627">
        <v>90.00800000000001</v>
      </c>
      <c r="ES56" s="627">
        <v>0</v>
      </c>
      <c r="ET56" s="627">
        <v>277.25400000000002</v>
      </c>
      <c r="EU56" s="627">
        <v>0</v>
      </c>
      <c r="EV56" s="627">
        <v>0</v>
      </c>
      <c r="EW56" s="627">
        <v>0</v>
      </c>
      <c r="EX56" s="627">
        <v>0</v>
      </c>
      <c r="EY56" s="627">
        <v>0</v>
      </c>
      <c r="EZ56" s="627">
        <v>0</v>
      </c>
      <c r="FA56" s="627">
        <v>14776850</v>
      </c>
      <c r="FB56" s="627">
        <v>0</v>
      </c>
      <c r="FC56" s="627">
        <v>15371192</v>
      </c>
      <c r="FD56" s="627">
        <v>0</v>
      </c>
      <c r="FE56" s="627">
        <v>0</v>
      </c>
      <c r="FF56" s="627">
        <v>2213737</v>
      </c>
      <c r="FG56" s="627">
        <v>383392</v>
      </c>
      <c r="FH56" s="627">
        <v>7.0280999999999996E-2</v>
      </c>
      <c r="FI56" s="627">
        <v>3.1172999999999999E-2</v>
      </c>
      <c r="FJ56" s="627">
        <v>0</v>
      </c>
      <c r="FK56" s="627">
        <v>0</v>
      </c>
      <c r="FL56" s="627">
        <v>2495.7110000000002</v>
      </c>
      <c r="FM56" s="627">
        <v>18206466</v>
      </c>
      <c r="FN56" s="627">
        <v>0</v>
      </c>
      <c r="FO56" s="627">
        <v>0</v>
      </c>
      <c r="FP56" s="627">
        <v>0</v>
      </c>
      <c r="FQ56" s="627">
        <v>0</v>
      </c>
      <c r="FR56" s="627">
        <v>0</v>
      </c>
      <c r="FS56" s="627">
        <v>0</v>
      </c>
      <c r="FT56" s="627">
        <v>0</v>
      </c>
      <c r="FU56" s="627">
        <v>0</v>
      </c>
      <c r="FV56" s="627">
        <v>0</v>
      </c>
      <c r="FW56" s="627">
        <v>0</v>
      </c>
      <c r="FX56" s="627">
        <v>0</v>
      </c>
      <c r="FY56" s="627">
        <v>0</v>
      </c>
      <c r="FZ56" s="627">
        <v>0</v>
      </c>
      <c r="GA56" s="627">
        <v>0</v>
      </c>
      <c r="GB56" s="627">
        <v>0</v>
      </c>
      <c r="GC56" s="627">
        <v>272507</v>
      </c>
      <c r="GD56" s="627">
        <v>272507</v>
      </c>
      <c r="GE56" s="627">
        <v>28.536000000000001</v>
      </c>
      <c r="GF56" s="627">
        <v>0</v>
      </c>
      <c r="GG56" s="627">
        <v>0</v>
      </c>
      <c r="GH56" s="627">
        <v>0</v>
      </c>
      <c r="GI56" s="627">
        <v>0</v>
      </c>
      <c r="GJ56" s="627">
        <v>0</v>
      </c>
      <c r="GK56" s="627">
        <v>0</v>
      </c>
      <c r="GL56" s="627">
        <v>0</v>
      </c>
      <c r="GM56" s="627">
        <v>0</v>
      </c>
      <c r="GN56" s="627">
        <v>0</v>
      </c>
      <c r="GO56" s="627">
        <v>0</v>
      </c>
      <c r="GP56" s="627">
        <v>0</v>
      </c>
      <c r="GQ56" s="627">
        <v>0</v>
      </c>
      <c r="GR56" s="627">
        <v>17367164</v>
      </c>
      <c r="GS56" s="627">
        <v>0</v>
      </c>
      <c r="GT56" s="627">
        <v>0</v>
      </c>
      <c r="GU56" s="627">
        <v>0</v>
      </c>
      <c r="GV56" s="627">
        <v>0</v>
      </c>
      <c r="GW56" s="627">
        <v>0</v>
      </c>
      <c r="GX56" s="627">
        <v>0</v>
      </c>
      <c r="GY56" s="627">
        <v>0</v>
      </c>
      <c r="GZ56" s="627">
        <v>0</v>
      </c>
      <c r="HA56" s="627">
        <v>0</v>
      </c>
      <c r="HB56" s="627">
        <v>0</v>
      </c>
      <c r="HC56" s="627">
        <v>361151439</v>
      </c>
      <c r="HD56" s="627">
        <v>3.9981999999999997E-2</v>
      </c>
      <c r="HE56" s="627">
        <v>238145</v>
      </c>
      <c r="HF56" s="627">
        <v>0</v>
      </c>
      <c r="HG56" s="627">
        <v>1510320</v>
      </c>
      <c r="HH56" s="627">
        <v>43120</v>
      </c>
      <c r="HI56" s="627">
        <v>313372</v>
      </c>
      <c r="HJ56" s="627">
        <v>0</v>
      </c>
      <c r="HK56" s="627">
        <v>74891</v>
      </c>
      <c r="HL56" s="627">
        <v>2322</v>
      </c>
      <c r="HM56" s="627">
        <v>2107</v>
      </c>
      <c r="HN56" s="627">
        <v>18000</v>
      </c>
      <c r="HO56" s="627">
        <v>1500</v>
      </c>
      <c r="HP56" s="627">
        <v>0</v>
      </c>
      <c r="HQ56" s="627">
        <v>0</v>
      </c>
      <c r="HR56" s="627">
        <v>0</v>
      </c>
      <c r="HS56" s="627">
        <v>0</v>
      </c>
      <c r="HT56" s="627">
        <v>14770035</v>
      </c>
      <c r="HU56" s="627">
        <v>383392</v>
      </c>
      <c r="HV56" s="627">
        <v>0</v>
      </c>
      <c r="HW56" s="627">
        <v>0</v>
      </c>
      <c r="HX56" s="627">
        <v>0</v>
      </c>
      <c r="HY56" s="627">
        <v>236</v>
      </c>
      <c r="HZ56" s="627">
        <v>393</v>
      </c>
      <c r="IA56" s="627">
        <v>215</v>
      </c>
      <c r="IB56" s="627">
        <v>494</v>
      </c>
      <c r="IC56" s="627">
        <v>134</v>
      </c>
      <c r="ID56" s="627">
        <v>1472</v>
      </c>
      <c r="IE56" s="627">
        <v>0</v>
      </c>
      <c r="IF56" s="627">
        <v>0</v>
      </c>
      <c r="IG56" s="627">
        <v>0</v>
      </c>
      <c r="IH56" s="627">
        <v>70</v>
      </c>
      <c r="II56" s="627">
        <v>508.72</v>
      </c>
      <c r="IJ56" s="627">
        <v>0</v>
      </c>
      <c r="IK56" s="627">
        <v>701.71699999999998</v>
      </c>
      <c r="IL56" s="627">
        <v>0</v>
      </c>
      <c r="IM56" s="627">
        <v>3</v>
      </c>
      <c r="IN56" s="627">
        <v>1</v>
      </c>
      <c r="IO56" s="627">
        <v>0</v>
      </c>
      <c r="IP56" s="627">
        <v>4</v>
      </c>
      <c r="IQ56" s="627">
        <v>0</v>
      </c>
      <c r="IR56" s="627">
        <v>701.71699999999998</v>
      </c>
      <c r="IS56" s="627">
        <v>432258</v>
      </c>
      <c r="IT56" s="627">
        <v>0</v>
      </c>
      <c r="IU56" s="627">
        <v>15000</v>
      </c>
      <c r="IV56" s="627">
        <v>3000</v>
      </c>
      <c r="IW56" s="627">
        <v>0</v>
      </c>
      <c r="IX56" s="627">
        <v>6160</v>
      </c>
      <c r="IY56" s="627">
        <v>0</v>
      </c>
      <c r="IZ56" s="627">
        <v>0</v>
      </c>
      <c r="JA56" s="627">
        <v>0</v>
      </c>
      <c r="JB56" s="627">
        <v>0</v>
      </c>
      <c r="JC56" s="627">
        <v>0</v>
      </c>
      <c r="JD56" s="627">
        <v>0</v>
      </c>
      <c r="JE56" s="627">
        <v>0</v>
      </c>
      <c r="JF56" s="627">
        <v>0</v>
      </c>
      <c r="JG56" s="627">
        <v>0</v>
      </c>
      <c r="JH56" s="627">
        <v>0</v>
      </c>
      <c r="JI56" s="627">
        <v>1500</v>
      </c>
      <c r="JJ56" s="627">
        <v>0</v>
      </c>
      <c r="JK56" s="627">
        <v>0</v>
      </c>
      <c r="JL56" s="627">
        <v>0</v>
      </c>
      <c r="JM56" s="627">
        <v>0</v>
      </c>
      <c r="JN56" s="627">
        <v>0</v>
      </c>
      <c r="JO56" s="627">
        <v>32469</v>
      </c>
      <c r="JP56" s="627">
        <v>0</v>
      </c>
      <c r="JQ56" s="627">
        <v>23.278000000000002</v>
      </c>
      <c r="JR56" s="627">
        <v>5.258</v>
      </c>
      <c r="JS56" s="627">
        <v>0</v>
      </c>
      <c r="JT56" s="627">
        <v>216377</v>
      </c>
      <c r="JU56" s="627">
        <v>56130</v>
      </c>
      <c r="JV56" s="627">
        <v>0</v>
      </c>
      <c r="JW56" s="627">
        <v>0</v>
      </c>
      <c r="JX56" s="627">
        <v>0</v>
      </c>
      <c r="JY56" s="627">
        <v>0</v>
      </c>
      <c r="JZ56" s="627">
        <v>0</v>
      </c>
      <c r="KA56" s="627">
        <v>0</v>
      </c>
      <c r="KB56" s="627">
        <v>0</v>
      </c>
      <c r="KC56" s="627">
        <v>0</v>
      </c>
      <c r="KD56" s="627">
        <v>0</v>
      </c>
      <c r="KE56" s="627">
        <v>0</v>
      </c>
      <c r="KF56" s="627">
        <v>7262</v>
      </c>
      <c r="KG56" s="627">
        <v>0</v>
      </c>
      <c r="KH56" s="627">
        <v>0</v>
      </c>
      <c r="KI56" s="627">
        <v>17367164</v>
      </c>
      <c r="KJ56" s="627">
        <v>0</v>
      </c>
      <c r="KK56" s="627">
        <v>39</v>
      </c>
      <c r="KL56" s="627">
        <v>31</v>
      </c>
      <c r="KM56" s="627">
        <v>24024</v>
      </c>
      <c r="KN56" s="627">
        <v>19096</v>
      </c>
      <c r="KO56" s="627">
        <v>0</v>
      </c>
      <c r="KP56" s="627">
        <v>0</v>
      </c>
      <c r="KQ56" s="627">
        <v>17367164</v>
      </c>
      <c r="KR56" s="627">
        <v>0</v>
      </c>
      <c r="KS56" s="627">
        <v>0</v>
      </c>
      <c r="KT56" s="627">
        <v>0</v>
      </c>
      <c r="KU56" s="627">
        <v>0</v>
      </c>
      <c r="KV56" s="627">
        <v>0</v>
      </c>
      <c r="KW56" s="627">
        <v>0</v>
      </c>
      <c r="KX56" s="627">
        <v>0</v>
      </c>
      <c r="KY56" s="627">
        <v>0</v>
      </c>
      <c r="KZ56" s="627">
        <v>0</v>
      </c>
      <c r="LA56" s="627">
        <v>0</v>
      </c>
      <c r="LB56" s="627">
        <v>0</v>
      </c>
      <c r="LC56" s="627">
        <v>0</v>
      </c>
      <c r="LD56" s="627">
        <v>0</v>
      </c>
      <c r="LE56" s="627">
        <v>0</v>
      </c>
      <c r="LF56" s="627">
        <v>0</v>
      </c>
    </row>
    <row r="57" spans="1:318" x14ac:dyDescent="0.25">
      <c r="A57" s="627">
        <v>42602</v>
      </c>
      <c r="B57" s="627">
        <v>14804</v>
      </c>
      <c r="D57" s="627">
        <v>9</v>
      </c>
      <c r="E57" s="627">
        <v>2024</v>
      </c>
      <c r="F57" s="627">
        <v>6160</v>
      </c>
      <c r="G57" s="627">
        <v>0</v>
      </c>
      <c r="H57" s="627">
        <v>1804.2670000000001</v>
      </c>
      <c r="I57" s="627">
        <v>1642.614</v>
      </c>
      <c r="J57" s="627">
        <v>1642.614</v>
      </c>
      <c r="K57" s="627">
        <v>1804.2670000000001</v>
      </c>
      <c r="L57" s="627">
        <v>0</v>
      </c>
      <c r="M57" s="627">
        <v>6160</v>
      </c>
      <c r="N57" s="627">
        <v>0</v>
      </c>
      <c r="O57" s="627">
        <v>0</v>
      </c>
      <c r="P57" s="627">
        <v>0</v>
      </c>
      <c r="Q57" s="627">
        <v>1796.2170000000001</v>
      </c>
      <c r="R57" s="627">
        <v>0</v>
      </c>
      <c r="S57" s="627">
        <v>745222</v>
      </c>
      <c r="T57" s="627">
        <v>414.88400000000001</v>
      </c>
      <c r="U57" s="627">
        <v>0</v>
      </c>
      <c r="V57" s="627">
        <v>386739</v>
      </c>
      <c r="W57" s="627">
        <v>90.775000000000006</v>
      </c>
      <c r="X57" s="627">
        <v>55917</v>
      </c>
      <c r="Y57" s="627">
        <v>55917</v>
      </c>
      <c r="Z57" s="627">
        <v>0</v>
      </c>
      <c r="AA57" s="627">
        <v>0</v>
      </c>
      <c r="AB57" s="627">
        <v>0</v>
      </c>
      <c r="AC57" s="627">
        <v>0</v>
      </c>
      <c r="AD57" s="627">
        <v>0</v>
      </c>
      <c r="AE57" s="627" t="s">
        <v>314</v>
      </c>
      <c r="AF57" s="627">
        <v>0</v>
      </c>
      <c r="AG57" s="627">
        <v>0</v>
      </c>
      <c r="AH57" s="627">
        <v>0</v>
      </c>
      <c r="AI57" s="627">
        <v>0</v>
      </c>
      <c r="AJ57" s="627">
        <v>0</v>
      </c>
      <c r="AK57" s="627">
        <v>6160</v>
      </c>
      <c r="AL57" s="627" t="s">
        <v>651</v>
      </c>
      <c r="AM57" s="627" t="s">
        <v>1</v>
      </c>
      <c r="AN57" s="627">
        <v>0</v>
      </c>
      <c r="AO57" s="627">
        <v>0</v>
      </c>
      <c r="AP57" s="627">
        <v>0</v>
      </c>
      <c r="AQ57" s="627">
        <v>0</v>
      </c>
      <c r="AR57" s="627">
        <v>0</v>
      </c>
      <c r="AS57" s="627">
        <v>0</v>
      </c>
      <c r="AT57" s="627">
        <v>0</v>
      </c>
      <c r="AU57" s="627">
        <v>0</v>
      </c>
      <c r="AV57" s="627">
        <v>0</v>
      </c>
      <c r="AW57" s="627">
        <v>0</v>
      </c>
      <c r="AX57" s="627">
        <v>17568510</v>
      </c>
      <c r="AY57" s="627">
        <v>17286326</v>
      </c>
      <c r="AZ57" s="627">
        <v>8770113</v>
      </c>
      <c r="BA57" s="627">
        <v>745222</v>
      </c>
      <c r="BB57" s="627">
        <v>36.332999999999998</v>
      </c>
      <c r="BC57" s="627">
        <v>0</v>
      </c>
      <c r="BD57" s="627">
        <v>0</v>
      </c>
      <c r="BE57" s="627">
        <v>0</v>
      </c>
      <c r="BF57" s="627">
        <v>0</v>
      </c>
      <c r="BG57" s="627">
        <v>15405125</v>
      </c>
      <c r="BH57" s="627">
        <v>0</v>
      </c>
      <c r="BI57" s="627">
        <v>0</v>
      </c>
      <c r="BJ57" s="627">
        <v>0</v>
      </c>
      <c r="BK57" s="627">
        <v>12</v>
      </c>
      <c r="BL57" s="627">
        <v>0</v>
      </c>
      <c r="BM57" s="627">
        <v>0</v>
      </c>
      <c r="BN57" s="627">
        <v>0</v>
      </c>
      <c r="BO57" s="627">
        <v>0</v>
      </c>
      <c r="BP57" s="627">
        <v>0</v>
      </c>
      <c r="BQ57" s="627">
        <v>0</v>
      </c>
      <c r="BR57" s="627">
        <v>517</v>
      </c>
      <c r="BS57" s="627">
        <v>0</v>
      </c>
      <c r="BT57" s="627">
        <v>0</v>
      </c>
      <c r="BU57" s="627">
        <v>0</v>
      </c>
      <c r="BV57" s="627">
        <v>0</v>
      </c>
      <c r="BW57" s="627">
        <v>0</v>
      </c>
      <c r="BX57" s="627">
        <v>0</v>
      </c>
      <c r="BY57" s="627">
        <v>0</v>
      </c>
      <c r="BZ57" s="627">
        <v>0</v>
      </c>
      <c r="CA57" s="627">
        <v>0</v>
      </c>
      <c r="CB57" s="627">
        <v>0</v>
      </c>
      <c r="CC57" s="627">
        <v>0</v>
      </c>
      <c r="CD57" s="627">
        <v>0</v>
      </c>
      <c r="CE57" s="627">
        <v>0</v>
      </c>
      <c r="CF57" s="627">
        <v>0</v>
      </c>
      <c r="CG57" s="627">
        <v>0</v>
      </c>
      <c r="CH57" s="627">
        <v>0</v>
      </c>
      <c r="CI57" s="627">
        <v>288554</v>
      </c>
      <c r="CJ57" s="627">
        <v>0</v>
      </c>
      <c r="CK57" s="627">
        <v>4</v>
      </c>
      <c r="CL57" s="627">
        <v>0</v>
      </c>
      <c r="CM57" s="627">
        <v>0</v>
      </c>
      <c r="CN57" s="627">
        <v>0</v>
      </c>
      <c r="CO57" s="627">
        <v>0</v>
      </c>
      <c r="CP57" s="627">
        <v>1</v>
      </c>
      <c r="CQ57" s="627">
        <v>0</v>
      </c>
      <c r="CR57" s="627">
        <v>10.083</v>
      </c>
      <c r="CS57" s="627">
        <v>1791.0720000000001</v>
      </c>
      <c r="CT57" s="627">
        <v>0</v>
      </c>
      <c r="CU57" s="627">
        <v>0</v>
      </c>
      <c r="CV57" s="627">
        <v>0</v>
      </c>
      <c r="CW57" s="627">
        <v>0</v>
      </c>
      <c r="CX57" s="627">
        <v>0</v>
      </c>
      <c r="CY57" s="627">
        <v>0</v>
      </c>
      <c r="CZ57" s="627">
        <v>0</v>
      </c>
      <c r="DA57" s="627">
        <v>0</v>
      </c>
      <c r="DB57" s="627">
        <v>0</v>
      </c>
      <c r="DC57" s="627">
        <v>9934907</v>
      </c>
      <c r="DD57" s="627">
        <v>0</v>
      </c>
      <c r="DE57" s="627">
        <v>0</v>
      </c>
      <c r="DF57" s="627">
        <v>358743</v>
      </c>
      <c r="DG57" s="627">
        <v>358743</v>
      </c>
      <c r="DH57" s="627">
        <v>58.238</v>
      </c>
      <c r="DI57" s="627">
        <v>0</v>
      </c>
      <c r="DJ57" s="627">
        <v>0</v>
      </c>
      <c r="DK57" s="627">
        <v>0</v>
      </c>
      <c r="DL57" s="627">
        <v>0</v>
      </c>
      <c r="DM57" s="627">
        <v>0</v>
      </c>
      <c r="DN57" s="627">
        <v>2052467</v>
      </c>
      <c r="DO57" s="627">
        <v>6370</v>
      </c>
      <c r="DP57" s="627">
        <v>0</v>
      </c>
      <c r="DQ57" s="627">
        <v>0</v>
      </c>
      <c r="DR57" s="627">
        <v>0</v>
      </c>
      <c r="DS57" s="627">
        <v>0</v>
      </c>
      <c r="DT57" s="627">
        <v>0</v>
      </c>
      <c r="DU57" s="627">
        <v>0</v>
      </c>
      <c r="DV57" s="627">
        <v>0</v>
      </c>
      <c r="DW57" s="627">
        <v>0</v>
      </c>
      <c r="DX57" s="627">
        <v>0</v>
      </c>
      <c r="DY57" s="627">
        <v>0</v>
      </c>
      <c r="DZ57" s="627">
        <v>0</v>
      </c>
      <c r="EA57" s="627">
        <v>0</v>
      </c>
      <c r="EB57" s="627">
        <v>0</v>
      </c>
      <c r="EC57" s="627">
        <v>0</v>
      </c>
      <c r="ED57" s="627">
        <v>61.823</v>
      </c>
      <c r="EE57" s="627">
        <v>437954</v>
      </c>
      <c r="EF57" s="627">
        <v>0</v>
      </c>
      <c r="EG57" s="627">
        <v>0</v>
      </c>
      <c r="EH57" s="627">
        <v>0</v>
      </c>
      <c r="EI57" s="627">
        <v>1437288</v>
      </c>
      <c r="EJ57" s="627">
        <v>0</v>
      </c>
      <c r="EK57" s="627">
        <v>0</v>
      </c>
      <c r="EL57" s="627">
        <v>70.197000000000003</v>
      </c>
      <c r="EM57" s="627">
        <v>0</v>
      </c>
      <c r="EN57" s="627">
        <v>1.9350000000000001</v>
      </c>
      <c r="EO57" s="627">
        <v>3.3860000000000001</v>
      </c>
      <c r="EP57" s="627">
        <v>0</v>
      </c>
      <c r="EQ57" s="627">
        <v>0</v>
      </c>
      <c r="ER57" s="627">
        <v>75.518000000000001</v>
      </c>
      <c r="ES57" s="627">
        <v>0</v>
      </c>
      <c r="ET57" s="627">
        <v>233.32600000000002</v>
      </c>
      <c r="EU57" s="627">
        <v>0</v>
      </c>
      <c r="EV57" s="627">
        <v>0</v>
      </c>
      <c r="EW57" s="627">
        <v>0</v>
      </c>
      <c r="EX57" s="627">
        <v>0</v>
      </c>
      <c r="EY57" s="627">
        <v>0</v>
      </c>
      <c r="EZ57" s="627">
        <v>0</v>
      </c>
      <c r="FA57" s="627">
        <v>14683868</v>
      </c>
      <c r="FB57" s="627">
        <v>0</v>
      </c>
      <c r="FC57" s="627">
        <v>15422720</v>
      </c>
      <c r="FD57" s="627">
        <v>0</v>
      </c>
      <c r="FE57" s="627">
        <v>0</v>
      </c>
      <c r="FF57" s="627">
        <v>2218279</v>
      </c>
      <c r="FG57" s="627">
        <v>384179</v>
      </c>
      <c r="FH57" s="627">
        <v>7.0280999999999996E-2</v>
      </c>
      <c r="FI57" s="627">
        <v>3.1172999999999999E-2</v>
      </c>
      <c r="FJ57" s="627">
        <v>0</v>
      </c>
      <c r="FK57" s="627">
        <v>0</v>
      </c>
      <c r="FL57" s="627">
        <v>2500.8320000000003</v>
      </c>
      <c r="FM57" s="627">
        <v>18313732</v>
      </c>
      <c r="FN57" s="627">
        <v>0</v>
      </c>
      <c r="FO57" s="627">
        <v>0</v>
      </c>
      <c r="FP57" s="627">
        <v>0</v>
      </c>
      <c r="FQ57" s="627">
        <v>0</v>
      </c>
      <c r="FR57" s="627">
        <v>0</v>
      </c>
      <c r="FS57" s="627">
        <v>0</v>
      </c>
      <c r="FT57" s="627">
        <v>0</v>
      </c>
      <c r="FU57" s="627">
        <v>0</v>
      </c>
      <c r="FV57" s="627">
        <v>0</v>
      </c>
      <c r="FW57" s="627">
        <v>0</v>
      </c>
      <c r="FX57" s="627">
        <v>0</v>
      </c>
      <c r="FY57" s="627">
        <v>0</v>
      </c>
      <c r="FZ57" s="627">
        <v>0</v>
      </c>
      <c r="GA57" s="627">
        <v>0</v>
      </c>
      <c r="GB57" s="627">
        <v>0</v>
      </c>
      <c r="GC57" s="627">
        <v>817586</v>
      </c>
      <c r="GD57" s="627">
        <v>817586</v>
      </c>
      <c r="GE57" s="627">
        <v>86.135000000000005</v>
      </c>
      <c r="GF57" s="627">
        <v>0</v>
      </c>
      <c r="GG57" s="627">
        <v>0</v>
      </c>
      <c r="GH57" s="627">
        <v>0</v>
      </c>
      <c r="GI57" s="627">
        <v>0</v>
      </c>
      <c r="GJ57" s="627">
        <v>0</v>
      </c>
      <c r="GK57" s="627">
        <v>0</v>
      </c>
      <c r="GL57" s="627">
        <v>0</v>
      </c>
      <c r="GM57" s="627">
        <v>0</v>
      </c>
      <c r="GN57" s="627">
        <v>0</v>
      </c>
      <c r="GO57" s="627">
        <v>0</v>
      </c>
      <c r="GP57" s="627">
        <v>0</v>
      </c>
      <c r="GQ57" s="627">
        <v>0</v>
      </c>
      <c r="GR57" s="627">
        <v>17279956</v>
      </c>
      <c r="GS57" s="627">
        <v>0</v>
      </c>
      <c r="GT57" s="627">
        <v>0</v>
      </c>
      <c r="GU57" s="627">
        <v>0</v>
      </c>
      <c r="GV57" s="627">
        <v>0</v>
      </c>
      <c r="GW57" s="627">
        <v>0</v>
      </c>
      <c r="GX57" s="627">
        <v>0</v>
      </c>
      <c r="GY57" s="627">
        <v>0</v>
      </c>
      <c r="GZ57" s="627">
        <v>0</v>
      </c>
      <c r="HA57" s="627">
        <v>0</v>
      </c>
      <c r="HB57" s="627">
        <v>0</v>
      </c>
      <c r="HC57" s="627">
        <v>361151439</v>
      </c>
      <c r="HD57" s="627">
        <v>3.9981999999999997E-2</v>
      </c>
      <c r="HE57" s="627">
        <v>288554</v>
      </c>
      <c r="HF57" s="627">
        <v>0</v>
      </c>
      <c r="HG57" s="627">
        <v>1810161</v>
      </c>
      <c r="HH57" s="627">
        <v>143528</v>
      </c>
      <c r="HI57" s="627">
        <v>57403</v>
      </c>
      <c r="HJ57" s="627">
        <v>0</v>
      </c>
      <c r="HK57" s="627">
        <v>93043</v>
      </c>
      <c r="HL57" s="627">
        <v>6531</v>
      </c>
      <c r="HM57" s="627">
        <v>4352</v>
      </c>
      <c r="HN57" s="627">
        <v>75000</v>
      </c>
      <c r="HO57" s="627">
        <v>0</v>
      </c>
      <c r="HP57" s="627">
        <v>0</v>
      </c>
      <c r="HQ57" s="627">
        <v>13082</v>
      </c>
      <c r="HR57" s="627">
        <v>0</v>
      </c>
      <c r="HS57" s="627">
        <v>0</v>
      </c>
      <c r="HT57" s="627">
        <v>14677498</v>
      </c>
      <c r="HU57" s="627">
        <v>384179</v>
      </c>
      <c r="HV57" s="627">
        <v>0</v>
      </c>
      <c r="HW57" s="627">
        <v>0</v>
      </c>
      <c r="HX57" s="627">
        <v>0</v>
      </c>
      <c r="HY57" s="627">
        <v>119</v>
      </c>
      <c r="HZ57" s="627">
        <v>58</v>
      </c>
      <c r="IA57" s="627">
        <v>41</v>
      </c>
      <c r="IB57" s="627">
        <v>21</v>
      </c>
      <c r="IC57" s="627">
        <v>7</v>
      </c>
      <c r="ID57" s="627">
        <v>246</v>
      </c>
      <c r="IE57" s="627">
        <v>0</v>
      </c>
      <c r="IF57" s="627">
        <v>0</v>
      </c>
      <c r="IG57" s="627">
        <v>0</v>
      </c>
      <c r="IH57" s="627">
        <v>233</v>
      </c>
      <c r="II57" s="627">
        <v>93.186999999999998</v>
      </c>
      <c r="IJ57" s="627">
        <v>47.57</v>
      </c>
      <c r="IK57" s="627">
        <v>90.775000000000006</v>
      </c>
      <c r="IL57" s="627">
        <v>0</v>
      </c>
      <c r="IM57" s="627">
        <v>0</v>
      </c>
      <c r="IN57" s="627">
        <v>25</v>
      </c>
      <c r="IO57" s="627">
        <v>0</v>
      </c>
      <c r="IP57" s="627">
        <v>25</v>
      </c>
      <c r="IQ57" s="627">
        <v>47.57</v>
      </c>
      <c r="IR57" s="627">
        <v>90.775000000000006</v>
      </c>
      <c r="IS57" s="627">
        <v>55917</v>
      </c>
      <c r="IT57" s="627">
        <v>0</v>
      </c>
      <c r="IU57" s="627">
        <v>0</v>
      </c>
      <c r="IV57" s="627">
        <v>75000</v>
      </c>
      <c r="IW57" s="627">
        <v>0</v>
      </c>
      <c r="IX57" s="627">
        <v>6160</v>
      </c>
      <c r="IY57" s="627">
        <v>0</v>
      </c>
      <c r="IZ57" s="627">
        <v>0</v>
      </c>
      <c r="JA57" s="627">
        <v>13082</v>
      </c>
      <c r="JB57" s="627">
        <v>0</v>
      </c>
      <c r="JC57" s="627">
        <v>0</v>
      </c>
      <c r="JD57" s="627">
        <v>0</v>
      </c>
      <c r="JE57" s="627">
        <v>0</v>
      </c>
      <c r="JF57" s="627">
        <v>0</v>
      </c>
      <c r="JG57" s="627">
        <v>0</v>
      </c>
      <c r="JH57" s="627">
        <v>0</v>
      </c>
      <c r="JI57" s="627">
        <v>0</v>
      </c>
      <c r="JJ57" s="627">
        <v>0</v>
      </c>
      <c r="JK57" s="627">
        <v>0</v>
      </c>
      <c r="JL57" s="627">
        <v>0</v>
      </c>
      <c r="JM57" s="627">
        <v>0</v>
      </c>
      <c r="JN57" s="627">
        <v>0</v>
      </c>
      <c r="JO57" s="627">
        <v>32469</v>
      </c>
      <c r="JP57" s="627">
        <v>0</v>
      </c>
      <c r="JQ57" s="627">
        <v>73.865000000000009</v>
      </c>
      <c r="JR57" s="627">
        <v>12.27</v>
      </c>
      <c r="JS57" s="627">
        <v>0</v>
      </c>
      <c r="JT57" s="627">
        <v>686602</v>
      </c>
      <c r="JU57" s="627">
        <v>130984</v>
      </c>
      <c r="JV57" s="627">
        <v>0</v>
      </c>
      <c r="JW57" s="627">
        <v>0</v>
      </c>
      <c r="JX57" s="627">
        <v>0</v>
      </c>
      <c r="JY57" s="627">
        <v>0</v>
      </c>
      <c r="JZ57" s="627">
        <v>0</v>
      </c>
      <c r="KA57" s="627">
        <v>0</v>
      </c>
      <c r="KB57" s="627">
        <v>0</v>
      </c>
      <c r="KC57" s="627">
        <v>0</v>
      </c>
      <c r="KD57" s="627">
        <v>0</v>
      </c>
      <c r="KE57" s="627">
        <v>0</v>
      </c>
      <c r="KF57" s="627">
        <v>7262</v>
      </c>
      <c r="KG57" s="627">
        <v>0</v>
      </c>
      <c r="KH57" s="627">
        <v>0</v>
      </c>
      <c r="KI57" s="627">
        <v>17279956</v>
      </c>
      <c r="KJ57" s="627">
        <v>0</v>
      </c>
      <c r="KK57" s="627">
        <v>176</v>
      </c>
      <c r="KL57" s="627">
        <v>57</v>
      </c>
      <c r="KM57" s="627">
        <v>108416</v>
      </c>
      <c r="KN57" s="627">
        <v>35112</v>
      </c>
      <c r="KO57" s="627">
        <v>0</v>
      </c>
      <c r="KP57" s="627">
        <v>0</v>
      </c>
      <c r="KQ57" s="627">
        <v>17279956</v>
      </c>
      <c r="KR57" s="627">
        <v>0</v>
      </c>
      <c r="KS57" s="627">
        <v>0</v>
      </c>
      <c r="KT57" s="627">
        <v>0</v>
      </c>
      <c r="KU57" s="627">
        <v>0</v>
      </c>
      <c r="KV57" s="627">
        <v>0</v>
      </c>
      <c r="KW57" s="627">
        <v>0</v>
      </c>
      <c r="KX57" s="627">
        <v>0</v>
      </c>
      <c r="KY57" s="627">
        <v>0</v>
      </c>
      <c r="KZ57" s="627">
        <v>0</v>
      </c>
      <c r="LA57" s="627">
        <v>0</v>
      </c>
      <c r="LB57" s="627">
        <v>0</v>
      </c>
      <c r="LC57" s="627">
        <v>0</v>
      </c>
      <c r="LD57" s="627">
        <v>0</v>
      </c>
      <c r="LE57" s="627">
        <v>0</v>
      </c>
      <c r="LF57" s="627">
        <v>0</v>
      </c>
    </row>
    <row r="58" spans="1:318" x14ac:dyDescent="0.25">
      <c r="A58" s="627">
        <v>42602</v>
      </c>
      <c r="B58" s="627">
        <v>57804</v>
      </c>
      <c r="D58" s="627">
        <v>9</v>
      </c>
      <c r="E58" s="627">
        <v>2024</v>
      </c>
      <c r="F58" s="627">
        <v>6160</v>
      </c>
      <c r="G58" s="627">
        <v>0</v>
      </c>
      <c r="H58" s="627">
        <v>2819.5650000000001</v>
      </c>
      <c r="I58" s="627">
        <v>2282.5430000000001</v>
      </c>
      <c r="J58" s="627">
        <v>2282.5430000000001</v>
      </c>
      <c r="K58" s="627">
        <v>2819.5650000000001</v>
      </c>
      <c r="L58" s="627">
        <v>0</v>
      </c>
      <c r="M58" s="627">
        <v>6160</v>
      </c>
      <c r="N58" s="627">
        <v>0</v>
      </c>
      <c r="O58" s="627">
        <v>0</v>
      </c>
      <c r="P58" s="627">
        <v>0</v>
      </c>
      <c r="Q58" s="627">
        <v>2704.5030000000002</v>
      </c>
      <c r="R58" s="627">
        <v>0</v>
      </c>
      <c r="S58" s="627">
        <v>1122055</v>
      </c>
      <c r="T58" s="627">
        <v>414.88400000000001</v>
      </c>
      <c r="U58" s="627">
        <v>0</v>
      </c>
      <c r="V58" s="627">
        <v>582301</v>
      </c>
      <c r="W58" s="627">
        <v>966.56700000000001</v>
      </c>
      <c r="X58" s="627">
        <v>595405</v>
      </c>
      <c r="Y58" s="627">
        <v>595405</v>
      </c>
      <c r="Z58" s="627">
        <v>0</v>
      </c>
      <c r="AA58" s="627">
        <v>0</v>
      </c>
      <c r="AB58" s="627">
        <v>0</v>
      </c>
      <c r="AC58" s="627">
        <v>0</v>
      </c>
      <c r="AD58" s="627">
        <v>0</v>
      </c>
      <c r="AE58" s="627" t="s">
        <v>314</v>
      </c>
      <c r="AF58" s="627">
        <v>0</v>
      </c>
      <c r="AG58" s="627">
        <v>0</v>
      </c>
      <c r="AH58" s="627">
        <v>0</v>
      </c>
      <c r="AI58" s="627">
        <v>0</v>
      </c>
      <c r="AJ58" s="627">
        <v>0</v>
      </c>
      <c r="AK58" s="627">
        <v>6160</v>
      </c>
      <c r="AL58" s="627" t="s">
        <v>651</v>
      </c>
      <c r="AM58" s="627" t="s">
        <v>322</v>
      </c>
      <c r="AN58" s="627">
        <v>0</v>
      </c>
      <c r="AO58" s="627">
        <v>0</v>
      </c>
      <c r="AP58" s="627">
        <v>0</v>
      </c>
      <c r="AQ58" s="627">
        <v>0</v>
      </c>
      <c r="AR58" s="627">
        <v>0</v>
      </c>
      <c r="AS58" s="627">
        <v>0</v>
      </c>
      <c r="AT58" s="627">
        <v>0</v>
      </c>
      <c r="AU58" s="627">
        <v>0</v>
      </c>
      <c r="AV58" s="627">
        <v>0</v>
      </c>
      <c r="AW58" s="627">
        <v>0</v>
      </c>
      <c r="AX58" s="627">
        <v>33533395</v>
      </c>
      <c r="AY58" s="627">
        <v>33089833</v>
      </c>
      <c r="AZ58" s="627">
        <v>17565608</v>
      </c>
      <c r="BA58" s="627">
        <v>1122055</v>
      </c>
      <c r="BB58" s="627">
        <v>0</v>
      </c>
      <c r="BC58" s="627">
        <v>0</v>
      </c>
      <c r="BD58" s="627">
        <v>0</v>
      </c>
      <c r="BE58" s="627">
        <v>0</v>
      </c>
      <c r="BF58" s="627">
        <v>0</v>
      </c>
      <c r="BG58" s="627">
        <v>27929705</v>
      </c>
      <c r="BH58" s="627">
        <v>0</v>
      </c>
      <c r="BI58" s="627">
        <v>0</v>
      </c>
      <c r="BJ58" s="627">
        <v>0</v>
      </c>
      <c r="BK58" s="627">
        <v>12</v>
      </c>
      <c r="BL58" s="627">
        <v>0</v>
      </c>
      <c r="BM58" s="627">
        <v>0</v>
      </c>
      <c r="BN58" s="627">
        <v>0</v>
      </c>
      <c r="BO58" s="627">
        <v>0</v>
      </c>
      <c r="BP58" s="627">
        <v>0</v>
      </c>
      <c r="BQ58" s="627">
        <v>0</v>
      </c>
      <c r="BR58" s="627">
        <v>418</v>
      </c>
      <c r="BS58" s="627">
        <v>0</v>
      </c>
      <c r="BT58" s="627">
        <v>0</v>
      </c>
      <c r="BU58" s="627">
        <v>0</v>
      </c>
      <c r="BV58" s="627">
        <v>0</v>
      </c>
      <c r="BW58" s="627">
        <v>0</v>
      </c>
      <c r="BX58" s="627">
        <v>0</v>
      </c>
      <c r="BY58" s="627">
        <v>0</v>
      </c>
      <c r="BZ58" s="627">
        <v>0</v>
      </c>
      <c r="CA58" s="627">
        <v>0</v>
      </c>
      <c r="CB58" s="627">
        <v>0</v>
      </c>
      <c r="CC58" s="627">
        <v>0</v>
      </c>
      <c r="CD58" s="627">
        <v>0</v>
      </c>
      <c r="CE58" s="627">
        <v>0</v>
      </c>
      <c r="CF58" s="627">
        <v>0</v>
      </c>
      <c r="CG58" s="627">
        <v>0</v>
      </c>
      <c r="CH58" s="627">
        <v>0</v>
      </c>
      <c r="CI58" s="627">
        <v>450929</v>
      </c>
      <c r="CJ58" s="627">
        <v>0</v>
      </c>
      <c r="CK58" s="627">
        <v>4</v>
      </c>
      <c r="CL58" s="627">
        <v>0</v>
      </c>
      <c r="CM58" s="627">
        <v>0</v>
      </c>
      <c r="CN58" s="627">
        <v>0</v>
      </c>
      <c r="CO58" s="627">
        <v>0</v>
      </c>
      <c r="CP58" s="627">
        <v>1</v>
      </c>
      <c r="CQ58" s="627">
        <v>0.40700000000000003</v>
      </c>
      <c r="CR58" s="627">
        <v>0</v>
      </c>
      <c r="CS58" s="627">
        <v>2723.2200000000003</v>
      </c>
      <c r="CT58" s="627">
        <v>0</v>
      </c>
      <c r="CU58" s="627">
        <v>0</v>
      </c>
      <c r="CV58" s="627">
        <v>0</v>
      </c>
      <c r="CW58" s="627">
        <v>0</v>
      </c>
      <c r="CX58" s="627">
        <v>0</v>
      </c>
      <c r="CY58" s="627">
        <v>0</v>
      </c>
      <c r="CZ58" s="627">
        <v>0</v>
      </c>
      <c r="DA58" s="627">
        <v>0</v>
      </c>
      <c r="DB58" s="627">
        <v>0</v>
      </c>
      <c r="DC58" s="627">
        <v>13477373</v>
      </c>
      <c r="DD58" s="627">
        <v>0</v>
      </c>
      <c r="DE58" s="627">
        <v>0</v>
      </c>
      <c r="DF58" s="627">
        <v>4321163</v>
      </c>
      <c r="DG58" s="627">
        <v>4327205</v>
      </c>
      <c r="DH58" s="627">
        <v>701.48800000000006</v>
      </c>
      <c r="DI58" s="627">
        <v>0</v>
      </c>
      <c r="DJ58" s="627">
        <v>6042</v>
      </c>
      <c r="DK58" s="627">
        <v>0</v>
      </c>
      <c r="DL58" s="627">
        <v>0</v>
      </c>
      <c r="DM58" s="627">
        <v>0</v>
      </c>
      <c r="DN58" s="627">
        <v>2744273</v>
      </c>
      <c r="DO58" s="627">
        <v>7366</v>
      </c>
      <c r="DP58" s="627">
        <v>0</v>
      </c>
      <c r="DQ58" s="627">
        <v>0</v>
      </c>
      <c r="DR58" s="627">
        <v>0</v>
      </c>
      <c r="DS58" s="627">
        <v>0</v>
      </c>
      <c r="DT58" s="627">
        <v>0</v>
      </c>
      <c r="DU58" s="627">
        <v>0</v>
      </c>
      <c r="DV58" s="627">
        <v>0</v>
      </c>
      <c r="DW58" s="627">
        <v>0</v>
      </c>
      <c r="DX58" s="627">
        <v>0</v>
      </c>
      <c r="DY58" s="627">
        <v>0</v>
      </c>
      <c r="DZ58" s="627">
        <v>0</v>
      </c>
      <c r="EA58" s="627">
        <v>0</v>
      </c>
      <c r="EB58" s="627">
        <v>0</v>
      </c>
      <c r="EC58" s="627">
        <v>0</v>
      </c>
      <c r="ED58" s="627">
        <v>183.25300000000001</v>
      </c>
      <c r="EE58" s="627">
        <v>1298164</v>
      </c>
      <c r="EF58" s="627">
        <v>0</v>
      </c>
      <c r="EG58" s="627">
        <v>0</v>
      </c>
      <c r="EH58" s="627">
        <v>0</v>
      </c>
      <c r="EI58" s="627">
        <v>870383</v>
      </c>
      <c r="EJ58" s="627">
        <v>0</v>
      </c>
      <c r="EK58" s="627">
        <v>0</v>
      </c>
      <c r="EL58" s="627">
        <v>44.683</v>
      </c>
      <c r="EM58" s="627">
        <v>0</v>
      </c>
      <c r="EN58" s="627">
        <v>2.4039999999999999</v>
      </c>
      <c r="EO58" s="627">
        <v>7.0000000000000001E-3</v>
      </c>
      <c r="EP58" s="627">
        <v>0</v>
      </c>
      <c r="EQ58" s="627">
        <v>0</v>
      </c>
      <c r="ER58" s="627">
        <v>47.094000000000001</v>
      </c>
      <c r="ES58" s="627">
        <v>0</v>
      </c>
      <c r="ET58" s="627">
        <v>141.29600000000002</v>
      </c>
      <c r="EU58" s="627">
        <v>0</v>
      </c>
      <c r="EV58" s="627">
        <v>0</v>
      </c>
      <c r="EW58" s="627">
        <v>0</v>
      </c>
      <c r="EX58" s="627">
        <v>0</v>
      </c>
      <c r="EY58" s="627">
        <v>0</v>
      </c>
      <c r="EZ58" s="627">
        <v>0</v>
      </c>
      <c r="FA58" s="627">
        <v>28371540</v>
      </c>
      <c r="FB58" s="627">
        <v>0</v>
      </c>
      <c r="FC58" s="627">
        <v>29486228</v>
      </c>
      <c r="FD58" s="627">
        <v>0</v>
      </c>
      <c r="FE58" s="627">
        <v>0</v>
      </c>
      <c r="FF58" s="627">
        <v>4021771</v>
      </c>
      <c r="FG58" s="627">
        <v>696522</v>
      </c>
      <c r="FH58" s="627">
        <v>7.0280999999999996E-2</v>
      </c>
      <c r="FI58" s="627">
        <v>3.1172999999999999E-2</v>
      </c>
      <c r="FJ58" s="627">
        <v>0</v>
      </c>
      <c r="FK58" s="627">
        <v>0</v>
      </c>
      <c r="FL58" s="627">
        <v>4534.0430000000006</v>
      </c>
      <c r="FM58" s="627">
        <v>34655450</v>
      </c>
      <c r="FN58" s="627">
        <v>0</v>
      </c>
      <c r="FO58" s="627">
        <v>0</v>
      </c>
      <c r="FP58" s="627">
        <v>315755</v>
      </c>
      <c r="FQ58" s="627">
        <v>0</v>
      </c>
      <c r="FR58" s="627">
        <v>315755</v>
      </c>
      <c r="FS58" s="627">
        <v>315755</v>
      </c>
      <c r="FT58" s="627">
        <v>0</v>
      </c>
      <c r="FU58" s="627">
        <v>0</v>
      </c>
      <c r="FV58" s="627">
        <v>0</v>
      </c>
      <c r="FW58" s="627">
        <v>0</v>
      </c>
      <c r="FX58" s="627">
        <v>0</v>
      </c>
      <c r="FY58" s="627">
        <v>0</v>
      </c>
      <c r="FZ58" s="627">
        <v>0</v>
      </c>
      <c r="GA58" s="627">
        <v>0</v>
      </c>
      <c r="GB58" s="627">
        <v>0</v>
      </c>
      <c r="GC58" s="627">
        <v>4022525</v>
      </c>
      <c r="GD58" s="627">
        <v>4022525</v>
      </c>
      <c r="GE58" s="627">
        <v>489.928</v>
      </c>
      <c r="GF58" s="627">
        <v>0</v>
      </c>
      <c r="GG58" s="627">
        <v>0</v>
      </c>
      <c r="GH58" s="627">
        <v>0</v>
      </c>
      <c r="GI58" s="627">
        <v>0</v>
      </c>
      <c r="GJ58" s="627">
        <v>0</v>
      </c>
      <c r="GK58" s="627">
        <v>0</v>
      </c>
      <c r="GL58" s="627">
        <v>0</v>
      </c>
      <c r="GM58" s="627">
        <v>0</v>
      </c>
      <c r="GN58" s="627">
        <v>0</v>
      </c>
      <c r="GO58" s="627">
        <v>0</v>
      </c>
      <c r="GP58" s="627">
        <v>0</v>
      </c>
      <c r="GQ58" s="627">
        <v>0</v>
      </c>
      <c r="GR58" s="627">
        <v>33082466</v>
      </c>
      <c r="GS58" s="627">
        <v>0</v>
      </c>
      <c r="GT58" s="627">
        <v>0</v>
      </c>
      <c r="GU58" s="627">
        <v>0</v>
      </c>
      <c r="GV58" s="627">
        <v>0</v>
      </c>
      <c r="GW58" s="627">
        <v>0</v>
      </c>
      <c r="GX58" s="627">
        <v>0</v>
      </c>
      <c r="GY58" s="627">
        <v>0</v>
      </c>
      <c r="GZ58" s="627">
        <v>0</v>
      </c>
      <c r="HA58" s="627">
        <v>0</v>
      </c>
      <c r="HB58" s="627">
        <v>0</v>
      </c>
      <c r="HC58" s="627">
        <v>361151439</v>
      </c>
      <c r="HD58" s="627">
        <v>3.9981999999999997E-2</v>
      </c>
      <c r="HE58" s="627">
        <v>450929</v>
      </c>
      <c r="HF58" s="627">
        <v>0</v>
      </c>
      <c r="HG58" s="627">
        <v>2515362</v>
      </c>
      <c r="HH58" s="627">
        <v>0</v>
      </c>
      <c r="HI58" s="627">
        <v>0</v>
      </c>
      <c r="HJ58" s="627">
        <v>0</v>
      </c>
      <c r="HK58" s="627">
        <v>223196</v>
      </c>
      <c r="HL58" s="627">
        <v>61355</v>
      </c>
      <c r="HM58" s="627">
        <v>68052</v>
      </c>
      <c r="HN58" s="627">
        <v>0</v>
      </c>
      <c r="HO58" s="627">
        <v>0</v>
      </c>
      <c r="HP58" s="627">
        <v>17000</v>
      </c>
      <c r="HQ58" s="627">
        <v>1118728</v>
      </c>
      <c r="HR58" s="627">
        <v>0</v>
      </c>
      <c r="HS58" s="627">
        <v>0</v>
      </c>
      <c r="HT58" s="627">
        <v>28364173</v>
      </c>
      <c r="HU58" s="627">
        <v>696522</v>
      </c>
      <c r="HV58" s="627">
        <v>0</v>
      </c>
      <c r="HW58" s="627">
        <v>0</v>
      </c>
      <c r="HX58" s="627">
        <v>0</v>
      </c>
      <c r="HY58" s="627">
        <v>132</v>
      </c>
      <c r="HZ58" s="627">
        <v>247</v>
      </c>
      <c r="IA58" s="627">
        <v>483</v>
      </c>
      <c r="IB58" s="627">
        <v>628</v>
      </c>
      <c r="IC58" s="627">
        <v>1191</v>
      </c>
      <c r="ID58" s="627">
        <v>2681</v>
      </c>
      <c r="IE58" s="627">
        <v>0</v>
      </c>
      <c r="IF58" s="627">
        <v>0</v>
      </c>
      <c r="IG58" s="627">
        <v>0</v>
      </c>
      <c r="IH58" s="627">
        <v>0</v>
      </c>
      <c r="II58" s="627">
        <v>0</v>
      </c>
      <c r="IJ58" s="627">
        <v>4068.1</v>
      </c>
      <c r="IK58" s="627">
        <v>966.56700000000001</v>
      </c>
      <c r="IL58" s="627">
        <v>0</v>
      </c>
      <c r="IM58" s="627">
        <v>0</v>
      </c>
      <c r="IN58" s="627">
        <v>0</v>
      </c>
      <c r="IO58" s="627">
        <v>0</v>
      </c>
      <c r="IP58" s="627">
        <v>0</v>
      </c>
      <c r="IQ58" s="627">
        <v>4068.1</v>
      </c>
      <c r="IR58" s="627">
        <v>966.56700000000001</v>
      </c>
      <c r="IS58" s="627">
        <v>595405</v>
      </c>
      <c r="IT58" s="627">
        <v>0</v>
      </c>
      <c r="IU58" s="627">
        <v>0</v>
      </c>
      <c r="IV58" s="627">
        <v>0</v>
      </c>
      <c r="IW58" s="627">
        <v>0</v>
      </c>
      <c r="IX58" s="627">
        <v>6160</v>
      </c>
      <c r="IY58" s="627">
        <v>0</v>
      </c>
      <c r="IZ58" s="627">
        <v>0</v>
      </c>
      <c r="JA58" s="627">
        <v>1118728</v>
      </c>
      <c r="JB58" s="627">
        <v>0</v>
      </c>
      <c r="JC58" s="627">
        <v>0</v>
      </c>
      <c r="JD58" s="627">
        <v>0</v>
      </c>
      <c r="JE58" s="627">
        <v>0</v>
      </c>
      <c r="JF58" s="627">
        <v>0</v>
      </c>
      <c r="JG58" s="627">
        <v>0</v>
      </c>
      <c r="JH58" s="627">
        <v>0</v>
      </c>
      <c r="JI58" s="627">
        <v>0</v>
      </c>
      <c r="JJ58" s="627">
        <v>0</v>
      </c>
      <c r="JK58" s="627">
        <v>0</v>
      </c>
      <c r="JL58" s="627">
        <v>0</v>
      </c>
      <c r="JM58" s="627">
        <v>0</v>
      </c>
      <c r="JN58" s="627">
        <v>0</v>
      </c>
      <c r="JO58" s="627">
        <v>40471</v>
      </c>
      <c r="JP58" s="627">
        <v>438.34900000000005</v>
      </c>
      <c r="JQ58" s="627">
        <v>21.53</v>
      </c>
      <c r="JR58" s="627">
        <v>30.049000000000003</v>
      </c>
      <c r="JS58" s="627">
        <v>3501619</v>
      </c>
      <c r="JT58" s="627">
        <v>200129</v>
      </c>
      <c r="JU58" s="627">
        <v>320777</v>
      </c>
      <c r="JV58" s="627">
        <v>0</v>
      </c>
      <c r="JW58" s="627">
        <v>0</v>
      </c>
      <c r="JX58" s="627">
        <v>0</v>
      </c>
      <c r="JY58" s="627">
        <v>0</v>
      </c>
      <c r="JZ58" s="627">
        <v>0</v>
      </c>
      <c r="KA58" s="627">
        <v>0</v>
      </c>
      <c r="KB58" s="627">
        <v>0</v>
      </c>
      <c r="KC58" s="627">
        <v>0</v>
      </c>
      <c r="KD58" s="627">
        <v>0</v>
      </c>
      <c r="KE58" s="627">
        <v>0</v>
      </c>
      <c r="KF58" s="627">
        <v>7262</v>
      </c>
      <c r="KG58" s="627">
        <v>0</v>
      </c>
      <c r="KH58" s="627">
        <v>0</v>
      </c>
      <c r="KI58" s="627">
        <v>33082466</v>
      </c>
      <c r="KJ58" s="627">
        <v>0</v>
      </c>
      <c r="KK58" s="627">
        <v>0</v>
      </c>
      <c r="KL58" s="627">
        <v>0</v>
      </c>
      <c r="KM58" s="627">
        <v>0</v>
      </c>
      <c r="KN58" s="627">
        <v>0</v>
      </c>
      <c r="KO58" s="627">
        <v>0</v>
      </c>
      <c r="KP58" s="627">
        <v>0</v>
      </c>
      <c r="KQ58" s="627">
        <v>33082466</v>
      </c>
      <c r="KR58" s="627">
        <v>0</v>
      </c>
      <c r="KS58" s="627">
        <v>0</v>
      </c>
      <c r="KT58" s="627">
        <v>0</v>
      </c>
      <c r="KU58" s="627">
        <v>0</v>
      </c>
      <c r="KV58" s="627">
        <v>0</v>
      </c>
      <c r="KW58" s="627">
        <v>0</v>
      </c>
      <c r="KX58" s="627">
        <v>0</v>
      </c>
      <c r="KY58" s="627">
        <v>0</v>
      </c>
      <c r="KZ58" s="627">
        <v>0</v>
      </c>
      <c r="LA58" s="627">
        <v>0</v>
      </c>
      <c r="LB58" s="627">
        <v>0</v>
      </c>
      <c r="LC58" s="627">
        <v>0</v>
      </c>
      <c r="LD58" s="627">
        <v>0</v>
      </c>
      <c r="LE58" s="627">
        <v>0</v>
      </c>
      <c r="LF58" s="627">
        <v>0</v>
      </c>
    </row>
    <row r="59" spans="1:318" x14ac:dyDescent="0.25">
      <c r="A59" s="627">
        <v>42602</v>
      </c>
      <c r="B59" s="627">
        <v>61804</v>
      </c>
      <c r="D59" s="627">
        <v>9</v>
      </c>
      <c r="E59" s="627">
        <v>2024</v>
      </c>
      <c r="F59" s="627">
        <v>6160</v>
      </c>
      <c r="G59" s="627">
        <v>0</v>
      </c>
      <c r="H59" s="627">
        <v>1313.9770000000001</v>
      </c>
      <c r="I59" s="627">
        <v>1210.625</v>
      </c>
      <c r="J59" s="627">
        <v>1210.625</v>
      </c>
      <c r="K59" s="627">
        <v>1313.9770000000001</v>
      </c>
      <c r="L59" s="627">
        <v>0</v>
      </c>
      <c r="M59" s="627">
        <v>6160</v>
      </c>
      <c r="N59" s="627">
        <v>0</v>
      </c>
      <c r="O59" s="627">
        <v>0</v>
      </c>
      <c r="P59" s="627">
        <v>0</v>
      </c>
      <c r="Q59" s="627">
        <v>1281.5550000000001</v>
      </c>
      <c r="R59" s="627">
        <v>0</v>
      </c>
      <c r="S59" s="627">
        <v>531697</v>
      </c>
      <c r="T59" s="627">
        <v>414.88400000000001</v>
      </c>
      <c r="U59" s="627">
        <v>0</v>
      </c>
      <c r="V59" s="627">
        <v>275929</v>
      </c>
      <c r="W59" s="627">
        <v>143.828</v>
      </c>
      <c r="X59" s="627">
        <v>88598</v>
      </c>
      <c r="Y59" s="627">
        <v>88598</v>
      </c>
      <c r="Z59" s="627">
        <v>0</v>
      </c>
      <c r="AA59" s="627">
        <v>0</v>
      </c>
      <c r="AB59" s="627">
        <v>0</v>
      </c>
      <c r="AC59" s="627">
        <v>0</v>
      </c>
      <c r="AD59" s="627">
        <v>0</v>
      </c>
      <c r="AE59" s="627" t="s">
        <v>314</v>
      </c>
      <c r="AF59" s="627">
        <v>0</v>
      </c>
      <c r="AG59" s="627">
        <v>0</v>
      </c>
      <c r="AH59" s="627">
        <v>0</v>
      </c>
      <c r="AI59" s="627">
        <v>0</v>
      </c>
      <c r="AJ59" s="627">
        <v>0</v>
      </c>
      <c r="AK59" s="627">
        <v>6160</v>
      </c>
      <c r="AL59" s="627" t="s">
        <v>651</v>
      </c>
      <c r="AM59" s="627" t="s">
        <v>334</v>
      </c>
      <c r="AN59" s="627">
        <v>0</v>
      </c>
      <c r="AO59" s="627">
        <v>0</v>
      </c>
      <c r="AP59" s="627">
        <v>0</v>
      </c>
      <c r="AQ59" s="627">
        <v>0</v>
      </c>
      <c r="AR59" s="627">
        <v>0</v>
      </c>
      <c r="AS59" s="627">
        <v>0</v>
      </c>
      <c r="AT59" s="627">
        <v>0</v>
      </c>
      <c r="AU59" s="627">
        <v>0</v>
      </c>
      <c r="AV59" s="627">
        <v>0</v>
      </c>
      <c r="AW59" s="627">
        <v>0</v>
      </c>
      <c r="AX59" s="627">
        <v>12360586</v>
      </c>
      <c r="AY59" s="627">
        <v>12153759</v>
      </c>
      <c r="AZ59" s="627">
        <v>6186063</v>
      </c>
      <c r="BA59" s="627">
        <v>531697</v>
      </c>
      <c r="BB59" s="627">
        <v>0</v>
      </c>
      <c r="BC59" s="627">
        <v>27991</v>
      </c>
      <c r="BD59" s="627">
        <v>27813</v>
      </c>
      <c r="BE59" s="627">
        <v>65.698999999999998</v>
      </c>
      <c r="BF59" s="627">
        <v>178</v>
      </c>
      <c r="BG59" s="627">
        <v>10846075</v>
      </c>
      <c r="BH59" s="627">
        <v>0</v>
      </c>
      <c r="BI59" s="627">
        <v>0</v>
      </c>
      <c r="BJ59" s="627">
        <v>0</v>
      </c>
      <c r="BK59" s="627">
        <v>12</v>
      </c>
      <c r="BL59" s="627">
        <v>0</v>
      </c>
      <c r="BM59" s="627">
        <v>0</v>
      </c>
      <c r="BN59" s="627">
        <v>0</v>
      </c>
      <c r="BO59" s="627">
        <v>0</v>
      </c>
      <c r="BP59" s="627">
        <v>0</v>
      </c>
      <c r="BQ59" s="627">
        <v>0</v>
      </c>
      <c r="BR59" s="627">
        <v>584</v>
      </c>
      <c r="BS59" s="627">
        <v>0</v>
      </c>
      <c r="BT59" s="627">
        <v>0</v>
      </c>
      <c r="BU59" s="627">
        <v>0</v>
      </c>
      <c r="BV59" s="627">
        <v>0</v>
      </c>
      <c r="BW59" s="627">
        <v>0</v>
      </c>
      <c r="BX59" s="627">
        <v>0</v>
      </c>
      <c r="BY59" s="627">
        <v>0</v>
      </c>
      <c r="BZ59" s="627">
        <v>0</v>
      </c>
      <c r="CA59" s="627">
        <v>0</v>
      </c>
      <c r="CB59" s="627">
        <v>0</v>
      </c>
      <c r="CC59" s="627">
        <v>0</v>
      </c>
      <c r="CD59" s="627">
        <v>0</v>
      </c>
      <c r="CE59" s="627">
        <v>0</v>
      </c>
      <c r="CF59" s="627">
        <v>0</v>
      </c>
      <c r="CG59" s="627">
        <v>0</v>
      </c>
      <c r="CH59" s="627">
        <v>0</v>
      </c>
      <c r="CI59" s="627">
        <v>210143</v>
      </c>
      <c r="CJ59" s="627">
        <v>0</v>
      </c>
      <c r="CK59" s="627">
        <v>4</v>
      </c>
      <c r="CL59" s="627">
        <v>0</v>
      </c>
      <c r="CM59" s="627">
        <v>0</v>
      </c>
      <c r="CN59" s="627">
        <v>0</v>
      </c>
      <c r="CO59" s="627">
        <v>0</v>
      </c>
      <c r="CP59" s="627">
        <v>1</v>
      </c>
      <c r="CQ59" s="627">
        <v>0</v>
      </c>
      <c r="CR59" s="627">
        <v>0</v>
      </c>
      <c r="CS59" s="627">
        <v>1271.55</v>
      </c>
      <c r="CT59" s="627">
        <v>0</v>
      </c>
      <c r="CU59" s="627">
        <v>0</v>
      </c>
      <c r="CV59" s="627">
        <v>0</v>
      </c>
      <c r="CW59" s="627">
        <v>0</v>
      </c>
      <c r="CX59" s="627">
        <v>0</v>
      </c>
      <c r="CY59" s="627">
        <v>0</v>
      </c>
      <c r="CZ59" s="627">
        <v>0</v>
      </c>
      <c r="DA59" s="627">
        <v>0</v>
      </c>
      <c r="DB59" s="627">
        <v>0</v>
      </c>
      <c r="DC59" s="627">
        <v>7457450</v>
      </c>
      <c r="DD59" s="627">
        <v>0</v>
      </c>
      <c r="DE59" s="627">
        <v>0</v>
      </c>
      <c r="DF59" s="627">
        <v>21252</v>
      </c>
      <c r="DG59" s="627">
        <v>21252</v>
      </c>
      <c r="DH59" s="627">
        <v>3.45</v>
      </c>
      <c r="DI59" s="627">
        <v>0</v>
      </c>
      <c r="DJ59" s="627">
        <v>0</v>
      </c>
      <c r="DK59" s="627">
        <v>0</v>
      </c>
      <c r="DL59" s="627">
        <v>959</v>
      </c>
      <c r="DM59" s="627">
        <v>0</v>
      </c>
      <c r="DN59" s="627">
        <v>920560</v>
      </c>
      <c r="DO59" s="627">
        <v>3138</v>
      </c>
      <c r="DP59" s="627">
        <v>0</v>
      </c>
      <c r="DQ59" s="627">
        <v>0</v>
      </c>
      <c r="DR59" s="627">
        <v>0</v>
      </c>
      <c r="DS59" s="627">
        <v>0</v>
      </c>
      <c r="DT59" s="627">
        <v>0</v>
      </c>
      <c r="DU59" s="627">
        <v>0</v>
      </c>
      <c r="DV59" s="627">
        <v>0</v>
      </c>
      <c r="DW59" s="627">
        <v>0</v>
      </c>
      <c r="DX59" s="627">
        <v>0</v>
      </c>
      <c r="DY59" s="627">
        <v>0</v>
      </c>
      <c r="DZ59" s="627">
        <v>0</v>
      </c>
      <c r="EA59" s="627">
        <v>0</v>
      </c>
      <c r="EB59" s="627">
        <v>0</v>
      </c>
      <c r="EC59" s="627">
        <v>0</v>
      </c>
      <c r="ED59" s="627">
        <v>66.739999999999995</v>
      </c>
      <c r="EE59" s="627">
        <v>472786</v>
      </c>
      <c r="EF59" s="627">
        <v>0</v>
      </c>
      <c r="EG59" s="627">
        <v>0</v>
      </c>
      <c r="EH59" s="627">
        <v>0</v>
      </c>
      <c r="EI59" s="627">
        <v>450912</v>
      </c>
      <c r="EJ59" s="627">
        <v>0</v>
      </c>
      <c r="EK59" s="627">
        <v>0</v>
      </c>
      <c r="EL59" s="627">
        <v>15.073</v>
      </c>
      <c r="EM59" s="627">
        <v>0</v>
      </c>
      <c r="EN59" s="627">
        <v>4.7120000000000006</v>
      </c>
      <c r="EO59" s="627">
        <v>2.7690000000000001</v>
      </c>
      <c r="EP59" s="627">
        <v>0</v>
      </c>
      <c r="EQ59" s="627">
        <v>0</v>
      </c>
      <c r="ER59" s="627">
        <v>22.554000000000002</v>
      </c>
      <c r="ES59" s="627">
        <v>0</v>
      </c>
      <c r="ET59" s="627">
        <v>73.2</v>
      </c>
      <c r="EU59" s="627">
        <v>0</v>
      </c>
      <c r="EV59" s="627">
        <v>0</v>
      </c>
      <c r="EW59" s="627">
        <v>0</v>
      </c>
      <c r="EX59" s="627">
        <v>0</v>
      </c>
      <c r="EY59" s="627">
        <v>0</v>
      </c>
      <c r="EZ59" s="627">
        <v>0</v>
      </c>
      <c r="FA59" s="627">
        <v>10321482</v>
      </c>
      <c r="FB59" s="627">
        <v>0</v>
      </c>
      <c r="FC59" s="627">
        <v>10849863</v>
      </c>
      <c r="FD59" s="627">
        <v>0</v>
      </c>
      <c r="FE59" s="627">
        <v>0</v>
      </c>
      <c r="FF59" s="627">
        <v>1561793</v>
      </c>
      <c r="FG59" s="627">
        <v>270484</v>
      </c>
      <c r="FH59" s="627">
        <v>7.0280999999999996E-2</v>
      </c>
      <c r="FI59" s="627">
        <v>3.1172999999999999E-2</v>
      </c>
      <c r="FJ59" s="627">
        <v>0</v>
      </c>
      <c r="FK59" s="627">
        <v>0</v>
      </c>
      <c r="FL59" s="627">
        <v>1760.7260000000001</v>
      </c>
      <c r="FM59" s="627">
        <v>12892283</v>
      </c>
      <c r="FN59" s="627">
        <v>0</v>
      </c>
      <c r="FO59" s="627">
        <v>0</v>
      </c>
      <c r="FP59" s="627">
        <v>0</v>
      </c>
      <c r="FQ59" s="627">
        <v>0</v>
      </c>
      <c r="FR59" s="627">
        <v>0</v>
      </c>
      <c r="FS59" s="627">
        <v>0</v>
      </c>
      <c r="FT59" s="627">
        <v>0</v>
      </c>
      <c r="FU59" s="627">
        <v>0</v>
      </c>
      <c r="FV59" s="627">
        <v>0</v>
      </c>
      <c r="FW59" s="627">
        <v>0</v>
      </c>
      <c r="FX59" s="627">
        <v>0</v>
      </c>
      <c r="FY59" s="627">
        <v>0</v>
      </c>
      <c r="FZ59" s="627">
        <v>0</v>
      </c>
      <c r="GA59" s="627">
        <v>0</v>
      </c>
      <c r="GB59" s="627">
        <v>0</v>
      </c>
      <c r="GC59" s="627">
        <v>757317</v>
      </c>
      <c r="GD59" s="627">
        <v>757317</v>
      </c>
      <c r="GE59" s="627">
        <v>80.798000000000002</v>
      </c>
      <c r="GF59" s="627">
        <v>0</v>
      </c>
      <c r="GG59" s="627">
        <v>0</v>
      </c>
      <c r="GH59" s="627">
        <v>0</v>
      </c>
      <c r="GI59" s="627">
        <v>0</v>
      </c>
      <c r="GJ59" s="627">
        <v>0</v>
      </c>
      <c r="GK59" s="627">
        <v>0</v>
      </c>
      <c r="GL59" s="627">
        <v>0</v>
      </c>
      <c r="GM59" s="627">
        <v>0</v>
      </c>
      <c r="GN59" s="627">
        <v>0</v>
      </c>
      <c r="GO59" s="627">
        <v>0</v>
      </c>
      <c r="GP59" s="627">
        <v>0</v>
      </c>
      <c r="GQ59" s="627">
        <v>0</v>
      </c>
      <c r="GR59" s="627">
        <v>12150443</v>
      </c>
      <c r="GS59" s="627">
        <v>0</v>
      </c>
      <c r="GT59" s="627">
        <v>0</v>
      </c>
      <c r="GU59" s="627">
        <v>0</v>
      </c>
      <c r="GV59" s="627">
        <v>0</v>
      </c>
      <c r="GW59" s="627">
        <v>0</v>
      </c>
      <c r="GX59" s="627">
        <v>0</v>
      </c>
      <c r="GY59" s="627">
        <v>0</v>
      </c>
      <c r="GZ59" s="627">
        <v>0</v>
      </c>
      <c r="HA59" s="627">
        <v>0</v>
      </c>
      <c r="HB59" s="627">
        <v>0</v>
      </c>
      <c r="HC59" s="627">
        <v>361151439</v>
      </c>
      <c r="HD59" s="627">
        <v>3.9981999999999997E-2</v>
      </c>
      <c r="HE59" s="627">
        <v>210143</v>
      </c>
      <c r="HF59" s="627">
        <v>0</v>
      </c>
      <c r="HG59" s="627">
        <v>1334109</v>
      </c>
      <c r="HH59" s="627">
        <v>3696</v>
      </c>
      <c r="HI59" s="627">
        <v>50270</v>
      </c>
      <c r="HJ59" s="627">
        <v>0</v>
      </c>
      <c r="HK59" s="627">
        <v>43140</v>
      </c>
      <c r="HL59" s="627">
        <v>3774</v>
      </c>
      <c r="HM59" s="627">
        <v>3330</v>
      </c>
      <c r="HN59" s="627">
        <v>36000</v>
      </c>
      <c r="HO59" s="627">
        <v>102554</v>
      </c>
      <c r="HP59" s="627">
        <v>0</v>
      </c>
      <c r="HQ59" s="627">
        <v>0</v>
      </c>
      <c r="HR59" s="627">
        <v>0</v>
      </c>
      <c r="HS59" s="627">
        <v>0</v>
      </c>
      <c r="HT59" s="627">
        <v>10318166</v>
      </c>
      <c r="HU59" s="627">
        <v>270484</v>
      </c>
      <c r="HV59" s="627">
        <v>0</v>
      </c>
      <c r="HW59" s="627">
        <v>0</v>
      </c>
      <c r="HX59" s="627">
        <v>0</v>
      </c>
      <c r="HY59" s="627">
        <v>11</v>
      </c>
      <c r="HZ59" s="627">
        <v>3</v>
      </c>
      <c r="IA59" s="627">
        <v>0</v>
      </c>
      <c r="IB59" s="627">
        <v>1</v>
      </c>
      <c r="IC59" s="627">
        <v>0</v>
      </c>
      <c r="ID59" s="627">
        <v>15</v>
      </c>
      <c r="IE59" s="627">
        <v>0</v>
      </c>
      <c r="IF59" s="627">
        <v>0</v>
      </c>
      <c r="IG59" s="627">
        <v>0</v>
      </c>
      <c r="IH59" s="627">
        <v>6</v>
      </c>
      <c r="II59" s="627">
        <v>81.606999999999999</v>
      </c>
      <c r="IJ59" s="627">
        <v>0</v>
      </c>
      <c r="IK59" s="627">
        <v>143.828</v>
      </c>
      <c r="IL59" s="627">
        <v>0</v>
      </c>
      <c r="IM59" s="627">
        <v>0</v>
      </c>
      <c r="IN59" s="627">
        <v>12</v>
      </c>
      <c r="IO59" s="627">
        <v>0</v>
      </c>
      <c r="IP59" s="627">
        <v>12</v>
      </c>
      <c r="IQ59" s="627">
        <v>0</v>
      </c>
      <c r="IR59" s="627">
        <v>143.828</v>
      </c>
      <c r="IS59" s="627">
        <v>88598</v>
      </c>
      <c r="IT59" s="627">
        <v>0</v>
      </c>
      <c r="IU59" s="627">
        <v>0</v>
      </c>
      <c r="IV59" s="627">
        <v>36000</v>
      </c>
      <c r="IW59" s="627">
        <v>0</v>
      </c>
      <c r="IX59" s="627">
        <v>6160</v>
      </c>
      <c r="IY59" s="627">
        <v>0</v>
      </c>
      <c r="IZ59" s="627">
        <v>0</v>
      </c>
      <c r="JA59" s="627">
        <v>0</v>
      </c>
      <c r="JB59" s="627">
        <v>0</v>
      </c>
      <c r="JC59" s="627">
        <v>2</v>
      </c>
      <c r="JD59" s="627">
        <v>24446</v>
      </c>
      <c r="JE59" s="627">
        <v>11</v>
      </c>
      <c r="JF59" s="627">
        <v>67012</v>
      </c>
      <c r="JG59" s="627">
        <v>2</v>
      </c>
      <c r="JH59" s="627">
        <v>6096</v>
      </c>
      <c r="JI59" s="627">
        <v>5000</v>
      </c>
      <c r="JJ59" s="627">
        <v>0</v>
      </c>
      <c r="JK59" s="627">
        <v>0</v>
      </c>
      <c r="JL59" s="627">
        <v>0</v>
      </c>
      <c r="JM59" s="627">
        <v>0</v>
      </c>
      <c r="JN59" s="627">
        <v>0</v>
      </c>
      <c r="JO59" s="627">
        <v>32469</v>
      </c>
      <c r="JP59" s="627">
        <v>16.522000000000002</v>
      </c>
      <c r="JQ59" s="627">
        <v>44.087000000000003</v>
      </c>
      <c r="JR59" s="627">
        <v>20.190000000000001</v>
      </c>
      <c r="JS59" s="627">
        <v>131981</v>
      </c>
      <c r="JT59" s="627">
        <v>409805</v>
      </c>
      <c r="JU59" s="627">
        <v>215531</v>
      </c>
      <c r="JV59" s="627">
        <v>28329</v>
      </c>
      <c r="JW59" s="627">
        <v>0</v>
      </c>
      <c r="JX59" s="627">
        <v>0</v>
      </c>
      <c r="JY59" s="627">
        <v>0</v>
      </c>
      <c r="JZ59" s="627">
        <v>0</v>
      </c>
      <c r="KA59" s="627">
        <v>0</v>
      </c>
      <c r="KB59" s="627">
        <v>0</v>
      </c>
      <c r="KC59" s="627">
        <v>0</v>
      </c>
      <c r="KD59" s="627">
        <v>0</v>
      </c>
      <c r="KE59" s="627">
        <v>28459</v>
      </c>
      <c r="KF59" s="627">
        <v>7262</v>
      </c>
      <c r="KG59" s="627">
        <v>0</v>
      </c>
      <c r="KH59" s="627">
        <v>0</v>
      </c>
      <c r="KI59" s="627">
        <v>12150443</v>
      </c>
      <c r="KJ59" s="627">
        <v>0</v>
      </c>
      <c r="KK59" s="627">
        <v>2</v>
      </c>
      <c r="KL59" s="627">
        <v>4</v>
      </c>
      <c r="KM59" s="627">
        <v>1232</v>
      </c>
      <c r="KN59" s="627">
        <v>2464</v>
      </c>
      <c r="KO59" s="627">
        <v>0</v>
      </c>
      <c r="KP59" s="627">
        <v>0</v>
      </c>
      <c r="KQ59" s="627">
        <v>12150443</v>
      </c>
      <c r="KR59" s="627">
        <v>0</v>
      </c>
      <c r="KS59" s="627">
        <v>0</v>
      </c>
      <c r="KT59" s="627">
        <v>0</v>
      </c>
      <c r="KU59" s="627">
        <v>0</v>
      </c>
      <c r="KV59" s="627">
        <v>0</v>
      </c>
      <c r="KW59" s="627">
        <v>0</v>
      </c>
      <c r="KX59" s="627">
        <v>0</v>
      </c>
      <c r="KY59" s="627">
        <v>0</v>
      </c>
      <c r="KZ59" s="627">
        <v>0</v>
      </c>
      <c r="LA59" s="627">
        <v>0</v>
      </c>
      <c r="LB59" s="627">
        <v>0</v>
      </c>
      <c r="LC59" s="627">
        <v>0</v>
      </c>
      <c r="LD59" s="627">
        <v>0</v>
      </c>
      <c r="LE59" s="627">
        <v>0</v>
      </c>
      <c r="LF59" s="627">
        <v>0</v>
      </c>
    </row>
    <row r="60" spans="1:318" x14ac:dyDescent="0.25">
      <c r="A60" s="627">
        <v>42602</v>
      </c>
      <c r="B60" s="627">
        <v>71804</v>
      </c>
      <c r="D60" s="627">
        <v>9</v>
      </c>
      <c r="E60" s="627">
        <v>2024</v>
      </c>
      <c r="F60" s="627">
        <v>6160</v>
      </c>
      <c r="G60" s="627">
        <v>0</v>
      </c>
      <c r="H60" s="627">
        <v>321.27</v>
      </c>
      <c r="I60" s="627">
        <v>303.024</v>
      </c>
      <c r="J60" s="627">
        <v>303.024</v>
      </c>
      <c r="K60" s="627">
        <v>321.27</v>
      </c>
      <c r="L60" s="627">
        <v>0</v>
      </c>
      <c r="M60" s="627">
        <v>6160</v>
      </c>
      <c r="N60" s="627">
        <v>0</v>
      </c>
      <c r="O60" s="627">
        <v>0</v>
      </c>
      <c r="P60" s="627">
        <v>0</v>
      </c>
      <c r="Q60" s="627">
        <v>320.928</v>
      </c>
      <c r="R60" s="627">
        <v>0</v>
      </c>
      <c r="S60" s="627">
        <v>133148</v>
      </c>
      <c r="T60" s="627">
        <v>414.88400000000001</v>
      </c>
      <c r="U60" s="627">
        <v>0</v>
      </c>
      <c r="V60" s="627">
        <v>69098</v>
      </c>
      <c r="W60" s="627">
        <v>61.215000000000003</v>
      </c>
      <c r="X60" s="627">
        <v>37708</v>
      </c>
      <c r="Y60" s="627">
        <v>37708</v>
      </c>
      <c r="Z60" s="627">
        <v>0</v>
      </c>
      <c r="AA60" s="627">
        <v>0</v>
      </c>
      <c r="AB60" s="627">
        <v>0</v>
      </c>
      <c r="AC60" s="627">
        <v>0</v>
      </c>
      <c r="AD60" s="627">
        <v>0</v>
      </c>
      <c r="AE60" s="627" t="s">
        <v>314</v>
      </c>
      <c r="AF60" s="627">
        <v>0</v>
      </c>
      <c r="AG60" s="627">
        <v>0</v>
      </c>
      <c r="AH60" s="627">
        <v>0</v>
      </c>
      <c r="AI60" s="627">
        <v>0</v>
      </c>
      <c r="AJ60" s="627">
        <v>0</v>
      </c>
      <c r="AK60" s="627">
        <v>6160</v>
      </c>
      <c r="AL60" s="627" t="s">
        <v>651</v>
      </c>
      <c r="AM60" s="627" t="s">
        <v>25</v>
      </c>
      <c r="AN60" s="627">
        <v>0</v>
      </c>
      <c r="AO60" s="627">
        <v>0</v>
      </c>
      <c r="AP60" s="627">
        <v>0</v>
      </c>
      <c r="AQ60" s="627">
        <v>0</v>
      </c>
      <c r="AR60" s="627">
        <v>0</v>
      </c>
      <c r="AS60" s="627">
        <v>0</v>
      </c>
      <c r="AT60" s="627">
        <v>0</v>
      </c>
      <c r="AU60" s="627">
        <v>0</v>
      </c>
      <c r="AV60" s="627">
        <v>0</v>
      </c>
      <c r="AW60" s="627">
        <v>0</v>
      </c>
      <c r="AX60" s="627">
        <v>3479991</v>
      </c>
      <c r="AY60" s="627">
        <v>3429536</v>
      </c>
      <c r="AZ60" s="627">
        <v>1761137</v>
      </c>
      <c r="BA60" s="627">
        <v>133148</v>
      </c>
      <c r="BB60" s="627">
        <v>12.167</v>
      </c>
      <c r="BC60" s="627">
        <v>0</v>
      </c>
      <c r="BD60" s="627">
        <v>0</v>
      </c>
      <c r="BE60" s="627">
        <v>0</v>
      </c>
      <c r="BF60" s="627">
        <v>0</v>
      </c>
      <c r="BG60" s="627">
        <v>2972726</v>
      </c>
      <c r="BH60" s="627">
        <v>0</v>
      </c>
      <c r="BI60" s="627">
        <v>0</v>
      </c>
      <c r="BJ60" s="627">
        <v>0</v>
      </c>
      <c r="BK60" s="627">
        <v>12</v>
      </c>
      <c r="BL60" s="627">
        <v>0</v>
      </c>
      <c r="BM60" s="627">
        <v>0</v>
      </c>
      <c r="BN60" s="627">
        <v>0</v>
      </c>
      <c r="BO60" s="627">
        <v>0</v>
      </c>
      <c r="BP60" s="627">
        <v>0</v>
      </c>
      <c r="BQ60" s="627">
        <v>0</v>
      </c>
      <c r="BR60" s="627">
        <v>723</v>
      </c>
      <c r="BS60" s="627">
        <v>0</v>
      </c>
      <c r="BT60" s="627">
        <v>0</v>
      </c>
      <c r="BU60" s="627">
        <v>0</v>
      </c>
      <c r="BV60" s="627">
        <v>0</v>
      </c>
      <c r="BW60" s="627">
        <v>0</v>
      </c>
      <c r="BX60" s="627">
        <v>0</v>
      </c>
      <c r="BY60" s="627">
        <v>0</v>
      </c>
      <c r="BZ60" s="627">
        <v>0</v>
      </c>
      <c r="CA60" s="627">
        <v>0</v>
      </c>
      <c r="CB60" s="627">
        <v>0</v>
      </c>
      <c r="CC60" s="627">
        <v>0</v>
      </c>
      <c r="CD60" s="627">
        <v>0</v>
      </c>
      <c r="CE60" s="627">
        <v>0</v>
      </c>
      <c r="CF60" s="627">
        <v>0</v>
      </c>
      <c r="CG60" s="627">
        <v>0</v>
      </c>
      <c r="CH60" s="627">
        <v>0</v>
      </c>
      <c r="CI60" s="627">
        <v>51380</v>
      </c>
      <c r="CJ60" s="627">
        <v>0</v>
      </c>
      <c r="CK60" s="627">
        <v>4</v>
      </c>
      <c r="CL60" s="627">
        <v>0</v>
      </c>
      <c r="CM60" s="627">
        <v>0</v>
      </c>
      <c r="CN60" s="627">
        <v>0</v>
      </c>
      <c r="CO60" s="627">
        <v>0</v>
      </c>
      <c r="CP60" s="627">
        <v>1</v>
      </c>
      <c r="CQ60" s="627">
        <v>1.302</v>
      </c>
      <c r="CR60" s="627">
        <v>0</v>
      </c>
      <c r="CS60" s="627">
        <v>319.25</v>
      </c>
      <c r="CT60" s="627">
        <v>0</v>
      </c>
      <c r="CU60" s="627">
        <v>0</v>
      </c>
      <c r="CV60" s="627">
        <v>0</v>
      </c>
      <c r="CW60" s="627">
        <v>0</v>
      </c>
      <c r="CX60" s="627">
        <v>0</v>
      </c>
      <c r="CY60" s="627">
        <v>0</v>
      </c>
      <c r="CZ60" s="627">
        <v>0</v>
      </c>
      <c r="DA60" s="627">
        <v>0</v>
      </c>
      <c r="DB60" s="627">
        <v>0</v>
      </c>
      <c r="DC60" s="627">
        <v>1866628</v>
      </c>
      <c r="DD60" s="627">
        <v>0</v>
      </c>
      <c r="DE60" s="627">
        <v>0</v>
      </c>
      <c r="DF60" s="627">
        <v>298760</v>
      </c>
      <c r="DG60" s="627">
        <v>318089</v>
      </c>
      <c r="DH60" s="627">
        <v>48.5</v>
      </c>
      <c r="DI60" s="627">
        <v>0</v>
      </c>
      <c r="DJ60" s="627">
        <v>19329</v>
      </c>
      <c r="DK60" s="627">
        <v>0</v>
      </c>
      <c r="DL60" s="627">
        <v>3196</v>
      </c>
      <c r="DM60" s="627">
        <v>0</v>
      </c>
      <c r="DN60" s="627">
        <v>271342</v>
      </c>
      <c r="DO60" s="627">
        <v>925</v>
      </c>
      <c r="DP60" s="627">
        <v>0</v>
      </c>
      <c r="DQ60" s="627">
        <v>0</v>
      </c>
      <c r="DR60" s="627">
        <v>0</v>
      </c>
      <c r="DS60" s="627">
        <v>0</v>
      </c>
      <c r="DT60" s="627">
        <v>0</v>
      </c>
      <c r="DU60" s="627">
        <v>0</v>
      </c>
      <c r="DV60" s="627">
        <v>0</v>
      </c>
      <c r="DW60" s="627">
        <v>0</v>
      </c>
      <c r="DX60" s="627">
        <v>0</v>
      </c>
      <c r="DY60" s="627">
        <v>0</v>
      </c>
      <c r="DZ60" s="627">
        <v>0</v>
      </c>
      <c r="EA60" s="627">
        <v>0</v>
      </c>
      <c r="EB60" s="627">
        <v>0</v>
      </c>
      <c r="EC60" s="627">
        <v>0</v>
      </c>
      <c r="ED60" s="627">
        <v>25.755000000000003</v>
      </c>
      <c r="EE60" s="627">
        <v>182448</v>
      </c>
      <c r="EF60" s="627">
        <v>0</v>
      </c>
      <c r="EG60" s="627">
        <v>0</v>
      </c>
      <c r="EH60" s="627">
        <v>0</v>
      </c>
      <c r="EI60" s="627">
        <v>89819</v>
      </c>
      <c r="EJ60" s="627">
        <v>0</v>
      </c>
      <c r="EK60" s="627">
        <v>0</v>
      </c>
      <c r="EL60" s="627">
        <v>4.6320000000000006</v>
      </c>
      <c r="EM60" s="627">
        <v>0</v>
      </c>
      <c r="EN60" s="627">
        <v>0</v>
      </c>
      <c r="EO60" s="627">
        <v>0.13700000000000001</v>
      </c>
      <c r="EP60" s="627">
        <v>0</v>
      </c>
      <c r="EQ60" s="627">
        <v>0</v>
      </c>
      <c r="ER60" s="627">
        <v>4.7690000000000001</v>
      </c>
      <c r="ES60" s="627">
        <v>0</v>
      </c>
      <c r="ET60" s="627">
        <v>14.581000000000001</v>
      </c>
      <c r="EU60" s="627">
        <v>0</v>
      </c>
      <c r="EV60" s="627">
        <v>0</v>
      </c>
      <c r="EW60" s="627">
        <v>0</v>
      </c>
      <c r="EX60" s="627">
        <v>0</v>
      </c>
      <c r="EY60" s="627">
        <v>0</v>
      </c>
      <c r="EZ60" s="627">
        <v>0</v>
      </c>
      <c r="FA60" s="627">
        <v>2927340</v>
      </c>
      <c r="FB60" s="627">
        <v>0</v>
      </c>
      <c r="FC60" s="627">
        <v>3059563</v>
      </c>
      <c r="FD60" s="627">
        <v>0</v>
      </c>
      <c r="FE60" s="627">
        <v>0</v>
      </c>
      <c r="FF60" s="627">
        <v>428061</v>
      </c>
      <c r="FG60" s="627">
        <v>74135</v>
      </c>
      <c r="FH60" s="627">
        <v>7.0280999999999996E-2</v>
      </c>
      <c r="FI60" s="627">
        <v>3.1172999999999999E-2</v>
      </c>
      <c r="FJ60" s="627">
        <v>0</v>
      </c>
      <c r="FK60" s="627">
        <v>0</v>
      </c>
      <c r="FL60" s="627">
        <v>482.58500000000004</v>
      </c>
      <c r="FM60" s="627">
        <v>3613139</v>
      </c>
      <c r="FN60" s="627">
        <v>0</v>
      </c>
      <c r="FO60" s="627">
        <v>0</v>
      </c>
      <c r="FP60" s="627">
        <v>0</v>
      </c>
      <c r="FQ60" s="627">
        <v>0</v>
      </c>
      <c r="FR60" s="627">
        <v>0</v>
      </c>
      <c r="FS60" s="627">
        <v>0</v>
      </c>
      <c r="FT60" s="627">
        <v>0</v>
      </c>
      <c r="FU60" s="627">
        <v>0</v>
      </c>
      <c r="FV60" s="627">
        <v>0</v>
      </c>
      <c r="FW60" s="627">
        <v>0</v>
      </c>
      <c r="FX60" s="627">
        <v>0</v>
      </c>
      <c r="FY60" s="627">
        <v>0</v>
      </c>
      <c r="FZ60" s="627">
        <v>0</v>
      </c>
      <c r="GA60" s="627">
        <v>0</v>
      </c>
      <c r="GB60" s="627">
        <v>0</v>
      </c>
      <c r="GC60" s="627">
        <v>107657</v>
      </c>
      <c r="GD60" s="627">
        <v>107657</v>
      </c>
      <c r="GE60" s="627">
        <v>13.477</v>
      </c>
      <c r="GF60" s="627">
        <v>0</v>
      </c>
      <c r="GG60" s="627">
        <v>0</v>
      </c>
      <c r="GH60" s="627">
        <v>0</v>
      </c>
      <c r="GI60" s="627">
        <v>0</v>
      </c>
      <c r="GJ60" s="627">
        <v>0</v>
      </c>
      <c r="GK60" s="627">
        <v>0</v>
      </c>
      <c r="GL60" s="627">
        <v>0</v>
      </c>
      <c r="GM60" s="627">
        <v>0</v>
      </c>
      <c r="GN60" s="627">
        <v>0</v>
      </c>
      <c r="GO60" s="627">
        <v>0</v>
      </c>
      <c r="GP60" s="627">
        <v>0</v>
      </c>
      <c r="GQ60" s="627">
        <v>0</v>
      </c>
      <c r="GR60" s="627">
        <v>3428611</v>
      </c>
      <c r="GS60" s="627">
        <v>0</v>
      </c>
      <c r="GT60" s="627">
        <v>0</v>
      </c>
      <c r="GU60" s="627">
        <v>0</v>
      </c>
      <c r="GV60" s="627">
        <v>0</v>
      </c>
      <c r="GW60" s="627">
        <v>0</v>
      </c>
      <c r="GX60" s="627">
        <v>0</v>
      </c>
      <c r="GY60" s="627">
        <v>0</v>
      </c>
      <c r="GZ60" s="627">
        <v>0</v>
      </c>
      <c r="HA60" s="627">
        <v>0</v>
      </c>
      <c r="HB60" s="627">
        <v>0</v>
      </c>
      <c r="HC60" s="627">
        <v>361151439</v>
      </c>
      <c r="HD60" s="627">
        <v>3.9981999999999997E-2</v>
      </c>
      <c r="HE60" s="627">
        <v>51380</v>
      </c>
      <c r="HF60" s="627">
        <v>0</v>
      </c>
      <c r="HG60" s="627">
        <v>333932</v>
      </c>
      <c r="HH60" s="627">
        <v>1232</v>
      </c>
      <c r="HI60" s="627">
        <v>0</v>
      </c>
      <c r="HJ60" s="627">
        <v>0</v>
      </c>
      <c r="HK60" s="627">
        <v>33213</v>
      </c>
      <c r="HL60" s="627">
        <v>4385</v>
      </c>
      <c r="HM60" s="627">
        <v>4720</v>
      </c>
      <c r="HN60" s="627">
        <v>2000</v>
      </c>
      <c r="HO60" s="627">
        <v>0</v>
      </c>
      <c r="HP60" s="627">
        <v>0</v>
      </c>
      <c r="HQ60" s="627">
        <v>78657</v>
      </c>
      <c r="HR60" s="627">
        <v>0</v>
      </c>
      <c r="HS60" s="627">
        <v>0</v>
      </c>
      <c r="HT60" s="627">
        <v>2926415</v>
      </c>
      <c r="HU60" s="627">
        <v>74135</v>
      </c>
      <c r="HV60" s="627">
        <v>0</v>
      </c>
      <c r="HW60" s="627">
        <v>0</v>
      </c>
      <c r="HX60" s="627">
        <v>0</v>
      </c>
      <c r="HY60" s="627">
        <v>38</v>
      </c>
      <c r="HZ60" s="627">
        <v>35</v>
      </c>
      <c r="IA60" s="627">
        <v>33</v>
      </c>
      <c r="IB60" s="627">
        <v>43</v>
      </c>
      <c r="IC60" s="627">
        <v>44</v>
      </c>
      <c r="ID60" s="627">
        <v>193</v>
      </c>
      <c r="IE60" s="627">
        <v>0</v>
      </c>
      <c r="IF60" s="627">
        <v>0</v>
      </c>
      <c r="IG60" s="627">
        <v>0</v>
      </c>
      <c r="IH60" s="627">
        <v>2</v>
      </c>
      <c r="II60" s="627">
        <v>0</v>
      </c>
      <c r="IJ60" s="627">
        <v>286.024</v>
      </c>
      <c r="IK60" s="627">
        <v>61.215000000000003</v>
      </c>
      <c r="IL60" s="627">
        <v>0</v>
      </c>
      <c r="IM60" s="627">
        <v>0</v>
      </c>
      <c r="IN60" s="627">
        <v>0</v>
      </c>
      <c r="IO60" s="627">
        <v>1</v>
      </c>
      <c r="IP60" s="627">
        <v>1</v>
      </c>
      <c r="IQ60" s="627">
        <v>286.024</v>
      </c>
      <c r="IR60" s="627">
        <v>61.215000000000003</v>
      </c>
      <c r="IS60" s="627">
        <v>37708</v>
      </c>
      <c r="IT60" s="627">
        <v>0</v>
      </c>
      <c r="IU60" s="627">
        <v>0</v>
      </c>
      <c r="IV60" s="627">
        <v>0</v>
      </c>
      <c r="IW60" s="627">
        <v>2000</v>
      </c>
      <c r="IX60" s="627">
        <v>6160</v>
      </c>
      <c r="IY60" s="627">
        <v>0</v>
      </c>
      <c r="IZ60" s="627">
        <v>0</v>
      </c>
      <c r="JA60" s="627">
        <v>78657</v>
      </c>
      <c r="JB60" s="627">
        <v>0</v>
      </c>
      <c r="JC60" s="627">
        <v>0</v>
      </c>
      <c r="JD60" s="627">
        <v>0</v>
      </c>
      <c r="JE60" s="627">
        <v>0</v>
      </c>
      <c r="JF60" s="627">
        <v>0</v>
      </c>
      <c r="JG60" s="627">
        <v>0</v>
      </c>
      <c r="JH60" s="627">
        <v>0</v>
      </c>
      <c r="JI60" s="627">
        <v>0</v>
      </c>
      <c r="JJ60" s="627">
        <v>0</v>
      </c>
      <c r="JK60" s="627">
        <v>0</v>
      </c>
      <c r="JL60" s="627">
        <v>0</v>
      </c>
      <c r="JM60" s="627">
        <v>0</v>
      </c>
      <c r="JN60" s="627">
        <v>0</v>
      </c>
      <c r="JO60" s="627">
        <v>32469</v>
      </c>
      <c r="JP60" s="627">
        <v>13.477</v>
      </c>
      <c r="JQ60" s="627">
        <v>0</v>
      </c>
      <c r="JR60" s="627">
        <v>0</v>
      </c>
      <c r="JS60" s="627">
        <v>107657</v>
      </c>
      <c r="JT60" s="627">
        <v>0</v>
      </c>
      <c r="JU60" s="627">
        <v>0</v>
      </c>
      <c r="JV60" s="627">
        <v>0</v>
      </c>
      <c r="JW60" s="627">
        <v>0</v>
      </c>
      <c r="JX60" s="627">
        <v>0</v>
      </c>
      <c r="JY60" s="627">
        <v>0</v>
      </c>
      <c r="JZ60" s="627">
        <v>0</v>
      </c>
      <c r="KA60" s="627">
        <v>0</v>
      </c>
      <c r="KB60" s="627">
        <v>0</v>
      </c>
      <c r="KC60" s="627">
        <v>0</v>
      </c>
      <c r="KD60" s="627">
        <v>0</v>
      </c>
      <c r="KE60" s="627">
        <v>0</v>
      </c>
      <c r="KF60" s="627">
        <v>7262</v>
      </c>
      <c r="KG60" s="627">
        <v>0</v>
      </c>
      <c r="KH60" s="627">
        <v>0</v>
      </c>
      <c r="KI60" s="627">
        <v>3428611</v>
      </c>
      <c r="KJ60" s="627">
        <v>0</v>
      </c>
      <c r="KK60" s="627">
        <v>0</v>
      </c>
      <c r="KL60" s="627">
        <v>2</v>
      </c>
      <c r="KM60" s="627">
        <v>0</v>
      </c>
      <c r="KN60" s="627">
        <v>1232</v>
      </c>
      <c r="KO60" s="627">
        <v>0</v>
      </c>
      <c r="KP60" s="627">
        <v>0</v>
      </c>
      <c r="KQ60" s="627">
        <v>3428611</v>
      </c>
      <c r="KR60" s="627">
        <v>0</v>
      </c>
      <c r="KS60" s="627">
        <v>0</v>
      </c>
      <c r="KT60" s="627">
        <v>0</v>
      </c>
      <c r="KU60" s="627">
        <v>0</v>
      </c>
      <c r="KV60" s="627">
        <v>0</v>
      </c>
      <c r="KW60" s="627">
        <v>0</v>
      </c>
      <c r="KX60" s="627">
        <v>0</v>
      </c>
      <c r="KY60" s="627">
        <v>0</v>
      </c>
      <c r="KZ60" s="627">
        <v>0</v>
      </c>
      <c r="LA60" s="627">
        <v>0</v>
      </c>
      <c r="LB60" s="627">
        <v>0</v>
      </c>
      <c r="LC60" s="627">
        <v>0</v>
      </c>
      <c r="LD60" s="627">
        <v>0</v>
      </c>
      <c r="LE60" s="627">
        <v>0</v>
      </c>
      <c r="LF60" s="627">
        <v>0</v>
      </c>
    </row>
    <row r="61" spans="1:318" x14ac:dyDescent="0.25">
      <c r="A61" s="627">
        <v>42602</v>
      </c>
      <c r="B61" s="627">
        <v>84804</v>
      </c>
      <c r="D61" s="627">
        <v>9</v>
      </c>
      <c r="E61" s="627">
        <v>2024</v>
      </c>
      <c r="F61" s="627">
        <v>6160</v>
      </c>
      <c r="G61" s="627">
        <v>0</v>
      </c>
      <c r="H61" s="627">
        <v>140.04</v>
      </c>
      <c r="I61" s="627">
        <v>139.899</v>
      </c>
      <c r="J61" s="627">
        <v>139.899</v>
      </c>
      <c r="K61" s="627">
        <v>140.04</v>
      </c>
      <c r="L61" s="627">
        <v>0</v>
      </c>
      <c r="M61" s="627">
        <v>6160</v>
      </c>
      <c r="N61" s="627">
        <v>0</v>
      </c>
      <c r="O61" s="627">
        <v>0</v>
      </c>
      <c r="P61" s="627">
        <v>0</v>
      </c>
      <c r="Q61" s="627">
        <v>144.83000000000001</v>
      </c>
      <c r="R61" s="627">
        <v>0</v>
      </c>
      <c r="S61" s="627">
        <v>60088</v>
      </c>
      <c r="T61" s="627">
        <v>414.88400000000001</v>
      </c>
      <c r="U61" s="627">
        <v>0</v>
      </c>
      <c r="V61" s="627">
        <v>31182</v>
      </c>
      <c r="W61" s="627">
        <v>0</v>
      </c>
      <c r="X61" s="627">
        <v>0</v>
      </c>
      <c r="Y61" s="627">
        <v>0</v>
      </c>
      <c r="Z61" s="627">
        <v>0</v>
      </c>
      <c r="AA61" s="627">
        <v>0</v>
      </c>
      <c r="AB61" s="627">
        <v>0</v>
      </c>
      <c r="AC61" s="627">
        <v>0</v>
      </c>
      <c r="AD61" s="627">
        <v>0</v>
      </c>
      <c r="AE61" s="627" t="s">
        <v>314</v>
      </c>
      <c r="AF61" s="627">
        <v>0</v>
      </c>
      <c r="AG61" s="627">
        <v>0</v>
      </c>
      <c r="AH61" s="627">
        <v>0</v>
      </c>
      <c r="AI61" s="627">
        <v>0</v>
      </c>
      <c r="AJ61" s="627">
        <v>0</v>
      </c>
      <c r="AK61" s="627">
        <v>6160</v>
      </c>
      <c r="AL61" s="627" t="s">
        <v>651</v>
      </c>
      <c r="AM61" s="627" t="s">
        <v>64</v>
      </c>
      <c r="AN61" s="627">
        <v>0</v>
      </c>
      <c r="AO61" s="627">
        <v>0</v>
      </c>
      <c r="AP61" s="627">
        <v>0</v>
      </c>
      <c r="AQ61" s="627">
        <v>0</v>
      </c>
      <c r="AR61" s="627">
        <v>0</v>
      </c>
      <c r="AS61" s="627">
        <v>0</v>
      </c>
      <c r="AT61" s="627">
        <v>0</v>
      </c>
      <c r="AU61" s="627">
        <v>0</v>
      </c>
      <c r="AV61" s="627">
        <v>0</v>
      </c>
      <c r="AW61" s="627">
        <v>0</v>
      </c>
      <c r="AX61" s="627">
        <v>1498280</v>
      </c>
      <c r="AY61" s="627">
        <v>1475972</v>
      </c>
      <c r="AZ61" s="627">
        <v>770987</v>
      </c>
      <c r="BA61" s="627">
        <v>60088</v>
      </c>
      <c r="BB61" s="627">
        <v>0</v>
      </c>
      <c r="BC61" s="627">
        <v>852</v>
      </c>
      <c r="BD61" s="627">
        <v>846</v>
      </c>
      <c r="BE61" s="627">
        <v>2</v>
      </c>
      <c r="BF61" s="627">
        <v>5</v>
      </c>
      <c r="BG61" s="627">
        <v>1314068</v>
      </c>
      <c r="BH61" s="627">
        <v>0</v>
      </c>
      <c r="BI61" s="627">
        <v>0</v>
      </c>
      <c r="BJ61" s="627">
        <v>0</v>
      </c>
      <c r="BK61" s="627">
        <v>12</v>
      </c>
      <c r="BL61" s="627">
        <v>0</v>
      </c>
      <c r="BM61" s="627">
        <v>0</v>
      </c>
      <c r="BN61" s="627">
        <v>0</v>
      </c>
      <c r="BO61" s="627">
        <v>0</v>
      </c>
      <c r="BP61" s="627">
        <v>0</v>
      </c>
      <c r="BQ61" s="627">
        <v>0</v>
      </c>
      <c r="BR61" s="627">
        <v>748</v>
      </c>
      <c r="BS61" s="627">
        <v>0</v>
      </c>
      <c r="BT61" s="627">
        <v>0</v>
      </c>
      <c r="BU61" s="627">
        <v>0</v>
      </c>
      <c r="BV61" s="627">
        <v>0</v>
      </c>
      <c r="BW61" s="627">
        <v>0</v>
      </c>
      <c r="BX61" s="627">
        <v>0</v>
      </c>
      <c r="BY61" s="627">
        <v>0</v>
      </c>
      <c r="BZ61" s="627">
        <v>0</v>
      </c>
      <c r="CA61" s="627">
        <v>0</v>
      </c>
      <c r="CB61" s="627">
        <v>0</v>
      </c>
      <c r="CC61" s="627">
        <v>0</v>
      </c>
      <c r="CD61" s="627">
        <v>0</v>
      </c>
      <c r="CE61" s="627">
        <v>0</v>
      </c>
      <c r="CF61" s="627">
        <v>0</v>
      </c>
      <c r="CG61" s="627">
        <v>0</v>
      </c>
      <c r="CH61" s="627">
        <v>0</v>
      </c>
      <c r="CI61" s="627">
        <v>22396</v>
      </c>
      <c r="CJ61" s="627">
        <v>0</v>
      </c>
      <c r="CK61" s="627">
        <v>4</v>
      </c>
      <c r="CL61" s="627">
        <v>0</v>
      </c>
      <c r="CM61" s="627">
        <v>0</v>
      </c>
      <c r="CN61" s="627">
        <v>0</v>
      </c>
      <c r="CO61" s="627">
        <v>0</v>
      </c>
      <c r="CP61" s="627">
        <v>1</v>
      </c>
      <c r="CQ61" s="627">
        <v>0</v>
      </c>
      <c r="CR61" s="627">
        <v>0</v>
      </c>
      <c r="CS61" s="627">
        <v>147.65</v>
      </c>
      <c r="CT61" s="627">
        <v>0</v>
      </c>
      <c r="CU61" s="627">
        <v>0</v>
      </c>
      <c r="CV61" s="627">
        <v>0</v>
      </c>
      <c r="CW61" s="627">
        <v>0</v>
      </c>
      <c r="CX61" s="627">
        <v>0</v>
      </c>
      <c r="CY61" s="627">
        <v>0</v>
      </c>
      <c r="CZ61" s="627">
        <v>0</v>
      </c>
      <c r="DA61" s="627">
        <v>0</v>
      </c>
      <c r="DB61" s="627">
        <v>0</v>
      </c>
      <c r="DC61" s="627">
        <v>832021</v>
      </c>
      <c r="DD61" s="627">
        <v>0</v>
      </c>
      <c r="DE61" s="627">
        <v>0</v>
      </c>
      <c r="DF61" s="627">
        <v>220759</v>
      </c>
      <c r="DG61" s="627">
        <v>220759</v>
      </c>
      <c r="DH61" s="627">
        <v>35.838000000000001</v>
      </c>
      <c r="DI61" s="627">
        <v>0</v>
      </c>
      <c r="DJ61" s="627">
        <v>0</v>
      </c>
      <c r="DK61" s="627">
        <v>0</v>
      </c>
      <c r="DL61" s="627">
        <v>3598</v>
      </c>
      <c r="DM61" s="627">
        <v>0</v>
      </c>
      <c r="DN61" s="627">
        <v>53903</v>
      </c>
      <c r="DO61" s="627">
        <v>82</v>
      </c>
      <c r="DP61" s="627">
        <v>0</v>
      </c>
      <c r="DQ61" s="627">
        <v>0</v>
      </c>
      <c r="DR61" s="627">
        <v>0</v>
      </c>
      <c r="DS61" s="627">
        <v>0</v>
      </c>
      <c r="DT61" s="627">
        <v>0</v>
      </c>
      <c r="DU61" s="627">
        <v>0</v>
      </c>
      <c r="DV61" s="627">
        <v>0</v>
      </c>
      <c r="DW61" s="627">
        <v>0</v>
      </c>
      <c r="DX61" s="627">
        <v>0</v>
      </c>
      <c r="DY61" s="627">
        <v>0</v>
      </c>
      <c r="DZ61" s="627">
        <v>0</v>
      </c>
      <c r="EA61" s="627">
        <v>0</v>
      </c>
      <c r="EB61" s="627">
        <v>0</v>
      </c>
      <c r="EC61" s="627">
        <v>0</v>
      </c>
      <c r="ED61" s="627">
        <v>2.8069999999999999</v>
      </c>
      <c r="EE61" s="627">
        <v>19885</v>
      </c>
      <c r="EF61" s="627">
        <v>0</v>
      </c>
      <c r="EG61" s="627">
        <v>0</v>
      </c>
      <c r="EH61" s="627">
        <v>0</v>
      </c>
      <c r="EI61" s="627">
        <v>4343</v>
      </c>
      <c r="EJ61" s="627">
        <v>0</v>
      </c>
      <c r="EK61" s="627">
        <v>0</v>
      </c>
      <c r="EL61" s="627">
        <v>0</v>
      </c>
      <c r="EM61" s="627">
        <v>0</v>
      </c>
      <c r="EN61" s="627">
        <v>0</v>
      </c>
      <c r="EO61" s="627">
        <v>0.14100000000000001</v>
      </c>
      <c r="EP61" s="627">
        <v>0</v>
      </c>
      <c r="EQ61" s="627">
        <v>0</v>
      </c>
      <c r="ER61" s="627">
        <v>0.14100000000000001</v>
      </c>
      <c r="ES61" s="627">
        <v>0</v>
      </c>
      <c r="ET61" s="627">
        <v>0.70500000000000007</v>
      </c>
      <c r="EU61" s="627">
        <v>0</v>
      </c>
      <c r="EV61" s="627">
        <v>0</v>
      </c>
      <c r="EW61" s="627">
        <v>0</v>
      </c>
      <c r="EX61" s="627">
        <v>0</v>
      </c>
      <c r="EY61" s="627">
        <v>0</v>
      </c>
      <c r="EZ61" s="627">
        <v>0</v>
      </c>
      <c r="FA61" s="627">
        <v>1253980</v>
      </c>
      <c r="FB61" s="627">
        <v>0</v>
      </c>
      <c r="FC61" s="627">
        <v>1313980</v>
      </c>
      <c r="FD61" s="627">
        <v>0</v>
      </c>
      <c r="FE61" s="627">
        <v>0</v>
      </c>
      <c r="FF61" s="627">
        <v>189221</v>
      </c>
      <c r="FG61" s="627">
        <v>32771</v>
      </c>
      <c r="FH61" s="627">
        <v>7.0280999999999996E-2</v>
      </c>
      <c r="FI61" s="627">
        <v>3.1172999999999999E-2</v>
      </c>
      <c r="FJ61" s="627">
        <v>0</v>
      </c>
      <c r="FK61" s="627">
        <v>0</v>
      </c>
      <c r="FL61" s="627">
        <v>213.32300000000001</v>
      </c>
      <c r="FM61" s="627">
        <v>1558368</v>
      </c>
      <c r="FN61" s="627">
        <v>0</v>
      </c>
      <c r="FO61" s="627">
        <v>0</v>
      </c>
      <c r="FP61" s="627">
        <v>0</v>
      </c>
      <c r="FQ61" s="627">
        <v>0</v>
      </c>
      <c r="FR61" s="627">
        <v>0</v>
      </c>
      <c r="FS61" s="627">
        <v>0</v>
      </c>
      <c r="FT61" s="627">
        <v>0</v>
      </c>
      <c r="FU61" s="627">
        <v>0</v>
      </c>
      <c r="FV61" s="627">
        <v>0</v>
      </c>
      <c r="FW61" s="627">
        <v>0</v>
      </c>
      <c r="FX61" s="627">
        <v>0</v>
      </c>
      <c r="FY61" s="627">
        <v>0</v>
      </c>
      <c r="FZ61" s="627">
        <v>0</v>
      </c>
      <c r="GA61" s="627">
        <v>0</v>
      </c>
      <c r="GB61" s="627">
        <v>0</v>
      </c>
      <c r="GC61" s="627">
        <v>0</v>
      </c>
      <c r="GD61" s="627">
        <v>0</v>
      </c>
      <c r="GE61" s="627">
        <v>0</v>
      </c>
      <c r="GF61" s="627">
        <v>0</v>
      </c>
      <c r="GG61" s="627">
        <v>0</v>
      </c>
      <c r="GH61" s="627">
        <v>0</v>
      </c>
      <c r="GI61" s="627">
        <v>0</v>
      </c>
      <c r="GJ61" s="627">
        <v>0</v>
      </c>
      <c r="GK61" s="627">
        <v>0</v>
      </c>
      <c r="GL61" s="627">
        <v>0</v>
      </c>
      <c r="GM61" s="627">
        <v>0</v>
      </c>
      <c r="GN61" s="627">
        <v>0</v>
      </c>
      <c r="GO61" s="627">
        <v>0</v>
      </c>
      <c r="GP61" s="627">
        <v>0</v>
      </c>
      <c r="GQ61" s="627">
        <v>0</v>
      </c>
      <c r="GR61" s="627">
        <v>1475884</v>
      </c>
      <c r="GS61" s="627">
        <v>0</v>
      </c>
      <c r="GT61" s="627">
        <v>0</v>
      </c>
      <c r="GU61" s="627">
        <v>0</v>
      </c>
      <c r="GV61" s="627">
        <v>0</v>
      </c>
      <c r="GW61" s="627">
        <v>0</v>
      </c>
      <c r="GX61" s="627">
        <v>0</v>
      </c>
      <c r="GY61" s="627">
        <v>0</v>
      </c>
      <c r="GZ61" s="627">
        <v>0</v>
      </c>
      <c r="HA61" s="627">
        <v>0</v>
      </c>
      <c r="HB61" s="627">
        <v>0</v>
      </c>
      <c r="HC61" s="627">
        <v>361151439</v>
      </c>
      <c r="HD61" s="627">
        <v>3.9981999999999997E-2</v>
      </c>
      <c r="HE61" s="627">
        <v>22396</v>
      </c>
      <c r="HF61" s="627">
        <v>0</v>
      </c>
      <c r="HG61" s="627">
        <v>154169</v>
      </c>
      <c r="HH61" s="627">
        <v>3696</v>
      </c>
      <c r="HI61" s="627">
        <v>32186</v>
      </c>
      <c r="HJ61" s="627">
        <v>0</v>
      </c>
      <c r="HK61" s="627">
        <v>16400</v>
      </c>
      <c r="HL61" s="627">
        <v>0</v>
      </c>
      <c r="HM61" s="627">
        <v>0</v>
      </c>
      <c r="HN61" s="627">
        <v>0</v>
      </c>
      <c r="HO61" s="627">
        <v>0</v>
      </c>
      <c r="HP61" s="627">
        <v>0</v>
      </c>
      <c r="HQ61" s="627">
        <v>0</v>
      </c>
      <c r="HR61" s="627">
        <v>0</v>
      </c>
      <c r="HS61" s="627">
        <v>0</v>
      </c>
      <c r="HT61" s="627">
        <v>1253892</v>
      </c>
      <c r="HU61" s="627">
        <v>32771</v>
      </c>
      <c r="HV61" s="627">
        <v>0</v>
      </c>
      <c r="HW61" s="627">
        <v>0</v>
      </c>
      <c r="HX61" s="627">
        <v>0</v>
      </c>
      <c r="HY61" s="627">
        <v>23</v>
      </c>
      <c r="HZ61" s="627">
        <v>22</v>
      </c>
      <c r="IA61" s="627">
        <v>37</v>
      </c>
      <c r="IB61" s="627">
        <v>25</v>
      </c>
      <c r="IC61" s="627">
        <v>35</v>
      </c>
      <c r="ID61" s="627">
        <v>142</v>
      </c>
      <c r="IE61" s="627">
        <v>0</v>
      </c>
      <c r="IF61" s="627">
        <v>0</v>
      </c>
      <c r="IG61" s="627">
        <v>0</v>
      </c>
      <c r="IH61" s="627">
        <v>6</v>
      </c>
      <c r="II61" s="627">
        <v>52.25</v>
      </c>
      <c r="IJ61" s="627">
        <v>0</v>
      </c>
      <c r="IK61" s="627">
        <v>0</v>
      </c>
      <c r="IL61" s="627">
        <v>0</v>
      </c>
      <c r="IM61" s="627">
        <v>0</v>
      </c>
      <c r="IN61" s="627">
        <v>0</v>
      </c>
      <c r="IO61" s="627">
        <v>0</v>
      </c>
      <c r="IP61" s="627">
        <v>0</v>
      </c>
      <c r="IQ61" s="627">
        <v>0</v>
      </c>
      <c r="IR61" s="627">
        <v>0</v>
      </c>
      <c r="IS61" s="627">
        <v>0</v>
      </c>
      <c r="IT61" s="627">
        <v>0</v>
      </c>
      <c r="IU61" s="627">
        <v>0</v>
      </c>
      <c r="IV61" s="627">
        <v>0</v>
      </c>
      <c r="IW61" s="627">
        <v>0</v>
      </c>
      <c r="IX61" s="627">
        <v>6160</v>
      </c>
      <c r="IY61" s="627">
        <v>0</v>
      </c>
      <c r="IZ61" s="627">
        <v>0</v>
      </c>
      <c r="JA61" s="627">
        <v>0</v>
      </c>
      <c r="JB61" s="627">
        <v>0</v>
      </c>
      <c r="JC61" s="627">
        <v>0</v>
      </c>
      <c r="JD61" s="627">
        <v>0</v>
      </c>
      <c r="JE61" s="627">
        <v>0</v>
      </c>
      <c r="JF61" s="627">
        <v>0</v>
      </c>
      <c r="JG61" s="627">
        <v>0</v>
      </c>
      <c r="JH61" s="627">
        <v>0</v>
      </c>
      <c r="JI61" s="627">
        <v>0</v>
      </c>
      <c r="JJ61" s="627">
        <v>0</v>
      </c>
      <c r="JK61" s="627">
        <v>0</v>
      </c>
      <c r="JL61" s="627">
        <v>0</v>
      </c>
      <c r="JM61" s="627">
        <v>0</v>
      </c>
      <c r="JN61" s="627">
        <v>0</v>
      </c>
      <c r="JO61" s="627">
        <v>32469</v>
      </c>
      <c r="JP61" s="627">
        <v>0</v>
      </c>
      <c r="JQ61" s="627">
        <v>0</v>
      </c>
      <c r="JR61" s="627">
        <v>0</v>
      </c>
      <c r="JS61" s="627">
        <v>0</v>
      </c>
      <c r="JT61" s="627">
        <v>0</v>
      </c>
      <c r="JU61" s="627">
        <v>0</v>
      </c>
      <c r="JV61" s="627">
        <v>862</v>
      </c>
      <c r="JW61" s="627">
        <v>0</v>
      </c>
      <c r="JX61" s="627">
        <v>0</v>
      </c>
      <c r="JY61" s="627">
        <v>0</v>
      </c>
      <c r="JZ61" s="627">
        <v>0</v>
      </c>
      <c r="KA61" s="627">
        <v>0</v>
      </c>
      <c r="KB61" s="627">
        <v>0</v>
      </c>
      <c r="KC61" s="627">
        <v>0</v>
      </c>
      <c r="KD61" s="627">
        <v>0</v>
      </c>
      <c r="KE61" s="627">
        <v>862</v>
      </c>
      <c r="KF61" s="627">
        <v>7262</v>
      </c>
      <c r="KG61" s="627">
        <v>0</v>
      </c>
      <c r="KH61" s="627">
        <v>0</v>
      </c>
      <c r="KI61" s="627">
        <v>1475884</v>
      </c>
      <c r="KJ61" s="627">
        <v>0</v>
      </c>
      <c r="KK61" s="627">
        <v>3</v>
      </c>
      <c r="KL61" s="627">
        <v>3</v>
      </c>
      <c r="KM61" s="627">
        <v>1848</v>
      </c>
      <c r="KN61" s="627">
        <v>1848</v>
      </c>
      <c r="KO61" s="627">
        <v>0</v>
      </c>
      <c r="KP61" s="627">
        <v>0</v>
      </c>
      <c r="KQ61" s="627">
        <v>1475884</v>
      </c>
      <c r="KR61" s="627">
        <v>0</v>
      </c>
      <c r="KS61" s="627">
        <v>0</v>
      </c>
      <c r="KT61" s="627">
        <v>0</v>
      </c>
      <c r="KU61" s="627">
        <v>0</v>
      </c>
      <c r="KV61" s="627">
        <v>0</v>
      </c>
      <c r="KW61" s="627">
        <v>0</v>
      </c>
      <c r="KX61" s="627">
        <v>0</v>
      </c>
      <c r="KY61" s="627">
        <v>0</v>
      </c>
      <c r="KZ61" s="627">
        <v>0</v>
      </c>
      <c r="LA61" s="627">
        <v>0</v>
      </c>
      <c r="LB61" s="627">
        <v>0</v>
      </c>
      <c r="LC61" s="627">
        <v>0</v>
      </c>
      <c r="LD61" s="627">
        <v>0</v>
      </c>
      <c r="LE61" s="627">
        <v>0</v>
      </c>
      <c r="LF61" s="627">
        <v>0</v>
      </c>
    </row>
    <row r="62" spans="1:318" x14ac:dyDescent="0.25">
      <c r="A62" s="627">
        <v>42602</v>
      </c>
      <c r="B62" s="627">
        <v>101804</v>
      </c>
      <c r="D62" s="627">
        <v>9</v>
      </c>
      <c r="E62" s="627">
        <v>2024</v>
      </c>
      <c r="F62" s="627">
        <v>6160</v>
      </c>
      <c r="G62" s="627">
        <v>0</v>
      </c>
      <c r="H62" s="627">
        <v>969.447</v>
      </c>
      <c r="I62" s="627">
        <v>862.40300000000002</v>
      </c>
      <c r="J62" s="627">
        <v>862.40300000000002</v>
      </c>
      <c r="K62" s="627">
        <v>969.447</v>
      </c>
      <c r="L62" s="627">
        <v>0</v>
      </c>
      <c r="M62" s="627">
        <v>6160</v>
      </c>
      <c r="N62" s="627">
        <v>0</v>
      </c>
      <c r="O62" s="627">
        <v>0</v>
      </c>
      <c r="P62" s="627">
        <v>0</v>
      </c>
      <c r="Q62" s="627">
        <v>813.70500000000004</v>
      </c>
      <c r="R62" s="627">
        <v>0</v>
      </c>
      <c r="S62" s="627">
        <v>337593</v>
      </c>
      <c r="T62" s="627">
        <v>414.88400000000001</v>
      </c>
      <c r="U62" s="627">
        <v>0</v>
      </c>
      <c r="V62" s="627">
        <v>175196</v>
      </c>
      <c r="W62" s="627">
        <v>434.37</v>
      </c>
      <c r="X62" s="627">
        <v>384667</v>
      </c>
      <c r="Y62" s="627">
        <v>384667</v>
      </c>
      <c r="Z62" s="627">
        <v>0</v>
      </c>
      <c r="AA62" s="627">
        <v>0</v>
      </c>
      <c r="AB62" s="627">
        <v>0</v>
      </c>
      <c r="AC62" s="627">
        <v>0</v>
      </c>
      <c r="AD62" s="627">
        <v>0</v>
      </c>
      <c r="AE62" s="627" t="s">
        <v>314</v>
      </c>
      <c r="AF62" s="627">
        <v>0</v>
      </c>
      <c r="AG62" s="627">
        <v>0</v>
      </c>
      <c r="AH62" s="627">
        <v>0</v>
      </c>
      <c r="AI62" s="627">
        <v>0</v>
      </c>
      <c r="AJ62" s="627">
        <v>0</v>
      </c>
      <c r="AK62" s="627">
        <v>6160</v>
      </c>
      <c r="AL62" s="627" t="s">
        <v>651</v>
      </c>
      <c r="AM62" s="627" t="s">
        <v>7</v>
      </c>
      <c r="AN62" s="627">
        <v>0</v>
      </c>
      <c r="AO62" s="627">
        <v>0</v>
      </c>
      <c r="AP62" s="627">
        <v>0</v>
      </c>
      <c r="AQ62" s="627">
        <v>0</v>
      </c>
      <c r="AR62" s="627">
        <v>0</v>
      </c>
      <c r="AS62" s="627">
        <v>0</v>
      </c>
      <c r="AT62" s="627">
        <v>0</v>
      </c>
      <c r="AU62" s="627">
        <v>0</v>
      </c>
      <c r="AV62" s="627">
        <v>0</v>
      </c>
      <c r="AW62" s="627">
        <v>0</v>
      </c>
      <c r="AX62" s="627">
        <v>11568633</v>
      </c>
      <c r="AY62" s="627">
        <v>11415744</v>
      </c>
      <c r="AZ62" s="627">
        <v>5392379</v>
      </c>
      <c r="BA62" s="627">
        <v>337593</v>
      </c>
      <c r="BB62" s="627">
        <v>0</v>
      </c>
      <c r="BC62" s="627">
        <v>0</v>
      </c>
      <c r="BD62" s="627">
        <v>0</v>
      </c>
      <c r="BE62" s="627">
        <v>0</v>
      </c>
      <c r="BF62" s="627">
        <v>0</v>
      </c>
      <c r="BG62" s="627">
        <v>9972026</v>
      </c>
      <c r="BH62" s="627">
        <v>0</v>
      </c>
      <c r="BI62" s="627">
        <v>0</v>
      </c>
      <c r="BJ62" s="627">
        <v>0</v>
      </c>
      <c r="BK62" s="627">
        <v>12</v>
      </c>
      <c r="BL62" s="627">
        <v>0</v>
      </c>
      <c r="BM62" s="627">
        <v>0</v>
      </c>
      <c r="BN62" s="627">
        <v>0</v>
      </c>
      <c r="BO62" s="627">
        <v>0</v>
      </c>
      <c r="BP62" s="627">
        <v>0</v>
      </c>
      <c r="BQ62" s="627">
        <v>0</v>
      </c>
      <c r="BR62" s="627">
        <v>637</v>
      </c>
      <c r="BS62" s="627">
        <v>0</v>
      </c>
      <c r="BT62" s="627">
        <v>0</v>
      </c>
      <c r="BU62" s="627">
        <v>0</v>
      </c>
      <c r="BV62" s="627">
        <v>0</v>
      </c>
      <c r="BW62" s="627">
        <v>0</v>
      </c>
      <c r="BX62" s="627">
        <v>0</v>
      </c>
      <c r="BY62" s="627">
        <v>0</v>
      </c>
      <c r="BZ62" s="627">
        <v>0</v>
      </c>
      <c r="CA62" s="627">
        <v>0</v>
      </c>
      <c r="CB62" s="627">
        <v>0</v>
      </c>
      <c r="CC62" s="627">
        <v>0</v>
      </c>
      <c r="CD62" s="627">
        <v>0</v>
      </c>
      <c r="CE62" s="627">
        <v>0</v>
      </c>
      <c r="CF62" s="627">
        <v>0</v>
      </c>
      <c r="CG62" s="627">
        <v>0</v>
      </c>
      <c r="CH62" s="627">
        <v>0</v>
      </c>
      <c r="CI62" s="627">
        <v>155042</v>
      </c>
      <c r="CJ62" s="627">
        <v>0</v>
      </c>
      <c r="CK62" s="627">
        <v>4</v>
      </c>
      <c r="CL62" s="627">
        <v>0</v>
      </c>
      <c r="CM62" s="627">
        <v>0</v>
      </c>
      <c r="CN62" s="627">
        <v>0</v>
      </c>
      <c r="CO62" s="627">
        <v>0</v>
      </c>
      <c r="CP62" s="627">
        <v>1</v>
      </c>
      <c r="CQ62" s="627">
        <v>0.92500000000000004</v>
      </c>
      <c r="CR62" s="627">
        <v>0</v>
      </c>
      <c r="CS62" s="627">
        <v>811.73</v>
      </c>
      <c r="CT62" s="627">
        <v>0</v>
      </c>
      <c r="CU62" s="627">
        <v>0</v>
      </c>
      <c r="CV62" s="627">
        <v>0</v>
      </c>
      <c r="CW62" s="627">
        <v>0</v>
      </c>
      <c r="CX62" s="627">
        <v>0</v>
      </c>
      <c r="CY62" s="627">
        <v>0</v>
      </c>
      <c r="CZ62" s="627">
        <v>0</v>
      </c>
      <c r="DA62" s="627">
        <v>0</v>
      </c>
      <c r="DB62" s="627">
        <v>0</v>
      </c>
      <c r="DC62" s="627">
        <v>5312402</v>
      </c>
      <c r="DD62" s="627">
        <v>0</v>
      </c>
      <c r="DE62" s="627">
        <v>0</v>
      </c>
      <c r="DF62" s="627">
        <v>1704164</v>
      </c>
      <c r="DG62" s="627">
        <v>1717896</v>
      </c>
      <c r="DH62" s="627">
        <v>276.65000000000003</v>
      </c>
      <c r="DI62" s="627">
        <v>0</v>
      </c>
      <c r="DJ62" s="627">
        <v>13732</v>
      </c>
      <c r="DK62" s="627">
        <v>0</v>
      </c>
      <c r="DL62" s="627">
        <v>1817</v>
      </c>
      <c r="DM62" s="627">
        <v>0</v>
      </c>
      <c r="DN62" s="627">
        <v>631759</v>
      </c>
      <c r="DO62" s="627">
        <v>2153</v>
      </c>
      <c r="DP62" s="627">
        <v>0</v>
      </c>
      <c r="DQ62" s="627">
        <v>0</v>
      </c>
      <c r="DR62" s="627">
        <v>0</v>
      </c>
      <c r="DS62" s="627">
        <v>0</v>
      </c>
      <c r="DT62" s="627">
        <v>0</v>
      </c>
      <c r="DU62" s="627">
        <v>0</v>
      </c>
      <c r="DV62" s="627">
        <v>0</v>
      </c>
      <c r="DW62" s="627">
        <v>0</v>
      </c>
      <c r="DX62" s="627">
        <v>0</v>
      </c>
      <c r="DY62" s="627">
        <v>0</v>
      </c>
      <c r="DZ62" s="627">
        <v>0</v>
      </c>
      <c r="EA62" s="627">
        <v>0</v>
      </c>
      <c r="EB62" s="627">
        <v>0</v>
      </c>
      <c r="EC62" s="627">
        <v>0</v>
      </c>
      <c r="ED62" s="627">
        <v>37.638000000000005</v>
      </c>
      <c r="EE62" s="627">
        <v>266628</v>
      </c>
      <c r="EF62" s="627">
        <v>0</v>
      </c>
      <c r="EG62" s="627">
        <v>0</v>
      </c>
      <c r="EH62" s="627">
        <v>0</v>
      </c>
      <c r="EI62" s="627">
        <v>367284</v>
      </c>
      <c r="EJ62" s="627">
        <v>0</v>
      </c>
      <c r="EK62" s="627">
        <v>0</v>
      </c>
      <c r="EL62" s="627">
        <v>13.332000000000001</v>
      </c>
      <c r="EM62" s="627">
        <v>0.114</v>
      </c>
      <c r="EN62" s="627">
        <v>5.2460000000000004</v>
      </c>
      <c r="EO62" s="627">
        <v>0.77800000000000002</v>
      </c>
      <c r="EP62" s="627">
        <v>0</v>
      </c>
      <c r="EQ62" s="627">
        <v>0</v>
      </c>
      <c r="ER62" s="627">
        <v>19.356000000000002</v>
      </c>
      <c r="ES62" s="627">
        <v>0</v>
      </c>
      <c r="ET62" s="627">
        <v>59.624000000000002</v>
      </c>
      <c r="EU62" s="627">
        <v>0</v>
      </c>
      <c r="EV62" s="627">
        <v>0</v>
      </c>
      <c r="EW62" s="627">
        <v>0</v>
      </c>
      <c r="EX62" s="627">
        <v>0</v>
      </c>
      <c r="EY62" s="627">
        <v>0</v>
      </c>
      <c r="EZ62" s="627">
        <v>0</v>
      </c>
      <c r="FA62" s="627">
        <v>9731125</v>
      </c>
      <c r="FB62" s="627">
        <v>0</v>
      </c>
      <c r="FC62" s="627">
        <v>10066565</v>
      </c>
      <c r="FD62" s="627">
        <v>0</v>
      </c>
      <c r="FE62" s="627">
        <v>0</v>
      </c>
      <c r="FF62" s="627">
        <v>1435933</v>
      </c>
      <c r="FG62" s="627">
        <v>248686</v>
      </c>
      <c r="FH62" s="627">
        <v>7.0280999999999996E-2</v>
      </c>
      <c r="FI62" s="627">
        <v>3.1172999999999999E-2</v>
      </c>
      <c r="FJ62" s="627">
        <v>0</v>
      </c>
      <c r="FK62" s="627">
        <v>0</v>
      </c>
      <c r="FL62" s="627">
        <v>1618.835</v>
      </c>
      <c r="FM62" s="627">
        <v>11906226</v>
      </c>
      <c r="FN62" s="627">
        <v>0</v>
      </c>
      <c r="FO62" s="627">
        <v>0</v>
      </c>
      <c r="FP62" s="627">
        <v>76466</v>
      </c>
      <c r="FQ62" s="627">
        <v>9180</v>
      </c>
      <c r="FR62" s="627">
        <v>85646</v>
      </c>
      <c r="FS62" s="627">
        <v>76466</v>
      </c>
      <c r="FT62" s="627">
        <v>0</v>
      </c>
      <c r="FU62" s="627">
        <v>0</v>
      </c>
      <c r="FV62" s="627">
        <v>0</v>
      </c>
      <c r="FW62" s="627">
        <v>0</v>
      </c>
      <c r="FX62" s="627">
        <v>0</v>
      </c>
      <c r="FY62" s="627">
        <v>0</v>
      </c>
      <c r="FZ62" s="627">
        <v>0</v>
      </c>
      <c r="GA62" s="627">
        <v>0</v>
      </c>
      <c r="GB62" s="627">
        <v>0</v>
      </c>
      <c r="GC62" s="627">
        <v>837773</v>
      </c>
      <c r="GD62" s="627">
        <v>837773</v>
      </c>
      <c r="GE62" s="627">
        <v>87.688000000000002</v>
      </c>
      <c r="GF62" s="627">
        <v>0</v>
      </c>
      <c r="GG62" s="627">
        <v>0</v>
      </c>
      <c r="GH62" s="627">
        <v>0</v>
      </c>
      <c r="GI62" s="627">
        <v>0</v>
      </c>
      <c r="GJ62" s="627">
        <v>0</v>
      </c>
      <c r="GK62" s="627">
        <v>0</v>
      </c>
      <c r="GL62" s="627">
        <v>0</v>
      </c>
      <c r="GM62" s="627">
        <v>0</v>
      </c>
      <c r="GN62" s="627">
        <v>0</v>
      </c>
      <c r="GO62" s="627">
        <v>0</v>
      </c>
      <c r="GP62" s="627">
        <v>0</v>
      </c>
      <c r="GQ62" s="627">
        <v>0</v>
      </c>
      <c r="GR62" s="627">
        <v>11413591</v>
      </c>
      <c r="GS62" s="627">
        <v>0</v>
      </c>
      <c r="GT62" s="627">
        <v>0</v>
      </c>
      <c r="GU62" s="627">
        <v>0</v>
      </c>
      <c r="GV62" s="627">
        <v>0</v>
      </c>
      <c r="GW62" s="627">
        <v>0</v>
      </c>
      <c r="GX62" s="627">
        <v>0</v>
      </c>
      <c r="GY62" s="627">
        <v>0</v>
      </c>
      <c r="GZ62" s="627">
        <v>0</v>
      </c>
      <c r="HA62" s="627">
        <v>0</v>
      </c>
      <c r="HB62" s="627">
        <v>0</v>
      </c>
      <c r="HC62" s="627">
        <v>361151439</v>
      </c>
      <c r="HD62" s="627">
        <v>3.9981999999999997E-2</v>
      </c>
      <c r="HE62" s="627">
        <v>155042</v>
      </c>
      <c r="HF62" s="627">
        <v>0</v>
      </c>
      <c r="HG62" s="627">
        <v>950368</v>
      </c>
      <c r="HH62" s="627">
        <v>0</v>
      </c>
      <c r="HI62" s="627">
        <v>95314</v>
      </c>
      <c r="HJ62" s="627">
        <v>0</v>
      </c>
      <c r="HK62" s="627">
        <v>39694</v>
      </c>
      <c r="HL62" s="627">
        <v>6207</v>
      </c>
      <c r="HM62" s="627">
        <v>4839</v>
      </c>
      <c r="HN62" s="627">
        <v>0</v>
      </c>
      <c r="HO62" s="627">
        <v>0</v>
      </c>
      <c r="HP62" s="627">
        <v>0</v>
      </c>
      <c r="HQ62" s="627">
        <v>0</v>
      </c>
      <c r="HR62" s="627">
        <v>0</v>
      </c>
      <c r="HS62" s="627">
        <v>0</v>
      </c>
      <c r="HT62" s="627">
        <v>9728972</v>
      </c>
      <c r="HU62" s="627">
        <v>248686</v>
      </c>
      <c r="HV62" s="627">
        <v>0</v>
      </c>
      <c r="HW62" s="627">
        <v>0</v>
      </c>
      <c r="HX62" s="627">
        <v>0</v>
      </c>
      <c r="HY62" s="627">
        <v>12</v>
      </c>
      <c r="HZ62" s="627">
        <v>116</v>
      </c>
      <c r="IA62" s="627">
        <v>163</v>
      </c>
      <c r="IB62" s="627">
        <v>290</v>
      </c>
      <c r="IC62" s="627">
        <v>471</v>
      </c>
      <c r="ID62" s="627">
        <v>1052</v>
      </c>
      <c r="IE62" s="627">
        <v>0</v>
      </c>
      <c r="IF62" s="627">
        <v>113.78500000000001</v>
      </c>
      <c r="IG62" s="627">
        <v>38.825000000000003</v>
      </c>
      <c r="IH62" s="627">
        <v>0</v>
      </c>
      <c r="II62" s="627">
        <v>154.72999999999999</v>
      </c>
      <c r="IJ62" s="627">
        <v>0</v>
      </c>
      <c r="IK62" s="627">
        <v>586.98</v>
      </c>
      <c r="IL62" s="627">
        <v>0</v>
      </c>
      <c r="IM62" s="627">
        <v>0</v>
      </c>
      <c r="IN62" s="627">
        <v>0</v>
      </c>
      <c r="IO62" s="627">
        <v>0</v>
      </c>
      <c r="IP62" s="627">
        <v>0</v>
      </c>
      <c r="IQ62" s="627">
        <v>0</v>
      </c>
      <c r="IR62" s="627">
        <v>434.37</v>
      </c>
      <c r="IS62" s="627">
        <v>267572</v>
      </c>
      <c r="IT62" s="627">
        <v>0</v>
      </c>
      <c r="IU62" s="627">
        <v>0</v>
      </c>
      <c r="IV62" s="627">
        <v>0</v>
      </c>
      <c r="IW62" s="627">
        <v>0</v>
      </c>
      <c r="IX62" s="627">
        <v>6160</v>
      </c>
      <c r="IY62" s="627">
        <v>105137</v>
      </c>
      <c r="IZ62" s="627">
        <v>11958</v>
      </c>
      <c r="JA62" s="627">
        <v>0</v>
      </c>
      <c r="JB62" s="627">
        <v>0</v>
      </c>
      <c r="JC62" s="627">
        <v>0</v>
      </c>
      <c r="JD62" s="627">
        <v>0</v>
      </c>
      <c r="JE62" s="627">
        <v>0</v>
      </c>
      <c r="JF62" s="627">
        <v>0</v>
      </c>
      <c r="JG62" s="627">
        <v>0</v>
      </c>
      <c r="JH62" s="627">
        <v>0</v>
      </c>
      <c r="JI62" s="627">
        <v>0</v>
      </c>
      <c r="JJ62" s="627">
        <v>0</v>
      </c>
      <c r="JK62" s="627">
        <v>0</v>
      </c>
      <c r="JL62" s="627">
        <v>0</v>
      </c>
      <c r="JM62" s="627">
        <v>0</v>
      </c>
      <c r="JN62" s="627">
        <v>0</v>
      </c>
      <c r="JO62" s="627">
        <v>32469</v>
      </c>
      <c r="JP62" s="627">
        <v>3.3069999999999999</v>
      </c>
      <c r="JQ62" s="627">
        <v>64.817000000000007</v>
      </c>
      <c r="JR62" s="627">
        <v>19.565000000000001</v>
      </c>
      <c r="JS62" s="627">
        <v>26417</v>
      </c>
      <c r="JT62" s="627">
        <v>602497</v>
      </c>
      <c r="JU62" s="627">
        <v>208859</v>
      </c>
      <c r="JV62" s="627">
        <v>0</v>
      </c>
      <c r="JW62" s="627">
        <v>0</v>
      </c>
      <c r="JX62" s="627">
        <v>0</v>
      </c>
      <c r="JY62" s="627">
        <v>0</v>
      </c>
      <c r="JZ62" s="627">
        <v>0</v>
      </c>
      <c r="KA62" s="627">
        <v>0</v>
      </c>
      <c r="KB62" s="627">
        <v>0</v>
      </c>
      <c r="KC62" s="627">
        <v>0</v>
      </c>
      <c r="KD62" s="627">
        <v>0</v>
      </c>
      <c r="KE62" s="627">
        <v>0</v>
      </c>
      <c r="KF62" s="627">
        <v>7262</v>
      </c>
      <c r="KG62" s="627">
        <v>0</v>
      </c>
      <c r="KH62" s="627">
        <v>0</v>
      </c>
      <c r="KI62" s="627">
        <v>11413591</v>
      </c>
      <c r="KJ62" s="627">
        <v>0</v>
      </c>
      <c r="KK62" s="627">
        <v>0</v>
      </c>
      <c r="KL62" s="627">
        <v>0</v>
      </c>
      <c r="KM62" s="627">
        <v>0</v>
      </c>
      <c r="KN62" s="627">
        <v>0</v>
      </c>
      <c r="KO62" s="627">
        <v>0</v>
      </c>
      <c r="KP62" s="627">
        <v>0</v>
      </c>
      <c r="KQ62" s="627">
        <v>11413591</v>
      </c>
      <c r="KR62" s="627">
        <v>0</v>
      </c>
      <c r="KS62" s="627">
        <v>0</v>
      </c>
      <c r="KT62" s="627">
        <v>0</v>
      </c>
      <c r="KU62" s="627">
        <v>0</v>
      </c>
      <c r="KV62" s="627">
        <v>0</v>
      </c>
      <c r="KW62" s="627">
        <v>0</v>
      </c>
      <c r="KX62" s="627">
        <v>0</v>
      </c>
      <c r="KY62" s="627">
        <v>0</v>
      </c>
      <c r="KZ62" s="627">
        <v>0</v>
      </c>
      <c r="LA62" s="627">
        <v>0</v>
      </c>
      <c r="LB62" s="627">
        <v>0</v>
      </c>
      <c r="LC62" s="627">
        <v>0</v>
      </c>
      <c r="LD62" s="627">
        <v>0</v>
      </c>
      <c r="LE62" s="627">
        <v>0</v>
      </c>
      <c r="LF62" s="627">
        <v>0</v>
      </c>
    </row>
    <row r="63" spans="1:318" x14ac:dyDescent="0.25">
      <c r="A63" s="627">
        <v>42602</v>
      </c>
      <c r="B63" s="627">
        <v>105804</v>
      </c>
      <c r="D63" s="627">
        <v>9</v>
      </c>
      <c r="E63" s="627">
        <v>2024</v>
      </c>
      <c r="F63" s="627">
        <v>6160</v>
      </c>
      <c r="G63" s="627">
        <v>0</v>
      </c>
      <c r="H63" s="627">
        <v>303.96800000000002</v>
      </c>
      <c r="I63" s="627">
        <v>289.52800000000002</v>
      </c>
      <c r="J63" s="627">
        <v>289.52800000000002</v>
      </c>
      <c r="K63" s="627">
        <v>303.96800000000002</v>
      </c>
      <c r="L63" s="627">
        <v>0</v>
      </c>
      <c r="M63" s="627">
        <v>6160</v>
      </c>
      <c r="N63" s="627">
        <v>0</v>
      </c>
      <c r="O63" s="627">
        <v>0</v>
      </c>
      <c r="P63" s="627">
        <v>0</v>
      </c>
      <c r="Q63" s="627">
        <v>316.29700000000003</v>
      </c>
      <c r="R63" s="627">
        <v>0</v>
      </c>
      <c r="S63" s="627">
        <v>131227</v>
      </c>
      <c r="T63" s="627">
        <v>414.88400000000001</v>
      </c>
      <c r="U63" s="627">
        <v>0</v>
      </c>
      <c r="V63" s="627">
        <v>68102</v>
      </c>
      <c r="W63" s="627">
        <v>47.835000000000001</v>
      </c>
      <c r="X63" s="627">
        <v>29466</v>
      </c>
      <c r="Y63" s="627">
        <v>29466</v>
      </c>
      <c r="Z63" s="627">
        <v>0</v>
      </c>
      <c r="AA63" s="627">
        <v>0</v>
      </c>
      <c r="AB63" s="627">
        <v>0</v>
      </c>
      <c r="AC63" s="627">
        <v>0</v>
      </c>
      <c r="AD63" s="627">
        <v>0</v>
      </c>
      <c r="AE63" s="627" t="s">
        <v>314</v>
      </c>
      <c r="AF63" s="627">
        <v>0</v>
      </c>
      <c r="AG63" s="627">
        <v>0</v>
      </c>
      <c r="AH63" s="627">
        <v>0</v>
      </c>
      <c r="AI63" s="627">
        <v>0</v>
      </c>
      <c r="AJ63" s="627">
        <v>0</v>
      </c>
      <c r="AK63" s="627">
        <v>6160</v>
      </c>
      <c r="AL63" s="627" t="s">
        <v>651</v>
      </c>
      <c r="AM63" s="627" t="s">
        <v>806</v>
      </c>
      <c r="AN63" s="627">
        <v>0</v>
      </c>
      <c r="AO63" s="627">
        <v>0</v>
      </c>
      <c r="AP63" s="627">
        <v>0</v>
      </c>
      <c r="AQ63" s="627">
        <v>0</v>
      </c>
      <c r="AR63" s="627">
        <v>0</v>
      </c>
      <c r="AS63" s="627">
        <v>0</v>
      </c>
      <c r="AT63" s="627">
        <v>0</v>
      </c>
      <c r="AU63" s="627">
        <v>0</v>
      </c>
      <c r="AV63" s="627">
        <v>0</v>
      </c>
      <c r="AW63" s="627">
        <v>-49093</v>
      </c>
      <c r="AX63" s="627">
        <v>3240927</v>
      </c>
      <c r="AY63" s="627">
        <v>3242128</v>
      </c>
      <c r="AZ63" s="627">
        <v>1535255</v>
      </c>
      <c r="BA63" s="627">
        <v>131227</v>
      </c>
      <c r="BB63" s="627">
        <v>0</v>
      </c>
      <c r="BC63" s="627">
        <v>6391</v>
      </c>
      <c r="BD63" s="627">
        <v>6350</v>
      </c>
      <c r="BE63" s="627">
        <v>15</v>
      </c>
      <c r="BF63" s="627">
        <v>41</v>
      </c>
      <c r="BG63" s="627">
        <v>2885838</v>
      </c>
      <c r="BH63" s="627">
        <v>0</v>
      </c>
      <c r="BI63" s="627">
        <v>0</v>
      </c>
      <c r="BJ63" s="627">
        <v>0</v>
      </c>
      <c r="BK63" s="627">
        <v>12</v>
      </c>
      <c r="BL63" s="627">
        <v>0</v>
      </c>
      <c r="BM63" s="627">
        <v>0</v>
      </c>
      <c r="BN63" s="627">
        <v>0</v>
      </c>
      <c r="BO63" s="627">
        <v>0</v>
      </c>
      <c r="BP63" s="627">
        <v>0</v>
      </c>
      <c r="BQ63" s="627">
        <v>0</v>
      </c>
      <c r="BR63" s="627">
        <v>725</v>
      </c>
      <c r="BS63" s="627">
        <v>0</v>
      </c>
      <c r="BT63" s="627">
        <v>0</v>
      </c>
      <c r="BU63" s="627">
        <v>0</v>
      </c>
      <c r="BV63" s="627">
        <v>0</v>
      </c>
      <c r="BW63" s="627">
        <v>0</v>
      </c>
      <c r="BX63" s="627">
        <v>0</v>
      </c>
      <c r="BY63" s="627">
        <v>0</v>
      </c>
      <c r="BZ63" s="627">
        <v>0</v>
      </c>
      <c r="CA63" s="627">
        <v>0</v>
      </c>
      <c r="CB63" s="627">
        <v>0</v>
      </c>
      <c r="CC63" s="627">
        <v>0</v>
      </c>
      <c r="CD63" s="627">
        <v>0</v>
      </c>
      <c r="CE63" s="627">
        <v>0</v>
      </c>
      <c r="CF63" s="627">
        <v>0</v>
      </c>
      <c r="CG63" s="627">
        <v>0</v>
      </c>
      <c r="CH63" s="627">
        <v>0</v>
      </c>
      <c r="CI63" s="627">
        <v>0</v>
      </c>
      <c r="CJ63" s="627">
        <v>0</v>
      </c>
      <c r="CK63" s="627">
        <v>4</v>
      </c>
      <c r="CL63" s="627">
        <v>0</v>
      </c>
      <c r="CM63" s="627">
        <v>0</v>
      </c>
      <c r="CN63" s="627">
        <v>0</v>
      </c>
      <c r="CO63" s="627">
        <v>0</v>
      </c>
      <c r="CP63" s="627">
        <v>1</v>
      </c>
      <c r="CQ63" s="627">
        <v>0</v>
      </c>
      <c r="CR63" s="627">
        <v>0</v>
      </c>
      <c r="CS63" s="627">
        <v>304.83</v>
      </c>
      <c r="CT63" s="627">
        <v>0</v>
      </c>
      <c r="CU63" s="627">
        <v>0</v>
      </c>
      <c r="CV63" s="627">
        <v>0</v>
      </c>
      <c r="CW63" s="627">
        <v>0</v>
      </c>
      <c r="CX63" s="627">
        <v>0</v>
      </c>
      <c r="CY63" s="627">
        <v>0</v>
      </c>
      <c r="CZ63" s="627">
        <v>0</v>
      </c>
      <c r="DA63" s="627">
        <v>0</v>
      </c>
      <c r="DB63" s="627">
        <v>0</v>
      </c>
      <c r="DC63" s="627">
        <v>1783492</v>
      </c>
      <c r="DD63" s="627">
        <v>0</v>
      </c>
      <c r="DE63" s="627">
        <v>0</v>
      </c>
      <c r="DF63" s="627">
        <v>299299</v>
      </c>
      <c r="DG63" s="627">
        <v>299299</v>
      </c>
      <c r="DH63" s="627">
        <v>48.588000000000001</v>
      </c>
      <c r="DI63" s="627">
        <v>0</v>
      </c>
      <c r="DJ63" s="627">
        <v>0</v>
      </c>
      <c r="DK63" s="627">
        <v>0</v>
      </c>
      <c r="DL63" s="627">
        <v>3229</v>
      </c>
      <c r="DM63" s="627">
        <v>0</v>
      </c>
      <c r="DN63" s="627">
        <v>340490</v>
      </c>
      <c r="DO63" s="627">
        <v>1161</v>
      </c>
      <c r="DP63" s="627">
        <v>0</v>
      </c>
      <c r="DQ63" s="627">
        <v>0</v>
      </c>
      <c r="DR63" s="627">
        <v>0</v>
      </c>
      <c r="DS63" s="627">
        <v>0</v>
      </c>
      <c r="DT63" s="627">
        <v>0</v>
      </c>
      <c r="DU63" s="627">
        <v>0</v>
      </c>
      <c r="DV63" s="627">
        <v>0</v>
      </c>
      <c r="DW63" s="627">
        <v>0</v>
      </c>
      <c r="DX63" s="627">
        <v>0</v>
      </c>
      <c r="DY63" s="627">
        <v>0</v>
      </c>
      <c r="DZ63" s="627">
        <v>0</v>
      </c>
      <c r="EA63" s="627">
        <v>0</v>
      </c>
      <c r="EB63" s="627">
        <v>0.16700000000000001</v>
      </c>
      <c r="EC63" s="627">
        <v>0</v>
      </c>
      <c r="ED63" s="627">
        <v>8.5920000000000005</v>
      </c>
      <c r="EE63" s="627">
        <v>60866</v>
      </c>
      <c r="EF63" s="627">
        <v>0</v>
      </c>
      <c r="EG63" s="627">
        <v>0</v>
      </c>
      <c r="EH63" s="627">
        <v>0</v>
      </c>
      <c r="EI63" s="627">
        <v>280785</v>
      </c>
      <c r="EJ63" s="627">
        <v>0</v>
      </c>
      <c r="EK63" s="627">
        <v>0</v>
      </c>
      <c r="EL63" s="627">
        <v>9.3640000000000008</v>
      </c>
      <c r="EM63" s="627">
        <v>0.46300000000000002</v>
      </c>
      <c r="EN63" s="627">
        <v>3.9450000000000003</v>
      </c>
      <c r="EO63" s="627">
        <v>0.96400000000000008</v>
      </c>
      <c r="EP63" s="627">
        <v>0</v>
      </c>
      <c r="EQ63" s="627">
        <v>0</v>
      </c>
      <c r="ER63" s="627">
        <v>14.44</v>
      </c>
      <c r="ES63" s="627">
        <v>0</v>
      </c>
      <c r="ET63" s="627">
        <v>45.582000000000001</v>
      </c>
      <c r="EU63" s="627">
        <v>0</v>
      </c>
      <c r="EV63" s="627">
        <v>0</v>
      </c>
      <c r="EW63" s="627">
        <v>0</v>
      </c>
      <c r="EX63" s="627">
        <v>0</v>
      </c>
      <c r="EY63" s="627">
        <v>0</v>
      </c>
      <c r="EZ63" s="627">
        <v>0</v>
      </c>
      <c r="FA63" s="627">
        <v>2754611</v>
      </c>
      <c r="FB63" s="627">
        <v>0</v>
      </c>
      <c r="FC63" s="627">
        <v>2884637</v>
      </c>
      <c r="FD63" s="627">
        <v>0</v>
      </c>
      <c r="FE63" s="627">
        <v>0</v>
      </c>
      <c r="FF63" s="627">
        <v>415549</v>
      </c>
      <c r="FG63" s="627">
        <v>71968</v>
      </c>
      <c r="FH63" s="627">
        <v>7.0280999999999996E-2</v>
      </c>
      <c r="FI63" s="627">
        <v>3.1172999999999999E-2</v>
      </c>
      <c r="FJ63" s="627">
        <v>0</v>
      </c>
      <c r="FK63" s="627">
        <v>0</v>
      </c>
      <c r="FL63" s="627">
        <v>468.48</v>
      </c>
      <c r="FM63" s="627">
        <v>3372154</v>
      </c>
      <c r="FN63" s="627">
        <v>0</v>
      </c>
      <c r="FO63" s="627">
        <v>0</v>
      </c>
      <c r="FP63" s="627">
        <v>0</v>
      </c>
      <c r="FQ63" s="627">
        <v>0</v>
      </c>
      <c r="FR63" s="627">
        <v>0</v>
      </c>
      <c r="FS63" s="627">
        <v>0</v>
      </c>
      <c r="FT63" s="627">
        <v>0</v>
      </c>
      <c r="FU63" s="627">
        <v>0</v>
      </c>
      <c r="FV63" s="627">
        <v>0</v>
      </c>
      <c r="FW63" s="627">
        <v>0</v>
      </c>
      <c r="FX63" s="627">
        <v>0</v>
      </c>
      <c r="FY63" s="627">
        <v>0</v>
      </c>
      <c r="FZ63" s="627">
        <v>0</v>
      </c>
      <c r="GA63" s="627">
        <v>0</v>
      </c>
      <c r="GB63" s="627">
        <v>0</v>
      </c>
      <c r="GC63" s="627">
        <v>0</v>
      </c>
      <c r="GD63" s="627">
        <v>0</v>
      </c>
      <c r="GE63" s="627">
        <v>0</v>
      </c>
      <c r="GF63" s="627">
        <v>0</v>
      </c>
      <c r="GG63" s="627">
        <v>0</v>
      </c>
      <c r="GH63" s="627">
        <v>0</v>
      </c>
      <c r="GI63" s="627">
        <v>0</v>
      </c>
      <c r="GJ63" s="627">
        <v>0</v>
      </c>
      <c r="GK63" s="627">
        <v>0</v>
      </c>
      <c r="GL63" s="627">
        <v>0</v>
      </c>
      <c r="GM63" s="627">
        <v>0</v>
      </c>
      <c r="GN63" s="627">
        <v>0</v>
      </c>
      <c r="GO63" s="627">
        <v>0</v>
      </c>
      <c r="GP63" s="627">
        <v>0</v>
      </c>
      <c r="GQ63" s="627">
        <v>0</v>
      </c>
      <c r="GR63" s="627">
        <v>3240927</v>
      </c>
      <c r="GS63" s="627">
        <v>0</v>
      </c>
      <c r="GT63" s="627">
        <v>0</v>
      </c>
      <c r="GU63" s="627">
        <v>0</v>
      </c>
      <c r="GV63" s="627">
        <v>0</v>
      </c>
      <c r="GW63" s="627">
        <v>0</v>
      </c>
      <c r="GX63" s="627">
        <v>0</v>
      </c>
      <c r="GY63" s="627">
        <v>0</v>
      </c>
      <c r="GZ63" s="627">
        <v>0</v>
      </c>
      <c r="HA63" s="627">
        <v>0</v>
      </c>
      <c r="HB63" s="627">
        <v>0</v>
      </c>
      <c r="HC63" s="627">
        <v>0</v>
      </c>
      <c r="HD63" s="627">
        <v>3.9981999999999997E-2</v>
      </c>
      <c r="HE63" s="627">
        <v>0</v>
      </c>
      <c r="HF63" s="627">
        <v>0</v>
      </c>
      <c r="HG63" s="627">
        <v>319060</v>
      </c>
      <c r="HH63" s="627">
        <v>6160</v>
      </c>
      <c r="HI63" s="627">
        <v>78568</v>
      </c>
      <c r="HJ63" s="627">
        <v>0</v>
      </c>
      <c r="HK63" s="627">
        <v>18040</v>
      </c>
      <c r="HL63" s="627">
        <v>0</v>
      </c>
      <c r="HM63" s="627">
        <v>0</v>
      </c>
      <c r="HN63" s="627">
        <v>0</v>
      </c>
      <c r="HO63" s="627">
        <v>3711</v>
      </c>
      <c r="HP63" s="627">
        <v>0</v>
      </c>
      <c r="HQ63" s="627">
        <v>0</v>
      </c>
      <c r="HR63" s="627">
        <v>0</v>
      </c>
      <c r="HS63" s="627">
        <v>0</v>
      </c>
      <c r="HT63" s="627">
        <v>2753410</v>
      </c>
      <c r="HU63" s="627">
        <v>71968</v>
      </c>
      <c r="HV63" s="627">
        <v>0</v>
      </c>
      <c r="HW63" s="627">
        <v>0</v>
      </c>
      <c r="HX63" s="627">
        <v>0</v>
      </c>
      <c r="HY63" s="627">
        <v>76</v>
      </c>
      <c r="HZ63" s="627">
        <v>77</v>
      </c>
      <c r="IA63" s="627">
        <v>32</v>
      </c>
      <c r="IB63" s="627">
        <v>2</v>
      </c>
      <c r="IC63" s="627">
        <v>17</v>
      </c>
      <c r="ID63" s="627">
        <v>204</v>
      </c>
      <c r="IE63" s="627">
        <v>0</v>
      </c>
      <c r="IF63" s="627">
        <v>0</v>
      </c>
      <c r="IG63" s="627">
        <v>0</v>
      </c>
      <c r="IH63" s="627">
        <v>10</v>
      </c>
      <c r="II63" s="627">
        <v>127.545</v>
      </c>
      <c r="IJ63" s="627">
        <v>0</v>
      </c>
      <c r="IK63" s="627">
        <v>47.835000000000001</v>
      </c>
      <c r="IL63" s="627">
        <v>0</v>
      </c>
      <c r="IM63" s="627">
        <v>0</v>
      </c>
      <c r="IN63" s="627">
        <v>0</v>
      </c>
      <c r="IO63" s="627">
        <v>0</v>
      </c>
      <c r="IP63" s="627">
        <v>0</v>
      </c>
      <c r="IQ63" s="627">
        <v>0</v>
      </c>
      <c r="IR63" s="627">
        <v>47.835000000000001</v>
      </c>
      <c r="IS63" s="627">
        <v>29466</v>
      </c>
      <c r="IT63" s="627">
        <v>0</v>
      </c>
      <c r="IU63" s="627">
        <v>0</v>
      </c>
      <c r="IV63" s="627">
        <v>0</v>
      </c>
      <c r="IW63" s="627">
        <v>0</v>
      </c>
      <c r="IX63" s="627">
        <v>6160</v>
      </c>
      <c r="IY63" s="627">
        <v>0</v>
      </c>
      <c r="IZ63" s="627">
        <v>0</v>
      </c>
      <c r="JA63" s="627">
        <v>0</v>
      </c>
      <c r="JB63" s="627">
        <v>0</v>
      </c>
      <c r="JC63" s="627">
        <v>0</v>
      </c>
      <c r="JD63" s="627">
        <v>0</v>
      </c>
      <c r="JE63" s="627">
        <v>0</v>
      </c>
      <c r="JF63" s="627">
        <v>0</v>
      </c>
      <c r="JG63" s="627">
        <v>1</v>
      </c>
      <c r="JH63" s="627">
        <v>3711</v>
      </c>
      <c r="JI63" s="627">
        <v>0</v>
      </c>
      <c r="JJ63" s="627">
        <v>0</v>
      </c>
      <c r="JK63" s="627">
        <v>0</v>
      </c>
      <c r="JL63" s="627">
        <v>0</v>
      </c>
      <c r="JM63" s="627">
        <v>0</v>
      </c>
      <c r="JN63" s="627">
        <v>0</v>
      </c>
      <c r="JO63" s="627">
        <v>0</v>
      </c>
      <c r="JP63" s="627">
        <v>0</v>
      </c>
      <c r="JQ63" s="627">
        <v>0</v>
      </c>
      <c r="JR63" s="627">
        <v>0</v>
      </c>
      <c r="JS63" s="627">
        <v>0</v>
      </c>
      <c r="JT63" s="627">
        <v>0</v>
      </c>
      <c r="JU63" s="627">
        <v>0</v>
      </c>
      <c r="JV63" s="627">
        <v>6468</v>
      </c>
      <c r="JW63" s="627">
        <v>0</v>
      </c>
      <c r="JX63" s="627">
        <v>0</v>
      </c>
      <c r="JY63" s="627">
        <v>0</v>
      </c>
      <c r="JZ63" s="627">
        <v>0</v>
      </c>
      <c r="KA63" s="627">
        <v>0</v>
      </c>
      <c r="KB63" s="627">
        <v>0</v>
      </c>
      <c r="KC63" s="627">
        <v>0</v>
      </c>
      <c r="KD63" s="627">
        <v>0</v>
      </c>
      <c r="KE63" s="627">
        <v>6468</v>
      </c>
      <c r="KF63" s="627">
        <v>7262</v>
      </c>
      <c r="KG63" s="627">
        <v>0</v>
      </c>
      <c r="KH63" s="627">
        <v>0</v>
      </c>
      <c r="KI63" s="627">
        <v>3240927</v>
      </c>
      <c r="KJ63" s="627">
        <v>0</v>
      </c>
      <c r="KK63" s="627">
        <v>5</v>
      </c>
      <c r="KL63" s="627">
        <v>5</v>
      </c>
      <c r="KM63" s="627">
        <v>3080</v>
      </c>
      <c r="KN63" s="627">
        <v>3080</v>
      </c>
      <c r="KO63" s="627">
        <v>0</v>
      </c>
      <c r="KP63" s="627">
        <v>0</v>
      </c>
      <c r="KQ63" s="627">
        <v>3240927</v>
      </c>
      <c r="KR63" s="627">
        <v>0</v>
      </c>
      <c r="KS63" s="627">
        <v>0</v>
      </c>
      <c r="KT63" s="627">
        <v>0</v>
      </c>
      <c r="KU63" s="627">
        <v>0</v>
      </c>
      <c r="KV63" s="627">
        <v>0</v>
      </c>
      <c r="KW63" s="627">
        <v>0</v>
      </c>
      <c r="KX63" s="627">
        <v>0</v>
      </c>
      <c r="KY63" s="627">
        <v>0</v>
      </c>
      <c r="KZ63" s="627">
        <v>0</v>
      </c>
      <c r="LA63" s="627">
        <v>0</v>
      </c>
      <c r="LB63" s="627">
        <v>0</v>
      </c>
      <c r="LC63" s="627">
        <v>0</v>
      </c>
      <c r="LD63" s="627">
        <v>0</v>
      </c>
      <c r="LE63" s="627">
        <v>0</v>
      </c>
      <c r="LF63" s="627">
        <v>0</v>
      </c>
    </row>
    <row r="64" spans="1:318" x14ac:dyDescent="0.25">
      <c r="A64" s="627">
        <v>42602</v>
      </c>
      <c r="B64" s="627">
        <v>108804</v>
      </c>
      <c r="D64" s="627">
        <v>9</v>
      </c>
      <c r="E64" s="627">
        <v>2024</v>
      </c>
      <c r="F64" s="627">
        <v>6160</v>
      </c>
      <c r="G64" s="627">
        <v>0</v>
      </c>
      <c r="H64" s="627">
        <v>397.30700000000002</v>
      </c>
      <c r="I64" s="627">
        <v>354.78500000000003</v>
      </c>
      <c r="J64" s="627">
        <v>354.78500000000003</v>
      </c>
      <c r="K64" s="627">
        <v>397.30700000000002</v>
      </c>
      <c r="L64" s="627">
        <v>0</v>
      </c>
      <c r="M64" s="627">
        <v>6160</v>
      </c>
      <c r="N64" s="627">
        <v>0</v>
      </c>
      <c r="O64" s="627">
        <v>0</v>
      </c>
      <c r="P64" s="627">
        <v>0</v>
      </c>
      <c r="Q64" s="627">
        <v>437.673</v>
      </c>
      <c r="R64" s="627">
        <v>0</v>
      </c>
      <c r="S64" s="627">
        <v>181584</v>
      </c>
      <c r="T64" s="627">
        <v>414.88400000000001</v>
      </c>
      <c r="U64" s="627">
        <v>0</v>
      </c>
      <c r="V64" s="627">
        <v>94233</v>
      </c>
      <c r="W64" s="627">
        <v>148.268</v>
      </c>
      <c r="X64" s="627">
        <v>91333</v>
      </c>
      <c r="Y64" s="627">
        <v>91333</v>
      </c>
      <c r="Z64" s="627">
        <v>0</v>
      </c>
      <c r="AA64" s="627">
        <v>0</v>
      </c>
      <c r="AB64" s="627">
        <v>0</v>
      </c>
      <c r="AC64" s="627">
        <v>0</v>
      </c>
      <c r="AD64" s="627">
        <v>0</v>
      </c>
      <c r="AE64" s="627" t="s">
        <v>314</v>
      </c>
      <c r="AF64" s="627">
        <v>0</v>
      </c>
      <c r="AG64" s="627">
        <v>0</v>
      </c>
      <c r="AH64" s="627">
        <v>0</v>
      </c>
      <c r="AI64" s="627">
        <v>0</v>
      </c>
      <c r="AJ64" s="627">
        <v>0</v>
      </c>
      <c r="AK64" s="627">
        <v>6160</v>
      </c>
      <c r="AL64" s="627" t="s">
        <v>651</v>
      </c>
      <c r="AM64" s="627" t="s">
        <v>460</v>
      </c>
      <c r="AN64" s="627">
        <v>0</v>
      </c>
      <c r="AO64" s="627">
        <v>0</v>
      </c>
      <c r="AP64" s="627">
        <v>0</v>
      </c>
      <c r="AQ64" s="627">
        <v>0</v>
      </c>
      <c r="AR64" s="627">
        <v>0</v>
      </c>
      <c r="AS64" s="627">
        <v>0</v>
      </c>
      <c r="AT64" s="627">
        <v>0</v>
      </c>
      <c r="AU64" s="627">
        <v>0</v>
      </c>
      <c r="AV64" s="627">
        <v>0</v>
      </c>
      <c r="AW64" s="627">
        <v>-24320</v>
      </c>
      <c r="AX64" s="627">
        <v>4797037</v>
      </c>
      <c r="AY64" s="627">
        <v>4734766</v>
      </c>
      <c r="AZ64" s="627">
        <v>2574019</v>
      </c>
      <c r="BA64" s="627">
        <v>181584</v>
      </c>
      <c r="BB64" s="627">
        <v>20.5</v>
      </c>
      <c r="BC64" s="627">
        <v>0</v>
      </c>
      <c r="BD64" s="627">
        <v>0</v>
      </c>
      <c r="BE64" s="627">
        <v>0</v>
      </c>
      <c r="BF64" s="627">
        <v>0</v>
      </c>
      <c r="BG64" s="627">
        <v>4115900</v>
      </c>
      <c r="BH64" s="627">
        <v>0</v>
      </c>
      <c r="BI64" s="627">
        <v>0</v>
      </c>
      <c r="BJ64" s="627">
        <v>0</v>
      </c>
      <c r="BK64" s="627">
        <v>12</v>
      </c>
      <c r="BL64" s="627">
        <v>0</v>
      </c>
      <c r="BM64" s="627">
        <v>0</v>
      </c>
      <c r="BN64" s="627">
        <v>0</v>
      </c>
      <c r="BO64" s="627">
        <v>0</v>
      </c>
      <c r="BP64" s="627">
        <v>0</v>
      </c>
      <c r="BQ64" s="627">
        <v>0</v>
      </c>
      <c r="BR64" s="627">
        <v>715</v>
      </c>
      <c r="BS64" s="627">
        <v>0</v>
      </c>
      <c r="BT64" s="627">
        <v>0</v>
      </c>
      <c r="BU64" s="627">
        <v>0</v>
      </c>
      <c r="BV64" s="627">
        <v>0</v>
      </c>
      <c r="BW64" s="627">
        <v>0</v>
      </c>
      <c r="BX64" s="627">
        <v>0</v>
      </c>
      <c r="BY64" s="627">
        <v>0</v>
      </c>
      <c r="BZ64" s="627">
        <v>0</v>
      </c>
      <c r="CA64" s="627">
        <v>0</v>
      </c>
      <c r="CB64" s="627">
        <v>0</v>
      </c>
      <c r="CC64" s="627">
        <v>0</v>
      </c>
      <c r="CD64" s="627">
        <v>0</v>
      </c>
      <c r="CE64" s="627">
        <v>0</v>
      </c>
      <c r="CF64" s="627">
        <v>0</v>
      </c>
      <c r="CG64" s="627">
        <v>0</v>
      </c>
      <c r="CH64" s="627">
        <v>0</v>
      </c>
      <c r="CI64" s="627">
        <v>63541</v>
      </c>
      <c r="CJ64" s="627">
        <v>0</v>
      </c>
      <c r="CK64" s="627">
        <v>4</v>
      </c>
      <c r="CL64" s="627">
        <v>0</v>
      </c>
      <c r="CM64" s="627">
        <v>0</v>
      </c>
      <c r="CN64" s="627">
        <v>0</v>
      </c>
      <c r="CO64" s="627">
        <v>0</v>
      </c>
      <c r="CP64" s="627">
        <v>1</v>
      </c>
      <c r="CQ64" s="627">
        <v>2.25</v>
      </c>
      <c r="CR64" s="627">
        <v>11.667</v>
      </c>
      <c r="CS64" s="627">
        <v>434.14</v>
      </c>
      <c r="CT64" s="627">
        <v>0</v>
      </c>
      <c r="CU64" s="627">
        <v>0</v>
      </c>
      <c r="CV64" s="627">
        <v>0</v>
      </c>
      <c r="CW64" s="627">
        <v>0</v>
      </c>
      <c r="CX64" s="627">
        <v>0</v>
      </c>
      <c r="CY64" s="627">
        <v>0</v>
      </c>
      <c r="CZ64" s="627">
        <v>0</v>
      </c>
      <c r="DA64" s="627">
        <v>0</v>
      </c>
      <c r="DB64" s="627">
        <v>0</v>
      </c>
      <c r="DC64" s="627">
        <v>2185476</v>
      </c>
      <c r="DD64" s="627">
        <v>0</v>
      </c>
      <c r="DE64" s="627">
        <v>0</v>
      </c>
      <c r="DF64" s="627">
        <v>668976</v>
      </c>
      <c r="DG64" s="627">
        <v>702379</v>
      </c>
      <c r="DH64" s="627">
        <v>108.60000000000001</v>
      </c>
      <c r="DI64" s="627">
        <v>0</v>
      </c>
      <c r="DJ64" s="627">
        <v>33403</v>
      </c>
      <c r="DK64" s="627">
        <v>0</v>
      </c>
      <c r="DL64" s="627">
        <v>3068</v>
      </c>
      <c r="DM64" s="627">
        <v>0</v>
      </c>
      <c r="DN64" s="627">
        <v>372678</v>
      </c>
      <c r="DO64" s="627">
        <v>1270</v>
      </c>
      <c r="DP64" s="627">
        <v>0</v>
      </c>
      <c r="DQ64" s="627">
        <v>0</v>
      </c>
      <c r="DR64" s="627">
        <v>0</v>
      </c>
      <c r="DS64" s="627">
        <v>0</v>
      </c>
      <c r="DT64" s="627">
        <v>0</v>
      </c>
      <c r="DU64" s="627">
        <v>0</v>
      </c>
      <c r="DV64" s="627">
        <v>0</v>
      </c>
      <c r="DW64" s="627">
        <v>0</v>
      </c>
      <c r="DX64" s="627">
        <v>0</v>
      </c>
      <c r="DY64" s="627">
        <v>0</v>
      </c>
      <c r="DZ64" s="627">
        <v>0</v>
      </c>
      <c r="EA64" s="627">
        <v>0</v>
      </c>
      <c r="EB64" s="627">
        <v>0.193</v>
      </c>
      <c r="EC64" s="627">
        <v>0</v>
      </c>
      <c r="ED64" s="627">
        <v>26.485000000000003</v>
      </c>
      <c r="EE64" s="627">
        <v>187620</v>
      </c>
      <c r="EF64" s="627">
        <v>0</v>
      </c>
      <c r="EG64" s="627">
        <v>0</v>
      </c>
      <c r="EH64" s="627">
        <v>0</v>
      </c>
      <c r="EI64" s="627">
        <v>186328</v>
      </c>
      <c r="EJ64" s="627">
        <v>0</v>
      </c>
      <c r="EK64" s="627">
        <v>0</v>
      </c>
      <c r="EL64" s="627">
        <v>9.2430000000000003</v>
      </c>
      <c r="EM64" s="627">
        <v>0</v>
      </c>
      <c r="EN64" s="627">
        <v>0.42800000000000005</v>
      </c>
      <c r="EO64" s="627">
        <v>5.3999999999999999E-2</v>
      </c>
      <c r="EP64" s="627">
        <v>0</v>
      </c>
      <c r="EQ64" s="627">
        <v>0</v>
      </c>
      <c r="ER64" s="627">
        <v>9.918000000000001</v>
      </c>
      <c r="ES64" s="627">
        <v>0</v>
      </c>
      <c r="ET64" s="627">
        <v>30.248000000000001</v>
      </c>
      <c r="EU64" s="627">
        <v>0</v>
      </c>
      <c r="EV64" s="627">
        <v>0</v>
      </c>
      <c r="EW64" s="627">
        <v>0</v>
      </c>
      <c r="EX64" s="627">
        <v>0</v>
      </c>
      <c r="EY64" s="627">
        <v>0</v>
      </c>
      <c r="EZ64" s="627">
        <v>0</v>
      </c>
      <c r="FA64" s="627">
        <v>4039448</v>
      </c>
      <c r="FB64" s="627">
        <v>0</v>
      </c>
      <c r="FC64" s="627">
        <v>4219762</v>
      </c>
      <c r="FD64" s="627">
        <v>0</v>
      </c>
      <c r="FE64" s="627">
        <v>0</v>
      </c>
      <c r="FF64" s="627">
        <v>592674</v>
      </c>
      <c r="FG64" s="627">
        <v>102644</v>
      </c>
      <c r="FH64" s="627">
        <v>7.0280999999999996E-2</v>
      </c>
      <c r="FI64" s="627">
        <v>3.1172999999999999E-2</v>
      </c>
      <c r="FJ64" s="627">
        <v>0</v>
      </c>
      <c r="FK64" s="627">
        <v>0</v>
      </c>
      <c r="FL64" s="627">
        <v>668.16600000000005</v>
      </c>
      <c r="FM64" s="627">
        <v>4978621</v>
      </c>
      <c r="FN64" s="627">
        <v>0</v>
      </c>
      <c r="FO64" s="627">
        <v>0</v>
      </c>
      <c r="FP64" s="627">
        <v>0</v>
      </c>
      <c r="FQ64" s="627">
        <v>0</v>
      </c>
      <c r="FR64" s="627">
        <v>0</v>
      </c>
      <c r="FS64" s="627">
        <v>0</v>
      </c>
      <c r="FT64" s="627">
        <v>0</v>
      </c>
      <c r="FU64" s="627">
        <v>0</v>
      </c>
      <c r="FV64" s="627">
        <v>0</v>
      </c>
      <c r="FW64" s="627">
        <v>0</v>
      </c>
      <c r="FX64" s="627">
        <v>0</v>
      </c>
      <c r="FY64" s="627">
        <v>0</v>
      </c>
      <c r="FZ64" s="627">
        <v>0</v>
      </c>
      <c r="GA64" s="627">
        <v>0</v>
      </c>
      <c r="GB64" s="627">
        <v>0</v>
      </c>
      <c r="GC64" s="627">
        <v>307202</v>
      </c>
      <c r="GD64" s="627">
        <v>307202</v>
      </c>
      <c r="GE64" s="627">
        <v>32.603999999999999</v>
      </c>
      <c r="GF64" s="627">
        <v>0</v>
      </c>
      <c r="GG64" s="627">
        <v>0</v>
      </c>
      <c r="GH64" s="627">
        <v>0</v>
      </c>
      <c r="GI64" s="627">
        <v>0</v>
      </c>
      <c r="GJ64" s="627">
        <v>0</v>
      </c>
      <c r="GK64" s="627">
        <v>0</v>
      </c>
      <c r="GL64" s="627">
        <v>0</v>
      </c>
      <c r="GM64" s="627">
        <v>0</v>
      </c>
      <c r="GN64" s="627">
        <v>0</v>
      </c>
      <c r="GO64" s="627">
        <v>0</v>
      </c>
      <c r="GP64" s="627">
        <v>0</v>
      </c>
      <c r="GQ64" s="627">
        <v>0</v>
      </c>
      <c r="GR64" s="627">
        <v>4733496</v>
      </c>
      <c r="GS64" s="627">
        <v>0</v>
      </c>
      <c r="GT64" s="627">
        <v>0</v>
      </c>
      <c r="GU64" s="627">
        <v>0</v>
      </c>
      <c r="GV64" s="627">
        <v>0</v>
      </c>
      <c r="GW64" s="627">
        <v>0</v>
      </c>
      <c r="GX64" s="627">
        <v>0</v>
      </c>
      <c r="GY64" s="627">
        <v>0</v>
      </c>
      <c r="GZ64" s="627">
        <v>0</v>
      </c>
      <c r="HA64" s="627">
        <v>0</v>
      </c>
      <c r="HB64" s="627">
        <v>0</v>
      </c>
      <c r="HC64" s="627">
        <v>361151439</v>
      </c>
      <c r="HD64" s="627">
        <v>3.9981999999999997E-2</v>
      </c>
      <c r="HE64" s="627">
        <v>63541</v>
      </c>
      <c r="HF64" s="627">
        <v>0</v>
      </c>
      <c r="HG64" s="627">
        <v>390973</v>
      </c>
      <c r="HH64" s="627">
        <v>616</v>
      </c>
      <c r="HI64" s="627">
        <v>0</v>
      </c>
      <c r="HJ64" s="627">
        <v>0</v>
      </c>
      <c r="HK64" s="627">
        <v>63973</v>
      </c>
      <c r="HL64" s="627">
        <v>4810</v>
      </c>
      <c r="HM64" s="627">
        <v>6155</v>
      </c>
      <c r="HN64" s="627">
        <v>0</v>
      </c>
      <c r="HO64" s="627">
        <v>0</v>
      </c>
      <c r="HP64" s="627">
        <v>0</v>
      </c>
      <c r="HQ64" s="627">
        <v>94167</v>
      </c>
      <c r="HR64" s="627">
        <v>0</v>
      </c>
      <c r="HS64" s="627">
        <v>0</v>
      </c>
      <c r="HT64" s="627">
        <v>4038178</v>
      </c>
      <c r="HU64" s="627">
        <v>102644</v>
      </c>
      <c r="HV64" s="627">
        <v>0</v>
      </c>
      <c r="HW64" s="627">
        <v>0</v>
      </c>
      <c r="HX64" s="627">
        <v>0</v>
      </c>
      <c r="HY64" s="627">
        <v>14</v>
      </c>
      <c r="HZ64" s="627">
        <v>71</v>
      </c>
      <c r="IA64" s="627">
        <v>74</v>
      </c>
      <c r="IB64" s="627">
        <v>113</v>
      </c>
      <c r="IC64" s="627">
        <v>147</v>
      </c>
      <c r="ID64" s="627">
        <v>419</v>
      </c>
      <c r="IE64" s="627">
        <v>0</v>
      </c>
      <c r="IF64" s="627">
        <v>0</v>
      </c>
      <c r="IG64" s="627">
        <v>0</v>
      </c>
      <c r="IH64" s="627">
        <v>1</v>
      </c>
      <c r="II64" s="627">
        <v>0</v>
      </c>
      <c r="IJ64" s="627">
        <v>342.42500000000001</v>
      </c>
      <c r="IK64" s="627">
        <v>148.268</v>
      </c>
      <c r="IL64" s="627">
        <v>0</v>
      </c>
      <c r="IM64" s="627">
        <v>0</v>
      </c>
      <c r="IN64" s="627">
        <v>0</v>
      </c>
      <c r="IO64" s="627">
        <v>0</v>
      </c>
      <c r="IP64" s="627">
        <v>0</v>
      </c>
      <c r="IQ64" s="627">
        <v>342.42500000000001</v>
      </c>
      <c r="IR64" s="627">
        <v>148.268</v>
      </c>
      <c r="IS64" s="627">
        <v>91333</v>
      </c>
      <c r="IT64" s="627">
        <v>0</v>
      </c>
      <c r="IU64" s="627">
        <v>0</v>
      </c>
      <c r="IV64" s="627">
        <v>0</v>
      </c>
      <c r="IW64" s="627">
        <v>0</v>
      </c>
      <c r="IX64" s="627">
        <v>6160</v>
      </c>
      <c r="IY64" s="627">
        <v>0</v>
      </c>
      <c r="IZ64" s="627">
        <v>0</v>
      </c>
      <c r="JA64" s="627">
        <v>94167</v>
      </c>
      <c r="JB64" s="627">
        <v>0</v>
      </c>
      <c r="JC64" s="627">
        <v>0</v>
      </c>
      <c r="JD64" s="627">
        <v>0</v>
      </c>
      <c r="JE64" s="627">
        <v>0</v>
      </c>
      <c r="JF64" s="627">
        <v>0</v>
      </c>
      <c r="JG64" s="627">
        <v>0</v>
      </c>
      <c r="JH64" s="627">
        <v>0</v>
      </c>
      <c r="JI64" s="627">
        <v>0</v>
      </c>
      <c r="JJ64" s="627">
        <v>0</v>
      </c>
      <c r="JK64" s="627">
        <v>0</v>
      </c>
      <c r="JL64" s="627">
        <v>0</v>
      </c>
      <c r="JM64" s="627">
        <v>0</v>
      </c>
      <c r="JN64" s="627">
        <v>0</v>
      </c>
      <c r="JO64" s="627">
        <v>32469</v>
      </c>
      <c r="JP64" s="627">
        <v>0</v>
      </c>
      <c r="JQ64" s="627">
        <v>29.606000000000002</v>
      </c>
      <c r="JR64" s="627">
        <v>2.9980000000000002</v>
      </c>
      <c r="JS64" s="627">
        <v>0</v>
      </c>
      <c r="JT64" s="627">
        <v>275198</v>
      </c>
      <c r="JU64" s="627">
        <v>32004</v>
      </c>
      <c r="JV64" s="627">
        <v>0</v>
      </c>
      <c r="JW64" s="627">
        <v>0</v>
      </c>
      <c r="JX64" s="627">
        <v>0</v>
      </c>
      <c r="JY64" s="627">
        <v>0</v>
      </c>
      <c r="JZ64" s="627">
        <v>0</v>
      </c>
      <c r="KA64" s="627">
        <v>0</v>
      </c>
      <c r="KB64" s="627">
        <v>0</v>
      </c>
      <c r="KC64" s="627">
        <v>0</v>
      </c>
      <c r="KD64" s="627">
        <v>0</v>
      </c>
      <c r="KE64" s="627">
        <v>0</v>
      </c>
      <c r="KF64" s="627">
        <v>7262</v>
      </c>
      <c r="KG64" s="627">
        <v>0</v>
      </c>
      <c r="KH64" s="627">
        <v>0</v>
      </c>
      <c r="KI64" s="627">
        <v>4733496</v>
      </c>
      <c r="KJ64" s="627">
        <v>0</v>
      </c>
      <c r="KK64" s="627">
        <v>0</v>
      </c>
      <c r="KL64" s="627">
        <v>1</v>
      </c>
      <c r="KM64" s="627">
        <v>0</v>
      </c>
      <c r="KN64" s="627">
        <v>616</v>
      </c>
      <c r="KO64" s="627">
        <v>0</v>
      </c>
      <c r="KP64" s="627">
        <v>0</v>
      </c>
      <c r="KQ64" s="627">
        <v>4733496</v>
      </c>
      <c r="KR64" s="627">
        <v>0</v>
      </c>
      <c r="KS64" s="627">
        <v>0</v>
      </c>
      <c r="KT64" s="627">
        <v>0</v>
      </c>
      <c r="KU64" s="627">
        <v>0</v>
      </c>
      <c r="KV64" s="627">
        <v>0</v>
      </c>
      <c r="KW64" s="627">
        <v>0</v>
      </c>
      <c r="KX64" s="627">
        <v>0</v>
      </c>
      <c r="KY64" s="627">
        <v>0</v>
      </c>
      <c r="KZ64" s="627">
        <v>0</v>
      </c>
      <c r="LA64" s="627">
        <v>0</v>
      </c>
      <c r="LB64" s="627">
        <v>0</v>
      </c>
      <c r="LC64" s="627">
        <v>0</v>
      </c>
      <c r="LD64" s="627">
        <v>0</v>
      </c>
      <c r="LE64" s="627">
        <v>0</v>
      </c>
      <c r="LF64" s="627">
        <v>0</v>
      </c>
    </row>
    <row r="65" spans="1:318" x14ac:dyDescent="0.25">
      <c r="A65" s="627">
        <v>42602</v>
      </c>
      <c r="B65" s="627">
        <v>212804</v>
      </c>
      <c r="D65" s="627">
        <v>9</v>
      </c>
      <c r="E65" s="627">
        <v>2024</v>
      </c>
      <c r="F65" s="627">
        <v>6160</v>
      </c>
      <c r="G65" s="627">
        <v>0</v>
      </c>
      <c r="H65" s="627">
        <v>969.35</v>
      </c>
      <c r="I65" s="627">
        <v>891.00400000000002</v>
      </c>
      <c r="J65" s="627">
        <v>891.00400000000002</v>
      </c>
      <c r="K65" s="627">
        <v>969.35</v>
      </c>
      <c r="L65" s="627">
        <v>0</v>
      </c>
      <c r="M65" s="627">
        <v>6160</v>
      </c>
      <c r="N65" s="627">
        <v>0</v>
      </c>
      <c r="O65" s="627">
        <v>0</v>
      </c>
      <c r="P65" s="627">
        <v>0</v>
      </c>
      <c r="Q65" s="627">
        <v>820.46699999999998</v>
      </c>
      <c r="R65" s="627">
        <v>0</v>
      </c>
      <c r="S65" s="627">
        <v>340399</v>
      </c>
      <c r="T65" s="627">
        <v>414.88400000000001</v>
      </c>
      <c r="U65" s="627">
        <v>0</v>
      </c>
      <c r="V65" s="627">
        <v>176653</v>
      </c>
      <c r="W65" s="627">
        <v>33.85</v>
      </c>
      <c r="X65" s="627">
        <v>20852</v>
      </c>
      <c r="Y65" s="627">
        <v>20852</v>
      </c>
      <c r="Z65" s="627">
        <v>0</v>
      </c>
      <c r="AA65" s="627">
        <v>0</v>
      </c>
      <c r="AB65" s="627">
        <v>0</v>
      </c>
      <c r="AC65" s="627">
        <v>0</v>
      </c>
      <c r="AD65" s="627">
        <v>0</v>
      </c>
      <c r="AE65" s="627" t="s">
        <v>314</v>
      </c>
      <c r="AF65" s="627">
        <v>0</v>
      </c>
      <c r="AG65" s="627">
        <v>0</v>
      </c>
      <c r="AH65" s="627">
        <v>0</v>
      </c>
      <c r="AI65" s="627">
        <v>0</v>
      </c>
      <c r="AJ65" s="627">
        <v>0</v>
      </c>
      <c r="AK65" s="627">
        <v>6160</v>
      </c>
      <c r="AL65" s="627" t="s">
        <v>651</v>
      </c>
      <c r="AM65" s="627" t="s">
        <v>462</v>
      </c>
      <c r="AN65" s="627">
        <v>0</v>
      </c>
      <c r="AO65" s="627">
        <v>0</v>
      </c>
      <c r="AP65" s="627">
        <v>0</v>
      </c>
      <c r="AQ65" s="627">
        <v>0</v>
      </c>
      <c r="AR65" s="627">
        <v>0</v>
      </c>
      <c r="AS65" s="627">
        <v>0</v>
      </c>
      <c r="AT65" s="627">
        <v>0</v>
      </c>
      <c r="AU65" s="627">
        <v>0</v>
      </c>
      <c r="AV65" s="627">
        <v>0</v>
      </c>
      <c r="AW65" s="627">
        <v>0</v>
      </c>
      <c r="AX65" s="627">
        <v>9839513</v>
      </c>
      <c r="AY65" s="627">
        <v>9687503</v>
      </c>
      <c r="AZ65" s="627">
        <v>4837620</v>
      </c>
      <c r="BA65" s="627">
        <v>340399</v>
      </c>
      <c r="BB65" s="627">
        <v>0</v>
      </c>
      <c r="BC65" s="627">
        <v>20451</v>
      </c>
      <c r="BD65" s="627">
        <v>20321</v>
      </c>
      <c r="BE65" s="627">
        <v>48</v>
      </c>
      <c r="BF65" s="627">
        <v>130</v>
      </c>
      <c r="BG65" s="627">
        <v>8574698</v>
      </c>
      <c r="BH65" s="627">
        <v>0</v>
      </c>
      <c r="BI65" s="627">
        <v>0</v>
      </c>
      <c r="BJ65" s="627">
        <v>0</v>
      </c>
      <c r="BK65" s="627">
        <v>12</v>
      </c>
      <c r="BL65" s="627">
        <v>0</v>
      </c>
      <c r="BM65" s="627">
        <v>0</v>
      </c>
      <c r="BN65" s="627">
        <v>0</v>
      </c>
      <c r="BO65" s="627">
        <v>0</v>
      </c>
      <c r="BP65" s="627">
        <v>0</v>
      </c>
      <c r="BQ65" s="627">
        <v>0</v>
      </c>
      <c r="BR65" s="627">
        <v>633</v>
      </c>
      <c r="BS65" s="627">
        <v>0</v>
      </c>
      <c r="BT65" s="627">
        <v>0</v>
      </c>
      <c r="BU65" s="627">
        <v>0</v>
      </c>
      <c r="BV65" s="627">
        <v>0</v>
      </c>
      <c r="BW65" s="627">
        <v>0</v>
      </c>
      <c r="BX65" s="627">
        <v>0</v>
      </c>
      <c r="BY65" s="627">
        <v>0</v>
      </c>
      <c r="BZ65" s="627">
        <v>0</v>
      </c>
      <c r="CA65" s="627">
        <v>0</v>
      </c>
      <c r="CB65" s="627">
        <v>0</v>
      </c>
      <c r="CC65" s="627">
        <v>0</v>
      </c>
      <c r="CD65" s="627">
        <v>0</v>
      </c>
      <c r="CE65" s="627">
        <v>0</v>
      </c>
      <c r="CF65" s="627">
        <v>0</v>
      </c>
      <c r="CG65" s="627">
        <v>0</v>
      </c>
      <c r="CH65" s="627">
        <v>0</v>
      </c>
      <c r="CI65" s="627">
        <v>155027</v>
      </c>
      <c r="CJ65" s="627">
        <v>0</v>
      </c>
      <c r="CK65" s="627">
        <v>4</v>
      </c>
      <c r="CL65" s="627">
        <v>0</v>
      </c>
      <c r="CM65" s="627">
        <v>0</v>
      </c>
      <c r="CN65" s="627">
        <v>0</v>
      </c>
      <c r="CO65" s="627">
        <v>0</v>
      </c>
      <c r="CP65" s="627">
        <v>1</v>
      </c>
      <c r="CQ65" s="627">
        <v>0</v>
      </c>
      <c r="CR65" s="627">
        <v>0</v>
      </c>
      <c r="CS65" s="627">
        <v>818.96</v>
      </c>
      <c r="CT65" s="627">
        <v>0</v>
      </c>
      <c r="CU65" s="627">
        <v>0</v>
      </c>
      <c r="CV65" s="627">
        <v>0</v>
      </c>
      <c r="CW65" s="627">
        <v>0</v>
      </c>
      <c r="CX65" s="627">
        <v>0</v>
      </c>
      <c r="CY65" s="627">
        <v>0</v>
      </c>
      <c r="CZ65" s="627">
        <v>0</v>
      </c>
      <c r="DA65" s="627">
        <v>0</v>
      </c>
      <c r="DB65" s="627">
        <v>0</v>
      </c>
      <c r="DC65" s="627">
        <v>5488585</v>
      </c>
      <c r="DD65" s="627">
        <v>0</v>
      </c>
      <c r="DE65" s="627">
        <v>0</v>
      </c>
      <c r="DF65" s="627">
        <v>459228</v>
      </c>
      <c r="DG65" s="627">
        <v>459228</v>
      </c>
      <c r="DH65" s="627">
        <v>74.55</v>
      </c>
      <c r="DI65" s="627">
        <v>0</v>
      </c>
      <c r="DJ65" s="627">
        <v>0</v>
      </c>
      <c r="DK65" s="627">
        <v>0</v>
      </c>
      <c r="DL65" s="627">
        <v>1747</v>
      </c>
      <c r="DM65" s="627">
        <v>0</v>
      </c>
      <c r="DN65" s="627">
        <v>846870</v>
      </c>
      <c r="DO65" s="627">
        <v>2886</v>
      </c>
      <c r="DP65" s="627">
        <v>0</v>
      </c>
      <c r="DQ65" s="627">
        <v>0</v>
      </c>
      <c r="DR65" s="627">
        <v>0</v>
      </c>
      <c r="DS65" s="627">
        <v>0</v>
      </c>
      <c r="DT65" s="627">
        <v>0</v>
      </c>
      <c r="DU65" s="627">
        <v>0</v>
      </c>
      <c r="DV65" s="627">
        <v>0</v>
      </c>
      <c r="DW65" s="627">
        <v>0</v>
      </c>
      <c r="DX65" s="627">
        <v>0</v>
      </c>
      <c r="DY65" s="627">
        <v>0</v>
      </c>
      <c r="DZ65" s="627">
        <v>0</v>
      </c>
      <c r="EA65" s="627">
        <v>0</v>
      </c>
      <c r="EB65" s="627">
        <v>0</v>
      </c>
      <c r="EC65" s="627">
        <v>0</v>
      </c>
      <c r="ED65" s="627">
        <v>40.383000000000003</v>
      </c>
      <c r="EE65" s="627">
        <v>286073</v>
      </c>
      <c r="EF65" s="627">
        <v>0</v>
      </c>
      <c r="EG65" s="627">
        <v>0</v>
      </c>
      <c r="EH65" s="627">
        <v>0</v>
      </c>
      <c r="EI65" s="627">
        <v>563683</v>
      </c>
      <c r="EJ65" s="627">
        <v>0</v>
      </c>
      <c r="EK65" s="627">
        <v>0</v>
      </c>
      <c r="EL65" s="627">
        <v>25.357000000000003</v>
      </c>
      <c r="EM65" s="627">
        <v>0</v>
      </c>
      <c r="EN65" s="627">
        <v>3.7000000000000005E-2</v>
      </c>
      <c r="EO65" s="627">
        <v>3.0649999999999999</v>
      </c>
      <c r="EP65" s="627">
        <v>0</v>
      </c>
      <c r="EQ65" s="627">
        <v>0</v>
      </c>
      <c r="ER65" s="627">
        <v>28.459</v>
      </c>
      <c r="ES65" s="627">
        <v>0</v>
      </c>
      <c r="ET65" s="627">
        <v>91.507000000000005</v>
      </c>
      <c r="EU65" s="627">
        <v>0</v>
      </c>
      <c r="EV65" s="627">
        <v>0</v>
      </c>
      <c r="EW65" s="627">
        <v>0</v>
      </c>
      <c r="EX65" s="627">
        <v>0</v>
      </c>
      <c r="EY65" s="627">
        <v>0</v>
      </c>
      <c r="EZ65" s="627">
        <v>0</v>
      </c>
      <c r="FA65" s="627">
        <v>8238941</v>
      </c>
      <c r="FB65" s="627">
        <v>0</v>
      </c>
      <c r="FC65" s="627">
        <v>8576323</v>
      </c>
      <c r="FD65" s="627">
        <v>0</v>
      </c>
      <c r="FE65" s="627">
        <v>0</v>
      </c>
      <c r="FF65" s="627">
        <v>1234723</v>
      </c>
      <c r="FG65" s="627">
        <v>213839</v>
      </c>
      <c r="FH65" s="627">
        <v>7.0280999999999996E-2</v>
      </c>
      <c r="FI65" s="627">
        <v>3.1172999999999999E-2</v>
      </c>
      <c r="FJ65" s="627">
        <v>0</v>
      </c>
      <c r="FK65" s="627">
        <v>0</v>
      </c>
      <c r="FL65" s="627">
        <v>1391.9960000000001</v>
      </c>
      <c r="FM65" s="627">
        <v>10179912</v>
      </c>
      <c r="FN65" s="627">
        <v>0</v>
      </c>
      <c r="FO65" s="627">
        <v>0</v>
      </c>
      <c r="FP65" s="627">
        <v>0</v>
      </c>
      <c r="FQ65" s="627">
        <v>0</v>
      </c>
      <c r="FR65" s="627">
        <v>0</v>
      </c>
      <c r="FS65" s="627">
        <v>0</v>
      </c>
      <c r="FT65" s="627">
        <v>0</v>
      </c>
      <c r="FU65" s="627">
        <v>0</v>
      </c>
      <c r="FV65" s="627">
        <v>0</v>
      </c>
      <c r="FW65" s="627">
        <v>0</v>
      </c>
      <c r="FX65" s="627">
        <v>0</v>
      </c>
      <c r="FY65" s="627">
        <v>0</v>
      </c>
      <c r="FZ65" s="627">
        <v>0</v>
      </c>
      <c r="GA65" s="627">
        <v>0</v>
      </c>
      <c r="GB65" s="627">
        <v>0</v>
      </c>
      <c r="GC65" s="627">
        <v>494654</v>
      </c>
      <c r="GD65" s="627">
        <v>494654</v>
      </c>
      <c r="GE65" s="627">
        <v>49.887</v>
      </c>
      <c r="GF65" s="627">
        <v>0</v>
      </c>
      <c r="GG65" s="627">
        <v>0</v>
      </c>
      <c r="GH65" s="627">
        <v>0</v>
      </c>
      <c r="GI65" s="627">
        <v>0</v>
      </c>
      <c r="GJ65" s="627">
        <v>0</v>
      </c>
      <c r="GK65" s="627">
        <v>0</v>
      </c>
      <c r="GL65" s="627">
        <v>0</v>
      </c>
      <c r="GM65" s="627">
        <v>0</v>
      </c>
      <c r="GN65" s="627">
        <v>0</v>
      </c>
      <c r="GO65" s="627">
        <v>0</v>
      </c>
      <c r="GP65" s="627">
        <v>0</v>
      </c>
      <c r="GQ65" s="627">
        <v>0</v>
      </c>
      <c r="GR65" s="627">
        <v>9684486</v>
      </c>
      <c r="GS65" s="627">
        <v>0</v>
      </c>
      <c r="GT65" s="627">
        <v>0</v>
      </c>
      <c r="GU65" s="627">
        <v>0</v>
      </c>
      <c r="GV65" s="627">
        <v>0</v>
      </c>
      <c r="GW65" s="627">
        <v>0</v>
      </c>
      <c r="GX65" s="627">
        <v>0</v>
      </c>
      <c r="GY65" s="627">
        <v>0</v>
      </c>
      <c r="GZ65" s="627">
        <v>0</v>
      </c>
      <c r="HA65" s="627">
        <v>0</v>
      </c>
      <c r="HB65" s="627">
        <v>0</v>
      </c>
      <c r="HC65" s="627">
        <v>361151439</v>
      </c>
      <c r="HD65" s="627">
        <v>3.9981999999999997E-2</v>
      </c>
      <c r="HE65" s="627">
        <v>155027</v>
      </c>
      <c r="HF65" s="627">
        <v>0</v>
      </c>
      <c r="HG65" s="627">
        <v>981886</v>
      </c>
      <c r="HH65" s="627">
        <v>44968</v>
      </c>
      <c r="HI65" s="627">
        <v>75624</v>
      </c>
      <c r="HJ65" s="627">
        <v>0</v>
      </c>
      <c r="HK65" s="627">
        <v>54694</v>
      </c>
      <c r="HL65" s="627">
        <v>2636</v>
      </c>
      <c r="HM65" s="627">
        <v>2006</v>
      </c>
      <c r="HN65" s="627">
        <v>84000</v>
      </c>
      <c r="HO65" s="627">
        <v>0</v>
      </c>
      <c r="HP65" s="627">
        <v>0</v>
      </c>
      <c r="HQ65" s="627">
        <v>0</v>
      </c>
      <c r="HR65" s="627">
        <v>0</v>
      </c>
      <c r="HS65" s="627">
        <v>0</v>
      </c>
      <c r="HT65" s="627">
        <v>8235924</v>
      </c>
      <c r="HU65" s="627">
        <v>213839</v>
      </c>
      <c r="HV65" s="627">
        <v>0</v>
      </c>
      <c r="HW65" s="627">
        <v>0</v>
      </c>
      <c r="HX65" s="627">
        <v>0</v>
      </c>
      <c r="HY65" s="627">
        <v>68</v>
      </c>
      <c r="HZ65" s="627">
        <v>59</v>
      </c>
      <c r="IA65" s="627">
        <v>72</v>
      </c>
      <c r="IB65" s="627">
        <v>65</v>
      </c>
      <c r="IC65" s="627">
        <v>37</v>
      </c>
      <c r="ID65" s="627">
        <v>301</v>
      </c>
      <c r="IE65" s="627">
        <v>0</v>
      </c>
      <c r="IF65" s="627">
        <v>0</v>
      </c>
      <c r="IG65" s="627">
        <v>0</v>
      </c>
      <c r="IH65" s="627">
        <v>73</v>
      </c>
      <c r="II65" s="627">
        <v>122.76700000000001</v>
      </c>
      <c r="IJ65" s="627">
        <v>0</v>
      </c>
      <c r="IK65" s="627">
        <v>33.85</v>
      </c>
      <c r="IL65" s="627">
        <v>0</v>
      </c>
      <c r="IM65" s="627">
        <v>9</v>
      </c>
      <c r="IN65" s="627">
        <v>13</v>
      </c>
      <c r="IO65" s="627">
        <v>0</v>
      </c>
      <c r="IP65" s="627">
        <v>22</v>
      </c>
      <c r="IQ65" s="627">
        <v>0</v>
      </c>
      <c r="IR65" s="627">
        <v>33.85</v>
      </c>
      <c r="IS65" s="627">
        <v>20852</v>
      </c>
      <c r="IT65" s="627">
        <v>0</v>
      </c>
      <c r="IU65" s="627">
        <v>45000</v>
      </c>
      <c r="IV65" s="627">
        <v>39000</v>
      </c>
      <c r="IW65" s="627">
        <v>0</v>
      </c>
      <c r="IX65" s="627">
        <v>6160</v>
      </c>
      <c r="IY65" s="627">
        <v>0</v>
      </c>
      <c r="IZ65" s="627">
        <v>0</v>
      </c>
      <c r="JA65" s="627">
        <v>0</v>
      </c>
      <c r="JB65" s="627">
        <v>0</v>
      </c>
      <c r="JC65" s="627">
        <v>0</v>
      </c>
      <c r="JD65" s="627">
        <v>0</v>
      </c>
      <c r="JE65" s="627">
        <v>0</v>
      </c>
      <c r="JF65" s="627">
        <v>0</v>
      </c>
      <c r="JG65" s="627">
        <v>0</v>
      </c>
      <c r="JH65" s="627">
        <v>0</v>
      </c>
      <c r="JI65" s="627">
        <v>0</v>
      </c>
      <c r="JJ65" s="627">
        <v>0</v>
      </c>
      <c r="JK65" s="627">
        <v>0</v>
      </c>
      <c r="JL65" s="627">
        <v>0</v>
      </c>
      <c r="JM65" s="627">
        <v>0</v>
      </c>
      <c r="JN65" s="627">
        <v>0</v>
      </c>
      <c r="JO65" s="627">
        <v>32469</v>
      </c>
      <c r="JP65" s="627">
        <v>0</v>
      </c>
      <c r="JQ65" s="627">
        <v>27.458000000000002</v>
      </c>
      <c r="JR65" s="627">
        <v>22.428000000000001</v>
      </c>
      <c r="JS65" s="627">
        <v>0</v>
      </c>
      <c r="JT65" s="627">
        <v>255232</v>
      </c>
      <c r="JU65" s="627">
        <v>239422</v>
      </c>
      <c r="JV65" s="627">
        <v>20698</v>
      </c>
      <c r="JW65" s="627">
        <v>0</v>
      </c>
      <c r="JX65" s="627">
        <v>0</v>
      </c>
      <c r="JY65" s="627">
        <v>0</v>
      </c>
      <c r="JZ65" s="627">
        <v>0</v>
      </c>
      <c r="KA65" s="627">
        <v>0</v>
      </c>
      <c r="KB65" s="627">
        <v>0</v>
      </c>
      <c r="KC65" s="627">
        <v>0</v>
      </c>
      <c r="KD65" s="627">
        <v>0</v>
      </c>
      <c r="KE65" s="627">
        <v>20698</v>
      </c>
      <c r="KF65" s="627">
        <v>7262</v>
      </c>
      <c r="KG65" s="627">
        <v>0</v>
      </c>
      <c r="KH65" s="627">
        <v>0</v>
      </c>
      <c r="KI65" s="627">
        <v>9684486</v>
      </c>
      <c r="KJ65" s="627">
        <v>0</v>
      </c>
      <c r="KK65" s="627">
        <v>29</v>
      </c>
      <c r="KL65" s="627">
        <v>44</v>
      </c>
      <c r="KM65" s="627">
        <v>17864</v>
      </c>
      <c r="KN65" s="627">
        <v>27104</v>
      </c>
      <c r="KO65" s="627">
        <v>0</v>
      </c>
      <c r="KP65" s="627">
        <v>0</v>
      </c>
      <c r="KQ65" s="627">
        <v>9684486</v>
      </c>
      <c r="KR65" s="627">
        <v>0</v>
      </c>
      <c r="KS65" s="627">
        <v>0</v>
      </c>
      <c r="KT65" s="627">
        <v>0</v>
      </c>
      <c r="KU65" s="627">
        <v>0</v>
      </c>
      <c r="KV65" s="627">
        <v>0</v>
      </c>
      <c r="KW65" s="627">
        <v>0</v>
      </c>
      <c r="KX65" s="627">
        <v>0</v>
      </c>
      <c r="KY65" s="627">
        <v>0</v>
      </c>
      <c r="KZ65" s="627">
        <v>0</v>
      </c>
      <c r="LA65" s="627">
        <v>0</v>
      </c>
      <c r="LB65" s="627">
        <v>0</v>
      </c>
      <c r="LC65" s="627">
        <v>0</v>
      </c>
      <c r="LD65" s="627">
        <v>0</v>
      </c>
      <c r="LE65" s="627">
        <v>0</v>
      </c>
      <c r="LF65" s="627">
        <v>0</v>
      </c>
    </row>
    <row r="66" spans="1:318" x14ac:dyDescent="0.25">
      <c r="A66" s="627">
        <v>42602</v>
      </c>
      <c r="B66" s="627">
        <v>227804</v>
      </c>
      <c r="D66" s="627">
        <v>9</v>
      </c>
      <c r="E66" s="627">
        <v>2024</v>
      </c>
      <c r="F66" s="627">
        <v>6160</v>
      </c>
      <c r="G66" s="627">
        <v>0</v>
      </c>
      <c r="H66" s="627">
        <v>1593.181</v>
      </c>
      <c r="I66" s="627">
        <v>1458.8510000000001</v>
      </c>
      <c r="J66" s="627">
        <v>1458.8510000000001</v>
      </c>
      <c r="K66" s="627">
        <v>1593.181</v>
      </c>
      <c r="L66" s="627">
        <v>0</v>
      </c>
      <c r="M66" s="627">
        <v>6160</v>
      </c>
      <c r="N66" s="627">
        <v>0</v>
      </c>
      <c r="O66" s="627">
        <v>0</v>
      </c>
      <c r="P66" s="627">
        <v>0</v>
      </c>
      <c r="Q66" s="627">
        <v>1494.288</v>
      </c>
      <c r="R66" s="627">
        <v>0</v>
      </c>
      <c r="S66" s="627">
        <v>619956</v>
      </c>
      <c r="T66" s="627">
        <v>414.88400000000001</v>
      </c>
      <c r="U66" s="627">
        <v>0</v>
      </c>
      <c r="V66" s="627">
        <v>321733</v>
      </c>
      <c r="W66" s="627">
        <v>350.267</v>
      </c>
      <c r="X66" s="627">
        <v>215764</v>
      </c>
      <c r="Y66" s="627">
        <v>215764</v>
      </c>
      <c r="Z66" s="627">
        <v>0</v>
      </c>
      <c r="AA66" s="627">
        <v>0</v>
      </c>
      <c r="AB66" s="627">
        <v>0</v>
      </c>
      <c r="AC66" s="627">
        <v>0</v>
      </c>
      <c r="AD66" s="627">
        <v>0</v>
      </c>
      <c r="AE66" s="627" t="s">
        <v>314</v>
      </c>
      <c r="AF66" s="627">
        <v>0</v>
      </c>
      <c r="AG66" s="627">
        <v>0</v>
      </c>
      <c r="AH66" s="627">
        <v>0</v>
      </c>
      <c r="AI66" s="627">
        <v>0</v>
      </c>
      <c r="AJ66" s="627">
        <v>0</v>
      </c>
      <c r="AK66" s="627">
        <v>6160</v>
      </c>
      <c r="AL66" s="627" t="s">
        <v>651</v>
      </c>
      <c r="AM66" s="627" t="s">
        <v>78</v>
      </c>
      <c r="AN66" s="627">
        <v>0</v>
      </c>
      <c r="AO66" s="627">
        <v>0</v>
      </c>
      <c r="AP66" s="627">
        <v>0</v>
      </c>
      <c r="AQ66" s="627">
        <v>0</v>
      </c>
      <c r="AR66" s="627">
        <v>0</v>
      </c>
      <c r="AS66" s="627">
        <v>0</v>
      </c>
      <c r="AT66" s="627">
        <v>0</v>
      </c>
      <c r="AU66" s="627">
        <v>0</v>
      </c>
      <c r="AV66" s="627">
        <v>0</v>
      </c>
      <c r="AW66" s="627">
        <v>-34577</v>
      </c>
      <c r="AX66" s="627">
        <v>16180528</v>
      </c>
      <c r="AY66" s="627">
        <v>15930530</v>
      </c>
      <c r="AZ66" s="627">
        <v>7875611</v>
      </c>
      <c r="BA66" s="627">
        <v>619956</v>
      </c>
      <c r="BB66" s="627">
        <v>0</v>
      </c>
      <c r="BC66" s="627">
        <v>0</v>
      </c>
      <c r="BD66" s="627">
        <v>0</v>
      </c>
      <c r="BE66" s="627">
        <v>0</v>
      </c>
      <c r="BF66" s="627">
        <v>0</v>
      </c>
      <c r="BG66" s="627">
        <v>14153256</v>
      </c>
      <c r="BH66" s="627">
        <v>0</v>
      </c>
      <c r="BI66" s="627">
        <v>0</v>
      </c>
      <c r="BJ66" s="627">
        <v>0</v>
      </c>
      <c r="BK66" s="627">
        <v>12</v>
      </c>
      <c r="BL66" s="627">
        <v>0</v>
      </c>
      <c r="BM66" s="627">
        <v>0</v>
      </c>
      <c r="BN66" s="627">
        <v>0</v>
      </c>
      <c r="BO66" s="627">
        <v>0</v>
      </c>
      <c r="BP66" s="627">
        <v>0</v>
      </c>
      <c r="BQ66" s="627">
        <v>0</v>
      </c>
      <c r="BR66" s="627">
        <v>545</v>
      </c>
      <c r="BS66" s="627">
        <v>0</v>
      </c>
      <c r="BT66" s="627">
        <v>0</v>
      </c>
      <c r="BU66" s="627">
        <v>0</v>
      </c>
      <c r="BV66" s="627">
        <v>0</v>
      </c>
      <c r="BW66" s="627">
        <v>0</v>
      </c>
      <c r="BX66" s="627">
        <v>0</v>
      </c>
      <c r="BY66" s="627">
        <v>0</v>
      </c>
      <c r="BZ66" s="627">
        <v>0</v>
      </c>
      <c r="CA66" s="627">
        <v>0</v>
      </c>
      <c r="CB66" s="627">
        <v>0</v>
      </c>
      <c r="CC66" s="627">
        <v>0</v>
      </c>
      <c r="CD66" s="627">
        <v>0</v>
      </c>
      <c r="CE66" s="627">
        <v>0</v>
      </c>
      <c r="CF66" s="627">
        <v>0</v>
      </c>
      <c r="CG66" s="627">
        <v>0</v>
      </c>
      <c r="CH66" s="627">
        <v>0</v>
      </c>
      <c r="CI66" s="627">
        <v>254795</v>
      </c>
      <c r="CJ66" s="627">
        <v>0</v>
      </c>
      <c r="CK66" s="627">
        <v>4</v>
      </c>
      <c r="CL66" s="627">
        <v>0</v>
      </c>
      <c r="CM66" s="627">
        <v>0</v>
      </c>
      <c r="CN66" s="627">
        <v>0</v>
      </c>
      <c r="CO66" s="627">
        <v>0</v>
      </c>
      <c r="CP66" s="627">
        <v>1</v>
      </c>
      <c r="CQ66" s="627">
        <v>0</v>
      </c>
      <c r="CR66" s="627">
        <v>0</v>
      </c>
      <c r="CS66" s="627">
        <v>1490.4</v>
      </c>
      <c r="CT66" s="627">
        <v>0</v>
      </c>
      <c r="CU66" s="627">
        <v>0</v>
      </c>
      <c r="CV66" s="627">
        <v>0</v>
      </c>
      <c r="CW66" s="627">
        <v>0</v>
      </c>
      <c r="CX66" s="627">
        <v>0</v>
      </c>
      <c r="CY66" s="627">
        <v>0</v>
      </c>
      <c r="CZ66" s="627">
        <v>0</v>
      </c>
      <c r="DA66" s="627">
        <v>0</v>
      </c>
      <c r="DB66" s="627">
        <v>0</v>
      </c>
      <c r="DC66" s="627">
        <v>8986522</v>
      </c>
      <c r="DD66" s="627">
        <v>0</v>
      </c>
      <c r="DE66" s="627">
        <v>0</v>
      </c>
      <c r="DF66" s="627">
        <v>816662</v>
      </c>
      <c r="DG66" s="627">
        <v>816662</v>
      </c>
      <c r="DH66" s="627">
        <v>132.57500000000002</v>
      </c>
      <c r="DI66" s="627">
        <v>0</v>
      </c>
      <c r="DJ66" s="627">
        <v>0</v>
      </c>
      <c r="DK66" s="627">
        <v>0</v>
      </c>
      <c r="DL66" s="627">
        <v>348</v>
      </c>
      <c r="DM66" s="627">
        <v>0</v>
      </c>
      <c r="DN66" s="627">
        <v>1407567</v>
      </c>
      <c r="DO66" s="627">
        <v>4797</v>
      </c>
      <c r="DP66" s="627">
        <v>0</v>
      </c>
      <c r="DQ66" s="627">
        <v>0</v>
      </c>
      <c r="DR66" s="627">
        <v>0</v>
      </c>
      <c r="DS66" s="627">
        <v>0</v>
      </c>
      <c r="DT66" s="627">
        <v>0</v>
      </c>
      <c r="DU66" s="627">
        <v>0</v>
      </c>
      <c r="DV66" s="627">
        <v>0</v>
      </c>
      <c r="DW66" s="627">
        <v>0</v>
      </c>
      <c r="DX66" s="627">
        <v>0</v>
      </c>
      <c r="DY66" s="627">
        <v>0</v>
      </c>
      <c r="DZ66" s="627">
        <v>0</v>
      </c>
      <c r="EA66" s="627">
        <v>0</v>
      </c>
      <c r="EB66" s="627">
        <v>0</v>
      </c>
      <c r="EC66" s="627">
        <v>0</v>
      </c>
      <c r="ED66" s="627">
        <v>62.739000000000004</v>
      </c>
      <c r="EE66" s="627">
        <v>444443</v>
      </c>
      <c r="EF66" s="627">
        <v>0</v>
      </c>
      <c r="EG66" s="627">
        <v>0</v>
      </c>
      <c r="EH66" s="627">
        <v>0</v>
      </c>
      <c r="EI66" s="627">
        <v>967921</v>
      </c>
      <c r="EJ66" s="627">
        <v>0</v>
      </c>
      <c r="EK66" s="627">
        <v>0</v>
      </c>
      <c r="EL66" s="627">
        <v>45.29</v>
      </c>
      <c r="EM66" s="627">
        <v>0</v>
      </c>
      <c r="EN66" s="627">
        <v>1.125</v>
      </c>
      <c r="EO66" s="627">
        <v>3.577</v>
      </c>
      <c r="EP66" s="627">
        <v>0</v>
      </c>
      <c r="EQ66" s="627">
        <v>0</v>
      </c>
      <c r="ER66" s="627">
        <v>49.992000000000004</v>
      </c>
      <c r="ES66" s="627">
        <v>0</v>
      </c>
      <c r="ET66" s="627">
        <v>157.13</v>
      </c>
      <c r="EU66" s="627">
        <v>0</v>
      </c>
      <c r="EV66" s="627">
        <v>0</v>
      </c>
      <c r="EW66" s="627">
        <v>0</v>
      </c>
      <c r="EX66" s="627">
        <v>0</v>
      </c>
      <c r="EY66" s="627">
        <v>0</v>
      </c>
      <c r="EZ66" s="627">
        <v>0</v>
      </c>
      <c r="FA66" s="627">
        <v>13539557</v>
      </c>
      <c r="FB66" s="627">
        <v>0</v>
      </c>
      <c r="FC66" s="627">
        <v>14154716</v>
      </c>
      <c r="FD66" s="627">
        <v>0</v>
      </c>
      <c r="FE66" s="627">
        <v>0</v>
      </c>
      <c r="FF66" s="627">
        <v>2038014</v>
      </c>
      <c r="FG66" s="627">
        <v>352959</v>
      </c>
      <c r="FH66" s="627">
        <v>7.0280999999999996E-2</v>
      </c>
      <c r="FI66" s="627">
        <v>3.1172999999999999E-2</v>
      </c>
      <c r="FJ66" s="627">
        <v>0</v>
      </c>
      <c r="FK66" s="627">
        <v>0</v>
      </c>
      <c r="FL66" s="627">
        <v>2297.6060000000002</v>
      </c>
      <c r="FM66" s="627">
        <v>16800484</v>
      </c>
      <c r="FN66" s="627">
        <v>0</v>
      </c>
      <c r="FO66" s="627">
        <v>0</v>
      </c>
      <c r="FP66" s="627">
        <v>0</v>
      </c>
      <c r="FQ66" s="627">
        <v>0</v>
      </c>
      <c r="FR66" s="627">
        <v>0</v>
      </c>
      <c r="FS66" s="627">
        <v>0</v>
      </c>
      <c r="FT66" s="627">
        <v>0</v>
      </c>
      <c r="FU66" s="627">
        <v>0</v>
      </c>
      <c r="FV66" s="627">
        <v>0</v>
      </c>
      <c r="FW66" s="627">
        <v>0</v>
      </c>
      <c r="FX66" s="627">
        <v>0</v>
      </c>
      <c r="FY66" s="627">
        <v>0</v>
      </c>
      <c r="FZ66" s="627">
        <v>0</v>
      </c>
      <c r="GA66" s="627">
        <v>0</v>
      </c>
      <c r="GB66" s="627">
        <v>0</v>
      </c>
      <c r="GC66" s="627">
        <v>817363</v>
      </c>
      <c r="GD66" s="627">
        <v>817363</v>
      </c>
      <c r="GE66" s="627">
        <v>84.338000000000008</v>
      </c>
      <c r="GF66" s="627">
        <v>0</v>
      </c>
      <c r="GG66" s="627">
        <v>0</v>
      </c>
      <c r="GH66" s="627">
        <v>0</v>
      </c>
      <c r="GI66" s="627">
        <v>0</v>
      </c>
      <c r="GJ66" s="627">
        <v>0</v>
      </c>
      <c r="GK66" s="627">
        <v>0</v>
      </c>
      <c r="GL66" s="627">
        <v>0</v>
      </c>
      <c r="GM66" s="627">
        <v>0</v>
      </c>
      <c r="GN66" s="627">
        <v>0</v>
      </c>
      <c r="GO66" s="627">
        <v>0</v>
      </c>
      <c r="GP66" s="627">
        <v>0</v>
      </c>
      <c r="GQ66" s="627">
        <v>0</v>
      </c>
      <c r="GR66" s="627">
        <v>15925733</v>
      </c>
      <c r="GS66" s="627">
        <v>0</v>
      </c>
      <c r="GT66" s="627">
        <v>0</v>
      </c>
      <c r="GU66" s="627">
        <v>0</v>
      </c>
      <c r="GV66" s="627">
        <v>0</v>
      </c>
      <c r="GW66" s="627">
        <v>0</v>
      </c>
      <c r="GX66" s="627">
        <v>0</v>
      </c>
      <c r="GY66" s="627">
        <v>0</v>
      </c>
      <c r="GZ66" s="627">
        <v>0</v>
      </c>
      <c r="HA66" s="627">
        <v>0</v>
      </c>
      <c r="HB66" s="627">
        <v>0</v>
      </c>
      <c r="HC66" s="627">
        <v>361151439</v>
      </c>
      <c r="HD66" s="627">
        <v>3.9981999999999997E-2</v>
      </c>
      <c r="HE66" s="627">
        <v>254795</v>
      </c>
      <c r="HF66" s="627">
        <v>0</v>
      </c>
      <c r="HG66" s="627">
        <v>1607654</v>
      </c>
      <c r="HH66" s="627">
        <v>39424</v>
      </c>
      <c r="HI66" s="627">
        <v>188571</v>
      </c>
      <c r="HJ66" s="627">
        <v>0</v>
      </c>
      <c r="HK66" s="627">
        <v>45932</v>
      </c>
      <c r="HL66" s="627">
        <v>3497</v>
      </c>
      <c r="HM66" s="627">
        <v>2760</v>
      </c>
      <c r="HN66" s="627">
        <v>23000</v>
      </c>
      <c r="HO66" s="627">
        <v>0</v>
      </c>
      <c r="HP66" s="627">
        <v>0</v>
      </c>
      <c r="HQ66" s="627">
        <v>0</v>
      </c>
      <c r="HR66" s="627">
        <v>0</v>
      </c>
      <c r="HS66" s="627">
        <v>0</v>
      </c>
      <c r="HT66" s="627">
        <v>13534760</v>
      </c>
      <c r="HU66" s="627">
        <v>352959</v>
      </c>
      <c r="HV66" s="627">
        <v>0</v>
      </c>
      <c r="HW66" s="627">
        <v>0</v>
      </c>
      <c r="HX66" s="627">
        <v>0</v>
      </c>
      <c r="HY66" s="627">
        <v>159</v>
      </c>
      <c r="HZ66" s="627">
        <v>170</v>
      </c>
      <c r="IA66" s="627">
        <v>124</v>
      </c>
      <c r="IB66" s="627">
        <v>56</v>
      </c>
      <c r="IC66" s="627">
        <v>39</v>
      </c>
      <c r="ID66" s="627">
        <v>548</v>
      </c>
      <c r="IE66" s="627">
        <v>0</v>
      </c>
      <c r="IF66" s="627">
        <v>0</v>
      </c>
      <c r="IG66" s="627">
        <v>0</v>
      </c>
      <c r="IH66" s="627">
        <v>64</v>
      </c>
      <c r="II66" s="627">
        <v>306.12200000000001</v>
      </c>
      <c r="IJ66" s="627">
        <v>0</v>
      </c>
      <c r="IK66" s="627">
        <v>350.267</v>
      </c>
      <c r="IL66" s="627">
        <v>0</v>
      </c>
      <c r="IM66" s="627">
        <v>1</v>
      </c>
      <c r="IN66" s="627">
        <v>6</v>
      </c>
      <c r="IO66" s="627">
        <v>0</v>
      </c>
      <c r="IP66" s="627">
        <v>7</v>
      </c>
      <c r="IQ66" s="627">
        <v>0</v>
      </c>
      <c r="IR66" s="627">
        <v>350.267</v>
      </c>
      <c r="IS66" s="627">
        <v>215764</v>
      </c>
      <c r="IT66" s="627">
        <v>0</v>
      </c>
      <c r="IU66" s="627">
        <v>5000</v>
      </c>
      <c r="IV66" s="627">
        <v>18000</v>
      </c>
      <c r="IW66" s="627">
        <v>0</v>
      </c>
      <c r="IX66" s="627">
        <v>6160</v>
      </c>
      <c r="IY66" s="627">
        <v>0</v>
      </c>
      <c r="IZ66" s="627">
        <v>0</v>
      </c>
      <c r="JA66" s="627">
        <v>0</v>
      </c>
      <c r="JB66" s="627">
        <v>0</v>
      </c>
      <c r="JC66" s="627">
        <v>0</v>
      </c>
      <c r="JD66" s="627">
        <v>0</v>
      </c>
      <c r="JE66" s="627">
        <v>0</v>
      </c>
      <c r="JF66" s="627">
        <v>0</v>
      </c>
      <c r="JG66" s="627">
        <v>0</v>
      </c>
      <c r="JH66" s="627">
        <v>0</v>
      </c>
      <c r="JI66" s="627">
        <v>0</v>
      </c>
      <c r="JJ66" s="627">
        <v>0</v>
      </c>
      <c r="JK66" s="627">
        <v>0</v>
      </c>
      <c r="JL66" s="627">
        <v>0</v>
      </c>
      <c r="JM66" s="627">
        <v>0</v>
      </c>
      <c r="JN66" s="627">
        <v>0</v>
      </c>
      <c r="JO66" s="627">
        <v>39895</v>
      </c>
      <c r="JP66" s="627">
        <v>0.10500000000000001</v>
      </c>
      <c r="JQ66" s="627">
        <v>59.927</v>
      </c>
      <c r="JR66" s="627">
        <v>24.307000000000002</v>
      </c>
      <c r="JS66" s="627">
        <v>839</v>
      </c>
      <c r="JT66" s="627">
        <v>557043</v>
      </c>
      <c r="JU66" s="627">
        <v>259481</v>
      </c>
      <c r="JV66" s="627">
        <v>0</v>
      </c>
      <c r="JW66" s="627">
        <v>0</v>
      </c>
      <c r="JX66" s="627">
        <v>0</v>
      </c>
      <c r="JY66" s="627">
        <v>0</v>
      </c>
      <c r="JZ66" s="627">
        <v>0</v>
      </c>
      <c r="KA66" s="627">
        <v>0</v>
      </c>
      <c r="KB66" s="627">
        <v>0</v>
      </c>
      <c r="KC66" s="627">
        <v>0</v>
      </c>
      <c r="KD66" s="627">
        <v>0</v>
      </c>
      <c r="KE66" s="627">
        <v>0</v>
      </c>
      <c r="KF66" s="627">
        <v>7262</v>
      </c>
      <c r="KG66" s="627">
        <v>0</v>
      </c>
      <c r="KH66" s="627">
        <v>0</v>
      </c>
      <c r="KI66" s="627">
        <v>15925733</v>
      </c>
      <c r="KJ66" s="627">
        <v>0</v>
      </c>
      <c r="KK66" s="627">
        <v>11</v>
      </c>
      <c r="KL66" s="627">
        <v>53</v>
      </c>
      <c r="KM66" s="627">
        <v>6776</v>
      </c>
      <c r="KN66" s="627">
        <v>32648</v>
      </c>
      <c r="KO66" s="627">
        <v>0</v>
      </c>
      <c r="KP66" s="627">
        <v>0</v>
      </c>
      <c r="KQ66" s="627">
        <v>15925733</v>
      </c>
      <c r="KR66" s="627">
        <v>0</v>
      </c>
      <c r="KS66" s="627">
        <v>0</v>
      </c>
      <c r="KT66" s="627">
        <v>0</v>
      </c>
      <c r="KU66" s="627">
        <v>0</v>
      </c>
      <c r="KV66" s="627">
        <v>0</v>
      </c>
      <c r="KW66" s="627">
        <v>0</v>
      </c>
      <c r="KX66" s="627">
        <v>0</v>
      </c>
      <c r="KY66" s="627">
        <v>0</v>
      </c>
      <c r="KZ66" s="627">
        <v>0</v>
      </c>
      <c r="LA66" s="627">
        <v>0</v>
      </c>
      <c r="LB66" s="627">
        <v>0</v>
      </c>
      <c r="LC66" s="627">
        <v>0</v>
      </c>
      <c r="LD66" s="627">
        <v>0</v>
      </c>
      <c r="LE66" s="627">
        <v>0</v>
      </c>
      <c r="LF66" s="627">
        <v>0</v>
      </c>
    </row>
    <row r="67" spans="1:318" x14ac:dyDescent="0.25">
      <c r="A67" s="627">
        <v>42602</v>
      </c>
      <c r="B67" s="627">
        <v>15805</v>
      </c>
      <c r="D67" s="627">
        <v>9</v>
      </c>
      <c r="E67" s="627">
        <v>2024</v>
      </c>
      <c r="F67" s="627">
        <v>6160</v>
      </c>
      <c r="G67" s="627">
        <v>0</v>
      </c>
      <c r="H67" s="627">
        <v>296.2</v>
      </c>
      <c r="I67" s="627">
        <v>296.05200000000002</v>
      </c>
      <c r="J67" s="627">
        <v>296.05200000000002</v>
      </c>
      <c r="K67" s="627">
        <v>296.2</v>
      </c>
      <c r="L67" s="627">
        <v>0</v>
      </c>
      <c r="M67" s="627">
        <v>6160</v>
      </c>
      <c r="N67" s="627">
        <v>0</v>
      </c>
      <c r="O67" s="627">
        <v>0</v>
      </c>
      <c r="P67" s="627">
        <v>0</v>
      </c>
      <c r="Q67" s="627">
        <v>165.59200000000001</v>
      </c>
      <c r="R67" s="627">
        <v>0</v>
      </c>
      <c r="S67" s="627">
        <v>68701</v>
      </c>
      <c r="T67" s="627">
        <v>414.88400000000001</v>
      </c>
      <c r="U67" s="627">
        <v>0</v>
      </c>
      <c r="V67" s="627">
        <v>35654</v>
      </c>
      <c r="W67" s="627">
        <v>26.052</v>
      </c>
      <c r="X67" s="627">
        <v>16048</v>
      </c>
      <c r="Y67" s="627">
        <v>16048</v>
      </c>
      <c r="Z67" s="627">
        <v>0</v>
      </c>
      <c r="AA67" s="627">
        <v>0</v>
      </c>
      <c r="AB67" s="627">
        <v>0</v>
      </c>
      <c r="AC67" s="627">
        <v>0</v>
      </c>
      <c r="AD67" s="627">
        <v>0</v>
      </c>
      <c r="AE67" s="627" t="s">
        <v>314</v>
      </c>
      <c r="AF67" s="627">
        <v>0</v>
      </c>
      <c r="AG67" s="627">
        <v>0</v>
      </c>
      <c r="AH67" s="627">
        <v>0</v>
      </c>
      <c r="AI67" s="627">
        <v>0</v>
      </c>
      <c r="AJ67" s="627">
        <v>0</v>
      </c>
      <c r="AK67" s="627">
        <v>6160</v>
      </c>
      <c r="AL67" s="627" t="s">
        <v>651</v>
      </c>
      <c r="AM67" s="627" t="s">
        <v>453</v>
      </c>
      <c r="AN67" s="627">
        <v>0</v>
      </c>
      <c r="AO67" s="627">
        <v>0</v>
      </c>
      <c r="AP67" s="627">
        <v>0</v>
      </c>
      <c r="AQ67" s="627">
        <v>0</v>
      </c>
      <c r="AR67" s="627">
        <v>0</v>
      </c>
      <c r="AS67" s="627">
        <v>0</v>
      </c>
      <c r="AT67" s="627">
        <v>0</v>
      </c>
      <c r="AU67" s="627">
        <v>0</v>
      </c>
      <c r="AV67" s="627">
        <v>0</v>
      </c>
      <c r="AW67" s="627">
        <v>0</v>
      </c>
      <c r="AX67" s="627">
        <v>3477500</v>
      </c>
      <c r="AY67" s="627">
        <v>3430508</v>
      </c>
      <c r="AZ67" s="627">
        <v>1635482</v>
      </c>
      <c r="BA67" s="627">
        <v>68701</v>
      </c>
      <c r="BB67" s="627">
        <v>0</v>
      </c>
      <c r="BC67" s="627">
        <v>0</v>
      </c>
      <c r="BD67" s="627">
        <v>0</v>
      </c>
      <c r="BE67" s="627">
        <v>0</v>
      </c>
      <c r="BF67" s="627">
        <v>0</v>
      </c>
      <c r="BG67" s="627">
        <v>2719824</v>
      </c>
      <c r="BH67" s="627">
        <v>0</v>
      </c>
      <c r="BI67" s="627">
        <v>0</v>
      </c>
      <c r="BJ67" s="627">
        <v>0</v>
      </c>
      <c r="BK67" s="627">
        <v>12</v>
      </c>
      <c r="BL67" s="627">
        <v>0</v>
      </c>
      <c r="BM67" s="627">
        <v>0</v>
      </c>
      <c r="BN67" s="627">
        <v>0</v>
      </c>
      <c r="BO67" s="627">
        <v>0</v>
      </c>
      <c r="BP67" s="627">
        <v>0</v>
      </c>
      <c r="BQ67" s="627">
        <v>0</v>
      </c>
      <c r="BR67" s="627">
        <v>724</v>
      </c>
      <c r="BS67" s="627">
        <v>0</v>
      </c>
      <c r="BT67" s="627">
        <v>0</v>
      </c>
      <c r="BU67" s="627">
        <v>0</v>
      </c>
      <c r="BV67" s="627">
        <v>0</v>
      </c>
      <c r="BW67" s="627">
        <v>0</v>
      </c>
      <c r="BX67" s="627">
        <v>0</v>
      </c>
      <c r="BY67" s="627">
        <v>0</v>
      </c>
      <c r="BZ67" s="627">
        <v>0</v>
      </c>
      <c r="CA67" s="627">
        <v>0</v>
      </c>
      <c r="CB67" s="627">
        <v>317.16800000000001</v>
      </c>
      <c r="CC67" s="627">
        <v>317168</v>
      </c>
      <c r="CD67" s="627">
        <v>0</v>
      </c>
      <c r="CE67" s="627">
        <v>0</v>
      </c>
      <c r="CF67" s="627">
        <v>0</v>
      </c>
      <c r="CG67" s="627">
        <v>0</v>
      </c>
      <c r="CH67" s="627">
        <v>0</v>
      </c>
      <c r="CI67" s="627">
        <v>47371</v>
      </c>
      <c r="CJ67" s="627">
        <v>0</v>
      </c>
      <c r="CK67" s="627">
        <v>4</v>
      </c>
      <c r="CL67" s="627">
        <v>0</v>
      </c>
      <c r="CM67" s="627">
        <v>0</v>
      </c>
      <c r="CN67" s="627">
        <v>0</v>
      </c>
      <c r="CO67" s="627">
        <v>0</v>
      </c>
      <c r="CP67" s="627">
        <v>1</v>
      </c>
      <c r="CQ67" s="627">
        <v>0</v>
      </c>
      <c r="CR67" s="627">
        <v>0</v>
      </c>
      <c r="CS67" s="627">
        <v>168.5</v>
      </c>
      <c r="CT67" s="627">
        <v>0</v>
      </c>
      <c r="CU67" s="627">
        <v>0</v>
      </c>
      <c r="CV67" s="627">
        <v>0</v>
      </c>
      <c r="CW67" s="627">
        <v>0</v>
      </c>
      <c r="CX67" s="627">
        <v>0</v>
      </c>
      <c r="CY67" s="627">
        <v>0</v>
      </c>
      <c r="CZ67" s="627">
        <v>0</v>
      </c>
      <c r="DA67" s="627">
        <v>0</v>
      </c>
      <c r="DB67" s="627">
        <v>0</v>
      </c>
      <c r="DC67" s="627">
        <v>1706012</v>
      </c>
      <c r="DD67" s="627">
        <v>0</v>
      </c>
      <c r="DE67" s="627">
        <v>0</v>
      </c>
      <c r="DF67" s="627">
        <v>322168</v>
      </c>
      <c r="DG67" s="627">
        <v>322168</v>
      </c>
      <c r="DH67" s="627">
        <v>52.300000000000004</v>
      </c>
      <c r="DI67" s="627">
        <v>0</v>
      </c>
      <c r="DJ67" s="627">
        <v>0</v>
      </c>
      <c r="DK67" s="627">
        <v>0</v>
      </c>
      <c r="DL67" s="627">
        <v>3213</v>
      </c>
      <c r="DM67" s="627">
        <v>0</v>
      </c>
      <c r="DN67" s="627">
        <v>228766</v>
      </c>
      <c r="DO67" s="627">
        <v>379</v>
      </c>
      <c r="DP67" s="627">
        <v>0</v>
      </c>
      <c r="DQ67" s="627">
        <v>0</v>
      </c>
      <c r="DR67" s="627">
        <v>0</v>
      </c>
      <c r="DS67" s="627">
        <v>0</v>
      </c>
      <c r="DT67" s="627">
        <v>0</v>
      </c>
      <c r="DU67" s="627">
        <v>0</v>
      </c>
      <c r="DV67" s="627">
        <v>0</v>
      </c>
      <c r="DW67" s="627">
        <v>0</v>
      </c>
      <c r="DX67" s="627">
        <v>0</v>
      </c>
      <c r="DY67" s="627">
        <v>0</v>
      </c>
      <c r="DZ67" s="627">
        <v>0</v>
      </c>
      <c r="EA67" s="627">
        <v>0</v>
      </c>
      <c r="EB67" s="627">
        <v>0</v>
      </c>
      <c r="EC67" s="627">
        <v>0</v>
      </c>
      <c r="ED67" s="627">
        <v>15.093</v>
      </c>
      <c r="EE67" s="627">
        <v>106919</v>
      </c>
      <c r="EF67" s="627">
        <v>0</v>
      </c>
      <c r="EG67" s="627">
        <v>0</v>
      </c>
      <c r="EH67" s="627">
        <v>0</v>
      </c>
      <c r="EI67" s="627">
        <v>4558</v>
      </c>
      <c r="EJ67" s="627">
        <v>0</v>
      </c>
      <c r="EK67" s="627">
        <v>0</v>
      </c>
      <c r="EL67" s="627">
        <v>0</v>
      </c>
      <c r="EM67" s="627">
        <v>0</v>
      </c>
      <c r="EN67" s="627">
        <v>0</v>
      </c>
      <c r="EO67" s="627">
        <v>0.14800000000000002</v>
      </c>
      <c r="EP67" s="627">
        <v>0</v>
      </c>
      <c r="EQ67" s="627">
        <v>0</v>
      </c>
      <c r="ER67" s="627">
        <v>0.14800000000000002</v>
      </c>
      <c r="ES67" s="627">
        <v>0</v>
      </c>
      <c r="ET67" s="627">
        <v>0.74</v>
      </c>
      <c r="EU67" s="627">
        <v>0</v>
      </c>
      <c r="EV67" s="627">
        <v>0</v>
      </c>
      <c r="EW67" s="627">
        <v>0</v>
      </c>
      <c r="EX67" s="627">
        <v>0</v>
      </c>
      <c r="EY67" s="627">
        <v>0</v>
      </c>
      <c r="EZ67" s="627">
        <v>0</v>
      </c>
      <c r="FA67" s="627">
        <v>2971036</v>
      </c>
      <c r="FB67" s="627">
        <v>0</v>
      </c>
      <c r="FC67" s="627">
        <v>3039358</v>
      </c>
      <c r="FD67" s="627">
        <v>0</v>
      </c>
      <c r="FE67" s="627">
        <v>0</v>
      </c>
      <c r="FF67" s="627">
        <v>391644</v>
      </c>
      <c r="FG67" s="627">
        <v>67828</v>
      </c>
      <c r="FH67" s="627">
        <v>7.0280999999999996E-2</v>
      </c>
      <c r="FI67" s="627">
        <v>3.1172999999999999E-2</v>
      </c>
      <c r="FJ67" s="627">
        <v>0</v>
      </c>
      <c r="FK67" s="627">
        <v>0</v>
      </c>
      <c r="FL67" s="627">
        <v>441.53000000000003</v>
      </c>
      <c r="FM67" s="627">
        <v>3546201</v>
      </c>
      <c r="FN67" s="627">
        <v>0</v>
      </c>
      <c r="FO67" s="627">
        <v>0</v>
      </c>
      <c r="FP67" s="627">
        <v>0</v>
      </c>
      <c r="FQ67" s="627">
        <v>0</v>
      </c>
      <c r="FR67" s="627">
        <v>0</v>
      </c>
      <c r="FS67" s="627">
        <v>0</v>
      </c>
      <c r="FT67" s="627">
        <v>0</v>
      </c>
      <c r="FU67" s="627">
        <v>0</v>
      </c>
      <c r="FV67" s="627">
        <v>0</v>
      </c>
      <c r="FW67" s="627">
        <v>0</v>
      </c>
      <c r="FX67" s="627">
        <v>0</v>
      </c>
      <c r="FY67" s="627">
        <v>0</v>
      </c>
      <c r="FZ67" s="627">
        <v>0</v>
      </c>
      <c r="GA67" s="627">
        <v>0</v>
      </c>
      <c r="GB67" s="627">
        <v>0</v>
      </c>
      <c r="GC67" s="627">
        <v>0</v>
      </c>
      <c r="GD67" s="627">
        <v>0</v>
      </c>
      <c r="GE67" s="627">
        <v>0</v>
      </c>
      <c r="GF67" s="627">
        <v>0</v>
      </c>
      <c r="GG67" s="627">
        <v>0</v>
      </c>
      <c r="GH67" s="627">
        <v>0</v>
      </c>
      <c r="GI67" s="627">
        <v>0</v>
      </c>
      <c r="GJ67" s="627">
        <v>0</v>
      </c>
      <c r="GK67" s="627">
        <v>0</v>
      </c>
      <c r="GL67" s="627">
        <v>0</v>
      </c>
      <c r="GM67" s="627">
        <v>0</v>
      </c>
      <c r="GN67" s="627">
        <v>0</v>
      </c>
      <c r="GO67" s="627">
        <v>0</v>
      </c>
      <c r="GP67" s="627">
        <v>0</v>
      </c>
      <c r="GQ67" s="627">
        <v>0</v>
      </c>
      <c r="GR67" s="627">
        <v>3430129</v>
      </c>
      <c r="GS67" s="627">
        <v>0</v>
      </c>
      <c r="GT67" s="627">
        <v>0</v>
      </c>
      <c r="GU67" s="627">
        <v>0</v>
      </c>
      <c r="GV67" s="627">
        <v>0</v>
      </c>
      <c r="GW67" s="627">
        <v>0</v>
      </c>
      <c r="GX67" s="627">
        <v>0</v>
      </c>
      <c r="GY67" s="627">
        <v>0</v>
      </c>
      <c r="GZ67" s="627">
        <v>0</v>
      </c>
      <c r="HA67" s="627">
        <v>0</v>
      </c>
      <c r="HB67" s="627">
        <v>0</v>
      </c>
      <c r="HC67" s="627">
        <v>361151439</v>
      </c>
      <c r="HD67" s="627">
        <v>3.9981999999999997E-2</v>
      </c>
      <c r="HE67" s="627">
        <v>47371</v>
      </c>
      <c r="HF67" s="627">
        <v>0</v>
      </c>
      <c r="HG67" s="627">
        <v>326249</v>
      </c>
      <c r="HH67" s="627">
        <v>9240</v>
      </c>
      <c r="HI67" s="627">
        <v>0</v>
      </c>
      <c r="HJ67" s="627">
        <v>0</v>
      </c>
      <c r="HK67" s="627">
        <v>32962</v>
      </c>
      <c r="HL67" s="627">
        <v>2239</v>
      </c>
      <c r="HM67" s="627">
        <v>506</v>
      </c>
      <c r="HN67" s="627">
        <v>78000</v>
      </c>
      <c r="HO67" s="627">
        <v>0</v>
      </c>
      <c r="HP67" s="627">
        <v>0</v>
      </c>
      <c r="HQ67" s="627">
        <v>0</v>
      </c>
      <c r="HR67" s="627">
        <v>0</v>
      </c>
      <c r="HS67" s="627">
        <v>0</v>
      </c>
      <c r="HT67" s="627">
        <v>2970657</v>
      </c>
      <c r="HU67" s="627">
        <v>67828</v>
      </c>
      <c r="HV67" s="627">
        <v>0</v>
      </c>
      <c r="HW67" s="627">
        <v>0</v>
      </c>
      <c r="HX67" s="627">
        <v>0</v>
      </c>
      <c r="HY67" s="627">
        <v>7</v>
      </c>
      <c r="HZ67" s="627">
        <v>34</v>
      </c>
      <c r="IA67" s="627">
        <v>53</v>
      </c>
      <c r="IB67" s="627">
        <v>46</v>
      </c>
      <c r="IC67" s="627">
        <v>63</v>
      </c>
      <c r="ID67" s="627">
        <v>203</v>
      </c>
      <c r="IE67" s="627">
        <v>0</v>
      </c>
      <c r="IF67" s="627">
        <v>0</v>
      </c>
      <c r="IG67" s="627">
        <v>0</v>
      </c>
      <c r="IH67" s="627">
        <v>15</v>
      </c>
      <c r="II67" s="627">
        <v>0</v>
      </c>
      <c r="IJ67" s="627">
        <v>0</v>
      </c>
      <c r="IK67" s="627">
        <v>26.052</v>
      </c>
      <c r="IL67" s="627">
        <v>0</v>
      </c>
      <c r="IM67" s="627">
        <v>12</v>
      </c>
      <c r="IN67" s="627">
        <v>6</v>
      </c>
      <c r="IO67" s="627">
        <v>0</v>
      </c>
      <c r="IP67" s="627">
        <v>18</v>
      </c>
      <c r="IQ67" s="627">
        <v>0</v>
      </c>
      <c r="IR67" s="627">
        <v>26.052</v>
      </c>
      <c r="IS67" s="627">
        <v>16048</v>
      </c>
      <c r="IT67" s="627">
        <v>0</v>
      </c>
      <c r="IU67" s="627">
        <v>60000</v>
      </c>
      <c r="IV67" s="627">
        <v>18000</v>
      </c>
      <c r="IW67" s="627">
        <v>0</v>
      </c>
      <c r="IX67" s="627">
        <v>6160</v>
      </c>
      <c r="IY67" s="627">
        <v>0</v>
      </c>
      <c r="IZ67" s="627">
        <v>0</v>
      </c>
      <c r="JA67" s="627">
        <v>0</v>
      </c>
      <c r="JB67" s="627">
        <v>0</v>
      </c>
      <c r="JC67" s="627">
        <v>0</v>
      </c>
      <c r="JD67" s="627">
        <v>0</v>
      </c>
      <c r="JE67" s="627">
        <v>0</v>
      </c>
      <c r="JF67" s="627">
        <v>0</v>
      </c>
      <c r="JG67" s="627">
        <v>0</v>
      </c>
      <c r="JH67" s="627">
        <v>0</v>
      </c>
      <c r="JI67" s="627">
        <v>0</v>
      </c>
      <c r="JJ67" s="627">
        <v>0</v>
      </c>
      <c r="JK67" s="627">
        <v>0</v>
      </c>
      <c r="JL67" s="627">
        <v>0</v>
      </c>
      <c r="JM67" s="627">
        <v>0</v>
      </c>
      <c r="JN67" s="627">
        <v>0</v>
      </c>
      <c r="JO67" s="627">
        <v>32469</v>
      </c>
      <c r="JP67" s="627">
        <v>0</v>
      </c>
      <c r="JQ67" s="627">
        <v>0</v>
      </c>
      <c r="JR67" s="627">
        <v>0</v>
      </c>
      <c r="JS67" s="627">
        <v>0</v>
      </c>
      <c r="JT67" s="627">
        <v>0</v>
      </c>
      <c r="JU67" s="627">
        <v>0</v>
      </c>
      <c r="JV67" s="627">
        <v>0</v>
      </c>
      <c r="JW67" s="627">
        <v>0</v>
      </c>
      <c r="JX67" s="627">
        <v>0</v>
      </c>
      <c r="JY67" s="627">
        <v>0</v>
      </c>
      <c r="JZ67" s="627">
        <v>0</v>
      </c>
      <c r="KA67" s="627">
        <v>0</v>
      </c>
      <c r="KB67" s="627">
        <v>0</v>
      </c>
      <c r="KC67" s="627">
        <v>0</v>
      </c>
      <c r="KD67" s="627">
        <v>0</v>
      </c>
      <c r="KE67" s="627">
        <v>0</v>
      </c>
      <c r="KF67" s="627">
        <v>7262</v>
      </c>
      <c r="KG67" s="627">
        <v>0</v>
      </c>
      <c r="KH67" s="627">
        <v>0</v>
      </c>
      <c r="KI67" s="627">
        <v>3430129</v>
      </c>
      <c r="KJ67" s="627">
        <v>0</v>
      </c>
      <c r="KK67" s="627">
        <v>2</v>
      </c>
      <c r="KL67" s="627">
        <v>13</v>
      </c>
      <c r="KM67" s="627">
        <v>1232</v>
      </c>
      <c r="KN67" s="627">
        <v>8008</v>
      </c>
      <c r="KO67" s="627">
        <v>0</v>
      </c>
      <c r="KP67" s="627">
        <v>0</v>
      </c>
      <c r="KQ67" s="627">
        <v>3430129</v>
      </c>
      <c r="KR67" s="627">
        <v>0</v>
      </c>
      <c r="KS67" s="627">
        <v>0</v>
      </c>
      <c r="KT67" s="627">
        <v>0</v>
      </c>
      <c r="KU67" s="627">
        <v>0</v>
      </c>
      <c r="KV67" s="627">
        <v>0</v>
      </c>
      <c r="KW67" s="627">
        <v>0</v>
      </c>
      <c r="KX67" s="627">
        <v>0</v>
      </c>
      <c r="KY67" s="627">
        <v>0</v>
      </c>
      <c r="KZ67" s="627">
        <v>0</v>
      </c>
      <c r="LA67" s="627">
        <v>0</v>
      </c>
      <c r="LB67" s="627">
        <v>0</v>
      </c>
      <c r="LC67" s="627">
        <v>0</v>
      </c>
      <c r="LD67" s="627">
        <v>0</v>
      </c>
      <c r="LE67" s="627">
        <v>0</v>
      </c>
      <c r="LF67" s="627">
        <v>0</v>
      </c>
    </row>
    <row r="68" spans="1:318" x14ac:dyDescent="0.25">
      <c r="A68" s="627">
        <v>42602</v>
      </c>
      <c r="B68" s="627">
        <v>21805</v>
      </c>
      <c r="D68" s="627">
        <v>9</v>
      </c>
      <c r="E68" s="627">
        <v>2024</v>
      </c>
      <c r="F68" s="627">
        <v>6160</v>
      </c>
      <c r="G68" s="627">
        <v>0</v>
      </c>
      <c r="H68" s="627">
        <v>536.37300000000005</v>
      </c>
      <c r="I68" s="627">
        <v>512.98800000000006</v>
      </c>
      <c r="J68" s="627">
        <v>512.98800000000006</v>
      </c>
      <c r="K68" s="627">
        <v>536.37300000000005</v>
      </c>
      <c r="L68" s="627">
        <v>0</v>
      </c>
      <c r="M68" s="627">
        <v>6160</v>
      </c>
      <c r="N68" s="627">
        <v>0</v>
      </c>
      <c r="O68" s="627">
        <v>0</v>
      </c>
      <c r="P68" s="627">
        <v>0</v>
      </c>
      <c r="Q68" s="627">
        <v>603.96</v>
      </c>
      <c r="R68" s="627">
        <v>0</v>
      </c>
      <c r="S68" s="627">
        <v>250573</v>
      </c>
      <c r="T68" s="627">
        <v>414.88400000000001</v>
      </c>
      <c r="U68" s="627">
        <v>0</v>
      </c>
      <c r="V68" s="627">
        <v>130037</v>
      </c>
      <c r="W68" s="627">
        <v>59.932000000000002</v>
      </c>
      <c r="X68" s="627">
        <v>36918</v>
      </c>
      <c r="Y68" s="627">
        <v>36918</v>
      </c>
      <c r="Z68" s="627">
        <v>0</v>
      </c>
      <c r="AA68" s="627">
        <v>0</v>
      </c>
      <c r="AB68" s="627">
        <v>0</v>
      </c>
      <c r="AC68" s="627">
        <v>0</v>
      </c>
      <c r="AD68" s="627">
        <v>0</v>
      </c>
      <c r="AE68" s="627" t="s">
        <v>314</v>
      </c>
      <c r="AF68" s="627">
        <v>0</v>
      </c>
      <c r="AG68" s="627">
        <v>0</v>
      </c>
      <c r="AH68" s="627">
        <v>0</v>
      </c>
      <c r="AI68" s="627">
        <v>0</v>
      </c>
      <c r="AJ68" s="627">
        <v>0</v>
      </c>
      <c r="AK68" s="627">
        <v>6160</v>
      </c>
      <c r="AL68" s="627" t="s">
        <v>651</v>
      </c>
      <c r="AM68" s="627" t="s">
        <v>320</v>
      </c>
      <c r="AN68" s="627">
        <v>0</v>
      </c>
      <c r="AO68" s="627">
        <v>0</v>
      </c>
      <c r="AP68" s="627">
        <v>0</v>
      </c>
      <c r="AQ68" s="627">
        <v>0</v>
      </c>
      <c r="AR68" s="627">
        <v>0</v>
      </c>
      <c r="AS68" s="627">
        <v>0</v>
      </c>
      <c r="AT68" s="627">
        <v>0</v>
      </c>
      <c r="AU68" s="627">
        <v>0</v>
      </c>
      <c r="AV68" s="627">
        <v>0</v>
      </c>
      <c r="AW68" s="627">
        <v>0</v>
      </c>
      <c r="AX68" s="627">
        <v>6035940</v>
      </c>
      <c r="AY68" s="627">
        <v>5952065</v>
      </c>
      <c r="AZ68" s="627">
        <v>3120241</v>
      </c>
      <c r="BA68" s="627">
        <v>250573</v>
      </c>
      <c r="BB68" s="627">
        <v>0</v>
      </c>
      <c r="BC68" s="627">
        <v>852</v>
      </c>
      <c r="BD68" s="627">
        <v>846</v>
      </c>
      <c r="BE68" s="627">
        <v>2</v>
      </c>
      <c r="BF68" s="627">
        <v>5</v>
      </c>
      <c r="BG68" s="627">
        <v>5286284</v>
      </c>
      <c r="BH68" s="627">
        <v>0</v>
      </c>
      <c r="BI68" s="627">
        <v>0</v>
      </c>
      <c r="BJ68" s="627">
        <v>0</v>
      </c>
      <c r="BK68" s="627">
        <v>12</v>
      </c>
      <c r="BL68" s="627">
        <v>0</v>
      </c>
      <c r="BM68" s="627">
        <v>0</v>
      </c>
      <c r="BN68" s="627">
        <v>0</v>
      </c>
      <c r="BO68" s="627">
        <v>0</v>
      </c>
      <c r="BP68" s="627">
        <v>0</v>
      </c>
      <c r="BQ68" s="627">
        <v>0</v>
      </c>
      <c r="BR68" s="627">
        <v>691</v>
      </c>
      <c r="BS68" s="627">
        <v>0</v>
      </c>
      <c r="BT68" s="627">
        <v>0</v>
      </c>
      <c r="BU68" s="627">
        <v>0</v>
      </c>
      <c r="BV68" s="627">
        <v>0</v>
      </c>
      <c r="BW68" s="627">
        <v>0</v>
      </c>
      <c r="BX68" s="627">
        <v>0</v>
      </c>
      <c r="BY68" s="627">
        <v>0</v>
      </c>
      <c r="BZ68" s="627">
        <v>0</v>
      </c>
      <c r="CA68" s="627">
        <v>0</v>
      </c>
      <c r="CB68" s="627">
        <v>0</v>
      </c>
      <c r="CC68" s="627">
        <v>0</v>
      </c>
      <c r="CD68" s="627">
        <v>0</v>
      </c>
      <c r="CE68" s="627">
        <v>0</v>
      </c>
      <c r="CF68" s="627">
        <v>0</v>
      </c>
      <c r="CG68" s="627">
        <v>0</v>
      </c>
      <c r="CH68" s="627">
        <v>0</v>
      </c>
      <c r="CI68" s="627">
        <v>85781</v>
      </c>
      <c r="CJ68" s="627">
        <v>0</v>
      </c>
      <c r="CK68" s="627">
        <v>4</v>
      </c>
      <c r="CL68" s="627">
        <v>0</v>
      </c>
      <c r="CM68" s="627">
        <v>0</v>
      </c>
      <c r="CN68" s="627">
        <v>0</v>
      </c>
      <c r="CO68" s="627">
        <v>0</v>
      </c>
      <c r="CP68" s="627">
        <v>1</v>
      </c>
      <c r="CQ68" s="627">
        <v>0</v>
      </c>
      <c r="CR68" s="627">
        <v>0</v>
      </c>
      <c r="CS68" s="627">
        <v>611.16800000000001</v>
      </c>
      <c r="CT68" s="627">
        <v>0</v>
      </c>
      <c r="CU68" s="627">
        <v>0</v>
      </c>
      <c r="CV68" s="627">
        <v>0</v>
      </c>
      <c r="CW68" s="627">
        <v>0</v>
      </c>
      <c r="CX68" s="627">
        <v>0</v>
      </c>
      <c r="CY68" s="627">
        <v>0</v>
      </c>
      <c r="CZ68" s="627">
        <v>0</v>
      </c>
      <c r="DA68" s="627">
        <v>0</v>
      </c>
      <c r="DB68" s="627">
        <v>0</v>
      </c>
      <c r="DC68" s="627">
        <v>3160006</v>
      </c>
      <c r="DD68" s="627">
        <v>0</v>
      </c>
      <c r="DE68" s="627">
        <v>0</v>
      </c>
      <c r="DF68" s="627">
        <v>733733</v>
      </c>
      <c r="DG68" s="627">
        <v>733733</v>
      </c>
      <c r="DH68" s="627">
        <v>119.113</v>
      </c>
      <c r="DI68" s="627">
        <v>0</v>
      </c>
      <c r="DJ68" s="627">
        <v>0</v>
      </c>
      <c r="DK68" s="627">
        <v>0</v>
      </c>
      <c r="DL68" s="627">
        <v>2678</v>
      </c>
      <c r="DM68" s="627">
        <v>0</v>
      </c>
      <c r="DN68" s="627">
        <v>557674</v>
      </c>
      <c r="DO68" s="627">
        <v>1901</v>
      </c>
      <c r="DP68" s="627">
        <v>0</v>
      </c>
      <c r="DQ68" s="627">
        <v>0</v>
      </c>
      <c r="DR68" s="627">
        <v>0</v>
      </c>
      <c r="DS68" s="627">
        <v>0</v>
      </c>
      <c r="DT68" s="627">
        <v>0</v>
      </c>
      <c r="DU68" s="627">
        <v>0</v>
      </c>
      <c r="DV68" s="627">
        <v>0</v>
      </c>
      <c r="DW68" s="627">
        <v>0</v>
      </c>
      <c r="DX68" s="627">
        <v>0</v>
      </c>
      <c r="DY68" s="627">
        <v>0</v>
      </c>
      <c r="DZ68" s="627">
        <v>0</v>
      </c>
      <c r="EA68" s="627">
        <v>0</v>
      </c>
      <c r="EB68" s="627">
        <v>0</v>
      </c>
      <c r="EC68" s="627">
        <v>0</v>
      </c>
      <c r="ED68" s="627">
        <v>15.408000000000001</v>
      </c>
      <c r="EE68" s="627">
        <v>109150</v>
      </c>
      <c r="EF68" s="627">
        <v>0</v>
      </c>
      <c r="EG68" s="627">
        <v>0</v>
      </c>
      <c r="EH68" s="627">
        <v>0</v>
      </c>
      <c r="EI68" s="627">
        <v>450425</v>
      </c>
      <c r="EJ68" s="627">
        <v>0</v>
      </c>
      <c r="EK68" s="627">
        <v>0</v>
      </c>
      <c r="EL68" s="627">
        <v>19.897000000000002</v>
      </c>
      <c r="EM68" s="627">
        <v>0</v>
      </c>
      <c r="EN68" s="627">
        <v>2.0049999999999999</v>
      </c>
      <c r="EO68" s="627">
        <v>1.4830000000000001</v>
      </c>
      <c r="EP68" s="627">
        <v>0</v>
      </c>
      <c r="EQ68" s="627">
        <v>0</v>
      </c>
      <c r="ER68" s="627">
        <v>23.385000000000002</v>
      </c>
      <c r="ES68" s="627">
        <v>0</v>
      </c>
      <c r="ET68" s="627">
        <v>73.121000000000009</v>
      </c>
      <c r="EU68" s="627">
        <v>0</v>
      </c>
      <c r="EV68" s="627">
        <v>0</v>
      </c>
      <c r="EW68" s="627">
        <v>0</v>
      </c>
      <c r="EX68" s="627">
        <v>0</v>
      </c>
      <c r="EY68" s="627">
        <v>0</v>
      </c>
      <c r="EZ68" s="627">
        <v>0</v>
      </c>
      <c r="FA68" s="627">
        <v>5059029</v>
      </c>
      <c r="FB68" s="627">
        <v>0</v>
      </c>
      <c r="FC68" s="627">
        <v>5307696</v>
      </c>
      <c r="FD68" s="627">
        <v>0</v>
      </c>
      <c r="FE68" s="627">
        <v>0</v>
      </c>
      <c r="FF68" s="627">
        <v>761205</v>
      </c>
      <c r="FG68" s="627">
        <v>131831</v>
      </c>
      <c r="FH68" s="627">
        <v>7.0280999999999996E-2</v>
      </c>
      <c r="FI68" s="627">
        <v>3.1172999999999999E-2</v>
      </c>
      <c r="FJ68" s="627">
        <v>0</v>
      </c>
      <c r="FK68" s="627">
        <v>0</v>
      </c>
      <c r="FL68" s="627">
        <v>858.16300000000001</v>
      </c>
      <c r="FM68" s="627">
        <v>6286513</v>
      </c>
      <c r="FN68" s="627">
        <v>0</v>
      </c>
      <c r="FO68" s="627">
        <v>0</v>
      </c>
      <c r="FP68" s="627">
        <v>23318</v>
      </c>
      <c r="FQ68" s="627">
        <v>0</v>
      </c>
      <c r="FR68" s="627">
        <v>23318</v>
      </c>
      <c r="FS68" s="627">
        <v>23318</v>
      </c>
      <c r="FT68" s="627">
        <v>0</v>
      </c>
      <c r="FU68" s="627">
        <v>0</v>
      </c>
      <c r="FV68" s="627">
        <v>0</v>
      </c>
      <c r="FW68" s="627">
        <v>0</v>
      </c>
      <c r="FX68" s="627">
        <v>0</v>
      </c>
      <c r="FY68" s="627">
        <v>0</v>
      </c>
      <c r="FZ68" s="627">
        <v>0</v>
      </c>
      <c r="GA68" s="627">
        <v>0</v>
      </c>
      <c r="GB68" s="627">
        <v>0</v>
      </c>
      <c r="GC68" s="627">
        <v>0</v>
      </c>
      <c r="GD68" s="627">
        <v>0</v>
      </c>
      <c r="GE68" s="627">
        <v>0</v>
      </c>
      <c r="GF68" s="627">
        <v>0</v>
      </c>
      <c r="GG68" s="627">
        <v>0</v>
      </c>
      <c r="GH68" s="627">
        <v>0</v>
      </c>
      <c r="GI68" s="627">
        <v>0</v>
      </c>
      <c r="GJ68" s="627">
        <v>0</v>
      </c>
      <c r="GK68" s="627">
        <v>0</v>
      </c>
      <c r="GL68" s="627">
        <v>0</v>
      </c>
      <c r="GM68" s="627">
        <v>0</v>
      </c>
      <c r="GN68" s="627">
        <v>0</v>
      </c>
      <c r="GO68" s="627">
        <v>0</v>
      </c>
      <c r="GP68" s="627">
        <v>0</v>
      </c>
      <c r="GQ68" s="627">
        <v>0</v>
      </c>
      <c r="GR68" s="627">
        <v>5950159</v>
      </c>
      <c r="GS68" s="627">
        <v>0</v>
      </c>
      <c r="GT68" s="627">
        <v>0</v>
      </c>
      <c r="GU68" s="627">
        <v>0</v>
      </c>
      <c r="GV68" s="627">
        <v>0</v>
      </c>
      <c r="GW68" s="627">
        <v>0</v>
      </c>
      <c r="GX68" s="627">
        <v>0</v>
      </c>
      <c r="GY68" s="627">
        <v>0</v>
      </c>
      <c r="GZ68" s="627">
        <v>0</v>
      </c>
      <c r="HA68" s="627">
        <v>0</v>
      </c>
      <c r="HB68" s="627">
        <v>0</v>
      </c>
      <c r="HC68" s="627">
        <v>361151439</v>
      </c>
      <c r="HD68" s="627">
        <v>3.9981999999999997E-2</v>
      </c>
      <c r="HE68" s="627">
        <v>85781</v>
      </c>
      <c r="HF68" s="627">
        <v>0</v>
      </c>
      <c r="HG68" s="627">
        <v>565313</v>
      </c>
      <c r="HH68" s="627">
        <v>3080</v>
      </c>
      <c r="HI68" s="627">
        <v>161443</v>
      </c>
      <c r="HJ68" s="627">
        <v>0</v>
      </c>
      <c r="HK68" s="627">
        <v>65364</v>
      </c>
      <c r="HL68" s="627">
        <v>0</v>
      </c>
      <c r="HM68" s="627">
        <v>0</v>
      </c>
      <c r="HN68" s="627">
        <v>0</v>
      </c>
      <c r="HO68" s="627">
        <v>0</v>
      </c>
      <c r="HP68" s="627">
        <v>0</v>
      </c>
      <c r="HQ68" s="627">
        <v>0</v>
      </c>
      <c r="HR68" s="627">
        <v>0</v>
      </c>
      <c r="HS68" s="627">
        <v>0</v>
      </c>
      <c r="HT68" s="627">
        <v>5057123</v>
      </c>
      <c r="HU68" s="627">
        <v>131831</v>
      </c>
      <c r="HV68" s="627">
        <v>0</v>
      </c>
      <c r="HW68" s="627">
        <v>0</v>
      </c>
      <c r="HX68" s="627">
        <v>0</v>
      </c>
      <c r="HY68" s="627">
        <v>64</v>
      </c>
      <c r="HZ68" s="627">
        <v>87</v>
      </c>
      <c r="IA68" s="627">
        <v>49</v>
      </c>
      <c r="IB68" s="627">
        <v>64</v>
      </c>
      <c r="IC68" s="627">
        <v>200</v>
      </c>
      <c r="ID68" s="627">
        <v>464</v>
      </c>
      <c r="IE68" s="627">
        <v>0</v>
      </c>
      <c r="IF68" s="627">
        <v>0</v>
      </c>
      <c r="IG68" s="627">
        <v>0</v>
      </c>
      <c r="IH68" s="627">
        <v>5</v>
      </c>
      <c r="II68" s="627">
        <v>262.08300000000003</v>
      </c>
      <c r="IJ68" s="627">
        <v>0</v>
      </c>
      <c r="IK68" s="627">
        <v>59.932000000000002</v>
      </c>
      <c r="IL68" s="627">
        <v>0</v>
      </c>
      <c r="IM68" s="627">
        <v>0</v>
      </c>
      <c r="IN68" s="627">
        <v>0</v>
      </c>
      <c r="IO68" s="627">
        <v>0</v>
      </c>
      <c r="IP68" s="627">
        <v>0</v>
      </c>
      <c r="IQ68" s="627">
        <v>0</v>
      </c>
      <c r="IR68" s="627">
        <v>59.932000000000002</v>
      </c>
      <c r="IS68" s="627">
        <v>36918</v>
      </c>
      <c r="IT68" s="627">
        <v>0</v>
      </c>
      <c r="IU68" s="627">
        <v>0</v>
      </c>
      <c r="IV68" s="627">
        <v>0</v>
      </c>
      <c r="IW68" s="627">
        <v>0</v>
      </c>
      <c r="IX68" s="627">
        <v>6160</v>
      </c>
      <c r="IY68" s="627">
        <v>0</v>
      </c>
      <c r="IZ68" s="627">
        <v>0</v>
      </c>
      <c r="JA68" s="627">
        <v>0</v>
      </c>
      <c r="JB68" s="627">
        <v>0</v>
      </c>
      <c r="JC68" s="627">
        <v>0</v>
      </c>
      <c r="JD68" s="627">
        <v>0</v>
      </c>
      <c r="JE68" s="627">
        <v>0</v>
      </c>
      <c r="JF68" s="627">
        <v>0</v>
      </c>
      <c r="JG68" s="627">
        <v>0</v>
      </c>
      <c r="JH68" s="627">
        <v>0</v>
      </c>
      <c r="JI68" s="627">
        <v>0</v>
      </c>
      <c r="JJ68" s="627">
        <v>0</v>
      </c>
      <c r="JK68" s="627">
        <v>0</v>
      </c>
      <c r="JL68" s="627">
        <v>0</v>
      </c>
      <c r="JM68" s="627">
        <v>0</v>
      </c>
      <c r="JN68" s="627">
        <v>0</v>
      </c>
      <c r="JO68" s="627">
        <v>32469</v>
      </c>
      <c r="JP68" s="627">
        <v>0</v>
      </c>
      <c r="JQ68" s="627">
        <v>0</v>
      </c>
      <c r="JR68" s="627">
        <v>0</v>
      </c>
      <c r="JS68" s="627">
        <v>0</v>
      </c>
      <c r="JT68" s="627">
        <v>0</v>
      </c>
      <c r="JU68" s="627">
        <v>0</v>
      </c>
      <c r="JV68" s="627">
        <v>862</v>
      </c>
      <c r="JW68" s="627">
        <v>0</v>
      </c>
      <c r="JX68" s="627">
        <v>0</v>
      </c>
      <c r="JY68" s="627">
        <v>0</v>
      </c>
      <c r="JZ68" s="627">
        <v>0</v>
      </c>
      <c r="KA68" s="627">
        <v>0</v>
      </c>
      <c r="KB68" s="627">
        <v>0</v>
      </c>
      <c r="KC68" s="627">
        <v>0</v>
      </c>
      <c r="KD68" s="627">
        <v>0</v>
      </c>
      <c r="KE68" s="627">
        <v>862</v>
      </c>
      <c r="KF68" s="627">
        <v>7262</v>
      </c>
      <c r="KG68" s="627">
        <v>0</v>
      </c>
      <c r="KH68" s="627">
        <v>0</v>
      </c>
      <c r="KI68" s="627">
        <v>5950159</v>
      </c>
      <c r="KJ68" s="627">
        <v>0</v>
      </c>
      <c r="KK68" s="627">
        <v>2</v>
      </c>
      <c r="KL68" s="627">
        <v>3</v>
      </c>
      <c r="KM68" s="627">
        <v>1232</v>
      </c>
      <c r="KN68" s="627">
        <v>1848</v>
      </c>
      <c r="KO68" s="627">
        <v>0</v>
      </c>
      <c r="KP68" s="627">
        <v>0</v>
      </c>
      <c r="KQ68" s="627">
        <v>5950159</v>
      </c>
      <c r="KR68" s="627">
        <v>0</v>
      </c>
      <c r="KS68" s="627">
        <v>0</v>
      </c>
      <c r="KT68" s="627">
        <v>0</v>
      </c>
      <c r="KU68" s="627">
        <v>0</v>
      </c>
      <c r="KV68" s="627">
        <v>0</v>
      </c>
      <c r="KW68" s="627">
        <v>0</v>
      </c>
      <c r="KX68" s="627">
        <v>0</v>
      </c>
      <c r="KY68" s="627">
        <v>0</v>
      </c>
      <c r="KZ68" s="627">
        <v>0</v>
      </c>
      <c r="LA68" s="627">
        <v>0</v>
      </c>
      <c r="LB68" s="627">
        <v>0</v>
      </c>
      <c r="LC68" s="627">
        <v>0</v>
      </c>
      <c r="LD68" s="627">
        <v>0</v>
      </c>
      <c r="LE68" s="627">
        <v>0</v>
      </c>
      <c r="LF68" s="627">
        <v>0</v>
      </c>
    </row>
    <row r="69" spans="1:318" x14ac:dyDescent="0.25">
      <c r="A69" s="627">
        <v>42602</v>
      </c>
      <c r="B69" s="627">
        <v>61805</v>
      </c>
      <c r="D69" s="627">
        <v>9</v>
      </c>
      <c r="E69" s="627">
        <v>2024</v>
      </c>
      <c r="F69" s="627">
        <v>6160</v>
      </c>
      <c r="G69" s="627">
        <v>0</v>
      </c>
      <c r="H69" s="627">
        <v>625.87700000000007</v>
      </c>
      <c r="I69" s="627">
        <v>607.678</v>
      </c>
      <c r="J69" s="627">
        <v>607.678</v>
      </c>
      <c r="K69" s="627">
        <v>625.87700000000007</v>
      </c>
      <c r="L69" s="627">
        <v>0</v>
      </c>
      <c r="M69" s="627">
        <v>6160</v>
      </c>
      <c r="N69" s="627">
        <v>0</v>
      </c>
      <c r="O69" s="627">
        <v>0</v>
      </c>
      <c r="P69" s="627">
        <v>0</v>
      </c>
      <c r="Q69" s="627">
        <v>596.86300000000006</v>
      </c>
      <c r="R69" s="627">
        <v>0</v>
      </c>
      <c r="S69" s="627">
        <v>247629</v>
      </c>
      <c r="T69" s="627">
        <v>414.88400000000001</v>
      </c>
      <c r="U69" s="627">
        <v>0</v>
      </c>
      <c r="V69" s="627">
        <v>128509</v>
      </c>
      <c r="W69" s="627">
        <v>55.125</v>
      </c>
      <c r="X69" s="627">
        <v>33957</v>
      </c>
      <c r="Y69" s="627">
        <v>33957</v>
      </c>
      <c r="Z69" s="627">
        <v>0</v>
      </c>
      <c r="AA69" s="627">
        <v>0</v>
      </c>
      <c r="AB69" s="627">
        <v>0</v>
      </c>
      <c r="AC69" s="627">
        <v>0</v>
      </c>
      <c r="AD69" s="627">
        <v>0</v>
      </c>
      <c r="AE69" s="627" t="s">
        <v>314</v>
      </c>
      <c r="AF69" s="627">
        <v>0</v>
      </c>
      <c r="AG69" s="627">
        <v>0</v>
      </c>
      <c r="AH69" s="627">
        <v>0</v>
      </c>
      <c r="AI69" s="627">
        <v>0</v>
      </c>
      <c r="AJ69" s="627">
        <v>0</v>
      </c>
      <c r="AK69" s="627">
        <v>6160</v>
      </c>
      <c r="AL69" s="627" t="s">
        <v>651</v>
      </c>
      <c r="AM69" s="627" t="s">
        <v>384</v>
      </c>
      <c r="AN69" s="627">
        <v>0</v>
      </c>
      <c r="AO69" s="627">
        <v>0</v>
      </c>
      <c r="AP69" s="627">
        <v>0</v>
      </c>
      <c r="AQ69" s="627">
        <v>0</v>
      </c>
      <c r="AR69" s="627">
        <v>0</v>
      </c>
      <c r="AS69" s="627">
        <v>0</v>
      </c>
      <c r="AT69" s="627">
        <v>0</v>
      </c>
      <c r="AU69" s="627">
        <v>0</v>
      </c>
      <c r="AV69" s="627">
        <v>0</v>
      </c>
      <c r="AW69" s="627">
        <v>0</v>
      </c>
      <c r="AX69" s="627">
        <v>5867630</v>
      </c>
      <c r="AY69" s="627">
        <v>5769338</v>
      </c>
      <c r="AZ69" s="627">
        <v>2941366</v>
      </c>
      <c r="BA69" s="627">
        <v>247629</v>
      </c>
      <c r="BB69" s="627">
        <v>0</v>
      </c>
      <c r="BC69" s="627">
        <v>13208</v>
      </c>
      <c r="BD69" s="627">
        <v>13123</v>
      </c>
      <c r="BE69" s="627">
        <v>31</v>
      </c>
      <c r="BF69" s="627">
        <v>84</v>
      </c>
      <c r="BG69" s="627">
        <v>5146534</v>
      </c>
      <c r="BH69" s="627">
        <v>0</v>
      </c>
      <c r="BI69" s="627">
        <v>0</v>
      </c>
      <c r="BJ69" s="627">
        <v>0</v>
      </c>
      <c r="BK69" s="627">
        <v>12</v>
      </c>
      <c r="BL69" s="627">
        <v>0</v>
      </c>
      <c r="BM69" s="627">
        <v>0</v>
      </c>
      <c r="BN69" s="627">
        <v>0</v>
      </c>
      <c r="BO69" s="627">
        <v>0</v>
      </c>
      <c r="BP69" s="627">
        <v>0</v>
      </c>
      <c r="BQ69" s="627">
        <v>0</v>
      </c>
      <c r="BR69" s="627">
        <v>676</v>
      </c>
      <c r="BS69" s="627">
        <v>0</v>
      </c>
      <c r="BT69" s="627">
        <v>0</v>
      </c>
      <c r="BU69" s="627">
        <v>0</v>
      </c>
      <c r="BV69" s="627">
        <v>0</v>
      </c>
      <c r="BW69" s="627">
        <v>0</v>
      </c>
      <c r="BX69" s="627">
        <v>0</v>
      </c>
      <c r="BY69" s="627">
        <v>0</v>
      </c>
      <c r="BZ69" s="627">
        <v>0</v>
      </c>
      <c r="CA69" s="627">
        <v>0</v>
      </c>
      <c r="CB69" s="627">
        <v>0</v>
      </c>
      <c r="CC69" s="627">
        <v>0</v>
      </c>
      <c r="CD69" s="627">
        <v>0</v>
      </c>
      <c r="CE69" s="627">
        <v>0</v>
      </c>
      <c r="CF69" s="627">
        <v>0</v>
      </c>
      <c r="CG69" s="627">
        <v>0</v>
      </c>
      <c r="CH69" s="627">
        <v>0</v>
      </c>
      <c r="CI69" s="627">
        <v>100096</v>
      </c>
      <c r="CJ69" s="627">
        <v>0</v>
      </c>
      <c r="CK69" s="627">
        <v>4</v>
      </c>
      <c r="CL69" s="627">
        <v>0</v>
      </c>
      <c r="CM69" s="627">
        <v>0</v>
      </c>
      <c r="CN69" s="627">
        <v>0</v>
      </c>
      <c r="CO69" s="627">
        <v>0</v>
      </c>
      <c r="CP69" s="627">
        <v>1</v>
      </c>
      <c r="CQ69" s="627">
        <v>0</v>
      </c>
      <c r="CR69" s="627">
        <v>0</v>
      </c>
      <c r="CS69" s="627">
        <v>596.6</v>
      </c>
      <c r="CT69" s="627">
        <v>0</v>
      </c>
      <c r="CU69" s="627">
        <v>0</v>
      </c>
      <c r="CV69" s="627">
        <v>0</v>
      </c>
      <c r="CW69" s="627">
        <v>0</v>
      </c>
      <c r="CX69" s="627">
        <v>0</v>
      </c>
      <c r="CY69" s="627">
        <v>0</v>
      </c>
      <c r="CZ69" s="627">
        <v>0</v>
      </c>
      <c r="DA69" s="627">
        <v>0</v>
      </c>
      <c r="DB69" s="627">
        <v>0</v>
      </c>
      <c r="DC69" s="627">
        <v>3743296</v>
      </c>
      <c r="DD69" s="627">
        <v>0</v>
      </c>
      <c r="DE69" s="627">
        <v>0</v>
      </c>
      <c r="DF69" s="627">
        <v>35882</v>
      </c>
      <c r="DG69" s="627">
        <v>35882</v>
      </c>
      <c r="DH69" s="627">
        <v>5.8250000000000002</v>
      </c>
      <c r="DI69" s="627">
        <v>0</v>
      </c>
      <c r="DJ69" s="627">
        <v>0</v>
      </c>
      <c r="DK69" s="627">
        <v>0</v>
      </c>
      <c r="DL69" s="627">
        <v>2445</v>
      </c>
      <c r="DM69" s="627">
        <v>0</v>
      </c>
      <c r="DN69" s="627">
        <v>504495</v>
      </c>
      <c r="DO69" s="627">
        <v>1720</v>
      </c>
      <c r="DP69" s="627">
        <v>0</v>
      </c>
      <c r="DQ69" s="627">
        <v>0</v>
      </c>
      <c r="DR69" s="627">
        <v>0</v>
      </c>
      <c r="DS69" s="627">
        <v>0</v>
      </c>
      <c r="DT69" s="627">
        <v>0</v>
      </c>
      <c r="DU69" s="627">
        <v>0</v>
      </c>
      <c r="DV69" s="627">
        <v>0</v>
      </c>
      <c r="DW69" s="627">
        <v>0</v>
      </c>
      <c r="DX69" s="627">
        <v>0</v>
      </c>
      <c r="DY69" s="627">
        <v>0</v>
      </c>
      <c r="DZ69" s="627">
        <v>0</v>
      </c>
      <c r="EA69" s="627">
        <v>0</v>
      </c>
      <c r="EB69" s="627">
        <v>0</v>
      </c>
      <c r="EC69" s="627">
        <v>0</v>
      </c>
      <c r="ED69" s="627">
        <v>42.965000000000003</v>
      </c>
      <c r="EE69" s="627">
        <v>304364</v>
      </c>
      <c r="EF69" s="627">
        <v>0</v>
      </c>
      <c r="EG69" s="627">
        <v>0</v>
      </c>
      <c r="EH69" s="627">
        <v>0</v>
      </c>
      <c r="EI69" s="627">
        <v>201851</v>
      </c>
      <c r="EJ69" s="627">
        <v>0</v>
      </c>
      <c r="EK69" s="627">
        <v>0</v>
      </c>
      <c r="EL69" s="627">
        <v>9.0500000000000007</v>
      </c>
      <c r="EM69" s="627">
        <v>0</v>
      </c>
      <c r="EN69" s="627">
        <v>0.156</v>
      </c>
      <c r="EO69" s="627">
        <v>1.03</v>
      </c>
      <c r="EP69" s="627">
        <v>0</v>
      </c>
      <c r="EQ69" s="627">
        <v>0</v>
      </c>
      <c r="ER69" s="627">
        <v>10.236000000000001</v>
      </c>
      <c r="ES69" s="627">
        <v>0</v>
      </c>
      <c r="ET69" s="627">
        <v>32.768000000000001</v>
      </c>
      <c r="EU69" s="627">
        <v>0</v>
      </c>
      <c r="EV69" s="627">
        <v>0</v>
      </c>
      <c r="EW69" s="627">
        <v>0</v>
      </c>
      <c r="EX69" s="627">
        <v>0</v>
      </c>
      <c r="EY69" s="627">
        <v>0</v>
      </c>
      <c r="EZ69" s="627">
        <v>0</v>
      </c>
      <c r="FA69" s="627">
        <v>4899911</v>
      </c>
      <c r="FB69" s="627">
        <v>0</v>
      </c>
      <c r="FC69" s="627">
        <v>5145736</v>
      </c>
      <c r="FD69" s="627">
        <v>0</v>
      </c>
      <c r="FE69" s="627">
        <v>0</v>
      </c>
      <c r="FF69" s="627">
        <v>741081</v>
      </c>
      <c r="FG69" s="627">
        <v>128346</v>
      </c>
      <c r="FH69" s="627">
        <v>7.0280999999999996E-2</v>
      </c>
      <c r="FI69" s="627">
        <v>3.1172999999999999E-2</v>
      </c>
      <c r="FJ69" s="627">
        <v>0</v>
      </c>
      <c r="FK69" s="627">
        <v>0</v>
      </c>
      <c r="FL69" s="627">
        <v>835.476</v>
      </c>
      <c r="FM69" s="627">
        <v>6115259</v>
      </c>
      <c r="FN69" s="627">
        <v>0</v>
      </c>
      <c r="FO69" s="627">
        <v>0</v>
      </c>
      <c r="FP69" s="627">
        <v>0</v>
      </c>
      <c r="FQ69" s="627">
        <v>0</v>
      </c>
      <c r="FR69" s="627">
        <v>0</v>
      </c>
      <c r="FS69" s="627">
        <v>0</v>
      </c>
      <c r="FT69" s="627">
        <v>0</v>
      </c>
      <c r="FU69" s="627">
        <v>0</v>
      </c>
      <c r="FV69" s="627">
        <v>0</v>
      </c>
      <c r="FW69" s="627">
        <v>0</v>
      </c>
      <c r="FX69" s="627">
        <v>0</v>
      </c>
      <c r="FY69" s="627">
        <v>0</v>
      </c>
      <c r="FZ69" s="627">
        <v>0</v>
      </c>
      <c r="GA69" s="627">
        <v>0</v>
      </c>
      <c r="GB69" s="627">
        <v>0</v>
      </c>
      <c r="GC69" s="627">
        <v>77335</v>
      </c>
      <c r="GD69" s="627">
        <v>77335</v>
      </c>
      <c r="GE69" s="627">
        <v>7.9630000000000001</v>
      </c>
      <c r="GF69" s="627">
        <v>0</v>
      </c>
      <c r="GG69" s="627">
        <v>0</v>
      </c>
      <c r="GH69" s="627">
        <v>0</v>
      </c>
      <c r="GI69" s="627">
        <v>0</v>
      </c>
      <c r="GJ69" s="627">
        <v>0</v>
      </c>
      <c r="GK69" s="627">
        <v>0</v>
      </c>
      <c r="GL69" s="627">
        <v>0</v>
      </c>
      <c r="GM69" s="627">
        <v>0</v>
      </c>
      <c r="GN69" s="627">
        <v>0</v>
      </c>
      <c r="GO69" s="627">
        <v>0</v>
      </c>
      <c r="GP69" s="627">
        <v>0</v>
      </c>
      <c r="GQ69" s="627">
        <v>0</v>
      </c>
      <c r="GR69" s="627">
        <v>5767534</v>
      </c>
      <c r="GS69" s="627">
        <v>0</v>
      </c>
      <c r="GT69" s="627">
        <v>0</v>
      </c>
      <c r="GU69" s="627">
        <v>0</v>
      </c>
      <c r="GV69" s="627">
        <v>0</v>
      </c>
      <c r="GW69" s="627">
        <v>0</v>
      </c>
      <c r="GX69" s="627">
        <v>0</v>
      </c>
      <c r="GY69" s="627">
        <v>0</v>
      </c>
      <c r="GZ69" s="627">
        <v>0</v>
      </c>
      <c r="HA69" s="627">
        <v>0</v>
      </c>
      <c r="HB69" s="627">
        <v>0</v>
      </c>
      <c r="HC69" s="627">
        <v>361151439</v>
      </c>
      <c r="HD69" s="627">
        <v>3.9981999999999997E-2</v>
      </c>
      <c r="HE69" s="627">
        <v>100096</v>
      </c>
      <c r="HF69" s="627">
        <v>0</v>
      </c>
      <c r="HG69" s="627">
        <v>669661</v>
      </c>
      <c r="HH69" s="627">
        <v>24024</v>
      </c>
      <c r="HI69" s="627">
        <v>21697</v>
      </c>
      <c r="HJ69" s="627">
        <v>0</v>
      </c>
      <c r="HK69" s="627">
        <v>21259</v>
      </c>
      <c r="HL69" s="627">
        <v>712</v>
      </c>
      <c r="HM69" s="627">
        <v>294</v>
      </c>
      <c r="HN69" s="627">
        <v>0</v>
      </c>
      <c r="HO69" s="627">
        <v>0</v>
      </c>
      <c r="HP69" s="627">
        <v>0</v>
      </c>
      <c r="HQ69" s="627">
        <v>0</v>
      </c>
      <c r="HR69" s="627">
        <v>0</v>
      </c>
      <c r="HS69" s="627">
        <v>0</v>
      </c>
      <c r="HT69" s="627">
        <v>4898107</v>
      </c>
      <c r="HU69" s="627">
        <v>128346</v>
      </c>
      <c r="HV69" s="627">
        <v>0</v>
      </c>
      <c r="HW69" s="627">
        <v>0</v>
      </c>
      <c r="HX69" s="627">
        <v>0</v>
      </c>
      <c r="HY69" s="627">
        <v>3</v>
      </c>
      <c r="HZ69" s="627">
        <v>12</v>
      </c>
      <c r="IA69" s="627">
        <v>6</v>
      </c>
      <c r="IB69" s="627">
        <v>2</v>
      </c>
      <c r="IC69" s="627">
        <v>1</v>
      </c>
      <c r="ID69" s="627">
        <v>24</v>
      </c>
      <c r="IE69" s="627">
        <v>0</v>
      </c>
      <c r="IF69" s="627">
        <v>0</v>
      </c>
      <c r="IG69" s="627">
        <v>0</v>
      </c>
      <c r="IH69" s="627">
        <v>39</v>
      </c>
      <c r="II69" s="627">
        <v>35.222999999999999</v>
      </c>
      <c r="IJ69" s="627">
        <v>0</v>
      </c>
      <c r="IK69" s="627">
        <v>55.125</v>
      </c>
      <c r="IL69" s="627">
        <v>0</v>
      </c>
      <c r="IM69" s="627">
        <v>0</v>
      </c>
      <c r="IN69" s="627">
        <v>0</v>
      </c>
      <c r="IO69" s="627">
        <v>0</v>
      </c>
      <c r="IP69" s="627">
        <v>0</v>
      </c>
      <c r="IQ69" s="627">
        <v>0</v>
      </c>
      <c r="IR69" s="627">
        <v>55.125</v>
      </c>
      <c r="IS69" s="627">
        <v>33957</v>
      </c>
      <c r="IT69" s="627">
        <v>0</v>
      </c>
      <c r="IU69" s="627">
        <v>0</v>
      </c>
      <c r="IV69" s="627">
        <v>0</v>
      </c>
      <c r="IW69" s="627">
        <v>0</v>
      </c>
      <c r="IX69" s="627">
        <v>6160</v>
      </c>
      <c r="IY69" s="627">
        <v>0</v>
      </c>
      <c r="IZ69" s="627">
        <v>0</v>
      </c>
      <c r="JA69" s="627">
        <v>0</v>
      </c>
      <c r="JB69" s="627">
        <v>0</v>
      </c>
      <c r="JC69" s="627">
        <v>0</v>
      </c>
      <c r="JD69" s="627">
        <v>0</v>
      </c>
      <c r="JE69" s="627">
        <v>0</v>
      </c>
      <c r="JF69" s="627">
        <v>0</v>
      </c>
      <c r="JG69" s="627">
        <v>0</v>
      </c>
      <c r="JH69" s="627">
        <v>0</v>
      </c>
      <c r="JI69" s="627">
        <v>0</v>
      </c>
      <c r="JJ69" s="627">
        <v>0</v>
      </c>
      <c r="JK69" s="627">
        <v>0</v>
      </c>
      <c r="JL69" s="627">
        <v>0</v>
      </c>
      <c r="JM69" s="627">
        <v>0</v>
      </c>
      <c r="JN69" s="627">
        <v>0</v>
      </c>
      <c r="JO69" s="627">
        <v>32469</v>
      </c>
      <c r="JP69" s="627">
        <v>0</v>
      </c>
      <c r="JQ69" s="627">
        <v>5.5670000000000002</v>
      </c>
      <c r="JR69" s="627">
        <v>2.3970000000000002</v>
      </c>
      <c r="JS69" s="627">
        <v>0</v>
      </c>
      <c r="JT69" s="627">
        <v>51747</v>
      </c>
      <c r="JU69" s="627">
        <v>25588</v>
      </c>
      <c r="JV69" s="627">
        <v>13367</v>
      </c>
      <c r="JW69" s="627">
        <v>0</v>
      </c>
      <c r="JX69" s="627">
        <v>0</v>
      </c>
      <c r="JY69" s="627">
        <v>0</v>
      </c>
      <c r="JZ69" s="627">
        <v>0</v>
      </c>
      <c r="KA69" s="627">
        <v>0</v>
      </c>
      <c r="KB69" s="627">
        <v>0</v>
      </c>
      <c r="KC69" s="627">
        <v>0</v>
      </c>
      <c r="KD69" s="627">
        <v>0</v>
      </c>
      <c r="KE69" s="627">
        <v>13367</v>
      </c>
      <c r="KF69" s="627">
        <v>7262</v>
      </c>
      <c r="KG69" s="627">
        <v>0</v>
      </c>
      <c r="KH69" s="627">
        <v>0</v>
      </c>
      <c r="KI69" s="627">
        <v>5767534</v>
      </c>
      <c r="KJ69" s="627">
        <v>0</v>
      </c>
      <c r="KK69" s="627">
        <v>22</v>
      </c>
      <c r="KL69" s="627">
        <v>17</v>
      </c>
      <c r="KM69" s="627">
        <v>13552</v>
      </c>
      <c r="KN69" s="627">
        <v>10472</v>
      </c>
      <c r="KO69" s="627">
        <v>0</v>
      </c>
      <c r="KP69" s="627">
        <v>0</v>
      </c>
      <c r="KQ69" s="627">
        <v>5767534</v>
      </c>
      <c r="KR69" s="627">
        <v>0</v>
      </c>
      <c r="KS69" s="627">
        <v>0</v>
      </c>
      <c r="KT69" s="627">
        <v>0</v>
      </c>
      <c r="KU69" s="627">
        <v>0</v>
      </c>
      <c r="KV69" s="627">
        <v>0</v>
      </c>
      <c r="KW69" s="627">
        <v>0</v>
      </c>
      <c r="KX69" s="627">
        <v>0</v>
      </c>
      <c r="KY69" s="627">
        <v>0</v>
      </c>
      <c r="KZ69" s="627">
        <v>0</v>
      </c>
      <c r="LA69" s="627">
        <v>0</v>
      </c>
      <c r="LB69" s="627">
        <v>0</v>
      </c>
      <c r="LC69" s="627">
        <v>0</v>
      </c>
      <c r="LD69" s="627">
        <v>0</v>
      </c>
      <c r="LE69" s="627">
        <v>0</v>
      </c>
      <c r="LF69" s="627">
        <v>0</v>
      </c>
    </row>
    <row r="70" spans="1:318" x14ac:dyDescent="0.25">
      <c r="A70" s="627">
        <v>42602</v>
      </c>
      <c r="B70" s="627">
        <v>123805</v>
      </c>
      <c r="D70" s="627">
        <v>9</v>
      </c>
      <c r="E70" s="627">
        <v>2024</v>
      </c>
      <c r="F70" s="627">
        <v>6160</v>
      </c>
      <c r="G70" s="627">
        <v>0</v>
      </c>
      <c r="H70" s="627">
        <v>483.16800000000001</v>
      </c>
      <c r="I70" s="627">
        <v>474.32500000000005</v>
      </c>
      <c r="J70" s="627">
        <v>474.32500000000005</v>
      </c>
      <c r="K70" s="627">
        <v>483.16800000000001</v>
      </c>
      <c r="L70" s="627">
        <v>0</v>
      </c>
      <c r="M70" s="627">
        <v>6160</v>
      </c>
      <c r="N70" s="627">
        <v>0</v>
      </c>
      <c r="O70" s="627">
        <v>0</v>
      </c>
      <c r="P70" s="627">
        <v>0</v>
      </c>
      <c r="Q70" s="627">
        <v>490.11700000000002</v>
      </c>
      <c r="R70" s="627">
        <v>0</v>
      </c>
      <c r="S70" s="627">
        <v>203342</v>
      </c>
      <c r="T70" s="627">
        <v>414.88400000000001</v>
      </c>
      <c r="U70" s="627">
        <v>0</v>
      </c>
      <c r="V70" s="627">
        <v>105526</v>
      </c>
      <c r="W70" s="627">
        <v>258.63</v>
      </c>
      <c r="X70" s="627">
        <v>159316</v>
      </c>
      <c r="Y70" s="627">
        <v>159316</v>
      </c>
      <c r="Z70" s="627">
        <v>0</v>
      </c>
      <c r="AA70" s="627">
        <v>0</v>
      </c>
      <c r="AB70" s="627">
        <v>0</v>
      </c>
      <c r="AC70" s="627">
        <v>0</v>
      </c>
      <c r="AD70" s="627">
        <v>0</v>
      </c>
      <c r="AE70" s="627" t="s">
        <v>314</v>
      </c>
      <c r="AF70" s="627">
        <v>0</v>
      </c>
      <c r="AG70" s="627">
        <v>0</v>
      </c>
      <c r="AH70" s="627">
        <v>0</v>
      </c>
      <c r="AI70" s="627">
        <v>0</v>
      </c>
      <c r="AJ70" s="627">
        <v>0</v>
      </c>
      <c r="AK70" s="627">
        <v>6160</v>
      </c>
      <c r="AL70" s="627" t="s">
        <v>651</v>
      </c>
      <c r="AM70" s="627" t="s">
        <v>4</v>
      </c>
      <c r="AN70" s="627">
        <v>0</v>
      </c>
      <c r="AO70" s="627">
        <v>0</v>
      </c>
      <c r="AP70" s="627">
        <v>0</v>
      </c>
      <c r="AQ70" s="627">
        <v>0</v>
      </c>
      <c r="AR70" s="627">
        <v>0</v>
      </c>
      <c r="AS70" s="627">
        <v>0</v>
      </c>
      <c r="AT70" s="627">
        <v>0</v>
      </c>
      <c r="AU70" s="627">
        <v>0</v>
      </c>
      <c r="AV70" s="627">
        <v>0</v>
      </c>
      <c r="AW70" s="627">
        <v>0</v>
      </c>
      <c r="AX70" s="627">
        <v>5571259</v>
      </c>
      <c r="AY70" s="627">
        <v>5495232</v>
      </c>
      <c r="AZ70" s="627">
        <v>2764085</v>
      </c>
      <c r="BA70" s="627">
        <v>203342</v>
      </c>
      <c r="BB70" s="627">
        <v>1</v>
      </c>
      <c r="BC70" s="627">
        <v>10226</v>
      </c>
      <c r="BD70" s="627">
        <v>10160</v>
      </c>
      <c r="BE70" s="627">
        <v>24</v>
      </c>
      <c r="BF70" s="627">
        <v>65</v>
      </c>
      <c r="BG70" s="627">
        <v>4874956</v>
      </c>
      <c r="BH70" s="627">
        <v>0</v>
      </c>
      <c r="BI70" s="627">
        <v>0</v>
      </c>
      <c r="BJ70" s="627">
        <v>0</v>
      </c>
      <c r="BK70" s="627">
        <v>12</v>
      </c>
      <c r="BL70" s="627">
        <v>0</v>
      </c>
      <c r="BM70" s="627">
        <v>0</v>
      </c>
      <c r="BN70" s="627">
        <v>0</v>
      </c>
      <c r="BO70" s="627">
        <v>0</v>
      </c>
      <c r="BP70" s="627">
        <v>0</v>
      </c>
      <c r="BQ70" s="627">
        <v>0</v>
      </c>
      <c r="BR70" s="627">
        <v>697</v>
      </c>
      <c r="BS70" s="627">
        <v>0</v>
      </c>
      <c r="BT70" s="627">
        <v>0</v>
      </c>
      <c r="BU70" s="627">
        <v>0</v>
      </c>
      <c r="BV70" s="627">
        <v>0</v>
      </c>
      <c r="BW70" s="627">
        <v>0</v>
      </c>
      <c r="BX70" s="627">
        <v>0</v>
      </c>
      <c r="BY70" s="627">
        <v>0</v>
      </c>
      <c r="BZ70" s="627">
        <v>0</v>
      </c>
      <c r="CA70" s="627">
        <v>0</v>
      </c>
      <c r="CB70" s="627">
        <v>0</v>
      </c>
      <c r="CC70" s="627">
        <v>0</v>
      </c>
      <c r="CD70" s="627">
        <v>0</v>
      </c>
      <c r="CE70" s="627">
        <v>0</v>
      </c>
      <c r="CF70" s="627">
        <v>0</v>
      </c>
      <c r="CG70" s="627">
        <v>0</v>
      </c>
      <c r="CH70" s="627">
        <v>0</v>
      </c>
      <c r="CI70" s="627">
        <v>77272</v>
      </c>
      <c r="CJ70" s="627">
        <v>0</v>
      </c>
      <c r="CK70" s="627">
        <v>4</v>
      </c>
      <c r="CL70" s="627">
        <v>0</v>
      </c>
      <c r="CM70" s="627">
        <v>0</v>
      </c>
      <c r="CN70" s="627">
        <v>0</v>
      </c>
      <c r="CO70" s="627">
        <v>0</v>
      </c>
      <c r="CP70" s="627">
        <v>1</v>
      </c>
      <c r="CQ70" s="627">
        <v>0</v>
      </c>
      <c r="CR70" s="627">
        <v>0</v>
      </c>
      <c r="CS70" s="627">
        <v>489.27</v>
      </c>
      <c r="CT70" s="627">
        <v>0</v>
      </c>
      <c r="CU70" s="627">
        <v>0</v>
      </c>
      <c r="CV70" s="627">
        <v>0</v>
      </c>
      <c r="CW70" s="627">
        <v>0</v>
      </c>
      <c r="CX70" s="627">
        <v>0</v>
      </c>
      <c r="CY70" s="627">
        <v>0</v>
      </c>
      <c r="CZ70" s="627">
        <v>0</v>
      </c>
      <c r="DA70" s="627">
        <v>0</v>
      </c>
      <c r="DB70" s="627">
        <v>0</v>
      </c>
      <c r="DC70" s="627">
        <v>2921842</v>
      </c>
      <c r="DD70" s="627">
        <v>0</v>
      </c>
      <c r="DE70" s="627">
        <v>0</v>
      </c>
      <c r="DF70" s="627">
        <v>707630</v>
      </c>
      <c r="DG70" s="627">
        <v>707630</v>
      </c>
      <c r="DH70" s="627">
        <v>114.875</v>
      </c>
      <c r="DI70" s="627">
        <v>0</v>
      </c>
      <c r="DJ70" s="627">
        <v>0</v>
      </c>
      <c r="DK70" s="627">
        <v>0</v>
      </c>
      <c r="DL70" s="627">
        <v>2774</v>
      </c>
      <c r="DM70" s="627">
        <v>0</v>
      </c>
      <c r="DN70" s="627">
        <v>346235</v>
      </c>
      <c r="DO70" s="627">
        <v>1180</v>
      </c>
      <c r="DP70" s="627">
        <v>0</v>
      </c>
      <c r="DQ70" s="627">
        <v>0</v>
      </c>
      <c r="DR70" s="627">
        <v>0</v>
      </c>
      <c r="DS70" s="627">
        <v>0</v>
      </c>
      <c r="DT70" s="627">
        <v>0</v>
      </c>
      <c r="DU70" s="627">
        <v>0</v>
      </c>
      <c r="DV70" s="627">
        <v>0</v>
      </c>
      <c r="DW70" s="627">
        <v>0</v>
      </c>
      <c r="DX70" s="627">
        <v>0</v>
      </c>
      <c r="DY70" s="627">
        <v>0</v>
      </c>
      <c r="DZ70" s="627">
        <v>0</v>
      </c>
      <c r="EA70" s="627">
        <v>0</v>
      </c>
      <c r="EB70" s="627">
        <v>0</v>
      </c>
      <c r="EC70" s="627">
        <v>0</v>
      </c>
      <c r="ED70" s="627">
        <v>24.150000000000002</v>
      </c>
      <c r="EE70" s="627">
        <v>171079</v>
      </c>
      <c r="EF70" s="627">
        <v>0</v>
      </c>
      <c r="EG70" s="627">
        <v>0</v>
      </c>
      <c r="EH70" s="627">
        <v>0</v>
      </c>
      <c r="EI70" s="627">
        <v>164977</v>
      </c>
      <c r="EJ70" s="627">
        <v>11359</v>
      </c>
      <c r="EK70" s="627">
        <v>0.46100000000000002</v>
      </c>
      <c r="EL70" s="627">
        <v>7.5640000000000001</v>
      </c>
      <c r="EM70" s="627">
        <v>0</v>
      </c>
      <c r="EN70" s="627">
        <v>0</v>
      </c>
      <c r="EO70" s="627">
        <v>0.81800000000000006</v>
      </c>
      <c r="EP70" s="627">
        <v>0</v>
      </c>
      <c r="EQ70" s="627">
        <v>0</v>
      </c>
      <c r="ER70" s="627">
        <v>8.843</v>
      </c>
      <c r="ES70" s="627">
        <v>0</v>
      </c>
      <c r="ET70" s="627">
        <v>26.782</v>
      </c>
      <c r="EU70" s="627">
        <v>0</v>
      </c>
      <c r="EV70" s="627">
        <v>0</v>
      </c>
      <c r="EW70" s="627">
        <v>0</v>
      </c>
      <c r="EX70" s="627">
        <v>0</v>
      </c>
      <c r="EY70" s="627">
        <v>0</v>
      </c>
      <c r="EZ70" s="627">
        <v>0</v>
      </c>
      <c r="FA70" s="627">
        <v>4671683</v>
      </c>
      <c r="FB70" s="627">
        <v>0</v>
      </c>
      <c r="FC70" s="627">
        <v>4873780</v>
      </c>
      <c r="FD70" s="627">
        <v>0</v>
      </c>
      <c r="FE70" s="627">
        <v>0</v>
      </c>
      <c r="FF70" s="627">
        <v>701975</v>
      </c>
      <c r="FG70" s="627">
        <v>121574</v>
      </c>
      <c r="FH70" s="627">
        <v>7.0280999999999996E-2</v>
      </c>
      <c r="FI70" s="627">
        <v>3.1172999999999999E-2</v>
      </c>
      <c r="FJ70" s="627">
        <v>0</v>
      </c>
      <c r="FK70" s="627">
        <v>0</v>
      </c>
      <c r="FL70" s="627">
        <v>791.38900000000001</v>
      </c>
      <c r="FM70" s="627">
        <v>5774601</v>
      </c>
      <c r="FN70" s="627">
        <v>0</v>
      </c>
      <c r="FO70" s="627">
        <v>0</v>
      </c>
      <c r="FP70" s="627">
        <v>0</v>
      </c>
      <c r="FQ70" s="627">
        <v>0</v>
      </c>
      <c r="FR70" s="627">
        <v>0</v>
      </c>
      <c r="FS70" s="627">
        <v>0</v>
      </c>
      <c r="FT70" s="627">
        <v>0</v>
      </c>
      <c r="FU70" s="627">
        <v>0</v>
      </c>
      <c r="FV70" s="627">
        <v>0</v>
      </c>
      <c r="FW70" s="627">
        <v>0</v>
      </c>
      <c r="FX70" s="627">
        <v>0</v>
      </c>
      <c r="FY70" s="627">
        <v>0</v>
      </c>
      <c r="FZ70" s="627">
        <v>0</v>
      </c>
      <c r="GA70" s="627">
        <v>0</v>
      </c>
      <c r="GB70" s="627">
        <v>0</v>
      </c>
      <c r="GC70" s="627">
        <v>0</v>
      </c>
      <c r="GD70" s="627">
        <v>0</v>
      </c>
      <c r="GE70" s="627">
        <v>0</v>
      </c>
      <c r="GF70" s="627">
        <v>0</v>
      </c>
      <c r="GG70" s="627">
        <v>0</v>
      </c>
      <c r="GH70" s="627">
        <v>0</v>
      </c>
      <c r="GI70" s="627">
        <v>0</v>
      </c>
      <c r="GJ70" s="627">
        <v>0</v>
      </c>
      <c r="GK70" s="627">
        <v>0</v>
      </c>
      <c r="GL70" s="627">
        <v>0</v>
      </c>
      <c r="GM70" s="627">
        <v>0</v>
      </c>
      <c r="GN70" s="627">
        <v>0</v>
      </c>
      <c r="GO70" s="627">
        <v>0</v>
      </c>
      <c r="GP70" s="627">
        <v>0</v>
      </c>
      <c r="GQ70" s="627">
        <v>0</v>
      </c>
      <c r="GR70" s="627">
        <v>5493987</v>
      </c>
      <c r="GS70" s="627">
        <v>0</v>
      </c>
      <c r="GT70" s="627">
        <v>0</v>
      </c>
      <c r="GU70" s="627">
        <v>0</v>
      </c>
      <c r="GV70" s="627">
        <v>0</v>
      </c>
      <c r="GW70" s="627">
        <v>0</v>
      </c>
      <c r="GX70" s="627">
        <v>0</v>
      </c>
      <c r="GY70" s="627">
        <v>0</v>
      </c>
      <c r="GZ70" s="627">
        <v>0</v>
      </c>
      <c r="HA70" s="627">
        <v>0</v>
      </c>
      <c r="HB70" s="627">
        <v>0</v>
      </c>
      <c r="HC70" s="627">
        <v>361151439</v>
      </c>
      <c r="HD70" s="627">
        <v>3.9981999999999997E-2</v>
      </c>
      <c r="HE70" s="627">
        <v>77272</v>
      </c>
      <c r="HF70" s="627">
        <v>0</v>
      </c>
      <c r="HG70" s="627">
        <v>522706</v>
      </c>
      <c r="HH70" s="627">
        <v>6160</v>
      </c>
      <c r="HI70" s="627">
        <v>179829</v>
      </c>
      <c r="HJ70" s="627">
        <v>0</v>
      </c>
      <c r="HK70" s="627">
        <v>19832</v>
      </c>
      <c r="HL70" s="627">
        <v>0</v>
      </c>
      <c r="HM70" s="627">
        <v>0</v>
      </c>
      <c r="HN70" s="627">
        <v>0</v>
      </c>
      <c r="HO70" s="627">
        <v>0</v>
      </c>
      <c r="HP70" s="627">
        <v>0</v>
      </c>
      <c r="HQ70" s="627">
        <v>0</v>
      </c>
      <c r="HR70" s="627">
        <v>0</v>
      </c>
      <c r="HS70" s="627">
        <v>0</v>
      </c>
      <c r="HT70" s="627">
        <v>4670438</v>
      </c>
      <c r="HU70" s="627">
        <v>121574</v>
      </c>
      <c r="HV70" s="627">
        <v>0</v>
      </c>
      <c r="HW70" s="627">
        <v>0</v>
      </c>
      <c r="HX70" s="627">
        <v>0</v>
      </c>
      <c r="HY70" s="627">
        <v>47</v>
      </c>
      <c r="HZ70" s="627">
        <v>21</v>
      </c>
      <c r="IA70" s="627">
        <v>63</v>
      </c>
      <c r="IB70" s="627">
        <v>179</v>
      </c>
      <c r="IC70" s="627">
        <v>133</v>
      </c>
      <c r="ID70" s="627">
        <v>443</v>
      </c>
      <c r="IE70" s="627">
        <v>0</v>
      </c>
      <c r="IF70" s="627">
        <v>0</v>
      </c>
      <c r="IG70" s="627">
        <v>0</v>
      </c>
      <c r="IH70" s="627">
        <v>10</v>
      </c>
      <c r="II70" s="627">
        <v>291.93</v>
      </c>
      <c r="IJ70" s="627">
        <v>0</v>
      </c>
      <c r="IK70" s="627">
        <v>258.63</v>
      </c>
      <c r="IL70" s="627">
        <v>0.252</v>
      </c>
      <c r="IM70" s="627">
        <v>0</v>
      </c>
      <c r="IN70" s="627">
        <v>0</v>
      </c>
      <c r="IO70" s="627">
        <v>0</v>
      </c>
      <c r="IP70" s="627">
        <v>0</v>
      </c>
      <c r="IQ70" s="627">
        <v>0.252</v>
      </c>
      <c r="IR70" s="627">
        <v>258.63</v>
      </c>
      <c r="IS70" s="627">
        <v>159316</v>
      </c>
      <c r="IT70" s="627">
        <v>69</v>
      </c>
      <c r="IU70" s="627">
        <v>0</v>
      </c>
      <c r="IV70" s="627">
        <v>0</v>
      </c>
      <c r="IW70" s="627">
        <v>0</v>
      </c>
      <c r="IX70" s="627">
        <v>6160</v>
      </c>
      <c r="IY70" s="627">
        <v>0</v>
      </c>
      <c r="IZ70" s="627">
        <v>0</v>
      </c>
      <c r="JA70" s="627">
        <v>69</v>
      </c>
      <c r="JB70" s="627">
        <v>0</v>
      </c>
      <c r="JC70" s="627">
        <v>0</v>
      </c>
      <c r="JD70" s="627">
        <v>0</v>
      </c>
      <c r="JE70" s="627">
        <v>0</v>
      </c>
      <c r="JF70" s="627">
        <v>0</v>
      </c>
      <c r="JG70" s="627">
        <v>0</v>
      </c>
      <c r="JH70" s="627">
        <v>0</v>
      </c>
      <c r="JI70" s="627">
        <v>0</v>
      </c>
      <c r="JJ70" s="627">
        <v>0</v>
      </c>
      <c r="JK70" s="627">
        <v>0</v>
      </c>
      <c r="JL70" s="627">
        <v>0</v>
      </c>
      <c r="JM70" s="627">
        <v>0</v>
      </c>
      <c r="JN70" s="627">
        <v>0</v>
      </c>
      <c r="JO70" s="627">
        <v>32469</v>
      </c>
      <c r="JP70" s="627">
        <v>0</v>
      </c>
      <c r="JQ70" s="627">
        <v>0</v>
      </c>
      <c r="JR70" s="627">
        <v>0</v>
      </c>
      <c r="JS70" s="627">
        <v>0</v>
      </c>
      <c r="JT70" s="627">
        <v>0</v>
      </c>
      <c r="JU70" s="627">
        <v>0</v>
      </c>
      <c r="JV70" s="627">
        <v>10349</v>
      </c>
      <c r="JW70" s="627">
        <v>0</v>
      </c>
      <c r="JX70" s="627">
        <v>0</v>
      </c>
      <c r="JY70" s="627">
        <v>0</v>
      </c>
      <c r="JZ70" s="627">
        <v>0</v>
      </c>
      <c r="KA70" s="627">
        <v>0</v>
      </c>
      <c r="KB70" s="627">
        <v>0</v>
      </c>
      <c r="KC70" s="627">
        <v>0</v>
      </c>
      <c r="KD70" s="627">
        <v>0</v>
      </c>
      <c r="KE70" s="627">
        <v>10349</v>
      </c>
      <c r="KF70" s="627">
        <v>7262</v>
      </c>
      <c r="KG70" s="627">
        <v>0</v>
      </c>
      <c r="KH70" s="627">
        <v>0</v>
      </c>
      <c r="KI70" s="627">
        <v>5493987</v>
      </c>
      <c r="KJ70" s="627">
        <v>0</v>
      </c>
      <c r="KK70" s="627">
        <v>5</v>
      </c>
      <c r="KL70" s="627">
        <v>5</v>
      </c>
      <c r="KM70" s="627">
        <v>3080</v>
      </c>
      <c r="KN70" s="627">
        <v>3080</v>
      </c>
      <c r="KO70" s="627">
        <v>0</v>
      </c>
      <c r="KP70" s="627">
        <v>0</v>
      </c>
      <c r="KQ70" s="627">
        <v>5493987</v>
      </c>
      <c r="KR70" s="627">
        <v>0</v>
      </c>
      <c r="KS70" s="627">
        <v>0</v>
      </c>
      <c r="KT70" s="627">
        <v>0</v>
      </c>
      <c r="KU70" s="627">
        <v>0</v>
      </c>
      <c r="KV70" s="627">
        <v>0</v>
      </c>
      <c r="KW70" s="627">
        <v>0</v>
      </c>
      <c r="KX70" s="627">
        <v>0</v>
      </c>
      <c r="KY70" s="627">
        <v>0</v>
      </c>
      <c r="KZ70" s="627">
        <v>0</v>
      </c>
      <c r="LA70" s="627">
        <v>0</v>
      </c>
      <c r="LB70" s="627">
        <v>0</v>
      </c>
      <c r="LC70" s="627">
        <v>0</v>
      </c>
      <c r="LD70" s="627">
        <v>0</v>
      </c>
      <c r="LE70" s="627">
        <v>0</v>
      </c>
      <c r="LF70" s="627">
        <v>0</v>
      </c>
    </row>
    <row r="71" spans="1:318" x14ac:dyDescent="0.25">
      <c r="A71" s="627">
        <v>42602</v>
      </c>
      <c r="B71" s="627">
        <v>227805</v>
      </c>
      <c r="D71" s="627">
        <v>9</v>
      </c>
      <c r="E71" s="627">
        <v>2024</v>
      </c>
      <c r="F71" s="627">
        <v>6160</v>
      </c>
      <c r="G71" s="627">
        <v>0</v>
      </c>
      <c r="H71" s="627">
        <v>350.79500000000002</v>
      </c>
      <c r="I71" s="627">
        <v>342.57100000000003</v>
      </c>
      <c r="J71" s="627">
        <v>342.57100000000003</v>
      </c>
      <c r="K71" s="627">
        <v>350.79500000000002</v>
      </c>
      <c r="L71" s="627">
        <v>0</v>
      </c>
      <c r="M71" s="627">
        <v>6160</v>
      </c>
      <c r="N71" s="627">
        <v>0</v>
      </c>
      <c r="O71" s="627">
        <v>0</v>
      </c>
      <c r="P71" s="627">
        <v>0</v>
      </c>
      <c r="Q71" s="627">
        <v>336.57300000000004</v>
      </c>
      <c r="R71" s="627">
        <v>0</v>
      </c>
      <c r="S71" s="627">
        <v>139639</v>
      </c>
      <c r="T71" s="627">
        <v>414.88400000000001</v>
      </c>
      <c r="U71" s="627">
        <v>0</v>
      </c>
      <c r="V71" s="627">
        <v>72467</v>
      </c>
      <c r="W71" s="627">
        <v>0</v>
      </c>
      <c r="X71" s="627">
        <v>0</v>
      </c>
      <c r="Y71" s="627">
        <v>0</v>
      </c>
      <c r="Z71" s="627">
        <v>0</v>
      </c>
      <c r="AA71" s="627">
        <v>0</v>
      </c>
      <c r="AB71" s="627">
        <v>0</v>
      </c>
      <c r="AC71" s="627">
        <v>0</v>
      </c>
      <c r="AD71" s="627">
        <v>0</v>
      </c>
      <c r="AE71" s="627" t="s">
        <v>314</v>
      </c>
      <c r="AF71" s="627">
        <v>0</v>
      </c>
      <c r="AG71" s="627">
        <v>0</v>
      </c>
      <c r="AH71" s="627">
        <v>0</v>
      </c>
      <c r="AI71" s="627">
        <v>0</v>
      </c>
      <c r="AJ71" s="627">
        <v>0</v>
      </c>
      <c r="AK71" s="627">
        <v>6160</v>
      </c>
      <c r="AL71" s="627" t="s">
        <v>651</v>
      </c>
      <c r="AM71" s="627" t="s">
        <v>79</v>
      </c>
      <c r="AN71" s="627">
        <v>0</v>
      </c>
      <c r="AO71" s="627">
        <v>0</v>
      </c>
      <c r="AP71" s="627">
        <v>0</v>
      </c>
      <c r="AQ71" s="627">
        <v>0</v>
      </c>
      <c r="AR71" s="627">
        <v>0</v>
      </c>
      <c r="AS71" s="627">
        <v>0</v>
      </c>
      <c r="AT71" s="627">
        <v>0</v>
      </c>
      <c r="AU71" s="627">
        <v>0</v>
      </c>
      <c r="AV71" s="627">
        <v>0</v>
      </c>
      <c r="AW71" s="627">
        <v>0</v>
      </c>
      <c r="AX71" s="627">
        <v>4036393</v>
      </c>
      <c r="AY71" s="627">
        <v>3980955</v>
      </c>
      <c r="AZ71" s="627">
        <v>1763202</v>
      </c>
      <c r="BA71" s="627">
        <v>139639</v>
      </c>
      <c r="BB71" s="627">
        <v>11.167</v>
      </c>
      <c r="BC71" s="627">
        <v>0</v>
      </c>
      <c r="BD71" s="627">
        <v>0</v>
      </c>
      <c r="BE71" s="627">
        <v>0</v>
      </c>
      <c r="BF71" s="627">
        <v>0</v>
      </c>
      <c r="BG71" s="627">
        <v>3309750</v>
      </c>
      <c r="BH71" s="627">
        <v>0</v>
      </c>
      <c r="BI71" s="627">
        <v>0</v>
      </c>
      <c r="BJ71" s="627">
        <v>0</v>
      </c>
      <c r="BK71" s="627">
        <v>12</v>
      </c>
      <c r="BL71" s="627">
        <v>0</v>
      </c>
      <c r="BM71" s="627">
        <v>0</v>
      </c>
      <c r="BN71" s="627">
        <v>0</v>
      </c>
      <c r="BO71" s="627">
        <v>0</v>
      </c>
      <c r="BP71" s="627">
        <v>0</v>
      </c>
      <c r="BQ71" s="627">
        <v>0</v>
      </c>
      <c r="BR71" s="627">
        <v>717</v>
      </c>
      <c r="BS71" s="627">
        <v>0</v>
      </c>
      <c r="BT71" s="627">
        <v>0</v>
      </c>
      <c r="BU71" s="627">
        <v>0</v>
      </c>
      <c r="BV71" s="627">
        <v>0</v>
      </c>
      <c r="BW71" s="627">
        <v>0</v>
      </c>
      <c r="BX71" s="627">
        <v>0</v>
      </c>
      <c r="BY71" s="627">
        <v>0</v>
      </c>
      <c r="BZ71" s="627">
        <v>0</v>
      </c>
      <c r="CA71" s="627">
        <v>0</v>
      </c>
      <c r="CB71" s="627">
        <v>200.077</v>
      </c>
      <c r="CC71" s="627">
        <v>200077</v>
      </c>
      <c r="CD71" s="627">
        <v>0</v>
      </c>
      <c r="CE71" s="627">
        <v>0</v>
      </c>
      <c r="CF71" s="627">
        <v>0</v>
      </c>
      <c r="CG71" s="627">
        <v>0</v>
      </c>
      <c r="CH71" s="627">
        <v>0</v>
      </c>
      <c r="CI71" s="627">
        <v>56102</v>
      </c>
      <c r="CJ71" s="627">
        <v>0</v>
      </c>
      <c r="CK71" s="627">
        <v>4</v>
      </c>
      <c r="CL71" s="627">
        <v>0</v>
      </c>
      <c r="CM71" s="627">
        <v>0</v>
      </c>
      <c r="CN71" s="627">
        <v>0</v>
      </c>
      <c r="CO71" s="627">
        <v>0</v>
      </c>
      <c r="CP71" s="627">
        <v>1</v>
      </c>
      <c r="CQ71" s="627">
        <v>0</v>
      </c>
      <c r="CR71" s="627">
        <v>0.83300000000000007</v>
      </c>
      <c r="CS71" s="627">
        <v>335.43</v>
      </c>
      <c r="CT71" s="627">
        <v>0</v>
      </c>
      <c r="CU71" s="627">
        <v>0</v>
      </c>
      <c r="CV71" s="627">
        <v>0</v>
      </c>
      <c r="CW71" s="627">
        <v>0</v>
      </c>
      <c r="CX71" s="627">
        <v>0</v>
      </c>
      <c r="CY71" s="627">
        <v>0</v>
      </c>
      <c r="CZ71" s="627">
        <v>0</v>
      </c>
      <c r="DA71" s="627">
        <v>0</v>
      </c>
      <c r="DB71" s="627">
        <v>0</v>
      </c>
      <c r="DC71" s="627">
        <v>2046017</v>
      </c>
      <c r="DD71" s="627">
        <v>0</v>
      </c>
      <c r="DE71" s="627">
        <v>0</v>
      </c>
      <c r="DF71" s="627">
        <v>499807</v>
      </c>
      <c r="DG71" s="627">
        <v>499807</v>
      </c>
      <c r="DH71" s="627">
        <v>81.138000000000005</v>
      </c>
      <c r="DI71" s="627">
        <v>0</v>
      </c>
      <c r="DJ71" s="627">
        <v>0</v>
      </c>
      <c r="DK71" s="627">
        <v>0</v>
      </c>
      <c r="DL71" s="627">
        <v>3098</v>
      </c>
      <c r="DM71" s="627">
        <v>0</v>
      </c>
      <c r="DN71" s="627">
        <v>259098</v>
      </c>
      <c r="DO71" s="627">
        <v>664</v>
      </c>
      <c r="DP71" s="627">
        <v>0</v>
      </c>
      <c r="DQ71" s="627">
        <v>0</v>
      </c>
      <c r="DR71" s="627">
        <v>0</v>
      </c>
      <c r="DS71" s="627">
        <v>0</v>
      </c>
      <c r="DT71" s="627">
        <v>0</v>
      </c>
      <c r="DU71" s="627">
        <v>0</v>
      </c>
      <c r="DV71" s="627">
        <v>0</v>
      </c>
      <c r="DW71" s="627">
        <v>0</v>
      </c>
      <c r="DX71" s="627">
        <v>0</v>
      </c>
      <c r="DY71" s="627">
        <v>0</v>
      </c>
      <c r="DZ71" s="627">
        <v>0</v>
      </c>
      <c r="EA71" s="627">
        <v>0</v>
      </c>
      <c r="EB71" s="627">
        <v>0</v>
      </c>
      <c r="EC71" s="627">
        <v>0</v>
      </c>
      <c r="ED71" s="627">
        <v>5.6920000000000002</v>
      </c>
      <c r="EE71" s="627">
        <v>40322</v>
      </c>
      <c r="EF71" s="627">
        <v>0</v>
      </c>
      <c r="EG71" s="627">
        <v>0</v>
      </c>
      <c r="EH71" s="627">
        <v>0</v>
      </c>
      <c r="EI71" s="627">
        <v>155220</v>
      </c>
      <c r="EJ71" s="627">
        <v>0</v>
      </c>
      <c r="EK71" s="627">
        <v>0</v>
      </c>
      <c r="EL71" s="627">
        <v>7.5130000000000008</v>
      </c>
      <c r="EM71" s="627">
        <v>0</v>
      </c>
      <c r="EN71" s="627">
        <v>0.44800000000000001</v>
      </c>
      <c r="EO71" s="627">
        <v>0.26300000000000001</v>
      </c>
      <c r="EP71" s="627">
        <v>0</v>
      </c>
      <c r="EQ71" s="627">
        <v>0</v>
      </c>
      <c r="ER71" s="627">
        <v>8.2240000000000002</v>
      </c>
      <c r="ES71" s="627">
        <v>0</v>
      </c>
      <c r="ET71" s="627">
        <v>25.198</v>
      </c>
      <c r="EU71" s="627">
        <v>0</v>
      </c>
      <c r="EV71" s="627">
        <v>0</v>
      </c>
      <c r="EW71" s="627">
        <v>0</v>
      </c>
      <c r="EX71" s="627">
        <v>0</v>
      </c>
      <c r="EY71" s="627">
        <v>0</v>
      </c>
      <c r="EZ71" s="627">
        <v>0</v>
      </c>
      <c r="FA71" s="627">
        <v>3421824</v>
      </c>
      <c r="FB71" s="627">
        <v>0</v>
      </c>
      <c r="FC71" s="627">
        <v>3560799</v>
      </c>
      <c r="FD71" s="627">
        <v>0</v>
      </c>
      <c r="FE71" s="627">
        <v>0</v>
      </c>
      <c r="FF71" s="627">
        <v>476591</v>
      </c>
      <c r="FG71" s="627">
        <v>82540</v>
      </c>
      <c r="FH71" s="627">
        <v>7.0280999999999996E-2</v>
      </c>
      <c r="FI71" s="627">
        <v>3.1172999999999999E-2</v>
      </c>
      <c r="FJ71" s="627">
        <v>0</v>
      </c>
      <c r="FK71" s="627">
        <v>0</v>
      </c>
      <c r="FL71" s="627">
        <v>537.29700000000003</v>
      </c>
      <c r="FM71" s="627">
        <v>4176032</v>
      </c>
      <c r="FN71" s="627">
        <v>0</v>
      </c>
      <c r="FO71" s="627">
        <v>0</v>
      </c>
      <c r="FP71" s="627">
        <v>50490</v>
      </c>
      <c r="FQ71" s="627">
        <v>0</v>
      </c>
      <c r="FR71" s="627">
        <v>50490</v>
      </c>
      <c r="FS71" s="627">
        <v>50490</v>
      </c>
      <c r="FT71" s="627">
        <v>0</v>
      </c>
      <c r="FU71" s="627">
        <v>0</v>
      </c>
      <c r="FV71" s="627">
        <v>0</v>
      </c>
      <c r="FW71" s="627">
        <v>0</v>
      </c>
      <c r="FX71" s="627">
        <v>0</v>
      </c>
      <c r="FY71" s="627">
        <v>0</v>
      </c>
      <c r="FZ71" s="627">
        <v>0</v>
      </c>
      <c r="GA71" s="627">
        <v>0</v>
      </c>
      <c r="GB71" s="627">
        <v>0</v>
      </c>
      <c r="GC71" s="627">
        <v>0</v>
      </c>
      <c r="GD71" s="627">
        <v>0</v>
      </c>
      <c r="GE71" s="627">
        <v>0</v>
      </c>
      <c r="GF71" s="627">
        <v>0</v>
      </c>
      <c r="GG71" s="627">
        <v>0</v>
      </c>
      <c r="GH71" s="627">
        <v>0</v>
      </c>
      <c r="GI71" s="627">
        <v>0</v>
      </c>
      <c r="GJ71" s="627">
        <v>0</v>
      </c>
      <c r="GK71" s="627">
        <v>0</v>
      </c>
      <c r="GL71" s="627">
        <v>0</v>
      </c>
      <c r="GM71" s="627">
        <v>0</v>
      </c>
      <c r="GN71" s="627">
        <v>0</v>
      </c>
      <c r="GO71" s="627">
        <v>0</v>
      </c>
      <c r="GP71" s="627">
        <v>0</v>
      </c>
      <c r="GQ71" s="627">
        <v>0</v>
      </c>
      <c r="GR71" s="627">
        <v>3980291</v>
      </c>
      <c r="GS71" s="627">
        <v>0</v>
      </c>
      <c r="GT71" s="627">
        <v>0</v>
      </c>
      <c r="GU71" s="627">
        <v>0</v>
      </c>
      <c r="GV71" s="627">
        <v>0</v>
      </c>
      <c r="GW71" s="627">
        <v>0</v>
      </c>
      <c r="GX71" s="627">
        <v>0</v>
      </c>
      <c r="GY71" s="627">
        <v>0</v>
      </c>
      <c r="GZ71" s="627">
        <v>0</v>
      </c>
      <c r="HA71" s="627">
        <v>0</v>
      </c>
      <c r="HB71" s="627">
        <v>0</v>
      </c>
      <c r="HC71" s="627">
        <v>361151439</v>
      </c>
      <c r="HD71" s="627">
        <v>3.9981999999999997E-2</v>
      </c>
      <c r="HE71" s="627">
        <v>56102</v>
      </c>
      <c r="HF71" s="627">
        <v>0</v>
      </c>
      <c r="HG71" s="627">
        <v>377513</v>
      </c>
      <c r="HH71" s="627">
        <v>616</v>
      </c>
      <c r="HI71" s="627">
        <v>61527</v>
      </c>
      <c r="HJ71" s="627">
        <v>0</v>
      </c>
      <c r="HK71" s="627">
        <v>33508</v>
      </c>
      <c r="HL71" s="627">
        <v>833</v>
      </c>
      <c r="HM71" s="627">
        <v>313</v>
      </c>
      <c r="HN71" s="627">
        <v>31000</v>
      </c>
      <c r="HO71" s="627">
        <v>0</v>
      </c>
      <c r="HP71" s="627">
        <v>0</v>
      </c>
      <c r="HQ71" s="627">
        <v>0</v>
      </c>
      <c r="HR71" s="627">
        <v>0</v>
      </c>
      <c r="HS71" s="627">
        <v>0</v>
      </c>
      <c r="HT71" s="627">
        <v>3421160</v>
      </c>
      <c r="HU71" s="627">
        <v>82540</v>
      </c>
      <c r="HV71" s="627">
        <v>0</v>
      </c>
      <c r="HW71" s="627">
        <v>0</v>
      </c>
      <c r="HX71" s="627">
        <v>0</v>
      </c>
      <c r="HY71" s="627">
        <v>64</v>
      </c>
      <c r="HZ71" s="627">
        <v>102</v>
      </c>
      <c r="IA71" s="627">
        <v>50</v>
      </c>
      <c r="IB71" s="627">
        <v>63</v>
      </c>
      <c r="IC71" s="627">
        <v>49</v>
      </c>
      <c r="ID71" s="627">
        <v>328</v>
      </c>
      <c r="IE71" s="627">
        <v>0</v>
      </c>
      <c r="IF71" s="627">
        <v>0</v>
      </c>
      <c r="IG71" s="627">
        <v>0</v>
      </c>
      <c r="IH71" s="627">
        <v>1</v>
      </c>
      <c r="II71" s="627">
        <v>99.881</v>
      </c>
      <c r="IJ71" s="627">
        <v>0</v>
      </c>
      <c r="IK71" s="627">
        <v>0</v>
      </c>
      <c r="IL71" s="627">
        <v>0</v>
      </c>
      <c r="IM71" s="627">
        <v>5</v>
      </c>
      <c r="IN71" s="627">
        <v>2</v>
      </c>
      <c r="IO71" s="627">
        <v>0</v>
      </c>
      <c r="IP71" s="627">
        <v>7</v>
      </c>
      <c r="IQ71" s="627">
        <v>0</v>
      </c>
      <c r="IR71" s="627">
        <v>0</v>
      </c>
      <c r="IS71" s="627">
        <v>0</v>
      </c>
      <c r="IT71" s="627">
        <v>0</v>
      </c>
      <c r="IU71" s="627">
        <v>25000</v>
      </c>
      <c r="IV71" s="627">
        <v>6000</v>
      </c>
      <c r="IW71" s="627">
        <v>0</v>
      </c>
      <c r="IX71" s="627">
        <v>6160</v>
      </c>
      <c r="IY71" s="627">
        <v>0</v>
      </c>
      <c r="IZ71" s="627">
        <v>0</v>
      </c>
      <c r="JA71" s="627">
        <v>0</v>
      </c>
      <c r="JB71" s="627">
        <v>0</v>
      </c>
      <c r="JC71" s="627">
        <v>0</v>
      </c>
      <c r="JD71" s="627">
        <v>0</v>
      </c>
      <c r="JE71" s="627">
        <v>0</v>
      </c>
      <c r="JF71" s="627">
        <v>0</v>
      </c>
      <c r="JG71" s="627">
        <v>0</v>
      </c>
      <c r="JH71" s="627">
        <v>0</v>
      </c>
      <c r="JI71" s="627">
        <v>0</v>
      </c>
      <c r="JJ71" s="627">
        <v>0</v>
      </c>
      <c r="JK71" s="627">
        <v>0</v>
      </c>
      <c r="JL71" s="627">
        <v>0</v>
      </c>
      <c r="JM71" s="627">
        <v>0</v>
      </c>
      <c r="JN71" s="627">
        <v>0</v>
      </c>
      <c r="JO71" s="627">
        <v>32469</v>
      </c>
      <c r="JP71" s="627">
        <v>0</v>
      </c>
      <c r="JQ71" s="627">
        <v>0</v>
      </c>
      <c r="JR71" s="627">
        <v>0</v>
      </c>
      <c r="JS71" s="627">
        <v>0</v>
      </c>
      <c r="JT71" s="627">
        <v>0</v>
      </c>
      <c r="JU71" s="627">
        <v>0</v>
      </c>
      <c r="JV71" s="627">
        <v>0</v>
      </c>
      <c r="JW71" s="627">
        <v>0</v>
      </c>
      <c r="JX71" s="627">
        <v>0</v>
      </c>
      <c r="JY71" s="627">
        <v>0</v>
      </c>
      <c r="JZ71" s="627">
        <v>0</v>
      </c>
      <c r="KA71" s="627">
        <v>0</v>
      </c>
      <c r="KB71" s="627">
        <v>0</v>
      </c>
      <c r="KC71" s="627">
        <v>0</v>
      </c>
      <c r="KD71" s="627">
        <v>0</v>
      </c>
      <c r="KE71" s="627">
        <v>0</v>
      </c>
      <c r="KF71" s="627">
        <v>7262</v>
      </c>
      <c r="KG71" s="627">
        <v>0</v>
      </c>
      <c r="KH71" s="627">
        <v>0</v>
      </c>
      <c r="KI71" s="627">
        <v>3980291</v>
      </c>
      <c r="KJ71" s="627">
        <v>0</v>
      </c>
      <c r="KK71" s="627">
        <v>1</v>
      </c>
      <c r="KL71" s="627">
        <v>0</v>
      </c>
      <c r="KM71" s="627">
        <v>616</v>
      </c>
      <c r="KN71" s="627">
        <v>0</v>
      </c>
      <c r="KO71" s="627">
        <v>0</v>
      </c>
      <c r="KP71" s="627">
        <v>0</v>
      </c>
      <c r="KQ71" s="627">
        <v>3980291</v>
      </c>
      <c r="KR71" s="627">
        <v>0</v>
      </c>
      <c r="KS71" s="627">
        <v>0</v>
      </c>
      <c r="KT71" s="627">
        <v>0</v>
      </c>
      <c r="KU71" s="627">
        <v>0</v>
      </c>
      <c r="KV71" s="627">
        <v>0</v>
      </c>
      <c r="KW71" s="627">
        <v>0</v>
      </c>
      <c r="KX71" s="627">
        <v>0</v>
      </c>
      <c r="KY71" s="627">
        <v>0</v>
      </c>
      <c r="KZ71" s="627">
        <v>0</v>
      </c>
      <c r="LA71" s="627">
        <v>0</v>
      </c>
      <c r="LB71" s="627">
        <v>0</v>
      </c>
      <c r="LC71" s="627">
        <v>0</v>
      </c>
      <c r="LD71" s="627">
        <v>0</v>
      </c>
      <c r="LE71" s="627">
        <v>0</v>
      </c>
      <c r="LF71" s="627">
        <v>0</v>
      </c>
    </row>
    <row r="72" spans="1:318" x14ac:dyDescent="0.25">
      <c r="A72" s="627">
        <v>42602</v>
      </c>
      <c r="B72" s="627">
        <v>15806</v>
      </c>
      <c r="D72" s="627">
        <v>9</v>
      </c>
      <c r="E72" s="627">
        <v>2024</v>
      </c>
      <c r="F72" s="627">
        <v>6160</v>
      </c>
      <c r="G72" s="627">
        <v>0</v>
      </c>
      <c r="H72" s="627">
        <v>1468.075</v>
      </c>
      <c r="I72" s="627">
        <v>1411.809</v>
      </c>
      <c r="J72" s="627">
        <v>1411.809</v>
      </c>
      <c r="K72" s="627">
        <v>1468.075</v>
      </c>
      <c r="L72" s="627">
        <v>0</v>
      </c>
      <c r="M72" s="627">
        <v>6160</v>
      </c>
      <c r="N72" s="627">
        <v>0</v>
      </c>
      <c r="O72" s="627">
        <v>0</v>
      </c>
      <c r="P72" s="627">
        <v>0</v>
      </c>
      <c r="Q72" s="627">
        <v>813.65300000000002</v>
      </c>
      <c r="R72" s="627">
        <v>0</v>
      </c>
      <c r="S72" s="627">
        <v>337572</v>
      </c>
      <c r="T72" s="627">
        <v>414.88400000000001</v>
      </c>
      <c r="U72" s="627">
        <v>0</v>
      </c>
      <c r="V72" s="627">
        <v>175186</v>
      </c>
      <c r="W72" s="627">
        <v>126.045</v>
      </c>
      <c r="X72" s="627">
        <v>77644</v>
      </c>
      <c r="Y72" s="627">
        <v>77644</v>
      </c>
      <c r="Z72" s="627">
        <v>0</v>
      </c>
      <c r="AA72" s="627">
        <v>0</v>
      </c>
      <c r="AB72" s="627">
        <v>0</v>
      </c>
      <c r="AC72" s="627">
        <v>0</v>
      </c>
      <c r="AD72" s="627">
        <v>0</v>
      </c>
      <c r="AE72" s="627" t="s">
        <v>314</v>
      </c>
      <c r="AF72" s="627">
        <v>0</v>
      </c>
      <c r="AG72" s="627">
        <v>0</v>
      </c>
      <c r="AH72" s="627">
        <v>0</v>
      </c>
      <c r="AI72" s="627">
        <v>0</v>
      </c>
      <c r="AJ72" s="627">
        <v>0</v>
      </c>
      <c r="AK72" s="627">
        <v>6160</v>
      </c>
      <c r="AL72" s="627" t="s">
        <v>651</v>
      </c>
      <c r="AM72" s="627" t="s">
        <v>698</v>
      </c>
      <c r="AN72" s="627">
        <v>0</v>
      </c>
      <c r="AO72" s="627">
        <v>0</v>
      </c>
      <c r="AP72" s="627">
        <v>0</v>
      </c>
      <c r="AQ72" s="627">
        <v>0</v>
      </c>
      <c r="AR72" s="627">
        <v>0</v>
      </c>
      <c r="AS72" s="627">
        <v>0</v>
      </c>
      <c r="AT72" s="627">
        <v>0</v>
      </c>
      <c r="AU72" s="627">
        <v>0</v>
      </c>
      <c r="AV72" s="627">
        <v>0</v>
      </c>
      <c r="AW72" s="627">
        <v>0</v>
      </c>
      <c r="AX72" s="627">
        <v>17057649</v>
      </c>
      <c r="AY72" s="627">
        <v>16072086</v>
      </c>
      <c r="AZ72" s="627">
        <v>11516510</v>
      </c>
      <c r="BA72" s="627">
        <v>337572</v>
      </c>
      <c r="BB72" s="627">
        <v>46.5</v>
      </c>
      <c r="BC72" s="627">
        <v>10651</v>
      </c>
      <c r="BD72" s="627">
        <v>10584</v>
      </c>
      <c r="BE72" s="627">
        <v>25</v>
      </c>
      <c r="BF72" s="627">
        <v>68</v>
      </c>
      <c r="BG72" s="627">
        <v>13292173</v>
      </c>
      <c r="BH72" s="627">
        <v>0</v>
      </c>
      <c r="BI72" s="627">
        <v>0</v>
      </c>
      <c r="BJ72" s="627">
        <v>0</v>
      </c>
      <c r="BK72" s="627">
        <v>12</v>
      </c>
      <c r="BL72" s="627">
        <v>0</v>
      </c>
      <c r="BM72" s="627">
        <v>0</v>
      </c>
      <c r="BN72" s="627">
        <v>0</v>
      </c>
      <c r="BO72" s="627">
        <v>0</v>
      </c>
      <c r="BP72" s="627">
        <v>0</v>
      </c>
      <c r="BQ72" s="627">
        <v>0</v>
      </c>
      <c r="BR72" s="627">
        <v>553</v>
      </c>
      <c r="BS72" s="627">
        <v>0</v>
      </c>
      <c r="BT72" s="627">
        <v>0</v>
      </c>
      <c r="BU72" s="627">
        <v>0</v>
      </c>
      <c r="BV72" s="627">
        <v>0</v>
      </c>
      <c r="BW72" s="627">
        <v>0</v>
      </c>
      <c r="BX72" s="627">
        <v>0</v>
      </c>
      <c r="BY72" s="627">
        <v>0</v>
      </c>
      <c r="BZ72" s="627">
        <v>0</v>
      </c>
      <c r="CA72" s="627">
        <v>0</v>
      </c>
      <c r="CB72" s="627">
        <v>821.76400000000001</v>
      </c>
      <c r="CC72" s="627">
        <v>821764</v>
      </c>
      <c r="CD72" s="627">
        <v>0</v>
      </c>
      <c r="CE72" s="627">
        <v>0</v>
      </c>
      <c r="CF72" s="627">
        <v>0</v>
      </c>
      <c r="CG72" s="627">
        <v>0</v>
      </c>
      <c r="CH72" s="627">
        <v>0</v>
      </c>
      <c r="CI72" s="627">
        <v>989237</v>
      </c>
      <c r="CJ72" s="627">
        <v>0</v>
      </c>
      <c r="CK72" s="627">
        <v>5</v>
      </c>
      <c r="CL72" s="627">
        <v>0</v>
      </c>
      <c r="CM72" s="627">
        <v>0</v>
      </c>
      <c r="CN72" s="627">
        <v>0</v>
      </c>
      <c r="CO72" s="627">
        <v>0</v>
      </c>
      <c r="CP72" s="627">
        <v>1</v>
      </c>
      <c r="CQ72" s="627">
        <v>0</v>
      </c>
      <c r="CR72" s="627">
        <v>0.58300000000000007</v>
      </c>
      <c r="CS72" s="627">
        <v>809.57</v>
      </c>
      <c r="CT72" s="627">
        <v>0</v>
      </c>
      <c r="CU72" s="627">
        <v>0</v>
      </c>
      <c r="CV72" s="627">
        <v>0</v>
      </c>
      <c r="CW72" s="627">
        <v>0</v>
      </c>
      <c r="CX72" s="627">
        <v>0</v>
      </c>
      <c r="CY72" s="627">
        <v>0</v>
      </c>
      <c r="CZ72" s="627">
        <v>0</v>
      </c>
      <c r="DA72" s="627">
        <v>0</v>
      </c>
      <c r="DB72" s="627">
        <v>0</v>
      </c>
      <c r="DC72" s="627">
        <v>8696743</v>
      </c>
      <c r="DD72" s="627">
        <v>0</v>
      </c>
      <c r="DE72" s="627">
        <v>0</v>
      </c>
      <c r="DF72" s="627">
        <v>1343034</v>
      </c>
      <c r="DG72" s="627">
        <v>1343034</v>
      </c>
      <c r="DH72" s="627">
        <v>218.02500000000001</v>
      </c>
      <c r="DI72" s="627">
        <v>0</v>
      </c>
      <c r="DJ72" s="627">
        <v>0</v>
      </c>
      <c r="DK72" s="627">
        <v>0</v>
      </c>
      <c r="DL72" s="627">
        <v>464</v>
      </c>
      <c r="DM72" s="627">
        <v>0</v>
      </c>
      <c r="DN72" s="627">
        <v>1058104</v>
      </c>
      <c r="DO72" s="627">
        <v>3606</v>
      </c>
      <c r="DP72" s="627">
        <v>0</v>
      </c>
      <c r="DQ72" s="627">
        <v>0</v>
      </c>
      <c r="DR72" s="627">
        <v>0</v>
      </c>
      <c r="DS72" s="627">
        <v>0</v>
      </c>
      <c r="DT72" s="627">
        <v>0</v>
      </c>
      <c r="DU72" s="627">
        <v>0</v>
      </c>
      <c r="DV72" s="627">
        <v>0</v>
      </c>
      <c r="DW72" s="627">
        <v>0</v>
      </c>
      <c r="DX72" s="627">
        <v>0</v>
      </c>
      <c r="DY72" s="627">
        <v>0</v>
      </c>
      <c r="DZ72" s="627">
        <v>0</v>
      </c>
      <c r="EA72" s="627">
        <v>0</v>
      </c>
      <c r="EB72" s="627">
        <v>0</v>
      </c>
      <c r="EC72" s="627">
        <v>0</v>
      </c>
      <c r="ED72" s="627">
        <v>36.463000000000001</v>
      </c>
      <c r="EE72" s="627">
        <v>258304</v>
      </c>
      <c r="EF72" s="627">
        <v>0</v>
      </c>
      <c r="EG72" s="627">
        <v>0</v>
      </c>
      <c r="EH72" s="627">
        <v>0</v>
      </c>
      <c r="EI72" s="627">
        <v>803406</v>
      </c>
      <c r="EJ72" s="627">
        <v>0</v>
      </c>
      <c r="EK72" s="627">
        <v>0</v>
      </c>
      <c r="EL72" s="627">
        <v>36.623000000000005</v>
      </c>
      <c r="EM72" s="627">
        <v>0</v>
      </c>
      <c r="EN72" s="627">
        <v>2.4980000000000002</v>
      </c>
      <c r="EO72" s="627">
        <v>2.6120000000000001</v>
      </c>
      <c r="EP72" s="627">
        <v>0</v>
      </c>
      <c r="EQ72" s="627">
        <v>0</v>
      </c>
      <c r="ER72" s="627">
        <v>41.733000000000004</v>
      </c>
      <c r="ES72" s="627">
        <v>0</v>
      </c>
      <c r="ET72" s="627">
        <v>130.423</v>
      </c>
      <c r="EU72" s="627">
        <v>0</v>
      </c>
      <c r="EV72" s="627">
        <v>0</v>
      </c>
      <c r="EW72" s="627">
        <v>0</v>
      </c>
      <c r="EX72" s="627">
        <v>0</v>
      </c>
      <c r="EY72" s="627">
        <v>0</v>
      </c>
      <c r="EZ72" s="627">
        <v>0</v>
      </c>
      <c r="FA72" s="627">
        <v>13826579</v>
      </c>
      <c r="FB72" s="627">
        <v>0</v>
      </c>
      <c r="FC72" s="627">
        <v>14160477</v>
      </c>
      <c r="FD72" s="627">
        <v>0</v>
      </c>
      <c r="FE72" s="627">
        <v>0</v>
      </c>
      <c r="FF72" s="627">
        <v>1914022</v>
      </c>
      <c r="FG72" s="627">
        <v>331485</v>
      </c>
      <c r="FH72" s="627">
        <v>7.0280999999999996E-2</v>
      </c>
      <c r="FI72" s="627">
        <v>3.1172999999999999E-2</v>
      </c>
      <c r="FJ72" s="627">
        <v>0</v>
      </c>
      <c r="FK72" s="627">
        <v>0</v>
      </c>
      <c r="FL72" s="627">
        <v>2157.8200000000002</v>
      </c>
      <c r="FM72" s="627">
        <v>17395221</v>
      </c>
      <c r="FN72" s="627">
        <v>0</v>
      </c>
      <c r="FO72" s="627">
        <v>0</v>
      </c>
      <c r="FP72" s="627">
        <v>48645</v>
      </c>
      <c r="FQ72" s="627">
        <v>0</v>
      </c>
      <c r="FR72" s="627">
        <v>48645</v>
      </c>
      <c r="FS72" s="627">
        <v>48645</v>
      </c>
      <c r="FT72" s="627">
        <v>0</v>
      </c>
      <c r="FU72" s="627">
        <v>0</v>
      </c>
      <c r="FV72" s="627">
        <v>0</v>
      </c>
      <c r="FW72" s="627">
        <v>0</v>
      </c>
      <c r="FX72" s="627">
        <v>0</v>
      </c>
      <c r="FY72" s="627">
        <v>0</v>
      </c>
      <c r="FZ72" s="627">
        <v>0</v>
      </c>
      <c r="GA72" s="627">
        <v>0</v>
      </c>
      <c r="GB72" s="627">
        <v>0</v>
      </c>
      <c r="GC72" s="627">
        <v>127566</v>
      </c>
      <c r="GD72" s="627">
        <v>127566</v>
      </c>
      <c r="GE72" s="627">
        <v>14.533000000000001</v>
      </c>
      <c r="GF72" s="627">
        <v>0</v>
      </c>
      <c r="GG72" s="627">
        <v>0</v>
      </c>
      <c r="GH72" s="627">
        <v>0</v>
      </c>
      <c r="GI72" s="627">
        <v>0</v>
      </c>
      <c r="GJ72" s="627">
        <v>0</v>
      </c>
      <c r="GK72" s="627">
        <v>0</v>
      </c>
      <c r="GL72" s="627">
        <v>0</v>
      </c>
      <c r="GM72" s="627">
        <v>0</v>
      </c>
      <c r="GN72" s="627">
        <v>0</v>
      </c>
      <c r="GO72" s="627">
        <v>0</v>
      </c>
      <c r="GP72" s="627">
        <v>0</v>
      </c>
      <c r="GQ72" s="627">
        <v>0</v>
      </c>
      <c r="GR72" s="627">
        <v>16068412</v>
      </c>
      <c r="GS72" s="627">
        <v>0</v>
      </c>
      <c r="GT72" s="627">
        <v>0</v>
      </c>
      <c r="GU72" s="627">
        <v>0</v>
      </c>
      <c r="GV72" s="627">
        <v>0</v>
      </c>
      <c r="GW72" s="627">
        <v>0</v>
      </c>
      <c r="GX72" s="627">
        <v>0</v>
      </c>
      <c r="GY72" s="627">
        <v>0</v>
      </c>
      <c r="GZ72" s="627">
        <v>0</v>
      </c>
      <c r="HA72" s="627">
        <v>0</v>
      </c>
      <c r="HB72" s="627">
        <v>0</v>
      </c>
      <c r="HC72" s="627">
        <v>361151439</v>
      </c>
      <c r="HD72" s="627">
        <v>3.9981999999999997E-2</v>
      </c>
      <c r="HE72" s="627">
        <v>234787</v>
      </c>
      <c r="HF72" s="627">
        <v>0</v>
      </c>
      <c r="HG72" s="627">
        <v>1555814</v>
      </c>
      <c r="HH72" s="627">
        <v>95480</v>
      </c>
      <c r="HI72" s="627">
        <v>243850</v>
      </c>
      <c r="HJ72" s="627">
        <v>0</v>
      </c>
      <c r="HK72" s="627">
        <v>74681</v>
      </c>
      <c r="HL72" s="627">
        <v>833</v>
      </c>
      <c r="HM72" s="627">
        <v>736</v>
      </c>
      <c r="HN72" s="627">
        <v>5000</v>
      </c>
      <c r="HO72" s="627">
        <v>0</v>
      </c>
      <c r="HP72" s="627">
        <v>0</v>
      </c>
      <c r="HQ72" s="627">
        <v>0</v>
      </c>
      <c r="HR72" s="627">
        <v>0</v>
      </c>
      <c r="HS72" s="627">
        <v>0</v>
      </c>
      <c r="HT72" s="627">
        <v>13822905</v>
      </c>
      <c r="HU72" s="627">
        <v>331485</v>
      </c>
      <c r="HV72" s="627">
        <v>754450</v>
      </c>
      <c r="HW72" s="627">
        <v>0</v>
      </c>
      <c r="HX72" s="627">
        <v>0</v>
      </c>
      <c r="HY72" s="627">
        <v>408</v>
      </c>
      <c r="HZ72" s="627">
        <v>173</v>
      </c>
      <c r="IA72" s="627">
        <v>95</v>
      </c>
      <c r="IB72" s="627">
        <v>105</v>
      </c>
      <c r="IC72" s="627">
        <v>123</v>
      </c>
      <c r="ID72" s="627">
        <v>904</v>
      </c>
      <c r="IE72" s="627">
        <v>0</v>
      </c>
      <c r="IF72" s="627">
        <v>0</v>
      </c>
      <c r="IG72" s="627">
        <v>0</v>
      </c>
      <c r="IH72" s="627">
        <v>155</v>
      </c>
      <c r="II72" s="627">
        <v>395.86</v>
      </c>
      <c r="IJ72" s="627">
        <v>0</v>
      </c>
      <c r="IK72" s="627">
        <v>126.045</v>
      </c>
      <c r="IL72" s="627">
        <v>0</v>
      </c>
      <c r="IM72" s="627">
        <v>1</v>
      </c>
      <c r="IN72" s="627">
        <v>0</v>
      </c>
      <c r="IO72" s="627">
        <v>0</v>
      </c>
      <c r="IP72" s="627">
        <v>1</v>
      </c>
      <c r="IQ72" s="627">
        <v>0</v>
      </c>
      <c r="IR72" s="627">
        <v>126.045</v>
      </c>
      <c r="IS72" s="627">
        <v>77644</v>
      </c>
      <c r="IT72" s="627">
        <v>0</v>
      </c>
      <c r="IU72" s="627">
        <v>5000</v>
      </c>
      <c r="IV72" s="627">
        <v>0</v>
      </c>
      <c r="IW72" s="627">
        <v>0</v>
      </c>
      <c r="IX72" s="627">
        <v>6160</v>
      </c>
      <c r="IY72" s="627">
        <v>0</v>
      </c>
      <c r="IZ72" s="627">
        <v>0</v>
      </c>
      <c r="JA72" s="627">
        <v>0</v>
      </c>
      <c r="JB72" s="627">
        <v>0</v>
      </c>
      <c r="JC72" s="627">
        <v>0</v>
      </c>
      <c r="JD72" s="627">
        <v>0</v>
      </c>
      <c r="JE72" s="627">
        <v>0</v>
      </c>
      <c r="JF72" s="627">
        <v>0</v>
      </c>
      <c r="JG72" s="627">
        <v>0</v>
      </c>
      <c r="JH72" s="627">
        <v>0</v>
      </c>
      <c r="JI72" s="627">
        <v>0</v>
      </c>
      <c r="JJ72" s="627">
        <v>0</v>
      </c>
      <c r="JK72" s="627">
        <v>0</v>
      </c>
      <c r="JL72" s="627">
        <v>0</v>
      </c>
      <c r="JM72" s="627">
        <v>0</v>
      </c>
      <c r="JN72" s="627">
        <v>0</v>
      </c>
      <c r="JO72" s="627">
        <v>32469</v>
      </c>
      <c r="JP72" s="627">
        <v>7.9930000000000003</v>
      </c>
      <c r="JQ72" s="627">
        <v>4.42</v>
      </c>
      <c r="JR72" s="627">
        <v>2.12</v>
      </c>
      <c r="JS72" s="627">
        <v>63850</v>
      </c>
      <c r="JT72" s="627">
        <v>41085</v>
      </c>
      <c r="JU72" s="627">
        <v>22631</v>
      </c>
      <c r="JV72" s="627">
        <v>10780</v>
      </c>
      <c r="JW72" s="627">
        <v>754450</v>
      </c>
      <c r="JX72" s="627">
        <v>0</v>
      </c>
      <c r="JY72" s="627">
        <v>0</v>
      </c>
      <c r="JZ72" s="627">
        <v>0</v>
      </c>
      <c r="KA72" s="627">
        <v>0</v>
      </c>
      <c r="KB72" s="627">
        <v>0</v>
      </c>
      <c r="KC72" s="627">
        <v>0</v>
      </c>
      <c r="KD72" s="627">
        <v>0</v>
      </c>
      <c r="KE72" s="627">
        <v>10780</v>
      </c>
      <c r="KF72" s="627">
        <v>7262</v>
      </c>
      <c r="KG72" s="627">
        <v>0</v>
      </c>
      <c r="KH72" s="627">
        <v>0</v>
      </c>
      <c r="KI72" s="627">
        <v>16068412</v>
      </c>
      <c r="KJ72" s="627">
        <v>0</v>
      </c>
      <c r="KK72" s="627">
        <v>25</v>
      </c>
      <c r="KL72" s="627">
        <v>130</v>
      </c>
      <c r="KM72" s="627">
        <v>15400</v>
      </c>
      <c r="KN72" s="627">
        <v>80080</v>
      </c>
      <c r="KO72" s="627">
        <v>0</v>
      </c>
      <c r="KP72" s="627">
        <v>0</v>
      </c>
      <c r="KQ72" s="627">
        <v>16068412</v>
      </c>
      <c r="KR72" s="627">
        <v>0</v>
      </c>
      <c r="KS72" s="627">
        <v>0</v>
      </c>
      <c r="KT72" s="627">
        <v>0</v>
      </c>
      <c r="KU72" s="627">
        <v>0</v>
      </c>
      <c r="KV72" s="627">
        <v>0</v>
      </c>
      <c r="KW72" s="627">
        <v>0</v>
      </c>
      <c r="KX72" s="627">
        <v>0</v>
      </c>
      <c r="KY72" s="627">
        <v>0</v>
      </c>
      <c r="KZ72" s="627">
        <v>0</v>
      </c>
      <c r="LA72" s="627">
        <v>0</v>
      </c>
      <c r="LB72" s="627">
        <v>0</v>
      </c>
      <c r="LC72" s="627">
        <v>0</v>
      </c>
      <c r="LD72" s="627">
        <v>0</v>
      </c>
      <c r="LE72" s="627">
        <v>0</v>
      </c>
      <c r="LF72" s="627">
        <v>0</v>
      </c>
    </row>
    <row r="73" spans="1:318" x14ac:dyDescent="0.25">
      <c r="A73" s="627">
        <v>42602</v>
      </c>
      <c r="B73" s="627">
        <v>57806</v>
      </c>
      <c r="D73" s="627">
        <v>9</v>
      </c>
      <c r="E73" s="627">
        <v>2024</v>
      </c>
      <c r="F73" s="627">
        <v>6160</v>
      </c>
      <c r="G73" s="627">
        <v>0</v>
      </c>
      <c r="H73" s="627">
        <v>862.97800000000007</v>
      </c>
      <c r="I73" s="627">
        <v>737.02100000000007</v>
      </c>
      <c r="J73" s="627">
        <v>737.02100000000007</v>
      </c>
      <c r="K73" s="627">
        <v>862.97800000000007</v>
      </c>
      <c r="L73" s="627">
        <v>0</v>
      </c>
      <c r="M73" s="627">
        <v>6160</v>
      </c>
      <c r="N73" s="627">
        <v>0</v>
      </c>
      <c r="O73" s="627">
        <v>0</v>
      </c>
      <c r="P73" s="627">
        <v>0</v>
      </c>
      <c r="Q73" s="627">
        <v>901.66500000000008</v>
      </c>
      <c r="R73" s="627">
        <v>0</v>
      </c>
      <c r="S73" s="627">
        <v>374086</v>
      </c>
      <c r="T73" s="627">
        <v>414.88400000000001</v>
      </c>
      <c r="U73" s="627">
        <v>0</v>
      </c>
      <c r="V73" s="627">
        <v>194135</v>
      </c>
      <c r="W73" s="627">
        <v>195.72500000000002</v>
      </c>
      <c r="X73" s="627">
        <v>120567</v>
      </c>
      <c r="Y73" s="627">
        <v>120567</v>
      </c>
      <c r="Z73" s="627">
        <v>0</v>
      </c>
      <c r="AA73" s="627">
        <v>0</v>
      </c>
      <c r="AB73" s="627">
        <v>0</v>
      </c>
      <c r="AC73" s="627">
        <v>0</v>
      </c>
      <c r="AD73" s="627">
        <v>0</v>
      </c>
      <c r="AE73" s="627" t="s">
        <v>314</v>
      </c>
      <c r="AF73" s="627">
        <v>0</v>
      </c>
      <c r="AG73" s="627">
        <v>0</v>
      </c>
      <c r="AH73" s="627">
        <v>0</v>
      </c>
      <c r="AI73" s="627">
        <v>0</v>
      </c>
      <c r="AJ73" s="627">
        <v>0</v>
      </c>
      <c r="AK73" s="627">
        <v>6160</v>
      </c>
      <c r="AL73" s="627" t="s">
        <v>651</v>
      </c>
      <c r="AM73" s="627" t="s">
        <v>324</v>
      </c>
      <c r="AN73" s="627">
        <v>0</v>
      </c>
      <c r="AO73" s="627">
        <v>0</v>
      </c>
      <c r="AP73" s="627">
        <v>0</v>
      </c>
      <c r="AQ73" s="627">
        <v>0</v>
      </c>
      <c r="AR73" s="627">
        <v>0</v>
      </c>
      <c r="AS73" s="627">
        <v>0</v>
      </c>
      <c r="AT73" s="627">
        <v>0</v>
      </c>
      <c r="AU73" s="627">
        <v>0</v>
      </c>
      <c r="AV73" s="627">
        <v>0</v>
      </c>
      <c r="AW73" s="627">
        <v>-6578</v>
      </c>
      <c r="AX73" s="627">
        <v>9938458</v>
      </c>
      <c r="AY73" s="627">
        <v>9803037</v>
      </c>
      <c r="AZ73" s="627">
        <v>5085351</v>
      </c>
      <c r="BA73" s="627">
        <v>374086</v>
      </c>
      <c r="BB73" s="627">
        <v>40.582999999999998</v>
      </c>
      <c r="BC73" s="627">
        <v>11503</v>
      </c>
      <c r="BD73" s="627">
        <v>11430</v>
      </c>
      <c r="BE73" s="627">
        <v>27</v>
      </c>
      <c r="BF73" s="627">
        <v>73</v>
      </c>
      <c r="BG73" s="627">
        <v>8703482</v>
      </c>
      <c r="BH73" s="627">
        <v>0</v>
      </c>
      <c r="BI73" s="627">
        <v>0</v>
      </c>
      <c r="BJ73" s="627">
        <v>0</v>
      </c>
      <c r="BK73" s="627">
        <v>12</v>
      </c>
      <c r="BL73" s="627">
        <v>0</v>
      </c>
      <c r="BM73" s="627">
        <v>0</v>
      </c>
      <c r="BN73" s="627">
        <v>0</v>
      </c>
      <c r="BO73" s="627">
        <v>0</v>
      </c>
      <c r="BP73" s="627">
        <v>0</v>
      </c>
      <c r="BQ73" s="627">
        <v>0</v>
      </c>
      <c r="BR73" s="627">
        <v>656</v>
      </c>
      <c r="BS73" s="627">
        <v>0</v>
      </c>
      <c r="BT73" s="627">
        <v>0</v>
      </c>
      <c r="BU73" s="627">
        <v>0</v>
      </c>
      <c r="BV73" s="627">
        <v>0</v>
      </c>
      <c r="BW73" s="627">
        <v>0</v>
      </c>
      <c r="BX73" s="627">
        <v>0</v>
      </c>
      <c r="BY73" s="627">
        <v>0</v>
      </c>
      <c r="BZ73" s="627">
        <v>0</v>
      </c>
      <c r="CA73" s="627">
        <v>0</v>
      </c>
      <c r="CB73" s="627">
        <v>0</v>
      </c>
      <c r="CC73" s="627">
        <v>0</v>
      </c>
      <c r="CD73" s="627">
        <v>0</v>
      </c>
      <c r="CE73" s="627">
        <v>0</v>
      </c>
      <c r="CF73" s="627">
        <v>0</v>
      </c>
      <c r="CG73" s="627">
        <v>0</v>
      </c>
      <c r="CH73" s="627">
        <v>0</v>
      </c>
      <c r="CI73" s="627">
        <v>138015</v>
      </c>
      <c r="CJ73" s="627">
        <v>0</v>
      </c>
      <c r="CK73" s="627">
        <v>4</v>
      </c>
      <c r="CL73" s="627">
        <v>0</v>
      </c>
      <c r="CM73" s="627">
        <v>0</v>
      </c>
      <c r="CN73" s="627">
        <v>0</v>
      </c>
      <c r="CO73" s="627">
        <v>0</v>
      </c>
      <c r="CP73" s="627">
        <v>1</v>
      </c>
      <c r="CQ73" s="627">
        <v>0</v>
      </c>
      <c r="CR73" s="627">
        <v>0.16700000000000001</v>
      </c>
      <c r="CS73" s="627">
        <v>900.06000000000006</v>
      </c>
      <c r="CT73" s="627">
        <v>0</v>
      </c>
      <c r="CU73" s="627">
        <v>0</v>
      </c>
      <c r="CV73" s="627">
        <v>0</v>
      </c>
      <c r="CW73" s="627">
        <v>0</v>
      </c>
      <c r="CX73" s="627">
        <v>0</v>
      </c>
      <c r="CY73" s="627">
        <v>0</v>
      </c>
      <c r="CZ73" s="627">
        <v>0</v>
      </c>
      <c r="DA73" s="627">
        <v>0</v>
      </c>
      <c r="DB73" s="627">
        <v>0</v>
      </c>
      <c r="DC73" s="627">
        <v>4540049</v>
      </c>
      <c r="DD73" s="627">
        <v>0</v>
      </c>
      <c r="DE73" s="627">
        <v>0</v>
      </c>
      <c r="DF73" s="627">
        <v>1332408</v>
      </c>
      <c r="DG73" s="627">
        <v>1332408</v>
      </c>
      <c r="DH73" s="627">
        <v>216.3</v>
      </c>
      <c r="DI73" s="627">
        <v>0</v>
      </c>
      <c r="DJ73" s="627">
        <v>0</v>
      </c>
      <c r="DK73" s="627">
        <v>0</v>
      </c>
      <c r="DL73" s="627">
        <v>2126</v>
      </c>
      <c r="DM73" s="627">
        <v>0</v>
      </c>
      <c r="DN73" s="627">
        <v>739736</v>
      </c>
      <c r="DO73" s="627">
        <v>2521</v>
      </c>
      <c r="DP73" s="627">
        <v>0</v>
      </c>
      <c r="DQ73" s="627">
        <v>0</v>
      </c>
      <c r="DR73" s="627">
        <v>0</v>
      </c>
      <c r="DS73" s="627">
        <v>0</v>
      </c>
      <c r="DT73" s="627">
        <v>0</v>
      </c>
      <c r="DU73" s="627">
        <v>0</v>
      </c>
      <c r="DV73" s="627">
        <v>0</v>
      </c>
      <c r="DW73" s="627">
        <v>0</v>
      </c>
      <c r="DX73" s="627">
        <v>0</v>
      </c>
      <c r="DY73" s="627">
        <v>0</v>
      </c>
      <c r="DZ73" s="627">
        <v>0</v>
      </c>
      <c r="EA73" s="627">
        <v>0</v>
      </c>
      <c r="EB73" s="627">
        <v>0</v>
      </c>
      <c r="EC73" s="627">
        <v>0</v>
      </c>
      <c r="ED73" s="627">
        <v>21.055</v>
      </c>
      <c r="EE73" s="627">
        <v>149154</v>
      </c>
      <c r="EF73" s="627">
        <v>0</v>
      </c>
      <c r="EG73" s="627">
        <v>0</v>
      </c>
      <c r="EH73" s="627">
        <v>0</v>
      </c>
      <c r="EI73" s="627">
        <v>593103</v>
      </c>
      <c r="EJ73" s="627">
        <v>0</v>
      </c>
      <c r="EK73" s="627">
        <v>0</v>
      </c>
      <c r="EL73" s="627">
        <v>27.379000000000001</v>
      </c>
      <c r="EM73" s="627">
        <v>0</v>
      </c>
      <c r="EN73" s="627">
        <v>2.2669999999999999</v>
      </c>
      <c r="EO73" s="627">
        <v>1.4690000000000001</v>
      </c>
      <c r="EP73" s="627">
        <v>0</v>
      </c>
      <c r="EQ73" s="627">
        <v>0</v>
      </c>
      <c r="ER73" s="627">
        <v>31.115000000000002</v>
      </c>
      <c r="ES73" s="627">
        <v>0</v>
      </c>
      <c r="ET73" s="627">
        <v>96.283000000000001</v>
      </c>
      <c r="EU73" s="627">
        <v>0</v>
      </c>
      <c r="EV73" s="627">
        <v>0</v>
      </c>
      <c r="EW73" s="627">
        <v>0</v>
      </c>
      <c r="EX73" s="627">
        <v>0</v>
      </c>
      <c r="EY73" s="627">
        <v>0</v>
      </c>
      <c r="EZ73" s="627">
        <v>0</v>
      </c>
      <c r="FA73" s="627">
        <v>8332718</v>
      </c>
      <c r="FB73" s="627">
        <v>0</v>
      </c>
      <c r="FC73" s="627">
        <v>8704210</v>
      </c>
      <c r="FD73" s="627">
        <v>0</v>
      </c>
      <c r="FE73" s="627">
        <v>0</v>
      </c>
      <c r="FF73" s="627">
        <v>1253268</v>
      </c>
      <c r="FG73" s="627">
        <v>217051</v>
      </c>
      <c r="FH73" s="627">
        <v>7.0280999999999996E-2</v>
      </c>
      <c r="FI73" s="627">
        <v>3.1172999999999999E-2</v>
      </c>
      <c r="FJ73" s="627">
        <v>0</v>
      </c>
      <c r="FK73" s="627">
        <v>0</v>
      </c>
      <c r="FL73" s="627">
        <v>1412.903</v>
      </c>
      <c r="FM73" s="627">
        <v>10312544</v>
      </c>
      <c r="FN73" s="627">
        <v>0</v>
      </c>
      <c r="FO73" s="627">
        <v>0</v>
      </c>
      <c r="FP73" s="627">
        <v>0</v>
      </c>
      <c r="FQ73" s="627">
        <v>0</v>
      </c>
      <c r="FR73" s="627">
        <v>0</v>
      </c>
      <c r="FS73" s="627">
        <v>0</v>
      </c>
      <c r="FT73" s="627">
        <v>0</v>
      </c>
      <c r="FU73" s="627">
        <v>0</v>
      </c>
      <c r="FV73" s="627">
        <v>0</v>
      </c>
      <c r="FW73" s="627">
        <v>0</v>
      </c>
      <c r="FX73" s="627">
        <v>0</v>
      </c>
      <c r="FY73" s="627">
        <v>0</v>
      </c>
      <c r="FZ73" s="627">
        <v>0</v>
      </c>
      <c r="GA73" s="627">
        <v>0</v>
      </c>
      <c r="GB73" s="627">
        <v>0</v>
      </c>
      <c r="GC73" s="627">
        <v>934409</v>
      </c>
      <c r="GD73" s="627">
        <v>934409</v>
      </c>
      <c r="GE73" s="627">
        <v>94.841999999999999</v>
      </c>
      <c r="GF73" s="627">
        <v>0</v>
      </c>
      <c r="GG73" s="627">
        <v>0</v>
      </c>
      <c r="GH73" s="627">
        <v>0</v>
      </c>
      <c r="GI73" s="627">
        <v>0</v>
      </c>
      <c r="GJ73" s="627">
        <v>0</v>
      </c>
      <c r="GK73" s="627">
        <v>0</v>
      </c>
      <c r="GL73" s="627">
        <v>0</v>
      </c>
      <c r="GM73" s="627">
        <v>0</v>
      </c>
      <c r="GN73" s="627">
        <v>0</v>
      </c>
      <c r="GO73" s="627">
        <v>0</v>
      </c>
      <c r="GP73" s="627">
        <v>0</v>
      </c>
      <c r="GQ73" s="627">
        <v>0</v>
      </c>
      <c r="GR73" s="627">
        <v>9800443</v>
      </c>
      <c r="GS73" s="627">
        <v>0</v>
      </c>
      <c r="GT73" s="627">
        <v>0</v>
      </c>
      <c r="GU73" s="627">
        <v>0</v>
      </c>
      <c r="GV73" s="627">
        <v>0</v>
      </c>
      <c r="GW73" s="627">
        <v>0</v>
      </c>
      <c r="GX73" s="627">
        <v>0</v>
      </c>
      <c r="GY73" s="627">
        <v>0</v>
      </c>
      <c r="GZ73" s="627">
        <v>0</v>
      </c>
      <c r="HA73" s="627">
        <v>0</v>
      </c>
      <c r="HB73" s="627">
        <v>0</v>
      </c>
      <c r="HC73" s="627">
        <v>361151439</v>
      </c>
      <c r="HD73" s="627">
        <v>3.9981999999999997E-2</v>
      </c>
      <c r="HE73" s="627">
        <v>138015</v>
      </c>
      <c r="HF73" s="627">
        <v>0</v>
      </c>
      <c r="HG73" s="627">
        <v>812197</v>
      </c>
      <c r="HH73" s="627">
        <v>13552</v>
      </c>
      <c r="HI73" s="627">
        <v>159222</v>
      </c>
      <c r="HJ73" s="627">
        <v>0</v>
      </c>
      <c r="HK73" s="627">
        <v>23630</v>
      </c>
      <c r="HL73" s="627">
        <v>1850</v>
      </c>
      <c r="HM73" s="627">
        <v>1472</v>
      </c>
      <c r="HN73" s="627">
        <v>0</v>
      </c>
      <c r="HO73" s="627">
        <v>13688</v>
      </c>
      <c r="HP73" s="627">
        <v>0</v>
      </c>
      <c r="HQ73" s="627">
        <v>0</v>
      </c>
      <c r="HR73" s="627">
        <v>0</v>
      </c>
      <c r="HS73" s="627">
        <v>0</v>
      </c>
      <c r="HT73" s="627">
        <v>8330124</v>
      </c>
      <c r="HU73" s="627">
        <v>217051</v>
      </c>
      <c r="HV73" s="627">
        <v>0</v>
      </c>
      <c r="HW73" s="627">
        <v>0</v>
      </c>
      <c r="HX73" s="627">
        <v>0</v>
      </c>
      <c r="HY73" s="627">
        <v>101</v>
      </c>
      <c r="HZ73" s="627">
        <v>111</v>
      </c>
      <c r="IA73" s="627">
        <v>90</v>
      </c>
      <c r="IB73" s="627">
        <v>149</v>
      </c>
      <c r="IC73" s="627">
        <v>384</v>
      </c>
      <c r="ID73" s="627">
        <v>835</v>
      </c>
      <c r="IE73" s="627">
        <v>0</v>
      </c>
      <c r="IF73" s="627">
        <v>0</v>
      </c>
      <c r="IG73" s="627">
        <v>0</v>
      </c>
      <c r="IH73" s="627">
        <v>22</v>
      </c>
      <c r="II73" s="627">
        <v>258.47800000000001</v>
      </c>
      <c r="IJ73" s="627">
        <v>0</v>
      </c>
      <c r="IK73" s="627">
        <v>195.72500000000002</v>
      </c>
      <c r="IL73" s="627">
        <v>0</v>
      </c>
      <c r="IM73" s="627">
        <v>0</v>
      </c>
      <c r="IN73" s="627">
        <v>0</v>
      </c>
      <c r="IO73" s="627">
        <v>0</v>
      </c>
      <c r="IP73" s="627">
        <v>0</v>
      </c>
      <c r="IQ73" s="627">
        <v>0</v>
      </c>
      <c r="IR73" s="627">
        <v>195.72500000000002</v>
      </c>
      <c r="IS73" s="627">
        <v>120567</v>
      </c>
      <c r="IT73" s="627">
        <v>0</v>
      </c>
      <c r="IU73" s="627">
        <v>0</v>
      </c>
      <c r="IV73" s="627">
        <v>0</v>
      </c>
      <c r="IW73" s="627">
        <v>0</v>
      </c>
      <c r="IX73" s="627">
        <v>6160</v>
      </c>
      <c r="IY73" s="627">
        <v>0</v>
      </c>
      <c r="IZ73" s="627">
        <v>0</v>
      </c>
      <c r="JA73" s="627">
        <v>0</v>
      </c>
      <c r="JB73" s="627">
        <v>0</v>
      </c>
      <c r="JC73" s="627">
        <v>0</v>
      </c>
      <c r="JD73" s="627">
        <v>0</v>
      </c>
      <c r="JE73" s="627">
        <v>0</v>
      </c>
      <c r="JF73" s="627">
        <v>0</v>
      </c>
      <c r="JG73" s="627">
        <v>2</v>
      </c>
      <c r="JH73" s="627">
        <v>13188</v>
      </c>
      <c r="JI73" s="627">
        <v>500</v>
      </c>
      <c r="JJ73" s="627">
        <v>0</v>
      </c>
      <c r="JK73" s="627">
        <v>0</v>
      </c>
      <c r="JL73" s="627">
        <v>0</v>
      </c>
      <c r="JM73" s="627">
        <v>0</v>
      </c>
      <c r="JN73" s="627">
        <v>0</v>
      </c>
      <c r="JO73" s="627">
        <v>32469</v>
      </c>
      <c r="JP73" s="627">
        <v>4.657</v>
      </c>
      <c r="JQ73" s="627">
        <v>47.493000000000002</v>
      </c>
      <c r="JR73" s="627">
        <v>42.692</v>
      </c>
      <c r="JS73" s="627">
        <v>37201</v>
      </c>
      <c r="JT73" s="627">
        <v>441465</v>
      </c>
      <c r="JU73" s="627">
        <v>455743</v>
      </c>
      <c r="JV73" s="627">
        <v>11642</v>
      </c>
      <c r="JW73" s="627">
        <v>0</v>
      </c>
      <c r="JX73" s="627">
        <v>0</v>
      </c>
      <c r="JY73" s="627">
        <v>0</v>
      </c>
      <c r="JZ73" s="627">
        <v>0</v>
      </c>
      <c r="KA73" s="627">
        <v>0</v>
      </c>
      <c r="KB73" s="627">
        <v>0</v>
      </c>
      <c r="KC73" s="627">
        <v>0</v>
      </c>
      <c r="KD73" s="627">
        <v>0</v>
      </c>
      <c r="KE73" s="627">
        <v>11642</v>
      </c>
      <c r="KF73" s="627">
        <v>7262</v>
      </c>
      <c r="KG73" s="627">
        <v>0</v>
      </c>
      <c r="KH73" s="627">
        <v>0</v>
      </c>
      <c r="KI73" s="627">
        <v>9800443</v>
      </c>
      <c r="KJ73" s="627">
        <v>0</v>
      </c>
      <c r="KK73" s="627">
        <v>10</v>
      </c>
      <c r="KL73" s="627">
        <v>12</v>
      </c>
      <c r="KM73" s="627">
        <v>6160</v>
      </c>
      <c r="KN73" s="627">
        <v>7392</v>
      </c>
      <c r="KO73" s="627">
        <v>0</v>
      </c>
      <c r="KP73" s="627">
        <v>0</v>
      </c>
      <c r="KQ73" s="627">
        <v>9800443</v>
      </c>
      <c r="KR73" s="627">
        <v>0</v>
      </c>
      <c r="KS73" s="627">
        <v>0</v>
      </c>
      <c r="KT73" s="627">
        <v>0</v>
      </c>
      <c r="KU73" s="627">
        <v>0</v>
      </c>
      <c r="KV73" s="627">
        <v>0</v>
      </c>
      <c r="KW73" s="627">
        <v>0</v>
      </c>
      <c r="KX73" s="627">
        <v>0</v>
      </c>
      <c r="KY73" s="627">
        <v>0</v>
      </c>
      <c r="KZ73" s="627">
        <v>0</v>
      </c>
      <c r="LA73" s="627">
        <v>0</v>
      </c>
      <c r="LB73" s="627">
        <v>0</v>
      </c>
      <c r="LC73" s="627">
        <v>0</v>
      </c>
      <c r="LD73" s="627">
        <v>0</v>
      </c>
      <c r="LE73" s="627">
        <v>0</v>
      </c>
      <c r="LF73" s="627">
        <v>0</v>
      </c>
    </row>
    <row r="74" spans="1:318" x14ac:dyDescent="0.25">
      <c r="A74" s="627">
        <v>42602</v>
      </c>
      <c r="B74" s="627">
        <v>71806</v>
      </c>
      <c r="D74" s="627">
        <v>9</v>
      </c>
      <c r="E74" s="627">
        <v>2024</v>
      </c>
      <c r="F74" s="627">
        <v>6160</v>
      </c>
      <c r="G74" s="627">
        <v>0</v>
      </c>
      <c r="H74" s="627">
        <v>4815.8540000000003</v>
      </c>
      <c r="I74" s="627">
        <v>4538.9549999999999</v>
      </c>
      <c r="J74" s="627">
        <v>4538.9549999999999</v>
      </c>
      <c r="K74" s="627">
        <v>4815.8540000000003</v>
      </c>
      <c r="L74" s="627">
        <v>0</v>
      </c>
      <c r="M74" s="627">
        <v>6160</v>
      </c>
      <c r="N74" s="627">
        <v>0</v>
      </c>
      <c r="O74" s="627">
        <v>0</v>
      </c>
      <c r="P74" s="627">
        <v>0</v>
      </c>
      <c r="Q74" s="627">
        <v>4530.259</v>
      </c>
      <c r="R74" s="627">
        <v>0</v>
      </c>
      <c r="S74" s="627">
        <v>1879532</v>
      </c>
      <c r="T74" s="627">
        <v>414.88400000000001</v>
      </c>
      <c r="U74" s="627">
        <v>0</v>
      </c>
      <c r="V74" s="627">
        <v>975402</v>
      </c>
      <c r="W74" s="627">
        <v>1446.117</v>
      </c>
      <c r="X74" s="627">
        <v>890808</v>
      </c>
      <c r="Y74" s="627">
        <v>890808</v>
      </c>
      <c r="Z74" s="627">
        <v>0</v>
      </c>
      <c r="AA74" s="627">
        <v>0</v>
      </c>
      <c r="AB74" s="627">
        <v>0</v>
      </c>
      <c r="AC74" s="627">
        <v>0</v>
      </c>
      <c r="AD74" s="627">
        <v>0</v>
      </c>
      <c r="AE74" s="627" t="s">
        <v>314</v>
      </c>
      <c r="AF74" s="627">
        <v>0</v>
      </c>
      <c r="AG74" s="627">
        <v>0</v>
      </c>
      <c r="AH74" s="627">
        <v>0</v>
      </c>
      <c r="AI74" s="627">
        <v>0</v>
      </c>
      <c r="AJ74" s="627">
        <v>0</v>
      </c>
      <c r="AK74" s="627">
        <v>6160</v>
      </c>
      <c r="AL74" s="627" t="s">
        <v>651</v>
      </c>
      <c r="AM74" s="627" t="s">
        <v>758</v>
      </c>
      <c r="AN74" s="627">
        <v>0</v>
      </c>
      <c r="AO74" s="627">
        <v>0</v>
      </c>
      <c r="AP74" s="627">
        <v>0</v>
      </c>
      <c r="AQ74" s="627">
        <v>0</v>
      </c>
      <c r="AR74" s="627">
        <v>0</v>
      </c>
      <c r="AS74" s="627">
        <v>0</v>
      </c>
      <c r="AT74" s="627">
        <v>0</v>
      </c>
      <c r="AU74" s="627">
        <v>0</v>
      </c>
      <c r="AV74" s="627">
        <v>0</v>
      </c>
      <c r="AW74" s="627">
        <v>0</v>
      </c>
      <c r="AX74" s="627">
        <v>53677734</v>
      </c>
      <c r="AY74" s="627">
        <v>52918292</v>
      </c>
      <c r="AZ74" s="627">
        <v>26576393</v>
      </c>
      <c r="BA74" s="627">
        <v>1879532</v>
      </c>
      <c r="BB74" s="627">
        <v>85.667000000000002</v>
      </c>
      <c r="BC74" s="627">
        <v>102592</v>
      </c>
      <c r="BD74" s="627">
        <v>101938</v>
      </c>
      <c r="BE74" s="627">
        <v>240.79300000000001</v>
      </c>
      <c r="BF74" s="627">
        <v>654</v>
      </c>
      <c r="BG74" s="627">
        <v>46544490</v>
      </c>
      <c r="BH74" s="627">
        <v>0</v>
      </c>
      <c r="BI74" s="627">
        <v>0</v>
      </c>
      <c r="BJ74" s="627">
        <v>0</v>
      </c>
      <c r="BK74" s="627">
        <v>12</v>
      </c>
      <c r="BL74" s="627">
        <v>0</v>
      </c>
      <c r="BM74" s="627">
        <v>0</v>
      </c>
      <c r="BN74" s="627">
        <v>0</v>
      </c>
      <c r="BO74" s="627">
        <v>0</v>
      </c>
      <c r="BP74" s="627">
        <v>0</v>
      </c>
      <c r="BQ74" s="627">
        <v>0</v>
      </c>
      <c r="BR74" s="627">
        <v>71</v>
      </c>
      <c r="BS74" s="627">
        <v>0</v>
      </c>
      <c r="BT74" s="627">
        <v>0</v>
      </c>
      <c r="BU74" s="627">
        <v>0</v>
      </c>
      <c r="BV74" s="627">
        <v>0</v>
      </c>
      <c r="BW74" s="627">
        <v>0</v>
      </c>
      <c r="BX74" s="627">
        <v>0</v>
      </c>
      <c r="BY74" s="627">
        <v>0</v>
      </c>
      <c r="BZ74" s="627">
        <v>0</v>
      </c>
      <c r="CA74" s="627">
        <v>0</v>
      </c>
      <c r="CB74" s="627">
        <v>374.80900000000003</v>
      </c>
      <c r="CC74" s="627">
        <v>374809</v>
      </c>
      <c r="CD74" s="627">
        <v>0</v>
      </c>
      <c r="CE74" s="627">
        <v>0</v>
      </c>
      <c r="CF74" s="627">
        <v>0</v>
      </c>
      <c r="CG74" s="627">
        <v>0</v>
      </c>
      <c r="CH74" s="627">
        <v>0</v>
      </c>
      <c r="CI74" s="627">
        <v>770193</v>
      </c>
      <c r="CJ74" s="627">
        <v>0</v>
      </c>
      <c r="CK74" s="627">
        <v>4</v>
      </c>
      <c r="CL74" s="627">
        <v>0</v>
      </c>
      <c r="CM74" s="627">
        <v>0</v>
      </c>
      <c r="CN74" s="627">
        <v>0</v>
      </c>
      <c r="CO74" s="627">
        <v>0</v>
      </c>
      <c r="CP74" s="627">
        <v>1</v>
      </c>
      <c r="CQ74" s="627">
        <v>0</v>
      </c>
      <c r="CR74" s="627">
        <v>0</v>
      </c>
      <c r="CS74" s="627">
        <v>4525.9000000000005</v>
      </c>
      <c r="CT74" s="627">
        <v>0</v>
      </c>
      <c r="CU74" s="627">
        <v>0</v>
      </c>
      <c r="CV74" s="627">
        <v>0</v>
      </c>
      <c r="CW74" s="627">
        <v>0</v>
      </c>
      <c r="CX74" s="627">
        <v>0</v>
      </c>
      <c r="CY74" s="627">
        <v>0</v>
      </c>
      <c r="CZ74" s="627">
        <v>0</v>
      </c>
      <c r="DA74" s="627">
        <v>0</v>
      </c>
      <c r="DB74" s="627">
        <v>0</v>
      </c>
      <c r="DC74" s="627">
        <v>27959963</v>
      </c>
      <c r="DD74" s="627">
        <v>0</v>
      </c>
      <c r="DE74" s="627">
        <v>0</v>
      </c>
      <c r="DF74" s="627">
        <v>6177325</v>
      </c>
      <c r="DG74" s="627">
        <v>6177325</v>
      </c>
      <c r="DH74" s="627">
        <v>1002.8130000000001</v>
      </c>
      <c r="DI74" s="627">
        <v>0</v>
      </c>
      <c r="DJ74" s="627">
        <v>0</v>
      </c>
      <c r="DK74" s="627">
        <v>0</v>
      </c>
      <c r="DL74" s="627">
        <v>0</v>
      </c>
      <c r="DM74" s="627">
        <v>0</v>
      </c>
      <c r="DN74" s="627">
        <v>2962315</v>
      </c>
      <c r="DO74" s="627">
        <v>10097</v>
      </c>
      <c r="DP74" s="627">
        <v>0</v>
      </c>
      <c r="DQ74" s="627">
        <v>0</v>
      </c>
      <c r="DR74" s="627">
        <v>0</v>
      </c>
      <c r="DS74" s="627">
        <v>0</v>
      </c>
      <c r="DT74" s="627">
        <v>0</v>
      </c>
      <c r="DU74" s="627">
        <v>0</v>
      </c>
      <c r="DV74" s="627">
        <v>0</v>
      </c>
      <c r="DW74" s="627">
        <v>0</v>
      </c>
      <c r="DX74" s="627">
        <v>0</v>
      </c>
      <c r="DY74" s="627">
        <v>0</v>
      </c>
      <c r="DZ74" s="627">
        <v>0</v>
      </c>
      <c r="EA74" s="627">
        <v>0</v>
      </c>
      <c r="EB74" s="627">
        <v>4.3000000000000003E-2</v>
      </c>
      <c r="EC74" s="627">
        <v>0</v>
      </c>
      <c r="ED74" s="627">
        <v>108.37</v>
      </c>
      <c r="EE74" s="627">
        <v>767693</v>
      </c>
      <c r="EF74" s="627">
        <v>0</v>
      </c>
      <c r="EG74" s="627">
        <v>0</v>
      </c>
      <c r="EH74" s="627">
        <v>0</v>
      </c>
      <c r="EI74" s="627">
        <v>2204719</v>
      </c>
      <c r="EJ74" s="627">
        <v>0</v>
      </c>
      <c r="EK74" s="627">
        <v>0</v>
      </c>
      <c r="EL74" s="627">
        <v>88.55</v>
      </c>
      <c r="EM74" s="627">
        <v>0.17700000000000002</v>
      </c>
      <c r="EN74" s="627">
        <v>15.063000000000001</v>
      </c>
      <c r="EO74" s="627">
        <v>9.3710000000000004</v>
      </c>
      <c r="EP74" s="627">
        <v>0</v>
      </c>
      <c r="EQ74" s="627">
        <v>0</v>
      </c>
      <c r="ER74" s="627">
        <v>113.027</v>
      </c>
      <c r="ES74" s="627">
        <v>0</v>
      </c>
      <c r="ET74" s="627">
        <v>357.90899999999999</v>
      </c>
      <c r="EU74" s="627">
        <v>0</v>
      </c>
      <c r="EV74" s="627">
        <v>0</v>
      </c>
      <c r="EW74" s="627">
        <v>0</v>
      </c>
      <c r="EX74" s="627">
        <v>0</v>
      </c>
      <c r="EY74" s="627">
        <v>0</v>
      </c>
      <c r="EZ74" s="627">
        <v>0</v>
      </c>
      <c r="FA74" s="627">
        <v>45055318</v>
      </c>
      <c r="FB74" s="627">
        <v>0</v>
      </c>
      <c r="FC74" s="627">
        <v>46924099</v>
      </c>
      <c r="FD74" s="627">
        <v>0</v>
      </c>
      <c r="FE74" s="627">
        <v>0</v>
      </c>
      <c r="FF74" s="627">
        <v>6702229</v>
      </c>
      <c r="FG74" s="627">
        <v>1160745</v>
      </c>
      <c r="FH74" s="627">
        <v>7.0280999999999996E-2</v>
      </c>
      <c r="FI74" s="627">
        <v>3.1172999999999999E-2</v>
      </c>
      <c r="FJ74" s="627">
        <v>0</v>
      </c>
      <c r="FK74" s="627">
        <v>0</v>
      </c>
      <c r="FL74" s="627">
        <v>7555.924</v>
      </c>
      <c r="FM74" s="627">
        <v>55557266</v>
      </c>
      <c r="FN74" s="627">
        <v>0</v>
      </c>
      <c r="FO74" s="627">
        <v>0</v>
      </c>
      <c r="FP74" s="627">
        <v>0</v>
      </c>
      <c r="FQ74" s="627">
        <v>0</v>
      </c>
      <c r="FR74" s="627">
        <v>0</v>
      </c>
      <c r="FS74" s="627">
        <v>0</v>
      </c>
      <c r="FT74" s="627">
        <v>0</v>
      </c>
      <c r="FU74" s="627">
        <v>0</v>
      </c>
      <c r="FV74" s="627">
        <v>0</v>
      </c>
      <c r="FW74" s="627">
        <v>0</v>
      </c>
      <c r="FX74" s="627">
        <v>0</v>
      </c>
      <c r="FY74" s="627">
        <v>0</v>
      </c>
      <c r="FZ74" s="627">
        <v>0</v>
      </c>
      <c r="GA74" s="627">
        <v>0</v>
      </c>
      <c r="GB74" s="627">
        <v>0</v>
      </c>
      <c r="GC74" s="627">
        <v>1622919</v>
      </c>
      <c r="GD74" s="627">
        <v>1622919</v>
      </c>
      <c r="GE74" s="627">
        <v>163.87200000000001</v>
      </c>
      <c r="GF74" s="627">
        <v>0</v>
      </c>
      <c r="GG74" s="627">
        <v>0</v>
      </c>
      <c r="GH74" s="627">
        <v>0</v>
      </c>
      <c r="GI74" s="627">
        <v>0</v>
      </c>
      <c r="GJ74" s="627">
        <v>0</v>
      </c>
      <c r="GK74" s="627">
        <v>0</v>
      </c>
      <c r="GL74" s="627">
        <v>0</v>
      </c>
      <c r="GM74" s="627">
        <v>0</v>
      </c>
      <c r="GN74" s="627">
        <v>0</v>
      </c>
      <c r="GO74" s="627">
        <v>0</v>
      </c>
      <c r="GP74" s="627">
        <v>0</v>
      </c>
      <c r="GQ74" s="627">
        <v>0</v>
      </c>
      <c r="GR74" s="627">
        <v>52907541</v>
      </c>
      <c r="GS74" s="627">
        <v>0</v>
      </c>
      <c r="GT74" s="627">
        <v>0</v>
      </c>
      <c r="GU74" s="627">
        <v>0</v>
      </c>
      <c r="GV74" s="627">
        <v>0</v>
      </c>
      <c r="GW74" s="627">
        <v>0</v>
      </c>
      <c r="GX74" s="627">
        <v>0</v>
      </c>
      <c r="GY74" s="627">
        <v>0</v>
      </c>
      <c r="GZ74" s="627">
        <v>0</v>
      </c>
      <c r="HA74" s="627">
        <v>0</v>
      </c>
      <c r="HB74" s="627">
        <v>0</v>
      </c>
      <c r="HC74" s="627">
        <v>361151439</v>
      </c>
      <c r="HD74" s="627">
        <v>3.9981999999999997E-2</v>
      </c>
      <c r="HE74" s="627">
        <v>770193</v>
      </c>
      <c r="HF74" s="627">
        <v>0</v>
      </c>
      <c r="HG74" s="627">
        <v>5001928</v>
      </c>
      <c r="HH74" s="627">
        <v>58520</v>
      </c>
      <c r="HI74" s="627">
        <v>1054365</v>
      </c>
      <c r="HJ74" s="627">
        <v>0</v>
      </c>
      <c r="HK74" s="627">
        <v>138159</v>
      </c>
      <c r="HL74" s="627">
        <v>9056</v>
      </c>
      <c r="HM74" s="627">
        <v>6495</v>
      </c>
      <c r="HN74" s="627">
        <v>253000</v>
      </c>
      <c r="HO74" s="627">
        <v>312499</v>
      </c>
      <c r="HP74" s="627">
        <v>0</v>
      </c>
      <c r="HQ74" s="627">
        <v>0</v>
      </c>
      <c r="HR74" s="627">
        <v>0</v>
      </c>
      <c r="HS74" s="627">
        <v>0</v>
      </c>
      <c r="HT74" s="627">
        <v>45044567</v>
      </c>
      <c r="HU74" s="627">
        <v>1160745</v>
      </c>
      <c r="HV74" s="627">
        <v>0</v>
      </c>
      <c r="HW74" s="627">
        <v>0</v>
      </c>
      <c r="HX74" s="627">
        <v>0</v>
      </c>
      <c r="HY74" s="627">
        <v>568</v>
      </c>
      <c r="HZ74" s="627">
        <v>1075</v>
      </c>
      <c r="IA74" s="627">
        <v>1090</v>
      </c>
      <c r="IB74" s="627">
        <v>758</v>
      </c>
      <c r="IC74" s="627">
        <v>539</v>
      </c>
      <c r="ID74" s="627">
        <v>4030</v>
      </c>
      <c r="IE74" s="627">
        <v>0</v>
      </c>
      <c r="IF74" s="627">
        <v>0</v>
      </c>
      <c r="IG74" s="627">
        <v>0</v>
      </c>
      <c r="IH74" s="627">
        <v>95</v>
      </c>
      <c r="II74" s="627">
        <v>1711.6310000000001</v>
      </c>
      <c r="IJ74" s="627">
        <v>0</v>
      </c>
      <c r="IK74" s="627">
        <v>1446.117</v>
      </c>
      <c r="IL74" s="627">
        <v>0</v>
      </c>
      <c r="IM74" s="627">
        <v>38</v>
      </c>
      <c r="IN74" s="627">
        <v>19</v>
      </c>
      <c r="IO74" s="627">
        <v>3</v>
      </c>
      <c r="IP74" s="627">
        <v>60</v>
      </c>
      <c r="IQ74" s="627">
        <v>0</v>
      </c>
      <c r="IR74" s="627">
        <v>1446.117</v>
      </c>
      <c r="IS74" s="627">
        <v>890808</v>
      </c>
      <c r="IT74" s="627">
        <v>0</v>
      </c>
      <c r="IU74" s="627">
        <v>190000</v>
      </c>
      <c r="IV74" s="627">
        <v>57000</v>
      </c>
      <c r="IW74" s="627">
        <v>6000</v>
      </c>
      <c r="IX74" s="627">
        <v>6160</v>
      </c>
      <c r="IY74" s="627">
        <v>0</v>
      </c>
      <c r="IZ74" s="627">
        <v>0</v>
      </c>
      <c r="JA74" s="627">
        <v>0</v>
      </c>
      <c r="JB74" s="627">
        <v>0</v>
      </c>
      <c r="JC74" s="627">
        <v>1</v>
      </c>
      <c r="JD74" s="627">
        <v>23673</v>
      </c>
      <c r="JE74" s="627">
        <v>8</v>
      </c>
      <c r="JF74" s="627">
        <v>97428</v>
      </c>
      <c r="JG74" s="627">
        <v>25</v>
      </c>
      <c r="JH74" s="627">
        <v>135898</v>
      </c>
      <c r="JI74" s="627">
        <v>55500</v>
      </c>
      <c r="JJ74" s="627">
        <v>0</v>
      </c>
      <c r="JK74" s="627">
        <v>0</v>
      </c>
      <c r="JL74" s="627">
        <v>0</v>
      </c>
      <c r="JM74" s="627">
        <v>0</v>
      </c>
      <c r="JN74" s="627">
        <v>0</v>
      </c>
      <c r="JO74" s="627">
        <v>32469</v>
      </c>
      <c r="JP74" s="627">
        <v>0</v>
      </c>
      <c r="JQ74" s="627">
        <v>91.63600000000001</v>
      </c>
      <c r="JR74" s="627">
        <v>72.236000000000004</v>
      </c>
      <c r="JS74" s="627">
        <v>0</v>
      </c>
      <c r="JT74" s="627">
        <v>851790</v>
      </c>
      <c r="JU74" s="627">
        <v>771129</v>
      </c>
      <c r="JV74" s="627">
        <v>103830</v>
      </c>
      <c r="JW74" s="627">
        <v>0</v>
      </c>
      <c r="JX74" s="627">
        <v>0</v>
      </c>
      <c r="JY74" s="627">
        <v>0</v>
      </c>
      <c r="JZ74" s="627">
        <v>0</v>
      </c>
      <c r="KA74" s="627">
        <v>0</v>
      </c>
      <c r="KB74" s="627">
        <v>0</v>
      </c>
      <c r="KC74" s="627">
        <v>0</v>
      </c>
      <c r="KD74" s="627">
        <v>0</v>
      </c>
      <c r="KE74" s="627">
        <v>103919</v>
      </c>
      <c r="KF74" s="627">
        <v>7262</v>
      </c>
      <c r="KG74" s="627">
        <v>0</v>
      </c>
      <c r="KH74" s="627">
        <v>0</v>
      </c>
      <c r="KI74" s="627">
        <v>52907541</v>
      </c>
      <c r="KJ74" s="627">
        <v>0</v>
      </c>
      <c r="KK74" s="627">
        <v>47</v>
      </c>
      <c r="KL74" s="627">
        <v>48</v>
      </c>
      <c r="KM74" s="627">
        <v>28952</v>
      </c>
      <c r="KN74" s="627">
        <v>29568</v>
      </c>
      <c r="KO74" s="627">
        <v>0</v>
      </c>
      <c r="KP74" s="627">
        <v>0</v>
      </c>
      <c r="KQ74" s="627">
        <v>52907541</v>
      </c>
      <c r="KR74" s="627">
        <v>0</v>
      </c>
      <c r="KS74" s="627">
        <v>0</v>
      </c>
      <c r="KT74" s="627">
        <v>0</v>
      </c>
      <c r="KU74" s="627">
        <v>0</v>
      </c>
      <c r="KV74" s="627">
        <v>0</v>
      </c>
      <c r="KW74" s="627">
        <v>0</v>
      </c>
      <c r="KX74" s="627">
        <v>0</v>
      </c>
      <c r="KY74" s="627">
        <v>0</v>
      </c>
      <c r="KZ74" s="627">
        <v>0</v>
      </c>
      <c r="LA74" s="627">
        <v>0</v>
      </c>
      <c r="LB74" s="627">
        <v>0</v>
      </c>
      <c r="LC74" s="627">
        <v>0</v>
      </c>
      <c r="LD74" s="627">
        <v>0</v>
      </c>
      <c r="LE74" s="627">
        <v>0</v>
      </c>
      <c r="LF74" s="627">
        <v>0</v>
      </c>
    </row>
    <row r="75" spans="1:318" x14ac:dyDescent="0.25">
      <c r="A75" s="627">
        <v>42602</v>
      </c>
      <c r="B75" s="627">
        <v>101806</v>
      </c>
      <c r="D75" s="627">
        <v>9</v>
      </c>
      <c r="E75" s="627">
        <v>2024</v>
      </c>
      <c r="F75" s="627">
        <v>6160</v>
      </c>
      <c r="G75" s="627">
        <v>0</v>
      </c>
      <c r="H75" s="627">
        <v>1611.6130000000001</v>
      </c>
      <c r="I75" s="627">
        <v>1477.7530000000002</v>
      </c>
      <c r="J75" s="627">
        <v>1477.7530000000002</v>
      </c>
      <c r="K75" s="627">
        <v>1611.6130000000001</v>
      </c>
      <c r="L75" s="627">
        <v>0</v>
      </c>
      <c r="M75" s="627">
        <v>6160</v>
      </c>
      <c r="N75" s="627">
        <v>0</v>
      </c>
      <c r="O75" s="627">
        <v>0</v>
      </c>
      <c r="P75" s="627">
        <v>0</v>
      </c>
      <c r="Q75" s="627">
        <v>1526.2630000000001</v>
      </c>
      <c r="R75" s="627">
        <v>0</v>
      </c>
      <c r="S75" s="627">
        <v>633222</v>
      </c>
      <c r="T75" s="627">
        <v>414.88400000000001</v>
      </c>
      <c r="U75" s="627">
        <v>0</v>
      </c>
      <c r="V75" s="627">
        <v>328617</v>
      </c>
      <c r="W75" s="627">
        <v>1056.94</v>
      </c>
      <c r="X75" s="627">
        <v>651075</v>
      </c>
      <c r="Y75" s="627">
        <v>651075</v>
      </c>
      <c r="Z75" s="627">
        <v>0</v>
      </c>
      <c r="AA75" s="627">
        <v>0</v>
      </c>
      <c r="AB75" s="627">
        <v>0</v>
      </c>
      <c r="AC75" s="627">
        <v>0</v>
      </c>
      <c r="AD75" s="627">
        <v>0</v>
      </c>
      <c r="AE75" s="627" t="s">
        <v>314</v>
      </c>
      <c r="AF75" s="627">
        <v>0</v>
      </c>
      <c r="AG75" s="627">
        <v>0</v>
      </c>
      <c r="AH75" s="627">
        <v>0</v>
      </c>
      <c r="AI75" s="627">
        <v>0</v>
      </c>
      <c r="AJ75" s="627">
        <v>0</v>
      </c>
      <c r="AK75" s="627">
        <v>6160</v>
      </c>
      <c r="AL75" s="627" t="s">
        <v>651</v>
      </c>
      <c r="AM75" s="627" t="s">
        <v>444</v>
      </c>
      <c r="AN75" s="627">
        <v>0</v>
      </c>
      <c r="AO75" s="627">
        <v>0</v>
      </c>
      <c r="AP75" s="627">
        <v>0</v>
      </c>
      <c r="AQ75" s="627">
        <v>0</v>
      </c>
      <c r="AR75" s="627">
        <v>0</v>
      </c>
      <c r="AS75" s="627">
        <v>0</v>
      </c>
      <c r="AT75" s="627">
        <v>0</v>
      </c>
      <c r="AU75" s="627">
        <v>0</v>
      </c>
      <c r="AV75" s="627">
        <v>0</v>
      </c>
      <c r="AW75" s="627">
        <v>-535875</v>
      </c>
      <c r="AX75" s="627">
        <v>19580954</v>
      </c>
      <c r="AY75" s="627">
        <v>19328024</v>
      </c>
      <c r="AZ75" s="627">
        <v>9267961</v>
      </c>
      <c r="BA75" s="627">
        <v>633222</v>
      </c>
      <c r="BB75" s="627">
        <v>68.917000000000002</v>
      </c>
      <c r="BC75" s="627">
        <v>34332</v>
      </c>
      <c r="BD75" s="627">
        <v>34113</v>
      </c>
      <c r="BE75" s="627">
        <v>80.581000000000003</v>
      </c>
      <c r="BF75" s="627">
        <v>219</v>
      </c>
      <c r="BG75" s="627">
        <v>17048416</v>
      </c>
      <c r="BH75" s="627">
        <v>0</v>
      </c>
      <c r="BI75" s="627">
        <v>0</v>
      </c>
      <c r="BJ75" s="627">
        <v>0</v>
      </c>
      <c r="BK75" s="627">
        <v>12</v>
      </c>
      <c r="BL75" s="627">
        <v>0</v>
      </c>
      <c r="BM75" s="627">
        <v>0</v>
      </c>
      <c r="BN75" s="627">
        <v>0</v>
      </c>
      <c r="BO75" s="627">
        <v>0</v>
      </c>
      <c r="BP75" s="627">
        <v>0</v>
      </c>
      <c r="BQ75" s="627">
        <v>0</v>
      </c>
      <c r="BR75" s="627">
        <v>542</v>
      </c>
      <c r="BS75" s="627">
        <v>0</v>
      </c>
      <c r="BT75" s="627">
        <v>0</v>
      </c>
      <c r="BU75" s="627">
        <v>0</v>
      </c>
      <c r="BV75" s="627">
        <v>0</v>
      </c>
      <c r="BW75" s="627">
        <v>0</v>
      </c>
      <c r="BX75" s="627">
        <v>0</v>
      </c>
      <c r="BY75" s="627">
        <v>0</v>
      </c>
      <c r="BZ75" s="627">
        <v>0</v>
      </c>
      <c r="CA75" s="627">
        <v>0</v>
      </c>
      <c r="CB75" s="627">
        <v>0</v>
      </c>
      <c r="CC75" s="627">
        <v>0</v>
      </c>
      <c r="CD75" s="627">
        <v>0</v>
      </c>
      <c r="CE75" s="627">
        <v>0</v>
      </c>
      <c r="CF75" s="627">
        <v>0</v>
      </c>
      <c r="CG75" s="627">
        <v>0</v>
      </c>
      <c r="CH75" s="627">
        <v>0</v>
      </c>
      <c r="CI75" s="627">
        <v>257743</v>
      </c>
      <c r="CJ75" s="627">
        <v>0</v>
      </c>
      <c r="CK75" s="627">
        <v>4</v>
      </c>
      <c r="CL75" s="627">
        <v>0</v>
      </c>
      <c r="CM75" s="627">
        <v>0</v>
      </c>
      <c r="CN75" s="627">
        <v>0</v>
      </c>
      <c r="CO75" s="627">
        <v>0</v>
      </c>
      <c r="CP75" s="627">
        <v>1</v>
      </c>
      <c r="CQ75" s="627">
        <v>0.11600000000000001</v>
      </c>
      <c r="CR75" s="627">
        <v>7.6670000000000007</v>
      </c>
      <c r="CS75" s="627">
        <v>1481.2860000000001</v>
      </c>
      <c r="CT75" s="627">
        <v>0</v>
      </c>
      <c r="CU75" s="627">
        <v>0</v>
      </c>
      <c r="CV75" s="627">
        <v>0</v>
      </c>
      <c r="CW75" s="627">
        <v>0</v>
      </c>
      <c r="CX75" s="627">
        <v>0</v>
      </c>
      <c r="CY75" s="627">
        <v>0</v>
      </c>
      <c r="CZ75" s="627">
        <v>0</v>
      </c>
      <c r="DA75" s="627">
        <v>0</v>
      </c>
      <c r="DB75" s="627">
        <v>0</v>
      </c>
      <c r="DC75" s="627">
        <v>9102958</v>
      </c>
      <c r="DD75" s="627">
        <v>0</v>
      </c>
      <c r="DE75" s="627">
        <v>0</v>
      </c>
      <c r="DF75" s="627">
        <v>2951641</v>
      </c>
      <c r="DG75" s="627">
        <v>2953363</v>
      </c>
      <c r="DH75" s="627">
        <v>479.16300000000001</v>
      </c>
      <c r="DI75" s="627">
        <v>0</v>
      </c>
      <c r="DJ75" s="627">
        <v>1722</v>
      </c>
      <c r="DK75" s="627">
        <v>0</v>
      </c>
      <c r="DL75" s="627">
        <v>301</v>
      </c>
      <c r="DM75" s="627">
        <v>0</v>
      </c>
      <c r="DN75" s="627">
        <v>1347836</v>
      </c>
      <c r="DO75" s="627">
        <v>4594</v>
      </c>
      <c r="DP75" s="627">
        <v>0</v>
      </c>
      <c r="DQ75" s="627">
        <v>0</v>
      </c>
      <c r="DR75" s="627">
        <v>0</v>
      </c>
      <c r="DS75" s="627">
        <v>0</v>
      </c>
      <c r="DT75" s="627">
        <v>0</v>
      </c>
      <c r="DU75" s="627">
        <v>0</v>
      </c>
      <c r="DV75" s="627">
        <v>0</v>
      </c>
      <c r="DW75" s="627">
        <v>0</v>
      </c>
      <c r="DX75" s="627">
        <v>0</v>
      </c>
      <c r="DY75" s="627">
        <v>0</v>
      </c>
      <c r="DZ75" s="627">
        <v>0</v>
      </c>
      <c r="EA75" s="627">
        <v>0</v>
      </c>
      <c r="EB75" s="627">
        <v>0</v>
      </c>
      <c r="EC75" s="627">
        <v>0</v>
      </c>
      <c r="ED75" s="627">
        <v>27.662000000000003</v>
      </c>
      <c r="EE75" s="627">
        <v>195958</v>
      </c>
      <c r="EF75" s="627">
        <v>0</v>
      </c>
      <c r="EG75" s="627">
        <v>0</v>
      </c>
      <c r="EH75" s="627">
        <v>0</v>
      </c>
      <c r="EI75" s="627">
        <v>1156472</v>
      </c>
      <c r="EJ75" s="627">
        <v>0</v>
      </c>
      <c r="EK75" s="627">
        <v>0</v>
      </c>
      <c r="EL75" s="627">
        <v>46.99</v>
      </c>
      <c r="EM75" s="627">
        <v>0</v>
      </c>
      <c r="EN75" s="627">
        <v>8.9429999999999996</v>
      </c>
      <c r="EO75" s="627">
        <v>3.988</v>
      </c>
      <c r="EP75" s="627">
        <v>0</v>
      </c>
      <c r="EQ75" s="627">
        <v>0</v>
      </c>
      <c r="ER75" s="627">
        <v>59.920999999999999</v>
      </c>
      <c r="ES75" s="627">
        <v>0</v>
      </c>
      <c r="ET75" s="627">
        <v>187.739</v>
      </c>
      <c r="EU75" s="627">
        <v>0</v>
      </c>
      <c r="EV75" s="627">
        <v>0</v>
      </c>
      <c r="EW75" s="627">
        <v>0</v>
      </c>
      <c r="EX75" s="627">
        <v>0</v>
      </c>
      <c r="EY75" s="627">
        <v>0</v>
      </c>
      <c r="EZ75" s="627">
        <v>0</v>
      </c>
      <c r="FA75" s="627">
        <v>16447957</v>
      </c>
      <c r="FB75" s="627">
        <v>0</v>
      </c>
      <c r="FC75" s="627">
        <v>17076366</v>
      </c>
      <c r="FD75" s="627">
        <v>0</v>
      </c>
      <c r="FE75" s="627">
        <v>0</v>
      </c>
      <c r="FF75" s="627">
        <v>2454907</v>
      </c>
      <c r="FG75" s="627">
        <v>425160</v>
      </c>
      <c r="FH75" s="627">
        <v>7.0280999999999996E-2</v>
      </c>
      <c r="FI75" s="627">
        <v>3.1172999999999999E-2</v>
      </c>
      <c r="FJ75" s="627">
        <v>0</v>
      </c>
      <c r="FK75" s="627">
        <v>0</v>
      </c>
      <c r="FL75" s="627">
        <v>2767.6</v>
      </c>
      <c r="FM75" s="627">
        <v>20214176</v>
      </c>
      <c r="FN75" s="627">
        <v>0</v>
      </c>
      <c r="FO75" s="627">
        <v>0</v>
      </c>
      <c r="FP75" s="627">
        <v>26460</v>
      </c>
      <c r="FQ75" s="627">
        <v>0</v>
      </c>
      <c r="FR75" s="627">
        <v>26460</v>
      </c>
      <c r="FS75" s="627">
        <v>26460</v>
      </c>
      <c r="FT75" s="627">
        <v>0</v>
      </c>
      <c r="FU75" s="627">
        <v>0</v>
      </c>
      <c r="FV75" s="627">
        <v>0</v>
      </c>
      <c r="FW75" s="627">
        <v>0</v>
      </c>
      <c r="FX75" s="627">
        <v>0</v>
      </c>
      <c r="FY75" s="627">
        <v>0</v>
      </c>
      <c r="FZ75" s="627">
        <v>0</v>
      </c>
      <c r="GA75" s="627">
        <v>0</v>
      </c>
      <c r="GB75" s="627">
        <v>0</v>
      </c>
      <c r="GC75" s="627">
        <v>713656</v>
      </c>
      <c r="GD75" s="627">
        <v>713656</v>
      </c>
      <c r="GE75" s="627">
        <v>73.939000000000007</v>
      </c>
      <c r="GF75" s="627">
        <v>0</v>
      </c>
      <c r="GG75" s="627">
        <v>0</v>
      </c>
      <c r="GH75" s="627">
        <v>0</v>
      </c>
      <c r="GI75" s="627">
        <v>0</v>
      </c>
      <c r="GJ75" s="627">
        <v>0</v>
      </c>
      <c r="GK75" s="627">
        <v>0</v>
      </c>
      <c r="GL75" s="627">
        <v>0</v>
      </c>
      <c r="GM75" s="627">
        <v>0</v>
      </c>
      <c r="GN75" s="627">
        <v>0</v>
      </c>
      <c r="GO75" s="627">
        <v>0</v>
      </c>
      <c r="GP75" s="627">
        <v>0</v>
      </c>
      <c r="GQ75" s="627">
        <v>0</v>
      </c>
      <c r="GR75" s="627">
        <v>19323211</v>
      </c>
      <c r="GS75" s="627">
        <v>0</v>
      </c>
      <c r="GT75" s="627">
        <v>0</v>
      </c>
      <c r="GU75" s="627">
        <v>0</v>
      </c>
      <c r="GV75" s="627">
        <v>0</v>
      </c>
      <c r="GW75" s="627">
        <v>0</v>
      </c>
      <c r="GX75" s="627">
        <v>0</v>
      </c>
      <c r="GY75" s="627">
        <v>0</v>
      </c>
      <c r="GZ75" s="627">
        <v>0</v>
      </c>
      <c r="HA75" s="627">
        <v>0</v>
      </c>
      <c r="HB75" s="627">
        <v>0</v>
      </c>
      <c r="HC75" s="627">
        <v>361151439</v>
      </c>
      <c r="HD75" s="627">
        <v>3.9981999999999997E-2</v>
      </c>
      <c r="HE75" s="627">
        <v>257743</v>
      </c>
      <c r="HF75" s="627">
        <v>0</v>
      </c>
      <c r="HG75" s="627">
        <v>1628484</v>
      </c>
      <c r="HH75" s="627">
        <v>1848</v>
      </c>
      <c r="HI75" s="627">
        <v>473154</v>
      </c>
      <c r="HJ75" s="627">
        <v>0</v>
      </c>
      <c r="HK75" s="627">
        <v>106116</v>
      </c>
      <c r="HL75" s="627">
        <v>3552</v>
      </c>
      <c r="HM75" s="627">
        <v>2751</v>
      </c>
      <c r="HN75" s="627">
        <v>3000</v>
      </c>
      <c r="HO75" s="627">
        <v>0</v>
      </c>
      <c r="HP75" s="627">
        <v>28000</v>
      </c>
      <c r="HQ75" s="627">
        <v>0</v>
      </c>
      <c r="HR75" s="627">
        <v>0</v>
      </c>
      <c r="HS75" s="627">
        <v>0</v>
      </c>
      <c r="HT75" s="627">
        <v>16443144</v>
      </c>
      <c r="HU75" s="627">
        <v>425160</v>
      </c>
      <c r="HV75" s="627">
        <v>0</v>
      </c>
      <c r="HW75" s="627">
        <v>0</v>
      </c>
      <c r="HX75" s="627">
        <v>0</v>
      </c>
      <c r="HY75" s="627">
        <v>48</v>
      </c>
      <c r="HZ75" s="627">
        <v>125</v>
      </c>
      <c r="IA75" s="627">
        <v>304</v>
      </c>
      <c r="IB75" s="627">
        <v>488</v>
      </c>
      <c r="IC75" s="627">
        <v>853</v>
      </c>
      <c r="ID75" s="627">
        <v>1818</v>
      </c>
      <c r="IE75" s="627">
        <v>0</v>
      </c>
      <c r="IF75" s="627">
        <v>0</v>
      </c>
      <c r="IG75" s="627">
        <v>0</v>
      </c>
      <c r="IH75" s="627">
        <v>3</v>
      </c>
      <c r="II75" s="627">
        <v>768.10700000000008</v>
      </c>
      <c r="IJ75" s="627">
        <v>0</v>
      </c>
      <c r="IK75" s="627">
        <v>1056.94</v>
      </c>
      <c r="IL75" s="627">
        <v>0</v>
      </c>
      <c r="IM75" s="627">
        <v>0</v>
      </c>
      <c r="IN75" s="627">
        <v>1</v>
      </c>
      <c r="IO75" s="627">
        <v>0</v>
      </c>
      <c r="IP75" s="627">
        <v>1</v>
      </c>
      <c r="IQ75" s="627">
        <v>0</v>
      </c>
      <c r="IR75" s="627">
        <v>1056.94</v>
      </c>
      <c r="IS75" s="627">
        <v>651075</v>
      </c>
      <c r="IT75" s="627">
        <v>0</v>
      </c>
      <c r="IU75" s="627">
        <v>0</v>
      </c>
      <c r="IV75" s="627">
        <v>3000</v>
      </c>
      <c r="IW75" s="627">
        <v>0</v>
      </c>
      <c r="IX75" s="627">
        <v>6160</v>
      </c>
      <c r="IY75" s="627">
        <v>0</v>
      </c>
      <c r="IZ75" s="627">
        <v>0</v>
      </c>
      <c r="JA75" s="627">
        <v>0</v>
      </c>
      <c r="JB75" s="627">
        <v>0</v>
      </c>
      <c r="JC75" s="627">
        <v>0</v>
      </c>
      <c r="JD75" s="627">
        <v>0</v>
      </c>
      <c r="JE75" s="627">
        <v>0</v>
      </c>
      <c r="JF75" s="627">
        <v>0</v>
      </c>
      <c r="JG75" s="627">
        <v>0</v>
      </c>
      <c r="JH75" s="627">
        <v>0</v>
      </c>
      <c r="JI75" s="627">
        <v>0</v>
      </c>
      <c r="JJ75" s="627">
        <v>0</v>
      </c>
      <c r="JK75" s="627">
        <v>0</v>
      </c>
      <c r="JL75" s="627">
        <v>0</v>
      </c>
      <c r="JM75" s="627">
        <v>0</v>
      </c>
      <c r="JN75" s="627">
        <v>0</v>
      </c>
      <c r="JO75" s="627">
        <v>32469</v>
      </c>
      <c r="JP75" s="627">
        <v>17.649000000000001</v>
      </c>
      <c r="JQ75" s="627">
        <v>20.461000000000002</v>
      </c>
      <c r="JR75" s="627">
        <v>35.829000000000001</v>
      </c>
      <c r="JS75" s="627">
        <v>140984</v>
      </c>
      <c r="JT75" s="627">
        <v>190192</v>
      </c>
      <c r="JU75" s="627">
        <v>382480</v>
      </c>
      <c r="JV75" s="627">
        <v>34746</v>
      </c>
      <c r="JW75" s="627">
        <v>0</v>
      </c>
      <c r="JX75" s="627">
        <v>0</v>
      </c>
      <c r="JY75" s="627">
        <v>0</v>
      </c>
      <c r="JZ75" s="627">
        <v>0</v>
      </c>
      <c r="KA75" s="627">
        <v>0</v>
      </c>
      <c r="KB75" s="627">
        <v>0</v>
      </c>
      <c r="KC75" s="627">
        <v>0</v>
      </c>
      <c r="KD75" s="627">
        <v>0</v>
      </c>
      <c r="KE75" s="627">
        <v>34927</v>
      </c>
      <c r="KF75" s="627">
        <v>7262</v>
      </c>
      <c r="KG75" s="627">
        <v>0</v>
      </c>
      <c r="KH75" s="627">
        <v>0</v>
      </c>
      <c r="KI75" s="627">
        <v>19323211</v>
      </c>
      <c r="KJ75" s="627">
        <v>0</v>
      </c>
      <c r="KK75" s="627">
        <v>2</v>
      </c>
      <c r="KL75" s="627">
        <v>1</v>
      </c>
      <c r="KM75" s="627">
        <v>1232</v>
      </c>
      <c r="KN75" s="627">
        <v>616</v>
      </c>
      <c r="KO75" s="627">
        <v>0</v>
      </c>
      <c r="KP75" s="627">
        <v>0</v>
      </c>
      <c r="KQ75" s="627">
        <v>19323211</v>
      </c>
      <c r="KR75" s="627">
        <v>0</v>
      </c>
      <c r="KS75" s="627">
        <v>0</v>
      </c>
      <c r="KT75" s="627">
        <v>0</v>
      </c>
      <c r="KU75" s="627">
        <v>0</v>
      </c>
      <c r="KV75" s="627">
        <v>0</v>
      </c>
      <c r="KW75" s="627">
        <v>0</v>
      </c>
      <c r="KX75" s="627">
        <v>0</v>
      </c>
      <c r="KY75" s="627">
        <v>0</v>
      </c>
      <c r="KZ75" s="627">
        <v>0</v>
      </c>
      <c r="LA75" s="627">
        <v>0</v>
      </c>
      <c r="LB75" s="627">
        <v>0</v>
      </c>
      <c r="LC75" s="627">
        <v>0</v>
      </c>
      <c r="LD75" s="627">
        <v>0</v>
      </c>
      <c r="LE75" s="627">
        <v>0</v>
      </c>
      <c r="LF75" s="627">
        <v>0</v>
      </c>
    </row>
    <row r="76" spans="1:318" x14ac:dyDescent="0.25">
      <c r="A76" s="627">
        <v>42602</v>
      </c>
      <c r="B76" s="627">
        <v>152806</v>
      </c>
      <c r="D76" s="627">
        <v>9</v>
      </c>
      <c r="E76" s="627">
        <v>2024</v>
      </c>
      <c r="F76" s="627">
        <v>6160</v>
      </c>
      <c r="G76" s="627">
        <v>0</v>
      </c>
      <c r="H76" s="627">
        <v>160.89000000000001</v>
      </c>
      <c r="I76" s="627">
        <v>125.44</v>
      </c>
      <c r="J76" s="627">
        <v>125.44</v>
      </c>
      <c r="K76" s="627">
        <v>160.89000000000001</v>
      </c>
      <c r="L76" s="627">
        <v>0</v>
      </c>
      <c r="M76" s="627">
        <v>6160</v>
      </c>
      <c r="N76" s="627">
        <v>0</v>
      </c>
      <c r="O76" s="627">
        <v>0</v>
      </c>
      <c r="P76" s="627">
        <v>0</v>
      </c>
      <c r="Q76" s="627">
        <v>164.488</v>
      </c>
      <c r="R76" s="627">
        <v>0</v>
      </c>
      <c r="S76" s="627">
        <v>68243</v>
      </c>
      <c r="T76" s="627">
        <v>414.88400000000001</v>
      </c>
      <c r="U76" s="627">
        <v>0</v>
      </c>
      <c r="V76" s="627">
        <v>35415</v>
      </c>
      <c r="W76" s="627">
        <v>0</v>
      </c>
      <c r="X76" s="627">
        <v>0</v>
      </c>
      <c r="Y76" s="627">
        <v>0</v>
      </c>
      <c r="Z76" s="627">
        <v>0</v>
      </c>
      <c r="AA76" s="627">
        <v>0</v>
      </c>
      <c r="AB76" s="627">
        <v>0</v>
      </c>
      <c r="AC76" s="627">
        <v>0</v>
      </c>
      <c r="AD76" s="627">
        <v>0</v>
      </c>
      <c r="AE76" s="627" t="s">
        <v>314</v>
      </c>
      <c r="AF76" s="627">
        <v>0</v>
      </c>
      <c r="AG76" s="627">
        <v>0</v>
      </c>
      <c r="AH76" s="627">
        <v>0</v>
      </c>
      <c r="AI76" s="627">
        <v>0</v>
      </c>
      <c r="AJ76" s="627">
        <v>0</v>
      </c>
      <c r="AK76" s="627">
        <v>6160</v>
      </c>
      <c r="AL76" s="627" t="s">
        <v>651</v>
      </c>
      <c r="AM76" s="627" t="s">
        <v>535</v>
      </c>
      <c r="AN76" s="627">
        <v>0</v>
      </c>
      <c r="AO76" s="627">
        <v>0</v>
      </c>
      <c r="AP76" s="627">
        <v>0</v>
      </c>
      <c r="AQ76" s="627">
        <v>0</v>
      </c>
      <c r="AR76" s="627">
        <v>0</v>
      </c>
      <c r="AS76" s="627">
        <v>0</v>
      </c>
      <c r="AT76" s="627">
        <v>0</v>
      </c>
      <c r="AU76" s="627">
        <v>0</v>
      </c>
      <c r="AV76" s="627">
        <v>0</v>
      </c>
      <c r="AW76" s="627">
        <v>0</v>
      </c>
      <c r="AX76" s="627">
        <v>2226872</v>
      </c>
      <c r="AY76" s="627">
        <v>2229319</v>
      </c>
      <c r="AZ76" s="627">
        <v>1015081</v>
      </c>
      <c r="BA76" s="627">
        <v>68243</v>
      </c>
      <c r="BB76" s="627">
        <v>0</v>
      </c>
      <c r="BC76" s="627">
        <v>0</v>
      </c>
      <c r="BD76" s="627">
        <v>0</v>
      </c>
      <c r="BE76" s="627">
        <v>0</v>
      </c>
      <c r="BF76" s="627">
        <v>0</v>
      </c>
      <c r="BG76" s="627">
        <v>1926152</v>
      </c>
      <c r="BH76" s="627">
        <v>0</v>
      </c>
      <c r="BI76" s="627">
        <v>0</v>
      </c>
      <c r="BJ76" s="627">
        <v>0</v>
      </c>
      <c r="BK76" s="627">
        <v>12</v>
      </c>
      <c r="BL76" s="627">
        <v>0</v>
      </c>
      <c r="BM76" s="627">
        <v>0</v>
      </c>
      <c r="BN76" s="627">
        <v>0</v>
      </c>
      <c r="BO76" s="627">
        <v>0</v>
      </c>
      <c r="BP76" s="627">
        <v>0</v>
      </c>
      <c r="BQ76" s="627">
        <v>0</v>
      </c>
      <c r="BR76" s="627">
        <v>751</v>
      </c>
      <c r="BS76" s="627">
        <v>0</v>
      </c>
      <c r="BT76" s="627">
        <v>0</v>
      </c>
      <c r="BU76" s="627">
        <v>0</v>
      </c>
      <c r="BV76" s="627">
        <v>0</v>
      </c>
      <c r="BW76" s="627">
        <v>0</v>
      </c>
      <c r="BX76" s="627">
        <v>0</v>
      </c>
      <c r="BY76" s="627">
        <v>0</v>
      </c>
      <c r="BZ76" s="627">
        <v>0</v>
      </c>
      <c r="CA76" s="627">
        <v>0</v>
      </c>
      <c r="CB76" s="627">
        <v>46.016000000000005</v>
      </c>
      <c r="CC76" s="627">
        <v>46016</v>
      </c>
      <c r="CD76" s="627">
        <v>0</v>
      </c>
      <c r="CE76" s="627">
        <v>0</v>
      </c>
      <c r="CF76" s="627">
        <v>0</v>
      </c>
      <c r="CG76" s="627">
        <v>0</v>
      </c>
      <c r="CH76" s="627">
        <v>0</v>
      </c>
      <c r="CI76" s="627">
        <v>0</v>
      </c>
      <c r="CJ76" s="627">
        <v>0</v>
      </c>
      <c r="CK76" s="627">
        <v>4</v>
      </c>
      <c r="CL76" s="627">
        <v>0</v>
      </c>
      <c r="CM76" s="627">
        <v>0</v>
      </c>
      <c r="CN76" s="627">
        <v>0</v>
      </c>
      <c r="CO76" s="627">
        <v>0</v>
      </c>
      <c r="CP76" s="627">
        <v>1</v>
      </c>
      <c r="CQ76" s="627">
        <v>0</v>
      </c>
      <c r="CR76" s="627">
        <v>0</v>
      </c>
      <c r="CS76" s="627">
        <v>169.42100000000002</v>
      </c>
      <c r="CT76" s="627">
        <v>0</v>
      </c>
      <c r="CU76" s="627">
        <v>0</v>
      </c>
      <c r="CV76" s="627">
        <v>0</v>
      </c>
      <c r="CW76" s="627">
        <v>0</v>
      </c>
      <c r="CX76" s="627">
        <v>0</v>
      </c>
      <c r="CY76" s="627">
        <v>0</v>
      </c>
      <c r="CZ76" s="627">
        <v>0</v>
      </c>
      <c r="DA76" s="627">
        <v>0</v>
      </c>
      <c r="DB76" s="627">
        <v>0</v>
      </c>
      <c r="DC76" s="627">
        <v>772710</v>
      </c>
      <c r="DD76" s="627">
        <v>0</v>
      </c>
      <c r="DE76" s="627">
        <v>0</v>
      </c>
      <c r="DF76" s="627">
        <v>209671</v>
      </c>
      <c r="DG76" s="627">
        <v>209671</v>
      </c>
      <c r="DH76" s="627">
        <v>34.038000000000004</v>
      </c>
      <c r="DI76" s="627">
        <v>0</v>
      </c>
      <c r="DJ76" s="627">
        <v>0</v>
      </c>
      <c r="DK76" s="627">
        <v>0</v>
      </c>
      <c r="DL76" s="627">
        <v>3633</v>
      </c>
      <c r="DM76" s="627">
        <v>0</v>
      </c>
      <c r="DN76" s="627">
        <v>717927</v>
      </c>
      <c r="DO76" s="627">
        <v>2447</v>
      </c>
      <c r="DP76" s="627">
        <v>0</v>
      </c>
      <c r="DQ76" s="627">
        <v>0</v>
      </c>
      <c r="DR76" s="627">
        <v>0</v>
      </c>
      <c r="DS76" s="627">
        <v>0</v>
      </c>
      <c r="DT76" s="627">
        <v>0</v>
      </c>
      <c r="DU76" s="627">
        <v>0</v>
      </c>
      <c r="DV76" s="627">
        <v>0</v>
      </c>
      <c r="DW76" s="627">
        <v>0</v>
      </c>
      <c r="DX76" s="627">
        <v>0</v>
      </c>
      <c r="DY76" s="627">
        <v>0</v>
      </c>
      <c r="DZ76" s="627">
        <v>0</v>
      </c>
      <c r="EA76" s="627">
        <v>0</v>
      </c>
      <c r="EB76" s="627">
        <v>0</v>
      </c>
      <c r="EC76" s="627">
        <v>0</v>
      </c>
      <c r="ED76" s="627">
        <v>7.0120000000000005</v>
      </c>
      <c r="EE76" s="627">
        <v>49673</v>
      </c>
      <c r="EF76" s="627">
        <v>0</v>
      </c>
      <c r="EG76" s="627">
        <v>0</v>
      </c>
      <c r="EH76" s="627">
        <v>0</v>
      </c>
      <c r="EI76" s="627">
        <v>670701</v>
      </c>
      <c r="EJ76" s="627">
        <v>0</v>
      </c>
      <c r="EK76" s="627">
        <v>0</v>
      </c>
      <c r="EL76" s="627">
        <v>33.713999999999999</v>
      </c>
      <c r="EM76" s="627">
        <v>0</v>
      </c>
      <c r="EN76" s="627">
        <v>0.47100000000000003</v>
      </c>
      <c r="EO76" s="627">
        <v>1.2650000000000001</v>
      </c>
      <c r="EP76" s="627">
        <v>0</v>
      </c>
      <c r="EQ76" s="627">
        <v>0</v>
      </c>
      <c r="ER76" s="627">
        <v>35.450000000000003</v>
      </c>
      <c r="ES76" s="627">
        <v>0</v>
      </c>
      <c r="ET76" s="627">
        <v>108.88</v>
      </c>
      <c r="EU76" s="627">
        <v>0</v>
      </c>
      <c r="EV76" s="627">
        <v>0</v>
      </c>
      <c r="EW76" s="627">
        <v>0</v>
      </c>
      <c r="EX76" s="627">
        <v>0</v>
      </c>
      <c r="EY76" s="627">
        <v>0</v>
      </c>
      <c r="EZ76" s="627">
        <v>0</v>
      </c>
      <c r="FA76" s="627">
        <v>1903925</v>
      </c>
      <c r="FB76" s="627">
        <v>0</v>
      </c>
      <c r="FC76" s="627">
        <v>1969721</v>
      </c>
      <c r="FD76" s="627">
        <v>0</v>
      </c>
      <c r="FE76" s="627">
        <v>0</v>
      </c>
      <c r="FF76" s="627">
        <v>277359</v>
      </c>
      <c r="FG76" s="627">
        <v>48035</v>
      </c>
      <c r="FH76" s="627">
        <v>7.0280999999999996E-2</v>
      </c>
      <c r="FI76" s="627">
        <v>3.1172999999999999E-2</v>
      </c>
      <c r="FJ76" s="627">
        <v>0</v>
      </c>
      <c r="FK76" s="627">
        <v>0</v>
      </c>
      <c r="FL76" s="627">
        <v>312.68700000000001</v>
      </c>
      <c r="FM76" s="627">
        <v>2295115</v>
      </c>
      <c r="FN76" s="627">
        <v>0</v>
      </c>
      <c r="FO76" s="627">
        <v>0</v>
      </c>
      <c r="FP76" s="627">
        <v>0</v>
      </c>
      <c r="FQ76" s="627">
        <v>0</v>
      </c>
      <c r="FR76" s="627">
        <v>0</v>
      </c>
      <c r="FS76" s="627">
        <v>0</v>
      </c>
      <c r="FT76" s="627">
        <v>0</v>
      </c>
      <c r="FU76" s="627">
        <v>0</v>
      </c>
      <c r="FV76" s="627">
        <v>0</v>
      </c>
      <c r="FW76" s="627">
        <v>0</v>
      </c>
      <c r="FX76" s="627">
        <v>0</v>
      </c>
      <c r="FY76" s="627">
        <v>0</v>
      </c>
      <c r="FZ76" s="627">
        <v>0</v>
      </c>
      <c r="GA76" s="627">
        <v>0</v>
      </c>
      <c r="GB76" s="627">
        <v>0</v>
      </c>
      <c r="GC76" s="627">
        <v>0</v>
      </c>
      <c r="GD76" s="627">
        <v>0</v>
      </c>
      <c r="GE76" s="627">
        <v>0</v>
      </c>
      <c r="GF76" s="627">
        <v>0</v>
      </c>
      <c r="GG76" s="627">
        <v>0</v>
      </c>
      <c r="GH76" s="627">
        <v>0</v>
      </c>
      <c r="GI76" s="627">
        <v>0</v>
      </c>
      <c r="GJ76" s="627">
        <v>0</v>
      </c>
      <c r="GK76" s="627">
        <v>0</v>
      </c>
      <c r="GL76" s="627">
        <v>0</v>
      </c>
      <c r="GM76" s="627">
        <v>0</v>
      </c>
      <c r="GN76" s="627">
        <v>0</v>
      </c>
      <c r="GO76" s="627">
        <v>0</v>
      </c>
      <c r="GP76" s="627">
        <v>0</v>
      </c>
      <c r="GQ76" s="627">
        <v>0</v>
      </c>
      <c r="GR76" s="627">
        <v>2226872</v>
      </c>
      <c r="GS76" s="627">
        <v>0</v>
      </c>
      <c r="GT76" s="627">
        <v>0</v>
      </c>
      <c r="GU76" s="627">
        <v>0</v>
      </c>
      <c r="GV76" s="627">
        <v>0</v>
      </c>
      <c r="GW76" s="627">
        <v>0</v>
      </c>
      <c r="GX76" s="627">
        <v>0</v>
      </c>
      <c r="GY76" s="627">
        <v>0</v>
      </c>
      <c r="GZ76" s="627">
        <v>0</v>
      </c>
      <c r="HA76" s="627">
        <v>0</v>
      </c>
      <c r="HB76" s="627">
        <v>0</v>
      </c>
      <c r="HC76" s="627">
        <v>0</v>
      </c>
      <c r="HD76" s="627">
        <v>3.9981999999999997E-2</v>
      </c>
      <c r="HE76" s="627">
        <v>0</v>
      </c>
      <c r="HF76" s="627">
        <v>0</v>
      </c>
      <c r="HG76" s="627">
        <v>138235</v>
      </c>
      <c r="HH76" s="627">
        <v>15400</v>
      </c>
      <c r="HI76" s="627">
        <v>53153</v>
      </c>
      <c r="HJ76" s="627">
        <v>0</v>
      </c>
      <c r="HK76" s="627">
        <v>16609</v>
      </c>
      <c r="HL76" s="627">
        <v>0</v>
      </c>
      <c r="HM76" s="627">
        <v>0</v>
      </c>
      <c r="HN76" s="627">
        <v>0</v>
      </c>
      <c r="HO76" s="627">
        <v>0</v>
      </c>
      <c r="HP76" s="627">
        <v>0</v>
      </c>
      <c r="HQ76" s="627">
        <v>0</v>
      </c>
      <c r="HR76" s="627">
        <v>0</v>
      </c>
      <c r="HS76" s="627">
        <v>0</v>
      </c>
      <c r="HT76" s="627">
        <v>1901478</v>
      </c>
      <c r="HU76" s="627">
        <v>48035</v>
      </c>
      <c r="HV76" s="627">
        <v>0</v>
      </c>
      <c r="HW76" s="627">
        <v>0</v>
      </c>
      <c r="HX76" s="627">
        <v>0</v>
      </c>
      <c r="HY76" s="627">
        <v>17</v>
      </c>
      <c r="HZ76" s="627">
        <v>22</v>
      </c>
      <c r="IA76" s="627">
        <v>28</v>
      </c>
      <c r="IB76" s="627">
        <v>35</v>
      </c>
      <c r="IC76" s="627">
        <v>32</v>
      </c>
      <c r="ID76" s="627">
        <v>134</v>
      </c>
      <c r="IE76" s="627">
        <v>0</v>
      </c>
      <c r="IF76" s="627">
        <v>0</v>
      </c>
      <c r="IG76" s="627">
        <v>0</v>
      </c>
      <c r="IH76" s="627">
        <v>25</v>
      </c>
      <c r="II76" s="627">
        <v>86.288000000000011</v>
      </c>
      <c r="IJ76" s="627">
        <v>0</v>
      </c>
      <c r="IK76" s="627">
        <v>0</v>
      </c>
      <c r="IL76" s="627">
        <v>0</v>
      </c>
      <c r="IM76" s="627">
        <v>0</v>
      </c>
      <c r="IN76" s="627">
        <v>0</v>
      </c>
      <c r="IO76" s="627">
        <v>0</v>
      </c>
      <c r="IP76" s="627">
        <v>0</v>
      </c>
      <c r="IQ76" s="627">
        <v>0</v>
      </c>
      <c r="IR76" s="627">
        <v>0</v>
      </c>
      <c r="IS76" s="627">
        <v>0</v>
      </c>
      <c r="IT76" s="627">
        <v>0</v>
      </c>
      <c r="IU76" s="627">
        <v>0</v>
      </c>
      <c r="IV76" s="627">
        <v>0</v>
      </c>
      <c r="IW76" s="627">
        <v>0</v>
      </c>
      <c r="IX76" s="627">
        <v>6160</v>
      </c>
      <c r="IY76" s="627">
        <v>0</v>
      </c>
      <c r="IZ76" s="627">
        <v>0</v>
      </c>
      <c r="JA76" s="627">
        <v>0</v>
      </c>
      <c r="JB76" s="627">
        <v>0</v>
      </c>
      <c r="JC76" s="627">
        <v>0</v>
      </c>
      <c r="JD76" s="627">
        <v>0</v>
      </c>
      <c r="JE76" s="627">
        <v>0</v>
      </c>
      <c r="JF76" s="627">
        <v>0</v>
      </c>
      <c r="JG76" s="627">
        <v>0</v>
      </c>
      <c r="JH76" s="627">
        <v>0</v>
      </c>
      <c r="JI76" s="627">
        <v>0</v>
      </c>
      <c r="JJ76" s="627">
        <v>0</v>
      </c>
      <c r="JK76" s="627">
        <v>0</v>
      </c>
      <c r="JL76" s="627">
        <v>0</v>
      </c>
      <c r="JM76" s="627">
        <v>0</v>
      </c>
      <c r="JN76" s="627">
        <v>0</v>
      </c>
      <c r="JO76" s="627">
        <v>32469</v>
      </c>
      <c r="JP76" s="627">
        <v>0</v>
      </c>
      <c r="JQ76" s="627">
        <v>0</v>
      </c>
      <c r="JR76" s="627">
        <v>0</v>
      </c>
      <c r="JS76" s="627">
        <v>0</v>
      </c>
      <c r="JT76" s="627">
        <v>0</v>
      </c>
      <c r="JU76" s="627">
        <v>0</v>
      </c>
      <c r="JV76" s="627">
        <v>0</v>
      </c>
      <c r="JW76" s="627">
        <v>0</v>
      </c>
      <c r="JX76" s="627">
        <v>0</v>
      </c>
      <c r="JY76" s="627">
        <v>0</v>
      </c>
      <c r="JZ76" s="627">
        <v>0</v>
      </c>
      <c r="KA76" s="627">
        <v>0</v>
      </c>
      <c r="KB76" s="627">
        <v>0</v>
      </c>
      <c r="KC76" s="627">
        <v>0</v>
      </c>
      <c r="KD76" s="627">
        <v>0</v>
      </c>
      <c r="KE76" s="627">
        <v>0</v>
      </c>
      <c r="KF76" s="627">
        <v>7262</v>
      </c>
      <c r="KG76" s="627">
        <v>0</v>
      </c>
      <c r="KH76" s="627">
        <v>0</v>
      </c>
      <c r="KI76" s="627">
        <v>2226872</v>
      </c>
      <c r="KJ76" s="627">
        <v>0</v>
      </c>
      <c r="KK76" s="627">
        <v>13</v>
      </c>
      <c r="KL76" s="627">
        <v>12</v>
      </c>
      <c r="KM76" s="627">
        <v>8008</v>
      </c>
      <c r="KN76" s="627">
        <v>7392</v>
      </c>
      <c r="KO76" s="627">
        <v>0</v>
      </c>
      <c r="KP76" s="627">
        <v>0</v>
      </c>
      <c r="KQ76" s="627">
        <v>2226872</v>
      </c>
      <c r="KR76" s="627">
        <v>0</v>
      </c>
      <c r="KS76" s="627">
        <v>0</v>
      </c>
      <c r="KT76" s="627">
        <v>0</v>
      </c>
      <c r="KU76" s="627">
        <v>0</v>
      </c>
      <c r="KV76" s="627">
        <v>0</v>
      </c>
      <c r="KW76" s="627">
        <v>0</v>
      </c>
      <c r="KX76" s="627">
        <v>0</v>
      </c>
      <c r="KY76" s="627">
        <v>0</v>
      </c>
      <c r="KZ76" s="627">
        <v>0</v>
      </c>
      <c r="LA76" s="627">
        <v>0</v>
      </c>
      <c r="LB76" s="627">
        <v>0</v>
      </c>
      <c r="LC76" s="627">
        <v>0</v>
      </c>
      <c r="LD76" s="627">
        <v>0</v>
      </c>
      <c r="LE76" s="627">
        <v>0</v>
      </c>
      <c r="LF76" s="627">
        <v>0</v>
      </c>
    </row>
    <row r="77" spans="1:318" x14ac:dyDescent="0.25">
      <c r="A77" s="627">
        <v>42602</v>
      </c>
      <c r="B77" s="627">
        <v>227806</v>
      </c>
      <c r="D77" s="627">
        <v>9</v>
      </c>
      <c r="E77" s="627">
        <v>2024</v>
      </c>
      <c r="F77" s="627">
        <v>6160</v>
      </c>
      <c r="G77" s="627">
        <v>0</v>
      </c>
      <c r="H77" s="627">
        <v>469.017</v>
      </c>
      <c r="I77" s="627">
        <v>304.26100000000002</v>
      </c>
      <c r="J77" s="627">
        <v>304.26100000000002</v>
      </c>
      <c r="K77" s="627">
        <v>469.017</v>
      </c>
      <c r="L77" s="627">
        <v>0</v>
      </c>
      <c r="M77" s="627">
        <v>6160</v>
      </c>
      <c r="N77" s="627">
        <v>0</v>
      </c>
      <c r="O77" s="627">
        <v>0</v>
      </c>
      <c r="P77" s="627">
        <v>0</v>
      </c>
      <c r="Q77" s="627">
        <v>491.39100000000002</v>
      </c>
      <c r="R77" s="627">
        <v>0</v>
      </c>
      <c r="S77" s="627">
        <v>203870</v>
      </c>
      <c r="T77" s="627">
        <v>414.88400000000001</v>
      </c>
      <c r="U77" s="627">
        <v>0</v>
      </c>
      <c r="V77" s="627">
        <v>105801</v>
      </c>
      <c r="W77" s="627">
        <v>20.333000000000002</v>
      </c>
      <c r="X77" s="627">
        <v>12525</v>
      </c>
      <c r="Y77" s="627">
        <v>12525</v>
      </c>
      <c r="Z77" s="627">
        <v>0</v>
      </c>
      <c r="AA77" s="627">
        <v>0</v>
      </c>
      <c r="AB77" s="627">
        <v>0</v>
      </c>
      <c r="AC77" s="627">
        <v>0</v>
      </c>
      <c r="AD77" s="627">
        <v>0</v>
      </c>
      <c r="AE77" s="627" t="s">
        <v>314</v>
      </c>
      <c r="AF77" s="627">
        <v>0</v>
      </c>
      <c r="AG77" s="627">
        <v>0</v>
      </c>
      <c r="AH77" s="627">
        <v>0</v>
      </c>
      <c r="AI77" s="627">
        <v>0</v>
      </c>
      <c r="AJ77" s="627">
        <v>0</v>
      </c>
      <c r="AK77" s="627">
        <v>6160</v>
      </c>
      <c r="AL77" s="627" t="s">
        <v>651</v>
      </c>
      <c r="AM77" s="627" t="s">
        <v>85</v>
      </c>
      <c r="AN77" s="627">
        <v>0</v>
      </c>
      <c r="AO77" s="627">
        <v>0</v>
      </c>
      <c r="AP77" s="627">
        <v>0</v>
      </c>
      <c r="AQ77" s="627">
        <v>0</v>
      </c>
      <c r="AR77" s="627">
        <v>0</v>
      </c>
      <c r="AS77" s="627">
        <v>0</v>
      </c>
      <c r="AT77" s="627">
        <v>0</v>
      </c>
      <c r="AU77" s="627">
        <v>0</v>
      </c>
      <c r="AV77" s="627">
        <v>0</v>
      </c>
      <c r="AW77" s="627">
        <v>0</v>
      </c>
      <c r="AX77" s="627">
        <v>8782414</v>
      </c>
      <c r="AY77" s="627">
        <v>8721664</v>
      </c>
      <c r="AZ77" s="627">
        <v>4358844</v>
      </c>
      <c r="BA77" s="627">
        <v>203870</v>
      </c>
      <c r="BB77" s="627">
        <v>0</v>
      </c>
      <c r="BC77" s="627">
        <v>2982</v>
      </c>
      <c r="BD77" s="627">
        <v>2963</v>
      </c>
      <c r="BE77" s="627">
        <v>7</v>
      </c>
      <c r="BF77" s="627">
        <v>19</v>
      </c>
      <c r="BG77" s="627">
        <v>7481910</v>
      </c>
      <c r="BH77" s="627">
        <v>0</v>
      </c>
      <c r="BI77" s="627">
        <v>0</v>
      </c>
      <c r="BJ77" s="627">
        <v>0</v>
      </c>
      <c r="BK77" s="627">
        <v>12</v>
      </c>
      <c r="BL77" s="627">
        <v>0</v>
      </c>
      <c r="BM77" s="627">
        <v>0</v>
      </c>
      <c r="BN77" s="627">
        <v>0</v>
      </c>
      <c r="BO77" s="627">
        <v>0</v>
      </c>
      <c r="BP77" s="627">
        <v>0</v>
      </c>
      <c r="BQ77" s="627">
        <v>0</v>
      </c>
      <c r="BR77" s="627">
        <v>723</v>
      </c>
      <c r="BS77" s="627">
        <v>0</v>
      </c>
      <c r="BT77" s="627">
        <v>0</v>
      </c>
      <c r="BU77" s="627">
        <v>0</v>
      </c>
      <c r="BV77" s="627">
        <v>0</v>
      </c>
      <c r="BW77" s="627">
        <v>0</v>
      </c>
      <c r="BX77" s="627">
        <v>0</v>
      </c>
      <c r="BY77" s="627">
        <v>0</v>
      </c>
      <c r="BZ77" s="627">
        <v>0</v>
      </c>
      <c r="CA77" s="627">
        <v>0</v>
      </c>
      <c r="CB77" s="627">
        <v>0</v>
      </c>
      <c r="CC77" s="627">
        <v>0</v>
      </c>
      <c r="CD77" s="627">
        <v>0</v>
      </c>
      <c r="CE77" s="627">
        <v>0</v>
      </c>
      <c r="CF77" s="627">
        <v>0</v>
      </c>
      <c r="CG77" s="627">
        <v>0</v>
      </c>
      <c r="CH77" s="627">
        <v>0</v>
      </c>
      <c r="CI77" s="627">
        <v>75009</v>
      </c>
      <c r="CJ77" s="627">
        <v>0</v>
      </c>
      <c r="CK77" s="627">
        <v>4</v>
      </c>
      <c r="CL77" s="627">
        <v>0</v>
      </c>
      <c r="CM77" s="627">
        <v>0</v>
      </c>
      <c r="CN77" s="627">
        <v>0</v>
      </c>
      <c r="CO77" s="627">
        <v>0</v>
      </c>
      <c r="CP77" s="627">
        <v>1</v>
      </c>
      <c r="CQ77" s="627">
        <v>0.27900000000000003</v>
      </c>
      <c r="CR77" s="627">
        <v>0</v>
      </c>
      <c r="CS77" s="627">
        <v>496.64</v>
      </c>
      <c r="CT77" s="627">
        <v>0</v>
      </c>
      <c r="CU77" s="627">
        <v>0</v>
      </c>
      <c r="CV77" s="627">
        <v>0</v>
      </c>
      <c r="CW77" s="627">
        <v>0</v>
      </c>
      <c r="CX77" s="627">
        <v>0</v>
      </c>
      <c r="CY77" s="627">
        <v>0</v>
      </c>
      <c r="CZ77" s="627">
        <v>0</v>
      </c>
      <c r="DA77" s="627">
        <v>0</v>
      </c>
      <c r="DB77" s="627">
        <v>0</v>
      </c>
      <c r="DC77" s="627">
        <v>1223512</v>
      </c>
      <c r="DD77" s="627">
        <v>0</v>
      </c>
      <c r="DE77" s="627">
        <v>0</v>
      </c>
      <c r="DF77" s="627">
        <v>434049</v>
      </c>
      <c r="DG77" s="627">
        <v>555231</v>
      </c>
      <c r="DH77" s="627">
        <v>70.463000000000008</v>
      </c>
      <c r="DI77" s="627">
        <v>0</v>
      </c>
      <c r="DJ77" s="627">
        <v>4142</v>
      </c>
      <c r="DK77" s="627">
        <v>0</v>
      </c>
      <c r="DL77" s="627">
        <v>3193</v>
      </c>
      <c r="DM77" s="627">
        <v>0</v>
      </c>
      <c r="DN77" s="627">
        <v>4828715</v>
      </c>
      <c r="DO77" s="627">
        <v>14240</v>
      </c>
      <c r="DP77" s="627">
        <v>0</v>
      </c>
      <c r="DQ77" s="627">
        <v>0</v>
      </c>
      <c r="DR77" s="627">
        <v>0</v>
      </c>
      <c r="DS77" s="627">
        <v>0</v>
      </c>
      <c r="DT77" s="627">
        <v>0</v>
      </c>
      <c r="DU77" s="627">
        <v>0</v>
      </c>
      <c r="DV77" s="627">
        <v>0</v>
      </c>
      <c r="DW77" s="627">
        <v>0</v>
      </c>
      <c r="DX77" s="627">
        <v>0</v>
      </c>
      <c r="DY77" s="627">
        <v>0</v>
      </c>
      <c r="DZ77" s="627">
        <v>0</v>
      </c>
      <c r="EA77" s="627">
        <v>0</v>
      </c>
      <c r="EB77" s="627">
        <v>9.6000000000000002E-2</v>
      </c>
      <c r="EC77" s="627">
        <v>0</v>
      </c>
      <c r="ED77" s="627">
        <v>18.741</v>
      </c>
      <c r="EE77" s="627">
        <v>132761</v>
      </c>
      <c r="EF77" s="627">
        <v>0</v>
      </c>
      <c r="EG77" s="627">
        <v>0</v>
      </c>
      <c r="EH77" s="627">
        <v>0</v>
      </c>
      <c r="EI77" s="627">
        <v>92492</v>
      </c>
      <c r="EJ77" s="627">
        <v>3966966</v>
      </c>
      <c r="EK77" s="627">
        <v>160.99700000000001</v>
      </c>
      <c r="EL77" s="627">
        <v>1.8900000000000001</v>
      </c>
      <c r="EM77" s="627">
        <v>0</v>
      </c>
      <c r="EN77" s="627">
        <v>0</v>
      </c>
      <c r="EO77" s="627">
        <v>1.7730000000000001</v>
      </c>
      <c r="EP77" s="627">
        <v>0</v>
      </c>
      <c r="EQ77" s="627">
        <v>0</v>
      </c>
      <c r="ER77" s="627">
        <v>164.756</v>
      </c>
      <c r="ES77" s="627">
        <v>0</v>
      </c>
      <c r="ET77" s="627">
        <v>15.015000000000001</v>
      </c>
      <c r="EU77" s="627">
        <v>0</v>
      </c>
      <c r="EV77" s="627">
        <v>0</v>
      </c>
      <c r="EW77" s="627">
        <v>0</v>
      </c>
      <c r="EX77" s="627">
        <v>0</v>
      </c>
      <c r="EY77" s="627">
        <v>0</v>
      </c>
      <c r="EZ77" s="627">
        <v>0</v>
      </c>
      <c r="FA77" s="627">
        <v>7457710</v>
      </c>
      <c r="FB77" s="627">
        <v>0</v>
      </c>
      <c r="FC77" s="627">
        <v>7647321</v>
      </c>
      <c r="FD77" s="627">
        <v>0</v>
      </c>
      <c r="FE77" s="627">
        <v>0</v>
      </c>
      <c r="FF77" s="627">
        <v>1077367</v>
      </c>
      <c r="FG77" s="627">
        <v>186587</v>
      </c>
      <c r="FH77" s="627">
        <v>7.0280999999999996E-2</v>
      </c>
      <c r="FI77" s="627">
        <v>3.1172999999999999E-2</v>
      </c>
      <c r="FJ77" s="627">
        <v>0</v>
      </c>
      <c r="FK77" s="627">
        <v>0</v>
      </c>
      <c r="FL77" s="627">
        <v>1214.596</v>
      </c>
      <c r="FM77" s="627">
        <v>8986284</v>
      </c>
      <c r="FN77" s="627">
        <v>0</v>
      </c>
      <c r="FO77" s="627">
        <v>0</v>
      </c>
      <c r="FP77" s="627">
        <v>0</v>
      </c>
      <c r="FQ77" s="627">
        <v>0</v>
      </c>
      <c r="FR77" s="627">
        <v>0</v>
      </c>
      <c r="FS77" s="627">
        <v>0</v>
      </c>
      <c r="FT77" s="627">
        <v>0</v>
      </c>
      <c r="FU77" s="627">
        <v>0</v>
      </c>
      <c r="FV77" s="627">
        <v>0</v>
      </c>
      <c r="FW77" s="627">
        <v>0</v>
      </c>
      <c r="FX77" s="627">
        <v>0</v>
      </c>
      <c r="FY77" s="627">
        <v>0</v>
      </c>
      <c r="FZ77" s="627">
        <v>0</v>
      </c>
      <c r="GA77" s="627">
        <v>0</v>
      </c>
      <c r="GB77" s="627">
        <v>0</v>
      </c>
      <c r="GC77" s="627">
        <v>0</v>
      </c>
      <c r="GD77" s="627">
        <v>0</v>
      </c>
      <c r="GE77" s="627">
        <v>0</v>
      </c>
      <c r="GF77" s="627">
        <v>0</v>
      </c>
      <c r="GG77" s="627">
        <v>0</v>
      </c>
      <c r="GH77" s="627">
        <v>0</v>
      </c>
      <c r="GI77" s="627">
        <v>0</v>
      </c>
      <c r="GJ77" s="627">
        <v>0</v>
      </c>
      <c r="GK77" s="627">
        <v>0</v>
      </c>
      <c r="GL77" s="627">
        <v>0</v>
      </c>
      <c r="GM77" s="627">
        <v>0</v>
      </c>
      <c r="GN77" s="627">
        <v>0</v>
      </c>
      <c r="GO77" s="627">
        <v>0</v>
      </c>
      <c r="GP77" s="627">
        <v>0</v>
      </c>
      <c r="GQ77" s="627">
        <v>0</v>
      </c>
      <c r="GR77" s="627">
        <v>8707405</v>
      </c>
      <c r="GS77" s="627">
        <v>0</v>
      </c>
      <c r="GT77" s="627">
        <v>0</v>
      </c>
      <c r="GU77" s="627">
        <v>0</v>
      </c>
      <c r="GV77" s="627">
        <v>0</v>
      </c>
      <c r="GW77" s="627">
        <v>0</v>
      </c>
      <c r="GX77" s="627">
        <v>0</v>
      </c>
      <c r="GY77" s="627">
        <v>0</v>
      </c>
      <c r="GZ77" s="627">
        <v>0</v>
      </c>
      <c r="HA77" s="627">
        <v>0</v>
      </c>
      <c r="HB77" s="627">
        <v>0</v>
      </c>
      <c r="HC77" s="627">
        <v>361151439</v>
      </c>
      <c r="HD77" s="627">
        <v>3.9981999999999997E-2</v>
      </c>
      <c r="HE77" s="627">
        <v>75009</v>
      </c>
      <c r="HF77" s="627">
        <v>0</v>
      </c>
      <c r="HG77" s="627">
        <v>335296</v>
      </c>
      <c r="HH77" s="627">
        <v>10472</v>
      </c>
      <c r="HI77" s="627">
        <v>7854</v>
      </c>
      <c r="HJ77" s="627">
        <v>0</v>
      </c>
      <c r="HK77" s="627">
        <v>319690</v>
      </c>
      <c r="HL77" s="627">
        <v>3672</v>
      </c>
      <c r="HM77" s="627">
        <v>2429</v>
      </c>
      <c r="HN77" s="627">
        <v>0</v>
      </c>
      <c r="HO77" s="627">
        <v>171393</v>
      </c>
      <c r="HP77" s="627">
        <v>0</v>
      </c>
      <c r="HQ77" s="627">
        <v>124766</v>
      </c>
      <c r="HR77" s="627">
        <v>0</v>
      </c>
      <c r="HS77" s="627">
        <v>0</v>
      </c>
      <c r="HT77" s="627">
        <v>7443451</v>
      </c>
      <c r="HU77" s="627">
        <v>186587</v>
      </c>
      <c r="HV77" s="627">
        <v>0</v>
      </c>
      <c r="HW77" s="627">
        <v>0</v>
      </c>
      <c r="HX77" s="627">
        <v>0</v>
      </c>
      <c r="HY77" s="627">
        <v>6</v>
      </c>
      <c r="HZ77" s="627">
        <v>5</v>
      </c>
      <c r="IA77" s="627">
        <v>7</v>
      </c>
      <c r="IB77" s="627">
        <v>8</v>
      </c>
      <c r="IC77" s="627">
        <v>233</v>
      </c>
      <c r="ID77" s="627">
        <v>259</v>
      </c>
      <c r="IE77" s="627">
        <v>95</v>
      </c>
      <c r="IF77" s="627">
        <v>0</v>
      </c>
      <c r="IG77" s="627">
        <v>0</v>
      </c>
      <c r="IH77" s="627">
        <v>17</v>
      </c>
      <c r="II77" s="627">
        <v>12.75</v>
      </c>
      <c r="IJ77" s="627">
        <v>453.69400000000002</v>
      </c>
      <c r="IK77" s="627">
        <v>20.333000000000002</v>
      </c>
      <c r="IL77" s="627">
        <v>177.46700000000001</v>
      </c>
      <c r="IM77" s="627">
        <v>0</v>
      </c>
      <c r="IN77" s="627">
        <v>0</v>
      </c>
      <c r="IO77" s="627">
        <v>0</v>
      </c>
      <c r="IP77" s="627">
        <v>0</v>
      </c>
      <c r="IQ77" s="627">
        <v>631.16100000000006</v>
      </c>
      <c r="IR77" s="627">
        <v>20.333000000000002</v>
      </c>
      <c r="IS77" s="627">
        <v>12525</v>
      </c>
      <c r="IT77" s="627">
        <v>48803</v>
      </c>
      <c r="IU77" s="627">
        <v>0</v>
      </c>
      <c r="IV77" s="627">
        <v>0</v>
      </c>
      <c r="IW77" s="627">
        <v>0</v>
      </c>
      <c r="IX77" s="627">
        <v>6160</v>
      </c>
      <c r="IY77" s="627">
        <v>0</v>
      </c>
      <c r="IZ77" s="627">
        <v>0</v>
      </c>
      <c r="JA77" s="627">
        <v>173569</v>
      </c>
      <c r="JB77" s="627">
        <v>117040</v>
      </c>
      <c r="JC77" s="627">
        <v>3</v>
      </c>
      <c r="JD77" s="627">
        <v>66921</v>
      </c>
      <c r="JE77" s="627">
        <v>5</v>
      </c>
      <c r="JF77" s="627">
        <v>60920</v>
      </c>
      <c r="JG77" s="627">
        <v>6</v>
      </c>
      <c r="JH77" s="627">
        <v>36552</v>
      </c>
      <c r="JI77" s="627">
        <v>7000</v>
      </c>
      <c r="JJ77" s="627">
        <v>0</v>
      </c>
      <c r="JK77" s="627">
        <v>0</v>
      </c>
      <c r="JL77" s="627">
        <v>0</v>
      </c>
      <c r="JM77" s="627">
        <v>0</v>
      </c>
      <c r="JN77" s="627">
        <v>0</v>
      </c>
      <c r="JO77" s="627">
        <v>32469</v>
      </c>
      <c r="JP77" s="627">
        <v>0</v>
      </c>
      <c r="JQ77" s="627">
        <v>0</v>
      </c>
      <c r="JR77" s="627">
        <v>0</v>
      </c>
      <c r="JS77" s="627">
        <v>0</v>
      </c>
      <c r="JT77" s="627">
        <v>0</v>
      </c>
      <c r="JU77" s="627">
        <v>0</v>
      </c>
      <c r="JV77" s="627">
        <v>3018</v>
      </c>
      <c r="JW77" s="627">
        <v>0</v>
      </c>
      <c r="JX77" s="627">
        <v>0</v>
      </c>
      <c r="JY77" s="627">
        <v>0</v>
      </c>
      <c r="JZ77" s="627">
        <v>0</v>
      </c>
      <c r="KA77" s="627">
        <v>0</v>
      </c>
      <c r="KB77" s="627">
        <v>0</v>
      </c>
      <c r="KC77" s="627">
        <v>0</v>
      </c>
      <c r="KD77" s="627">
        <v>0</v>
      </c>
      <c r="KE77" s="627">
        <v>3018</v>
      </c>
      <c r="KF77" s="627">
        <v>7262</v>
      </c>
      <c r="KG77" s="627">
        <v>0</v>
      </c>
      <c r="KH77" s="627">
        <v>0</v>
      </c>
      <c r="KI77" s="627">
        <v>8707405</v>
      </c>
      <c r="KJ77" s="627">
        <v>0</v>
      </c>
      <c r="KK77" s="627">
        <v>8</v>
      </c>
      <c r="KL77" s="627">
        <v>9</v>
      </c>
      <c r="KM77" s="627">
        <v>4928</v>
      </c>
      <c r="KN77" s="627">
        <v>5544</v>
      </c>
      <c r="KO77" s="627">
        <v>0</v>
      </c>
      <c r="KP77" s="627">
        <v>0</v>
      </c>
      <c r="KQ77" s="627">
        <v>8707405</v>
      </c>
      <c r="KR77" s="627">
        <v>0</v>
      </c>
      <c r="KS77" s="627">
        <v>0</v>
      </c>
      <c r="KT77" s="627">
        <v>0</v>
      </c>
      <c r="KU77" s="627">
        <v>0</v>
      </c>
      <c r="KV77" s="627">
        <v>0</v>
      </c>
      <c r="KW77" s="627">
        <v>0</v>
      </c>
      <c r="KX77" s="627">
        <v>0</v>
      </c>
      <c r="KY77" s="627">
        <v>0</v>
      </c>
      <c r="KZ77" s="627">
        <v>0</v>
      </c>
      <c r="LA77" s="627">
        <v>0</v>
      </c>
      <c r="LB77" s="627">
        <v>0</v>
      </c>
      <c r="LC77" s="627">
        <v>0</v>
      </c>
      <c r="LD77" s="627">
        <v>0</v>
      </c>
      <c r="LE77" s="627">
        <v>0</v>
      </c>
      <c r="LF77" s="627">
        <v>0</v>
      </c>
    </row>
    <row r="78" spans="1:318" x14ac:dyDescent="0.25">
      <c r="A78" s="627">
        <v>42602</v>
      </c>
      <c r="B78" s="627">
        <v>15807</v>
      </c>
      <c r="D78" s="627">
        <v>9</v>
      </c>
      <c r="E78" s="627">
        <v>2024</v>
      </c>
      <c r="F78" s="627">
        <v>6160</v>
      </c>
      <c r="G78" s="627">
        <v>0</v>
      </c>
      <c r="H78" s="627">
        <v>684.69299999999998</v>
      </c>
      <c r="I78" s="627">
        <v>577.18299999999999</v>
      </c>
      <c r="J78" s="627">
        <v>577.18299999999999</v>
      </c>
      <c r="K78" s="627">
        <v>684.69299999999998</v>
      </c>
      <c r="L78" s="627">
        <v>0</v>
      </c>
      <c r="M78" s="627">
        <v>6160</v>
      </c>
      <c r="N78" s="627">
        <v>0</v>
      </c>
      <c r="O78" s="627">
        <v>0</v>
      </c>
      <c r="P78" s="627">
        <v>0</v>
      </c>
      <c r="Q78" s="627">
        <v>679.58699999999999</v>
      </c>
      <c r="R78" s="627">
        <v>0</v>
      </c>
      <c r="S78" s="627">
        <v>281950</v>
      </c>
      <c r="T78" s="627">
        <v>414.88400000000001</v>
      </c>
      <c r="U78" s="627">
        <v>0</v>
      </c>
      <c r="V78" s="627">
        <v>146320</v>
      </c>
      <c r="W78" s="627">
        <v>85.213999999999999</v>
      </c>
      <c r="X78" s="627">
        <v>52492</v>
      </c>
      <c r="Y78" s="627">
        <v>52492</v>
      </c>
      <c r="Z78" s="627">
        <v>0</v>
      </c>
      <c r="AA78" s="627">
        <v>0</v>
      </c>
      <c r="AB78" s="627">
        <v>0</v>
      </c>
      <c r="AC78" s="627">
        <v>0</v>
      </c>
      <c r="AD78" s="627">
        <v>0</v>
      </c>
      <c r="AE78" s="627" t="s">
        <v>314</v>
      </c>
      <c r="AF78" s="627">
        <v>0</v>
      </c>
      <c r="AG78" s="627">
        <v>0</v>
      </c>
      <c r="AH78" s="627">
        <v>0</v>
      </c>
      <c r="AI78" s="627">
        <v>0</v>
      </c>
      <c r="AJ78" s="627">
        <v>0</v>
      </c>
      <c r="AK78" s="627">
        <v>6160</v>
      </c>
      <c r="AL78" s="627" t="s">
        <v>651</v>
      </c>
      <c r="AM78" s="627" t="s">
        <v>38</v>
      </c>
      <c r="AN78" s="627">
        <v>0</v>
      </c>
      <c r="AO78" s="627">
        <v>0</v>
      </c>
      <c r="AP78" s="627">
        <v>0</v>
      </c>
      <c r="AQ78" s="627">
        <v>0</v>
      </c>
      <c r="AR78" s="627">
        <v>0</v>
      </c>
      <c r="AS78" s="627">
        <v>0</v>
      </c>
      <c r="AT78" s="627">
        <v>0</v>
      </c>
      <c r="AU78" s="627">
        <v>0</v>
      </c>
      <c r="AV78" s="627">
        <v>0</v>
      </c>
      <c r="AW78" s="627">
        <v>0</v>
      </c>
      <c r="AX78" s="627">
        <v>8185306</v>
      </c>
      <c r="AY78" s="627">
        <v>8079189</v>
      </c>
      <c r="AZ78" s="627">
        <v>4042815</v>
      </c>
      <c r="BA78" s="627">
        <v>281950</v>
      </c>
      <c r="BB78" s="627">
        <v>36.082999999999998</v>
      </c>
      <c r="BC78" s="627">
        <v>12356</v>
      </c>
      <c r="BD78" s="627">
        <v>12277</v>
      </c>
      <c r="BE78" s="627">
        <v>29</v>
      </c>
      <c r="BF78" s="627">
        <v>79</v>
      </c>
      <c r="BG78" s="627">
        <v>7132419</v>
      </c>
      <c r="BH78" s="627">
        <v>0</v>
      </c>
      <c r="BI78" s="627">
        <v>0</v>
      </c>
      <c r="BJ78" s="627">
        <v>0</v>
      </c>
      <c r="BK78" s="627">
        <v>12</v>
      </c>
      <c r="BL78" s="627">
        <v>0</v>
      </c>
      <c r="BM78" s="627">
        <v>0</v>
      </c>
      <c r="BN78" s="627">
        <v>0</v>
      </c>
      <c r="BO78" s="627">
        <v>0</v>
      </c>
      <c r="BP78" s="627">
        <v>0</v>
      </c>
      <c r="BQ78" s="627">
        <v>0</v>
      </c>
      <c r="BR78" s="627">
        <v>681</v>
      </c>
      <c r="BS78" s="627">
        <v>0</v>
      </c>
      <c r="BT78" s="627">
        <v>0</v>
      </c>
      <c r="BU78" s="627">
        <v>0</v>
      </c>
      <c r="BV78" s="627">
        <v>0</v>
      </c>
      <c r="BW78" s="627">
        <v>0</v>
      </c>
      <c r="BX78" s="627">
        <v>0</v>
      </c>
      <c r="BY78" s="627">
        <v>0</v>
      </c>
      <c r="BZ78" s="627">
        <v>0</v>
      </c>
      <c r="CA78" s="627">
        <v>0</v>
      </c>
      <c r="CB78" s="627">
        <v>0</v>
      </c>
      <c r="CC78" s="627">
        <v>0</v>
      </c>
      <c r="CD78" s="627">
        <v>0</v>
      </c>
      <c r="CE78" s="627">
        <v>0</v>
      </c>
      <c r="CF78" s="627">
        <v>0</v>
      </c>
      <c r="CG78" s="627">
        <v>0</v>
      </c>
      <c r="CH78" s="627">
        <v>0</v>
      </c>
      <c r="CI78" s="627">
        <v>109502</v>
      </c>
      <c r="CJ78" s="627">
        <v>0</v>
      </c>
      <c r="CK78" s="627">
        <v>4</v>
      </c>
      <c r="CL78" s="627">
        <v>0</v>
      </c>
      <c r="CM78" s="627">
        <v>0</v>
      </c>
      <c r="CN78" s="627">
        <v>0</v>
      </c>
      <c r="CO78" s="627">
        <v>0</v>
      </c>
      <c r="CP78" s="627">
        <v>1</v>
      </c>
      <c r="CQ78" s="627">
        <v>0</v>
      </c>
      <c r="CR78" s="627">
        <v>1</v>
      </c>
      <c r="CS78" s="627">
        <v>680.63900000000001</v>
      </c>
      <c r="CT78" s="627">
        <v>0</v>
      </c>
      <c r="CU78" s="627">
        <v>0</v>
      </c>
      <c r="CV78" s="627">
        <v>0</v>
      </c>
      <c r="CW78" s="627">
        <v>0</v>
      </c>
      <c r="CX78" s="627">
        <v>0</v>
      </c>
      <c r="CY78" s="627">
        <v>0</v>
      </c>
      <c r="CZ78" s="627">
        <v>0</v>
      </c>
      <c r="DA78" s="627">
        <v>0</v>
      </c>
      <c r="DB78" s="627">
        <v>0</v>
      </c>
      <c r="DC78" s="627">
        <v>3555447</v>
      </c>
      <c r="DD78" s="627">
        <v>0</v>
      </c>
      <c r="DE78" s="627">
        <v>0</v>
      </c>
      <c r="DF78" s="627">
        <v>977592</v>
      </c>
      <c r="DG78" s="627">
        <v>977592</v>
      </c>
      <c r="DH78" s="627">
        <v>158.70000000000002</v>
      </c>
      <c r="DI78" s="627">
        <v>0</v>
      </c>
      <c r="DJ78" s="627">
        <v>0</v>
      </c>
      <c r="DK78" s="627">
        <v>0</v>
      </c>
      <c r="DL78" s="627">
        <v>2520</v>
      </c>
      <c r="DM78" s="627">
        <v>0</v>
      </c>
      <c r="DN78" s="627">
        <v>970038</v>
      </c>
      <c r="DO78" s="627">
        <v>3306</v>
      </c>
      <c r="DP78" s="627">
        <v>0</v>
      </c>
      <c r="DQ78" s="627">
        <v>0</v>
      </c>
      <c r="DR78" s="627">
        <v>0</v>
      </c>
      <c r="DS78" s="627">
        <v>0</v>
      </c>
      <c r="DT78" s="627">
        <v>0</v>
      </c>
      <c r="DU78" s="627">
        <v>0</v>
      </c>
      <c r="DV78" s="627">
        <v>0</v>
      </c>
      <c r="DW78" s="627">
        <v>0</v>
      </c>
      <c r="DX78" s="627">
        <v>0</v>
      </c>
      <c r="DY78" s="627">
        <v>0</v>
      </c>
      <c r="DZ78" s="627">
        <v>0</v>
      </c>
      <c r="EA78" s="627">
        <v>0</v>
      </c>
      <c r="EB78" s="627">
        <v>0</v>
      </c>
      <c r="EC78" s="627">
        <v>0</v>
      </c>
      <c r="ED78" s="627">
        <v>43.655999999999999</v>
      </c>
      <c r="EE78" s="627">
        <v>309259</v>
      </c>
      <c r="EF78" s="627">
        <v>0</v>
      </c>
      <c r="EG78" s="627">
        <v>0</v>
      </c>
      <c r="EH78" s="627">
        <v>0</v>
      </c>
      <c r="EI78" s="627">
        <v>664085</v>
      </c>
      <c r="EJ78" s="627">
        <v>0</v>
      </c>
      <c r="EK78" s="627">
        <v>0</v>
      </c>
      <c r="EL78" s="627">
        <v>31.952000000000002</v>
      </c>
      <c r="EM78" s="627">
        <v>0</v>
      </c>
      <c r="EN78" s="627">
        <v>0.63</v>
      </c>
      <c r="EO78" s="627">
        <v>2.012</v>
      </c>
      <c r="EP78" s="627">
        <v>0</v>
      </c>
      <c r="EQ78" s="627">
        <v>0</v>
      </c>
      <c r="ER78" s="627">
        <v>34.594000000000001</v>
      </c>
      <c r="ES78" s="627">
        <v>0</v>
      </c>
      <c r="ET78" s="627">
        <v>107.80600000000001</v>
      </c>
      <c r="EU78" s="627">
        <v>0</v>
      </c>
      <c r="EV78" s="627">
        <v>0</v>
      </c>
      <c r="EW78" s="627">
        <v>0</v>
      </c>
      <c r="EX78" s="627">
        <v>0</v>
      </c>
      <c r="EY78" s="627">
        <v>0</v>
      </c>
      <c r="EZ78" s="627">
        <v>0</v>
      </c>
      <c r="FA78" s="627">
        <v>6874277</v>
      </c>
      <c r="FB78" s="627">
        <v>0</v>
      </c>
      <c r="FC78" s="627">
        <v>7152842</v>
      </c>
      <c r="FD78" s="627">
        <v>0</v>
      </c>
      <c r="FE78" s="627">
        <v>0</v>
      </c>
      <c r="FF78" s="627">
        <v>1027041</v>
      </c>
      <c r="FG78" s="627">
        <v>177871</v>
      </c>
      <c r="FH78" s="627">
        <v>7.0280999999999996E-2</v>
      </c>
      <c r="FI78" s="627">
        <v>3.1172999999999999E-2</v>
      </c>
      <c r="FJ78" s="627">
        <v>0</v>
      </c>
      <c r="FK78" s="627">
        <v>0</v>
      </c>
      <c r="FL78" s="627">
        <v>1157.8600000000001</v>
      </c>
      <c r="FM78" s="627">
        <v>8467256</v>
      </c>
      <c r="FN78" s="627">
        <v>0</v>
      </c>
      <c r="FO78" s="627">
        <v>0</v>
      </c>
      <c r="FP78" s="627">
        <v>19886</v>
      </c>
      <c r="FQ78" s="627">
        <v>0</v>
      </c>
      <c r="FR78" s="627">
        <v>19886</v>
      </c>
      <c r="FS78" s="627">
        <v>19886</v>
      </c>
      <c r="FT78" s="627">
        <v>0</v>
      </c>
      <c r="FU78" s="627">
        <v>0</v>
      </c>
      <c r="FV78" s="627">
        <v>0</v>
      </c>
      <c r="FW78" s="627">
        <v>0</v>
      </c>
      <c r="FX78" s="627">
        <v>0</v>
      </c>
      <c r="FY78" s="627">
        <v>0</v>
      </c>
      <c r="FZ78" s="627">
        <v>0</v>
      </c>
      <c r="GA78" s="627">
        <v>0</v>
      </c>
      <c r="GB78" s="627">
        <v>0</v>
      </c>
      <c r="GC78" s="627">
        <v>700188</v>
      </c>
      <c r="GD78" s="627">
        <v>700188</v>
      </c>
      <c r="GE78" s="627">
        <v>72.915999999999997</v>
      </c>
      <c r="GF78" s="627">
        <v>0</v>
      </c>
      <c r="GG78" s="627">
        <v>0</v>
      </c>
      <c r="GH78" s="627">
        <v>0</v>
      </c>
      <c r="GI78" s="627">
        <v>0</v>
      </c>
      <c r="GJ78" s="627">
        <v>0</v>
      </c>
      <c r="GK78" s="627">
        <v>0</v>
      </c>
      <c r="GL78" s="627">
        <v>0</v>
      </c>
      <c r="GM78" s="627">
        <v>0</v>
      </c>
      <c r="GN78" s="627">
        <v>0</v>
      </c>
      <c r="GO78" s="627">
        <v>0</v>
      </c>
      <c r="GP78" s="627">
        <v>0</v>
      </c>
      <c r="GQ78" s="627">
        <v>0</v>
      </c>
      <c r="GR78" s="627">
        <v>8075804</v>
      </c>
      <c r="GS78" s="627">
        <v>0</v>
      </c>
      <c r="GT78" s="627">
        <v>0</v>
      </c>
      <c r="GU78" s="627">
        <v>0</v>
      </c>
      <c r="GV78" s="627">
        <v>0</v>
      </c>
      <c r="GW78" s="627">
        <v>0</v>
      </c>
      <c r="GX78" s="627">
        <v>0</v>
      </c>
      <c r="GY78" s="627">
        <v>0</v>
      </c>
      <c r="GZ78" s="627">
        <v>0</v>
      </c>
      <c r="HA78" s="627">
        <v>0</v>
      </c>
      <c r="HB78" s="627">
        <v>0</v>
      </c>
      <c r="HC78" s="627">
        <v>361151439</v>
      </c>
      <c r="HD78" s="627">
        <v>3.9981999999999997E-2</v>
      </c>
      <c r="HE78" s="627">
        <v>109502</v>
      </c>
      <c r="HF78" s="627">
        <v>0</v>
      </c>
      <c r="HG78" s="627">
        <v>636056</v>
      </c>
      <c r="HH78" s="627">
        <v>19096</v>
      </c>
      <c r="HI78" s="627">
        <v>94001</v>
      </c>
      <c r="HJ78" s="627">
        <v>0</v>
      </c>
      <c r="HK78" s="627">
        <v>96847</v>
      </c>
      <c r="HL78" s="627">
        <v>2128</v>
      </c>
      <c r="HM78" s="627">
        <v>1794</v>
      </c>
      <c r="HN78" s="627">
        <v>10000</v>
      </c>
      <c r="HO78" s="627">
        <v>5000</v>
      </c>
      <c r="HP78" s="627">
        <v>0</v>
      </c>
      <c r="HQ78" s="627">
        <v>0</v>
      </c>
      <c r="HR78" s="627">
        <v>0</v>
      </c>
      <c r="HS78" s="627">
        <v>0</v>
      </c>
      <c r="HT78" s="627">
        <v>6870892</v>
      </c>
      <c r="HU78" s="627">
        <v>177871</v>
      </c>
      <c r="HV78" s="627">
        <v>0</v>
      </c>
      <c r="HW78" s="627">
        <v>0</v>
      </c>
      <c r="HX78" s="627">
        <v>0</v>
      </c>
      <c r="HY78" s="627">
        <v>41</v>
      </c>
      <c r="HZ78" s="627">
        <v>95</v>
      </c>
      <c r="IA78" s="627">
        <v>100</v>
      </c>
      <c r="IB78" s="627">
        <v>119</v>
      </c>
      <c r="IC78" s="627">
        <v>257</v>
      </c>
      <c r="ID78" s="627">
        <v>612</v>
      </c>
      <c r="IE78" s="627">
        <v>0</v>
      </c>
      <c r="IF78" s="627">
        <v>0</v>
      </c>
      <c r="IG78" s="627">
        <v>0</v>
      </c>
      <c r="IH78" s="627">
        <v>31</v>
      </c>
      <c r="II78" s="627">
        <v>152.59900000000002</v>
      </c>
      <c r="IJ78" s="627">
        <v>0</v>
      </c>
      <c r="IK78" s="627">
        <v>85.213999999999999</v>
      </c>
      <c r="IL78" s="627">
        <v>0</v>
      </c>
      <c r="IM78" s="627">
        <v>2</v>
      </c>
      <c r="IN78" s="627">
        <v>0</v>
      </c>
      <c r="IO78" s="627">
        <v>0</v>
      </c>
      <c r="IP78" s="627">
        <v>2</v>
      </c>
      <c r="IQ78" s="627">
        <v>0</v>
      </c>
      <c r="IR78" s="627">
        <v>85.213999999999999</v>
      </c>
      <c r="IS78" s="627">
        <v>52492</v>
      </c>
      <c r="IT78" s="627">
        <v>0</v>
      </c>
      <c r="IU78" s="627">
        <v>10000</v>
      </c>
      <c r="IV78" s="627">
        <v>0</v>
      </c>
      <c r="IW78" s="627">
        <v>0</v>
      </c>
      <c r="IX78" s="627">
        <v>6160</v>
      </c>
      <c r="IY78" s="627">
        <v>0</v>
      </c>
      <c r="IZ78" s="627">
        <v>0</v>
      </c>
      <c r="JA78" s="627">
        <v>0</v>
      </c>
      <c r="JB78" s="627">
        <v>0</v>
      </c>
      <c r="JC78" s="627">
        <v>0</v>
      </c>
      <c r="JD78" s="627">
        <v>0</v>
      </c>
      <c r="JE78" s="627">
        <v>0</v>
      </c>
      <c r="JF78" s="627">
        <v>0</v>
      </c>
      <c r="JG78" s="627">
        <v>0</v>
      </c>
      <c r="JH78" s="627">
        <v>0</v>
      </c>
      <c r="JI78" s="627">
        <v>5000</v>
      </c>
      <c r="JJ78" s="627">
        <v>0</v>
      </c>
      <c r="JK78" s="627">
        <v>0</v>
      </c>
      <c r="JL78" s="627">
        <v>0</v>
      </c>
      <c r="JM78" s="627">
        <v>0</v>
      </c>
      <c r="JN78" s="627">
        <v>0</v>
      </c>
      <c r="JO78" s="627">
        <v>32469</v>
      </c>
      <c r="JP78" s="627">
        <v>1.4910000000000001</v>
      </c>
      <c r="JQ78" s="627">
        <v>53.78</v>
      </c>
      <c r="JR78" s="627">
        <v>17.646000000000001</v>
      </c>
      <c r="JS78" s="627">
        <v>11910</v>
      </c>
      <c r="JT78" s="627">
        <v>499904</v>
      </c>
      <c r="JU78" s="627">
        <v>188374</v>
      </c>
      <c r="JV78" s="627">
        <v>12505</v>
      </c>
      <c r="JW78" s="627">
        <v>0</v>
      </c>
      <c r="JX78" s="627">
        <v>0</v>
      </c>
      <c r="JY78" s="627">
        <v>0</v>
      </c>
      <c r="JZ78" s="627">
        <v>0</v>
      </c>
      <c r="KA78" s="627">
        <v>0</v>
      </c>
      <c r="KB78" s="627">
        <v>0</v>
      </c>
      <c r="KC78" s="627">
        <v>0</v>
      </c>
      <c r="KD78" s="627">
        <v>0</v>
      </c>
      <c r="KE78" s="627">
        <v>12505</v>
      </c>
      <c r="KF78" s="627">
        <v>7262</v>
      </c>
      <c r="KG78" s="627">
        <v>0</v>
      </c>
      <c r="KH78" s="627">
        <v>0</v>
      </c>
      <c r="KI78" s="627">
        <v>8075804</v>
      </c>
      <c r="KJ78" s="627">
        <v>0</v>
      </c>
      <c r="KK78" s="627">
        <v>8</v>
      </c>
      <c r="KL78" s="627">
        <v>23</v>
      </c>
      <c r="KM78" s="627">
        <v>4928</v>
      </c>
      <c r="KN78" s="627">
        <v>14168</v>
      </c>
      <c r="KO78" s="627">
        <v>0</v>
      </c>
      <c r="KP78" s="627">
        <v>0</v>
      </c>
      <c r="KQ78" s="627">
        <v>8075804</v>
      </c>
      <c r="KR78" s="627">
        <v>0</v>
      </c>
      <c r="KS78" s="627">
        <v>0</v>
      </c>
      <c r="KT78" s="627">
        <v>0</v>
      </c>
      <c r="KU78" s="627">
        <v>0</v>
      </c>
      <c r="KV78" s="627">
        <v>0</v>
      </c>
      <c r="KW78" s="627">
        <v>0</v>
      </c>
      <c r="KX78" s="627">
        <v>0</v>
      </c>
      <c r="KY78" s="627">
        <v>0</v>
      </c>
      <c r="KZ78" s="627">
        <v>0</v>
      </c>
      <c r="LA78" s="627">
        <v>0</v>
      </c>
      <c r="LB78" s="627">
        <v>0</v>
      </c>
      <c r="LC78" s="627">
        <v>0</v>
      </c>
      <c r="LD78" s="627">
        <v>0</v>
      </c>
      <c r="LE78" s="627">
        <v>0</v>
      </c>
      <c r="LF78" s="627">
        <v>0</v>
      </c>
    </row>
    <row r="79" spans="1:318" x14ac:dyDescent="0.25">
      <c r="A79" s="627">
        <v>42602</v>
      </c>
      <c r="B79" s="627">
        <v>57807</v>
      </c>
      <c r="D79" s="627">
        <v>9</v>
      </c>
      <c r="E79" s="627">
        <v>2024</v>
      </c>
      <c r="F79" s="627">
        <v>6160</v>
      </c>
      <c r="G79" s="627">
        <v>0</v>
      </c>
      <c r="H79" s="627">
        <v>5333.375</v>
      </c>
      <c r="I79" s="627">
        <v>4616.0870000000004</v>
      </c>
      <c r="J79" s="627">
        <v>4616.0870000000004</v>
      </c>
      <c r="K79" s="627">
        <v>5333.375</v>
      </c>
      <c r="L79" s="627">
        <v>0</v>
      </c>
      <c r="M79" s="627">
        <v>6160</v>
      </c>
      <c r="N79" s="627">
        <v>0</v>
      </c>
      <c r="O79" s="627">
        <v>0</v>
      </c>
      <c r="P79" s="627">
        <v>0</v>
      </c>
      <c r="Q79" s="627">
        <v>5144.5730000000003</v>
      </c>
      <c r="R79" s="627">
        <v>0</v>
      </c>
      <c r="S79" s="627">
        <v>2134401</v>
      </c>
      <c r="T79" s="627">
        <v>414.88400000000001</v>
      </c>
      <c r="U79" s="627">
        <v>0</v>
      </c>
      <c r="V79" s="627">
        <v>1107668</v>
      </c>
      <c r="W79" s="627">
        <v>582.17200000000003</v>
      </c>
      <c r="X79" s="627">
        <v>358618</v>
      </c>
      <c r="Y79" s="627">
        <v>358618</v>
      </c>
      <c r="Z79" s="627">
        <v>0</v>
      </c>
      <c r="AA79" s="627">
        <v>0</v>
      </c>
      <c r="AB79" s="627">
        <v>0</v>
      </c>
      <c r="AC79" s="627">
        <v>0</v>
      </c>
      <c r="AD79" s="627">
        <v>0</v>
      </c>
      <c r="AE79" s="627" t="s">
        <v>314</v>
      </c>
      <c r="AF79" s="627">
        <v>0</v>
      </c>
      <c r="AG79" s="627">
        <v>0</v>
      </c>
      <c r="AH79" s="627">
        <v>0</v>
      </c>
      <c r="AI79" s="627">
        <v>0</v>
      </c>
      <c r="AJ79" s="627">
        <v>0</v>
      </c>
      <c r="AK79" s="627">
        <v>6160</v>
      </c>
      <c r="AL79" s="627" t="s">
        <v>651</v>
      </c>
      <c r="AM79" s="627" t="s">
        <v>18</v>
      </c>
      <c r="AN79" s="627">
        <v>0</v>
      </c>
      <c r="AO79" s="627">
        <v>0</v>
      </c>
      <c r="AP79" s="627">
        <v>0</v>
      </c>
      <c r="AQ79" s="627">
        <v>0</v>
      </c>
      <c r="AR79" s="627">
        <v>0</v>
      </c>
      <c r="AS79" s="627">
        <v>0</v>
      </c>
      <c r="AT79" s="627">
        <v>0</v>
      </c>
      <c r="AU79" s="627">
        <v>0</v>
      </c>
      <c r="AV79" s="627">
        <v>0</v>
      </c>
      <c r="AW79" s="627">
        <v>0</v>
      </c>
      <c r="AX79" s="627">
        <v>59602372</v>
      </c>
      <c r="AY79" s="627">
        <v>58771677</v>
      </c>
      <c r="AZ79" s="627">
        <v>29612781</v>
      </c>
      <c r="BA79" s="627">
        <v>2134401</v>
      </c>
      <c r="BB79" s="627">
        <v>0</v>
      </c>
      <c r="BC79" s="627">
        <v>112906</v>
      </c>
      <c r="BD79" s="627">
        <v>112186</v>
      </c>
      <c r="BE79" s="627">
        <v>265</v>
      </c>
      <c r="BF79" s="627">
        <v>720</v>
      </c>
      <c r="BG79" s="627">
        <v>52044546</v>
      </c>
      <c r="BH79" s="627">
        <v>0</v>
      </c>
      <c r="BI79" s="627">
        <v>0</v>
      </c>
      <c r="BJ79" s="627">
        <v>0</v>
      </c>
      <c r="BK79" s="627">
        <v>12</v>
      </c>
      <c r="BL79" s="627">
        <v>0</v>
      </c>
      <c r="BM79" s="627">
        <v>0</v>
      </c>
      <c r="BN79" s="627">
        <v>0</v>
      </c>
      <c r="BO79" s="627">
        <v>0</v>
      </c>
      <c r="BP79" s="627">
        <v>0</v>
      </c>
      <c r="BQ79" s="627">
        <v>0</v>
      </c>
      <c r="BR79" s="627">
        <v>59</v>
      </c>
      <c r="BS79" s="627">
        <v>0</v>
      </c>
      <c r="BT79" s="627">
        <v>0</v>
      </c>
      <c r="BU79" s="627">
        <v>0</v>
      </c>
      <c r="BV79" s="627">
        <v>0</v>
      </c>
      <c r="BW79" s="627">
        <v>0</v>
      </c>
      <c r="BX79" s="627">
        <v>0</v>
      </c>
      <c r="BY79" s="627">
        <v>0</v>
      </c>
      <c r="BZ79" s="627">
        <v>0</v>
      </c>
      <c r="CA79" s="627">
        <v>0</v>
      </c>
      <c r="CB79" s="627">
        <v>0</v>
      </c>
      <c r="CC79" s="627">
        <v>0</v>
      </c>
      <c r="CD79" s="627">
        <v>0</v>
      </c>
      <c r="CE79" s="627">
        <v>0</v>
      </c>
      <c r="CF79" s="627">
        <v>0</v>
      </c>
      <c r="CG79" s="627">
        <v>0</v>
      </c>
      <c r="CH79" s="627">
        <v>0</v>
      </c>
      <c r="CI79" s="627">
        <v>852959</v>
      </c>
      <c r="CJ79" s="627">
        <v>0</v>
      </c>
      <c r="CK79" s="627">
        <v>4</v>
      </c>
      <c r="CL79" s="627">
        <v>0</v>
      </c>
      <c r="CM79" s="627">
        <v>0</v>
      </c>
      <c r="CN79" s="627">
        <v>0</v>
      </c>
      <c r="CO79" s="627">
        <v>0</v>
      </c>
      <c r="CP79" s="627">
        <v>1</v>
      </c>
      <c r="CQ79" s="627">
        <v>0</v>
      </c>
      <c r="CR79" s="627">
        <v>0</v>
      </c>
      <c r="CS79" s="627">
        <v>5128.91</v>
      </c>
      <c r="CT79" s="627">
        <v>0</v>
      </c>
      <c r="CU79" s="627">
        <v>0</v>
      </c>
      <c r="CV79" s="627">
        <v>0</v>
      </c>
      <c r="CW79" s="627">
        <v>0</v>
      </c>
      <c r="CX79" s="627">
        <v>0</v>
      </c>
      <c r="CY79" s="627">
        <v>0</v>
      </c>
      <c r="CZ79" s="627">
        <v>0</v>
      </c>
      <c r="DA79" s="627">
        <v>0</v>
      </c>
      <c r="DB79" s="627">
        <v>0</v>
      </c>
      <c r="DC79" s="627">
        <v>28435096</v>
      </c>
      <c r="DD79" s="627">
        <v>0</v>
      </c>
      <c r="DE79" s="627">
        <v>0</v>
      </c>
      <c r="DF79" s="627">
        <v>6044346</v>
      </c>
      <c r="DG79" s="627">
        <v>6044346</v>
      </c>
      <c r="DH79" s="627">
        <v>981.22500000000002</v>
      </c>
      <c r="DI79" s="627">
        <v>0</v>
      </c>
      <c r="DJ79" s="627">
        <v>0</v>
      </c>
      <c r="DK79" s="627">
        <v>0</v>
      </c>
      <c r="DL79" s="627">
        <v>0</v>
      </c>
      <c r="DM79" s="627">
        <v>0</v>
      </c>
      <c r="DN79" s="627">
        <v>6320778</v>
      </c>
      <c r="DO79" s="627">
        <v>21544</v>
      </c>
      <c r="DP79" s="627">
        <v>0</v>
      </c>
      <c r="DQ79" s="627">
        <v>0</v>
      </c>
      <c r="DR79" s="627">
        <v>0</v>
      </c>
      <c r="DS79" s="627">
        <v>0</v>
      </c>
      <c r="DT79" s="627">
        <v>0</v>
      </c>
      <c r="DU79" s="627">
        <v>0</v>
      </c>
      <c r="DV79" s="627">
        <v>0</v>
      </c>
      <c r="DW79" s="627">
        <v>0</v>
      </c>
      <c r="DX79" s="627">
        <v>0</v>
      </c>
      <c r="DY79" s="627">
        <v>0</v>
      </c>
      <c r="DZ79" s="627">
        <v>0</v>
      </c>
      <c r="EA79" s="627">
        <v>0</v>
      </c>
      <c r="EB79" s="627">
        <v>0</v>
      </c>
      <c r="EC79" s="627">
        <v>0</v>
      </c>
      <c r="ED79" s="627">
        <v>260.72500000000002</v>
      </c>
      <c r="EE79" s="627">
        <v>1846976</v>
      </c>
      <c r="EF79" s="627">
        <v>0</v>
      </c>
      <c r="EG79" s="627">
        <v>0</v>
      </c>
      <c r="EH79" s="627">
        <v>0</v>
      </c>
      <c r="EI79" s="627">
        <v>4495346</v>
      </c>
      <c r="EJ79" s="627">
        <v>0</v>
      </c>
      <c r="EK79" s="627">
        <v>0</v>
      </c>
      <c r="EL79" s="627">
        <v>172.45000000000002</v>
      </c>
      <c r="EM79" s="627">
        <v>0</v>
      </c>
      <c r="EN79" s="627">
        <v>47.313000000000002</v>
      </c>
      <c r="EO79" s="627">
        <v>14.095000000000001</v>
      </c>
      <c r="EP79" s="627">
        <v>0</v>
      </c>
      <c r="EQ79" s="627">
        <v>0</v>
      </c>
      <c r="ER79" s="627">
        <v>233.858</v>
      </c>
      <c r="ES79" s="627">
        <v>0</v>
      </c>
      <c r="ET79" s="627">
        <v>729.76400000000001</v>
      </c>
      <c r="EU79" s="627">
        <v>0</v>
      </c>
      <c r="EV79" s="627">
        <v>0</v>
      </c>
      <c r="EW79" s="627">
        <v>0</v>
      </c>
      <c r="EX79" s="627">
        <v>0</v>
      </c>
      <c r="EY79" s="627">
        <v>0</v>
      </c>
      <c r="EZ79" s="627">
        <v>0</v>
      </c>
      <c r="FA79" s="627">
        <v>49979553</v>
      </c>
      <c r="FB79" s="627">
        <v>0</v>
      </c>
      <c r="FC79" s="627">
        <v>52091690</v>
      </c>
      <c r="FD79" s="627">
        <v>0</v>
      </c>
      <c r="FE79" s="627">
        <v>0</v>
      </c>
      <c r="FF79" s="627">
        <v>7494216</v>
      </c>
      <c r="FG79" s="627">
        <v>1297908</v>
      </c>
      <c r="FH79" s="627">
        <v>7.0280999999999996E-2</v>
      </c>
      <c r="FI79" s="627">
        <v>3.1172999999999999E-2</v>
      </c>
      <c r="FJ79" s="627">
        <v>0</v>
      </c>
      <c r="FK79" s="627">
        <v>0</v>
      </c>
      <c r="FL79" s="627">
        <v>8448.7900000000009</v>
      </c>
      <c r="FM79" s="627">
        <v>61736773</v>
      </c>
      <c r="FN79" s="627">
        <v>0</v>
      </c>
      <c r="FO79" s="627">
        <v>0</v>
      </c>
      <c r="FP79" s="627">
        <v>40360</v>
      </c>
      <c r="FQ79" s="627">
        <v>0</v>
      </c>
      <c r="FR79" s="627">
        <v>40922</v>
      </c>
      <c r="FS79" s="627">
        <v>40360</v>
      </c>
      <c r="FT79" s="627">
        <v>562</v>
      </c>
      <c r="FU79" s="627">
        <v>0</v>
      </c>
      <c r="FV79" s="627">
        <v>0</v>
      </c>
      <c r="FW79" s="627">
        <v>0</v>
      </c>
      <c r="FX79" s="627">
        <v>0</v>
      </c>
      <c r="FY79" s="627">
        <v>0</v>
      </c>
      <c r="FZ79" s="627">
        <v>0</v>
      </c>
      <c r="GA79" s="627">
        <v>0</v>
      </c>
      <c r="GB79" s="627">
        <v>0</v>
      </c>
      <c r="GC79" s="627">
        <v>4604274</v>
      </c>
      <c r="GD79" s="627">
        <v>4604274</v>
      </c>
      <c r="GE79" s="627">
        <v>483.43</v>
      </c>
      <c r="GF79" s="627">
        <v>0</v>
      </c>
      <c r="GG79" s="627">
        <v>0</v>
      </c>
      <c r="GH79" s="627">
        <v>0</v>
      </c>
      <c r="GI79" s="627">
        <v>0</v>
      </c>
      <c r="GJ79" s="627">
        <v>0</v>
      </c>
      <c r="GK79" s="627">
        <v>0</v>
      </c>
      <c r="GL79" s="627">
        <v>0</v>
      </c>
      <c r="GM79" s="627">
        <v>0</v>
      </c>
      <c r="GN79" s="627">
        <v>0</v>
      </c>
      <c r="GO79" s="627">
        <v>0</v>
      </c>
      <c r="GP79" s="627">
        <v>0</v>
      </c>
      <c r="GQ79" s="627">
        <v>0</v>
      </c>
      <c r="GR79" s="627">
        <v>58749413</v>
      </c>
      <c r="GS79" s="627">
        <v>0</v>
      </c>
      <c r="GT79" s="627">
        <v>0</v>
      </c>
      <c r="GU79" s="627">
        <v>0</v>
      </c>
      <c r="GV79" s="627">
        <v>0</v>
      </c>
      <c r="GW79" s="627">
        <v>0</v>
      </c>
      <c r="GX79" s="627">
        <v>0</v>
      </c>
      <c r="GY79" s="627">
        <v>0</v>
      </c>
      <c r="GZ79" s="627">
        <v>0</v>
      </c>
      <c r="HA79" s="627">
        <v>0</v>
      </c>
      <c r="HB79" s="627">
        <v>0</v>
      </c>
      <c r="HC79" s="627">
        <v>361151439</v>
      </c>
      <c r="HD79" s="627">
        <v>3.9981999999999997E-2</v>
      </c>
      <c r="HE79" s="627">
        <v>852959</v>
      </c>
      <c r="HF79" s="627">
        <v>0</v>
      </c>
      <c r="HG79" s="627">
        <v>5086928</v>
      </c>
      <c r="HH79" s="627">
        <v>134288</v>
      </c>
      <c r="HI79" s="627">
        <v>667847</v>
      </c>
      <c r="HJ79" s="627">
        <v>0</v>
      </c>
      <c r="HK79" s="627">
        <v>173334</v>
      </c>
      <c r="HL79" s="627">
        <v>15670</v>
      </c>
      <c r="HM79" s="627">
        <v>12816</v>
      </c>
      <c r="HN79" s="627">
        <v>45000</v>
      </c>
      <c r="HO79" s="627">
        <v>39587</v>
      </c>
      <c r="HP79" s="627">
        <v>0</v>
      </c>
      <c r="HQ79" s="627">
        <v>0</v>
      </c>
      <c r="HR79" s="627">
        <v>0</v>
      </c>
      <c r="HS79" s="627">
        <v>0</v>
      </c>
      <c r="HT79" s="627">
        <v>49957289</v>
      </c>
      <c r="HU79" s="627">
        <v>1297908</v>
      </c>
      <c r="HV79" s="627">
        <v>0</v>
      </c>
      <c r="HW79" s="627">
        <v>0</v>
      </c>
      <c r="HX79" s="627">
        <v>0</v>
      </c>
      <c r="HY79" s="627">
        <v>686</v>
      </c>
      <c r="HZ79" s="627">
        <v>960</v>
      </c>
      <c r="IA79" s="627">
        <v>582</v>
      </c>
      <c r="IB79" s="627">
        <v>800</v>
      </c>
      <c r="IC79" s="627">
        <v>885</v>
      </c>
      <c r="ID79" s="627">
        <v>3913</v>
      </c>
      <c r="IE79" s="627">
        <v>0</v>
      </c>
      <c r="IF79" s="627">
        <v>0</v>
      </c>
      <c r="IG79" s="627">
        <v>0</v>
      </c>
      <c r="IH79" s="627">
        <v>218</v>
      </c>
      <c r="II79" s="627">
        <v>1084.1680000000001</v>
      </c>
      <c r="IJ79" s="627">
        <v>0</v>
      </c>
      <c r="IK79" s="627">
        <v>582.17200000000003</v>
      </c>
      <c r="IL79" s="627">
        <v>0</v>
      </c>
      <c r="IM79" s="627">
        <v>9</v>
      </c>
      <c r="IN79" s="627">
        <v>0</v>
      </c>
      <c r="IO79" s="627">
        <v>0</v>
      </c>
      <c r="IP79" s="627">
        <v>9</v>
      </c>
      <c r="IQ79" s="627">
        <v>0</v>
      </c>
      <c r="IR79" s="627">
        <v>582.17200000000003</v>
      </c>
      <c r="IS79" s="627">
        <v>358618</v>
      </c>
      <c r="IT79" s="627">
        <v>0</v>
      </c>
      <c r="IU79" s="627">
        <v>45000</v>
      </c>
      <c r="IV79" s="627">
        <v>0</v>
      </c>
      <c r="IW79" s="627">
        <v>0</v>
      </c>
      <c r="IX79" s="627">
        <v>6160</v>
      </c>
      <c r="IY79" s="627">
        <v>0</v>
      </c>
      <c r="IZ79" s="627">
        <v>0</v>
      </c>
      <c r="JA79" s="627">
        <v>0</v>
      </c>
      <c r="JB79" s="627">
        <v>0</v>
      </c>
      <c r="JC79" s="627">
        <v>0</v>
      </c>
      <c r="JD79" s="627">
        <v>0</v>
      </c>
      <c r="JE79" s="627">
        <v>0</v>
      </c>
      <c r="JF79" s="627">
        <v>0</v>
      </c>
      <c r="JG79" s="627">
        <v>3</v>
      </c>
      <c r="JH79" s="627">
        <v>15687</v>
      </c>
      <c r="JI79" s="627">
        <v>23900</v>
      </c>
      <c r="JJ79" s="627">
        <v>0</v>
      </c>
      <c r="JK79" s="627">
        <v>0</v>
      </c>
      <c r="JL79" s="627">
        <v>0</v>
      </c>
      <c r="JM79" s="627">
        <v>0</v>
      </c>
      <c r="JN79" s="627">
        <v>0</v>
      </c>
      <c r="JO79" s="627">
        <v>32469</v>
      </c>
      <c r="JP79" s="627">
        <v>33.31</v>
      </c>
      <c r="JQ79" s="627">
        <v>338.392</v>
      </c>
      <c r="JR79" s="627">
        <v>111.72800000000001</v>
      </c>
      <c r="JS79" s="627">
        <v>266087</v>
      </c>
      <c r="JT79" s="627">
        <v>3145475</v>
      </c>
      <c r="JU79" s="627">
        <v>1192712</v>
      </c>
      <c r="JV79" s="627">
        <v>114268</v>
      </c>
      <c r="JW79" s="627">
        <v>0</v>
      </c>
      <c r="JX79" s="627">
        <v>0</v>
      </c>
      <c r="JY79" s="627">
        <v>0</v>
      </c>
      <c r="JZ79" s="627">
        <v>0</v>
      </c>
      <c r="KA79" s="627">
        <v>0</v>
      </c>
      <c r="KB79" s="627">
        <v>0</v>
      </c>
      <c r="KC79" s="627">
        <v>0</v>
      </c>
      <c r="KD79" s="627">
        <v>0</v>
      </c>
      <c r="KE79" s="627">
        <v>114268</v>
      </c>
      <c r="KF79" s="627">
        <v>7262</v>
      </c>
      <c r="KG79" s="627">
        <v>0</v>
      </c>
      <c r="KH79" s="627">
        <v>0</v>
      </c>
      <c r="KI79" s="627">
        <v>58749413</v>
      </c>
      <c r="KJ79" s="627">
        <v>0</v>
      </c>
      <c r="KK79" s="627">
        <v>90</v>
      </c>
      <c r="KL79" s="627">
        <v>128</v>
      </c>
      <c r="KM79" s="627">
        <v>55440</v>
      </c>
      <c r="KN79" s="627">
        <v>78848</v>
      </c>
      <c r="KO79" s="627">
        <v>0</v>
      </c>
      <c r="KP79" s="627">
        <v>0</v>
      </c>
      <c r="KQ79" s="627">
        <v>58749413</v>
      </c>
      <c r="KR79" s="627">
        <v>0</v>
      </c>
      <c r="KS79" s="627">
        <v>0</v>
      </c>
      <c r="KT79" s="627">
        <v>0</v>
      </c>
      <c r="KU79" s="627">
        <v>0</v>
      </c>
      <c r="KV79" s="627">
        <v>0</v>
      </c>
      <c r="KW79" s="627">
        <v>0</v>
      </c>
      <c r="KX79" s="627">
        <v>0</v>
      </c>
      <c r="KY79" s="627">
        <v>0</v>
      </c>
      <c r="KZ79" s="627">
        <v>0</v>
      </c>
      <c r="LA79" s="627">
        <v>0</v>
      </c>
      <c r="LB79" s="627">
        <v>0</v>
      </c>
      <c r="LC79" s="627">
        <v>0</v>
      </c>
      <c r="LD79" s="627">
        <v>0</v>
      </c>
      <c r="LE79" s="627">
        <v>0</v>
      </c>
      <c r="LF79" s="627">
        <v>0</v>
      </c>
    </row>
    <row r="80" spans="1:318" x14ac:dyDescent="0.25">
      <c r="A80" s="627">
        <v>42602</v>
      </c>
      <c r="B80" s="627">
        <v>71807</v>
      </c>
      <c r="D80" s="627">
        <v>9</v>
      </c>
      <c r="E80" s="627">
        <v>2024</v>
      </c>
      <c r="F80" s="627">
        <v>6160</v>
      </c>
      <c r="G80" s="627">
        <v>0</v>
      </c>
      <c r="H80" s="627">
        <v>170.67700000000002</v>
      </c>
      <c r="I80" s="627">
        <v>167.87700000000001</v>
      </c>
      <c r="J80" s="627">
        <v>167.87700000000001</v>
      </c>
      <c r="K80" s="627">
        <v>170.67700000000002</v>
      </c>
      <c r="L80" s="627">
        <v>0</v>
      </c>
      <c r="M80" s="627">
        <v>6160</v>
      </c>
      <c r="N80" s="627">
        <v>0</v>
      </c>
      <c r="O80" s="627">
        <v>0</v>
      </c>
      <c r="P80" s="627">
        <v>0</v>
      </c>
      <c r="Q80" s="627">
        <v>160.227</v>
      </c>
      <c r="R80" s="627">
        <v>0</v>
      </c>
      <c r="S80" s="627">
        <v>66476</v>
      </c>
      <c r="T80" s="627">
        <v>414.88400000000001</v>
      </c>
      <c r="U80" s="627">
        <v>0</v>
      </c>
      <c r="V80" s="627">
        <v>34498</v>
      </c>
      <c r="W80" s="627">
        <v>24.425000000000001</v>
      </c>
      <c r="X80" s="627">
        <v>141151</v>
      </c>
      <c r="Y80" s="627">
        <v>141151</v>
      </c>
      <c r="Z80" s="627">
        <v>0</v>
      </c>
      <c r="AA80" s="627">
        <v>0</v>
      </c>
      <c r="AB80" s="627">
        <v>0</v>
      </c>
      <c r="AC80" s="627">
        <v>0</v>
      </c>
      <c r="AD80" s="627">
        <v>0</v>
      </c>
      <c r="AE80" s="627" t="s">
        <v>314</v>
      </c>
      <c r="AF80" s="627">
        <v>0</v>
      </c>
      <c r="AG80" s="627">
        <v>0</v>
      </c>
      <c r="AH80" s="627">
        <v>0</v>
      </c>
      <c r="AI80" s="627">
        <v>0</v>
      </c>
      <c r="AJ80" s="627">
        <v>0</v>
      </c>
      <c r="AK80" s="627">
        <v>6160</v>
      </c>
      <c r="AL80" s="627" t="s">
        <v>651</v>
      </c>
      <c r="AM80" s="627" t="s">
        <v>63</v>
      </c>
      <c r="AN80" s="627">
        <v>0</v>
      </c>
      <c r="AO80" s="627">
        <v>0</v>
      </c>
      <c r="AP80" s="627">
        <v>0</v>
      </c>
      <c r="AQ80" s="627">
        <v>0</v>
      </c>
      <c r="AR80" s="627">
        <v>0</v>
      </c>
      <c r="AS80" s="627">
        <v>0</v>
      </c>
      <c r="AT80" s="627">
        <v>0</v>
      </c>
      <c r="AU80" s="627">
        <v>0</v>
      </c>
      <c r="AV80" s="627">
        <v>0</v>
      </c>
      <c r="AW80" s="627">
        <v>0</v>
      </c>
      <c r="AX80" s="627">
        <v>2025343</v>
      </c>
      <c r="AY80" s="627">
        <v>1998274</v>
      </c>
      <c r="AZ80" s="627">
        <v>1017778</v>
      </c>
      <c r="BA80" s="627">
        <v>66476</v>
      </c>
      <c r="BB80" s="627">
        <v>0</v>
      </c>
      <c r="BC80" s="627">
        <v>0</v>
      </c>
      <c r="BD80" s="627">
        <v>0</v>
      </c>
      <c r="BE80" s="627">
        <v>0</v>
      </c>
      <c r="BF80" s="627">
        <v>0</v>
      </c>
      <c r="BG80" s="627">
        <v>1766352</v>
      </c>
      <c r="BH80" s="627">
        <v>0</v>
      </c>
      <c r="BI80" s="627">
        <v>0</v>
      </c>
      <c r="BJ80" s="627">
        <v>0</v>
      </c>
      <c r="BK80" s="627">
        <v>12</v>
      </c>
      <c r="BL80" s="627">
        <v>0</v>
      </c>
      <c r="BM80" s="627">
        <v>0</v>
      </c>
      <c r="BN80" s="627">
        <v>0</v>
      </c>
      <c r="BO80" s="627">
        <v>0</v>
      </c>
      <c r="BP80" s="627">
        <v>0</v>
      </c>
      <c r="BQ80" s="627">
        <v>0</v>
      </c>
      <c r="BR80" s="627">
        <v>744</v>
      </c>
      <c r="BS80" s="627">
        <v>0</v>
      </c>
      <c r="BT80" s="627">
        <v>0</v>
      </c>
      <c r="BU80" s="627">
        <v>0</v>
      </c>
      <c r="BV80" s="627">
        <v>0</v>
      </c>
      <c r="BW80" s="627">
        <v>0</v>
      </c>
      <c r="BX80" s="627">
        <v>0</v>
      </c>
      <c r="BY80" s="627">
        <v>0</v>
      </c>
      <c r="BZ80" s="627">
        <v>0</v>
      </c>
      <c r="CA80" s="627">
        <v>0</v>
      </c>
      <c r="CB80" s="627">
        <v>0</v>
      </c>
      <c r="CC80" s="627">
        <v>0</v>
      </c>
      <c r="CD80" s="627">
        <v>0</v>
      </c>
      <c r="CE80" s="627">
        <v>0</v>
      </c>
      <c r="CF80" s="627">
        <v>0</v>
      </c>
      <c r="CG80" s="627">
        <v>0</v>
      </c>
      <c r="CH80" s="627">
        <v>0</v>
      </c>
      <c r="CI80" s="627">
        <v>27296</v>
      </c>
      <c r="CJ80" s="627">
        <v>0</v>
      </c>
      <c r="CK80" s="627">
        <v>4</v>
      </c>
      <c r="CL80" s="627">
        <v>0</v>
      </c>
      <c r="CM80" s="627">
        <v>0</v>
      </c>
      <c r="CN80" s="627">
        <v>0</v>
      </c>
      <c r="CO80" s="627">
        <v>0</v>
      </c>
      <c r="CP80" s="627">
        <v>1</v>
      </c>
      <c r="CQ80" s="627">
        <v>0</v>
      </c>
      <c r="CR80" s="627">
        <v>0</v>
      </c>
      <c r="CS80" s="627">
        <v>156.95000000000002</v>
      </c>
      <c r="CT80" s="627">
        <v>0</v>
      </c>
      <c r="CU80" s="627">
        <v>0</v>
      </c>
      <c r="CV80" s="627">
        <v>0</v>
      </c>
      <c r="CW80" s="627">
        <v>0</v>
      </c>
      <c r="CX80" s="627">
        <v>0</v>
      </c>
      <c r="CY80" s="627">
        <v>0</v>
      </c>
      <c r="CZ80" s="627">
        <v>0</v>
      </c>
      <c r="DA80" s="627">
        <v>0</v>
      </c>
      <c r="DB80" s="627">
        <v>0</v>
      </c>
      <c r="DC80" s="627">
        <v>1034122</v>
      </c>
      <c r="DD80" s="627">
        <v>0</v>
      </c>
      <c r="DE80" s="627">
        <v>0</v>
      </c>
      <c r="DF80" s="627">
        <v>267498</v>
      </c>
      <c r="DG80" s="627">
        <v>267498</v>
      </c>
      <c r="DH80" s="627">
        <v>43.425000000000004</v>
      </c>
      <c r="DI80" s="627">
        <v>0</v>
      </c>
      <c r="DJ80" s="627">
        <v>0</v>
      </c>
      <c r="DK80" s="627">
        <v>0</v>
      </c>
      <c r="DL80" s="627">
        <v>3529</v>
      </c>
      <c r="DM80" s="627">
        <v>0</v>
      </c>
      <c r="DN80" s="627">
        <v>66705</v>
      </c>
      <c r="DO80" s="627">
        <v>227</v>
      </c>
      <c r="DP80" s="627">
        <v>0</v>
      </c>
      <c r="DQ80" s="627">
        <v>0</v>
      </c>
      <c r="DR80" s="627">
        <v>0</v>
      </c>
      <c r="DS80" s="627">
        <v>0</v>
      </c>
      <c r="DT80" s="627">
        <v>0</v>
      </c>
      <c r="DU80" s="627">
        <v>0</v>
      </c>
      <c r="DV80" s="627">
        <v>0</v>
      </c>
      <c r="DW80" s="627">
        <v>0</v>
      </c>
      <c r="DX80" s="627">
        <v>0</v>
      </c>
      <c r="DY80" s="627">
        <v>0</v>
      </c>
      <c r="DZ80" s="627">
        <v>0</v>
      </c>
      <c r="EA80" s="627">
        <v>0</v>
      </c>
      <c r="EB80" s="627">
        <v>0</v>
      </c>
      <c r="EC80" s="627">
        <v>0</v>
      </c>
      <c r="ED80" s="627">
        <v>1.6180000000000001</v>
      </c>
      <c r="EE80" s="627">
        <v>11462</v>
      </c>
      <c r="EF80" s="627">
        <v>0</v>
      </c>
      <c r="EG80" s="627">
        <v>0</v>
      </c>
      <c r="EH80" s="627">
        <v>0</v>
      </c>
      <c r="EI80" s="627">
        <v>52452</v>
      </c>
      <c r="EJ80" s="627">
        <v>0</v>
      </c>
      <c r="EK80" s="627">
        <v>0</v>
      </c>
      <c r="EL80" s="627">
        <v>2.3050000000000002</v>
      </c>
      <c r="EM80" s="627">
        <v>0</v>
      </c>
      <c r="EN80" s="627">
        <v>0</v>
      </c>
      <c r="EO80" s="627">
        <v>0.32</v>
      </c>
      <c r="EP80" s="627">
        <v>3018</v>
      </c>
      <c r="EQ80" s="627">
        <v>0.17500000000000002</v>
      </c>
      <c r="ER80" s="627">
        <v>2.8000000000000003</v>
      </c>
      <c r="ES80" s="627">
        <v>0</v>
      </c>
      <c r="ET80" s="627">
        <v>8.5150000000000006</v>
      </c>
      <c r="EU80" s="627">
        <v>0</v>
      </c>
      <c r="EV80" s="627">
        <v>0</v>
      </c>
      <c r="EW80" s="627">
        <v>0</v>
      </c>
      <c r="EX80" s="627">
        <v>0</v>
      </c>
      <c r="EY80" s="627">
        <v>0</v>
      </c>
      <c r="EZ80" s="627">
        <v>0</v>
      </c>
      <c r="FA80" s="627">
        <v>1699876</v>
      </c>
      <c r="FB80" s="627">
        <v>0</v>
      </c>
      <c r="FC80" s="627">
        <v>1766125</v>
      </c>
      <c r="FD80" s="627">
        <v>0</v>
      </c>
      <c r="FE80" s="627">
        <v>0</v>
      </c>
      <c r="FF80" s="627">
        <v>254348</v>
      </c>
      <c r="FG80" s="627">
        <v>44050</v>
      </c>
      <c r="FH80" s="627">
        <v>7.0280999999999996E-2</v>
      </c>
      <c r="FI80" s="627">
        <v>3.1172999999999999E-2</v>
      </c>
      <c r="FJ80" s="627">
        <v>0</v>
      </c>
      <c r="FK80" s="627">
        <v>0</v>
      </c>
      <c r="FL80" s="627">
        <v>286.745</v>
      </c>
      <c r="FM80" s="627">
        <v>2091819</v>
      </c>
      <c r="FN80" s="627">
        <v>0</v>
      </c>
      <c r="FO80" s="627">
        <v>0</v>
      </c>
      <c r="FP80" s="627">
        <v>0</v>
      </c>
      <c r="FQ80" s="627">
        <v>0</v>
      </c>
      <c r="FR80" s="627">
        <v>0</v>
      </c>
      <c r="FS80" s="627">
        <v>0</v>
      </c>
      <c r="FT80" s="627">
        <v>0</v>
      </c>
      <c r="FU80" s="627">
        <v>0</v>
      </c>
      <c r="FV80" s="627">
        <v>0</v>
      </c>
      <c r="FW80" s="627">
        <v>0</v>
      </c>
      <c r="FX80" s="627">
        <v>0</v>
      </c>
      <c r="FY80" s="627">
        <v>0</v>
      </c>
      <c r="FZ80" s="627">
        <v>0</v>
      </c>
      <c r="GA80" s="627">
        <v>0</v>
      </c>
      <c r="GB80" s="627">
        <v>0</v>
      </c>
      <c r="GC80" s="627">
        <v>0</v>
      </c>
      <c r="GD80" s="627">
        <v>0</v>
      </c>
      <c r="GE80" s="627">
        <v>0</v>
      </c>
      <c r="GF80" s="627">
        <v>0</v>
      </c>
      <c r="GG80" s="627">
        <v>0</v>
      </c>
      <c r="GH80" s="627">
        <v>0</v>
      </c>
      <c r="GI80" s="627">
        <v>0</v>
      </c>
      <c r="GJ80" s="627">
        <v>0</v>
      </c>
      <c r="GK80" s="627">
        <v>0</v>
      </c>
      <c r="GL80" s="627">
        <v>0</v>
      </c>
      <c r="GM80" s="627">
        <v>0</v>
      </c>
      <c r="GN80" s="627">
        <v>0</v>
      </c>
      <c r="GO80" s="627">
        <v>0</v>
      </c>
      <c r="GP80" s="627">
        <v>0</v>
      </c>
      <c r="GQ80" s="627">
        <v>0</v>
      </c>
      <c r="GR80" s="627">
        <v>1998047</v>
      </c>
      <c r="GS80" s="627">
        <v>0</v>
      </c>
      <c r="GT80" s="627">
        <v>0</v>
      </c>
      <c r="GU80" s="627">
        <v>0</v>
      </c>
      <c r="GV80" s="627">
        <v>0</v>
      </c>
      <c r="GW80" s="627">
        <v>0</v>
      </c>
      <c r="GX80" s="627">
        <v>0</v>
      </c>
      <c r="GY80" s="627">
        <v>0</v>
      </c>
      <c r="GZ80" s="627">
        <v>0</v>
      </c>
      <c r="HA80" s="627">
        <v>0</v>
      </c>
      <c r="HB80" s="627">
        <v>0</v>
      </c>
      <c r="HC80" s="627">
        <v>361151439</v>
      </c>
      <c r="HD80" s="627">
        <v>3.9981999999999997E-2</v>
      </c>
      <c r="HE80" s="627">
        <v>27296</v>
      </c>
      <c r="HF80" s="627">
        <v>0</v>
      </c>
      <c r="HG80" s="627">
        <v>185000</v>
      </c>
      <c r="HH80" s="627">
        <v>0</v>
      </c>
      <c r="HI80" s="627">
        <v>54942</v>
      </c>
      <c r="HJ80" s="627">
        <v>0</v>
      </c>
      <c r="HK80" s="627">
        <v>16707</v>
      </c>
      <c r="HL80" s="627">
        <v>0</v>
      </c>
      <c r="HM80" s="627">
        <v>0</v>
      </c>
      <c r="HN80" s="627">
        <v>0</v>
      </c>
      <c r="HO80" s="627">
        <v>0</v>
      </c>
      <c r="HP80" s="627">
        <v>0</v>
      </c>
      <c r="HQ80" s="627">
        <v>0</v>
      </c>
      <c r="HR80" s="627">
        <v>0</v>
      </c>
      <c r="HS80" s="627">
        <v>0</v>
      </c>
      <c r="HT80" s="627">
        <v>1699649</v>
      </c>
      <c r="HU80" s="627">
        <v>44050</v>
      </c>
      <c r="HV80" s="627">
        <v>0</v>
      </c>
      <c r="HW80" s="627">
        <v>0</v>
      </c>
      <c r="HX80" s="627">
        <v>0</v>
      </c>
      <c r="HY80" s="627">
        <v>4</v>
      </c>
      <c r="HZ80" s="627">
        <v>9</v>
      </c>
      <c r="IA80" s="627">
        <v>13</v>
      </c>
      <c r="IB80" s="627">
        <v>21</v>
      </c>
      <c r="IC80" s="627">
        <v>115</v>
      </c>
      <c r="ID80" s="627">
        <v>162</v>
      </c>
      <c r="IE80" s="627">
        <v>0</v>
      </c>
      <c r="IF80" s="627">
        <v>136.03200000000001</v>
      </c>
      <c r="IG80" s="627">
        <v>1.333</v>
      </c>
      <c r="IH80" s="627">
        <v>0</v>
      </c>
      <c r="II80" s="627">
        <v>89.192000000000007</v>
      </c>
      <c r="IJ80" s="627">
        <v>0</v>
      </c>
      <c r="IK80" s="627">
        <v>161.79</v>
      </c>
      <c r="IL80" s="627">
        <v>0</v>
      </c>
      <c r="IM80" s="627">
        <v>0</v>
      </c>
      <c r="IN80" s="627">
        <v>0</v>
      </c>
      <c r="IO80" s="627">
        <v>0</v>
      </c>
      <c r="IP80" s="627">
        <v>0</v>
      </c>
      <c r="IQ80" s="627">
        <v>0</v>
      </c>
      <c r="IR80" s="627">
        <v>24.425000000000001</v>
      </c>
      <c r="IS80" s="627">
        <v>15046</v>
      </c>
      <c r="IT80" s="627">
        <v>0</v>
      </c>
      <c r="IU80" s="627">
        <v>0</v>
      </c>
      <c r="IV80" s="627">
        <v>0</v>
      </c>
      <c r="IW80" s="627">
        <v>0</v>
      </c>
      <c r="IX80" s="627">
        <v>6160</v>
      </c>
      <c r="IY80" s="627">
        <v>125694</v>
      </c>
      <c r="IZ80" s="627">
        <v>411</v>
      </c>
      <c r="JA80" s="627">
        <v>0</v>
      </c>
      <c r="JB80" s="627">
        <v>0</v>
      </c>
      <c r="JC80" s="627">
        <v>0</v>
      </c>
      <c r="JD80" s="627">
        <v>0</v>
      </c>
      <c r="JE80" s="627">
        <v>0</v>
      </c>
      <c r="JF80" s="627">
        <v>0</v>
      </c>
      <c r="JG80" s="627">
        <v>0</v>
      </c>
      <c r="JH80" s="627">
        <v>0</v>
      </c>
      <c r="JI80" s="627">
        <v>0</v>
      </c>
      <c r="JJ80" s="627">
        <v>0</v>
      </c>
      <c r="JK80" s="627">
        <v>0</v>
      </c>
      <c r="JL80" s="627">
        <v>0</v>
      </c>
      <c r="JM80" s="627">
        <v>0</v>
      </c>
      <c r="JN80" s="627">
        <v>0</v>
      </c>
      <c r="JO80" s="627">
        <v>32469</v>
      </c>
      <c r="JP80" s="627">
        <v>0</v>
      </c>
      <c r="JQ80" s="627">
        <v>0</v>
      </c>
      <c r="JR80" s="627">
        <v>0</v>
      </c>
      <c r="JS80" s="627">
        <v>0</v>
      </c>
      <c r="JT80" s="627">
        <v>0</v>
      </c>
      <c r="JU80" s="627">
        <v>0</v>
      </c>
      <c r="JV80" s="627">
        <v>0</v>
      </c>
      <c r="JW80" s="627">
        <v>0</v>
      </c>
      <c r="JX80" s="627">
        <v>0</v>
      </c>
      <c r="JY80" s="627">
        <v>0</v>
      </c>
      <c r="JZ80" s="627">
        <v>0</v>
      </c>
      <c r="KA80" s="627">
        <v>0</v>
      </c>
      <c r="KB80" s="627">
        <v>0</v>
      </c>
      <c r="KC80" s="627">
        <v>0</v>
      </c>
      <c r="KD80" s="627">
        <v>0</v>
      </c>
      <c r="KE80" s="627">
        <v>0</v>
      </c>
      <c r="KF80" s="627">
        <v>7262</v>
      </c>
      <c r="KG80" s="627">
        <v>0</v>
      </c>
      <c r="KH80" s="627">
        <v>0</v>
      </c>
      <c r="KI80" s="627">
        <v>1998047</v>
      </c>
      <c r="KJ80" s="627">
        <v>0</v>
      </c>
      <c r="KK80" s="627">
        <v>0</v>
      </c>
      <c r="KL80" s="627">
        <v>0</v>
      </c>
      <c r="KM80" s="627">
        <v>0</v>
      </c>
      <c r="KN80" s="627">
        <v>0</v>
      </c>
      <c r="KO80" s="627">
        <v>0</v>
      </c>
      <c r="KP80" s="627">
        <v>0</v>
      </c>
      <c r="KQ80" s="627">
        <v>1998047</v>
      </c>
      <c r="KR80" s="627">
        <v>0</v>
      </c>
      <c r="KS80" s="627">
        <v>0</v>
      </c>
      <c r="KT80" s="627">
        <v>0</v>
      </c>
      <c r="KU80" s="627">
        <v>0</v>
      </c>
      <c r="KV80" s="627">
        <v>0</v>
      </c>
      <c r="KW80" s="627">
        <v>0</v>
      </c>
      <c r="KX80" s="627">
        <v>0</v>
      </c>
      <c r="KY80" s="627">
        <v>0</v>
      </c>
      <c r="KZ80" s="627">
        <v>0</v>
      </c>
      <c r="LA80" s="627">
        <v>0</v>
      </c>
      <c r="LB80" s="627">
        <v>0</v>
      </c>
      <c r="LC80" s="627">
        <v>0</v>
      </c>
      <c r="LD80" s="627">
        <v>0</v>
      </c>
      <c r="LE80" s="627">
        <v>0</v>
      </c>
      <c r="LF80" s="627">
        <v>0</v>
      </c>
    </row>
    <row r="81" spans="1:318" x14ac:dyDescent="0.25">
      <c r="A81" s="627">
        <v>42602</v>
      </c>
      <c r="B81" s="627">
        <v>108807</v>
      </c>
      <c r="D81" s="627">
        <v>9</v>
      </c>
      <c r="E81" s="627">
        <v>2024</v>
      </c>
      <c r="F81" s="627">
        <v>6160</v>
      </c>
      <c r="G81" s="627">
        <v>0</v>
      </c>
      <c r="H81" s="627">
        <v>71740.934999999998</v>
      </c>
      <c r="I81" s="627">
        <v>66971.053</v>
      </c>
      <c r="J81" s="627">
        <v>66971.053</v>
      </c>
      <c r="K81" s="627">
        <v>71740.934999999998</v>
      </c>
      <c r="L81" s="627">
        <v>0</v>
      </c>
      <c r="M81" s="627">
        <v>6160</v>
      </c>
      <c r="N81" s="627">
        <v>0</v>
      </c>
      <c r="O81" s="627">
        <v>0</v>
      </c>
      <c r="P81" s="627">
        <v>0</v>
      </c>
      <c r="Q81" s="627">
        <v>68253.657000000007</v>
      </c>
      <c r="R81" s="627">
        <v>0</v>
      </c>
      <c r="S81" s="627">
        <v>28317350</v>
      </c>
      <c r="T81" s="627">
        <v>414.88400000000001</v>
      </c>
      <c r="U81" s="627">
        <v>0</v>
      </c>
      <c r="V81" s="627">
        <v>14695555</v>
      </c>
      <c r="W81" s="627">
        <v>30613.542000000001</v>
      </c>
      <c r="X81" s="627">
        <v>18858270</v>
      </c>
      <c r="Y81" s="627">
        <v>18858270</v>
      </c>
      <c r="Z81" s="627">
        <v>0</v>
      </c>
      <c r="AA81" s="627">
        <v>0</v>
      </c>
      <c r="AB81" s="627">
        <v>0</v>
      </c>
      <c r="AC81" s="627">
        <v>0</v>
      </c>
      <c r="AD81" s="627">
        <v>0</v>
      </c>
      <c r="AE81" s="627" t="s">
        <v>314</v>
      </c>
      <c r="AF81" s="627">
        <v>0</v>
      </c>
      <c r="AG81" s="627">
        <v>0</v>
      </c>
      <c r="AH81" s="627">
        <v>0</v>
      </c>
      <c r="AI81" s="627">
        <v>0</v>
      </c>
      <c r="AJ81" s="627">
        <v>0</v>
      </c>
      <c r="AK81" s="627">
        <v>6160</v>
      </c>
      <c r="AL81" s="627" t="s">
        <v>651</v>
      </c>
      <c r="AM81" s="627" t="s">
        <v>95</v>
      </c>
      <c r="AN81" s="627">
        <v>0</v>
      </c>
      <c r="AO81" s="627">
        <v>0</v>
      </c>
      <c r="AP81" s="627">
        <v>0</v>
      </c>
      <c r="AQ81" s="627">
        <v>0</v>
      </c>
      <c r="AR81" s="627">
        <v>0</v>
      </c>
      <c r="AS81" s="627">
        <v>0</v>
      </c>
      <c r="AT81" s="627">
        <v>0</v>
      </c>
      <c r="AU81" s="627">
        <v>0</v>
      </c>
      <c r="AV81" s="627">
        <v>0</v>
      </c>
      <c r="AW81" s="627">
        <v>0</v>
      </c>
      <c r="AX81" s="627">
        <v>825373860</v>
      </c>
      <c r="AY81" s="627">
        <v>814089250</v>
      </c>
      <c r="AZ81" s="627">
        <v>410246542</v>
      </c>
      <c r="BA81" s="627">
        <v>28317350</v>
      </c>
      <c r="BB81" s="627">
        <v>2384.25</v>
      </c>
      <c r="BC81" s="627">
        <v>0</v>
      </c>
      <c r="BD81" s="627">
        <v>0</v>
      </c>
      <c r="BE81" s="627">
        <v>0</v>
      </c>
      <c r="BF81" s="627">
        <v>0</v>
      </c>
      <c r="BG81" s="627">
        <v>717541695</v>
      </c>
      <c r="BH81" s="627">
        <v>0</v>
      </c>
      <c r="BI81" s="627">
        <v>0</v>
      </c>
      <c r="BJ81" s="627">
        <v>0</v>
      </c>
      <c r="BK81" s="627">
        <v>12</v>
      </c>
      <c r="BL81" s="627">
        <v>0</v>
      </c>
      <c r="BM81" s="627">
        <v>0</v>
      </c>
      <c r="BN81" s="627">
        <v>0</v>
      </c>
      <c r="BO81" s="627">
        <v>0</v>
      </c>
      <c r="BP81" s="627">
        <v>0</v>
      </c>
      <c r="BQ81" s="627">
        <v>0</v>
      </c>
      <c r="BR81" s="627">
        <v>0</v>
      </c>
      <c r="BS81" s="627">
        <v>0</v>
      </c>
      <c r="BT81" s="627">
        <v>0</v>
      </c>
      <c r="BU81" s="627">
        <v>0</v>
      </c>
      <c r="BV81" s="627">
        <v>0</v>
      </c>
      <c r="BW81" s="627">
        <v>0</v>
      </c>
      <c r="BX81" s="627">
        <v>0</v>
      </c>
      <c r="BY81" s="627">
        <v>0</v>
      </c>
      <c r="BZ81" s="627">
        <v>0</v>
      </c>
      <c r="CA81" s="627">
        <v>0</v>
      </c>
      <c r="CB81" s="627">
        <v>0</v>
      </c>
      <c r="CC81" s="627">
        <v>0</v>
      </c>
      <c r="CD81" s="627">
        <v>0</v>
      </c>
      <c r="CE81" s="627">
        <v>0</v>
      </c>
      <c r="CF81" s="627">
        <v>0</v>
      </c>
      <c r="CG81" s="627">
        <v>0</v>
      </c>
      <c r="CH81" s="627">
        <v>0</v>
      </c>
      <c r="CI81" s="627">
        <v>11473430</v>
      </c>
      <c r="CJ81" s="627">
        <v>0</v>
      </c>
      <c r="CK81" s="627">
        <v>4</v>
      </c>
      <c r="CL81" s="627">
        <v>0</v>
      </c>
      <c r="CM81" s="627">
        <v>0</v>
      </c>
      <c r="CN81" s="627">
        <v>0</v>
      </c>
      <c r="CO81" s="627">
        <v>0</v>
      </c>
      <c r="CP81" s="627">
        <v>1</v>
      </c>
      <c r="CQ81" s="627">
        <v>0</v>
      </c>
      <c r="CR81" s="627">
        <v>187.25</v>
      </c>
      <c r="CS81" s="627">
        <v>68066.570000000007</v>
      </c>
      <c r="CT81" s="627">
        <v>0</v>
      </c>
      <c r="CU81" s="627">
        <v>0</v>
      </c>
      <c r="CV81" s="627">
        <v>0</v>
      </c>
      <c r="CW81" s="627">
        <v>0</v>
      </c>
      <c r="CX81" s="627">
        <v>0</v>
      </c>
      <c r="CY81" s="627">
        <v>0</v>
      </c>
      <c r="CZ81" s="627">
        <v>0</v>
      </c>
      <c r="DA81" s="627">
        <v>0</v>
      </c>
      <c r="DB81" s="627">
        <v>0</v>
      </c>
      <c r="DC81" s="627">
        <v>412541686</v>
      </c>
      <c r="DD81" s="627">
        <v>0</v>
      </c>
      <c r="DE81" s="627">
        <v>0</v>
      </c>
      <c r="DF81" s="627">
        <v>100825648</v>
      </c>
      <c r="DG81" s="627">
        <v>100825648</v>
      </c>
      <c r="DH81" s="627">
        <v>16367.800000000001</v>
      </c>
      <c r="DI81" s="627">
        <v>0</v>
      </c>
      <c r="DJ81" s="627">
        <v>0</v>
      </c>
      <c r="DK81" s="627">
        <v>0</v>
      </c>
      <c r="DL81" s="627">
        <v>0</v>
      </c>
      <c r="DM81" s="627">
        <v>0</v>
      </c>
      <c r="DN81" s="627">
        <v>55399123</v>
      </c>
      <c r="DO81" s="627">
        <v>188820</v>
      </c>
      <c r="DP81" s="627">
        <v>0</v>
      </c>
      <c r="DQ81" s="627">
        <v>0</v>
      </c>
      <c r="DR81" s="627">
        <v>0</v>
      </c>
      <c r="DS81" s="627">
        <v>0</v>
      </c>
      <c r="DT81" s="627">
        <v>0</v>
      </c>
      <c r="DU81" s="627">
        <v>0</v>
      </c>
      <c r="DV81" s="627">
        <v>0</v>
      </c>
      <c r="DW81" s="627">
        <v>0</v>
      </c>
      <c r="DX81" s="627">
        <v>0</v>
      </c>
      <c r="DY81" s="627">
        <v>0</v>
      </c>
      <c r="DZ81" s="627">
        <v>0</v>
      </c>
      <c r="EA81" s="627">
        <v>0</v>
      </c>
      <c r="EB81" s="627">
        <v>1.86</v>
      </c>
      <c r="EC81" s="627">
        <v>0.17200000000000001</v>
      </c>
      <c r="ED81" s="627">
        <v>2282.8980000000001</v>
      </c>
      <c r="EE81" s="627">
        <v>16172049</v>
      </c>
      <c r="EF81" s="627">
        <v>0</v>
      </c>
      <c r="EG81" s="627">
        <v>0</v>
      </c>
      <c r="EH81" s="627">
        <v>4.5550000000000006</v>
      </c>
      <c r="EI81" s="627">
        <v>39412444</v>
      </c>
      <c r="EJ81" s="627">
        <v>3450</v>
      </c>
      <c r="EK81" s="627">
        <v>0.14000000000000001</v>
      </c>
      <c r="EL81" s="627">
        <v>1057.4270000000001</v>
      </c>
      <c r="EM81" s="627">
        <v>16.348000000000003</v>
      </c>
      <c r="EN81" s="627">
        <v>783.73599999999999</v>
      </c>
      <c r="EO81" s="627">
        <v>156.97</v>
      </c>
      <c r="EP81" s="627">
        <v>0</v>
      </c>
      <c r="EQ81" s="627">
        <v>0</v>
      </c>
      <c r="ER81" s="627">
        <v>2034.2820000000002</v>
      </c>
      <c r="ES81" s="627">
        <v>29.422000000000001</v>
      </c>
      <c r="ET81" s="627">
        <v>6398.1240000000007</v>
      </c>
      <c r="EU81" s="627">
        <v>0</v>
      </c>
      <c r="EV81" s="627">
        <v>0</v>
      </c>
      <c r="EW81" s="627">
        <v>0</v>
      </c>
      <c r="EX81" s="627">
        <v>0</v>
      </c>
      <c r="EY81" s="627">
        <v>0</v>
      </c>
      <c r="EZ81" s="627">
        <v>0</v>
      </c>
      <c r="FA81" s="627">
        <v>692871642</v>
      </c>
      <c r="FB81" s="627">
        <v>0</v>
      </c>
      <c r="FC81" s="627">
        <v>721000172</v>
      </c>
      <c r="FD81" s="627">
        <v>0</v>
      </c>
      <c r="FE81" s="627">
        <v>0</v>
      </c>
      <c r="FF81" s="627">
        <v>103323266</v>
      </c>
      <c r="FG81" s="627">
        <v>17894342</v>
      </c>
      <c r="FH81" s="627">
        <v>7.0280999999999996E-2</v>
      </c>
      <c r="FI81" s="627">
        <v>3.1172999999999999E-2</v>
      </c>
      <c r="FJ81" s="627">
        <v>0</v>
      </c>
      <c r="FK81" s="627">
        <v>0</v>
      </c>
      <c r="FL81" s="627">
        <v>116484.041</v>
      </c>
      <c r="FM81" s="627">
        <v>853691210</v>
      </c>
      <c r="FN81" s="627">
        <v>0</v>
      </c>
      <c r="FO81" s="627">
        <v>0</v>
      </c>
      <c r="FP81" s="627">
        <v>2403090</v>
      </c>
      <c r="FQ81" s="627">
        <v>1049935</v>
      </c>
      <c r="FR81" s="627">
        <v>3453025</v>
      </c>
      <c r="FS81" s="627">
        <v>2403090</v>
      </c>
      <c r="FT81" s="627">
        <v>0</v>
      </c>
      <c r="FU81" s="627">
        <v>0</v>
      </c>
      <c r="FV81" s="627">
        <v>0</v>
      </c>
      <c r="FW81" s="627">
        <v>0</v>
      </c>
      <c r="FX81" s="627">
        <v>0</v>
      </c>
      <c r="FY81" s="627">
        <v>0</v>
      </c>
      <c r="FZ81" s="627">
        <v>0</v>
      </c>
      <c r="GA81" s="627">
        <v>0</v>
      </c>
      <c r="GB81" s="627">
        <v>0</v>
      </c>
      <c r="GC81" s="627">
        <v>25344453</v>
      </c>
      <c r="GD81" s="627">
        <v>25344453</v>
      </c>
      <c r="GE81" s="627">
        <v>2735.6</v>
      </c>
      <c r="GF81" s="627">
        <v>0</v>
      </c>
      <c r="GG81" s="627">
        <v>0</v>
      </c>
      <c r="GH81" s="627">
        <v>0</v>
      </c>
      <c r="GI81" s="627">
        <v>0</v>
      </c>
      <c r="GJ81" s="627">
        <v>0</v>
      </c>
      <c r="GK81" s="627">
        <v>0</v>
      </c>
      <c r="GL81" s="627">
        <v>0</v>
      </c>
      <c r="GM81" s="627">
        <v>0</v>
      </c>
      <c r="GN81" s="627">
        <v>0</v>
      </c>
      <c r="GO81" s="627">
        <v>0</v>
      </c>
      <c r="GP81" s="627">
        <v>0</v>
      </c>
      <c r="GQ81" s="627">
        <v>0</v>
      </c>
      <c r="GR81" s="627">
        <v>813900430</v>
      </c>
      <c r="GS81" s="627">
        <v>0</v>
      </c>
      <c r="GT81" s="627">
        <v>0</v>
      </c>
      <c r="GU81" s="627">
        <v>0</v>
      </c>
      <c r="GV81" s="627">
        <v>0</v>
      </c>
      <c r="GW81" s="627">
        <v>0</v>
      </c>
      <c r="GX81" s="627">
        <v>0</v>
      </c>
      <c r="GY81" s="627">
        <v>0</v>
      </c>
      <c r="GZ81" s="627">
        <v>0</v>
      </c>
      <c r="HA81" s="627">
        <v>0</v>
      </c>
      <c r="HB81" s="627">
        <v>0</v>
      </c>
      <c r="HC81" s="627">
        <v>361151439</v>
      </c>
      <c r="HD81" s="627">
        <v>3.9981999999999997E-2</v>
      </c>
      <c r="HE81" s="627">
        <v>11473430</v>
      </c>
      <c r="HF81" s="627">
        <v>0</v>
      </c>
      <c r="HG81" s="627">
        <v>73802100</v>
      </c>
      <c r="HH81" s="627">
        <v>529760</v>
      </c>
      <c r="HI81" s="627">
        <v>19332647</v>
      </c>
      <c r="HJ81" s="627">
        <v>0</v>
      </c>
      <c r="HK81" s="627">
        <v>2562409</v>
      </c>
      <c r="HL81" s="627">
        <v>128584</v>
      </c>
      <c r="HM81" s="627">
        <v>65688</v>
      </c>
      <c r="HN81" s="627">
        <v>4628000</v>
      </c>
      <c r="HO81" s="627">
        <v>3528779</v>
      </c>
      <c r="HP81" s="627">
        <v>0</v>
      </c>
      <c r="HQ81" s="627">
        <v>0</v>
      </c>
      <c r="HR81" s="627">
        <v>0</v>
      </c>
      <c r="HS81" s="627">
        <v>0</v>
      </c>
      <c r="HT81" s="627">
        <v>692682822</v>
      </c>
      <c r="HU81" s="627">
        <v>17894342</v>
      </c>
      <c r="HV81" s="627">
        <v>0</v>
      </c>
      <c r="HW81" s="627">
        <v>0</v>
      </c>
      <c r="HX81" s="627">
        <v>0</v>
      </c>
      <c r="HY81" s="627">
        <v>7159</v>
      </c>
      <c r="HZ81" s="627">
        <v>12279</v>
      </c>
      <c r="IA81" s="627">
        <v>14437</v>
      </c>
      <c r="IB81" s="627">
        <v>16439</v>
      </c>
      <c r="IC81" s="627">
        <v>14241</v>
      </c>
      <c r="ID81" s="627">
        <v>64555</v>
      </c>
      <c r="IE81" s="627">
        <v>0</v>
      </c>
      <c r="IF81" s="627">
        <v>0.35500000000000004</v>
      </c>
      <c r="IG81" s="627">
        <v>0</v>
      </c>
      <c r="IH81" s="627">
        <v>860</v>
      </c>
      <c r="II81" s="627">
        <v>31384.168000000001</v>
      </c>
      <c r="IJ81" s="627">
        <v>0</v>
      </c>
      <c r="IK81" s="627">
        <v>30613.897000000001</v>
      </c>
      <c r="IL81" s="627">
        <v>0</v>
      </c>
      <c r="IM81" s="627">
        <v>847</v>
      </c>
      <c r="IN81" s="627">
        <v>107</v>
      </c>
      <c r="IO81" s="627">
        <v>36</v>
      </c>
      <c r="IP81" s="627">
        <v>990</v>
      </c>
      <c r="IQ81" s="627">
        <v>0</v>
      </c>
      <c r="IR81" s="627">
        <v>30613.542000000001</v>
      </c>
      <c r="IS81" s="627">
        <v>18857942</v>
      </c>
      <c r="IT81" s="627">
        <v>0</v>
      </c>
      <c r="IU81" s="627">
        <v>4235000</v>
      </c>
      <c r="IV81" s="627">
        <v>321000</v>
      </c>
      <c r="IW81" s="627">
        <v>72000</v>
      </c>
      <c r="IX81" s="627">
        <v>6160</v>
      </c>
      <c r="IY81" s="627">
        <v>328</v>
      </c>
      <c r="IZ81" s="627">
        <v>0</v>
      </c>
      <c r="JA81" s="627">
        <v>0</v>
      </c>
      <c r="JB81" s="627">
        <v>0</v>
      </c>
      <c r="JC81" s="627">
        <v>56</v>
      </c>
      <c r="JD81" s="627">
        <v>1284702</v>
      </c>
      <c r="JE81" s="627">
        <v>139</v>
      </c>
      <c r="JF81" s="627">
        <v>1687573</v>
      </c>
      <c r="JG81" s="627">
        <v>66</v>
      </c>
      <c r="JH81" s="627">
        <v>406104</v>
      </c>
      <c r="JI81" s="627">
        <v>150400</v>
      </c>
      <c r="JJ81" s="627">
        <v>0</v>
      </c>
      <c r="JK81" s="627">
        <v>0</v>
      </c>
      <c r="JL81" s="627">
        <v>0</v>
      </c>
      <c r="JM81" s="627">
        <v>0</v>
      </c>
      <c r="JN81" s="627">
        <v>0</v>
      </c>
      <c r="JO81" s="627">
        <v>32469</v>
      </c>
      <c r="JP81" s="627">
        <v>335.24100000000004</v>
      </c>
      <c r="JQ81" s="627">
        <v>2143.6010000000001</v>
      </c>
      <c r="JR81" s="627">
        <v>256.75900000000001</v>
      </c>
      <c r="JS81" s="627">
        <v>2677972</v>
      </c>
      <c r="JT81" s="627">
        <v>19925543</v>
      </c>
      <c r="JU81" s="627">
        <v>2740938</v>
      </c>
      <c r="JV81" s="627">
        <v>0</v>
      </c>
      <c r="JW81" s="627">
        <v>0</v>
      </c>
      <c r="JX81" s="627">
        <v>0</v>
      </c>
      <c r="JY81" s="627">
        <v>0</v>
      </c>
      <c r="JZ81" s="627">
        <v>0</v>
      </c>
      <c r="KA81" s="627">
        <v>0</v>
      </c>
      <c r="KB81" s="627">
        <v>0</v>
      </c>
      <c r="KC81" s="627">
        <v>0</v>
      </c>
      <c r="KD81" s="627">
        <v>0</v>
      </c>
      <c r="KE81" s="627">
        <v>0</v>
      </c>
      <c r="KF81" s="627">
        <v>7262</v>
      </c>
      <c r="KG81" s="627">
        <v>0</v>
      </c>
      <c r="KH81" s="627">
        <v>0</v>
      </c>
      <c r="KI81" s="627">
        <v>813900430</v>
      </c>
      <c r="KJ81" s="627">
        <v>0</v>
      </c>
      <c r="KK81" s="627">
        <v>61</v>
      </c>
      <c r="KL81" s="627">
        <v>799</v>
      </c>
      <c r="KM81" s="627">
        <v>37576</v>
      </c>
      <c r="KN81" s="627">
        <v>492184</v>
      </c>
      <c r="KO81" s="627">
        <v>0</v>
      </c>
      <c r="KP81" s="627">
        <v>0</v>
      </c>
      <c r="KQ81" s="627">
        <v>813900430</v>
      </c>
      <c r="KR81" s="627">
        <v>0</v>
      </c>
      <c r="KS81" s="627">
        <v>0</v>
      </c>
      <c r="KT81" s="627">
        <v>0</v>
      </c>
      <c r="KU81" s="627">
        <v>0</v>
      </c>
      <c r="KV81" s="627">
        <v>0</v>
      </c>
      <c r="KW81" s="627">
        <v>0</v>
      </c>
      <c r="KX81" s="627">
        <v>0</v>
      </c>
      <c r="KY81" s="627">
        <v>0</v>
      </c>
      <c r="KZ81" s="627">
        <v>0</v>
      </c>
      <c r="LA81" s="627">
        <v>0</v>
      </c>
      <c r="LB81" s="627">
        <v>0</v>
      </c>
      <c r="LC81" s="627">
        <v>0</v>
      </c>
      <c r="LD81" s="627">
        <v>0</v>
      </c>
      <c r="LE81" s="627">
        <v>0</v>
      </c>
      <c r="LF81" s="627">
        <v>0</v>
      </c>
    </row>
    <row r="82" spans="1:318" x14ac:dyDescent="0.25">
      <c r="A82" s="627">
        <v>42602</v>
      </c>
      <c r="B82" s="627">
        <v>123807</v>
      </c>
      <c r="D82" s="627">
        <v>9</v>
      </c>
      <c r="E82" s="627">
        <v>2024</v>
      </c>
      <c r="F82" s="627">
        <v>6160</v>
      </c>
      <c r="G82" s="627">
        <v>0</v>
      </c>
      <c r="H82" s="627">
        <v>2219.0100000000002</v>
      </c>
      <c r="I82" s="627">
        <v>1982.067</v>
      </c>
      <c r="J82" s="627">
        <v>1982.067</v>
      </c>
      <c r="K82" s="627">
        <v>2219.0100000000002</v>
      </c>
      <c r="L82" s="627">
        <v>0</v>
      </c>
      <c r="M82" s="627">
        <v>6160</v>
      </c>
      <c r="N82" s="627">
        <v>0</v>
      </c>
      <c r="O82" s="627">
        <v>0</v>
      </c>
      <c r="P82" s="627">
        <v>0</v>
      </c>
      <c r="Q82" s="627">
        <v>1989.557</v>
      </c>
      <c r="R82" s="627">
        <v>0</v>
      </c>
      <c r="S82" s="627">
        <v>825435</v>
      </c>
      <c r="T82" s="627">
        <v>414.88400000000001</v>
      </c>
      <c r="U82" s="627">
        <v>0</v>
      </c>
      <c r="V82" s="627">
        <v>428367</v>
      </c>
      <c r="W82" s="627">
        <v>999.45300000000009</v>
      </c>
      <c r="X82" s="627">
        <v>615663</v>
      </c>
      <c r="Y82" s="627">
        <v>615663</v>
      </c>
      <c r="Z82" s="627">
        <v>0</v>
      </c>
      <c r="AA82" s="627">
        <v>0</v>
      </c>
      <c r="AB82" s="627">
        <v>0</v>
      </c>
      <c r="AC82" s="627">
        <v>0</v>
      </c>
      <c r="AD82" s="627">
        <v>0</v>
      </c>
      <c r="AE82" s="627" t="s">
        <v>314</v>
      </c>
      <c r="AF82" s="627">
        <v>0</v>
      </c>
      <c r="AG82" s="627">
        <v>0</v>
      </c>
      <c r="AH82" s="627">
        <v>0</v>
      </c>
      <c r="AI82" s="627">
        <v>0</v>
      </c>
      <c r="AJ82" s="627">
        <v>0</v>
      </c>
      <c r="AK82" s="627">
        <v>6160</v>
      </c>
      <c r="AL82" s="627" t="s">
        <v>651</v>
      </c>
      <c r="AM82" s="627" t="s">
        <v>355</v>
      </c>
      <c r="AN82" s="627">
        <v>0</v>
      </c>
      <c r="AO82" s="627">
        <v>0</v>
      </c>
      <c r="AP82" s="627">
        <v>0</v>
      </c>
      <c r="AQ82" s="627">
        <v>0</v>
      </c>
      <c r="AR82" s="627">
        <v>0</v>
      </c>
      <c r="AS82" s="627">
        <v>0</v>
      </c>
      <c r="AT82" s="627">
        <v>0</v>
      </c>
      <c r="AU82" s="627">
        <v>0</v>
      </c>
      <c r="AV82" s="627">
        <v>0</v>
      </c>
      <c r="AW82" s="627">
        <v>0</v>
      </c>
      <c r="AX82" s="627">
        <v>25492106</v>
      </c>
      <c r="AY82" s="627">
        <v>25140530</v>
      </c>
      <c r="AZ82" s="627">
        <v>12768934</v>
      </c>
      <c r="BA82" s="627">
        <v>825435</v>
      </c>
      <c r="BB82" s="627">
        <v>0</v>
      </c>
      <c r="BC82" s="627">
        <v>0</v>
      </c>
      <c r="BD82" s="627">
        <v>0</v>
      </c>
      <c r="BE82" s="627">
        <v>0</v>
      </c>
      <c r="BF82" s="627">
        <v>0</v>
      </c>
      <c r="BG82" s="627">
        <v>22156273</v>
      </c>
      <c r="BH82" s="627">
        <v>0</v>
      </c>
      <c r="BI82" s="627">
        <v>0</v>
      </c>
      <c r="BJ82" s="627">
        <v>0</v>
      </c>
      <c r="BK82" s="627">
        <v>12</v>
      </c>
      <c r="BL82" s="627">
        <v>0</v>
      </c>
      <c r="BM82" s="627">
        <v>0</v>
      </c>
      <c r="BN82" s="627">
        <v>0</v>
      </c>
      <c r="BO82" s="627">
        <v>0</v>
      </c>
      <c r="BP82" s="627">
        <v>0</v>
      </c>
      <c r="BQ82" s="627">
        <v>0</v>
      </c>
      <c r="BR82" s="627">
        <v>465</v>
      </c>
      <c r="BS82" s="627">
        <v>0</v>
      </c>
      <c r="BT82" s="627">
        <v>0</v>
      </c>
      <c r="BU82" s="627">
        <v>0</v>
      </c>
      <c r="BV82" s="627">
        <v>0</v>
      </c>
      <c r="BW82" s="627">
        <v>0</v>
      </c>
      <c r="BX82" s="627">
        <v>0</v>
      </c>
      <c r="BY82" s="627">
        <v>0</v>
      </c>
      <c r="BZ82" s="627">
        <v>0</v>
      </c>
      <c r="CA82" s="627">
        <v>0</v>
      </c>
      <c r="CB82" s="627">
        <v>0</v>
      </c>
      <c r="CC82" s="627">
        <v>0</v>
      </c>
      <c r="CD82" s="627">
        <v>0</v>
      </c>
      <c r="CE82" s="627">
        <v>0</v>
      </c>
      <c r="CF82" s="627">
        <v>0</v>
      </c>
      <c r="CG82" s="627">
        <v>0</v>
      </c>
      <c r="CH82" s="627">
        <v>0</v>
      </c>
      <c r="CI82" s="627">
        <v>354883</v>
      </c>
      <c r="CJ82" s="627">
        <v>0</v>
      </c>
      <c r="CK82" s="627">
        <v>4</v>
      </c>
      <c r="CL82" s="627">
        <v>0</v>
      </c>
      <c r="CM82" s="627">
        <v>0</v>
      </c>
      <c r="CN82" s="627">
        <v>0</v>
      </c>
      <c r="CO82" s="627">
        <v>0</v>
      </c>
      <c r="CP82" s="627">
        <v>1</v>
      </c>
      <c r="CQ82" s="627">
        <v>0</v>
      </c>
      <c r="CR82" s="627">
        <v>0</v>
      </c>
      <c r="CS82" s="627">
        <v>2004.3500000000001</v>
      </c>
      <c r="CT82" s="627">
        <v>0</v>
      </c>
      <c r="CU82" s="627">
        <v>0</v>
      </c>
      <c r="CV82" s="627">
        <v>0</v>
      </c>
      <c r="CW82" s="627">
        <v>0</v>
      </c>
      <c r="CX82" s="627">
        <v>0</v>
      </c>
      <c r="CY82" s="627">
        <v>0</v>
      </c>
      <c r="CZ82" s="627">
        <v>0</v>
      </c>
      <c r="DA82" s="627">
        <v>0</v>
      </c>
      <c r="DB82" s="627">
        <v>0</v>
      </c>
      <c r="DC82" s="627">
        <v>12209533</v>
      </c>
      <c r="DD82" s="627">
        <v>0</v>
      </c>
      <c r="DE82" s="627">
        <v>0</v>
      </c>
      <c r="DF82" s="627">
        <v>3528833</v>
      </c>
      <c r="DG82" s="627">
        <v>3528833</v>
      </c>
      <c r="DH82" s="627">
        <v>572.86300000000006</v>
      </c>
      <c r="DI82" s="627">
        <v>0</v>
      </c>
      <c r="DJ82" s="627">
        <v>0</v>
      </c>
      <c r="DK82" s="627">
        <v>0</v>
      </c>
      <c r="DL82" s="627">
        <v>0</v>
      </c>
      <c r="DM82" s="627">
        <v>0</v>
      </c>
      <c r="DN82" s="627">
        <v>970368</v>
      </c>
      <c r="DO82" s="627">
        <v>3307</v>
      </c>
      <c r="DP82" s="627">
        <v>0</v>
      </c>
      <c r="DQ82" s="627">
        <v>0</v>
      </c>
      <c r="DR82" s="627">
        <v>0</v>
      </c>
      <c r="DS82" s="627">
        <v>0</v>
      </c>
      <c r="DT82" s="627">
        <v>0</v>
      </c>
      <c r="DU82" s="627">
        <v>0</v>
      </c>
      <c r="DV82" s="627">
        <v>0</v>
      </c>
      <c r="DW82" s="627">
        <v>0</v>
      </c>
      <c r="DX82" s="627">
        <v>0</v>
      </c>
      <c r="DY82" s="627">
        <v>0</v>
      </c>
      <c r="DZ82" s="627">
        <v>0</v>
      </c>
      <c r="EA82" s="627">
        <v>0</v>
      </c>
      <c r="EB82" s="627">
        <v>0</v>
      </c>
      <c r="EC82" s="627">
        <v>0</v>
      </c>
      <c r="ED82" s="627">
        <v>9.3480000000000008</v>
      </c>
      <c r="EE82" s="627">
        <v>66221</v>
      </c>
      <c r="EF82" s="627">
        <v>0</v>
      </c>
      <c r="EG82" s="627">
        <v>0</v>
      </c>
      <c r="EH82" s="627">
        <v>0</v>
      </c>
      <c r="EI82" s="627">
        <v>907454</v>
      </c>
      <c r="EJ82" s="627">
        <v>0</v>
      </c>
      <c r="EK82" s="627">
        <v>0</v>
      </c>
      <c r="EL82" s="627">
        <v>36.26</v>
      </c>
      <c r="EM82" s="627">
        <v>0.30299999999999999</v>
      </c>
      <c r="EN82" s="627">
        <v>7.6779999999999999</v>
      </c>
      <c r="EO82" s="627">
        <v>3.1</v>
      </c>
      <c r="EP82" s="627">
        <v>0</v>
      </c>
      <c r="EQ82" s="627">
        <v>0</v>
      </c>
      <c r="ER82" s="627">
        <v>47.038000000000004</v>
      </c>
      <c r="ES82" s="627">
        <v>0</v>
      </c>
      <c r="ET82" s="627">
        <v>147.31399999999999</v>
      </c>
      <c r="EU82" s="627">
        <v>0</v>
      </c>
      <c r="EV82" s="627">
        <v>0</v>
      </c>
      <c r="EW82" s="627">
        <v>0</v>
      </c>
      <c r="EX82" s="627">
        <v>0</v>
      </c>
      <c r="EY82" s="627">
        <v>0</v>
      </c>
      <c r="EZ82" s="627">
        <v>0</v>
      </c>
      <c r="FA82" s="627">
        <v>21397569</v>
      </c>
      <c r="FB82" s="627">
        <v>0</v>
      </c>
      <c r="FC82" s="627">
        <v>22219697</v>
      </c>
      <c r="FD82" s="627">
        <v>0</v>
      </c>
      <c r="FE82" s="627">
        <v>0</v>
      </c>
      <c r="FF82" s="627">
        <v>3190419</v>
      </c>
      <c r="FG82" s="627">
        <v>552542</v>
      </c>
      <c r="FH82" s="627">
        <v>7.0280999999999996E-2</v>
      </c>
      <c r="FI82" s="627">
        <v>3.1172999999999999E-2</v>
      </c>
      <c r="FJ82" s="627">
        <v>0</v>
      </c>
      <c r="FK82" s="627">
        <v>0</v>
      </c>
      <c r="FL82" s="627">
        <v>3596.7980000000002</v>
      </c>
      <c r="FM82" s="627">
        <v>26317541</v>
      </c>
      <c r="FN82" s="627">
        <v>0</v>
      </c>
      <c r="FO82" s="627">
        <v>0</v>
      </c>
      <c r="FP82" s="627">
        <v>34272</v>
      </c>
      <c r="FQ82" s="627">
        <v>15044</v>
      </c>
      <c r="FR82" s="627">
        <v>56736</v>
      </c>
      <c r="FS82" s="627">
        <v>34272</v>
      </c>
      <c r="FT82" s="627">
        <v>7420</v>
      </c>
      <c r="FU82" s="627">
        <v>0</v>
      </c>
      <c r="FV82" s="627">
        <v>0</v>
      </c>
      <c r="FW82" s="627">
        <v>0</v>
      </c>
      <c r="FX82" s="627">
        <v>0</v>
      </c>
      <c r="FY82" s="627">
        <v>0</v>
      </c>
      <c r="FZ82" s="627">
        <v>0</v>
      </c>
      <c r="GA82" s="627">
        <v>0</v>
      </c>
      <c r="GB82" s="627">
        <v>0</v>
      </c>
      <c r="GC82" s="627">
        <v>1791981</v>
      </c>
      <c r="GD82" s="627">
        <v>1791981</v>
      </c>
      <c r="GE82" s="627">
        <v>189.905</v>
      </c>
      <c r="GF82" s="627">
        <v>0</v>
      </c>
      <c r="GG82" s="627">
        <v>0</v>
      </c>
      <c r="GH82" s="627">
        <v>0</v>
      </c>
      <c r="GI82" s="627">
        <v>0</v>
      </c>
      <c r="GJ82" s="627">
        <v>0</v>
      </c>
      <c r="GK82" s="627">
        <v>0</v>
      </c>
      <c r="GL82" s="627">
        <v>0</v>
      </c>
      <c r="GM82" s="627">
        <v>0</v>
      </c>
      <c r="GN82" s="627">
        <v>0</v>
      </c>
      <c r="GO82" s="627">
        <v>0</v>
      </c>
      <c r="GP82" s="627">
        <v>0</v>
      </c>
      <c r="GQ82" s="627">
        <v>0</v>
      </c>
      <c r="GR82" s="627">
        <v>25137223</v>
      </c>
      <c r="GS82" s="627">
        <v>0</v>
      </c>
      <c r="GT82" s="627">
        <v>0</v>
      </c>
      <c r="GU82" s="627">
        <v>0</v>
      </c>
      <c r="GV82" s="627">
        <v>0</v>
      </c>
      <c r="GW82" s="627">
        <v>0</v>
      </c>
      <c r="GX82" s="627">
        <v>0</v>
      </c>
      <c r="GY82" s="627">
        <v>0</v>
      </c>
      <c r="GZ82" s="627">
        <v>0</v>
      </c>
      <c r="HA82" s="627">
        <v>0</v>
      </c>
      <c r="HB82" s="627">
        <v>0</v>
      </c>
      <c r="HC82" s="627">
        <v>361151439</v>
      </c>
      <c r="HD82" s="627">
        <v>3.9981999999999997E-2</v>
      </c>
      <c r="HE82" s="627">
        <v>354883</v>
      </c>
      <c r="HF82" s="627">
        <v>0</v>
      </c>
      <c r="HG82" s="627">
        <v>2184238</v>
      </c>
      <c r="HH82" s="627">
        <v>14784</v>
      </c>
      <c r="HI82" s="627">
        <v>627376</v>
      </c>
      <c r="HJ82" s="627">
        <v>0</v>
      </c>
      <c r="HK82" s="627">
        <v>82190</v>
      </c>
      <c r="HL82" s="627">
        <v>5837</v>
      </c>
      <c r="HM82" s="627">
        <v>4158</v>
      </c>
      <c r="HN82" s="627">
        <v>128000</v>
      </c>
      <c r="HO82" s="627">
        <v>0</v>
      </c>
      <c r="HP82" s="627">
        <v>0</v>
      </c>
      <c r="HQ82" s="627">
        <v>0</v>
      </c>
      <c r="HR82" s="627">
        <v>0</v>
      </c>
      <c r="HS82" s="627">
        <v>0</v>
      </c>
      <c r="HT82" s="627">
        <v>21394262</v>
      </c>
      <c r="HU82" s="627">
        <v>552542</v>
      </c>
      <c r="HV82" s="627">
        <v>0</v>
      </c>
      <c r="HW82" s="627">
        <v>0</v>
      </c>
      <c r="HX82" s="627">
        <v>0</v>
      </c>
      <c r="HY82" s="627">
        <v>136</v>
      </c>
      <c r="HZ82" s="627">
        <v>305</v>
      </c>
      <c r="IA82" s="627">
        <v>611</v>
      </c>
      <c r="IB82" s="627">
        <v>902</v>
      </c>
      <c r="IC82" s="627">
        <v>292</v>
      </c>
      <c r="ID82" s="627">
        <v>2246</v>
      </c>
      <c r="IE82" s="627">
        <v>0</v>
      </c>
      <c r="IF82" s="627">
        <v>0</v>
      </c>
      <c r="IG82" s="627">
        <v>0</v>
      </c>
      <c r="IH82" s="627">
        <v>24</v>
      </c>
      <c r="II82" s="627">
        <v>1018.4670000000001</v>
      </c>
      <c r="IJ82" s="627">
        <v>0</v>
      </c>
      <c r="IK82" s="627">
        <v>999.45300000000009</v>
      </c>
      <c r="IL82" s="627">
        <v>0</v>
      </c>
      <c r="IM82" s="627">
        <v>25</v>
      </c>
      <c r="IN82" s="627">
        <v>1</v>
      </c>
      <c r="IO82" s="627">
        <v>0</v>
      </c>
      <c r="IP82" s="627">
        <v>26</v>
      </c>
      <c r="IQ82" s="627">
        <v>0</v>
      </c>
      <c r="IR82" s="627">
        <v>999.45300000000009</v>
      </c>
      <c r="IS82" s="627">
        <v>615663</v>
      </c>
      <c r="IT82" s="627">
        <v>0</v>
      </c>
      <c r="IU82" s="627">
        <v>125000</v>
      </c>
      <c r="IV82" s="627">
        <v>3000</v>
      </c>
      <c r="IW82" s="627">
        <v>0</v>
      </c>
      <c r="IX82" s="627">
        <v>6160</v>
      </c>
      <c r="IY82" s="627">
        <v>0</v>
      </c>
      <c r="IZ82" s="627">
        <v>0</v>
      </c>
      <c r="JA82" s="627">
        <v>0</v>
      </c>
      <c r="JB82" s="627">
        <v>0</v>
      </c>
      <c r="JC82" s="627">
        <v>0</v>
      </c>
      <c r="JD82" s="627">
        <v>0</v>
      </c>
      <c r="JE82" s="627">
        <v>0</v>
      </c>
      <c r="JF82" s="627">
        <v>0</v>
      </c>
      <c r="JG82" s="627">
        <v>0</v>
      </c>
      <c r="JH82" s="627">
        <v>0</v>
      </c>
      <c r="JI82" s="627">
        <v>0</v>
      </c>
      <c r="JJ82" s="627">
        <v>0</v>
      </c>
      <c r="JK82" s="627">
        <v>0</v>
      </c>
      <c r="JL82" s="627">
        <v>0</v>
      </c>
      <c r="JM82" s="627">
        <v>0</v>
      </c>
      <c r="JN82" s="627">
        <v>0</v>
      </c>
      <c r="JO82" s="627">
        <v>32469</v>
      </c>
      <c r="JP82" s="627">
        <v>15.187000000000001</v>
      </c>
      <c r="JQ82" s="627">
        <v>140.93899999999999</v>
      </c>
      <c r="JR82" s="627">
        <v>33.777999999999999</v>
      </c>
      <c r="JS82" s="627">
        <v>121317</v>
      </c>
      <c r="JT82" s="627">
        <v>1310079</v>
      </c>
      <c r="JU82" s="627">
        <v>360585</v>
      </c>
      <c r="JV82" s="627">
        <v>0</v>
      </c>
      <c r="JW82" s="627">
        <v>0</v>
      </c>
      <c r="JX82" s="627">
        <v>0</v>
      </c>
      <c r="JY82" s="627">
        <v>0</v>
      </c>
      <c r="JZ82" s="627">
        <v>0</v>
      </c>
      <c r="KA82" s="627">
        <v>0</v>
      </c>
      <c r="KB82" s="627">
        <v>0</v>
      </c>
      <c r="KC82" s="627">
        <v>0</v>
      </c>
      <c r="KD82" s="627">
        <v>0</v>
      </c>
      <c r="KE82" s="627">
        <v>0</v>
      </c>
      <c r="KF82" s="627">
        <v>7262</v>
      </c>
      <c r="KG82" s="627">
        <v>0</v>
      </c>
      <c r="KH82" s="627">
        <v>0</v>
      </c>
      <c r="KI82" s="627">
        <v>25137223</v>
      </c>
      <c r="KJ82" s="627">
        <v>0</v>
      </c>
      <c r="KK82" s="627">
        <v>8</v>
      </c>
      <c r="KL82" s="627">
        <v>16</v>
      </c>
      <c r="KM82" s="627">
        <v>4928</v>
      </c>
      <c r="KN82" s="627">
        <v>9856</v>
      </c>
      <c r="KO82" s="627">
        <v>0</v>
      </c>
      <c r="KP82" s="627">
        <v>0</v>
      </c>
      <c r="KQ82" s="627">
        <v>25137223</v>
      </c>
      <c r="KR82" s="627">
        <v>0</v>
      </c>
      <c r="KS82" s="627">
        <v>0</v>
      </c>
      <c r="KT82" s="627">
        <v>0</v>
      </c>
      <c r="KU82" s="627">
        <v>0</v>
      </c>
      <c r="KV82" s="627">
        <v>0</v>
      </c>
      <c r="KW82" s="627">
        <v>0</v>
      </c>
      <c r="KX82" s="627">
        <v>0</v>
      </c>
      <c r="KY82" s="627">
        <v>0</v>
      </c>
      <c r="KZ82" s="627">
        <v>0</v>
      </c>
      <c r="LA82" s="627">
        <v>0</v>
      </c>
      <c r="LB82" s="627">
        <v>0</v>
      </c>
      <c r="LC82" s="627">
        <v>0</v>
      </c>
      <c r="LD82" s="627">
        <v>0</v>
      </c>
      <c r="LE82" s="627">
        <v>0</v>
      </c>
      <c r="LF82" s="627">
        <v>0</v>
      </c>
    </row>
    <row r="83" spans="1:318" x14ac:dyDescent="0.25">
      <c r="A83" s="627">
        <v>42602</v>
      </c>
      <c r="B83" s="627">
        <v>161807</v>
      </c>
      <c r="D83" s="627">
        <v>9</v>
      </c>
      <c r="E83" s="627">
        <v>2024</v>
      </c>
      <c r="F83" s="627">
        <v>6160</v>
      </c>
      <c r="G83" s="627">
        <v>0</v>
      </c>
      <c r="H83" s="627">
        <v>9460.7020000000011</v>
      </c>
      <c r="I83" s="627">
        <v>8543.5670000000009</v>
      </c>
      <c r="J83" s="627">
        <v>8543.5670000000009</v>
      </c>
      <c r="K83" s="627">
        <v>9460.7020000000011</v>
      </c>
      <c r="L83" s="627">
        <v>0</v>
      </c>
      <c r="M83" s="627">
        <v>6160</v>
      </c>
      <c r="N83" s="627">
        <v>0</v>
      </c>
      <c r="O83" s="627">
        <v>0</v>
      </c>
      <c r="P83" s="627">
        <v>0</v>
      </c>
      <c r="Q83" s="627">
        <v>9409.973</v>
      </c>
      <c r="R83" s="627">
        <v>0</v>
      </c>
      <c r="S83" s="627">
        <v>3904047</v>
      </c>
      <c r="T83" s="627">
        <v>414.88400000000001</v>
      </c>
      <c r="U83" s="627">
        <v>0</v>
      </c>
      <c r="V83" s="627">
        <v>2026042</v>
      </c>
      <c r="W83" s="627">
        <v>3050.4570000000003</v>
      </c>
      <c r="X83" s="627">
        <v>1879082</v>
      </c>
      <c r="Y83" s="627">
        <v>1879082</v>
      </c>
      <c r="Z83" s="627">
        <v>0</v>
      </c>
      <c r="AA83" s="627">
        <v>0</v>
      </c>
      <c r="AB83" s="627">
        <v>0</v>
      </c>
      <c r="AC83" s="627">
        <v>0</v>
      </c>
      <c r="AD83" s="627">
        <v>0</v>
      </c>
      <c r="AE83" s="627" t="s">
        <v>314</v>
      </c>
      <c r="AF83" s="627">
        <v>0</v>
      </c>
      <c r="AG83" s="627">
        <v>0</v>
      </c>
      <c r="AH83" s="627">
        <v>0</v>
      </c>
      <c r="AI83" s="627">
        <v>0</v>
      </c>
      <c r="AJ83" s="627">
        <v>0</v>
      </c>
      <c r="AK83" s="627">
        <v>6160</v>
      </c>
      <c r="AL83" s="627" t="s">
        <v>651</v>
      </c>
      <c r="AM83" s="627" t="s">
        <v>759</v>
      </c>
      <c r="AN83" s="627">
        <v>0</v>
      </c>
      <c r="AO83" s="627">
        <v>0</v>
      </c>
      <c r="AP83" s="627">
        <v>0</v>
      </c>
      <c r="AQ83" s="627">
        <v>0</v>
      </c>
      <c r="AR83" s="627">
        <v>0</v>
      </c>
      <c r="AS83" s="627">
        <v>0</v>
      </c>
      <c r="AT83" s="627">
        <v>0</v>
      </c>
      <c r="AU83" s="627">
        <v>0</v>
      </c>
      <c r="AV83" s="627">
        <v>0</v>
      </c>
      <c r="AW83" s="627">
        <v>0</v>
      </c>
      <c r="AX83" s="627">
        <v>107617526</v>
      </c>
      <c r="AY83" s="627">
        <v>106135998</v>
      </c>
      <c r="AZ83" s="627">
        <v>53859409</v>
      </c>
      <c r="BA83" s="627">
        <v>3904047</v>
      </c>
      <c r="BB83" s="627">
        <v>159.667</v>
      </c>
      <c r="BC83" s="627">
        <v>201526</v>
      </c>
      <c r="BD83" s="627">
        <v>200241</v>
      </c>
      <c r="BE83" s="627">
        <v>473</v>
      </c>
      <c r="BF83" s="627">
        <v>1285</v>
      </c>
      <c r="BG83" s="627">
        <v>94092037</v>
      </c>
      <c r="BH83" s="627">
        <v>0</v>
      </c>
      <c r="BI83" s="627">
        <v>0</v>
      </c>
      <c r="BJ83" s="627">
        <v>0</v>
      </c>
      <c r="BK83" s="627">
        <v>12</v>
      </c>
      <c r="BL83" s="627">
        <v>0</v>
      </c>
      <c r="BM83" s="627">
        <v>0</v>
      </c>
      <c r="BN83" s="627">
        <v>0</v>
      </c>
      <c r="BO83" s="627">
        <v>0</v>
      </c>
      <c r="BP83" s="627">
        <v>0</v>
      </c>
      <c r="BQ83" s="627">
        <v>0</v>
      </c>
      <c r="BR83" s="627">
        <v>0</v>
      </c>
      <c r="BS83" s="627">
        <v>0</v>
      </c>
      <c r="BT83" s="627">
        <v>0</v>
      </c>
      <c r="BU83" s="627">
        <v>0</v>
      </c>
      <c r="BV83" s="627">
        <v>0</v>
      </c>
      <c r="BW83" s="627">
        <v>0</v>
      </c>
      <c r="BX83" s="627">
        <v>0</v>
      </c>
      <c r="BY83" s="627">
        <v>0</v>
      </c>
      <c r="BZ83" s="627">
        <v>0</v>
      </c>
      <c r="CA83" s="627">
        <v>0</v>
      </c>
      <c r="CB83" s="627">
        <v>0</v>
      </c>
      <c r="CC83" s="627">
        <v>0</v>
      </c>
      <c r="CD83" s="627">
        <v>0</v>
      </c>
      <c r="CE83" s="627">
        <v>0</v>
      </c>
      <c r="CF83" s="627">
        <v>0</v>
      </c>
      <c r="CG83" s="627">
        <v>0</v>
      </c>
      <c r="CH83" s="627">
        <v>0</v>
      </c>
      <c r="CI83" s="627">
        <v>1513037</v>
      </c>
      <c r="CJ83" s="627">
        <v>0</v>
      </c>
      <c r="CK83" s="627">
        <v>4</v>
      </c>
      <c r="CL83" s="627">
        <v>0</v>
      </c>
      <c r="CM83" s="627">
        <v>0</v>
      </c>
      <c r="CN83" s="627">
        <v>0</v>
      </c>
      <c r="CO83" s="627">
        <v>0</v>
      </c>
      <c r="CP83" s="627">
        <v>1</v>
      </c>
      <c r="CQ83" s="627">
        <v>0</v>
      </c>
      <c r="CR83" s="627">
        <v>0</v>
      </c>
      <c r="CS83" s="627">
        <v>9381.32</v>
      </c>
      <c r="CT83" s="627">
        <v>0</v>
      </c>
      <c r="CU83" s="627">
        <v>0</v>
      </c>
      <c r="CV83" s="627">
        <v>0</v>
      </c>
      <c r="CW83" s="627">
        <v>0</v>
      </c>
      <c r="CX83" s="627">
        <v>0</v>
      </c>
      <c r="CY83" s="627">
        <v>0</v>
      </c>
      <c r="CZ83" s="627">
        <v>0</v>
      </c>
      <c r="DA83" s="627">
        <v>0</v>
      </c>
      <c r="DB83" s="627">
        <v>0</v>
      </c>
      <c r="DC83" s="627">
        <v>52628373</v>
      </c>
      <c r="DD83" s="627">
        <v>0</v>
      </c>
      <c r="DE83" s="627">
        <v>0</v>
      </c>
      <c r="DF83" s="627">
        <v>10708852</v>
      </c>
      <c r="DG83" s="627">
        <v>10708852</v>
      </c>
      <c r="DH83" s="627">
        <v>1738.45</v>
      </c>
      <c r="DI83" s="627">
        <v>0</v>
      </c>
      <c r="DJ83" s="627">
        <v>0</v>
      </c>
      <c r="DK83" s="627">
        <v>0</v>
      </c>
      <c r="DL83" s="627">
        <v>0</v>
      </c>
      <c r="DM83" s="627">
        <v>0</v>
      </c>
      <c r="DN83" s="627">
        <v>8867620</v>
      </c>
      <c r="DO83" s="627">
        <v>30224</v>
      </c>
      <c r="DP83" s="627">
        <v>0</v>
      </c>
      <c r="DQ83" s="627">
        <v>0</v>
      </c>
      <c r="DR83" s="627">
        <v>0</v>
      </c>
      <c r="DS83" s="627">
        <v>0</v>
      </c>
      <c r="DT83" s="627">
        <v>0</v>
      </c>
      <c r="DU83" s="627">
        <v>0</v>
      </c>
      <c r="DV83" s="627">
        <v>0</v>
      </c>
      <c r="DW83" s="627">
        <v>0</v>
      </c>
      <c r="DX83" s="627">
        <v>0</v>
      </c>
      <c r="DY83" s="627">
        <v>0</v>
      </c>
      <c r="DZ83" s="627">
        <v>0</v>
      </c>
      <c r="EA83" s="627">
        <v>0</v>
      </c>
      <c r="EB83" s="627">
        <v>3.4000000000000002E-2</v>
      </c>
      <c r="EC83" s="627">
        <v>0</v>
      </c>
      <c r="ED83" s="627">
        <v>202.203</v>
      </c>
      <c r="EE83" s="627">
        <v>1432406</v>
      </c>
      <c r="EF83" s="627">
        <v>0</v>
      </c>
      <c r="EG83" s="627">
        <v>0</v>
      </c>
      <c r="EH83" s="627">
        <v>0</v>
      </c>
      <c r="EI83" s="627">
        <v>7465438</v>
      </c>
      <c r="EJ83" s="627">
        <v>0</v>
      </c>
      <c r="EK83" s="627">
        <v>0</v>
      </c>
      <c r="EL83" s="627">
        <v>320.58100000000002</v>
      </c>
      <c r="EM83" s="627">
        <v>0</v>
      </c>
      <c r="EN83" s="627">
        <v>46.581000000000003</v>
      </c>
      <c r="EO83" s="627">
        <v>21.733000000000001</v>
      </c>
      <c r="EP83" s="627">
        <v>0</v>
      </c>
      <c r="EQ83" s="627">
        <v>0</v>
      </c>
      <c r="ER83" s="627">
        <v>389.625</v>
      </c>
      <c r="ES83" s="627">
        <v>0.69600000000000006</v>
      </c>
      <c r="ET83" s="627">
        <v>1211.922</v>
      </c>
      <c r="EU83" s="627">
        <v>0</v>
      </c>
      <c r="EV83" s="627">
        <v>0</v>
      </c>
      <c r="EW83" s="627">
        <v>0</v>
      </c>
      <c r="EX83" s="627">
        <v>0</v>
      </c>
      <c r="EY83" s="627">
        <v>0</v>
      </c>
      <c r="EZ83" s="627">
        <v>0</v>
      </c>
      <c r="FA83" s="627">
        <v>90240599</v>
      </c>
      <c r="FB83" s="627">
        <v>0</v>
      </c>
      <c r="FC83" s="627">
        <v>94113137</v>
      </c>
      <c r="FD83" s="627">
        <v>0</v>
      </c>
      <c r="FE83" s="627">
        <v>0</v>
      </c>
      <c r="FF83" s="627">
        <v>13548894</v>
      </c>
      <c r="FG83" s="627">
        <v>2346505</v>
      </c>
      <c r="FH83" s="627">
        <v>7.0280999999999996E-2</v>
      </c>
      <c r="FI83" s="627">
        <v>3.1172999999999999E-2</v>
      </c>
      <c r="FJ83" s="627">
        <v>0</v>
      </c>
      <c r="FK83" s="627">
        <v>0</v>
      </c>
      <c r="FL83" s="627">
        <v>15274.681</v>
      </c>
      <c r="FM83" s="627">
        <v>111521573</v>
      </c>
      <c r="FN83" s="627">
        <v>0</v>
      </c>
      <c r="FO83" s="627">
        <v>0</v>
      </c>
      <c r="FP83" s="627">
        <v>0</v>
      </c>
      <c r="FQ83" s="627">
        <v>0</v>
      </c>
      <c r="FR83" s="627">
        <v>0</v>
      </c>
      <c r="FS83" s="627">
        <v>0</v>
      </c>
      <c r="FT83" s="627">
        <v>0</v>
      </c>
      <c r="FU83" s="627">
        <v>0</v>
      </c>
      <c r="FV83" s="627">
        <v>0</v>
      </c>
      <c r="FW83" s="627">
        <v>0</v>
      </c>
      <c r="FX83" s="627">
        <v>0</v>
      </c>
      <c r="FY83" s="627">
        <v>0</v>
      </c>
      <c r="FZ83" s="627">
        <v>0</v>
      </c>
      <c r="GA83" s="627">
        <v>0</v>
      </c>
      <c r="GB83" s="627">
        <v>0</v>
      </c>
      <c r="GC83" s="627">
        <v>5230297</v>
      </c>
      <c r="GD83" s="627">
        <v>5230297</v>
      </c>
      <c r="GE83" s="627">
        <v>527.51</v>
      </c>
      <c r="GF83" s="627">
        <v>0</v>
      </c>
      <c r="GG83" s="627">
        <v>0</v>
      </c>
      <c r="GH83" s="627">
        <v>0</v>
      </c>
      <c r="GI83" s="627">
        <v>0</v>
      </c>
      <c r="GJ83" s="627">
        <v>0</v>
      </c>
      <c r="GK83" s="627">
        <v>0</v>
      </c>
      <c r="GL83" s="627">
        <v>0</v>
      </c>
      <c r="GM83" s="627">
        <v>0</v>
      </c>
      <c r="GN83" s="627">
        <v>0</v>
      </c>
      <c r="GO83" s="627">
        <v>0</v>
      </c>
      <c r="GP83" s="627">
        <v>0</v>
      </c>
      <c r="GQ83" s="627">
        <v>0</v>
      </c>
      <c r="GR83" s="627">
        <v>106104489</v>
      </c>
      <c r="GS83" s="627">
        <v>0</v>
      </c>
      <c r="GT83" s="627">
        <v>0</v>
      </c>
      <c r="GU83" s="627">
        <v>0</v>
      </c>
      <c r="GV83" s="627">
        <v>0</v>
      </c>
      <c r="GW83" s="627">
        <v>0</v>
      </c>
      <c r="GX83" s="627">
        <v>0</v>
      </c>
      <c r="GY83" s="627">
        <v>0</v>
      </c>
      <c r="GZ83" s="627">
        <v>0</v>
      </c>
      <c r="HA83" s="627">
        <v>0</v>
      </c>
      <c r="HB83" s="627">
        <v>0</v>
      </c>
      <c r="HC83" s="627">
        <v>361151439</v>
      </c>
      <c r="HD83" s="627">
        <v>3.9981999999999997E-2</v>
      </c>
      <c r="HE83" s="627">
        <v>1513037</v>
      </c>
      <c r="HF83" s="627">
        <v>0</v>
      </c>
      <c r="HG83" s="627">
        <v>9415011</v>
      </c>
      <c r="HH83" s="627">
        <v>163240</v>
      </c>
      <c r="HI83" s="627">
        <v>1763072</v>
      </c>
      <c r="HJ83" s="627">
        <v>0</v>
      </c>
      <c r="HK83" s="627">
        <v>334607</v>
      </c>
      <c r="HL83" s="627">
        <v>29572</v>
      </c>
      <c r="HM83" s="627">
        <v>23037</v>
      </c>
      <c r="HN83" s="627">
        <v>704000</v>
      </c>
      <c r="HO83" s="627">
        <v>2166133</v>
      </c>
      <c r="HP83" s="627">
        <v>0</v>
      </c>
      <c r="HQ83" s="627">
        <v>0</v>
      </c>
      <c r="HR83" s="627">
        <v>0</v>
      </c>
      <c r="HS83" s="627">
        <v>0</v>
      </c>
      <c r="HT83" s="627">
        <v>90209090</v>
      </c>
      <c r="HU83" s="627">
        <v>2346505</v>
      </c>
      <c r="HV83" s="627">
        <v>0</v>
      </c>
      <c r="HW83" s="627">
        <v>0</v>
      </c>
      <c r="HX83" s="627">
        <v>0</v>
      </c>
      <c r="HY83" s="627">
        <v>1420</v>
      </c>
      <c r="HZ83" s="627">
        <v>1426</v>
      </c>
      <c r="IA83" s="627">
        <v>1302</v>
      </c>
      <c r="IB83" s="627">
        <v>1504</v>
      </c>
      <c r="IC83" s="627">
        <v>1309</v>
      </c>
      <c r="ID83" s="627">
        <v>6961</v>
      </c>
      <c r="IE83" s="627">
        <v>0</v>
      </c>
      <c r="IF83" s="627">
        <v>0</v>
      </c>
      <c r="IG83" s="627">
        <v>0</v>
      </c>
      <c r="IH83" s="627">
        <v>265</v>
      </c>
      <c r="II83" s="627">
        <v>2862.13</v>
      </c>
      <c r="IJ83" s="627">
        <v>0</v>
      </c>
      <c r="IK83" s="627">
        <v>3050.4570000000003</v>
      </c>
      <c r="IL83" s="627">
        <v>0</v>
      </c>
      <c r="IM83" s="627">
        <v>95</v>
      </c>
      <c r="IN83" s="627">
        <v>71</v>
      </c>
      <c r="IO83" s="627">
        <v>8</v>
      </c>
      <c r="IP83" s="627">
        <v>174</v>
      </c>
      <c r="IQ83" s="627">
        <v>0</v>
      </c>
      <c r="IR83" s="627">
        <v>3050.4570000000003</v>
      </c>
      <c r="IS83" s="627">
        <v>1879082</v>
      </c>
      <c r="IT83" s="627">
        <v>0</v>
      </c>
      <c r="IU83" s="627">
        <v>475000</v>
      </c>
      <c r="IV83" s="627">
        <v>213000</v>
      </c>
      <c r="IW83" s="627">
        <v>16000</v>
      </c>
      <c r="IX83" s="627">
        <v>6160</v>
      </c>
      <c r="IY83" s="627">
        <v>0</v>
      </c>
      <c r="IZ83" s="627">
        <v>0</v>
      </c>
      <c r="JA83" s="627">
        <v>0</v>
      </c>
      <c r="JB83" s="627">
        <v>0</v>
      </c>
      <c r="JC83" s="627">
        <v>43</v>
      </c>
      <c r="JD83" s="627">
        <v>814304</v>
      </c>
      <c r="JE83" s="627">
        <v>92</v>
      </c>
      <c r="JF83" s="627">
        <v>899619</v>
      </c>
      <c r="JG83" s="627">
        <v>78</v>
      </c>
      <c r="JH83" s="627">
        <v>397210</v>
      </c>
      <c r="JI83" s="627">
        <v>55000</v>
      </c>
      <c r="JJ83" s="627">
        <v>0</v>
      </c>
      <c r="JK83" s="627">
        <v>0</v>
      </c>
      <c r="JL83" s="627">
        <v>0</v>
      </c>
      <c r="JM83" s="627">
        <v>0</v>
      </c>
      <c r="JN83" s="627">
        <v>0</v>
      </c>
      <c r="JO83" s="627">
        <v>32469</v>
      </c>
      <c r="JP83" s="627">
        <v>0</v>
      </c>
      <c r="JQ83" s="627">
        <v>290.58699999999999</v>
      </c>
      <c r="JR83" s="627">
        <v>236.923</v>
      </c>
      <c r="JS83" s="627">
        <v>0</v>
      </c>
      <c r="JT83" s="627">
        <v>2701111</v>
      </c>
      <c r="JU83" s="627">
        <v>2529186</v>
      </c>
      <c r="JV83" s="627">
        <v>203958</v>
      </c>
      <c r="JW83" s="627">
        <v>0</v>
      </c>
      <c r="JX83" s="627">
        <v>0</v>
      </c>
      <c r="JY83" s="627">
        <v>0</v>
      </c>
      <c r="JZ83" s="627">
        <v>0</v>
      </c>
      <c r="KA83" s="627">
        <v>0</v>
      </c>
      <c r="KB83" s="627">
        <v>0</v>
      </c>
      <c r="KC83" s="627">
        <v>0</v>
      </c>
      <c r="KD83" s="627">
        <v>0</v>
      </c>
      <c r="KE83" s="627">
        <v>203958</v>
      </c>
      <c r="KF83" s="627">
        <v>7262</v>
      </c>
      <c r="KG83" s="627">
        <v>0</v>
      </c>
      <c r="KH83" s="627">
        <v>0</v>
      </c>
      <c r="KI83" s="627">
        <v>106104489</v>
      </c>
      <c r="KJ83" s="627">
        <v>0</v>
      </c>
      <c r="KK83" s="627">
        <v>175</v>
      </c>
      <c r="KL83" s="627">
        <v>90</v>
      </c>
      <c r="KM83" s="627">
        <v>107800</v>
      </c>
      <c r="KN83" s="627">
        <v>55440</v>
      </c>
      <c r="KO83" s="627">
        <v>0</v>
      </c>
      <c r="KP83" s="627">
        <v>0</v>
      </c>
      <c r="KQ83" s="627">
        <v>106104489</v>
      </c>
      <c r="KR83" s="627">
        <v>0</v>
      </c>
      <c r="KS83" s="627">
        <v>0</v>
      </c>
      <c r="KT83" s="627">
        <v>0</v>
      </c>
      <c r="KU83" s="627">
        <v>0</v>
      </c>
      <c r="KV83" s="627">
        <v>0</v>
      </c>
      <c r="KW83" s="627">
        <v>0</v>
      </c>
      <c r="KX83" s="627">
        <v>0</v>
      </c>
      <c r="KY83" s="627">
        <v>0</v>
      </c>
      <c r="KZ83" s="627">
        <v>0</v>
      </c>
      <c r="LA83" s="627">
        <v>0</v>
      </c>
      <c r="LB83" s="627">
        <v>0</v>
      </c>
      <c r="LC83" s="627">
        <v>0</v>
      </c>
      <c r="LD83" s="627">
        <v>0</v>
      </c>
      <c r="LE83" s="627">
        <v>0</v>
      </c>
      <c r="LF83" s="627">
        <v>0</v>
      </c>
    </row>
    <row r="84" spans="1:318" x14ac:dyDescent="0.25">
      <c r="A84" s="627">
        <v>42602</v>
      </c>
      <c r="B84" s="627">
        <v>178807</v>
      </c>
      <c r="D84" s="627">
        <v>9</v>
      </c>
      <c r="E84" s="627">
        <v>2024</v>
      </c>
      <c r="F84" s="627">
        <v>6160</v>
      </c>
      <c r="G84" s="627">
        <v>0</v>
      </c>
      <c r="H84" s="627">
        <v>119.792</v>
      </c>
      <c r="I84" s="627">
        <v>115.44900000000001</v>
      </c>
      <c r="J84" s="627">
        <v>115.44900000000001</v>
      </c>
      <c r="K84" s="627">
        <v>119.792</v>
      </c>
      <c r="L84" s="627">
        <v>0</v>
      </c>
      <c r="M84" s="627">
        <v>6160</v>
      </c>
      <c r="N84" s="627">
        <v>0</v>
      </c>
      <c r="O84" s="627">
        <v>0</v>
      </c>
      <c r="P84" s="627">
        <v>0</v>
      </c>
      <c r="Q84" s="627">
        <v>126.78200000000001</v>
      </c>
      <c r="R84" s="627">
        <v>0</v>
      </c>
      <c r="S84" s="627">
        <v>52600</v>
      </c>
      <c r="T84" s="627">
        <v>414.88400000000001</v>
      </c>
      <c r="U84" s="627">
        <v>0</v>
      </c>
      <c r="V84" s="627">
        <v>27297</v>
      </c>
      <c r="W84" s="627">
        <v>3.7920000000000003</v>
      </c>
      <c r="X84" s="627">
        <v>2336</v>
      </c>
      <c r="Y84" s="627">
        <v>2336</v>
      </c>
      <c r="Z84" s="627">
        <v>0</v>
      </c>
      <c r="AA84" s="627">
        <v>0</v>
      </c>
      <c r="AB84" s="627">
        <v>0</v>
      </c>
      <c r="AC84" s="627">
        <v>0</v>
      </c>
      <c r="AD84" s="627">
        <v>0</v>
      </c>
      <c r="AE84" s="627" t="s">
        <v>314</v>
      </c>
      <c r="AF84" s="627">
        <v>0</v>
      </c>
      <c r="AG84" s="627">
        <v>0</v>
      </c>
      <c r="AH84" s="627">
        <v>0</v>
      </c>
      <c r="AI84" s="627">
        <v>0</v>
      </c>
      <c r="AJ84" s="627">
        <v>0</v>
      </c>
      <c r="AK84" s="627">
        <v>6160</v>
      </c>
      <c r="AL84" s="627" t="s">
        <v>651</v>
      </c>
      <c r="AM84" s="627" t="s">
        <v>68</v>
      </c>
      <c r="AN84" s="627">
        <v>0</v>
      </c>
      <c r="AO84" s="627">
        <v>0</v>
      </c>
      <c r="AP84" s="627">
        <v>0</v>
      </c>
      <c r="AQ84" s="627">
        <v>0</v>
      </c>
      <c r="AR84" s="627">
        <v>0</v>
      </c>
      <c r="AS84" s="627">
        <v>0</v>
      </c>
      <c r="AT84" s="627">
        <v>0</v>
      </c>
      <c r="AU84" s="627">
        <v>0</v>
      </c>
      <c r="AV84" s="627">
        <v>0</v>
      </c>
      <c r="AW84" s="627">
        <v>0</v>
      </c>
      <c r="AX84" s="627">
        <v>1151845</v>
      </c>
      <c r="AY84" s="627">
        <v>1133045</v>
      </c>
      <c r="AZ84" s="627">
        <v>590482</v>
      </c>
      <c r="BA84" s="627">
        <v>52600</v>
      </c>
      <c r="BB84" s="627">
        <v>0</v>
      </c>
      <c r="BC84" s="627">
        <v>0</v>
      </c>
      <c r="BD84" s="627">
        <v>0</v>
      </c>
      <c r="BE84" s="627">
        <v>0</v>
      </c>
      <c r="BF84" s="627">
        <v>0</v>
      </c>
      <c r="BG84" s="627">
        <v>1014296</v>
      </c>
      <c r="BH84" s="627">
        <v>0</v>
      </c>
      <c r="BI84" s="627">
        <v>0</v>
      </c>
      <c r="BJ84" s="627">
        <v>0</v>
      </c>
      <c r="BK84" s="627">
        <v>12</v>
      </c>
      <c r="BL84" s="627">
        <v>0</v>
      </c>
      <c r="BM84" s="627">
        <v>0</v>
      </c>
      <c r="BN84" s="627">
        <v>0</v>
      </c>
      <c r="BO84" s="627">
        <v>0</v>
      </c>
      <c r="BP84" s="627">
        <v>0</v>
      </c>
      <c r="BQ84" s="627">
        <v>0</v>
      </c>
      <c r="BR84" s="627">
        <v>752</v>
      </c>
      <c r="BS84" s="627">
        <v>0</v>
      </c>
      <c r="BT84" s="627">
        <v>0</v>
      </c>
      <c r="BU84" s="627">
        <v>0</v>
      </c>
      <c r="BV84" s="627">
        <v>0</v>
      </c>
      <c r="BW84" s="627">
        <v>0</v>
      </c>
      <c r="BX84" s="627">
        <v>0</v>
      </c>
      <c r="BY84" s="627">
        <v>0</v>
      </c>
      <c r="BZ84" s="627">
        <v>0</v>
      </c>
      <c r="CA84" s="627">
        <v>0</v>
      </c>
      <c r="CB84" s="627">
        <v>0</v>
      </c>
      <c r="CC84" s="627">
        <v>0</v>
      </c>
      <c r="CD84" s="627">
        <v>0</v>
      </c>
      <c r="CE84" s="627">
        <v>0</v>
      </c>
      <c r="CF84" s="627">
        <v>0</v>
      </c>
      <c r="CG84" s="627">
        <v>0</v>
      </c>
      <c r="CH84" s="627">
        <v>0</v>
      </c>
      <c r="CI84" s="627">
        <v>19158</v>
      </c>
      <c r="CJ84" s="627">
        <v>0</v>
      </c>
      <c r="CK84" s="627">
        <v>4</v>
      </c>
      <c r="CL84" s="627">
        <v>0</v>
      </c>
      <c r="CM84" s="627">
        <v>0</v>
      </c>
      <c r="CN84" s="627">
        <v>0</v>
      </c>
      <c r="CO84" s="627">
        <v>0</v>
      </c>
      <c r="CP84" s="627">
        <v>1</v>
      </c>
      <c r="CQ84" s="627">
        <v>0</v>
      </c>
      <c r="CR84" s="627">
        <v>0</v>
      </c>
      <c r="CS84" s="627">
        <v>126.58</v>
      </c>
      <c r="CT84" s="627">
        <v>0</v>
      </c>
      <c r="CU84" s="627">
        <v>0</v>
      </c>
      <c r="CV84" s="627">
        <v>0</v>
      </c>
      <c r="CW84" s="627">
        <v>0</v>
      </c>
      <c r="CX84" s="627">
        <v>0</v>
      </c>
      <c r="CY84" s="627">
        <v>0</v>
      </c>
      <c r="CZ84" s="627">
        <v>0</v>
      </c>
      <c r="DA84" s="627">
        <v>0</v>
      </c>
      <c r="DB84" s="627">
        <v>0</v>
      </c>
      <c r="DC84" s="627">
        <v>711166</v>
      </c>
      <c r="DD84" s="627">
        <v>0</v>
      </c>
      <c r="DE84" s="627">
        <v>0</v>
      </c>
      <c r="DF84" s="627">
        <v>42812</v>
      </c>
      <c r="DG84" s="627">
        <v>42812</v>
      </c>
      <c r="DH84" s="627">
        <v>6.95</v>
      </c>
      <c r="DI84" s="627">
        <v>0</v>
      </c>
      <c r="DJ84" s="627">
        <v>0</v>
      </c>
      <c r="DK84" s="627">
        <v>0</v>
      </c>
      <c r="DL84" s="627">
        <v>3658</v>
      </c>
      <c r="DM84" s="627">
        <v>0</v>
      </c>
      <c r="DN84" s="627">
        <v>105147</v>
      </c>
      <c r="DO84" s="627">
        <v>358</v>
      </c>
      <c r="DP84" s="627">
        <v>0</v>
      </c>
      <c r="DQ84" s="627">
        <v>0</v>
      </c>
      <c r="DR84" s="627">
        <v>0</v>
      </c>
      <c r="DS84" s="627">
        <v>0</v>
      </c>
      <c r="DT84" s="627">
        <v>0</v>
      </c>
      <c r="DU84" s="627">
        <v>0</v>
      </c>
      <c r="DV84" s="627">
        <v>0</v>
      </c>
      <c r="DW84" s="627">
        <v>0</v>
      </c>
      <c r="DX84" s="627">
        <v>0</v>
      </c>
      <c r="DY84" s="627">
        <v>0</v>
      </c>
      <c r="DZ84" s="627">
        <v>0</v>
      </c>
      <c r="EA84" s="627">
        <v>0</v>
      </c>
      <c r="EB84" s="627">
        <v>0</v>
      </c>
      <c r="EC84" s="627">
        <v>0</v>
      </c>
      <c r="ED84" s="627">
        <v>2.6230000000000002</v>
      </c>
      <c r="EE84" s="627">
        <v>18581</v>
      </c>
      <c r="EF84" s="627">
        <v>0</v>
      </c>
      <c r="EG84" s="627">
        <v>0</v>
      </c>
      <c r="EH84" s="627">
        <v>0</v>
      </c>
      <c r="EI84" s="627">
        <v>86924</v>
      </c>
      <c r="EJ84" s="627">
        <v>0</v>
      </c>
      <c r="EK84" s="627">
        <v>0</v>
      </c>
      <c r="EL84" s="627">
        <v>3.802</v>
      </c>
      <c r="EM84" s="627">
        <v>0</v>
      </c>
      <c r="EN84" s="627">
        <v>0</v>
      </c>
      <c r="EO84" s="627">
        <v>0.54100000000000004</v>
      </c>
      <c r="EP84" s="627">
        <v>0</v>
      </c>
      <c r="EQ84" s="627">
        <v>0</v>
      </c>
      <c r="ER84" s="627">
        <v>4.343</v>
      </c>
      <c r="ES84" s="627">
        <v>0</v>
      </c>
      <c r="ET84" s="627">
        <v>14.111000000000001</v>
      </c>
      <c r="EU84" s="627">
        <v>0</v>
      </c>
      <c r="EV84" s="627">
        <v>0</v>
      </c>
      <c r="EW84" s="627">
        <v>0</v>
      </c>
      <c r="EX84" s="627">
        <v>0</v>
      </c>
      <c r="EY84" s="627">
        <v>0</v>
      </c>
      <c r="EZ84" s="627">
        <v>0</v>
      </c>
      <c r="FA84" s="627">
        <v>961696</v>
      </c>
      <c r="FB84" s="627">
        <v>0</v>
      </c>
      <c r="FC84" s="627">
        <v>1013938</v>
      </c>
      <c r="FD84" s="627">
        <v>0</v>
      </c>
      <c r="FE84" s="627">
        <v>0</v>
      </c>
      <c r="FF84" s="627">
        <v>146054</v>
      </c>
      <c r="FG84" s="627">
        <v>25295</v>
      </c>
      <c r="FH84" s="627">
        <v>7.0280999999999996E-2</v>
      </c>
      <c r="FI84" s="627">
        <v>3.1172999999999999E-2</v>
      </c>
      <c r="FJ84" s="627">
        <v>0</v>
      </c>
      <c r="FK84" s="627">
        <v>0</v>
      </c>
      <c r="FL84" s="627">
        <v>164.65800000000002</v>
      </c>
      <c r="FM84" s="627">
        <v>1204445</v>
      </c>
      <c r="FN84" s="627">
        <v>0</v>
      </c>
      <c r="FO84" s="627">
        <v>0</v>
      </c>
      <c r="FP84" s="627">
        <v>0</v>
      </c>
      <c r="FQ84" s="627">
        <v>0</v>
      </c>
      <c r="FR84" s="627">
        <v>0</v>
      </c>
      <c r="FS84" s="627">
        <v>0</v>
      </c>
      <c r="FT84" s="627">
        <v>0</v>
      </c>
      <c r="FU84" s="627">
        <v>0</v>
      </c>
      <c r="FV84" s="627">
        <v>0</v>
      </c>
      <c r="FW84" s="627">
        <v>0</v>
      </c>
      <c r="FX84" s="627">
        <v>0</v>
      </c>
      <c r="FY84" s="627">
        <v>0</v>
      </c>
      <c r="FZ84" s="627">
        <v>0</v>
      </c>
      <c r="GA84" s="627">
        <v>0</v>
      </c>
      <c r="GB84" s="627">
        <v>0</v>
      </c>
      <c r="GC84" s="627">
        <v>0</v>
      </c>
      <c r="GD84" s="627">
        <v>0</v>
      </c>
      <c r="GE84" s="627">
        <v>0</v>
      </c>
      <c r="GF84" s="627">
        <v>0</v>
      </c>
      <c r="GG84" s="627">
        <v>0</v>
      </c>
      <c r="GH84" s="627">
        <v>0</v>
      </c>
      <c r="GI84" s="627">
        <v>0</v>
      </c>
      <c r="GJ84" s="627">
        <v>0</v>
      </c>
      <c r="GK84" s="627">
        <v>0</v>
      </c>
      <c r="GL84" s="627">
        <v>0</v>
      </c>
      <c r="GM84" s="627">
        <v>0</v>
      </c>
      <c r="GN84" s="627">
        <v>0</v>
      </c>
      <c r="GO84" s="627">
        <v>0</v>
      </c>
      <c r="GP84" s="627">
        <v>0</v>
      </c>
      <c r="GQ84" s="627">
        <v>0</v>
      </c>
      <c r="GR84" s="627">
        <v>1132687</v>
      </c>
      <c r="GS84" s="627">
        <v>0</v>
      </c>
      <c r="GT84" s="627">
        <v>0</v>
      </c>
      <c r="GU84" s="627">
        <v>0</v>
      </c>
      <c r="GV84" s="627">
        <v>0</v>
      </c>
      <c r="GW84" s="627">
        <v>0</v>
      </c>
      <c r="GX84" s="627">
        <v>0</v>
      </c>
      <c r="GY84" s="627">
        <v>0</v>
      </c>
      <c r="GZ84" s="627">
        <v>0</v>
      </c>
      <c r="HA84" s="627">
        <v>0</v>
      </c>
      <c r="HB84" s="627">
        <v>0</v>
      </c>
      <c r="HC84" s="627">
        <v>361151439</v>
      </c>
      <c r="HD84" s="627">
        <v>3.9981999999999997E-2</v>
      </c>
      <c r="HE84" s="627">
        <v>19158</v>
      </c>
      <c r="HF84" s="627">
        <v>0</v>
      </c>
      <c r="HG84" s="627">
        <v>127225</v>
      </c>
      <c r="HH84" s="627">
        <v>4928</v>
      </c>
      <c r="HI84" s="627">
        <v>4126</v>
      </c>
      <c r="HJ84" s="627">
        <v>0</v>
      </c>
      <c r="HK84" s="627">
        <v>16198</v>
      </c>
      <c r="HL84" s="627">
        <v>0</v>
      </c>
      <c r="HM84" s="627">
        <v>0</v>
      </c>
      <c r="HN84" s="627">
        <v>0</v>
      </c>
      <c r="HO84" s="627">
        <v>0</v>
      </c>
      <c r="HP84" s="627">
        <v>0</v>
      </c>
      <c r="HQ84" s="627">
        <v>0</v>
      </c>
      <c r="HR84" s="627">
        <v>0</v>
      </c>
      <c r="HS84" s="627">
        <v>0</v>
      </c>
      <c r="HT84" s="627">
        <v>961338</v>
      </c>
      <c r="HU84" s="627">
        <v>25295</v>
      </c>
      <c r="HV84" s="627">
        <v>0</v>
      </c>
      <c r="HW84" s="627">
        <v>0</v>
      </c>
      <c r="HX84" s="627">
        <v>0</v>
      </c>
      <c r="HY84" s="627">
        <v>4</v>
      </c>
      <c r="HZ84" s="627">
        <v>9</v>
      </c>
      <c r="IA84" s="627">
        <v>5</v>
      </c>
      <c r="IB84" s="627">
        <v>7</v>
      </c>
      <c r="IC84" s="627">
        <v>3</v>
      </c>
      <c r="ID84" s="627">
        <v>28</v>
      </c>
      <c r="IE84" s="627">
        <v>0</v>
      </c>
      <c r="IF84" s="627">
        <v>0</v>
      </c>
      <c r="IG84" s="627">
        <v>0</v>
      </c>
      <c r="IH84" s="627">
        <v>8</v>
      </c>
      <c r="II84" s="627">
        <v>6.6980000000000004</v>
      </c>
      <c r="IJ84" s="627">
        <v>0</v>
      </c>
      <c r="IK84" s="627">
        <v>3.7920000000000003</v>
      </c>
      <c r="IL84" s="627">
        <v>0</v>
      </c>
      <c r="IM84" s="627">
        <v>0</v>
      </c>
      <c r="IN84" s="627">
        <v>0</v>
      </c>
      <c r="IO84" s="627">
        <v>0</v>
      </c>
      <c r="IP84" s="627">
        <v>0</v>
      </c>
      <c r="IQ84" s="627">
        <v>0</v>
      </c>
      <c r="IR84" s="627">
        <v>3.7920000000000003</v>
      </c>
      <c r="IS84" s="627">
        <v>2336</v>
      </c>
      <c r="IT84" s="627">
        <v>0</v>
      </c>
      <c r="IU84" s="627">
        <v>0</v>
      </c>
      <c r="IV84" s="627">
        <v>0</v>
      </c>
      <c r="IW84" s="627">
        <v>0</v>
      </c>
      <c r="IX84" s="627">
        <v>6160</v>
      </c>
      <c r="IY84" s="627">
        <v>0</v>
      </c>
      <c r="IZ84" s="627">
        <v>0</v>
      </c>
      <c r="JA84" s="627">
        <v>0</v>
      </c>
      <c r="JB84" s="627">
        <v>0</v>
      </c>
      <c r="JC84" s="627">
        <v>0</v>
      </c>
      <c r="JD84" s="627">
        <v>0</v>
      </c>
      <c r="JE84" s="627">
        <v>0</v>
      </c>
      <c r="JF84" s="627">
        <v>0</v>
      </c>
      <c r="JG84" s="627">
        <v>0</v>
      </c>
      <c r="JH84" s="627">
        <v>0</v>
      </c>
      <c r="JI84" s="627">
        <v>0</v>
      </c>
      <c r="JJ84" s="627">
        <v>0</v>
      </c>
      <c r="JK84" s="627">
        <v>0</v>
      </c>
      <c r="JL84" s="627">
        <v>0</v>
      </c>
      <c r="JM84" s="627">
        <v>0</v>
      </c>
      <c r="JN84" s="627">
        <v>0</v>
      </c>
      <c r="JO84" s="627">
        <v>32469</v>
      </c>
      <c r="JP84" s="627">
        <v>0</v>
      </c>
      <c r="JQ84" s="627">
        <v>0</v>
      </c>
      <c r="JR84" s="627">
        <v>0</v>
      </c>
      <c r="JS84" s="627">
        <v>0</v>
      </c>
      <c r="JT84" s="627">
        <v>0</v>
      </c>
      <c r="JU84" s="627">
        <v>0</v>
      </c>
      <c r="JV84" s="627">
        <v>0</v>
      </c>
      <c r="JW84" s="627">
        <v>0</v>
      </c>
      <c r="JX84" s="627">
        <v>0</v>
      </c>
      <c r="JY84" s="627">
        <v>0</v>
      </c>
      <c r="JZ84" s="627">
        <v>0</v>
      </c>
      <c r="KA84" s="627">
        <v>0</v>
      </c>
      <c r="KB84" s="627">
        <v>0</v>
      </c>
      <c r="KC84" s="627">
        <v>0</v>
      </c>
      <c r="KD84" s="627">
        <v>0</v>
      </c>
      <c r="KE84" s="627">
        <v>0</v>
      </c>
      <c r="KF84" s="627">
        <v>7262</v>
      </c>
      <c r="KG84" s="627">
        <v>0</v>
      </c>
      <c r="KH84" s="627">
        <v>0</v>
      </c>
      <c r="KI84" s="627">
        <v>1132687</v>
      </c>
      <c r="KJ84" s="627">
        <v>0</v>
      </c>
      <c r="KK84" s="627">
        <v>6</v>
      </c>
      <c r="KL84" s="627">
        <v>2</v>
      </c>
      <c r="KM84" s="627">
        <v>3696</v>
      </c>
      <c r="KN84" s="627">
        <v>1232</v>
      </c>
      <c r="KO84" s="627">
        <v>0</v>
      </c>
      <c r="KP84" s="627">
        <v>0</v>
      </c>
      <c r="KQ84" s="627">
        <v>1132687</v>
      </c>
      <c r="KR84" s="627">
        <v>0</v>
      </c>
      <c r="KS84" s="627">
        <v>0</v>
      </c>
      <c r="KT84" s="627">
        <v>0</v>
      </c>
      <c r="KU84" s="627">
        <v>0</v>
      </c>
      <c r="KV84" s="627">
        <v>0</v>
      </c>
      <c r="KW84" s="627">
        <v>0</v>
      </c>
      <c r="KX84" s="627">
        <v>0</v>
      </c>
      <c r="KY84" s="627">
        <v>0</v>
      </c>
      <c r="KZ84" s="627">
        <v>0</v>
      </c>
      <c r="LA84" s="627">
        <v>0</v>
      </c>
      <c r="LB84" s="627">
        <v>0</v>
      </c>
      <c r="LC84" s="627">
        <v>0</v>
      </c>
      <c r="LD84" s="627">
        <v>0</v>
      </c>
      <c r="LE84" s="627">
        <v>0</v>
      </c>
      <c r="LF84" s="627">
        <v>0</v>
      </c>
    </row>
    <row r="85" spans="1:318" x14ac:dyDescent="0.25">
      <c r="A85" s="627">
        <v>42602</v>
      </c>
      <c r="B85" s="627">
        <v>15808</v>
      </c>
      <c r="D85" s="627">
        <v>9</v>
      </c>
      <c r="E85" s="627">
        <v>2024</v>
      </c>
      <c r="F85" s="627">
        <v>6160</v>
      </c>
      <c r="G85" s="627">
        <v>0</v>
      </c>
      <c r="H85" s="627">
        <v>747.59500000000003</v>
      </c>
      <c r="I85" s="627">
        <v>605.88600000000008</v>
      </c>
      <c r="J85" s="627">
        <v>605.88600000000008</v>
      </c>
      <c r="K85" s="627">
        <v>747.59500000000003</v>
      </c>
      <c r="L85" s="627">
        <v>0</v>
      </c>
      <c r="M85" s="627">
        <v>6160</v>
      </c>
      <c r="N85" s="627">
        <v>0</v>
      </c>
      <c r="O85" s="627">
        <v>0</v>
      </c>
      <c r="P85" s="627">
        <v>0</v>
      </c>
      <c r="Q85" s="627">
        <v>674.13200000000006</v>
      </c>
      <c r="R85" s="627">
        <v>0</v>
      </c>
      <c r="S85" s="627">
        <v>279687</v>
      </c>
      <c r="T85" s="627">
        <v>414.88400000000001</v>
      </c>
      <c r="U85" s="627">
        <v>0</v>
      </c>
      <c r="V85" s="627">
        <v>145145</v>
      </c>
      <c r="W85" s="627">
        <v>1.7030000000000001</v>
      </c>
      <c r="X85" s="627">
        <v>1049</v>
      </c>
      <c r="Y85" s="627">
        <v>1049</v>
      </c>
      <c r="Z85" s="627">
        <v>0</v>
      </c>
      <c r="AA85" s="627">
        <v>0</v>
      </c>
      <c r="AB85" s="627">
        <v>0</v>
      </c>
      <c r="AC85" s="627">
        <v>0</v>
      </c>
      <c r="AD85" s="627">
        <v>0</v>
      </c>
      <c r="AE85" s="627" t="s">
        <v>314</v>
      </c>
      <c r="AF85" s="627">
        <v>0</v>
      </c>
      <c r="AG85" s="627">
        <v>0</v>
      </c>
      <c r="AH85" s="627">
        <v>0</v>
      </c>
      <c r="AI85" s="627">
        <v>0</v>
      </c>
      <c r="AJ85" s="627">
        <v>0</v>
      </c>
      <c r="AK85" s="627">
        <v>6160</v>
      </c>
      <c r="AL85" s="627" t="s">
        <v>651</v>
      </c>
      <c r="AM85" s="627" t="s">
        <v>438</v>
      </c>
      <c r="AN85" s="627">
        <v>0</v>
      </c>
      <c r="AO85" s="627">
        <v>0</v>
      </c>
      <c r="AP85" s="627">
        <v>0</v>
      </c>
      <c r="AQ85" s="627">
        <v>0</v>
      </c>
      <c r="AR85" s="627">
        <v>0</v>
      </c>
      <c r="AS85" s="627">
        <v>0</v>
      </c>
      <c r="AT85" s="627">
        <v>0</v>
      </c>
      <c r="AU85" s="627">
        <v>0</v>
      </c>
      <c r="AV85" s="627">
        <v>0</v>
      </c>
      <c r="AW85" s="627">
        <v>0</v>
      </c>
      <c r="AX85" s="627">
        <v>8959207</v>
      </c>
      <c r="AY85" s="627">
        <v>8845069</v>
      </c>
      <c r="AZ85" s="627">
        <v>4401907</v>
      </c>
      <c r="BA85" s="627">
        <v>279687</v>
      </c>
      <c r="BB85" s="627">
        <v>0</v>
      </c>
      <c r="BC85" s="627">
        <v>0</v>
      </c>
      <c r="BD85" s="627">
        <v>0</v>
      </c>
      <c r="BE85" s="627">
        <v>0</v>
      </c>
      <c r="BF85" s="627">
        <v>0</v>
      </c>
      <c r="BG85" s="627">
        <v>7674647</v>
      </c>
      <c r="BH85" s="627">
        <v>0</v>
      </c>
      <c r="BI85" s="627">
        <v>0</v>
      </c>
      <c r="BJ85" s="627">
        <v>0</v>
      </c>
      <c r="BK85" s="627">
        <v>12</v>
      </c>
      <c r="BL85" s="627">
        <v>0</v>
      </c>
      <c r="BM85" s="627">
        <v>0</v>
      </c>
      <c r="BN85" s="627">
        <v>0</v>
      </c>
      <c r="BO85" s="627">
        <v>0</v>
      </c>
      <c r="BP85" s="627">
        <v>0</v>
      </c>
      <c r="BQ85" s="627">
        <v>0</v>
      </c>
      <c r="BR85" s="627">
        <v>677</v>
      </c>
      <c r="BS85" s="627">
        <v>0</v>
      </c>
      <c r="BT85" s="627">
        <v>0</v>
      </c>
      <c r="BU85" s="627">
        <v>0</v>
      </c>
      <c r="BV85" s="627">
        <v>0</v>
      </c>
      <c r="BW85" s="627">
        <v>0</v>
      </c>
      <c r="BX85" s="627">
        <v>0</v>
      </c>
      <c r="BY85" s="627">
        <v>0</v>
      </c>
      <c r="BZ85" s="627">
        <v>0</v>
      </c>
      <c r="CA85" s="627">
        <v>0</v>
      </c>
      <c r="CB85" s="627">
        <v>0</v>
      </c>
      <c r="CC85" s="627">
        <v>0</v>
      </c>
      <c r="CD85" s="627">
        <v>0</v>
      </c>
      <c r="CE85" s="627">
        <v>0</v>
      </c>
      <c r="CF85" s="627">
        <v>0</v>
      </c>
      <c r="CG85" s="627">
        <v>0</v>
      </c>
      <c r="CH85" s="627">
        <v>0</v>
      </c>
      <c r="CI85" s="627">
        <v>119562</v>
      </c>
      <c r="CJ85" s="627">
        <v>0</v>
      </c>
      <c r="CK85" s="627">
        <v>4</v>
      </c>
      <c r="CL85" s="627">
        <v>0</v>
      </c>
      <c r="CM85" s="627">
        <v>0</v>
      </c>
      <c r="CN85" s="627">
        <v>0</v>
      </c>
      <c r="CO85" s="627">
        <v>0</v>
      </c>
      <c r="CP85" s="627">
        <v>1</v>
      </c>
      <c r="CQ85" s="627">
        <v>0</v>
      </c>
      <c r="CR85" s="627">
        <v>0</v>
      </c>
      <c r="CS85" s="627">
        <v>675.38</v>
      </c>
      <c r="CT85" s="627">
        <v>0</v>
      </c>
      <c r="CU85" s="627">
        <v>0</v>
      </c>
      <c r="CV85" s="627">
        <v>0</v>
      </c>
      <c r="CW85" s="627">
        <v>0</v>
      </c>
      <c r="CX85" s="627">
        <v>0</v>
      </c>
      <c r="CY85" s="627">
        <v>0</v>
      </c>
      <c r="CZ85" s="627">
        <v>0</v>
      </c>
      <c r="DA85" s="627">
        <v>0</v>
      </c>
      <c r="DB85" s="627">
        <v>0</v>
      </c>
      <c r="DC85" s="627">
        <v>1301987</v>
      </c>
      <c r="DD85" s="627">
        <v>0</v>
      </c>
      <c r="DE85" s="627">
        <v>0</v>
      </c>
      <c r="DF85" s="627">
        <v>670747</v>
      </c>
      <c r="DG85" s="627">
        <v>673211</v>
      </c>
      <c r="DH85" s="627">
        <v>108.88800000000001</v>
      </c>
      <c r="DI85" s="627">
        <v>0</v>
      </c>
      <c r="DJ85" s="627">
        <v>0</v>
      </c>
      <c r="DK85" s="627">
        <v>0</v>
      </c>
      <c r="DL85" s="627">
        <v>2449</v>
      </c>
      <c r="DM85" s="627">
        <v>0</v>
      </c>
      <c r="DN85" s="627">
        <v>4021681</v>
      </c>
      <c r="DO85" s="627">
        <v>5424</v>
      </c>
      <c r="DP85" s="627">
        <v>0</v>
      </c>
      <c r="DQ85" s="627">
        <v>0</v>
      </c>
      <c r="DR85" s="627">
        <v>0</v>
      </c>
      <c r="DS85" s="627">
        <v>0</v>
      </c>
      <c r="DT85" s="627">
        <v>0</v>
      </c>
      <c r="DU85" s="627">
        <v>0</v>
      </c>
      <c r="DV85" s="627">
        <v>0</v>
      </c>
      <c r="DW85" s="627">
        <v>0</v>
      </c>
      <c r="DX85" s="627">
        <v>0</v>
      </c>
      <c r="DY85" s="627">
        <v>0</v>
      </c>
      <c r="DZ85" s="627">
        <v>0</v>
      </c>
      <c r="EA85" s="627">
        <v>0</v>
      </c>
      <c r="EB85" s="627">
        <v>0.16700000000000001</v>
      </c>
      <c r="EC85" s="627">
        <v>0</v>
      </c>
      <c r="ED85" s="627">
        <v>50.948</v>
      </c>
      <c r="EE85" s="627">
        <v>360916</v>
      </c>
      <c r="EF85" s="627">
        <v>0</v>
      </c>
      <c r="EG85" s="627">
        <v>0</v>
      </c>
      <c r="EH85" s="627">
        <v>0</v>
      </c>
      <c r="EI85" s="627">
        <v>415184</v>
      </c>
      <c r="EJ85" s="627">
        <v>820734</v>
      </c>
      <c r="EK85" s="627">
        <v>33.309000000000005</v>
      </c>
      <c r="EL85" s="627">
        <v>18.675000000000001</v>
      </c>
      <c r="EM85" s="627">
        <v>0</v>
      </c>
      <c r="EN85" s="627">
        <v>0</v>
      </c>
      <c r="EO85" s="627">
        <v>2.1080000000000001</v>
      </c>
      <c r="EP85" s="627">
        <v>0</v>
      </c>
      <c r="EQ85" s="627">
        <v>0</v>
      </c>
      <c r="ER85" s="627">
        <v>54.259</v>
      </c>
      <c r="ES85" s="627">
        <v>0</v>
      </c>
      <c r="ET85" s="627">
        <v>67.400000000000006</v>
      </c>
      <c r="EU85" s="627">
        <v>0</v>
      </c>
      <c r="EV85" s="627">
        <v>0</v>
      </c>
      <c r="EW85" s="627">
        <v>0</v>
      </c>
      <c r="EX85" s="627">
        <v>0</v>
      </c>
      <c r="EY85" s="627">
        <v>0</v>
      </c>
      <c r="EZ85" s="627">
        <v>0</v>
      </c>
      <c r="FA85" s="627">
        <v>7548556</v>
      </c>
      <c r="FB85" s="627">
        <v>0</v>
      </c>
      <c r="FC85" s="627">
        <v>7822819</v>
      </c>
      <c r="FD85" s="627">
        <v>0</v>
      </c>
      <c r="FE85" s="627">
        <v>0</v>
      </c>
      <c r="FF85" s="627">
        <v>1105120</v>
      </c>
      <c r="FG85" s="627">
        <v>191393</v>
      </c>
      <c r="FH85" s="627">
        <v>7.0280999999999996E-2</v>
      </c>
      <c r="FI85" s="627">
        <v>3.1172999999999999E-2</v>
      </c>
      <c r="FJ85" s="627">
        <v>0</v>
      </c>
      <c r="FK85" s="627">
        <v>0</v>
      </c>
      <c r="FL85" s="627">
        <v>1245.884</v>
      </c>
      <c r="FM85" s="627">
        <v>9238894</v>
      </c>
      <c r="FN85" s="627">
        <v>0</v>
      </c>
      <c r="FO85" s="627">
        <v>0</v>
      </c>
      <c r="FP85" s="627">
        <v>0</v>
      </c>
      <c r="FQ85" s="627">
        <v>0</v>
      </c>
      <c r="FR85" s="627">
        <v>0</v>
      </c>
      <c r="FS85" s="627">
        <v>0</v>
      </c>
      <c r="FT85" s="627">
        <v>0</v>
      </c>
      <c r="FU85" s="627">
        <v>0</v>
      </c>
      <c r="FV85" s="627">
        <v>0</v>
      </c>
      <c r="FW85" s="627">
        <v>0</v>
      </c>
      <c r="FX85" s="627">
        <v>0</v>
      </c>
      <c r="FY85" s="627">
        <v>0</v>
      </c>
      <c r="FZ85" s="627">
        <v>0</v>
      </c>
      <c r="GA85" s="627">
        <v>0</v>
      </c>
      <c r="GB85" s="627">
        <v>0</v>
      </c>
      <c r="GC85" s="627">
        <v>834871</v>
      </c>
      <c r="GD85" s="627">
        <v>834871</v>
      </c>
      <c r="GE85" s="627">
        <v>87.45</v>
      </c>
      <c r="GF85" s="627">
        <v>0</v>
      </c>
      <c r="GG85" s="627">
        <v>0</v>
      </c>
      <c r="GH85" s="627">
        <v>0</v>
      </c>
      <c r="GI85" s="627">
        <v>0</v>
      </c>
      <c r="GJ85" s="627">
        <v>0</v>
      </c>
      <c r="GK85" s="627">
        <v>0</v>
      </c>
      <c r="GL85" s="627">
        <v>0</v>
      </c>
      <c r="GM85" s="627">
        <v>0</v>
      </c>
      <c r="GN85" s="627">
        <v>0</v>
      </c>
      <c r="GO85" s="627">
        <v>0</v>
      </c>
      <c r="GP85" s="627">
        <v>0</v>
      </c>
      <c r="GQ85" s="627">
        <v>0</v>
      </c>
      <c r="GR85" s="627">
        <v>8839645</v>
      </c>
      <c r="GS85" s="627">
        <v>0</v>
      </c>
      <c r="GT85" s="627">
        <v>0</v>
      </c>
      <c r="GU85" s="627">
        <v>0</v>
      </c>
      <c r="GV85" s="627">
        <v>0</v>
      </c>
      <c r="GW85" s="627">
        <v>0</v>
      </c>
      <c r="GX85" s="627">
        <v>0</v>
      </c>
      <c r="GY85" s="627">
        <v>0</v>
      </c>
      <c r="GZ85" s="627">
        <v>0</v>
      </c>
      <c r="HA85" s="627">
        <v>0</v>
      </c>
      <c r="HB85" s="627">
        <v>0</v>
      </c>
      <c r="HC85" s="627">
        <v>361151439</v>
      </c>
      <c r="HD85" s="627">
        <v>3.9981999999999997E-2</v>
      </c>
      <c r="HE85" s="627">
        <v>119562</v>
      </c>
      <c r="HF85" s="627">
        <v>0</v>
      </c>
      <c r="HG85" s="627">
        <v>667686</v>
      </c>
      <c r="HH85" s="627">
        <v>6776</v>
      </c>
      <c r="HI85" s="627">
        <v>64486</v>
      </c>
      <c r="HJ85" s="627">
        <v>0</v>
      </c>
      <c r="HK85" s="627">
        <v>97476</v>
      </c>
      <c r="HL85" s="627">
        <v>3275</v>
      </c>
      <c r="HM85" s="627">
        <v>1987</v>
      </c>
      <c r="HN85" s="627">
        <v>0</v>
      </c>
      <c r="HO85" s="627">
        <v>0</v>
      </c>
      <c r="HP85" s="627">
        <v>0</v>
      </c>
      <c r="HQ85" s="627">
        <v>107964</v>
      </c>
      <c r="HR85" s="627">
        <v>0</v>
      </c>
      <c r="HS85" s="627">
        <v>0</v>
      </c>
      <c r="HT85" s="627">
        <v>7543132</v>
      </c>
      <c r="HU85" s="627">
        <v>191393</v>
      </c>
      <c r="HV85" s="627">
        <v>0</v>
      </c>
      <c r="HW85" s="627">
        <v>0</v>
      </c>
      <c r="HX85" s="627">
        <v>0</v>
      </c>
      <c r="HY85" s="627">
        <v>109</v>
      </c>
      <c r="HZ85" s="627">
        <v>64</v>
      </c>
      <c r="IA85" s="627">
        <v>85</v>
      </c>
      <c r="IB85" s="627">
        <v>61</v>
      </c>
      <c r="IC85" s="627">
        <v>116</v>
      </c>
      <c r="ID85" s="627">
        <v>435</v>
      </c>
      <c r="IE85" s="627">
        <v>2</v>
      </c>
      <c r="IF85" s="627">
        <v>0</v>
      </c>
      <c r="IG85" s="627">
        <v>0</v>
      </c>
      <c r="IH85" s="627">
        <v>11</v>
      </c>
      <c r="II85" s="627">
        <v>104.685</v>
      </c>
      <c r="IJ85" s="627">
        <v>392.59500000000003</v>
      </c>
      <c r="IK85" s="627">
        <v>1.7030000000000001</v>
      </c>
      <c r="IL85" s="627">
        <v>146.803</v>
      </c>
      <c r="IM85" s="627">
        <v>0</v>
      </c>
      <c r="IN85" s="627">
        <v>0</v>
      </c>
      <c r="IO85" s="627">
        <v>0</v>
      </c>
      <c r="IP85" s="627">
        <v>0</v>
      </c>
      <c r="IQ85" s="627">
        <v>539.39800000000002</v>
      </c>
      <c r="IR85" s="627">
        <v>1.7030000000000001</v>
      </c>
      <c r="IS85" s="627">
        <v>1049</v>
      </c>
      <c r="IT85" s="627">
        <v>40371</v>
      </c>
      <c r="IU85" s="627">
        <v>0</v>
      </c>
      <c r="IV85" s="627">
        <v>0</v>
      </c>
      <c r="IW85" s="627">
        <v>0</v>
      </c>
      <c r="IX85" s="627">
        <v>6160</v>
      </c>
      <c r="IY85" s="627">
        <v>0</v>
      </c>
      <c r="IZ85" s="627">
        <v>0</v>
      </c>
      <c r="JA85" s="627">
        <v>148334</v>
      </c>
      <c r="JB85" s="627">
        <v>2464</v>
      </c>
      <c r="JC85" s="627">
        <v>0</v>
      </c>
      <c r="JD85" s="627">
        <v>0</v>
      </c>
      <c r="JE85" s="627">
        <v>0</v>
      </c>
      <c r="JF85" s="627">
        <v>0</v>
      </c>
      <c r="JG85" s="627">
        <v>0</v>
      </c>
      <c r="JH85" s="627">
        <v>0</v>
      </c>
      <c r="JI85" s="627">
        <v>0</v>
      </c>
      <c r="JJ85" s="627">
        <v>0</v>
      </c>
      <c r="JK85" s="627">
        <v>0</v>
      </c>
      <c r="JL85" s="627">
        <v>0</v>
      </c>
      <c r="JM85" s="627">
        <v>0</v>
      </c>
      <c r="JN85" s="627">
        <v>0</v>
      </c>
      <c r="JO85" s="627">
        <v>32469</v>
      </c>
      <c r="JP85" s="627">
        <v>21.986000000000001</v>
      </c>
      <c r="JQ85" s="627">
        <v>28.697000000000003</v>
      </c>
      <c r="JR85" s="627">
        <v>36.767000000000003</v>
      </c>
      <c r="JS85" s="627">
        <v>175629</v>
      </c>
      <c r="JT85" s="627">
        <v>266749</v>
      </c>
      <c r="JU85" s="627">
        <v>392493</v>
      </c>
      <c r="JV85" s="627">
        <v>0</v>
      </c>
      <c r="JW85" s="627">
        <v>0</v>
      </c>
      <c r="JX85" s="627">
        <v>0</v>
      </c>
      <c r="JY85" s="627">
        <v>0</v>
      </c>
      <c r="JZ85" s="627">
        <v>0</v>
      </c>
      <c r="KA85" s="627">
        <v>0</v>
      </c>
      <c r="KB85" s="627">
        <v>0</v>
      </c>
      <c r="KC85" s="627">
        <v>0</v>
      </c>
      <c r="KD85" s="627">
        <v>0</v>
      </c>
      <c r="KE85" s="627">
        <v>0</v>
      </c>
      <c r="KF85" s="627">
        <v>7262</v>
      </c>
      <c r="KG85" s="627">
        <v>0</v>
      </c>
      <c r="KH85" s="627">
        <v>0</v>
      </c>
      <c r="KI85" s="627">
        <v>8839645</v>
      </c>
      <c r="KJ85" s="627">
        <v>0</v>
      </c>
      <c r="KK85" s="627">
        <v>7</v>
      </c>
      <c r="KL85" s="627">
        <v>4</v>
      </c>
      <c r="KM85" s="627">
        <v>4312</v>
      </c>
      <c r="KN85" s="627">
        <v>2464</v>
      </c>
      <c r="KO85" s="627">
        <v>0</v>
      </c>
      <c r="KP85" s="627">
        <v>0</v>
      </c>
      <c r="KQ85" s="627">
        <v>8839645</v>
      </c>
      <c r="KR85" s="627">
        <v>0</v>
      </c>
      <c r="KS85" s="627">
        <v>0</v>
      </c>
      <c r="KT85" s="627">
        <v>0</v>
      </c>
      <c r="KU85" s="627">
        <v>0</v>
      </c>
      <c r="KV85" s="627">
        <v>0</v>
      </c>
      <c r="KW85" s="627">
        <v>0</v>
      </c>
      <c r="KX85" s="627">
        <v>0</v>
      </c>
      <c r="KY85" s="627">
        <v>0</v>
      </c>
      <c r="KZ85" s="627">
        <v>0</v>
      </c>
      <c r="LA85" s="627">
        <v>0</v>
      </c>
      <c r="LB85" s="627">
        <v>0</v>
      </c>
      <c r="LC85" s="627">
        <v>0</v>
      </c>
      <c r="LD85" s="627">
        <v>0</v>
      </c>
      <c r="LE85" s="627">
        <v>0</v>
      </c>
      <c r="LF85" s="627">
        <v>0</v>
      </c>
    </row>
    <row r="86" spans="1:318" x14ac:dyDescent="0.25">
      <c r="A86" s="627">
        <v>42602</v>
      </c>
      <c r="B86" s="627">
        <v>57808</v>
      </c>
      <c r="D86" s="627">
        <v>9</v>
      </c>
      <c r="E86" s="627">
        <v>2024</v>
      </c>
      <c r="F86" s="627">
        <v>6160</v>
      </c>
      <c r="G86" s="627">
        <v>0</v>
      </c>
      <c r="H86" s="627">
        <v>1842.0620000000001</v>
      </c>
      <c r="I86" s="627">
        <v>1812.056</v>
      </c>
      <c r="J86" s="627">
        <v>1812.056</v>
      </c>
      <c r="K86" s="627">
        <v>1842.0620000000001</v>
      </c>
      <c r="L86" s="627">
        <v>0</v>
      </c>
      <c r="M86" s="627">
        <v>6160</v>
      </c>
      <c r="N86" s="627">
        <v>0</v>
      </c>
      <c r="O86" s="627">
        <v>0</v>
      </c>
      <c r="P86" s="627">
        <v>0</v>
      </c>
      <c r="Q86" s="627">
        <v>1812.8150000000001</v>
      </c>
      <c r="R86" s="627">
        <v>0</v>
      </c>
      <c r="S86" s="627">
        <v>752108</v>
      </c>
      <c r="T86" s="627">
        <v>414.88400000000001</v>
      </c>
      <c r="U86" s="627">
        <v>0</v>
      </c>
      <c r="V86" s="627">
        <v>390313</v>
      </c>
      <c r="W86" s="627">
        <v>878.375</v>
      </c>
      <c r="X86" s="627">
        <v>541079</v>
      </c>
      <c r="Y86" s="627">
        <v>541079</v>
      </c>
      <c r="Z86" s="627">
        <v>0</v>
      </c>
      <c r="AA86" s="627">
        <v>0</v>
      </c>
      <c r="AB86" s="627">
        <v>0</v>
      </c>
      <c r="AC86" s="627">
        <v>0</v>
      </c>
      <c r="AD86" s="627">
        <v>0</v>
      </c>
      <c r="AE86" s="627" t="s">
        <v>314</v>
      </c>
      <c r="AF86" s="627">
        <v>0</v>
      </c>
      <c r="AG86" s="627">
        <v>0</v>
      </c>
      <c r="AH86" s="627">
        <v>0</v>
      </c>
      <c r="AI86" s="627">
        <v>0</v>
      </c>
      <c r="AJ86" s="627">
        <v>0</v>
      </c>
      <c r="AK86" s="627">
        <v>6160</v>
      </c>
      <c r="AL86" s="627" t="s">
        <v>651</v>
      </c>
      <c r="AM86" s="627" t="s">
        <v>42</v>
      </c>
      <c r="AN86" s="627">
        <v>0</v>
      </c>
      <c r="AO86" s="627">
        <v>0</v>
      </c>
      <c r="AP86" s="627">
        <v>0</v>
      </c>
      <c r="AQ86" s="627">
        <v>0</v>
      </c>
      <c r="AR86" s="627">
        <v>0</v>
      </c>
      <c r="AS86" s="627">
        <v>0</v>
      </c>
      <c r="AT86" s="627">
        <v>0</v>
      </c>
      <c r="AU86" s="627">
        <v>0</v>
      </c>
      <c r="AV86" s="627">
        <v>0</v>
      </c>
      <c r="AW86" s="627">
        <v>0</v>
      </c>
      <c r="AX86" s="627">
        <v>18135112</v>
      </c>
      <c r="AY86" s="627">
        <v>17842401</v>
      </c>
      <c r="AZ86" s="627">
        <v>9679724</v>
      </c>
      <c r="BA86" s="627">
        <v>752108</v>
      </c>
      <c r="BB86" s="627">
        <v>37.25</v>
      </c>
      <c r="BC86" s="627">
        <v>37494</v>
      </c>
      <c r="BD86" s="627">
        <v>37255</v>
      </c>
      <c r="BE86" s="627">
        <v>88</v>
      </c>
      <c r="BF86" s="627">
        <v>239</v>
      </c>
      <c r="BG86" s="627">
        <v>15862266</v>
      </c>
      <c r="BH86" s="627">
        <v>0</v>
      </c>
      <c r="BI86" s="627">
        <v>0</v>
      </c>
      <c r="BJ86" s="627">
        <v>0</v>
      </c>
      <c r="BK86" s="627">
        <v>12</v>
      </c>
      <c r="BL86" s="627">
        <v>0</v>
      </c>
      <c r="BM86" s="627">
        <v>0</v>
      </c>
      <c r="BN86" s="627">
        <v>0</v>
      </c>
      <c r="BO86" s="627">
        <v>0</v>
      </c>
      <c r="BP86" s="627">
        <v>0</v>
      </c>
      <c r="BQ86" s="627">
        <v>0</v>
      </c>
      <c r="BR86" s="627">
        <v>491</v>
      </c>
      <c r="BS86" s="627">
        <v>0</v>
      </c>
      <c r="BT86" s="627">
        <v>0</v>
      </c>
      <c r="BU86" s="627">
        <v>0</v>
      </c>
      <c r="BV86" s="627">
        <v>0</v>
      </c>
      <c r="BW86" s="627">
        <v>0</v>
      </c>
      <c r="BX86" s="627">
        <v>0</v>
      </c>
      <c r="BY86" s="627">
        <v>0</v>
      </c>
      <c r="BZ86" s="627">
        <v>0</v>
      </c>
      <c r="CA86" s="627">
        <v>0</v>
      </c>
      <c r="CB86" s="627">
        <v>0</v>
      </c>
      <c r="CC86" s="627">
        <v>0</v>
      </c>
      <c r="CD86" s="627">
        <v>0</v>
      </c>
      <c r="CE86" s="627">
        <v>0</v>
      </c>
      <c r="CF86" s="627">
        <v>0</v>
      </c>
      <c r="CG86" s="627">
        <v>0</v>
      </c>
      <c r="CH86" s="627">
        <v>0</v>
      </c>
      <c r="CI86" s="627">
        <v>294598</v>
      </c>
      <c r="CJ86" s="627">
        <v>0</v>
      </c>
      <c r="CK86" s="627">
        <v>4</v>
      </c>
      <c r="CL86" s="627">
        <v>0</v>
      </c>
      <c r="CM86" s="627">
        <v>0</v>
      </c>
      <c r="CN86" s="627">
        <v>0</v>
      </c>
      <c r="CO86" s="627">
        <v>0</v>
      </c>
      <c r="CP86" s="627">
        <v>1</v>
      </c>
      <c r="CQ86" s="627">
        <v>0</v>
      </c>
      <c r="CR86" s="627">
        <v>9.4169999999999998</v>
      </c>
      <c r="CS86" s="627">
        <v>1805.25</v>
      </c>
      <c r="CT86" s="627">
        <v>0</v>
      </c>
      <c r="CU86" s="627">
        <v>0</v>
      </c>
      <c r="CV86" s="627">
        <v>0</v>
      </c>
      <c r="CW86" s="627">
        <v>0</v>
      </c>
      <c r="CX86" s="627">
        <v>0</v>
      </c>
      <c r="CY86" s="627">
        <v>0</v>
      </c>
      <c r="CZ86" s="627">
        <v>0</v>
      </c>
      <c r="DA86" s="627">
        <v>0</v>
      </c>
      <c r="DB86" s="627">
        <v>0</v>
      </c>
      <c r="DC86" s="627">
        <v>11162265</v>
      </c>
      <c r="DD86" s="627">
        <v>0</v>
      </c>
      <c r="DE86" s="627">
        <v>0</v>
      </c>
      <c r="DF86" s="627">
        <v>967813</v>
      </c>
      <c r="DG86" s="627">
        <v>967813</v>
      </c>
      <c r="DH86" s="627">
        <v>157.113</v>
      </c>
      <c r="DI86" s="627">
        <v>0</v>
      </c>
      <c r="DJ86" s="627">
        <v>0</v>
      </c>
      <c r="DK86" s="627">
        <v>0</v>
      </c>
      <c r="DL86" s="627">
        <v>0</v>
      </c>
      <c r="DM86" s="627">
        <v>0</v>
      </c>
      <c r="DN86" s="627">
        <v>483271</v>
      </c>
      <c r="DO86" s="627">
        <v>1647</v>
      </c>
      <c r="DP86" s="627">
        <v>0</v>
      </c>
      <c r="DQ86" s="627">
        <v>0</v>
      </c>
      <c r="DR86" s="627">
        <v>0</v>
      </c>
      <c r="DS86" s="627">
        <v>0</v>
      </c>
      <c r="DT86" s="627">
        <v>0</v>
      </c>
      <c r="DU86" s="627">
        <v>0</v>
      </c>
      <c r="DV86" s="627">
        <v>0</v>
      </c>
      <c r="DW86" s="627">
        <v>0</v>
      </c>
      <c r="DX86" s="627">
        <v>0</v>
      </c>
      <c r="DY86" s="627">
        <v>0</v>
      </c>
      <c r="DZ86" s="627">
        <v>0</v>
      </c>
      <c r="EA86" s="627">
        <v>0</v>
      </c>
      <c r="EB86" s="627">
        <v>0</v>
      </c>
      <c r="EC86" s="627">
        <v>0</v>
      </c>
      <c r="ED86" s="627">
        <v>12.017000000000001</v>
      </c>
      <c r="EE86" s="627">
        <v>85128</v>
      </c>
      <c r="EF86" s="627">
        <v>0</v>
      </c>
      <c r="EG86" s="627">
        <v>0</v>
      </c>
      <c r="EH86" s="627">
        <v>0</v>
      </c>
      <c r="EI86" s="627">
        <v>399790</v>
      </c>
      <c r="EJ86" s="627">
        <v>0</v>
      </c>
      <c r="EK86" s="627">
        <v>0</v>
      </c>
      <c r="EL86" s="627">
        <v>17.544</v>
      </c>
      <c r="EM86" s="627">
        <v>0</v>
      </c>
      <c r="EN86" s="627">
        <v>1.228</v>
      </c>
      <c r="EO86" s="627">
        <v>1.7170000000000001</v>
      </c>
      <c r="EP86" s="627">
        <v>0</v>
      </c>
      <c r="EQ86" s="627">
        <v>0</v>
      </c>
      <c r="ER86" s="627">
        <v>20.489000000000001</v>
      </c>
      <c r="ES86" s="627">
        <v>0</v>
      </c>
      <c r="ET86" s="627">
        <v>64.900999999999996</v>
      </c>
      <c r="EU86" s="627">
        <v>0</v>
      </c>
      <c r="EV86" s="627">
        <v>0</v>
      </c>
      <c r="EW86" s="627">
        <v>0</v>
      </c>
      <c r="EX86" s="627">
        <v>0</v>
      </c>
      <c r="EY86" s="627">
        <v>0</v>
      </c>
      <c r="EZ86" s="627">
        <v>0</v>
      </c>
      <c r="FA86" s="627">
        <v>15162715</v>
      </c>
      <c r="FB86" s="627">
        <v>0</v>
      </c>
      <c r="FC86" s="627">
        <v>15912936</v>
      </c>
      <c r="FD86" s="627">
        <v>0</v>
      </c>
      <c r="FE86" s="627">
        <v>0</v>
      </c>
      <c r="FF86" s="627">
        <v>2284106</v>
      </c>
      <c r="FG86" s="627">
        <v>395580</v>
      </c>
      <c r="FH86" s="627">
        <v>7.0280999999999996E-2</v>
      </c>
      <c r="FI86" s="627">
        <v>3.1172999999999999E-2</v>
      </c>
      <c r="FJ86" s="627">
        <v>0</v>
      </c>
      <c r="FK86" s="627">
        <v>0</v>
      </c>
      <c r="FL86" s="627">
        <v>2575.0430000000001</v>
      </c>
      <c r="FM86" s="627">
        <v>18887220</v>
      </c>
      <c r="FN86" s="627">
        <v>0</v>
      </c>
      <c r="FO86" s="627">
        <v>0</v>
      </c>
      <c r="FP86" s="627">
        <v>49095</v>
      </c>
      <c r="FQ86" s="627">
        <v>0</v>
      </c>
      <c r="FR86" s="627">
        <v>49095</v>
      </c>
      <c r="FS86" s="627">
        <v>49095</v>
      </c>
      <c r="FT86" s="627">
        <v>0</v>
      </c>
      <c r="FU86" s="627">
        <v>0</v>
      </c>
      <c r="FV86" s="627">
        <v>0</v>
      </c>
      <c r="FW86" s="627">
        <v>0</v>
      </c>
      <c r="FX86" s="627">
        <v>0</v>
      </c>
      <c r="FY86" s="627">
        <v>0</v>
      </c>
      <c r="FZ86" s="627">
        <v>0</v>
      </c>
      <c r="GA86" s="627">
        <v>0</v>
      </c>
      <c r="GB86" s="627">
        <v>0</v>
      </c>
      <c r="GC86" s="627">
        <v>89949</v>
      </c>
      <c r="GD86" s="627">
        <v>89949</v>
      </c>
      <c r="GE86" s="627">
        <v>9.5170000000000012</v>
      </c>
      <c r="GF86" s="627">
        <v>0</v>
      </c>
      <c r="GG86" s="627">
        <v>0</v>
      </c>
      <c r="GH86" s="627">
        <v>0</v>
      </c>
      <c r="GI86" s="627">
        <v>0</v>
      </c>
      <c r="GJ86" s="627">
        <v>0</v>
      </c>
      <c r="GK86" s="627">
        <v>0</v>
      </c>
      <c r="GL86" s="627">
        <v>0</v>
      </c>
      <c r="GM86" s="627">
        <v>0</v>
      </c>
      <c r="GN86" s="627">
        <v>0</v>
      </c>
      <c r="GO86" s="627">
        <v>0</v>
      </c>
      <c r="GP86" s="627">
        <v>0</v>
      </c>
      <c r="GQ86" s="627">
        <v>0</v>
      </c>
      <c r="GR86" s="627">
        <v>17840514</v>
      </c>
      <c r="GS86" s="627">
        <v>0</v>
      </c>
      <c r="GT86" s="627">
        <v>0</v>
      </c>
      <c r="GU86" s="627">
        <v>0</v>
      </c>
      <c r="GV86" s="627">
        <v>0</v>
      </c>
      <c r="GW86" s="627">
        <v>0</v>
      </c>
      <c r="GX86" s="627">
        <v>0</v>
      </c>
      <c r="GY86" s="627">
        <v>0</v>
      </c>
      <c r="GZ86" s="627">
        <v>0</v>
      </c>
      <c r="HA86" s="627">
        <v>0</v>
      </c>
      <c r="HB86" s="627">
        <v>0</v>
      </c>
      <c r="HC86" s="627">
        <v>361151439</v>
      </c>
      <c r="HD86" s="627">
        <v>3.9981999999999997E-2</v>
      </c>
      <c r="HE86" s="627">
        <v>294598</v>
      </c>
      <c r="HF86" s="627">
        <v>0</v>
      </c>
      <c r="HG86" s="627">
        <v>1996886</v>
      </c>
      <c r="HH86" s="627">
        <v>4928</v>
      </c>
      <c r="HI86" s="627">
        <v>501513</v>
      </c>
      <c r="HJ86" s="627">
        <v>0</v>
      </c>
      <c r="HK86" s="627">
        <v>48421</v>
      </c>
      <c r="HL86" s="627">
        <v>2091</v>
      </c>
      <c r="HM86" s="627">
        <v>1371</v>
      </c>
      <c r="HN86" s="627">
        <v>27000</v>
      </c>
      <c r="HO86" s="627">
        <v>0</v>
      </c>
      <c r="HP86" s="627">
        <v>0</v>
      </c>
      <c r="HQ86" s="627">
        <v>0</v>
      </c>
      <c r="HR86" s="627">
        <v>0</v>
      </c>
      <c r="HS86" s="627">
        <v>0</v>
      </c>
      <c r="HT86" s="627">
        <v>15160828</v>
      </c>
      <c r="HU86" s="627">
        <v>395580</v>
      </c>
      <c r="HV86" s="627">
        <v>0</v>
      </c>
      <c r="HW86" s="627">
        <v>0</v>
      </c>
      <c r="HX86" s="627">
        <v>0</v>
      </c>
      <c r="HY86" s="627">
        <v>63</v>
      </c>
      <c r="HZ86" s="627">
        <v>116</v>
      </c>
      <c r="IA86" s="627">
        <v>134</v>
      </c>
      <c r="IB86" s="627">
        <v>225</v>
      </c>
      <c r="IC86" s="627">
        <v>83</v>
      </c>
      <c r="ID86" s="627">
        <v>621</v>
      </c>
      <c r="IE86" s="627">
        <v>0</v>
      </c>
      <c r="IF86" s="627">
        <v>0</v>
      </c>
      <c r="IG86" s="627">
        <v>0</v>
      </c>
      <c r="IH86" s="627">
        <v>8</v>
      </c>
      <c r="II86" s="627">
        <v>814.1450000000001</v>
      </c>
      <c r="IJ86" s="627">
        <v>0</v>
      </c>
      <c r="IK86" s="627">
        <v>878.375</v>
      </c>
      <c r="IL86" s="627">
        <v>0</v>
      </c>
      <c r="IM86" s="627">
        <v>3</v>
      </c>
      <c r="IN86" s="627">
        <v>4</v>
      </c>
      <c r="IO86" s="627">
        <v>0</v>
      </c>
      <c r="IP86" s="627">
        <v>7</v>
      </c>
      <c r="IQ86" s="627">
        <v>0</v>
      </c>
      <c r="IR86" s="627">
        <v>878.375</v>
      </c>
      <c r="IS86" s="627">
        <v>541079</v>
      </c>
      <c r="IT86" s="627">
        <v>0</v>
      </c>
      <c r="IU86" s="627">
        <v>15000</v>
      </c>
      <c r="IV86" s="627">
        <v>12000</v>
      </c>
      <c r="IW86" s="627">
        <v>0</v>
      </c>
      <c r="IX86" s="627">
        <v>6160</v>
      </c>
      <c r="IY86" s="627">
        <v>0</v>
      </c>
      <c r="IZ86" s="627">
        <v>0</v>
      </c>
      <c r="JA86" s="627">
        <v>0</v>
      </c>
      <c r="JB86" s="627">
        <v>0</v>
      </c>
      <c r="JC86" s="627">
        <v>0</v>
      </c>
      <c r="JD86" s="627">
        <v>0</v>
      </c>
      <c r="JE86" s="627">
        <v>0</v>
      </c>
      <c r="JF86" s="627">
        <v>0</v>
      </c>
      <c r="JG86" s="627">
        <v>0</v>
      </c>
      <c r="JH86" s="627">
        <v>0</v>
      </c>
      <c r="JI86" s="627">
        <v>0</v>
      </c>
      <c r="JJ86" s="627">
        <v>0</v>
      </c>
      <c r="JK86" s="627">
        <v>0</v>
      </c>
      <c r="JL86" s="627">
        <v>0</v>
      </c>
      <c r="JM86" s="627">
        <v>0</v>
      </c>
      <c r="JN86" s="627">
        <v>0</v>
      </c>
      <c r="JO86" s="627">
        <v>32469</v>
      </c>
      <c r="JP86" s="627">
        <v>0</v>
      </c>
      <c r="JQ86" s="627">
        <v>8.4480000000000004</v>
      </c>
      <c r="JR86" s="627">
        <v>1.07</v>
      </c>
      <c r="JS86" s="627">
        <v>0</v>
      </c>
      <c r="JT86" s="627">
        <v>78527</v>
      </c>
      <c r="JU86" s="627">
        <v>11422</v>
      </c>
      <c r="JV86" s="627">
        <v>37946</v>
      </c>
      <c r="JW86" s="627">
        <v>0</v>
      </c>
      <c r="JX86" s="627">
        <v>0</v>
      </c>
      <c r="JY86" s="627">
        <v>0</v>
      </c>
      <c r="JZ86" s="627">
        <v>0</v>
      </c>
      <c r="KA86" s="627">
        <v>0</v>
      </c>
      <c r="KB86" s="627">
        <v>0</v>
      </c>
      <c r="KC86" s="627">
        <v>0</v>
      </c>
      <c r="KD86" s="627">
        <v>0</v>
      </c>
      <c r="KE86" s="627">
        <v>37946</v>
      </c>
      <c r="KF86" s="627">
        <v>7262</v>
      </c>
      <c r="KG86" s="627">
        <v>0</v>
      </c>
      <c r="KH86" s="627">
        <v>0</v>
      </c>
      <c r="KI86" s="627">
        <v>17840514</v>
      </c>
      <c r="KJ86" s="627">
        <v>0</v>
      </c>
      <c r="KK86" s="627">
        <v>3</v>
      </c>
      <c r="KL86" s="627">
        <v>5</v>
      </c>
      <c r="KM86" s="627">
        <v>1848</v>
      </c>
      <c r="KN86" s="627">
        <v>3080</v>
      </c>
      <c r="KO86" s="627">
        <v>0</v>
      </c>
      <c r="KP86" s="627">
        <v>0</v>
      </c>
      <c r="KQ86" s="627">
        <v>17840514</v>
      </c>
      <c r="KR86" s="627">
        <v>0</v>
      </c>
      <c r="KS86" s="627">
        <v>0</v>
      </c>
      <c r="KT86" s="627">
        <v>0</v>
      </c>
      <c r="KU86" s="627">
        <v>0</v>
      </c>
      <c r="KV86" s="627">
        <v>0</v>
      </c>
      <c r="KW86" s="627">
        <v>0</v>
      </c>
      <c r="KX86" s="627">
        <v>0</v>
      </c>
      <c r="KY86" s="627">
        <v>0</v>
      </c>
      <c r="KZ86" s="627">
        <v>0</v>
      </c>
      <c r="LA86" s="627">
        <v>0</v>
      </c>
      <c r="LB86" s="627">
        <v>0</v>
      </c>
      <c r="LC86" s="627">
        <v>0</v>
      </c>
      <c r="LD86" s="627">
        <v>0</v>
      </c>
      <c r="LE86" s="627">
        <v>0</v>
      </c>
      <c r="LF86" s="627">
        <v>0</v>
      </c>
    </row>
    <row r="87" spans="1:318" x14ac:dyDescent="0.25">
      <c r="A87" s="627">
        <v>42602</v>
      </c>
      <c r="B87" s="627">
        <v>108808</v>
      </c>
      <c r="D87" s="627">
        <v>9</v>
      </c>
      <c r="E87" s="627">
        <v>2024</v>
      </c>
      <c r="F87" s="627">
        <v>6160</v>
      </c>
      <c r="G87" s="627">
        <v>0</v>
      </c>
      <c r="H87" s="627">
        <v>5728.4270000000006</v>
      </c>
      <c r="I87" s="627">
        <v>5278.6460000000006</v>
      </c>
      <c r="J87" s="627">
        <v>5278.6460000000006</v>
      </c>
      <c r="K87" s="627">
        <v>5728.4270000000006</v>
      </c>
      <c r="L87" s="627">
        <v>0</v>
      </c>
      <c r="M87" s="627">
        <v>6160</v>
      </c>
      <c r="N87" s="627">
        <v>0</v>
      </c>
      <c r="O87" s="627">
        <v>0</v>
      </c>
      <c r="P87" s="627">
        <v>0</v>
      </c>
      <c r="Q87" s="627">
        <v>5409.81</v>
      </c>
      <c r="R87" s="627">
        <v>0</v>
      </c>
      <c r="S87" s="627">
        <v>2244444</v>
      </c>
      <c r="T87" s="627">
        <v>414.88400000000001</v>
      </c>
      <c r="U87" s="627">
        <v>0</v>
      </c>
      <c r="V87" s="627">
        <v>1164775</v>
      </c>
      <c r="W87" s="627">
        <v>1282.723</v>
      </c>
      <c r="X87" s="627">
        <v>2139050</v>
      </c>
      <c r="Y87" s="627">
        <v>2139050</v>
      </c>
      <c r="Z87" s="627">
        <v>0</v>
      </c>
      <c r="AA87" s="627">
        <v>0</v>
      </c>
      <c r="AB87" s="627">
        <v>0</v>
      </c>
      <c r="AC87" s="627">
        <v>0</v>
      </c>
      <c r="AD87" s="627">
        <v>0</v>
      </c>
      <c r="AE87" s="627" t="s">
        <v>314</v>
      </c>
      <c r="AF87" s="627">
        <v>0</v>
      </c>
      <c r="AG87" s="627">
        <v>0</v>
      </c>
      <c r="AH87" s="627">
        <v>0</v>
      </c>
      <c r="AI87" s="627">
        <v>0</v>
      </c>
      <c r="AJ87" s="627">
        <v>0</v>
      </c>
      <c r="AK87" s="627">
        <v>6160</v>
      </c>
      <c r="AL87" s="627" t="s">
        <v>651</v>
      </c>
      <c r="AM87" s="627" t="s">
        <v>88</v>
      </c>
      <c r="AN87" s="627">
        <v>0</v>
      </c>
      <c r="AO87" s="627">
        <v>0</v>
      </c>
      <c r="AP87" s="627">
        <v>0</v>
      </c>
      <c r="AQ87" s="627">
        <v>0</v>
      </c>
      <c r="AR87" s="627">
        <v>0</v>
      </c>
      <c r="AS87" s="627">
        <v>0</v>
      </c>
      <c r="AT87" s="627">
        <v>0</v>
      </c>
      <c r="AU87" s="627">
        <v>0</v>
      </c>
      <c r="AV87" s="627">
        <v>0</v>
      </c>
      <c r="AW87" s="627">
        <v>-1339267</v>
      </c>
      <c r="AX87" s="627">
        <v>67624899</v>
      </c>
      <c r="AY87" s="627">
        <v>66723035</v>
      </c>
      <c r="AZ87" s="627">
        <v>31596631</v>
      </c>
      <c r="BA87" s="627">
        <v>2244444</v>
      </c>
      <c r="BB87" s="627">
        <v>0</v>
      </c>
      <c r="BC87" s="627">
        <v>121853</v>
      </c>
      <c r="BD87" s="627">
        <v>121076</v>
      </c>
      <c r="BE87" s="627">
        <v>286</v>
      </c>
      <c r="BF87" s="627">
        <v>777</v>
      </c>
      <c r="BG87" s="627">
        <v>58837395</v>
      </c>
      <c r="BH87" s="627">
        <v>0</v>
      </c>
      <c r="BI87" s="627">
        <v>0</v>
      </c>
      <c r="BJ87" s="627">
        <v>0</v>
      </c>
      <c r="BK87" s="627">
        <v>12</v>
      </c>
      <c r="BL87" s="627">
        <v>0</v>
      </c>
      <c r="BM87" s="627">
        <v>0</v>
      </c>
      <c r="BN87" s="627">
        <v>0</v>
      </c>
      <c r="BO87" s="627">
        <v>0</v>
      </c>
      <c r="BP87" s="627">
        <v>0</v>
      </c>
      <c r="BQ87" s="627">
        <v>0</v>
      </c>
      <c r="BR87" s="627">
        <v>0</v>
      </c>
      <c r="BS87" s="627">
        <v>0</v>
      </c>
      <c r="BT87" s="627">
        <v>0</v>
      </c>
      <c r="BU87" s="627">
        <v>0</v>
      </c>
      <c r="BV87" s="627">
        <v>0</v>
      </c>
      <c r="BW87" s="627">
        <v>0</v>
      </c>
      <c r="BX87" s="627">
        <v>0</v>
      </c>
      <c r="BY87" s="627">
        <v>0</v>
      </c>
      <c r="BZ87" s="627">
        <v>0</v>
      </c>
      <c r="CA87" s="627">
        <v>0</v>
      </c>
      <c r="CB87" s="627">
        <v>136.30100000000002</v>
      </c>
      <c r="CC87" s="627">
        <v>136301</v>
      </c>
      <c r="CD87" s="627">
        <v>0</v>
      </c>
      <c r="CE87" s="627">
        <v>0</v>
      </c>
      <c r="CF87" s="627">
        <v>0</v>
      </c>
      <c r="CG87" s="627">
        <v>0</v>
      </c>
      <c r="CH87" s="627">
        <v>0</v>
      </c>
      <c r="CI87" s="627">
        <v>916140</v>
      </c>
      <c r="CJ87" s="627">
        <v>0</v>
      </c>
      <c r="CK87" s="627">
        <v>4</v>
      </c>
      <c r="CL87" s="627">
        <v>0</v>
      </c>
      <c r="CM87" s="627">
        <v>0</v>
      </c>
      <c r="CN87" s="627">
        <v>0</v>
      </c>
      <c r="CO87" s="627">
        <v>0</v>
      </c>
      <c r="CP87" s="627">
        <v>1</v>
      </c>
      <c r="CQ87" s="627">
        <v>0</v>
      </c>
      <c r="CR87" s="627">
        <v>0</v>
      </c>
      <c r="CS87" s="627">
        <v>5187.49</v>
      </c>
      <c r="CT87" s="627">
        <v>0</v>
      </c>
      <c r="CU87" s="627">
        <v>0</v>
      </c>
      <c r="CV87" s="627">
        <v>0</v>
      </c>
      <c r="CW87" s="627">
        <v>0</v>
      </c>
      <c r="CX87" s="627">
        <v>0</v>
      </c>
      <c r="CY87" s="627">
        <v>0</v>
      </c>
      <c r="CZ87" s="627">
        <v>0</v>
      </c>
      <c r="DA87" s="627">
        <v>0</v>
      </c>
      <c r="DB87" s="627">
        <v>0</v>
      </c>
      <c r="DC87" s="627">
        <v>32516459</v>
      </c>
      <c r="DD87" s="627">
        <v>0</v>
      </c>
      <c r="DE87" s="627">
        <v>0</v>
      </c>
      <c r="DF87" s="627">
        <v>9350033</v>
      </c>
      <c r="DG87" s="627">
        <v>9350033</v>
      </c>
      <c r="DH87" s="627">
        <v>1517.8630000000001</v>
      </c>
      <c r="DI87" s="627">
        <v>0</v>
      </c>
      <c r="DJ87" s="627">
        <v>0</v>
      </c>
      <c r="DK87" s="627">
        <v>0</v>
      </c>
      <c r="DL87" s="627">
        <v>0</v>
      </c>
      <c r="DM87" s="627">
        <v>0</v>
      </c>
      <c r="DN87" s="627">
        <v>3960398</v>
      </c>
      <c r="DO87" s="627">
        <v>13498</v>
      </c>
      <c r="DP87" s="627">
        <v>0</v>
      </c>
      <c r="DQ87" s="627">
        <v>0</v>
      </c>
      <c r="DR87" s="627">
        <v>0</v>
      </c>
      <c r="DS87" s="627">
        <v>0</v>
      </c>
      <c r="DT87" s="627">
        <v>0</v>
      </c>
      <c r="DU87" s="627">
        <v>0</v>
      </c>
      <c r="DV87" s="627">
        <v>0</v>
      </c>
      <c r="DW87" s="627">
        <v>0</v>
      </c>
      <c r="DX87" s="627">
        <v>0</v>
      </c>
      <c r="DY87" s="627">
        <v>0</v>
      </c>
      <c r="DZ87" s="627">
        <v>0</v>
      </c>
      <c r="EA87" s="627">
        <v>0</v>
      </c>
      <c r="EB87" s="627">
        <v>0.23</v>
      </c>
      <c r="EC87" s="627">
        <v>0</v>
      </c>
      <c r="ED87" s="627">
        <v>22.36</v>
      </c>
      <c r="EE87" s="627">
        <v>158398</v>
      </c>
      <c r="EF87" s="627">
        <v>0</v>
      </c>
      <c r="EG87" s="627">
        <v>0</v>
      </c>
      <c r="EH87" s="627">
        <v>0</v>
      </c>
      <c r="EI87" s="627">
        <v>3815498</v>
      </c>
      <c r="EJ87" s="627">
        <v>0</v>
      </c>
      <c r="EK87" s="627">
        <v>0</v>
      </c>
      <c r="EL87" s="627">
        <v>152.721</v>
      </c>
      <c r="EM87" s="627">
        <v>1.381</v>
      </c>
      <c r="EN87" s="627">
        <v>32.767000000000003</v>
      </c>
      <c r="EO87" s="627">
        <v>12.357000000000001</v>
      </c>
      <c r="EP87" s="627">
        <v>0</v>
      </c>
      <c r="EQ87" s="627">
        <v>0</v>
      </c>
      <c r="ER87" s="627">
        <v>198.07500000000002</v>
      </c>
      <c r="ES87" s="627">
        <v>0</v>
      </c>
      <c r="ET87" s="627">
        <v>619.399</v>
      </c>
      <c r="EU87" s="627">
        <v>0</v>
      </c>
      <c r="EV87" s="627">
        <v>0</v>
      </c>
      <c r="EW87" s="627">
        <v>0</v>
      </c>
      <c r="EX87" s="627">
        <v>0</v>
      </c>
      <c r="EY87" s="627">
        <v>0</v>
      </c>
      <c r="EZ87" s="627">
        <v>0</v>
      </c>
      <c r="FA87" s="627">
        <v>56783365</v>
      </c>
      <c r="FB87" s="627">
        <v>0</v>
      </c>
      <c r="FC87" s="627">
        <v>59013533</v>
      </c>
      <c r="FD87" s="627">
        <v>0</v>
      </c>
      <c r="FE87" s="627">
        <v>0</v>
      </c>
      <c r="FF87" s="627">
        <v>8472360</v>
      </c>
      <c r="FG87" s="627">
        <v>1467310</v>
      </c>
      <c r="FH87" s="627">
        <v>7.0280999999999996E-2</v>
      </c>
      <c r="FI87" s="627">
        <v>3.1172999999999999E-2</v>
      </c>
      <c r="FJ87" s="627">
        <v>0</v>
      </c>
      <c r="FK87" s="627">
        <v>0</v>
      </c>
      <c r="FL87" s="627">
        <v>9551.5249999999996</v>
      </c>
      <c r="FM87" s="627">
        <v>69869343</v>
      </c>
      <c r="FN87" s="627">
        <v>0</v>
      </c>
      <c r="FO87" s="627">
        <v>0</v>
      </c>
      <c r="FP87" s="627">
        <v>8905</v>
      </c>
      <c r="FQ87" s="627">
        <v>0</v>
      </c>
      <c r="FR87" s="627">
        <v>35242</v>
      </c>
      <c r="FS87" s="627">
        <v>8905</v>
      </c>
      <c r="FT87" s="627">
        <v>26337</v>
      </c>
      <c r="FU87" s="627">
        <v>0</v>
      </c>
      <c r="FV87" s="627">
        <v>0</v>
      </c>
      <c r="FW87" s="627">
        <v>0</v>
      </c>
      <c r="FX87" s="627">
        <v>0</v>
      </c>
      <c r="FY87" s="627">
        <v>0</v>
      </c>
      <c r="FZ87" s="627">
        <v>0</v>
      </c>
      <c r="GA87" s="627">
        <v>0</v>
      </c>
      <c r="GB87" s="627">
        <v>0</v>
      </c>
      <c r="GC87" s="627">
        <v>2444206</v>
      </c>
      <c r="GD87" s="627">
        <v>2444206</v>
      </c>
      <c r="GE87" s="627">
        <v>251.70600000000002</v>
      </c>
      <c r="GF87" s="627">
        <v>0</v>
      </c>
      <c r="GG87" s="627">
        <v>0</v>
      </c>
      <c r="GH87" s="627">
        <v>0</v>
      </c>
      <c r="GI87" s="627">
        <v>0</v>
      </c>
      <c r="GJ87" s="627">
        <v>0</v>
      </c>
      <c r="GK87" s="627">
        <v>0</v>
      </c>
      <c r="GL87" s="627">
        <v>0</v>
      </c>
      <c r="GM87" s="627">
        <v>0</v>
      </c>
      <c r="GN87" s="627">
        <v>0</v>
      </c>
      <c r="GO87" s="627">
        <v>0</v>
      </c>
      <c r="GP87" s="627">
        <v>0</v>
      </c>
      <c r="GQ87" s="627">
        <v>0</v>
      </c>
      <c r="GR87" s="627">
        <v>66708759</v>
      </c>
      <c r="GS87" s="627">
        <v>0</v>
      </c>
      <c r="GT87" s="627">
        <v>0</v>
      </c>
      <c r="GU87" s="627">
        <v>0</v>
      </c>
      <c r="GV87" s="627">
        <v>0</v>
      </c>
      <c r="GW87" s="627">
        <v>0</v>
      </c>
      <c r="GX87" s="627">
        <v>0</v>
      </c>
      <c r="GY87" s="627">
        <v>0</v>
      </c>
      <c r="GZ87" s="627">
        <v>0</v>
      </c>
      <c r="HA87" s="627">
        <v>0</v>
      </c>
      <c r="HB87" s="627">
        <v>0</v>
      </c>
      <c r="HC87" s="627">
        <v>361151439</v>
      </c>
      <c r="HD87" s="627">
        <v>3.9981999999999997E-2</v>
      </c>
      <c r="HE87" s="627">
        <v>916140</v>
      </c>
      <c r="HF87" s="627">
        <v>0</v>
      </c>
      <c r="HG87" s="627">
        <v>5817068</v>
      </c>
      <c r="HH87" s="627">
        <v>82544</v>
      </c>
      <c r="HI87" s="627">
        <v>1769164</v>
      </c>
      <c r="HJ87" s="627">
        <v>0</v>
      </c>
      <c r="HK87" s="627">
        <v>132284</v>
      </c>
      <c r="HL87" s="627">
        <v>10591</v>
      </c>
      <c r="HM87" s="627">
        <v>8280</v>
      </c>
      <c r="HN87" s="627">
        <v>306000</v>
      </c>
      <c r="HO87" s="627">
        <v>184838</v>
      </c>
      <c r="HP87" s="627">
        <v>0</v>
      </c>
      <c r="HQ87" s="627">
        <v>0</v>
      </c>
      <c r="HR87" s="627">
        <v>0</v>
      </c>
      <c r="HS87" s="627">
        <v>0</v>
      </c>
      <c r="HT87" s="627">
        <v>56769089</v>
      </c>
      <c r="HU87" s="627">
        <v>1467310</v>
      </c>
      <c r="HV87" s="627">
        <v>0</v>
      </c>
      <c r="HW87" s="627">
        <v>0</v>
      </c>
      <c r="HX87" s="627">
        <v>0</v>
      </c>
      <c r="HY87" s="627">
        <v>690</v>
      </c>
      <c r="HZ87" s="627">
        <v>1521</v>
      </c>
      <c r="IA87" s="627">
        <v>1428</v>
      </c>
      <c r="IB87" s="627">
        <v>1602</v>
      </c>
      <c r="IC87" s="627">
        <v>814</v>
      </c>
      <c r="ID87" s="627">
        <v>6055</v>
      </c>
      <c r="IE87" s="627">
        <v>0</v>
      </c>
      <c r="IF87" s="627">
        <v>1443.1000000000001</v>
      </c>
      <c r="IG87" s="627">
        <v>50.225000000000001</v>
      </c>
      <c r="IH87" s="627">
        <v>134</v>
      </c>
      <c r="II87" s="627">
        <v>2872.02</v>
      </c>
      <c r="IJ87" s="627">
        <v>0</v>
      </c>
      <c r="IK87" s="627">
        <v>2776.0480000000002</v>
      </c>
      <c r="IL87" s="627">
        <v>0</v>
      </c>
      <c r="IM87" s="627">
        <v>53</v>
      </c>
      <c r="IN87" s="627">
        <v>13</v>
      </c>
      <c r="IO87" s="627">
        <v>1</v>
      </c>
      <c r="IP87" s="627">
        <v>67</v>
      </c>
      <c r="IQ87" s="627">
        <v>0</v>
      </c>
      <c r="IR87" s="627">
        <v>1282.723</v>
      </c>
      <c r="IS87" s="627">
        <v>790157</v>
      </c>
      <c r="IT87" s="627">
        <v>0</v>
      </c>
      <c r="IU87" s="627">
        <v>265000</v>
      </c>
      <c r="IV87" s="627">
        <v>39000</v>
      </c>
      <c r="IW87" s="627">
        <v>2000</v>
      </c>
      <c r="IX87" s="627">
        <v>6160</v>
      </c>
      <c r="IY87" s="627">
        <v>1333424</v>
      </c>
      <c r="IZ87" s="627">
        <v>15469</v>
      </c>
      <c r="JA87" s="627">
        <v>0</v>
      </c>
      <c r="JB87" s="627">
        <v>0</v>
      </c>
      <c r="JC87" s="627">
        <v>0</v>
      </c>
      <c r="JD87" s="627">
        <v>0</v>
      </c>
      <c r="JE87" s="627">
        <v>4</v>
      </c>
      <c r="JF87" s="627">
        <v>43066</v>
      </c>
      <c r="JG87" s="627">
        <v>20</v>
      </c>
      <c r="JH87" s="627">
        <v>108772</v>
      </c>
      <c r="JI87" s="627">
        <v>33000</v>
      </c>
      <c r="JJ87" s="627">
        <v>0</v>
      </c>
      <c r="JK87" s="627">
        <v>0</v>
      </c>
      <c r="JL87" s="627">
        <v>0</v>
      </c>
      <c r="JM87" s="627">
        <v>0</v>
      </c>
      <c r="JN87" s="627">
        <v>0</v>
      </c>
      <c r="JO87" s="627">
        <v>32469</v>
      </c>
      <c r="JP87" s="627">
        <v>26.324000000000002</v>
      </c>
      <c r="JQ87" s="627">
        <v>124.7</v>
      </c>
      <c r="JR87" s="627">
        <v>100.682</v>
      </c>
      <c r="JS87" s="627">
        <v>210281</v>
      </c>
      <c r="JT87" s="627">
        <v>1159131</v>
      </c>
      <c r="JU87" s="627">
        <v>1074794</v>
      </c>
      <c r="JV87" s="627">
        <v>123323</v>
      </c>
      <c r="JW87" s="627">
        <v>0</v>
      </c>
      <c r="JX87" s="627">
        <v>0</v>
      </c>
      <c r="JY87" s="627">
        <v>0</v>
      </c>
      <c r="JZ87" s="627">
        <v>0</v>
      </c>
      <c r="KA87" s="627">
        <v>0</v>
      </c>
      <c r="KB87" s="627">
        <v>0</v>
      </c>
      <c r="KC87" s="627">
        <v>0</v>
      </c>
      <c r="KD87" s="627">
        <v>0</v>
      </c>
      <c r="KE87" s="627">
        <v>123323</v>
      </c>
      <c r="KF87" s="627">
        <v>7262</v>
      </c>
      <c r="KG87" s="627">
        <v>0</v>
      </c>
      <c r="KH87" s="627">
        <v>0</v>
      </c>
      <c r="KI87" s="627">
        <v>66708759</v>
      </c>
      <c r="KJ87" s="627">
        <v>0</v>
      </c>
      <c r="KK87" s="627">
        <v>62</v>
      </c>
      <c r="KL87" s="627">
        <v>72</v>
      </c>
      <c r="KM87" s="627">
        <v>38192</v>
      </c>
      <c r="KN87" s="627">
        <v>44352</v>
      </c>
      <c r="KO87" s="627">
        <v>0</v>
      </c>
      <c r="KP87" s="627">
        <v>0</v>
      </c>
      <c r="KQ87" s="627">
        <v>66708759</v>
      </c>
      <c r="KR87" s="627">
        <v>0</v>
      </c>
      <c r="KS87" s="627">
        <v>0</v>
      </c>
      <c r="KT87" s="627">
        <v>0</v>
      </c>
      <c r="KU87" s="627">
        <v>0</v>
      </c>
      <c r="KV87" s="627">
        <v>0</v>
      </c>
      <c r="KW87" s="627">
        <v>0</v>
      </c>
      <c r="KX87" s="627">
        <v>0</v>
      </c>
      <c r="KY87" s="627">
        <v>0</v>
      </c>
      <c r="KZ87" s="627">
        <v>0</v>
      </c>
      <c r="LA87" s="627">
        <v>0</v>
      </c>
      <c r="LB87" s="627">
        <v>0</v>
      </c>
      <c r="LC87" s="627">
        <v>0</v>
      </c>
      <c r="LD87" s="627">
        <v>0</v>
      </c>
      <c r="LE87" s="627">
        <v>0</v>
      </c>
      <c r="LF87" s="627">
        <v>0</v>
      </c>
    </row>
    <row r="88" spans="1:318" x14ac:dyDescent="0.25">
      <c r="A88" s="627">
        <v>42602</v>
      </c>
      <c r="B88" s="627">
        <v>178808</v>
      </c>
      <c r="D88" s="627">
        <v>9</v>
      </c>
      <c r="E88" s="627">
        <v>2024</v>
      </c>
      <c r="F88" s="627">
        <v>6160</v>
      </c>
      <c r="G88" s="627">
        <v>0</v>
      </c>
      <c r="H88" s="627">
        <v>385.36</v>
      </c>
      <c r="I88" s="627">
        <v>371.803</v>
      </c>
      <c r="J88" s="627">
        <v>371.803</v>
      </c>
      <c r="K88" s="627">
        <v>385.36</v>
      </c>
      <c r="L88" s="627">
        <v>0</v>
      </c>
      <c r="M88" s="627">
        <v>6160</v>
      </c>
      <c r="N88" s="627">
        <v>0</v>
      </c>
      <c r="O88" s="627">
        <v>0</v>
      </c>
      <c r="P88" s="627">
        <v>0</v>
      </c>
      <c r="Q88" s="627">
        <v>438.69800000000004</v>
      </c>
      <c r="R88" s="627">
        <v>0</v>
      </c>
      <c r="S88" s="627">
        <v>182009</v>
      </c>
      <c r="T88" s="627">
        <v>414.88400000000001</v>
      </c>
      <c r="U88" s="627">
        <v>0</v>
      </c>
      <c r="V88" s="627">
        <v>94456</v>
      </c>
      <c r="W88" s="627">
        <v>2.875</v>
      </c>
      <c r="X88" s="627">
        <v>1771</v>
      </c>
      <c r="Y88" s="627">
        <v>1771</v>
      </c>
      <c r="Z88" s="627">
        <v>0</v>
      </c>
      <c r="AA88" s="627">
        <v>0</v>
      </c>
      <c r="AB88" s="627">
        <v>0</v>
      </c>
      <c r="AC88" s="627">
        <v>0</v>
      </c>
      <c r="AD88" s="627">
        <v>0</v>
      </c>
      <c r="AE88" s="627" t="s">
        <v>314</v>
      </c>
      <c r="AF88" s="627">
        <v>0</v>
      </c>
      <c r="AG88" s="627">
        <v>0</v>
      </c>
      <c r="AH88" s="627">
        <v>0</v>
      </c>
      <c r="AI88" s="627">
        <v>0</v>
      </c>
      <c r="AJ88" s="627">
        <v>0</v>
      </c>
      <c r="AK88" s="627">
        <v>6160</v>
      </c>
      <c r="AL88" s="627" t="s">
        <v>651</v>
      </c>
      <c r="AM88" s="627" t="s">
        <v>99</v>
      </c>
      <c r="AN88" s="627">
        <v>0</v>
      </c>
      <c r="AO88" s="627">
        <v>0</v>
      </c>
      <c r="AP88" s="627">
        <v>0</v>
      </c>
      <c r="AQ88" s="627">
        <v>0</v>
      </c>
      <c r="AR88" s="627">
        <v>0</v>
      </c>
      <c r="AS88" s="627">
        <v>0</v>
      </c>
      <c r="AT88" s="627">
        <v>0</v>
      </c>
      <c r="AU88" s="627">
        <v>0</v>
      </c>
      <c r="AV88" s="627">
        <v>0</v>
      </c>
      <c r="AW88" s="627">
        <v>0</v>
      </c>
      <c r="AX88" s="627">
        <v>3465077</v>
      </c>
      <c r="AY88" s="627">
        <v>3404377</v>
      </c>
      <c r="AZ88" s="627">
        <v>1753933</v>
      </c>
      <c r="BA88" s="627">
        <v>182009</v>
      </c>
      <c r="BB88" s="627">
        <v>0</v>
      </c>
      <c r="BC88" s="627">
        <v>8095</v>
      </c>
      <c r="BD88" s="627">
        <v>8044</v>
      </c>
      <c r="BE88" s="627">
        <v>19</v>
      </c>
      <c r="BF88" s="627">
        <v>52</v>
      </c>
      <c r="BG88" s="627">
        <v>3068081</v>
      </c>
      <c r="BH88" s="627">
        <v>0</v>
      </c>
      <c r="BI88" s="627">
        <v>0</v>
      </c>
      <c r="BJ88" s="627">
        <v>0</v>
      </c>
      <c r="BK88" s="627">
        <v>12</v>
      </c>
      <c r="BL88" s="627">
        <v>0</v>
      </c>
      <c r="BM88" s="627">
        <v>0</v>
      </c>
      <c r="BN88" s="627">
        <v>0</v>
      </c>
      <c r="BO88" s="627">
        <v>0</v>
      </c>
      <c r="BP88" s="627">
        <v>0</v>
      </c>
      <c r="BQ88" s="627">
        <v>0</v>
      </c>
      <c r="BR88" s="627">
        <v>713</v>
      </c>
      <c r="BS88" s="627">
        <v>0</v>
      </c>
      <c r="BT88" s="627">
        <v>0</v>
      </c>
      <c r="BU88" s="627">
        <v>0</v>
      </c>
      <c r="BV88" s="627">
        <v>0</v>
      </c>
      <c r="BW88" s="627">
        <v>0</v>
      </c>
      <c r="BX88" s="627">
        <v>0</v>
      </c>
      <c r="BY88" s="627">
        <v>0</v>
      </c>
      <c r="BZ88" s="627">
        <v>0</v>
      </c>
      <c r="CA88" s="627">
        <v>0</v>
      </c>
      <c r="CB88" s="627">
        <v>0</v>
      </c>
      <c r="CC88" s="627">
        <v>0</v>
      </c>
      <c r="CD88" s="627">
        <v>0</v>
      </c>
      <c r="CE88" s="627">
        <v>0</v>
      </c>
      <c r="CF88" s="627">
        <v>0</v>
      </c>
      <c r="CG88" s="627">
        <v>0</v>
      </c>
      <c r="CH88" s="627">
        <v>0</v>
      </c>
      <c r="CI88" s="627">
        <v>61630</v>
      </c>
      <c r="CJ88" s="627">
        <v>0</v>
      </c>
      <c r="CK88" s="627">
        <v>4</v>
      </c>
      <c r="CL88" s="627">
        <v>0</v>
      </c>
      <c r="CM88" s="627">
        <v>0</v>
      </c>
      <c r="CN88" s="627">
        <v>0</v>
      </c>
      <c r="CO88" s="627">
        <v>0</v>
      </c>
      <c r="CP88" s="627">
        <v>1</v>
      </c>
      <c r="CQ88" s="627">
        <v>0</v>
      </c>
      <c r="CR88" s="627">
        <v>0</v>
      </c>
      <c r="CS88" s="627">
        <v>437.64</v>
      </c>
      <c r="CT88" s="627">
        <v>0</v>
      </c>
      <c r="CU88" s="627">
        <v>0</v>
      </c>
      <c r="CV88" s="627">
        <v>0</v>
      </c>
      <c r="CW88" s="627">
        <v>0</v>
      </c>
      <c r="CX88" s="627">
        <v>0</v>
      </c>
      <c r="CY88" s="627">
        <v>0</v>
      </c>
      <c r="CZ88" s="627">
        <v>0</v>
      </c>
      <c r="DA88" s="627">
        <v>0</v>
      </c>
      <c r="DB88" s="627">
        <v>0</v>
      </c>
      <c r="DC88" s="627">
        <v>2290306</v>
      </c>
      <c r="DD88" s="627">
        <v>0</v>
      </c>
      <c r="DE88" s="627">
        <v>0</v>
      </c>
      <c r="DF88" s="627">
        <v>15400</v>
      </c>
      <c r="DG88" s="627">
        <v>15400</v>
      </c>
      <c r="DH88" s="627">
        <v>2.5</v>
      </c>
      <c r="DI88" s="627">
        <v>0</v>
      </c>
      <c r="DJ88" s="627">
        <v>0</v>
      </c>
      <c r="DK88" s="627">
        <v>0</v>
      </c>
      <c r="DL88" s="627">
        <v>3026</v>
      </c>
      <c r="DM88" s="627">
        <v>0</v>
      </c>
      <c r="DN88" s="627">
        <v>257950</v>
      </c>
      <c r="DO88" s="627">
        <v>879</v>
      </c>
      <c r="DP88" s="627">
        <v>0</v>
      </c>
      <c r="DQ88" s="627">
        <v>0</v>
      </c>
      <c r="DR88" s="627">
        <v>0</v>
      </c>
      <c r="DS88" s="627">
        <v>0</v>
      </c>
      <c r="DT88" s="627">
        <v>0</v>
      </c>
      <c r="DU88" s="627">
        <v>0</v>
      </c>
      <c r="DV88" s="627">
        <v>0</v>
      </c>
      <c r="DW88" s="627">
        <v>0</v>
      </c>
      <c r="DX88" s="627">
        <v>0</v>
      </c>
      <c r="DY88" s="627">
        <v>0</v>
      </c>
      <c r="DZ88" s="627">
        <v>0</v>
      </c>
      <c r="EA88" s="627">
        <v>0</v>
      </c>
      <c r="EB88" s="627">
        <v>0</v>
      </c>
      <c r="EC88" s="627">
        <v>0</v>
      </c>
      <c r="ED88" s="627">
        <v>7.3380000000000001</v>
      </c>
      <c r="EE88" s="627">
        <v>51982</v>
      </c>
      <c r="EF88" s="627">
        <v>0</v>
      </c>
      <c r="EG88" s="627">
        <v>0</v>
      </c>
      <c r="EH88" s="627">
        <v>0</v>
      </c>
      <c r="EI88" s="627">
        <v>206847</v>
      </c>
      <c r="EJ88" s="627">
        <v>0</v>
      </c>
      <c r="EK88" s="627">
        <v>0</v>
      </c>
      <c r="EL88" s="627">
        <v>9.593</v>
      </c>
      <c r="EM88" s="627">
        <v>0</v>
      </c>
      <c r="EN88" s="627">
        <v>0</v>
      </c>
      <c r="EO88" s="627">
        <v>0.96</v>
      </c>
      <c r="EP88" s="627">
        <v>0</v>
      </c>
      <c r="EQ88" s="627">
        <v>0</v>
      </c>
      <c r="ER88" s="627">
        <v>10.553000000000001</v>
      </c>
      <c r="ES88" s="627">
        <v>0</v>
      </c>
      <c r="ET88" s="627">
        <v>33.579000000000001</v>
      </c>
      <c r="EU88" s="627">
        <v>0</v>
      </c>
      <c r="EV88" s="627">
        <v>0</v>
      </c>
      <c r="EW88" s="627">
        <v>0</v>
      </c>
      <c r="EX88" s="627">
        <v>0</v>
      </c>
      <c r="EY88" s="627">
        <v>0</v>
      </c>
      <c r="EZ88" s="627">
        <v>0</v>
      </c>
      <c r="FA88" s="627">
        <v>2886072</v>
      </c>
      <c r="FB88" s="627">
        <v>0</v>
      </c>
      <c r="FC88" s="627">
        <v>3067151</v>
      </c>
      <c r="FD88" s="627">
        <v>0</v>
      </c>
      <c r="FE88" s="627">
        <v>0</v>
      </c>
      <c r="FF88" s="627">
        <v>441792</v>
      </c>
      <c r="FG88" s="627">
        <v>76513</v>
      </c>
      <c r="FH88" s="627">
        <v>7.0280999999999996E-2</v>
      </c>
      <c r="FI88" s="627">
        <v>3.1172999999999999E-2</v>
      </c>
      <c r="FJ88" s="627">
        <v>0</v>
      </c>
      <c r="FK88" s="627">
        <v>0</v>
      </c>
      <c r="FL88" s="627">
        <v>498.065</v>
      </c>
      <c r="FM88" s="627">
        <v>3647086</v>
      </c>
      <c r="FN88" s="627">
        <v>0</v>
      </c>
      <c r="FO88" s="627">
        <v>0</v>
      </c>
      <c r="FP88" s="627">
        <v>0</v>
      </c>
      <c r="FQ88" s="627">
        <v>0</v>
      </c>
      <c r="FR88" s="627">
        <v>0</v>
      </c>
      <c r="FS88" s="627">
        <v>0</v>
      </c>
      <c r="FT88" s="627">
        <v>0</v>
      </c>
      <c r="FU88" s="627">
        <v>0</v>
      </c>
      <c r="FV88" s="627">
        <v>0</v>
      </c>
      <c r="FW88" s="627">
        <v>0</v>
      </c>
      <c r="FX88" s="627">
        <v>0</v>
      </c>
      <c r="FY88" s="627">
        <v>0</v>
      </c>
      <c r="FZ88" s="627">
        <v>0</v>
      </c>
      <c r="GA88" s="627">
        <v>0</v>
      </c>
      <c r="GB88" s="627">
        <v>0</v>
      </c>
      <c r="GC88" s="627">
        <v>27923</v>
      </c>
      <c r="GD88" s="627">
        <v>27923</v>
      </c>
      <c r="GE88" s="627">
        <v>3.004</v>
      </c>
      <c r="GF88" s="627">
        <v>0</v>
      </c>
      <c r="GG88" s="627">
        <v>0</v>
      </c>
      <c r="GH88" s="627">
        <v>0</v>
      </c>
      <c r="GI88" s="627">
        <v>0</v>
      </c>
      <c r="GJ88" s="627">
        <v>0</v>
      </c>
      <c r="GK88" s="627">
        <v>0</v>
      </c>
      <c r="GL88" s="627">
        <v>0</v>
      </c>
      <c r="GM88" s="627">
        <v>0</v>
      </c>
      <c r="GN88" s="627">
        <v>0</v>
      </c>
      <c r="GO88" s="627">
        <v>0</v>
      </c>
      <c r="GP88" s="627">
        <v>0</v>
      </c>
      <c r="GQ88" s="627">
        <v>0</v>
      </c>
      <c r="GR88" s="627">
        <v>3403447</v>
      </c>
      <c r="GS88" s="627">
        <v>0</v>
      </c>
      <c r="GT88" s="627">
        <v>0</v>
      </c>
      <c r="GU88" s="627">
        <v>0</v>
      </c>
      <c r="GV88" s="627">
        <v>0</v>
      </c>
      <c r="GW88" s="627">
        <v>0</v>
      </c>
      <c r="GX88" s="627">
        <v>0</v>
      </c>
      <c r="GY88" s="627">
        <v>0</v>
      </c>
      <c r="GZ88" s="627">
        <v>0</v>
      </c>
      <c r="HA88" s="627">
        <v>0</v>
      </c>
      <c r="HB88" s="627">
        <v>0</v>
      </c>
      <c r="HC88" s="627">
        <v>361151439</v>
      </c>
      <c r="HD88" s="627">
        <v>3.9981999999999997E-2</v>
      </c>
      <c r="HE88" s="627">
        <v>61630</v>
      </c>
      <c r="HF88" s="627">
        <v>0</v>
      </c>
      <c r="HG88" s="627">
        <v>409727</v>
      </c>
      <c r="HH88" s="627">
        <v>22176</v>
      </c>
      <c r="HI88" s="627">
        <v>0</v>
      </c>
      <c r="HJ88" s="627">
        <v>0</v>
      </c>
      <c r="HK88" s="627">
        <v>33854</v>
      </c>
      <c r="HL88" s="627">
        <v>0</v>
      </c>
      <c r="HM88" s="627">
        <v>0</v>
      </c>
      <c r="HN88" s="627">
        <v>0</v>
      </c>
      <c r="HO88" s="627">
        <v>0</v>
      </c>
      <c r="HP88" s="627">
        <v>0</v>
      </c>
      <c r="HQ88" s="627">
        <v>0</v>
      </c>
      <c r="HR88" s="627">
        <v>0</v>
      </c>
      <c r="HS88" s="627">
        <v>0</v>
      </c>
      <c r="HT88" s="627">
        <v>2885142</v>
      </c>
      <c r="HU88" s="627">
        <v>76513</v>
      </c>
      <c r="HV88" s="627">
        <v>0</v>
      </c>
      <c r="HW88" s="627">
        <v>0</v>
      </c>
      <c r="HX88" s="627">
        <v>0</v>
      </c>
      <c r="HY88" s="627">
        <v>9</v>
      </c>
      <c r="HZ88" s="627">
        <v>2</v>
      </c>
      <c r="IA88" s="627">
        <v>0</v>
      </c>
      <c r="IB88" s="627">
        <v>0</v>
      </c>
      <c r="IC88" s="627">
        <v>0</v>
      </c>
      <c r="ID88" s="627">
        <v>11</v>
      </c>
      <c r="IE88" s="627">
        <v>0</v>
      </c>
      <c r="IF88" s="627">
        <v>0</v>
      </c>
      <c r="IG88" s="627">
        <v>0</v>
      </c>
      <c r="IH88" s="627">
        <v>36</v>
      </c>
      <c r="II88" s="627">
        <v>0</v>
      </c>
      <c r="IJ88" s="627">
        <v>0</v>
      </c>
      <c r="IK88" s="627">
        <v>2.875</v>
      </c>
      <c r="IL88" s="627">
        <v>0</v>
      </c>
      <c r="IM88" s="627">
        <v>0</v>
      </c>
      <c r="IN88" s="627">
        <v>0</v>
      </c>
      <c r="IO88" s="627">
        <v>0</v>
      </c>
      <c r="IP88" s="627">
        <v>0</v>
      </c>
      <c r="IQ88" s="627">
        <v>0</v>
      </c>
      <c r="IR88" s="627">
        <v>2.875</v>
      </c>
      <c r="IS88" s="627">
        <v>1771</v>
      </c>
      <c r="IT88" s="627">
        <v>0</v>
      </c>
      <c r="IU88" s="627">
        <v>0</v>
      </c>
      <c r="IV88" s="627">
        <v>0</v>
      </c>
      <c r="IW88" s="627">
        <v>0</v>
      </c>
      <c r="IX88" s="627">
        <v>6160</v>
      </c>
      <c r="IY88" s="627">
        <v>0</v>
      </c>
      <c r="IZ88" s="627">
        <v>0</v>
      </c>
      <c r="JA88" s="627">
        <v>0</v>
      </c>
      <c r="JB88" s="627">
        <v>0</v>
      </c>
      <c r="JC88" s="627">
        <v>0</v>
      </c>
      <c r="JD88" s="627">
        <v>0</v>
      </c>
      <c r="JE88" s="627">
        <v>0</v>
      </c>
      <c r="JF88" s="627">
        <v>0</v>
      </c>
      <c r="JG88" s="627">
        <v>0</v>
      </c>
      <c r="JH88" s="627">
        <v>0</v>
      </c>
      <c r="JI88" s="627">
        <v>0</v>
      </c>
      <c r="JJ88" s="627">
        <v>0</v>
      </c>
      <c r="JK88" s="627">
        <v>0</v>
      </c>
      <c r="JL88" s="627">
        <v>0</v>
      </c>
      <c r="JM88" s="627">
        <v>0</v>
      </c>
      <c r="JN88" s="627">
        <v>0</v>
      </c>
      <c r="JO88" s="627">
        <v>32469</v>
      </c>
      <c r="JP88" s="627">
        <v>0</v>
      </c>
      <c r="JQ88" s="627">
        <v>3.004</v>
      </c>
      <c r="JR88" s="627">
        <v>0</v>
      </c>
      <c r="JS88" s="627">
        <v>0</v>
      </c>
      <c r="JT88" s="627">
        <v>27923</v>
      </c>
      <c r="JU88" s="627">
        <v>0</v>
      </c>
      <c r="JV88" s="627">
        <v>8193</v>
      </c>
      <c r="JW88" s="627">
        <v>0</v>
      </c>
      <c r="JX88" s="627">
        <v>0</v>
      </c>
      <c r="JY88" s="627">
        <v>0</v>
      </c>
      <c r="JZ88" s="627">
        <v>0</v>
      </c>
      <c r="KA88" s="627">
        <v>0</v>
      </c>
      <c r="KB88" s="627">
        <v>0</v>
      </c>
      <c r="KC88" s="627">
        <v>0</v>
      </c>
      <c r="KD88" s="627">
        <v>0</v>
      </c>
      <c r="KE88" s="627">
        <v>8193</v>
      </c>
      <c r="KF88" s="627">
        <v>7262</v>
      </c>
      <c r="KG88" s="627">
        <v>0</v>
      </c>
      <c r="KH88" s="627">
        <v>0</v>
      </c>
      <c r="KI88" s="627">
        <v>3403447</v>
      </c>
      <c r="KJ88" s="627">
        <v>0</v>
      </c>
      <c r="KK88" s="627">
        <v>15</v>
      </c>
      <c r="KL88" s="627">
        <v>21</v>
      </c>
      <c r="KM88" s="627">
        <v>9240</v>
      </c>
      <c r="KN88" s="627">
        <v>12936</v>
      </c>
      <c r="KO88" s="627">
        <v>0</v>
      </c>
      <c r="KP88" s="627">
        <v>0</v>
      </c>
      <c r="KQ88" s="627">
        <v>3403447</v>
      </c>
      <c r="KR88" s="627">
        <v>0</v>
      </c>
      <c r="KS88" s="627">
        <v>0</v>
      </c>
      <c r="KT88" s="627">
        <v>0</v>
      </c>
      <c r="KU88" s="627">
        <v>0</v>
      </c>
      <c r="KV88" s="627">
        <v>0</v>
      </c>
      <c r="KW88" s="627">
        <v>0</v>
      </c>
      <c r="KX88" s="627">
        <v>0</v>
      </c>
      <c r="KY88" s="627">
        <v>0</v>
      </c>
      <c r="KZ88" s="627">
        <v>0</v>
      </c>
      <c r="LA88" s="627">
        <v>0</v>
      </c>
      <c r="LB88" s="627">
        <v>0</v>
      </c>
      <c r="LC88" s="627">
        <v>0</v>
      </c>
      <c r="LD88" s="627">
        <v>0</v>
      </c>
      <c r="LE88" s="627">
        <v>0</v>
      </c>
      <c r="LF88" s="627">
        <v>0</v>
      </c>
    </row>
    <row r="89" spans="1:318" x14ac:dyDescent="0.25">
      <c r="A89" s="627">
        <v>42602</v>
      </c>
      <c r="B89" s="627">
        <v>15809</v>
      </c>
      <c r="D89" s="627">
        <v>9</v>
      </c>
      <c r="E89" s="627">
        <v>2024</v>
      </c>
      <c r="F89" s="627">
        <v>6160</v>
      </c>
      <c r="G89" s="627">
        <v>0</v>
      </c>
      <c r="H89" s="627">
        <v>166.06700000000001</v>
      </c>
      <c r="I89" s="627">
        <v>165.73400000000001</v>
      </c>
      <c r="J89" s="627">
        <v>165.73400000000001</v>
      </c>
      <c r="K89" s="627">
        <v>166.06700000000001</v>
      </c>
      <c r="L89" s="627">
        <v>0</v>
      </c>
      <c r="M89" s="627">
        <v>6160</v>
      </c>
      <c r="N89" s="627">
        <v>0</v>
      </c>
      <c r="O89" s="627">
        <v>0</v>
      </c>
      <c r="P89" s="627">
        <v>0</v>
      </c>
      <c r="Q89" s="627">
        <v>199.333</v>
      </c>
      <c r="R89" s="627">
        <v>0</v>
      </c>
      <c r="S89" s="627">
        <v>82700</v>
      </c>
      <c r="T89" s="627">
        <v>414.88400000000001</v>
      </c>
      <c r="U89" s="627">
        <v>0</v>
      </c>
      <c r="V89" s="627">
        <v>42919</v>
      </c>
      <c r="W89" s="627">
        <v>18.920000000000002</v>
      </c>
      <c r="X89" s="627">
        <v>11655</v>
      </c>
      <c r="Y89" s="627">
        <v>11655</v>
      </c>
      <c r="Z89" s="627">
        <v>0</v>
      </c>
      <c r="AA89" s="627">
        <v>0</v>
      </c>
      <c r="AB89" s="627">
        <v>0</v>
      </c>
      <c r="AC89" s="627">
        <v>0</v>
      </c>
      <c r="AD89" s="627">
        <v>0</v>
      </c>
      <c r="AE89" s="627" t="s">
        <v>314</v>
      </c>
      <c r="AF89" s="627">
        <v>0</v>
      </c>
      <c r="AG89" s="627">
        <v>0</v>
      </c>
      <c r="AH89" s="627">
        <v>0</v>
      </c>
      <c r="AI89" s="627">
        <v>0</v>
      </c>
      <c r="AJ89" s="627">
        <v>0</v>
      </c>
      <c r="AK89" s="627">
        <v>6160</v>
      </c>
      <c r="AL89" s="627" t="s">
        <v>651</v>
      </c>
      <c r="AM89" s="627" t="s">
        <v>37</v>
      </c>
      <c r="AN89" s="627">
        <v>0</v>
      </c>
      <c r="AO89" s="627">
        <v>0</v>
      </c>
      <c r="AP89" s="627">
        <v>0</v>
      </c>
      <c r="AQ89" s="627">
        <v>0</v>
      </c>
      <c r="AR89" s="627">
        <v>0</v>
      </c>
      <c r="AS89" s="627">
        <v>0</v>
      </c>
      <c r="AT89" s="627">
        <v>0</v>
      </c>
      <c r="AU89" s="627">
        <v>0</v>
      </c>
      <c r="AV89" s="627">
        <v>0</v>
      </c>
      <c r="AW89" s="627">
        <v>0</v>
      </c>
      <c r="AX89" s="627">
        <v>1822578</v>
      </c>
      <c r="AY89" s="627">
        <v>1796357</v>
      </c>
      <c r="AZ89" s="627">
        <v>1010792</v>
      </c>
      <c r="BA89" s="627">
        <v>82700</v>
      </c>
      <c r="BB89" s="627">
        <v>0</v>
      </c>
      <c r="BC89" s="627">
        <v>0</v>
      </c>
      <c r="BD89" s="627">
        <v>0</v>
      </c>
      <c r="BE89" s="627">
        <v>0</v>
      </c>
      <c r="BF89" s="627">
        <v>0</v>
      </c>
      <c r="BG89" s="627">
        <v>1607496</v>
      </c>
      <c r="BH89" s="627">
        <v>0</v>
      </c>
      <c r="BI89" s="627">
        <v>0</v>
      </c>
      <c r="BJ89" s="627">
        <v>0</v>
      </c>
      <c r="BK89" s="627">
        <v>12</v>
      </c>
      <c r="BL89" s="627">
        <v>0</v>
      </c>
      <c r="BM89" s="627">
        <v>0</v>
      </c>
      <c r="BN89" s="627">
        <v>0</v>
      </c>
      <c r="BO89" s="627">
        <v>0</v>
      </c>
      <c r="BP89" s="627">
        <v>0</v>
      </c>
      <c r="BQ89" s="627">
        <v>0</v>
      </c>
      <c r="BR89" s="627">
        <v>744</v>
      </c>
      <c r="BS89" s="627">
        <v>0</v>
      </c>
      <c r="BT89" s="627">
        <v>0</v>
      </c>
      <c r="BU89" s="627">
        <v>0</v>
      </c>
      <c r="BV89" s="627">
        <v>0</v>
      </c>
      <c r="BW89" s="627">
        <v>0</v>
      </c>
      <c r="BX89" s="627">
        <v>0</v>
      </c>
      <c r="BY89" s="627">
        <v>0</v>
      </c>
      <c r="BZ89" s="627">
        <v>0</v>
      </c>
      <c r="CA89" s="627">
        <v>0</v>
      </c>
      <c r="CB89" s="627">
        <v>0</v>
      </c>
      <c r="CC89" s="627">
        <v>0</v>
      </c>
      <c r="CD89" s="627">
        <v>0</v>
      </c>
      <c r="CE89" s="627">
        <v>0</v>
      </c>
      <c r="CF89" s="627">
        <v>0</v>
      </c>
      <c r="CG89" s="627">
        <v>0</v>
      </c>
      <c r="CH89" s="627">
        <v>0</v>
      </c>
      <c r="CI89" s="627">
        <v>26559</v>
      </c>
      <c r="CJ89" s="627">
        <v>0</v>
      </c>
      <c r="CK89" s="627">
        <v>4</v>
      </c>
      <c r="CL89" s="627">
        <v>0</v>
      </c>
      <c r="CM89" s="627">
        <v>0</v>
      </c>
      <c r="CN89" s="627">
        <v>0</v>
      </c>
      <c r="CO89" s="627">
        <v>0</v>
      </c>
      <c r="CP89" s="627">
        <v>1</v>
      </c>
      <c r="CQ89" s="627">
        <v>0</v>
      </c>
      <c r="CR89" s="627">
        <v>0</v>
      </c>
      <c r="CS89" s="627">
        <v>198.45000000000002</v>
      </c>
      <c r="CT89" s="627">
        <v>0</v>
      </c>
      <c r="CU89" s="627">
        <v>0</v>
      </c>
      <c r="CV89" s="627">
        <v>0</v>
      </c>
      <c r="CW89" s="627">
        <v>0</v>
      </c>
      <c r="CX89" s="627">
        <v>0</v>
      </c>
      <c r="CY89" s="627">
        <v>0</v>
      </c>
      <c r="CZ89" s="627">
        <v>0</v>
      </c>
      <c r="DA89" s="627">
        <v>0</v>
      </c>
      <c r="DB89" s="627">
        <v>0</v>
      </c>
      <c r="DC89" s="627">
        <v>864733</v>
      </c>
      <c r="DD89" s="627">
        <v>0</v>
      </c>
      <c r="DE89" s="627">
        <v>0</v>
      </c>
      <c r="DF89" s="627">
        <v>222684</v>
      </c>
      <c r="DG89" s="627">
        <v>222684</v>
      </c>
      <c r="DH89" s="627">
        <v>36.15</v>
      </c>
      <c r="DI89" s="627">
        <v>0</v>
      </c>
      <c r="DJ89" s="627">
        <v>0</v>
      </c>
      <c r="DK89" s="627">
        <v>0</v>
      </c>
      <c r="DL89" s="627">
        <v>3534</v>
      </c>
      <c r="DM89" s="627">
        <v>0</v>
      </c>
      <c r="DN89" s="627">
        <v>255237</v>
      </c>
      <c r="DO89" s="627">
        <v>338</v>
      </c>
      <c r="DP89" s="627">
        <v>0</v>
      </c>
      <c r="DQ89" s="627">
        <v>0</v>
      </c>
      <c r="DR89" s="627">
        <v>0</v>
      </c>
      <c r="DS89" s="627">
        <v>0</v>
      </c>
      <c r="DT89" s="627">
        <v>0</v>
      </c>
      <c r="DU89" s="627">
        <v>0</v>
      </c>
      <c r="DV89" s="627">
        <v>0</v>
      </c>
      <c r="DW89" s="627">
        <v>0</v>
      </c>
      <c r="DX89" s="627">
        <v>0</v>
      </c>
      <c r="DY89" s="627">
        <v>0</v>
      </c>
      <c r="DZ89" s="627">
        <v>0</v>
      </c>
      <c r="EA89" s="627">
        <v>0</v>
      </c>
      <c r="EB89" s="627">
        <v>0</v>
      </c>
      <c r="EC89" s="627">
        <v>0</v>
      </c>
      <c r="ED89" s="627">
        <v>12.582000000000001</v>
      </c>
      <c r="EE89" s="627">
        <v>89131</v>
      </c>
      <c r="EF89" s="627">
        <v>0</v>
      </c>
      <c r="EG89" s="627">
        <v>0</v>
      </c>
      <c r="EH89" s="627">
        <v>0</v>
      </c>
      <c r="EI89" s="627">
        <v>10256</v>
      </c>
      <c r="EJ89" s="627">
        <v>0</v>
      </c>
      <c r="EK89" s="627">
        <v>0</v>
      </c>
      <c r="EL89" s="627">
        <v>0</v>
      </c>
      <c r="EM89" s="627">
        <v>0</v>
      </c>
      <c r="EN89" s="627">
        <v>0</v>
      </c>
      <c r="EO89" s="627">
        <v>0.33300000000000002</v>
      </c>
      <c r="EP89" s="627">
        <v>0</v>
      </c>
      <c r="EQ89" s="627">
        <v>0</v>
      </c>
      <c r="ER89" s="627">
        <v>0.33300000000000002</v>
      </c>
      <c r="ES89" s="627">
        <v>0</v>
      </c>
      <c r="ET89" s="627">
        <v>1.665</v>
      </c>
      <c r="EU89" s="627">
        <v>0</v>
      </c>
      <c r="EV89" s="627">
        <v>0</v>
      </c>
      <c r="EW89" s="627">
        <v>0</v>
      </c>
      <c r="EX89" s="627">
        <v>0</v>
      </c>
      <c r="EY89" s="627">
        <v>0</v>
      </c>
      <c r="EZ89" s="627">
        <v>0</v>
      </c>
      <c r="FA89" s="627">
        <v>1524796</v>
      </c>
      <c r="FB89" s="627">
        <v>0</v>
      </c>
      <c r="FC89" s="627">
        <v>1607158</v>
      </c>
      <c r="FD89" s="627">
        <v>0</v>
      </c>
      <c r="FE89" s="627">
        <v>0</v>
      </c>
      <c r="FF89" s="627">
        <v>231473</v>
      </c>
      <c r="FG89" s="627">
        <v>40088</v>
      </c>
      <c r="FH89" s="627">
        <v>7.0280999999999996E-2</v>
      </c>
      <c r="FI89" s="627">
        <v>3.1172999999999999E-2</v>
      </c>
      <c r="FJ89" s="627">
        <v>0</v>
      </c>
      <c r="FK89" s="627">
        <v>0</v>
      </c>
      <c r="FL89" s="627">
        <v>260.95699999999999</v>
      </c>
      <c r="FM89" s="627">
        <v>1905278</v>
      </c>
      <c r="FN89" s="627">
        <v>0</v>
      </c>
      <c r="FO89" s="627">
        <v>0</v>
      </c>
      <c r="FP89" s="627">
        <v>0</v>
      </c>
      <c r="FQ89" s="627">
        <v>0</v>
      </c>
      <c r="FR89" s="627">
        <v>0</v>
      </c>
      <c r="FS89" s="627">
        <v>0</v>
      </c>
      <c r="FT89" s="627">
        <v>0</v>
      </c>
      <c r="FU89" s="627">
        <v>0</v>
      </c>
      <c r="FV89" s="627">
        <v>0</v>
      </c>
      <c r="FW89" s="627">
        <v>0</v>
      </c>
      <c r="FX89" s="627">
        <v>0</v>
      </c>
      <c r="FY89" s="627">
        <v>0</v>
      </c>
      <c r="FZ89" s="627">
        <v>0</v>
      </c>
      <c r="GA89" s="627">
        <v>0</v>
      </c>
      <c r="GB89" s="627">
        <v>0</v>
      </c>
      <c r="GC89" s="627">
        <v>0</v>
      </c>
      <c r="GD89" s="627">
        <v>0</v>
      </c>
      <c r="GE89" s="627">
        <v>0</v>
      </c>
      <c r="GF89" s="627">
        <v>0</v>
      </c>
      <c r="GG89" s="627">
        <v>0</v>
      </c>
      <c r="GH89" s="627">
        <v>0</v>
      </c>
      <c r="GI89" s="627">
        <v>0</v>
      </c>
      <c r="GJ89" s="627">
        <v>0</v>
      </c>
      <c r="GK89" s="627">
        <v>0</v>
      </c>
      <c r="GL89" s="627">
        <v>0</v>
      </c>
      <c r="GM89" s="627">
        <v>0</v>
      </c>
      <c r="GN89" s="627">
        <v>0</v>
      </c>
      <c r="GO89" s="627">
        <v>0</v>
      </c>
      <c r="GP89" s="627">
        <v>0</v>
      </c>
      <c r="GQ89" s="627">
        <v>0</v>
      </c>
      <c r="GR89" s="627">
        <v>1796019</v>
      </c>
      <c r="GS89" s="627">
        <v>0</v>
      </c>
      <c r="GT89" s="627">
        <v>0</v>
      </c>
      <c r="GU89" s="627">
        <v>0</v>
      </c>
      <c r="GV89" s="627">
        <v>0</v>
      </c>
      <c r="GW89" s="627">
        <v>0</v>
      </c>
      <c r="GX89" s="627">
        <v>0</v>
      </c>
      <c r="GY89" s="627">
        <v>0</v>
      </c>
      <c r="GZ89" s="627">
        <v>0</v>
      </c>
      <c r="HA89" s="627">
        <v>0</v>
      </c>
      <c r="HB89" s="627">
        <v>0</v>
      </c>
      <c r="HC89" s="627">
        <v>361151439</v>
      </c>
      <c r="HD89" s="627">
        <v>3.9981999999999997E-2</v>
      </c>
      <c r="HE89" s="627">
        <v>26559</v>
      </c>
      <c r="HF89" s="627">
        <v>0</v>
      </c>
      <c r="HG89" s="627">
        <v>182639</v>
      </c>
      <c r="HH89" s="627">
        <v>11088</v>
      </c>
      <c r="HI89" s="627">
        <v>42461</v>
      </c>
      <c r="HJ89" s="627">
        <v>0</v>
      </c>
      <c r="HK89" s="627">
        <v>16661</v>
      </c>
      <c r="HL89" s="627">
        <v>0</v>
      </c>
      <c r="HM89" s="627">
        <v>0</v>
      </c>
      <c r="HN89" s="627">
        <v>0</v>
      </c>
      <c r="HO89" s="627">
        <v>0</v>
      </c>
      <c r="HP89" s="627">
        <v>0</v>
      </c>
      <c r="HQ89" s="627">
        <v>0</v>
      </c>
      <c r="HR89" s="627">
        <v>0</v>
      </c>
      <c r="HS89" s="627">
        <v>0</v>
      </c>
      <c r="HT89" s="627">
        <v>1524458</v>
      </c>
      <c r="HU89" s="627">
        <v>40088</v>
      </c>
      <c r="HV89" s="627">
        <v>0</v>
      </c>
      <c r="HW89" s="627">
        <v>0</v>
      </c>
      <c r="HX89" s="627">
        <v>0</v>
      </c>
      <c r="HY89" s="627">
        <v>4</v>
      </c>
      <c r="HZ89" s="627">
        <v>9</v>
      </c>
      <c r="IA89" s="627">
        <v>15</v>
      </c>
      <c r="IB89" s="627">
        <v>27</v>
      </c>
      <c r="IC89" s="627">
        <v>81</v>
      </c>
      <c r="ID89" s="627">
        <v>136</v>
      </c>
      <c r="IE89" s="627">
        <v>0</v>
      </c>
      <c r="IF89" s="627">
        <v>0</v>
      </c>
      <c r="IG89" s="627">
        <v>0</v>
      </c>
      <c r="IH89" s="627">
        <v>18</v>
      </c>
      <c r="II89" s="627">
        <v>68.930000000000007</v>
      </c>
      <c r="IJ89" s="627">
        <v>0</v>
      </c>
      <c r="IK89" s="627">
        <v>18.920000000000002</v>
      </c>
      <c r="IL89" s="627">
        <v>0</v>
      </c>
      <c r="IM89" s="627">
        <v>0</v>
      </c>
      <c r="IN89" s="627">
        <v>0</v>
      </c>
      <c r="IO89" s="627">
        <v>0</v>
      </c>
      <c r="IP89" s="627">
        <v>0</v>
      </c>
      <c r="IQ89" s="627">
        <v>0</v>
      </c>
      <c r="IR89" s="627">
        <v>18.920000000000002</v>
      </c>
      <c r="IS89" s="627">
        <v>11655</v>
      </c>
      <c r="IT89" s="627">
        <v>0</v>
      </c>
      <c r="IU89" s="627">
        <v>0</v>
      </c>
      <c r="IV89" s="627">
        <v>0</v>
      </c>
      <c r="IW89" s="627">
        <v>0</v>
      </c>
      <c r="IX89" s="627">
        <v>6160</v>
      </c>
      <c r="IY89" s="627">
        <v>0</v>
      </c>
      <c r="IZ89" s="627">
        <v>0</v>
      </c>
      <c r="JA89" s="627">
        <v>0</v>
      </c>
      <c r="JB89" s="627">
        <v>0</v>
      </c>
      <c r="JC89" s="627">
        <v>0</v>
      </c>
      <c r="JD89" s="627">
        <v>0</v>
      </c>
      <c r="JE89" s="627">
        <v>0</v>
      </c>
      <c r="JF89" s="627">
        <v>0</v>
      </c>
      <c r="JG89" s="627">
        <v>0</v>
      </c>
      <c r="JH89" s="627">
        <v>0</v>
      </c>
      <c r="JI89" s="627">
        <v>0</v>
      </c>
      <c r="JJ89" s="627">
        <v>0</v>
      </c>
      <c r="JK89" s="627">
        <v>0</v>
      </c>
      <c r="JL89" s="627">
        <v>0</v>
      </c>
      <c r="JM89" s="627">
        <v>0</v>
      </c>
      <c r="JN89" s="627">
        <v>0</v>
      </c>
      <c r="JO89" s="627">
        <v>34493</v>
      </c>
      <c r="JP89" s="627">
        <v>0</v>
      </c>
      <c r="JQ89" s="627">
        <v>0</v>
      </c>
      <c r="JR89" s="627">
        <v>0</v>
      </c>
      <c r="JS89" s="627">
        <v>0</v>
      </c>
      <c r="JT89" s="627">
        <v>0</v>
      </c>
      <c r="JU89" s="627">
        <v>0</v>
      </c>
      <c r="JV89" s="627">
        <v>0</v>
      </c>
      <c r="JW89" s="627">
        <v>0</v>
      </c>
      <c r="JX89" s="627">
        <v>0</v>
      </c>
      <c r="JY89" s="627">
        <v>0</v>
      </c>
      <c r="JZ89" s="627">
        <v>0</v>
      </c>
      <c r="KA89" s="627">
        <v>0</v>
      </c>
      <c r="KB89" s="627">
        <v>0</v>
      </c>
      <c r="KC89" s="627">
        <v>0</v>
      </c>
      <c r="KD89" s="627">
        <v>0</v>
      </c>
      <c r="KE89" s="627">
        <v>0</v>
      </c>
      <c r="KF89" s="627">
        <v>7262</v>
      </c>
      <c r="KG89" s="627">
        <v>0</v>
      </c>
      <c r="KH89" s="627">
        <v>0</v>
      </c>
      <c r="KI89" s="627">
        <v>1796019</v>
      </c>
      <c r="KJ89" s="627">
        <v>0</v>
      </c>
      <c r="KK89" s="627">
        <v>10</v>
      </c>
      <c r="KL89" s="627">
        <v>8</v>
      </c>
      <c r="KM89" s="627">
        <v>6160</v>
      </c>
      <c r="KN89" s="627">
        <v>4928</v>
      </c>
      <c r="KO89" s="627">
        <v>0</v>
      </c>
      <c r="KP89" s="627">
        <v>0</v>
      </c>
      <c r="KQ89" s="627">
        <v>1796019</v>
      </c>
      <c r="KR89" s="627">
        <v>0</v>
      </c>
      <c r="KS89" s="627">
        <v>0</v>
      </c>
      <c r="KT89" s="627">
        <v>0</v>
      </c>
      <c r="KU89" s="627">
        <v>0</v>
      </c>
      <c r="KV89" s="627">
        <v>0</v>
      </c>
      <c r="KW89" s="627">
        <v>0</v>
      </c>
      <c r="KX89" s="627">
        <v>0</v>
      </c>
      <c r="KY89" s="627">
        <v>0</v>
      </c>
      <c r="KZ89" s="627">
        <v>0</v>
      </c>
      <c r="LA89" s="627">
        <v>0</v>
      </c>
      <c r="LB89" s="627">
        <v>0</v>
      </c>
      <c r="LC89" s="627">
        <v>0</v>
      </c>
      <c r="LD89" s="627">
        <v>0</v>
      </c>
      <c r="LE89" s="627">
        <v>0</v>
      </c>
      <c r="LF89" s="627">
        <v>0</v>
      </c>
    </row>
    <row r="90" spans="1:318" x14ac:dyDescent="0.25">
      <c r="A90" s="627">
        <v>42602</v>
      </c>
      <c r="B90" s="627">
        <v>57809</v>
      </c>
      <c r="D90" s="627">
        <v>9</v>
      </c>
      <c r="E90" s="627">
        <v>2024</v>
      </c>
      <c r="F90" s="627">
        <v>6160</v>
      </c>
      <c r="G90" s="627">
        <v>0</v>
      </c>
      <c r="H90" s="627">
        <v>64.268000000000001</v>
      </c>
      <c r="I90" s="627">
        <v>64.158000000000001</v>
      </c>
      <c r="J90" s="627">
        <v>64.158000000000001</v>
      </c>
      <c r="K90" s="627">
        <v>64.268000000000001</v>
      </c>
      <c r="L90" s="627">
        <v>0</v>
      </c>
      <c r="M90" s="627">
        <v>6160</v>
      </c>
      <c r="N90" s="627">
        <v>0</v>
      </c>
      <c r="O90" s="627">
        <v>0</v>
      </c>
      <c r="P90" s="627">
        <v>0</v>
      </c>
      <c r="Q90" s="627">
        <v>81.075000000000003</v>
      </c>
      <c r="R90" s="627">
        <v>0</v>
      </c>
      <c r="S90" s="627">
        <v>33637</v>
      </c>
      <c r="T90" s="627">
        <v>414.88400000000001</v>
      </c>
      <c r="U90" s="627">
        <v>0</v>
      </c>
      <c r="V90" s="627">
        <v>17457</v>
      </c>
      <c r="W90" s="627">
        <v>9.4510000000000005</v>
      </c>
      <c r="X90" s="627">
        <v>5822</v>
      </c>
      <c r="Y90" s="627">
        <v>5822</v>
      </c>
      <c r="Z90" s="627">
        <v>0</v>
      </c>
      <c r="AA90" s="627">
        <v>0</v>
      </c>
      <c r="AB90" s="627">
        <v>0</v>
      </c>
      <c r="AC90" s="627">
        <v>0</v>
      </c>
      <c r="AD90" s="627">
        <v>0</v>
      </c>
      <c r="AE90" s="627" t="s">
        <v>314</v>
      </c>
      <c r="AF90" s="627">
        <v>0</v>
      </c>
      <c r="AG90" s="627">
        <v>0</v>
      </c>
      <c r="AH90" s="627">
        <v>0</v>
      </c>
      <c r="AI90" s="627">
        <v>0</v>
      </c>
      <c r="AJ90" s="627">
        <v>0</v>
      </c>
      <c r="AK90" s="627">
        <v>6160</v>
      </c>
      <c r="AL90" s="627" t="s">
        <v>651</v>
      </c>
      <c r="AM90" s="627" t="s">
        <v>325</v>
      </c>
      <c r="AN90" s="627">
        <v>0</v>
      </c>
      <c r="AO90" s="627">
        <v>0</v>
      </c>
      <c r="AP90" s="627">
        <v>0</v>
      </c>
      <c r="AQ90" s="627">
        <v>0</v>
      </c>
      <c r="AR90" s="627">
        <v>0</v>
      </c>
      <c r="AS90" s="627">
        <v>0</v>
      </c>
      <c r="AT90" s="627">
        <v>0</v>
      </c>
      <c r="AU90" s="627">
        <v>0</v>
      </c>
      <c r="AV90" s="627">
        <v>0</v>
      </c>
      <c r="AW90" s="627">
        <v>0</v>
      </c>
      <c r="AX90" s="627">
        <v>737504</v>
      </c>
      <c r="AY90" s="627">
        <v>727238</v>
      </c>
      <c r="AZ90" s="627">
        <v>396301</v>
      </c>
      <c r="BA90" s="627">
        <v>33637</v>
      </c>
      <c r="BB90" s="627">
        <v>6</v>
      </c>
      <c r="BC90" s="627">
        <v>0</v>
      </c>
      <c r="BD90" s="627">
        <v>0</v>
      </c>
      <c r="BE90" s="627">
        <v>0</v>
      </c>
      <c r="BF90" s="627">
        <v>0</v>
      </c>
      <c r="BG90" s="627">
        <v>650913</v>
      </c>
      <c r="BH90" s="627">
        <v>0</v>
      </c>
      <c r="BI90" s="627">
        <v>0</v>
      </c>
      <c r="BJ90" s="627">
        <v>0</v>
      </c>
      <c r="BK90" s="627">
        <v>12</v>
      </c>
      <c r="BL90" s="627">
        <v>0</v>
      </c>
      <c r="BM90" s="627">
        <v>0</v>
      </c>
      <c r="BN90" s="627">
        <v>0</v>
      </c>
      <c r="BO90" s="627">
        <v>0</v>
      </c>
      <c r="BP90" s="627">
        <v>0</v>
      </c>
      <c r="BQ90" s="627">
        <v>0</v>
      </c>
      <c r="BR90" s="627">
        <v>760</v>
      </c>
      <c r="BS90" s="627">
        <v>0</v>
      </c>
      <c r="BT90" s="627">
        <v>0</v>
      </c>
      <c r="BU90" s="627">
        <v>0</v>
      </c>
      <c r="BV90" s="627">
        <v>0</v>
      </c>
      <c r="BW90" s="627">
        <v>0</v>
      </c>
      <c r="BX90" s="627">
        <v>0</v>
      </c>
      <c r="BY90" s="627">
        <v>0</v>
      </c>
      <c r="BZ90" s="627">
        <v>0</v>
      </c>
      <c r="CA90" s="627">
        <v>0</v>
      </c>
      <c r="CB90" s="627">
        <v>0</v>
      </c>
      <c r="CC90" s="627">
        <v>0</v>
      </c>
      <c r="CD90" s="627">
        <v>0</v>
      </c>
      <c r="CE90" s="627">
        <v>0</v>
      </c>
      <c r="CF90" s="627">
        <v>0</v>
      </c>
      <c r="CG90" s="627">
        <v>0</v>
      </c>
      <c r="CH90" s="627">
        <v>0</v>
      </c>
      <c r="CI90" s="627">
        <v>10278</v>
      </c>
      <c r="CJ90" s="627">
        <v>0</v>
      </c>
      <c r="CK90" s="627">
        <v>4</v>
      </c>
      <c r="CL90" s="627">
        <v>0</v>
      </c>
      <c r="CM90" s="627">
        <v>0</v>
      </c>
      <c r="CN90" s="627">
        <v>0</v>
      </c>
      <c r="CO90" s="627">
        <v>0</v>
      </c>
      <c r="CP90" s="627">
        <v>1</v>
      </c>
      <c r="CQ90" s="627">
        <v>0</v>
      </c>
      <c r="CR90" s="627">
        <v>0</v>
      </c>
      <c r="CS90" s="627">
        <v>80.930000000000007</v>
      </c>
      <c r="CT90" s="627">
        <v>0</v>
      </c>
      <c r="CU90" s="627">
        <v>0</v>
      </c>
      <c r="CV90" s="627">
        <v>0</v>
      </c>
      <c r="CW90" s="627">
        <v>0</v>
      </c>
      <c r="CX90" s="627">
        <v>0</v>
      </c>
      <c r="CY90" s="627">
        <v>0</v>
      </c>
      <c r="CZ90" s="627">
        <v>0</v>
      </c>
      <c r="DA90" s="627">
        <v>0</v>
      </c>
      <c r="DB90" s="627">
        <v>0</v>
      </c>
      <c r="DC90" s="627">
        <v>379268</v>
      </c>
      <c r="DD90" s="627">
        <v>0</v>
      </c>
      <c r="DE90" s="627">
        <v>0</v>
      </c>
      <c r="DF90" s="627">
        <v>130823</v>
      </c>
      <c r="DG90" s="627">
        <v>130823</v>
      </c>
      <c r="DH90" s="627">
        <v>21.238</v>
      </c>
      <c r="DI90" s="627">
        <v>0</v>
      </c>
      <c r="DJ90" s="627">
        <v>0</v>
      </c>
      <c r="DK90" s="627">
        <v>0</v>
      </c>
      <c r="DL90" s="627">
        <v>3784</v>
      </c>
      <c r="DM90" s="627">
        <v>0</v>
      </c>
      <c r="DN90" s="627">
        <v>19321</v>
      </c>
      <c r="DO90" s="627">
        <v>12</v>
      </c>
      <c r="DP90" s="627">
        <v>0</v>
      </c>
      <c r="DQ90" s="627">
        <v>0</v>
      </c>
      <c r="DR90" s="627">
        <v>0</v>
      </c>
      <c r="DS90" s="627">
        <v>0</v>
      </c>
      <c r="DT90" s="627">
        <v>0</v>
      </c>
      <c r="DU90" s="627">
        <v>0</v>
      </c>
      <c r="DV90" s="627">
        <v>0</v>
      </c>
      <c r="DW90" s="627">
        <v>0</v>
      </c>
      <c r="DX90" s="627">
        <v>0</v>
      </c>
      <c r="DY90" s="627">
        <v>0</v>
      </c>
      <c r="DZ90" s="627">
        <v>0</v>
      </c>
      <c r="EA90" s="627">
        <v>0</v>
      </c>
      <c r="EB90" s="627">
        <v>0</v>
      </c>
      <c r="EC90" s="627">
        <v>0</v>
      </c>
      <c r="ED90" s="627">
        <v>0</v>
      </c>
      <c r="EE90" s="627">
        <v>0</v>
      </c>
      <c r="EF90" s="627">
        <v>0</v>
      </c>
      <c r="EG90" s="627">
        <v>0</v>
      </c>
      <c r="EH90" s="627">
        <v>0</v>
      </c>
      <c r="EI90" s="627">
        <v>3388</v>
      </c>
      <c r="EJ90" s="627">
        <v>0</v>
      </c>
      <c r="EK90" s="627">
        <v>0</v>
      </c>
      <c r="EL90" s="627">
        <v>0</v>
      </c>
      <c r="EM90" s="627">
        <v>0</v>
      </c>
      <c r="EN90" s="627">
        <v>0</v>
      </c>
      <c r="EO90" s="627">
        <v>0.11</v>
      </c>
      <c r="EP90" s="627">
        <v>0</v>
      </c>
      <c r="EQ90" s="627">
        <v>0</v>
      </c>
      <c r="ER90" s="627">
        <v>0.11</v>
      </c>
      <c r="ES90" s="627">
        <v>0</v>
      </c>
      <c r="ET90" s="627">
        <v>0.55000000000000004</v>
      </c>
      <c r="EU90" s="627">
        <v>0</v>
      </c>
      <c r="EV90" s="627">
        <v>0</v>
      </c>
      <c r="EW90" s="627">
        <v>0</v>
      </c>
      <c r="EX90" s="627">
        <v>0</v>
      </c>
      <c r="EY90" s="627">
        <v>0</v>
      </c>
      <c r="EZ90" s="627">
        <v>0</v>
      </c>
      <c r="FA90" s="627">
        <v>617276</v>
      </c>
      <c r="FB90" s="627">
        <v>0</v>
      </c>
      <c r="FC90" s="627">
        <v>650901</v>
      </c>
      <c r="FD90" s="627">
        <v>0</v>
      </c>
      <c r="FE90" s="627">
        <v>0</v>
      </c>
      <c r="FF90" s="627">
        <v>93729</v>
      </c>
      <c r="FG90" s="627">
        <v>16233</v>
      </c>
      <c r="FH90" s="627">
        <v>7.0280999999999996E-2</v>
      </c>
      <c r="FI90" s="627">
        <v>3.1172999999999999E-2</v>
      </c>
      <c r="FJ90" s="627">
        <v>0</v>
      </c>
      <c r="FK90" s="627">
        <v>0</v>
      </c>
      <c r="FL90" s="627">
        <v>105.66800000000001</v>
      </c>
      <c r="FM90" s="627">
        <v>771141</v>
      </c>
      <c r="FN90" s="627">
        <v>0</v>
      </c>
      <c r="FO90" s="627">
        <v>0</v>
      </c>
      <c r="FP90" s="627">
        <v>0</v>
      </c>
      <c r="FQ90" s="627">
        <v>0</v>
      </c>
      <c r="FR90" s="627">
        <v>0</v>
      </c>
      <c r="FS90" s="627">
        <v>0</v>
      </c>
      <c r="FT90" s="627">
        <v>0</v>
      </c>
      <c r="FU90" s="627">
        <v>0</v>
      </c>
      <c r="FV90" s="627">
        <v>0</v>
      </c>
      <c r="FW90" s="627">
        <v>0</v>
      </c>
      <c r="FX90" s="627">
        <v>0</v>
      </c>
      <c r="FY90" s="627">
        <v>0</v>
      </c>
      <c r="FZ90" s="627">
        <v>0</v>
      </c>
      <c r="GA90" s="627">
        <v>0</v>
      </c>
      <c r="GB90" s="627">
        <v>0</v>
      </c>
      <c r="GC90" s="627">
        <v>0</v>
      </c>
      <c r="GD90" s="627">
        <v>0</v>
      </c>
      <c r="GE90" s="627">
        <v>0</v>
      </c>
      <c r="GF90" s="627">
        <v>0</v>
      </c>
      <c r="GG90" s="627">
        <v>0</v>
      </c>
      <c r="GH90" s="627">
        <v>0</v>
      </c>
      <c r="GI90" s="627">
        <v>0</v>
      </c>
      <c r="GJ90" s="627">
        <v>0</v>
      </c>
      <c r="GK90" s="627">
        <v>0</v>
      </c>
      <c r="GL90" s="627">
        <v>0</v>
      </c>
      <c r="GM90" s="627">
        <v>0</v>
      </c>
      <c r="GN90" s="627">
        <v>0</v>
      </c>
      <c r="GO90" s="627">
        <v>0</v>
      </c>
      <c r="GP90" s="627">
        <v>0</v>
      </c>
      <c r="GQ90" s="627">
        <v>0</v>
      </c>
      <c r="GR90" s="627">
        <v>727226</v>
      </c>
      <c r="GS90" s="627">
        <v>0</v>
      </c>
      <c r="GT90" s="627">
        <v>0</v>
      </c>
      <c r="GU90" s="627">
        <v>0</v>
      </c>
      <c r="GV90" s="627">
        <v>0</v>
      </c>
      <c r="GW90" s="627">
        <v>0</v>
      </c>
      <c r="GX90" s="627">
        <v>0</v>
      </c>
      <c r="GY90" s="627">
        <v>0</v>
      </c>
      <c r="GZ90" s="627">
        <v>0</v>
      </c>
      <c r="HA90" s="627">
        <v>0</v>
      </c>
      <c r="HB90" s="627">
        <v>0</v>
      </c>
      <c r="HC90" s="627">
        <v>361151439</v>
      </c>
      <c r="HD90" s="627">
        <v>3.9981999999999997E-2</v>
      </c>
      <c r="HE90" s="627">
        <v>10278</v>
      </c>
      <c r="HF90" s="627">
        <v>0</v>
      </c>
      <c r="HG90" s="627">
        <v>70702</v>
      </c>
      <c r="HH90" s="627">
        <v>1232</v>
      </c>
      <c r="HI90" s="627">
        <v>28090</v>
      </c>
      <c r="HJ90" s="627">
        <v>0</v>
      </c>
      <c r="HK90" s="627">
        <v>15643</v>
      </c>
      <c r="HL90" s="627">
        <v>0</v>
      </c>
      <c r="HM90" s="627">
        <v>0</v>
      </c>
      <c r="HN90" s="627">
        <v>0</v>
      </c>
      <c r="HO90" s="627">
        <v>0</v>
      </c>
      <c r="HP90" s="627">
        <v>0</v>
      </c>
      <c r="HQ90" s="627">
        <v>0</v>
      </c>
      <c r="HR90" s="627">
        <v>0</v>
      </c>
      <c r="HS90" s="627">
        <v>0</v>
      </c>
      <c r="HT90" s="627">
        <v>617264</v>
      </c>
      <c r="HU90" s="627">
        <v>16233</v>
      </c>
      <c r="HV90" s="627">
        <v>0</v>
      </c>
      <c r="HW90" s="627">
        <v>0</v>
      </c>
      <c r="HX90" s="627">
        <v>0</v>
      </c>
      <c r="HY90" s="627">
        <v>6</v>
      </c>
      <c r="HZ90" s="627">
        <v>4</v>
      </c>
      <c r="IA90" s="627">
        <v>13</v>
      </c>
      <c r="IB90" s="627">
        <v>21</v>
      </c>
      <c r="IC90" s="627">
        <v>37</v>
      </c>
      <c r="ID90" s="627">
        <v>81</v>
      </c>
      <c r="IE90" s="627">
        <v>0</v>
      </c>
      <c r="IF90" s="627">
        <v>0</v>
      </c>
      <c r="IG90" s="627">
        <v>0</v>
      </c>
      <c r="IH90" s="627">
        <v>2</v>
      </c>
      <c r="II90" s="627">
        <v>45.6</v>
      </c>
      <c r="IJ90" s="627">
        <v>0</v>
      </c>
      <c r="IK90" s="627">
        <v>9.4510000000000005</v>
      </c>
      <c r="IL90" s="627">
        <v>0</v>
      </c>
      <c r="IM90" s="627">
        <v>0</v>
      </c>
      <c r="IN90" s="627">
        <v>0</v>
      </c>
      <c r="IO90" s="627">
        <v>0</v>
      </c>
      <c r="IP90" s="627">
        <v>0</v>
      </c>
      <c r="IQ90" s="627">
        <v>0</v>
      </c>
      <c r="IR90" s="627">
        <v>9.4510000000000005</v>
      </c>
      <c r="IS90" s="627">
        <v>5822</v>
      </c>
      <c r="IT90" s="627">
        <v>0</v>
      </c>
      <c r="IU90" s="627">
        <v>0</v>
      </c>
      <c r="IV90" s="627">
        <v>0</v>
      </c>
      <c r="IW90" s="627">
        <v>0</v>
      </c>
      <c r="IX90" s="627">
        <v>6160</v>
      </c>
      <c r="IY90" s="627">
        <v>0</v>
      </c>
      <c r="IZ90" s="627">
        <v>0</v>
      </c>
      <c r="JA90" s="627">
        <v>0</v>
      </c>
      <c r="JB90" s="627">
        <v>0</v>
      </c>
      <c r="JC90" s="627">
        <v>0</v>
      </c>
      <c r="JD90" s="627">
        <v>0</v>
      </c>
      <c r="JE90" s="627">
        <v>0</v>
      </c>
      <c r="JF90" s="627">
        <v>0</v>
      </c>
      <c r="JG90" s="627">
        <v>0</v>
      </c>
      <c r="JH90" s="627">
        <v>0</v>
      </c>
      <c r="JI90" s="627">
        <v>0</v>
      </c>
      <c r="JJ90" s="627">
        <v>0</v>
      </c>
      <c r="JK90" s="627">
        <v>0</v>
      </c>
      <c r="JL90" s="627">
        <v>0</v>
      </c>
      <c r="JM90" s="627">
        <v>0</v>
      </c>
      <c r="JN90" s="627">
        <v>0</v>
      </c>
      <c r="JO90" s="627">
        <v>32469</v>
      </c>
      <c r="JP90" s="627">
        <v>0</v>
      </c>
      <c r="JQ90" s="627">
        <v>0</v>
      </c>
      <c r="JR90" s="627">
        <v>0</v>
      </c>
      <c r="JS90" s="627">
        <v>0</v>
      </c>
      <c r="JT90" s="627">
        <v>0</v>
      </c>
      <c r="JU90" s="627">
        <v>0</v>
      </c>
      <c r="JV90" s="627">
        <v>0</v>
      </c>
      <c r="JW90" s="627">
        <v>0</v>
      </c>
      <c r="JX90" s="627">
        <v>0</v>
      </c>
      <c r="JY90" s="627">
        <v>0</v>
      </c>
      <c r="JZ90" s="627">
        <v>0</v>
      </c>
      <c r="KA90" s="627">
        <v>0</v>
      </c>
      <c r="KB90" s="627">
        <v>0</v>
      </c>
      <c r="KC90" s="627">
        <v>0</v>
      </c>
      <c r="KD90" s="627">
        <v>0</v>
      </c>
      <c r="KE90" s="627">
        <v>0</v>
      </c>
      <c r="KF90" s="627">
        <v>7262</v>
      </c>
      <c r="KG90" s="627">
        <v>0</v>
      </c>
      <c r="KH90" s="627">
        <v>0</v>
      </c>
      <c r="KI90" s="627">
        <v>727226</v>
      </c>
      <c r="KJ90" s="627">
        <v>0</v>
      </c>
      <c r="KK90" s="627">
        <v>1</v>
      </c>
      <c r="KL90" s="627">
        <v>1</v>
      </c>
      <c r="KM90" s="627">
        <v>616</v>
      </c>
      <c r="KN90" s="627">
        <v>616</v>
      </c>
      <c r="KO90" s="627">
        <v>0</v>
      </c>
      <c r="KP90" s="627">
        <v>0</v>
      </c>
      <c r="KQ90" s="627">
        <v>727226</v>
      </c>
      <c r="KR90" s="627">
        <v>0</v>
      </c>
      <c r="KS90" s="627">
        <v>0</v>
      </c>
      <c r="KT90" s="627">
        <v>0</v>
      </c>
      <c r="KU90" s="627">
        <v>0</v>
      </c>
      <c r="KV90" s="627">
        <v>0</v>
      </c>
      <c r="KW90" s="627">
        <v>0</v>
      </c>
      <c r="KX90" s="627">
        <v>0</v>
      </c>
      <c r="KY90" s="627">
        <v>0</v>
      </c>
      <c r="KZ90" s="627">
        <v>0</v>
      </c>
      <c r="LA90" s="627">
        <v>0</v>
      </c>
      <c r="LB90" s="627">
        <v>0</v>
      </c>
      <c r="LC90" s="627">
        <v>0</v>
      </c>
      <c r="LD90" s="627">
        <v>0</v>
      </c>
      <c r="LE90" s="627">
        <v>0</v>
      </c>
      <c r="LF90" s="627">
        <v>0</v>
      </c>
    </row>
    <row r="91" spans="1:318" x14ac:dyDescent="0.25">
      <c r="A91" s="627">
        <v>42602</v>
      </c>
      <c r="B91" s="627">
        <v>71809</v>
      </c>
      <c r="D91" s="627">
        <v>9</v>
      </c>
      <c r="E91" s="627">
        <v>2024</v>
      </c>
      <c r="F91" s="627">
        <v>6160</v>
      </c>
      <c r="G91" s="627">
        <v>0</v>
      </c>
      <c r="H91" s="627">
        <v>288.947</v>
      </c>
      <c r="I91" s="627">
        <v>286.27199999999999</v>
      </c>
      <c r="J91" s="627">
        <v>286.27199999999999</v>
      </c>
      <c r="K91" s="627">
        <v>288.947</v>
      </c>
      <c r="L91" s="627">
        <v>0</v>
      </c>
      <c r="M91" s="627">
        <v>6160</v>
      </c>
      <c r="N91" s="627">
        <v>0</v>
      </c>
      <c r="O91" s="627">
        <v>0</v>
      </c>
      <c r="P91" s="627">
        <v>0</v>
      </c>
      <c r="Q91" s="627">
        <v>260.28700000000003</v>
      </c>
      <c r="R91" s="627">
        <v>0</v>
      </c>
      <c r="S91" s="627">
        <v>107989</v>
      </c>
      <c r="T91" s="627">
        <v>414.88400000000001</v>
      </c>
      <c r="U91" s="627">
        <v>0</v>
      </c>
      <c r="V91" s="627">
        <v>56041</v>
      </c>
      <c r="W91" s="627">
        <v>105.01300000000001</v>
      </c>
      <c r="X91" s="627">
        <v>64842</v>
      </c>
      <c r="Y91" s="627">
        <v>64842</v>
      </c>
      <c r="Z91" s="627">
        <v>0</v>
      </c>
      <c r="AA91" s="627">
        <v>0</v>
      </c>
      <c r="AB91" s="627">
        <v>0</v>
      </c>
      <c r="AC91" s="627">
        <v>0</v>
      </c>
      <c r="AD91" s="627">
        <v>0</v>
      </c>
      <c r="AE91" s="627" t="s">
        <v>314</v>
      </c>
      <c r="AF91" s="627">
        <v>0</v>
      </c>
      <c r="AG91" s="627">
        <v>0</v>
      </c>
      <c r="AH91" s="627">
        <v>0</v>
      </c>
      <c r="AI91" s="627">
        <v>0</v>
      </c>
      <c r="AJ91" s="627">
        <v>0</v>
      </c>
      <c r="AK91" s="627">
        <v>6160</v>
      </c>
      <c r="AL91" s="627" t="s">
        <v>651</v>
      </c>
      <c r="AM91" s="627" t="s">
        <v>338</v>
      </c>
      <c r="AN91" s="627">
        <v>0</v>
      </c>
      <c r="AO91" s="627">
        <v>0</v>
      </c>
      <c r="AP91" s="627">
        <v>0</v>
      </c>
      <c r="AQ91" s="627">
        <v>0</v>
      </c>
      <c r="AR91" s="627">
        <v>0</v>
      </c>
      <c r="AS91" s="627">
        <v>0</v>
      </c>
      <c r="AT91" s="627">
        <v>0</v>
      </c>
      <c r="AU91" s="627">
        <v>0</v>
      </c>
      <c r="AV91" s="627">
        <v>0</v>
      </c>
      <c r="AW91" s="627">
        <v>0</v>
      </c>
      <c r="AX91" s="627">
        <v>2938707</v>
      </c>
      <c r="AY91" s="627">
        <v>2892814</v>
      </c>
      <c r="AZ91" s="627">
        <v>1449243</v>
      </c>
      <c r="BA91" s="627">
        <v>107989</v>
      </c>
      <c r="BB91" s="627">
        <v>10.5</v>
      </c>
      <c r="BC91" s="627">
        <v>0</v>
      </c>
      <c r="BD91" s="627">
        <v>0</v>
      </c>
      <c r="BE91" s="627">
        <v>0</v>
      </c>
      <c r="BF91" s="627">
        <v>0</v>
      </c>
      <c r="BG91" s="627">
        <v>2567127</v>
      </c>
      <c r="BH91" s="627">
        <v>0</v>
      </c>
      <c r="BI91" s="627">
        <v>0</v>
      </c>
      <c r="BJ91" s="627">
        <v>0</v>
      </c>
      <c r="BK91" s="627">
        <v>12</v>
      </c>
      <c r="BL91" s="627">
        <v>0</v>
      </c>
      <c r="BM91" s="627">
        <v>0</v>
      </c>
      <c r="BN91" s="627">
        <v>0</v>
      </c>
      <c r="BO91" s="627">
        <v>0</v>
      </c>
      <c r="BP91" s="627">
        <v>0</v>
      </c>
      <c r="BQ91" s="627">
        <v>0</v>
      </c>
      <c r="BR91" s="627">
        <v>726</v>
      </c>
      <c r="BS91" s="627">
        <v>0</v>
      </c>
      <c r="BT91" s="627">
        <v>0</v>
      </c>
      <c r="BU91" s="627">
        <v>0</v>
      </c>
      <c r="BV91" s="627">
        <v>0</v>
      </c>
      <c r="BW91" s="627">
        <v>0</v>
      </c>
      <c r="BX91" s="627">
        <v>0</v>
      </c>
      <c r="BY91" s="627">
        <v>0</v>
      </c>
      <c r="BZ91" s="627">
        <v>0</v>
      </c>
      <c r="CA91" s="627">
        <v>0</v>
      </c>
      <c r="CB91" s="627">
        <v>0</v>
      </c>
      <c r="CC91" s="627">
        <v>0</v>
      </c>
      <c r="CD91" s="627">
        <v>0</v>
      </c>
      <c r="CE91" s="627">
        <v>0</v>
      </c>
      <c r="CF91" s="627">
        <v>0</v>
      </c>
      <c r="CG91" s="627">
        <v>0</v>
      </c>
      <c r="CH91" s="627">
        <v>0</v>
      </c>
      <c r="CI91" s="627">
        <v>46211</v>
      </c>
      <c r="CJ91" s="627">
        <v>0</v>
      </c>
      <c r="CK91" s="627">
        <v>4</v>
      </c>
      <c r="CL91" s="627">
        <v>0</v>
      </c>
      <c r="CM91" s="627">
        <v>0</v>
      </c>
      <c r="CN91" s="627">
        <v>0</v>
      </c>
      <c r="CO91" s="627">
        <v>0</v>
      </c>
      <c r="CP91" s="627">
        <v>1</v>
      </c>
      <c r="CQ91" s="627">
        <v>0</v>
      </c>
      <c r="CR91" s="627">
        <v>0</v>
      </c>
      <c r="CS91" s="627">
        <v>272.17900000000003</v>
      </c>
      <c r="CT91" s="627">
        <v>0</v>
      </c>
      <c r="CU91" s="627">
        <v>0</v>
      </c>
      <c r="CV91" s="627">
        <v>0</v>
      </c>
      <c r="CW91" s="627">
        <v>0</v>
      </c>
      <c r="CX91" s="627">
        <v>0</v>
      </c>
      <c r="CY91" s="627">
        <v>0</v>
      </c>
      <c r="CZ91" s="627">
        <v>0</v>
      </c>
      <c r="DA91" s="627">
        <v>0</v>
      </c>
      <c r="DB91" s="627">
        <v>0</v>
      </c>
      <c r="DC91" s="627">
        <v>1763436</v>
      </c>
      <c r="DD91" s="627">
        <v>0</v>
      </c>
      <c r="DE91" s="627">
        <v>0</v>
      </c>
      <c r="DF91" s="627">
        <v>252945</v>
      </c>
      <c r="DG91" s="627">
        <v>252945</v>
      </c>
      <c r="DH91" s="627">
        <v>41.063000000000002</v>
      </c>
      <c r="DI91" s="627">
        <v>0</v>
      </c>
      <c r="DJ91" s="627">
        <v>0</v>
      </c>
      <c r="DK91" s="627">
        <v>0</v>
      </c>
      <c r="DL91" s="627">
        <v>3237</v>
      </c>
      <c r="DM91" s="627">
        <v>0</v>
      </c>
      <c r="DN91" s="627">
        <v>93350</v>
      </c>
      <c r="DO91" s="627">
        <v>318</v>
      </c>
      <c r="DP91" s="627">
        <v>0</v>
      </c>
      <c r="DQ91" s="627">
        <v>0</v>
      </c>
      <c r="DR91" s="627">
        <v>0</v>
      </c>
      <c r="DS91" s="627">
        <v>0</v>
      </c>
      <c r="DT91" s="627">
        <v>0</v>
      </c>
      <c r="DU91" s="627">
        <v>0</v>
      </c>
      <c r="DV91" s="627">
        <v>0</v>
      </c>
      <c r="DW91" s="627">
        <v>0</v>
      </c>
      <c r="DX91" s="627">
        <v>0</v>
      </c>
      <c r="DY91" s="627">
        <v>0</v>
      </c>
      <c r="DZ91" s="627">
        <v>0</v>
      </c>
      <c r="EA91" s="627">
        <v>0</v>
      </c>
      <c r="EB91" s="627">
        <v>0</v>
      </c>
      <c r="EC91" s="627">
        <v>0</v>
      </c>
      <c r="ED91" s="627">
        <v>5.3050000000000006</v>
      </c>
      <c r="EE91" s="627">
        <v>37581</v>
      </c>
      <c r="EF91" s="627">
        <v>0</v>
      </c>
      <c r="EG91" s="627">
        <v>0</v>
      </c>
      <c r="EH91" s="627">
        <v>0</v>
      </c>
      <c r="EI91" s="627">
        <v>56087</v>
      </c>
      <c r="EJ91" s="627">
        <v>0</v>
      </c>
      <c r="EK91" s="627">
        <v>0</v>
      </c>
      <c r="EL91" s="627">
        <v>2.1350000000000002</v>
      </c>
      <c r="EM91" s="627">
        <v>0</v>
      </c>
      <c r="EN91" s="627">
        <v>0</v>
      </c>
      <c r="EO91" s="627">
        <v>0.54</v>
      </c>
      <c r="EP91" s="627">
        <v>0</v>
      </c>
      <c r="EQ91" s="627">
        <v>0</v>
      </c>
      <c r="ER91" s="627">
        <v>2.6750000000000003</v>
      </c>
      <c r="ES91" s="627">
        <v>0</v>
      </c>
      <c r="ET91" s="627">
        <v>9.1050000000000004</v>
      </c>
      <c r="EU91" s="627">
        <v>0</v>
      </c>
      <c r="EV91" s="627">
        <v>0</v>
      </c>
      <c r="EW91" s="627">
        <v>0</v>
      </c>
      <c r="EX91" s="627">
        <v>0</v>
      </c>
      <c r="EY91" s="627">
        <v>0</v>
      </c>
      <c r="EZ91" s="627">
        <v>0</v>
      </c>
      <c r="FA91" s="627">
        <v>2459138</v>
      </c>
      <c r="FB91" s="627">
        <v>0</v>
      </c>
      <c r="FC91" s="627">
        <v>2566809</v>
      </c>
      <c r="FD91" s="627">
        <v>0</v>
      </c>
      <c r="FE91" s="627">
        <v>0</v>
      </c>
      <c r="FF91" s="627">
        <v>369656</v>
      </c>
      <c r="FG91" s="627">
        <v>64020</v>
      </c>
      <c r="FH91" s="627">
        <v>7.0280999999999996E-2</v>
      </c>
      <c r="FI91" s="627">
        <v>3.1172999999999999E-2</v>
      </c>
      <c r="FJ91" s="627">
        <v>0</v>
      </c>
      <c r="FK91" s="627">
        <v>0</v>
      </c>
      <c r="FL91" s="627">
        <v>416.74100000000004</v>
      </c>
      <c r="FM91" s="627">
        <v>3046696</v>
      </c>
      <c r="FN91" s="627">
        <v>0</v>
      </c>
      <c r="FO91" s="627">
        <v>0</v>
      </c>
      <c r="FP91" s="627">
        <v>0</v>
      </c>
      <c r="FQ91" s="627">
        <v>0</v>
      </c>
      <c r="FR91" s="627">
        <v>0</v>
      </c>
      <c r="FS91" s="627">
        <v>0</v>
      </c>
      <c r="FT91" s="627">
        <v>0</v>
      </c>
      <c r="FU91" s="627">
        <v>0</v>
      </c>
      <c r="FV91" s="627">
        <v>0</v>
      </c>
      <c r="FW91" s="627">
        <v>0</v>
      </c>
      <c r="FX91" s="627">
        <v>0</v>
      </c>
      <c r="FY91" s="627">
        <v>0</v>
      </c>
      <c r="FZ91" s="627">
        <v>0</v>
      </c>
      <c r="GA91" s="627">
        <v>0</v>
      </c>
      <c r="GB91" s="627">
        <v>0</v>
      </c>
      <c r="GC91" s="627">
        <v>0</v>
      </c>
      <c r="GD91" s="627">
        <v>0</v>
      </c>
      <c r="GE91" s="627">
        <v>0</v>
      </c>
      <c r="GF91" s="627">
        <v>0</v>
      </c>
      <c r="GG91" s="627">
        <v>0</v>
      </c>
      <c r="GH91" s="627">
        <v>0</v>
      </c>
      <c r="GI91" s="627">
        <v>0</v>
      </c>
      <c r="GJ91" s="627">
        <v>0</v>
      </c>
      <c r="GK91" s="627">
        <v>0</v>
      </c>
      <c r="GL91" s="627">
        <v>0</v>
      </c>
      <c r="GM91" s="627">
        <v>0</v>
      </c>
      <c r="GN91" s="627">
        <v>0</v>
      </c>
      <c r="GO91" s="627">
        <v>0</v>
      </c>
      <c r="GP91" s="627">
        <v>0</v>
      </c>
      <c r="GQ91" s="627">
        <v>0</v>
      </c>
      <c r="GR91" s="627">
        <v>2892496</v>
      </c>
      <c r="GS91" s="627">
        <v>0</v>
      </c>
      <c r="GT91" s="627">
        <v>0</v>
      </c>
      <c r="GU91" s="627">
        <v>0</v>
      </c>
      <c r="GV91" s="627">
        <v>0</v>
      </c>
      <c r="GW91" s="627">
        <v>0</v>
      </c>
      <c r="GX91" s="627">
        <v>0</v>
      </c>
      <c r="GY91" s="627">
        <v>0</v>
      </c>
      <c r="GZ91" s="627">
        <v>0</v>
      </c>
      <c r="HA91" s="627">
        <v>0</v>
      </c>
      <c r="HB91" s="627">
        <v>0</v>
      </c>
      <c r="HC91" s="627">
        <v>361151439</v>
      </c>
      <c r="HD91" s="627">
        <v>3.9981999999999997E-2</v>
      </c>
      <c r="HE91" s="627">
        <v>46211</v>
      </c>
      <c r="HF91" s="627">
        <v>0</v>
      </c>
      <c r="HG91" s="627">
        <v>315472</v>
      </c>
      <c r="HH91" s="627">
        <v>616</v>
      </c>
      <c r="HI91" s="627">
        <v>58259</v>
      </c>
      <c r="HJ91" s="627">
        <v>0</v>
      </c>
      <c r="HK91" s="627">
        <v>17889</v>
      </c>
      <c r="HL91" s="627">
        <v>0</v>
      </c>
      <c r="HM91" s="627">
        <v>0</v>
      </c>
      <c r="HN91" s="627">
        <v>0</v>
      </c>
      <c r="HO91" s="627">
        <v>0</v>
      </c>
      <c r="HP91" s="627">
        <v>0</v>
      </c>
      <c r="HQ91" s="627">
        <v>0</v>
      </c>
      <c r="HR91" s="627">
        <v>0</v>
      </c>
      <c r="HS91" s="627">
        <v>0</v>
      </c>
      <c r="HT91" s="627">
        <v>2458820</v>
      </c>
      <c r="HU91" s="627">
        <v>64020</v>
      </c>
      <c r="HV91" s="627">
        <v>0</v>
      </c>
      <c r="HW91" s="627">
        <v>0</v>
      </c>
      <c r="HX91" s="627">
        <v>0</v>
      </c>
      <c r="HY91" s="627">
        <v>34</v>
      </c>
      <c r="HZ91" s="627">
        <v>57</v>
      </c>
      <c r="IA91" s="627">
        <v>39</v>
      </c>
      <c r="IB91" s="627">
        <v>26</v>
      </c>
      <c r="IC91" s="627">
        <v>12</v>
      </c>
      <c r="ID91" s="627">
        <v>168</v>
      </c>
      <c r="IE91" s="627">
        <v>0</v>
      </c>
      <c r="IF91" s="627">
        <v>0.16700000000000001</v>
      </c>
      <c r="IG91" s="627">
        <v>0</v>
      </c>
      <c r="IH91" s="627">
        <v>1</v>
      </c>
      <c r="II91" s="627">
        <v>94.576999999999998</v>
      </c>
      <c r="IJ91" s="627">
        <v>0</v>
      </c>
      <c r="IK91" s="627">
        <v>105.18</v>
      </c>
      <c r="IL91" s="627">
        <v>0</v>
      </c>
      <c r="IM91" s="627">
        <v>0</v>
      </c>
      <c r="IN91" s="627">
        <v>0</v>
      </c>
      <c r="IO91" s="627">
        <v>0</v>
      </c>
      <c r="IP91" s="627">
        <v>0</v>
      </c>
      <c r="IQ91" s="627">
        <v>0</v>
      </c>
      <c r="IR91" s="627">
        <v>105.01300000000001</v>
      </c>
      <c r="IS91" s="627">
        <v>64688</v>
      </c>
      <c r="IT91" s="627">
        <v>0</v>
      </c>
      <c r="IU91" s="627">
        <v>0</v>
      </c>
      <c r="IV91" s="627">
        <v>0</v>
      </c>
      <c r="IW91" s="627">
        <v>0</v>
      </c>
      <c r="IX91" s="627">
        <v>6160</v>
      </c>
      <c r="IY91" s="627">
        <v>154</v>
      </c>
      <c r="IZ91" s="627">
        <v>0</v>
      </c>
      <c r="JA91" s="627">
        <v>0</v>
      </c>
      <c r="JB91" s="627">
        <v>0</v>
      </c>
      <c r="JC91" s="627">
        <v>0</v>
      </c>
      <c r="JD91" s="627">
        <v>0</v>
      </c>
      <c r="JE91" s="627">
        <v>0</v>
      </c>
      <c r="JF91" s="627">
        <v>0</v>
      </c>
      <c r="JG91" s="627">
        <v>0</v>
      </c>
      <c r="JH91" s="627">
        <v>0</v>
      </c>
      <c r="JI91" s="627">
        <v>0</v>
      </c>
      <c r="JJ91" s="627">
        <v>0</v>
      </c>
      <c r="JK91" s="627">
        <v>0</v>
      </c>
      <c r="JL91" s="627">
        <v>0</v>
      </c>
      <c r="JM91" s="627">
        <v>0</v>
      </c>
      <c r="JN91" s="627">
        <v>0</v>
      </c>
      <c r="JO91" s="627">
        <v>32469</v>
      </c>
      <c r="JP91" s="627">
        <v>0</v>
      </c>
      <c r="JQ91" s="627">
        <v>0</v>
      </c>
      <c r="JR91" s="627">
        <v>0</v>
      </c>
      <c r="JS91" s="627">
        <v>0</v>
      </c>
      <c r="JT91" s="627">
        <v>0</v>
      </c>
      <c r="JU91" s="627">
        <v>0</v>
      </c>
      <c r="JV91" s="627">
        <v>0</v>
      </c>
      <c r="JW91" s="627">
        <v>0</v>
      </c>
      <c r="JX91" s="627">
        <v>0</v>
      </c>
      <c r="JY91" s="627">
        <v>0</v>
      </c>
      <c r="JZ91" s="627">
        <v>0</v>
      </c>
      <c r="KA91" s="627">
        <v>0</v>
      </c>
      <c r="KB91" s="627">
        <v>0</v>
      </c>
      <c r="KC91" s="627">
        <v>0</v>
      </c>
      <c r="KD91" s="627">
        <v>0</v>
      </c>
      <c r="KE91" s="627">
        <v>0</v>
      </c>
      <c r="KF91" s="627">
        <v>7262</v>
      </c>
      <c r="KG91" s="627">
        <v>0</v>
      </c>
      <c r="KH91" s="627">
        <v>0</v>
      </c>
      <c r="KI91" s="627">
        <v>2892496</v>
      </c>
      <c r="KJ91" s="627">
        <v>0</v>
      </c>
      <c r="KK91" s="627">
        <v>1</v>
      </c>
      <c r="KL91" s="627">
        <v>0</v>
      </c>
      <c r="KM91" s="627">
        <v>616</v>
      </c>
      <c r="KN91" s="627">
        <v>0</v>
      </c>
      <c r="KO91" s="627">
        <v>0</v>
      </c>
      <c r="KP91" s="627">
        <v>0</v>
      </c>
      <c r="KQ91" s="627">
        <v>2892496</v>
      </c>
      <c r="KR91" s="627">
        <v>0</v>
      </c>
      <c r="KS91" s="627">
        <v>0</v>
      </c>
      <c r="KT91" s="627">
        <v>0</v>
      </c>
      <c r="KU91" s="627">
        <v>0</v>
      </c>
      <c r="KV91" s="627">
        <v>0</v>
      </c>
      <c r="KW91" s="627">
        <v>0</v>
      </c>
      <c r="KX91" s="627">
        <v>0</v>
      </c>
      <c r="KY91" s="627">
        <v>0</v>
      </c>
      <c r="KZ91" s="627">
        <v>0</v>
      </c>
      <c r="LA91" s="627">
        <v>0</v>
      </c>
      <c r="LB91" s="627">
        <v>0</v>
      </c>
      <c r="LC91" s="627">
        <v>0</v>
      </c>
      <c r="LD91" s="627">
        <v>0</v>
      </c>
      <c r="LE91" s="627">
        <v>0</v>
      </c>
      <c r="LF91" s="627">
        <v>0</v>
      </c>
    </row>
    <row r="92" spans="1:318" x14ac:dyDescent="0.25">
      <c r="A92" s="627">
        <v>42602</v>
      </c>
      <c r="B92" s="627">
        <v>108809</v>
      </c>
      <c r="D92" s="627">
        <v>9</v>
      </c>
      <c r="E92" s="627">
        <v>2024</v>
      </c>
      <c r="F92" s="627">
        <v>6160</v>
      </c>
      <c r="G92" s="627">
        <v>0</v>
      </c>
      <c r="H92" s="627">
        <v>189.08200000000002</v>
      </c>
      <c r="I92" s="627">
        <v>181.00800000000001</v>
      </c>
      <c r="J92" s="627">
        <v>181.00800000000001</v>
      </c>
      <c r="K92" s="627">
        <v>189.08200000000002</v>
      </c>
      <c r="L92" s="627">
        <v>0</v>
      </c>
      <c r="M92" s="627">
        <v>6160</v>
      </c>
      <c r="N92" s="627">
        <v>0</v>
      </c>
      <c r="O92" s="627">
        <v>0</v>
      </c>
      <c r="P92" s="627">
        <v>0</v>
      </c>
      <c r="Q92" s="627">
        <v>229.82500000000002</v>
      </c>
      <c r="R92" s="627">
        <v>0</v>
      </c>
      <c r="S92" s="627">
        <v>95351</v>
      </c>
      <c r="T92" s="627">
        <v>414.88400000000001</v>
      </c>
      <c r="U92" s="627">
        <v>0</v>
      </c>
      <c r="V92" s="627">
        <v>49482</v>
      </c>
      <c r="W92" s="627">
        <v>117.545</v>
      </c>
      <c r="X92" s="627">
        <v>72408</v>
      </c>
      <c r="Y92" s="627">
        <v>72408</v>
      </c>
      <c r="Z92" s="627">
        <v>0</v>
      </c>
      <c r="AA92" s="627">
        <v>0</v>
      </c>
      <c r="AB92" s="627">
        <v>0</v>
      </c>
      <c r="AC92" s="627">
        <v>0</v>
      </c>
      <c r="AD92" s="627">
        <v>0</v>
      </c>
      <c r="AE92" s="627" t="s">
        <v>314</v>
      </c>
      <c r="AF92" s="627">
        <v>0</v>
      </c>
      <c r="AG92" s="627">
        <v>0</v>
      </c>
      <c r="AH92" s="627">
        <v>0</v>
      </c>
      <c r="AI92" s="627">
        <v>0</v>
      </c>
      <c r="AJ92" s="627">
        <v>0</v>
      </c>
      <c r="AK92" s="627">
        <v>6160</v>
      </c>
      <c r="AL92" s="627" t="s">
        <v>651</v>
      </c>
      <c r="AM92" s="627" t="s">
        <v>116</v>
      </c>
      <c r="AN92" s="627">
        <v>0</v>
      </c>
      <c r="AO92" s="627">
        <v>0</v>
      </c>
      <c r="AP92" s="627">
        <v>0</v>
      </c>
      <c r="AQ92" s="627">
        <v>0</v>
      </c>
      <c r="AR92" s="627">
        <v>0</v>
      </c>
      <c r="AS92" s="627">
        <v>0</v>
      </c>
      <c r="AT92" s="627">
        <v>0</v>
      </c>
      <c r="AU92" s="627">
        <v>0</v>
      </c>
      <c r="AV92" s="627">
        <v>0</v>
      </c>
      <c r="AW92" s="627">
        <v>0</v>
      </c>
      <c r="AX92" s="627">
        <v>2246765</v>
      </c>
      <c r="AY92" s="627">
        <v>2217212</v>
      </c>
      <c r="AZ92" s="627">
        <v>1169545</v>
      </c>
      <c r="BA92" s="627">
        <v>95351</v>
      </c>
      <c r="BB92" s="627">
        <v>0</v>
      </c>
      <c r="BC92" s="627">
        <v>3835</v>
      </c>
      <c r="BD92" s="627">
        <v>3810</v>
      </c>
      <c r="BE92" s="627">
        <v>9</v>
      </c>
      <c r="BF92" s="627">
        <v>24</v>
      </c>
      <c r="BG92" s="627">
        <v>1978351</v>
      </c>
      <c r="BH92" s="627">
        <v>0</v>
      </c>
      <c r="BI92" s="627">
        <v>0</v>
      </c>
      <c r="BJ92" s="627">
        <v>0</v>
      </c>
      <c r="BK92" s="627">
        <v>12</v>
      </c>
      <c r="BL92" s="627">
        <v>0</v>
      </c>
      <c r="BM92" s="627">
        <v>0</v>
      </c>
      <c r="BN92" s="627">
        <v>0</v>
      </c>
      <c r="BO92" s="627">
        <v>0</v>
      </c>
      <c r="BP92" s="627">
        <v>0</v>
      </c>
      <c r="BQ92" s="627">
        <v>0</v>
      </c>
      <c r="BR92" s="627">
        <v>742</v>
      </c>
      <c r="BS92" s="627">
        <v>0</v>
      </c>
      <c r="BT92" s="627">
        <v>0</v>
      </c>
      <c r="BU92" s="627">
        <v>0</v>
      </c>
      <c r="BV92" s="627">
        <v>0</v>
      </c>
      <c r="BW92" s="627">
        <v>0</v>
      </c>
      <c r="BX92" s="627">
        <v>0</v>
      </c>
      <c r="BY92" s="627">
        <v>0</v>
      </c>
      <c r="BZ92" s="627">
        <v>0</v>
      </c>
      <c r="CA92" s="627">
        <v>0</v>
      </c>
      <c r="CB92" s="627">
        <v>0</v>
      </c>
      <c r="CC92" s="627">
        <v>0</v>
      </c>
      <c r="CD92" s="627">
        <v>0</v>
      </c>
      <c r="CE92" s="627">
        <v>0</v>
      </c>
      <c r="CF92" s="627">
        <v>0</v>
      </c>
      <c r="CG92" s="627">
        <v>0</v>
      </c>
      <c r="CH92" s="627">
        <v>0</v>
      </c>
      <c r="CI92" s="627">
        <v>30240</v>
      </c>
      <c r="CJ92" s="627">
        <v>0</v>
      </c>
      <c r="CK92" s="627">
        <v>4</v>
      </c>
      <c r="CL92" s="627">
        <v>0</v>
      </c>
      <c r="CM92" s="627">
        <v>0</v>
      </c>
      <c r="CN92" s="627">
        <v>0</v>
      </c>
      <c r="CO92" s="627">
        <v>0</v>
      </c>
      <c r="CP92" s="627">
        <v>1</v>
      </c>
      <c r="CQ92" s="627">
        <v>0</v>
      </c>
      <c r="CR92" s="627">
        <v>0</v>
      </c>
      <c r="CS92" s="627">
        <v>229.51</v>
      </c>
      <c r="CT92" s="627">
        <v>0</v>
      </c>
      <c r="CU92" s="627">
        <v>0</v>
      </c>
      <c r="CV92" s="627">
        <v>0</v>
      </c>
      <c r="CW92" s="627">
        <v>0</v>
      </c>
      <c r="CX92" s="627">
        <v>0</v>
      </c>
      <c r="CY92" s="627">
        <v>0</v>
      </c>
      <c r="CZ92" s="627">
        <v>0</v>
      </c>
      <c r="DA92" s="627">
        <v>0</v>
      </c>
      <c r="DB92" s="627">
        <v>0</v>
      </c>
      <c r="DC92" s="627">
        <v>1077939</v>
      </c>
      <c r="DD92" s="627">
        <v>0</v>
      </c>
      <c r="DE92" s="627">
        <v>0</v>
      </c>
      <c r="DF92" s="627">
        <v>297605</v>
      </c>
      <c r="DG92" s="627">
        <v>297605</v>
      </c>
      <c r="DH92" s="627">
        <v>48.313000000000002</v>
      </c>
      <c r="DI92" s="627">
        <v>0</v>
      </c>
      <c r="DJ92" s="627">
        <v>0</v>
      </c>
      <c r="DK92" s="627">
        <v>0</v>
      </c>
      <c r="DL92" s="627">
        <v>3496</v>
      </c>
      <c r="DM92" s="627">
        <v>0</v>
      </c>
      <c r="DN92" s="627">
        <v>231467</v>
      </c>
      <c r="DO92" s="627">
        <v>663</v>
      </c>
      <c r="DP92" s="627">
        <v>0</v>
      </c>
      <c r="DQ92" s="627">
        <v>0</v>
      </c>
      <c r="DR92" s="627">
        <v>0</v>
      </c>
      <c r="DS92" s="627">
        <v>0</v>
      </c>
      <c r="DT92" s="627">
        <v>0</v>
      </c>
      <c r="DU92" s="627">
        <v>0</v>
      </c>
      <c r="DV92" s="627">
        <v>0</v>
      </c>
      <c r="DW92" s="627">
        <v>0</v>
      </c>
      <c r="DX92" s="627">
        <v>0</v>
      </c>
      <c r="DY92" s="627">
        <v>0</v>
      </c>
      <c r="DZ92" s="627">
        <v>0</v>
      </c>
      <c r="EA92" s="627">
        <v>0</v>
      </c>
      <c r="EB92" s="627">
        <v>0</v>
      </c>
      <c r="EC92" s="627">
        <v>0</v>
      </c>
      <c r="ED92" s="627">
        <v>5.7700000000000005</v>
      </c>
      <c r="EE92" s="627">
        <v>40875</v>
      </c>
      <c r="EF92" s="627">
        <v>0</v>
      </c>
      <c r="EG92" s="627">
        <v>0</v>
      </c>
      <c r="EH92" s="627">
        <v>0</v>
      </c>
      <c r="EI92" s="627">
        <v>154185</v>
      </c>
      <c r="EJ92" s="627">
        <v>0</v>
      </c>
      <c r="EK92" s="627">
        <v>0</v>
      </c>
      <c r="EL92" s="627">
        <v>7.5170000000000003</v>
      </c>
      <c r="EM92" s="627">
        <v>0</v>
      </c>
      <c r="EN92" s="627">
        <v>0.153</v>
      </c>
      <c r="EO92" s="627">
        <v>0.40400000000000003</v>
      </c>
      <c r="EP92" s="627">
        <v>0</v>
      </c>
      <c r="EQ92" s="627">
        <v>0</v>
      </c>
      <c r="ER92" s="627">
        <v>8.0739999999999998</v>
      </c>
      <c r="ES92" s="627">
        <v>0</v>
      </c>
      <c r="ET92" s="627">
        <v>25.03</v>
      </c>
      <c r="EU92" s="627">
        <v>0</v>
      </c>
      <c r="EV92" s="627">
        <v>0</v>
      </c>
      <c r="EW92" s="627">
        <v>0</v>
      </c>
      <c r="EX92" s="627">
        <v>0</v>
      </c>
      <c r="EY92" s="627">
        <v>0</v>
      </c>
      <c r="EZ92" s="627">
        <v>0</v>
      </c>
      <c r="FA92" s="627">
        <v>1883000</v>
      </c>
      <c r="FB92" s="627">
        <v>0</v>
      </c>
      <c r="FC92" s="627">
        <v>1977664</v>
      </c>
      <c r="FD92" s="627">
        <v>0</v>
      </c>
      <c r="FE92" s="627">
        <v>0</v>
      </c>
      <c r="FF92" s="627">
        <v>284875</v>
      </c>
      <c r="FG92" s="627">
        <v>49337</v>
      </c>
      <c r="FH92" s="627">
        <v>7.0280999999999996E-2</v>
      </c>
      <c r="FI92" s="627">
        <v>3.1172999999999999E-2</v>
      </c>
      <c r="FJ92" s="627">
        <v>0</v>
      </c>
      <c r="FK92" s="627">
        <v>0</v>
      </c>
      <c r="FL92" s="627">
        <v>321.161</v>
      </c>
      <c r="FM92" s="627">
        <v>2342116</v>
      </c>
      <c r="FN92" s="627">
        <v>0</v>
      </c>
      <c r="FO92" s="627">
        <v>0</v>
      </c>
      <c r="FP92" s="627">
        <v>0</v>
      </c>
      <c r="FQ92" s="627">
        <v>0</v>
      </c>
      <c r="FR92" s="627">
        <v>0</v>
      </c>
      <c r="FS92" s="627">
        <v>0</v>
      </c>
      <c r="FT92" s="627">
        <v>0</v>
      </c>
      <c r="FU92" s="627">
        <v>0</v>
      </c>
      <c r="FV92" s="627">
        <v>0</v>
      </c>
      <c r="FW92" s="627">
        <v>0</v>
      </c>
      <c r="FX92" s="627">
        <v>0</v>
      </c>
      <c r="FY92" s="627">
        <v>0</v>
      </c>
      <c r="FZ92" s="627">
        <v>0</v>
      </c>
      <c r="GA92" s="627">
        <v>0</v>
      </c>
      <c r="GB92" s="627">
        <v>0</v>
      </c>
      <c r="GC92" s="627">
        <v>0</v>
      </c>
      <c r="GD92" s="627">
        <v>0</v>
      </c>
      <c r="GE92" s="627">
        <v>0</v>
      </c>
      <c r="GF92" s="627">
        <v>0</v>
      </c>
      <c r="GG92" s="627">
        <v>0</v>
      </c>
      <c r="GH92" s="627">
        <v>0</v>
      </c>
      <c r="GI92" s="627">
        <v>0</v>
      </c>
      <c r="GJ92" s="627">
        <v>0</v>
      </c>
      <c r="GK92" s="627">
        <v>0</v>
      </c>
      <c r="GL92" s="627">
        <v>0</v>
      </c>
      <c r="GM92" s="627">
        <v>0</v>
      </c>
      <c r="GN92" s="627">
        <v>0</v>
      </c>
      <c r="GO92" s="627">
        <v>0</v>
      </c>
      <c r="GP92" s="627">
        <v>0</v>
      </c>
      <c r="GQ92" s="627">
        <v>0</v>
      </c>
      <c r="GR92" s="627">
        <v>2216525</v>
      </c>
      <c r="GS92" s="627">
        <v>0</v>
      </c>
      <c r="GT92" s="627">
        <v>0</v>
      </c>
      <c r="GU92" s="627">
        <v>0</v>
      </c>
      <c r="GV92" s="627">
        <v>0</v>
      </c>
      <c r="GW92" s="627">
        <v>0</v>
      </c>
      <c r="GX92" s="627">
        <v>0</v>
      </c>
      <c r="GY92" s="627">
        <v>0</v>
      </c>
      <c r="GZ92" s="627">
        <v>0</v>
      </c>
      <c r="HA92" s="627">
        <v>0</v>
      </c>
      <c r="HB92" s="627">
        <v>0</v>
      </c>
      <c r="HC92" s="627">
        <v>361151439</v>
      </c>
      <c r="HD92" s="627">
        <v>3.9981999999999997E-2</v>
      </c>
      <c r="HE92" s="627">
        <v>30240</v>
      </c>
      <c r="HF92" s="627">
        <v>0</v>
      </c>
      <c r="HG92" s="627">
        <v>199471</v>
      </c>
      <c r="HH92" s="627">
        <v>1848</v>
      </c>
      <c r="HI92" s="627">
        <v>76224</v>
      </c>
      <c r="HJ92" s="627">
        <v>0</v>
      </c>
      <c r="HK92" s="627">
        <v>16891</v>
      </c>
      <c r="HL92" s="627">
        <v>0</v>
      </c>
      <c r="HM92" s="627">
        <v>0</v>
      </c>
      <c r="HN92" s="627">
        <v>0</v>
      </c>
      <c r="HO92" s="627">
        <v>0</v>
      </c>
      <c r="HP92" s="627">
        <v>0</v>
      </c>
      <c r="HQ92" s="627">
        <v>0</v>
      </c>
      <c r="HR92" s="627">
        <v>0</v>
      </c>
      <c r="HS92" s="627">
        <v>0</v>
      </c>
      <c r="HT92" s="627">
        <v>1882313</v>
      </c>
      <c r="HU92" s="627">
        <v>49337</v>
      </c>
      <c r="HV92" s="627">
        <v>0</v>
      </c>
      <c r="HW92" s="627">
        <v>0</v>
      </c>
      <c r="HX92" s="627">
        <v>0</v>
      </c>
      <c r="HY92" s="627">
        <v>17</v>
      </c>
      <c r="HZ92" s="627">
        <v>21</v>
      </c>
      <c r="IA92" s="627">
        <v>69</v>
      </c>
      <c r="IB92" s="627">
        <v>46</v>
      </c>
      <c r="IC92" s="627">
        <v>37</v>
      </c>
      <c r="ID92" s="627">
        <v>190</v>
      </c>
      <c r="IE92" s="627">
        <v>0</v>
      </c>
      <c r="IF92" s="627">
        <v>0</v>
      </c>
      <c r="IG92" s="627">
        <v>0</v>
      </c>
      <c r="IH92" s="627">
        <v>3</v>
      </c>
      <c r="II92" s="627">
        <v>123.74000000000001</v>
      </c>
      <c r="IJ92" s="627">
        <v>0</v>
      </c>
      <c r="IK92" s="627">
        <v>117.545</v>
      </c>
      <c r="IL92" s="627">
        <v>0</v>
      </c>
      <c r="IM92" s="627">
        <v>0</v>
      </c>
      <c r="IN92" s="627">
        <v>0</v>
      </c>
      <c r="IO92" s="627">
        <v>0</v>
      </c>
      <c r="IP92" s="627">
        <v>0</v>
      </c>
      <c r="IQ92" s="627">
        <v>0</v>
      </c>
      <c r="IR92" s="627">
        <v>117.545</v>
      </c>
      <c r="IS92" s="627">
        <v>72408</v>
      </c>
      <c r="IT92" s="627">
        <v>0</v>
      </c>
      <c r="IU92" s="627">
        <v>0</v>
      </c>
      <c r="IV92" s="627">
        <v>0</v>
      </c>
      <c r="IW92" s="627">
        <v>0</v>
      </c>
      <c r="IX92" s="627">
        <v>6160</v>
      </c>
      <c r="IY92" s="627">
        <v>0</v>
      </c>
      <c r="IZ92" s="627">
        <v>0</v>
      </c>
      <c r="JA92" s="627">
        <v>0</v>
      </c>
      <c r="JB92" s="627">
        <v>0</v>
      </c>
      <c r="JC92" s="627">
        <v>0</v>
      </c>
      <c r="JD92" s="627">
        <v>0</v>
      </c>
      <c r="JE92" s="627">
        <v>0</v>
      </c>
      <c r="JF92" s="627">
        <v>0</v>
      </c>
      <c r="JG92" s="627">
        <v>0</v>
      </c>
      <c r="JH92" s="627">
        <v>0</v>
      </c>
      <c r="JI92" s="627">
        <v>0</v>
      </c>
      <c r="JJ92" s="627">
        <v>0</v>
      </c>
      <c r="JK92" s="627">
        <v>0</v>
      </c>
      <c r="JL92" s="627">
        <v>0</v>
      </c>
      <c r="JM92" s="627">
        <v>0</v>
      </c>
      <c r="JN92" s="627">
        <v>0</v>
      </c>
      <c r="JO92" s="627">
        <v>32469</v>
      </c>
      <c r="JP92" s="627">
        <v>0</v>
      </c>
      <c r="JQ92" s="627">
        <v>0</v>
      </c>
      <c r="JR92" s="627">
        <v>0</v>
      </c>
      <c r="JS92" s="627">
        <v>0</v>
      </c>
      <c r="JT92" s="627">
        <v>0</v>
      </c>
      <c r="JU92" s="627">
        <v>0</v>
      </c>
      <c r="JV92" s="627">
        <v>3881</v>
      </c>
      <c r="JW92" s="627">
        <v>0</v>
      </c>
      <c r="JX92" s="627">
        <v>0</v>
      </c>
      <c r="JY92" s="627">
        <v>0</v>
      </c>
      <c r="JZ92" s="627">
        <v>0</v>
      </c>
      <c r="KA92" s="627">
        <v>0</v>
      </c>
      <c r="KB92" s="627">
        <v>0</v>
      </c>
      <c r="KC92" s="627">
        <v>0</v>
      </c>
      <c r="KD92" s="627">
        <v>0</v>
      </c>
      <c r="KE92" s="627">
        <v>3881</v>
      </c>
      <c r="KF92" s="627">
        <v>7262</v>
      </c>
      <c r="KG92" s="627">
        <v>0</v>
      </c>
      <c r="KH92" s="627">
        <v>0</v>
      </c>
      <c r="KI92" s="627">
        <v>2216525</v>
      </c>
      <c r="KJ92" s="627">
        <v>0</v>
      </c>
      <c r="KK92" s="627">
        <v>2</v>
      </c>
      <c r="KL92" s="627">
        <v>1</v>
      </c>
      <c r="KM92" s="627">
        <v>1232</v>
      </c>
      <c r="KN92" s="627">
        <v>616</v>
      </c>
      <c r="KO92" s="627">
        <v>0</v>
      </c>
      <c r="KP92" s="627">
        <v>0</v>
      </c>
      <c r="KQ92" s="627">
        <v>2216525</v>
      </c>
      <c r="KR92" s="627">
        <v>0</v>
      </c>
      <c r="KS92" s="627">
        <v>0</v>
      </c>
      <c r="KT92" s="627">
        <v>0</v>
      </c>
      <c r="KU92" s="627">
        <v>0</v>
      </c>
      <c r="KV92" s="627">
        <v>0</v>
      </c>
      <c r="KW92" s="627">
        <v>0</v>
      </c>
      <c r="KX92" s="627">
        <v>0</v>
      </c>
      <c r="KY92" s="627">
        <v>0</v>
      </c>
      <c r="KZ92" s="627">
        <v>0</v>
      </c>
      <c r="LA92" s="627">
        <v>0</v>
      </c>
      <c r="LB92" s="627">
        <v>0</v>
      </c>
      <c r="LC92" s="627">
        <v>0</v>
      </c>
      <c r="LD92" s="627">
        <v>0</v>
      </c>
      <c r="LE92" s="627">
        <v>0</v>
      </c>
      <c r="LF92" s="627">
        <v>0</v>
      </c>
    </row>
    <row r="93" spans="1:318" x14ac:dyDescent="0.25">
      <c r="A93" s="627">
        <v>42602</v>
      </c>
      <c r="B93" s="627">
        <v>220809</v>
      </c>
      <c r="D93" s="627">
        <v>9</v>
      </c>
      <c r="E93" s="627">
        <v>2024</v>
      </c>
      <c r="F93" s="627">
        <v>6160</v>
      </c>
      <c r="G93" s="627">
        <v>0</v>
      </c>
      <c r="H93" s="627">
        <v>618.13</v>
      </c>
      <c r="I93" s="627">
        <v>571.35599999999999</v>
      </c>
      <c r="J93" s="627">
        <v>571.35599999999999</v>
      </c>
      <c r="K93" s="627">
        <v>618.13</v>
      </c>
      <c r="L93" s="627">
        <v>0</v>
      </c>
      <c r="M93" s="627">
        <v>6160</v>
      </c>
      <c r="N93" s="627">
        <v>0</v>
      </c>
      <c r="O93" s="627">
        <v>0</v>
      </c>
      <c r="P93" s="627">
        <v>0</v>
      </c>
      <c r="Q93" s="627">
        <v>592.07000000000005</v>
      </c>
      <c r="R93" s="627">
        <v>0</v>
      </c>
      <c r="S93" s="627">
        <v>245640</v>
      </c>
      <c r="T93" s="627">
        <v>414.88400000000001</v>
      </c>
      <c r="U93" s="627">
        <v>0</v>
      </c>
      <c r="V93" s="627">
        <v>127477</v>
      </c>
      <c r="W93" s="627">
        <v>10.097000000000001</v>
      </c>
      <c r="X93" s="627">
        <v>6220</v>
      </c>
      <c r="Y93" s="627">
        <v>6220</v>
      </c>
      <c r="Z93" s="627">
        <v>0</v>
      </c>
      <c r="AA93" s="627">
        <v>0</v>
      </c>
      <c r="AB93" s="627">
        <v>0</v>
      </c>
      <c r="AC93" s="627">
        <v>0</v>
      </c>
      <c r="AD93" s="627">
        <v>0</v>
      </c>
      <c r="AE93" s="627" t="s">
        <v>314</v>
      </c>
      <c r="AF93" s="627">
        <v>0</v>
      </c>
      <c r="AG93" s="627">
        <v>0</v>
      </c>
      <c r="AH93" s="627">
        <v>0</v>
      </c>
      <c r="AI93" s="627">
        <v>0</v>
      </c>
      <c r="AJ93" s="627">
        <v>0</v>
      </c>
      <c r="AK93" s="627">
        <v>6160</v>
      </c>
      <c r="AL93" s="627" t="s">
        <v>651</v>
      </c>
      <c r="AM93" s="627" t="s">
        <v>77</v>
      </c>
      <c r="AN93" s="627">
        <v>0</v>
      </c>
      <c r="AO93" s="627">
        <v>0</v>
      </c>
      <c r="AP93" s="627">
        <v>0</v>
      </c>
      <c r="AQ93" s="627">
        <v>0</v>
      </c>
      <c r="AR93" s="627">
        <v>0</v>
      </c>
      <c r="AS93" s="627">
        <v>0</v>
      </c>
      <c r="AT93" s="627">
        <v>0</v>
      </c>
      <c r="AU93" s="627">
        <v>0</v>
      </c>
      <c r="AV93" s="627">
        <v>0</v>
      </c>
      <c r="AW93" s="627">
        <v>0</v>
      </c>
      <c r="AX93" s="627">
        <v>5698188</v>
      </c>
      <c r="AY93" s="627">
        <v>5600104</v>
      </c>
      <c r="AZ93" s="627">
        <v>2891403</v>
      </c>
      <c r="BA93" s="627">
        <v>245640</v>
      </c>
      <c r="BB93" s="627">
        <v>7.25</v>
      </c>
      <c r="BC93" s="627">
        <v>13168</v>
      </c>
      <c r="BD93" s="627">
        <v>13084</v>
      </c>
      <c r="BE93" s="627">
        <v>30.907</v>
      </c>
      <c r="BF93" s="627">
        <v>84</v>
      </c>
      <c r="BG93" s="627">
        <v>4997101</v>
      </c>
      <c r="BH93" s="627">
        <v>0</v>
      </c>
      <c r="BI93" s="627">
        <v>0</v>
      </c>
      <c r="BJ93" s="627">
        <v>0</v>
      </c>
      <c r="BK93" s="627">
        <v>12</v>
      </c>
      <c r="BL93" s="627">
        <v>0</v>
      </c>
      <c r="BM93" s="627">
        <v>0</v>
      </c>
      <c r="BN93" s="627">
        <v>0</v>
      </c>
      <c r="BO93" s="627">
        <v>0</v>
      </c>
      <c r="BP93" s="627">
        <v>0</v>
      </c>
      <c r="BQ93" s="627">
        <v>0</v>
      </c>
      <c r="BR93" s="627">
        <v>682</v>
      </c>
      <c r="BS93" s="627">
        <v>0</v>
      </c>
      <c r="BT93" s="627">
        <v>0</v>
      </c>
      <c r="BU93" s="627">
        <v>0</v>
      </c>
      <c r="BV93" s="627">
        <v>0</v>
      </c>
      <c r="BW93" s="627">
        <v>0</v>
      </c>
      <c r="BX93" s="627">
        <v>0</v>
      </c>
      <c r="BY93" s="627">
        <v>0</v>
      </c>
      <c r="BZ93" s="627">
        <v>0</v>
      </c>
      <c r="CA93" s="627">
        <v>0</v>
      </c>
      <c r="CB93" s="627">
        <v>0</v>
      </c>
      <c r="CC93" s="627">
        <v>0</v>
      </c>
      <c r="CD93" s="627">
        <v>0</v>
      </c>
      <c r="CE93" s="627">
        <v>0</v>
      </c>
      <c r="CF93" s="627">
        <v>0</v>
      </c>
      <c r="CG93" s="627">
        <v>0</v>
      </c>
      <c r="CH93" s="627">
        <v>0</v>
      </c>
      <c r="CI93" s="627">
        <v>98857</v>
      </c>
      <c r="CJ93" s="627">
        <v>0</v>
      </c>
      <c r="CK93" s="627">
        <v>4</v>
      </c>
      <c r="CL93" s="627">
        <v>0</v>
      </c>
      <c r="CM93" s="627">
        <v>0</v>
      </c>
      <c r="CN93" s="627">
        <v>0</v>
      </c>
      <c r="CO93" s="627">
        <v>0</v>
      </c>
      <c r="CP93" s="627">
        <v>1</v>
      </c>
      <c r="CQ93" s="627">
        <v>0</v>
      </c>
      <c r="CR93" s="627">
        <v>1.75</v>
      </c>
      <c r="CS93" s="627">
        <v>607.11</v>
      </c>
      <c r="CT93" s="627">
        <v>0</v>
      </c>
      <c r="CU93" s="627">
        <v>0</v>
      </c>
      <c r="CV93" s="627">
        <v>0</v>
      </c>
      <c r="CW93" s="627">
        <v>0</v>
      </c>
      <c r="CX93" s="627">
        <v>0</v>
      </c>
      <c r="CY93" s="627">
        <v>0</v>
      </c>
      <c r="CZ93" s="627">
        <v>0</v>
      </c>
      <c r="DA93" s="627">
        <v>0</v>
      </c>
      <c r="DB93" s="627">
        <v>0</v>
      </c>
      <c r="DC93" s="627">
        <v>3519553</v>
      </c>
      <c r="DD93" s="627">
        <v>0</v>
      </c>
      <c r="DE93" s="627">
        <v>0</v>
      </c>
      <c r="DF93" s="627">
        <v>123970</v>
      </c>
      <c r="DG93" s="627">
        <v>123970</v>
      </c>
      <c r="DH93" s="627">
        <v>20.125</v>
      </c>
      <c r="DI93" s="627">
        <v>0</v>
      </c>
      <c r="DJ93" s="627">
        <v>0</v>
      </c>
      <c r="DK93" s="627">
        <v>0</v>
      </c>
      <c r="DL93" s="627">
        <v>2535</v>
      </c>
      <c r="DM93" s="627">
        <v>0</v>
      </c>
      <c r="DN93" s="627">
        <v>202260</v>
      </c>
      <c r="DO93" s="627">
        <v>689</v>
      </c>
      <c r="DP93" s="627">
        <v>0</v>
      </c>
      <c r="DQ93" s="627">
        <v>0</v>
      </c>
      <c r="DR93" s="627">
        <v>0</v>
      </c>
      <c r="DS93" s="627">
        <v>0</v>
      </c>
      <c r="DT93" s="627">
        <v>0</v>
      </c>
      <c r="DU93" s="627">
        <v>0</v>
      </c>
      <c r="DV93" s="627">
        <v>0</v>
      </c>
      <c r="DW93" s="627">
        <v>0</v>
      </c>
      <c r="DX93" s="627">
        <v>0</v>
      </c>
      <c r="DY93" s="627">
        <v>0</v>
      </c>
      <c r="DZ93" s="627">
        <v>0</v>
      </c>
      <c r="EA93" s="627">
        <v>0</v>
      </c>
      <c r="EB93" s="627">
        <v>0</v>
      </c>
      <c r="EC93" s="627">
        <v>0</v>
      </c>
      <c r="ED93" s="627">
        <v>17.321999999999999</v>
      </c>
      <c r="EE93" s="627">
        <v>122709</v>
      </c>
      <c r="EF93" s="627">
        <v>0</v>
      </c>
      <c r="EG93" s="627">
        <v>0</v>
      </c>
      <c r="EH93" s="627">
        <v>0</v>
      </c>
      <c r="EI93" s="627">
        <v>80240</v>
      </c>
      <c r="EJ93" s="627">
        <v>0</v>
      </c>
      <c r="EK93" s="627">
        <v>0</v>
      </c>
      <c r="EL93" s="627">
        <v>3.1720000000000002</v>
      </c>
      <c r="EM93" s="627">
        <v>0</v>
      </c>
      <c r="EN93" s="627">
        <v>0</v>
      </c>
      <c r="EO93" s="627">
        <v>0.70200000000000007</v>
      </c>
      <c r="EP93" s="627">
        <v>0</v>
      </c>
      <c r="EQ93" s="627">
        <v>0</v>
      </c>
      <c r="ER93" s="627">
        <v>3.8740000000000001</v>
      </c>
      <c r="ES93" s="627">
        <v>0</v>
      </c>
      <c r="ET93" s="627">
        <v>13.026</v>
      </c>
      <c r="EU93" s="627">
        <v>0</v>
      </c>
      <c r="EV93" s="627">
        <v>0</v>
      </c>
      <c r="EW93" s="627">
        <v>0</v>
      </c>
      <c r="EX93" s="627">
        <v>0</v>
      </c>
      <c r="EY93" s="627">
        <v>0</v>
      </c>
      <c r="EZ93" s="627">
        <v>0</v>
      </c>
      <c r="FA93" s="627">
        <v>4755920</v>
      </c>
      <c r="FB93" s="627">
        <v>0</v>
      </c>
      <c r="FC93" s="627">
        <v>5000787</v>
      </c>
      <c r="FD93" s="627">
        <v>0</v>
      </c>
      <c r="FE93" s="627">
        <v>0</v>
      </c>
      <c r="FF93" s="627">
        <v>719564</v>
      </c>
      <c r="FG93" s="627">
        <v>124620</v>
      </c>
      <c r="FH93" s="627">
        <v>7.0280999999999996E-2</v>
      </c>
      <c r="FI93" s="627">
        <v>3.1172999999999999E-2</v>
      </c>
      <c r="FJ93" s="627">
        <v>0</v>
      </c>
      <c r="FK93" s="627">
        <v>0</v>
      </c>
      <c r="FL93" s="627">
        <v>811.21800000000007</v>
      </c>
      <c r="FM93" s="627">
        <v>5943828</v>
      </c>
      <c r="FN93" s="627">
        <v>0</v>
      </c>
      <c r="FO93" s="627">
        <v>0</v>
      </c>
      <c r="FP93" s="627">
        <v>0</v>
      </c>
      <c r="FQ93" s="627">
        <v>0</v>
      </c>
      <c r="FR93" s="627">
        <v>0</v>
      </c>
      <c r="FS93" s="627">
        <v>0</v>
      </c>
      <c r="FT93" s="627">
        <v>0</v>
      </c>
      <c r="FU93" s="627">
        <v>0</v>
      </c>
      <c r="FV93" s="627">
        <v>0</v>
      </c>
      <c r="FW93" s="627">
        <v>0</v>
      </c>
      <c r="FX93" s="627">
        <v>0</v>
      </c>
      <c r="FY93" s="627">
        <v>0</v>
      </c>
      <c r="FZ93" s="627">
        <v>0</v>
      </c>
      <c r="GA93" s="627">
        <v>0</v>
      </c>
      <c r="GB93" s="627">
        <v>0</v>
      </c>
      <c r="GC93" s="627">
        <v>412954</v>
      </c>
      <c r="GD93" s="627">
        <v>412954</v>
      </c>
      <c r="GE93" s="627">
        <v>42.9</v>
      </c>
      <c r="GF93" s="627">
        <v>0</v>
      </c>
      <c r="GG93" s="627">
        <v>0</v>
      </c>
      <c r="GH93" s="627">
        <v>0</v>
      </c>
      <c r="GI93" s="627">
        <v>0</v>
      </c>
      <c r="GJ93" s="627">
        <v>0</v>
      </c>
      <c r="GK93" s="627">
        <v>0</v>
      </c>
      <c r="GL93" s="627">
        <v>0</v>
      </c>
      <c r="GM93" s="627">
        <v>0</v>
      </c>
      <c r="GN93" s="627">
        <v>0</v>
      </c>
      <c r="GO93" s="627">
        <v>0</v>
      </c>
      <c r="GP93" s="627">
        <v>0</v>
      </c>
      <c r="GQ93" s="627">
        <v>0</v>
      </c>
      <c r="GR93" s="627">
        <v>5599331</v>
      </c>
      <c r="GS93" s="627">
        <v>0</v>
      </c>
      <c r="GT93" s="627">
        <v>0</v>
      </c>
      <c r="GU93" s="627">
        <v>0</v>
      </c>
      <c r="GV93" s="627">
        <v>0</v>
      </c>
      <c r="GW93" s="627">
        <v>0</v>
      </c>
      <c r="GX93" s="627">
        <v>0</v>
      </c>
      <c r="GY93" s="627">
        <v>0</v>
      </c>
      <c r="GZ93" s="627">
        <v>0</v>
      </c>
      <c r="HA93" s="627">
        <v>0</v>
      </c>
      <c r="HB93" s="627">
        <v>0</v>
      </c>
      <c r="HC93" s="627">
        <v>361151439</v>
      </c>
      <c r="HD93" s="627">
        <v>3.9981999999999997E-2</v>
      </c>
      <c r="HE93" s="627">
        <v>98857</v>
      </c>
      <c r="HF93" s="627">
        <v>0</v>
      </c>
      <c r="HG93" s="627">
        <v>629634</v>
      </c>
      <c r="HH93" s="627">
        <v>10472</v>
      </c>
      <c r="HI93" s="627">
        <v>0</v>
      </c>
      <c r="HJ93" s="627">
        <v>0</v>
      </c>
      <c r="HK93" s="627">
        <v>36181</v>
      </c>
      <c r="HL93" s="627">
        <v>2729</v>
      </c>
      <c r="HM93" s="627">
        <v>1730</v>
      </c>
      <c r="HN93" s="627">
        <v>42000</v>
      </c>
      <c r="HO93" s="627">
        <v>0</v>
      </c>
      <c r="HP93" s="627">
        <v>0</v>
      </c>
      <c r="HQ93" s="627">
        <v>0</v>
      </c>
      <c r="HR93" s="627">
        <v>0</v>
      </c>
      <c r="HS93" s="627">
        <v>0</v>
      </c>
      <c r="HT93" s="627">
        <v>4755147</v>
      </c>
      <c r="HU93" s="627">
        <v>124620</v>
      </c>
      <c r="HV93" s="627">
        <v>0</v>
      </c>
      <c r="HW93" s="627">
        <v>0</v>
      </c>
      <c r="HX93" s="627">
        <v>0</v>
      </c>
      <c r="HY93" s="627">
        <v>26</v>
      </c>
      <c r="HZ93" s="627">
        <v>14</v>
      </c>
      <c r="IA93" s="627">
        <v>18</v>
      </c>
      <c r="IB93" s="627">
        <v>12</v>
      </c>
      <c r="IC93" s="627">
        <v>12</v>
      </c>
      <c r="ID93" s="627">
        <v>82</v>
      </c>
      <c r="IE93" s="627">
        <v>0</v>
      </c>
      <c r="IF93" s="627">
        <v>0</v>
      </c>
      <c r="IG93" s="627">
        <v>0</v>
      </c>
      <c r="IH93" s="627">
        <v>17</v>
      </c>
      <c r="II93" s="627">
        <v>0</v>
      </c>
      <c r="IJ93" s="627">
        <v>0</v>
      </c>
      <c r="IK93" s="627">
        <v>10.097000000000001</v>
      </c>
      <c r="IL93" s="627">
        <v>0</v>
      </c>
      <c r="IM93" s="627">
        <v>3</v>
      </c>
      <c r="IN93" s="627">
        <v>9</v>
      </c>
      <c r="IO93" s="627">
        <v>0</v>
      </c>
      <c r="IP93" s="627">
        <v>12</v>
      </c>
      <c r="IQ93" s="627">
        <v>0</v>
      </c>
      <c r="IR93" s="627">
        <v>10.097000000000001</v>
      </c>
      <c r="IS93" s="627">
        <v>6220</v>
      </c>
      <c r="IT93" s="627">
        <v>0</v>
      </c>
      <c r="IU93" s="627">
        <v>15000</v>
      </c>
      <c r="IV93" s="627">
        <v>27000</v>
      </c>
      <c r="IW93" s="627">
        <v>0</v>
      </c>
      <c r="IX93" s="627">
        <v>6160</v>
      </c>
      <c r="IY93" s="627">
        <v>0</v>
      </c>
      <c r="IZ93" s="627">
        <v>0</v>
      </c>
      <c r="JA93" s="627">
        <v>0</v>
      </c>
      <c r="JB93" s="627">
        <v>0</v>
      </c>
      <c r="JC93" s="627">
        <v>0</v>
      </c>
      <c r="JD93" s="627">
        <v>0</v>
      </c>
      <c r="JE93" s="627">
        <v>0</v>
      </c>
      <c r="JF93" s="627">
        <v>0</v>
      </c>
      <c r="JG93" s="627">
        <v>0</v>
      </c>
      <c r="JH93" s="627">
        <v>0</v>
      </c>
      <c r="JI93" s="627">
        <v>0</v>
      </c>
      <c r="JJ93" s="627">
        <v>0</v>
      </c>
      <c r="JK93" s="627">
        <v>0</v>
      </c>
      <c r="JL93" s="627">
        <v>0</v>
      </c>
      <c r="JM93" s="627">
        <v>0</v>
      </c>
      <c r="JN93" s="627">
        <v>0</v>
      </c>
      <c r="JO93" s="627">
        <v>32469</v>
      </c>
      <c r="JP93" s="627">
        <v>0</v>
      </c>
      <c r="JQ93" s="627">
        <v>32.621000000000002</v>
      </c>
      <c r="JR93" s="627">
        <v>10.279</v>
      </c>
      <c r="JS93" s="627">
        <v>0</v>
      </c>
      <c r="JT93" s="627">
        <v>303224</v>
      </c>
      <c r="JU93" s="627">
        <v>109730</v>
      </c>
      <c r="JV93" s="627">
        <v>13327</v>
      </c>
      <c r="JW93" s="627">
        <v>0</v>
      </c>
      <c r="JX93" s="627">
        <v>0</v>
      </c>
      <c r="JY93" s="627">
        <v>0</v>
      </c>
      <c r="JZ93" s="627">
        <v>0</v>
      </c>
      <c r="KA93" s="627">
        <v>0</v>
      </c>
      <c r="KB93" s="627">
        <v>0</v>
      </c>
      <c r="KC93" s="627">
        <v>0</v>
      </c>
      <c r="KD93" s="627">
        <v>0</v>
      </c>
      <c r="KE93" s="627">
        <v>13367</v>
      </c>
      <c r="KF93" s="627">
        <v>7262</v>
      </c>
      <c r="KG93" s="627">
        <v>0</v>
      </c>
      <c r="KH93" s="627">
        <v>0</v>
      </c>
      <c r="KI93" s="627">
        <v>5599331</v>
      </c>
      <c r="KJ93" s="627">
        <v>0</v>
      </c>
      <c r="KK93" s="627">
        <v>5</v>
      </c>
      <c r="KL93" s="627">
        <v>12</v>
      </c>
      <c r="KM93" s="627">
        <v>3080</v>
      </c>
      <c r="KN93" s="627">
        <v>7392</v>
      </c>
      <c r="KO93" s="627">
        <v>0</v>
      </c>
      <c r="KP93" s="627">
        <v>0</v>
      </c>
      <c r="KQ93" s="627">
        <v>5599331</v>
      </c>
      <c r="KR93" s="627">
        <v>0</v>
      </c>
      <c r="KS93" s="627">
        <v>0</v>
      </c>
      <c r="KT93" s="627">
        <v>0</v>
      </c>
      <c r="KU93" s="627">
        <v>0</v>
      </c>
      <c r="KV93" s="627">
        <v>0</v>
      </c>
      <c r="KW93" s="627">
        <v>0</v>
      </c>
      <c r="KX93" s="627">
        <v>0</v>
      </c>
      <c r="KY93" s="627">
        <v>0</v>
      </c>
      <c r="KZ93" s="627">
        <v>0</v>
      </c>
      <c r="LA93" s="627">
        <v>0</v>
      </c>
      <c r="LB93" s="627">
        <v>0</v>
      </c>
      <c r="LC93" s="627">
        <v>0</v>
      </c>
      <c r="LD93" s="627">
        <v>0</v>
      </c>
      <c r="LE93" s="627">
        <v>0</v>
      </c>
      <c r="LF93" s="627">
        <v>0</v>
      </c>
    </row>
    <row r="94" spans="1:318" x14ac:dyDescent="0.25">
      <c r="A94" s="627">
        <v>42602</v>
      </c>
      <c r="B94" s="627">
        <v>57810</v>
      </c>
      <c r="D94" s="627">
        <v>9</v>
      </c>
      <c r="E94" s="627">
        <v>2024</v>
      </c>
      <c r="F94" s="627">
        <v>6160</v>
      </c>
      <c r="G94" s="627">
        <v>0</v>
      </c>
      <c r="H94" s="627">
        <v>303.16500000000002</v>
      </c>
      <c r="I94" s="627">
        <v>297.40100000000001</v>
      </c>
      <c r="J94" s="627">
        <v>297.40100000000001</v>
      </c>
      <c r="K94" s="627">
        <v>303.16500000000002</v>
      </c>
      <c r="L94" s="627">
        <v>0</v>
      </c>
      <c r="M94" s="627">
        <v>6160</v>
      </c>
      <c r="N94" s="627">
        <v>0</v>
      </c>
      <c r="O94" s="627">
        <v>0</v>
      </c>
      <c r="P94" s="627">
        <v>0</v>
      </c>
      <c r="Q94" s="627">
        <v>240.708</v>
      </c>
      <c r="R94" s="627">
        <v>0</v>
      </c>
      <c r="S94" s="627">
        <v>99866</v>
      </c>
      <c r="T94" s="627">
        <v>414.88400000000001</v>
      </c>
      <c r="U94" s="627">
        <v>0</v>
      </c>
      <c r="V94" s="627">
        <v>51826</v>
      </c>
      <c r="W94" s="627">
        <v>16.202999999999999</v>
      </c>
      <c r="X94" s="627">
        <v>9981</v>
      </c>
      <c r="Y94" s="627">
        <v>9981</v>
      </c>
      <c r="Z94" s="627">
        <v>0</v>
      </c>
      <c r="AA94" s="627">
        <v>0</v>
      </c>
      <c r="AB94" s="627">
        <v>0</v>
      </c>
      <c r="AC94" s="627">
        <v>0</v>
      </c>
      <c r="AD94" s="627">
        <v>0</v>
      </c>
      <c r="AE94" s="627" t="s">
        <v>314</v>
      </c>
      <c r="AF94" s="627">
        <v>0</v>
      </c>
      <c r="AG94" s="627">
        <v>0</v>
      </c>
      <c r="AH94" s="627">
        <v>0</v>
      </c>
      <c r="AI94" s="627">
        <v>0</v>
      </c>
      <c r="AJ94" s="627">
        <v>0</v>
      </c>
      <c r="AK94" s="627">
        <v>6160</v>
      </c>
      <c r="AL94" s="627" t="s">
        <v>651</v>
      </c>
      <c r="AM94" s="627" t="s">
        <v>20</v>
      </c>
      <c r="AN94" s="627">
        <v>0</v>
      </c>
      <c r="AO94" s="627">
        <v>0</v>
      </c>
      <c r="AP94" s="627">
        <v>0</v>
      </c>
      <c r="AQ94" s="627">
        <v>0</v>
      </c>
      <c r="AR94" s="627">
        <v>0</v>
      </c>
      <c r="AS94" s="627">
        <v>0</v>
      </c>
      <c r="AT94" s="627">
        <v>0</v>
      </c>
      <c r="AU94" s="627">
        <v>0</v>
      </c>
      <c r="AV94" s="627">
        <v>0</v>
      </c>
      <c r="AW94" s="627">
        <v>-359</v>
      </c>
      <c r="AX94" s="627">
        <v>3345018</v>
      </c>
      <c r="AY94" s="627">
        <v>3296978</v>
      </c>
      <c r="AZ94" s="627">
        <v>1602293</v>
      </c>
      <c r="BA94" s="627">
        <v>99866</v>
      </c>
      <c r="BB94" s="627">
        <v>0</v>
      </c>
      <c r="BC94" s="627">
        <v>0</v>
      </c>
      <c r="BD94" s="627">
        <v>0</v>
      </c>
      <c r="BE94" s="627">
        <v>0</v>
      </c>
      <c r="BF94" s="627">
        <v>0</v>
      </c>
      <c r="BG94" s="627">
        <v>2905932</v>
      </c>
      <c r="BH94" s="627">
        <v>0</v>
      </c>
      <c r="BI94" s="627">
        <v>0</v>
      </c>
      <c r="BJ94" s="627">
        <v>0</v>
      </c>
      <c r="BK94" s="627">
        <v>12</v>
      </c>
      <c r="BL94" s="627">
        <v>0</v>
      </c>
      <c r="BM94" s="627">
        <v>0</v>
      </c>
      <c r="BN94" s="627">
        <v>0</v>
      </c>
      <c r="BO94" s="627">
        <v>0</v>
      </c>
      <c r="BP94" s="627">
        <v>0</v>
      </c>
      <c r="BQ94" s="627">
        <v>0</v>
      </c>
      <c r="BR94" s="627">
        <v>724</v>
      </c>
      <c r="BS94" s="627">
        <v>0</v>
      </c>
      <c r="BT94" s="627">
        <v>0</v>
      </c>
      <c r="BU94" s="627">
        <v>0</v>
      </c>
      <c r="BV94" s="627">
        <v>0</v>
      </c>
      <c r="BW94" s="627">
        <v>0</v>
      </c>
      <c r="BX94" s="627">
        <v>0</v>
      </c>
      <c r="BY94" s="627">
        <v>0</v>
      </c>
      <c r="BZ94" s="627">
        <v>0</v>
      </c>
      <c r="CA94" s="627">
        <v>0</v>
      </c>
      <c r="CB94" s="627">
        <v>0</v>
      </c>
      <c r="CC94" s="627">
        <v>0</v>
      </c>
      <c r="CD94" s="627">
        <v>0</v>
      </c>
      <c r="CE94" s="627">
        <v>0</v>
      </c>
      <c r="CF94" s="627">
        <v>0</v>
      </c>
      <c r="CG94" s="627">
        <v>0</v>
      </c>
      <c r="CH94" s="627">
        <v>0</v>
      </c>
      <c r="CI94" s="627">
        <v>48485</v>
      </c>
      <c r="CJ94" s="627">
        <v>0</v>
      </c>
      <c r="CK94" s="627">
        <v>4</v>
      </c>
      <c r="CL94" s="627">
        <v>0</v>
      </c>
      <c r="CM94" s="627">
        <v>0</v>
      </c>
      <c r="CN94" s="627">
        <v>0</v>
      </c>
      <c r="CO94" s="627">
        <v>0</v>
      </c>
      <c r="CP94" s="627">
        <v>1</v>
      </c>
      <c r="CQ94" s="627">
        <v>0</v>
      </c>
      <c r="CR94" s="627">
        <v>0</v>
      </c>
      <c r="CS94" s="627">
        <v>238.70000000000002</v>
      </c>
      <c r="CT94" s="627">
        <v>0</v>
      </c>
      <c r="CU94" s="627">
        <v>0</v>
      </c>
      <c r="CV94" s="627">
        <v>0</v>
      </c>
      <c r="CW94" s="627">
        <v>0</v>
      </c>
      <c r="CX94" s="627">
        <v>0</v>
      </c>
      <c r="CY94" s="627">
        <v>0</v>
      </c>
      <c r="CZ94" s="627">
        <v>0</v>
      </c>
      <c r="DA94" s="627">
        <v>0</v>
      </c>
      <c r="DB94" s="627">
        <v>0</v>
      </c>
      <c r="DC94" s="627">
        <v>1789122</v>
      </c>
      <c r="DD94" s="627">
        <v>0</v>
      </c>
      <c r="DE94" s="627">
        <v>0</v>
      </c>
      <c r="DF94" s="627">
        <v>526064</v>
      </c>
      <c r="DG94" s="627">
        <v>526064</v>
      </c>
      <c r="DH94" s="627">
        <v>85.4</v>
      </c>
      <c r="DI94" s="627">
        <v>0</v>
      </c>
      <c r="DJ94" s="627">
        <v>0</v>
      </c>
      <c r="DK94" s="627">
        <v>0</v>
      </c>
      <c r="DL94" s="627">
        <v>3210</v>
      </c>
      <c r="DM94" s="627">
        <v>0</v>
      </c>
      <c r="DN94" s="627">
        <v>173428</v>
      </c>
      <c r="DO94" s="627">
        <v>445</v>
      </c>
      <c r="DP94" s="627">
        <v>0</v>
      </c>
      <c r="DQ94" s="627">
        <v>0</v>
      </c>
      <c r="DR94" s="627">
        <v>0</v>
      </c>
      <c r="DS94" s="627">
        <v>0</v>
      </c>
      <c r="DT94" s="627">
        <v>0</v>
      </c>
      <c r="DU94" s="627">
        <v>0</v>
      </c>
      <c r="DV94" s="627">
        <v>0</v>
      </c>
      <c r="DW94" s="627">
        <v>0</v>
      </c>
      <c r="DX94" s="627">
        <v>0</v>
      </c>
      <c r="DY94" s="627">
        <v>0</v>
      </c>
      <c r="DZ94" s="627">
        <v>0</v>
      </c>
      <c r="EA94" s="627">
        <v>0</v>
      </c>
      <c r="EB94" s="627">
        <v>0</v>
      </c>
      <c r="EC94" s="627">
        <v>0</v>
      </c>
      <c r="ED94" s="627">
        <v>1.74</v>
      </c>
      <c r="EE94" s="627">
        <v>12326</v>
      </c>
      <c r="EF94" s="627">
        <v>0</v>
      </c>
      <c r="EG94" s="627">
        <v>0</v>
      </c>
      <c r="EH94" s="627">
        <v>0</v>
      </c>
      <c r="EI94" s="627">
        <v>118679</v>
      </c>
      <c r="EJ94" s="627">
        <v>0</v>
      </c>
      <c r="EK94" s="627">
        <v>0</v>
      </c>
      <c r="EL94" s="627">
        <v>1.8800000000000001</v>
      </c>
      <c r="EM94" s="627">
        <v>0</v>
      </c>
      <c r="EN94" s="627">
        <v>2.8970000000000002</v>
      </c>
      <c r="EO94" s="627">
        <v>0.9870000000000001</v>
      </c>
      <c r="EP94" s="627">
        <v>0</v>
      </c>
      <c r="EQ94" s="627">
        <v>0</v>
      </c>
      <c r="ER94" s="627">
        <v>5.7640000000000002</v>
      </c>
      <c r="ES94" s="627">
        <v>0</v>
      </c>
      <c r="ET94" s="627">
        <v>19.266000000000002</v>
      </c>
      <c r="EU94" s="627">
        <v>0</v>
      </c>
      <c r="EV94" s="627">
        <v>0</v>
      </c>
      <c r="EW94" s="627">
        <v>0</v>
      </c>
      <c r="EX94" s="627">
        <v>0</v>
      </c>
      <c r="EY94" s="627">
        <v>0</v>
      </c>
      <c r="EZ94" s="627">
        <v>0</v>
      </c>
      <c r="FA94" s="627">
        <v>2806066</v>
      </c>
      <c r="FB94" s="627">
        <v>0</v>
      </c>
      <c r="FC94" s="627">
        <v>2905487</v>
      </c>
      <c r="FD94" s="627">
        <v>0</v>
      </c>
      <c r="FE94" s="627">
        <v>0</v>
      </c>
      <c r="FF94" s="627">
        <v>418443</v>
      </c>
      <c r="FG94" s="627">
        <v>72469</v>
      </c>
      <c r="FH94" s="627">
        <v>7.0280999999999996E-2</v>
      </c>
      <c r="FI94" s="627">
        <v>3.1172999999999999E-2</v>
      </c>
      <c r="FJ94" s="627">
        <v>0</v>
      </c>
      <c r="FK94" s="627">
        <v>0</v>
      </c>
      <c r="FL94" s="627">
        <v>471.74200000000002</v>
      </c>
      <c r="FM94" s="627">
        <v>3444884</v>
      </c>
      <c r="FN94" s="627">
        <v>0</v>
      </c>
      <c r="FO94" s="627">
        <v>0</v>
      </c>
      <c r="FP94" s="627">
        <v>0</v>
      </c>
      <c r="FQ94" s="627">
        <v>0</v>
      </c>
      <c r="FR94" s="627">
        <v>0</v>
      </c>
      <c r="FS94" s="627">
        <v>0</v>
      </c>
      <c r="FT94" s="627">
        <v>0</v>
      </c>
      <c r="FU94" s="627">
        <v>0</v>
      </c>
      <c r="FV94" s="627">
        <v>0</v>
      </c>
      <c r="FW94" s="627">
        <v>0</v>
      </c>
      <c r="FX94" s="627">
        <v>0</v>
      </c>
      <c r="FY94" s="627">
        <v>0</v>
      </c>
      <c r="FZ94" s="627">
        <v>0</v>
      </c>
      <c r="GA94" s="627">
        <v>0</v>
      </c>
      <c r="GB94" s="627">
        <v>0</v>
      </c>
      <c r="GC94" s="627">
        <v>0</v>
      </c>
      <c r="GD94" s="627">
        <v>0</v>
      </c>
      <c r="GE94" s="627">
        <v>0</v>
      </c>
      <c r="GF94" s="627">
        <v>0</v>
      </c>
      <c r="GG94" s="627">
        <v>0</v>
      </c>
      <c r="GH94" s="627">
        <v>0</v>
      </c>
      <c r="GI94" s="627">
        <v>0</v>
      </c>
      <c r="GJ94" s="627">
        <v>0</v>
      </c>
      <c r="GK94" s="627">
        <v>0</v>
      </c>
      <c r="GL94" s="627">
        <v>0</v>
      </c>
      <c r="GM94" s="627">
        <v>0</v>
      </c>
      <c r="GN94" s="627">
        <v>0</v>
      </c>
      <c r="GO94" s="627">
        <v>0</v>
      </c>
      <c r="GP94" s="627">
        <v>0</v>
      </c>
      <c r="GQ94" s="627">
        <v>0</v>
      </c>
      <c r="GR94" s="627">
        <v>3296533</v>
      </c>
      <c r="GS94" s="627">
        <v>0</v>
      </c>
      <c r="GT94" s="627">
        <v>0</v>
      </c>
      <c r="GU94" s="627">
        <v>0</v>
      </c>
      <c r="GV94" s="627">
        <v>0</v>
      </c>
      <c r="GW94" s="627">
        <v>0</v>
      </c>
      <c r="GX94" s="627">
        <v>0</v>
      </c>
      <c r="GY94" s="627">
        <v>0</v>
      </c>
      <c r="GZ94" s="627">
        <v>0</v>
      </c>
      <c r="HA94" s="627">
        <v>0</v>
      </c>
      <c r="HB94" s="627">
        <v>0</v>
      </c>
      <c r="HC94" s="627">
        <v>361151439</v>
      </c>
      <c r="HD94" s="627">
        <v>3.9981999999999997E-2</v>
      </c>
      <c r="HE94" s="627">
        <v>48485</v>
      </c>
      <c r="HF94" s="627">
        <v>0</v>
      </c>
      <c r="HG94" s="627">
        <v>327736</v>
      </c>
      <c r="HH94" s="627">
        <v>616</v>
      </c>
      <c r="HI94" s="627">
        <v>60508</v>
      </c>
      <c r="HJ94" s="627">
        <v>0</v>
      </c>
      <c r="HK94" s="627">
        <v>18032</v>
      </c>
      <c r="HL94" s="627">
        <v>0</v>
      </c>
      <c r="HM94" s="627">
        <v>0</v>
      </c>
      <c r="HN94" s="627">
        <v>0</v>
      </c>
      <c r="HO94" s="627">
        <v>0</v>
      </c>
      <c r="HP94" s="627">
        <v>0</v>
      </c>
      <c r="HQ94" s="627">
        <v>0</v>
      </c>
      <c r="HR94" s="627">
        <v>0</v>
      </c>
      <c r="HS94" s="627">
        <v>0</v>
      </c>
      <c r="HT94" s="627">
        <v>2805621</v>
      </c>
      <c r="HU94" s="627">
        <v>72469</v>
      </c>
      <c r="HV94" s="627">
        <v>0</v>
      </c>
      <c r="HW94" s="627">
        <v>0</v>
      </c>
      <c r="HX94" s="627">
        <v>0</v>
      </c>
      <c r="HY94" s="627">
        <v>17</v>
      </c>
      <c r="HZ94" s="627">
        <v>37</v>
      </c>
      <c r="IA94" s="627">
        <v>45</v>
      </c>
      <c r="IB94" s="627">
        <v>71</v>
      </c>
      <c r="IC94" s="627">
        <v>156</v>
      </c>
      <c r="ID94" s="627">
        <v>326</v>
      </c>
      <c r="IE94" s="627">
        <v>0</v>
      </c>
      <c r="IF94" s="627">
        <v>0</v>
      </c>
      <c r="IG94" s="627">
        <v>0</v>
      </c>
      <c r="IH94" s="627">
        <v>1</v>
      </c>
      <c r="II94" s="627">
        <v>98.227000000000004</v>
      </c>
      <c r="IJ94" s="627">
        <v>0</v>
      </c>
      <c r="IK94" s="627">
        <v>16.202999999999999</v>
      </c>
      <c r="IL94" s="627">
        <v>0</v>
      </c>
      <c r="IM94" s="627">
        <v>0</v>
      </c>
      <c r="IN94" s="627">
        <v>0</v>
      </c>
      <c r="IO94" s="627">
        <v>0</v>
      </c>
      <c r="IP94" s="627">
        <v>0</v>
      </c>
      <c r="IQ94" s="627">
        <v>0</v>
      </c>
      <c r="IR94" s="627">
        <v>16.202999999999999</v>
      </c>
      <c r="IS94" s="627">
        <v>9981</v>
      </c>
      <c r="IT94" s="627">
        <v>0</v>
      </c>
      <c r="IU94" s="627">
        <v>0</v>
      </c>
      <c r="IV94" s="627">
        <v>0</v>
      </c>
      <c r="IW94" s="627">
        <v>0</v>
      </c>
      <c r="IX94" s="627">
        <v>6160</v>
      </c>
      <c r="IY94" s="627">
        <v>0</v>
      </c>
      <c r="IZ94" s="627">
        <v>0</v>
      </c>
      <c r="JA94" s="627">
        <v>0</v>
      </c>
      <c r="JB94" s="627">
        <v>0</v>
      </c>
      <c r="JC94" s="627">
        <v>0</v>
      </c>
      <c r="JD94" s="627">
        <v>0</v>
      </c>
      <c r="JE94" s="627">
        <v>0</v>
      </c>
      <c r="JF94" s="627">
        <v>0</v>
      </c>
      <c r="JG94" s="627">
        <v>0</v>
      </c>
      <c r="JH94" s="627">
        <v>0</v>
      </c>
      <c r="JI94" s="627">
        <v>0</v>
      </c>
      <c r="JJ94" s="627">
        <v>0</v>
      </c>
      <c r="JK94" s="627">
        <v>0</v>
      </c>
      <c r="JL94" s="627">
        <v>0</v>
      </c>
      <c r="JM94" s="627">
        <v>0</v>
      </c>
      <c r="JN94" s="627">
        <v>0</v>
      </c>
      <c r="JO94" s="627">
        <v>32469</v>
      </c>
      <c r="JP94" s="627">
        <v>0</v>
      </c>
      <c r="JQ94" s="627">
        <v>0</v>
      </c>
      <c r="JR94" s="627">
        <v>0</v>
      </c>
      <c r="JS94" s="627">
        <v>0</v>
      </c>
      <c r="JT94" s="627">
        <v>0</v>
      </c>
      <c r="JU94" s="627">
        <v>0</v>
      </c>
      <c r="JV94" s="627">
        <v>0</v>
      </c>
      <c r="JW94" s="627">
        <v>0</v>
      </c>
      <c r="JX94" s="627">
        <v>0</v>
      </c>
      <c r="JY94" s="627">
        <v>0</v>
      </c>
      <c r="JZ94" s="627">
        <v>0</v>
      </c>
      <c r="KA94" s="627">
        <v>0</v>
      </c>
      <c r="KB94" s="627">
        <v>0</v>
      </c>
      <c r="KC94" s="627">
        <v>0</v>
      </c>
      <c r="KD94" s="627">
        <v>0</v>
      </c>
      <c r="KE94" s="627">
        <v>0</v>
      </c>
      <c r="KF94" s="627">
        <v>7262</v>
      </c>
      <c r="KG94" s="627">
        <v>0</v>
      </c>
      <c r="KH94" s="627">
        <v>0</v>
      </c>
      <c r="KI94" s="627">
        <v>3296533</v>
      </c>
      <c r="KJ94" s="627">
        <v>0</v>
      </c>
      <c r="KK94" s="627">
        <v>1</v>
      </c>
      <c r="KL94" s="627">
        <v>0</v>
      </c>
      <c r="KM94" s="627">
        <v>616</v>
      </c>
      <c r="KN94" s="627">
        <v>0</v>
      </c>
      <c r="KO94" s="627">
        <v>0</v>
      </c>
      <c r="KP94" s="627">
        <v>0</v>
      </c>
      <c r="KQ94" s="627">
        <v>3296533</v>
      </c>
      <c r="KR94" s="627">
        <v>0</v>
      </c>
      <c r="KS94" s="627">
        <v>0</v>
      </c>
      <c r="KT94" s="627">
        <v>0</v>
      </c>
      <c r="KU94" s="627">
        <v>0</v>
      </c>
      <c r="KV94" s="627">
        <v>0</v>
      </c>
      <c r="KW94" s="627">
        <v>0</v>
      </c>
      <c r="KX94" s="627">
        <v>0</v>
      </c>
      <c r="KY94" s="627">
        <v>0</v>
      </c>
      <c r="KZ94" s="627">
        <v>0</v>
      </c>
      <c r="LA94" s="627">
        <v>0</v>
      </c>
      <c r="LB94" s="627">
        <v>0</v>
      </c>
      <c r="LC94" s="627">
        <v>0</v>
      </c>
      <c r="LD94" s="627">
        <v>0</v>
      </c>
      <c r="LE94" s="627">
        <v>0</v>
      </c>
      <c r="LF94" s="627">
        <v>0</v>
      </c>
    </row>
    <row r="95" spans="1:318" x14ac:dyDescent="0.25">
      <c r="A95" s="627">
        <v>42602</v>
      </c>
      <c r="B95" s="627">
        <v>71810</v>
      </c>
      <c r="D95" s="627">
        <v>9</v>
      </c>
      <c r="E95" s="627">
        <v>2024</v>
      </c>
      <c r="F95" s="627">
        <v>6160</v>
      </c>
      <c r="G95" s="627">
        <v>0</v>
      </c>
      <c r="H95" s="627">
        <v>727.44299999999998</v>
      </c>
      <c r="I95" s="627">
        <v>696.82299999999998</v>
      </c>
      <c r="J95" s="627">
        <v>696.82299999999998</v>
      </c>
      <c r="K95" s="627">
        <v>727.44299999999998</v>
      </c>
      <c r="L95" s="627">
        <v>0</v>
      </c>
      <c r="M95" s="627">
        <v>6160</v>
      </c>
      <c r="N95" s="627">
        <v>0</v>
      </c>
      <c r="O95" s="627">
        <v>0</v>
      </c>
      <c r="P95" s="627">
        <v>0</v>
      </c>
      <c r="Q95" s="627">
        <v>549.02700000000004</v>
      </c>
      <c r="R95" s="627">
        <v>0</v>
      </c>
      <c r="S95" s="627">
        <v>227783</v>
      </c>
      <c r="T95" s="627">
        <v>414.88400000000001</v>
      </c>
      <c r="U95" s="627">
        <v>0</v>
      </c>
      <c r="V95" s="627">
        <v>118210</v>
      </c>
      <c r="W95" s="627">
        <v>531.23</v>
      </c>
      <c r="X95" s="627">
        <v>327381</v>
      </c>
      <c r="Y95" s="627">
        <v>327381</v>
      </c>
      <c r="Z95" s="627">
        <v>0</v>
      </c>
      <c r="AA95" s="627">
        <v>0</v>
      </c>
      <c r="AB95" s="627">
        <v>0</v>
      </c>
      <c r="AC95" s="627">
        <v>0</v>
      </c>
      <c r="AD95" s="627">
        <v>0</v>
      </c>
      <c r="AE95" s="627" t="s">
        <v>314</v>
      </c>
      <c r="AF95" s="627">
        <v>0</v>
      </c>
      <c r="AG95" s="627">
        <v>0</v>
      </c>
      <c r="AH95" s="627">
        <v>0</v>
      </c>
      <c r="AI95" s="627">
        <v>0</v>
      </c>
      <c r="AJ95" s="627">
        <v>0</v>
      </c>
      <c r="AK95" s="627">
        <v>6160</v>
      </c>
      <c r="AL95" s="627" t="s">
        <v>651</v>
      </c>
      <c r="AM95" s="627" t="s">
        <v>339</v>
      </c>
      <c r="AN95" s="627">
        <v>0</v>
      </c>
      <c r="AO95" s="627">
        <v>0</v>
      </c>
      <c r="AP95" s="627">
        <v>0</v>
      </c>
      <c r="AQ95" s="627">
        <v>0</v>
      </c>
      <c r="AR95" s="627">
        <v>0</v>
      </c>
      <c r="AS95" s="627">
        <v>0</v>
      </c>
      <c r="AT95" s="627">
        <v>0</v>
      </c>
      <c r="AU95" s="627">
        <v>0</v>
      </c>
      <c r="AV95" s="627">
        <v>0</v>
      </c>
      <c r="AW95" s="627">
        <v>0</v>
      </c>
      <c r="AX95" s="627">
        <v>8185960</v>
      </c>
      <c r="AY95" s="627">
        <v>8186771</v>
      </c>
      <c r="AZ95" s="627">
        <v>4895667</v>
      </c>
      <c r="BA95" s="627">
        <v>227783</v>
      </c>
      <c r="BB95" s="627">
        <v>0</v>
      </c>
      <c r="BC95" s="627">
        <v>2556</v>
      </c>
      <c r="BD95" s="627">
        <v>2540</v>
      </c>
      <c r="BE95" s="627">
        <v>6</v>
      </c>
      <c r="BF95" s="627">
        <v>16</v>
      </c>
      <c r="BG95" s="627">
        <v>7132941</v>
      </c>
      <c r="BH95" s="627">
        <v>0</v>
      </c>
      <c r="BI95" s="627">
        <v>0</v>
      </c>
      <c r="BJ95" s="627">
        <v>0</v>
      </c>
      <c r="BK95" s="627">
        <v>12</v>
      </c>
      <c r="BL95" s="627">
        <v>0</v>
      </c>
      <c r="BM95" s="627">
        <v>0</v>
      </c>
      <c r="BN95" s="627">
        <v>0</v>
      </c>
      <c r="BO95" s="627">
        <v>0</v>
      </c>
      <c r="BP95" s="627">
        <v>0</v>
      </c>
      <c r="BQ95" s="627">
        <v>0</v>
      </c>
      <c r="BR95" s="627">
        <v>663</v>
      </c>
      <c r="BS95" s="627">
        <v>0</v>
      </c>
      <c r="BT95" s="627">
        <v>0</v>
      </c>
      <c r="BU95" s="627">
        <v>0</v>
      </c>
      <c r="BV95" s="627">
        <v>0</v>
      </c>
      <c r="BW95" s="627">
        <v>0</v>
      </c>
      <c r="BX95" s="627">
        <v>0</v>
      </c>
      <c r="BY95" s="627">
        <v>0</v>
      </c>
      <c r="BZ95" s="627">
        <v>0</v>
      </c>
      <c r="CA95" s="627">
        <v>0</v>
      </c>
      <c r="CB95" s="627">
        <v>0</v>
      </c>
      <c r="CC95" s="627">
        <v>0</v>
      </c>
      <c r="CD95" s="627">
        <v>0</v>
      </c>
      <c r="CE95" s="627">
        <v>0</v>
      </c>
      <c r="CF95" s="627">
        <v>0</v>
      </c>
      <c r="CG95" s="627">
        <v>0</v>
      </c>
      <c r="CH95" s="627">
        <v>0</v>
      </c>
      <c r="CI95" s="627">
        <v>0</v>
      </c>
      <c r="CJ95" s="627">
        <v>0</v>
      </c>
      <c r="CK95" s="627">
        <v>5</v>
      </c>
      <c r="CL95" s="627">
        <v>0</v>
      </c>
      <c r="CM95" s="627">
        <v>0</v>
      </c>
      <c r="CN95" s="627">
        <v>0</v>
      </c>
      <c r="CO95" s="627">
        <v>0</v>
      </c>
      <c r="CP95" s="627">
        <v>1</v>
      </c>
      <c r="CQ95" s="627">
        <v>0</v>
      </c>
      <c r="CR95" s="627">
        <v>0</v>
      </c>
      <c r="CS95" s="627">
        <v>550.58000000000004</v>
      </c>
      <c r="CT95" s="627">
        <v>0</v>
      </c>
      <c r="CU95" s="627">
        <v>0</v>
      </c>
      <c r="CV95" s="627">
        <v>0</v>
      </c>
      <c r="CW95" s="627">
        <v>0</v>
      </c>
      <c r="CX95" s="627">
        <v>0</v>
      </c>
      <c r="CY95" s="627">
        <v>0</v>
      </c>
      <c r="CZ95" s="627">
        <v>0</v>
      </c>
      <c r="DA95" s="627">
        <v>0</v>
      </c>
      <c r="DB95" s="627">
        <v>0</v>
      </c>
      <c r="DC95" s="627">
        <v>4292430</v>
      </c>
      <c r="DD95" s="627">
        <v>0</v>
      </c>
      <c r="DE95" s="627">
        <v>0</v>
      </c>
      <c r="DF95" s="627">
        <v>1162931</v>
      </c>
      <c r="DG95" s="627">
        <v>1162931</v>
      </c>
      <c r="DH95" s="627">
        <v>188.78800000000001</v>
      </c>
      <c r="DI95" s="627">
        <v>0</v>
      </c>
      <c r="DJ95" s="627">
        <v>0</v>
      </c>
      <c r="DK95" s="627">
        <v>0</v>
      </c>
      <c r="DL95" s="627">
        <v>2225</v>
      </c>
      <c r="DM95" s="627">
        <v>0</v>
      </c>
      <c r="DN95" s="627">
        <v>233208</v>
      </c>
      <c r="DO95" s="627">
        <v>795</v>
      </c>
      <c r="DP95" s="627">
        <v>0</v>
      </c>
      <c r="DQ95" s="627">
        <v>0</v>
      </c>
      <c r="DR95" s="627">
        <v>0</v>
      </c>
      <c r="DS95" s="627">
        <v>0</v>
      </c>
      <c r="DT95" s="627">
        <v>0</v>
      </c>
      <c r="DU95" s="627">
        <v>0</v>
      </c>
      <c r="DV95" s="627">
        <v>0</v>
      </c>
      <c r="DW95" s="627">
        <v>0</v>
      </c>
      <c r="DX95" s="627">
        <v>0</v>
      </c>
      <c r="DY95" s="627">
        <v>0</v>
      </c>
      <c r="DZ95" s="627">
        <v>0</v>
      </c>
      <c r="EA95" s="627">
        <v>0</v>
      </c>
      <c r="EB95" s="627">
        <v>0</v>
      </c>
      <c r="EC95" s="627">
        <v>0</v>
      </c>
      <c r="ED95" s="627">
        <v>20.643000000000001</v>
      </c>
      <c r="EE95" s="627">
        <v>146235</v>
      </c>
      <c r="EF95" s="627">
        <v>0</v>
      </c>
      <c r="EG95" s="627">
        <v>0</v>
      </c>
      <c r="EH95" s="627">
        <v>0</v>
      </c>
      <c r="EI95" s="627">
        <v>87768</v>
      </c>
      <c r="EJ95" s="627">
        <v>0</v>
      </c>
      <c r="EK95" s="627">
        <v>0</v>
      </c>
      <c r="EL95" s="627">
        <v>3.843</v>
      </c>
      <c r="EM95" s="627">
        <v>0</v>
      </c>
      <c r="EN95" s="627">
        <v>0.54800000000000004</v>
      </c>
      <c r="EO95" s="627">
        <v>0.215</v>
      </c>
      <c r="EP95" s="627">
        <v>0</v>
      </c>
      <c r="EQ95" s="627">
        <v>0</v>
      </c>
      <c r="ER95" s="627">
        <v>4.6059999999999999</v>
      </c>
      <c r="ES95" s="627">
        <v>0</v>
      </c>
      <c r="ET95" s="627">
        <v>14.248000000000001</v>
      </c>
      <c r="EU95" s="627">
        <v>0</v>
      </c>
      <c r="EV95" s="627">
        <v>0</v>
      </c>
      <c r="EW95" s="627">
        <v>0</v>
      </c>
      <c r="EX95" s="627">
        <v>0</v>
      </c>
      <c r="EY95" s="627">
        <v>0</v>
      </c>
      <c r="EZ95" s="627">
        <v>0</v>
      </c>
      <c r="FA95" s="627">
        <v>6981771</v>
      </c>
      <c r="FB95" s="627">
        <v>0</v>
      </c>
      <c r="FC95" s="627">
        <v>7208743</v>
      </c>
      <c r="FD95" s="627">
        <v>0</v>
      </c>
      <c r="FE95" s="627">
        <v>0</v>
      </c>
      <c r="FF95" s="627">
        <v>1027116</v>
      </c>
      <c r="FG95" s="627">
        <v>177884</v>
      </c>
      <c r="FH95" s="627">
        <v>7.0280999999999996E-2</v>
      </c>
      <c r="FI95" s="627">
        <v>3.1172999999999999E-2</v>
      </c>
      <c r="FJ95" s="627">
        <v>0</v>
      </c>
      <c r="FK95" s="627">
        <v>0</v>
      </c>
      <c r="FL95" s="627">
        <v>1157.9450000000002</v>
      </c>
      <c r="FM95" s="627">
        <v>8413743</v>
      </c>
      <c r="FN95" s="627">
        <v>0</v>
      </c>
      <c r="FO95" s="627">
        <v>0</v>
      </c>
      <c r="FP95" s="627">
        <v>75242</v>
      </c>
      <c r="FQ95" s="627">
        <v>0</v>
      </c>
      <c r="FR95" s="627">
        <v>76530</v>
      </c>
      <c r="FS95" s="627">
        <v>75242</v>
      </c>
      <c r="FT95" s="627">
        <v>1288</v>
      </c>
      <c r="FU95" s="627">
        <v>0</v>
      </c>
      <c r="FV95" s="627">
        <v>0</v>
      </c>
      <c r="FW95" s="627">
        <v>0</v>
      </c>
      <c r="FX95" s="627">
        <v>0</v>
      </c>
      <c r="FY95" s="627">
        <v>0</v>
      </c>
      <c r="FZ95" s="627">
        <v>0</v>
      </c>
      <c r="GA95" s="627">
        <v>0</v>
      </c>
      <c r="GB95" s="627">
        <v>0</v>
      </c>
      <c r="GC95" s="627">
        <v>227631</v>
      </c>
      <c r="GD95" s="627">
        <v>227631</v>
      </c>
      <c r="GE95" s="627">
        <v>26.014000000000003</v>
      </c>
      <c r="GF95" s="627">
        <v>0</v>
      </c>
      <c r="GG95" s="627">
        <v>0</v>
      </c>
      <c r="GH95" s="627">
        <v>0</v>
      </c>
      <c r="GI95" s="627">
        <v>0</v>
      </c>
      <c r="GJ95" s="627">
        <v>0</v>
      </c>
      <c r="GK95" s="627">
        <v>0</v>
      </c>
      <c r="GL95" s="627">
        <v>0</v>
      </c>
      <c r="GM95" s="627">
        <v>0</v>
      </c>
      <c r="GN95" s="627">
        <v>0</v>
      </c>
      <c r="GO95" s="627">
        <v>0</v>
      </c>
      <c r="GP95" s="627">
        <v>0</v>
      </c>
      <c r="GQ95" s="627">
        <v>0</v>
      </c>
      <c r="GR95" s="627">
        <v>8185960</v>
      </c>
      <c r="GS95" s="627">
        <v>0</v>
      </c>
      <c r="GT95" s="627">
        <v>0</v>
      </c>
      <c r="GU95" s="627">
        <v>0</v>
      </c>
      <c r="GV95" s="627">
        <v>0</v>
      </c>
      <c r="GW95" s="627">
        <v>0</v>
      </c>
      <c r="GX95" s="627">
        <v>0</v>
      </c>
      <c r="GY95" s="627">
        <v>0</v>
      </c>
      <c r="GZ95" s="627">
        <v>0</v>
      </c>
      <c r="HA95" s="627">
        <v>0</v>
      </c>
      <c r="HB95" s="627">
        <v>0</v>
      </c>
      <c r="HC95" s="627">
        <v>0</v>
      </c>
      <c r="HD95" s="627">
        <v>3.9981999999999997E-2</v>
      </c>
      <c r="HE95" s="627">
        <v>0</v>
      </c>
      <c r="HF95" s="627">
        <v>0</v>
      </c>
      <c r="HG95" s="627">
        <v>767899</v>
      </c>
      <c r="HH95" s="627">
        <v>28336</v>
      </c>
      <c r="HI95" s="627">
        <v>0</v>
      </c>
      <c r="HJ95" s="627">
        <v>0</v>
      </c>
      <c r="HK95" s="627">
        <v>52274</v>
      </c>
      <c r="HL95" s="627">
        <v>0</v>
      </c>
      <c r="HM95" s="627">
        <v>83</v>
      </c>
      <c r="HN95" s="627">
        <v>0</v>
      </c>
      <c r="HO95" s="627">
        <v>0</v>
      </c>
      <c r="HP95" s="627">
        <v>37500</v>
      </c>
      <c r="HQ95" s="627">
        <v>0</v>
      </c>
      <c r="HR95" s="627">
        <v>0</v>
      </c>
      <c r="HS95" s="627">
        <v>0</v>
      </c>
      <c r="HT95" s="627">
        <v>6980960</v>
      </c>
      <c r="HU95" s="627">
        <v>177884</v>
      </c>
      <c r="HV95" s="627">
        <v>0</v>
      </c>
      <c r="HW95" s="627">
        <v>0</v>
      </c>
      <c r="HX95" s="627">
        <v>0</v>
      </c>
      <c r="HY95" s="627">
        <v>96</v>
      </c>
      <c r="HZ95" s="627">
        <v>99</v>
      </c>
      <c r="IA95" s="627">
        <v>150</v>
      </c>
      <c r="IB95" s="627">
        <v>174</v>
      </c>
      <c r="IC95" s="627">
        <v>220</v>
      </c>
      <c r="ID95" s="627">
        <v>739</v>
      </c>
      <c r="IE95" s="627">
        <v>0</v>
      </c>
      <c r="IF95" s="627">
        <v>0.155</v>
      </c>
      <c r="IG95" s="627">
        <v>0</v>
      </c>
      <c r="IH95" s="627">
        <v>46</v>
      </c>
      <c r="II95" s="627">
        <v>0</v>
      </c>
      <c r="IJ95" s="627">
        <v>0</v>
      </c>
      <c r="IK95" s="627">
        <v>531.38499999999999</v>
      </c>
      <c r="IL95" s="627">
        <v>0</v>
      </c>
      <c r="IM95" s="627">
        <v>0</v>
      </c>
      <c r="IN95" s="627">
        <v>0</v>
      </c>
      <c r="IO95" s="627">
        <v>0</v>
      </c>
      <c r="IP95" s="627">
        <v>0</v>
      </c>
      <c r="IQ95" s="627">
        <v>0</v>
      </c>
      <c r="IR95" s="627">
        <v>531.23</v>
      </c>
      <c r="IS95" s="627">
        <v>327238</v>
      </c>
      <c r="IT95" s="627">
        <v>0</v>
      </c>
      <c r="IU95" s="627">
        <v>0</v>
      </c>
      <c r="IV95" s="627">
        <v>0</v>
      </c>
      <c r="IW95" s="627">
        <v>0</v>
      </c>
      <c r="IX95" s="627">
        <v>6160</v>
      </c>
      <c r="IY95" s="627">
        <v>143</v>
      </c>
      <c r="IZ95" s="627">
        <v>0</v>
      </c>
      <c r="JA95" s="627">
        <v>0</v>
      </c>
      <c r="JB95" s="627">
        <v>0</v>
      </c>
      <c r="JC95" s="627">
        <v>0</v>
      </c>
      <c r="JD95" s="627">
        <v>0</v>
      </c>
      <c r="JE95" s="627">
        <v>0</v>
      </c>
      <c r="JF95" s="627">
        <v>0</v>
      </c>
      <c r="JG95" s="627">
        <v>0</v>
      </c>
      <c r="JH95" s="627">
        <v>0</v>
      </c>
      <c r="JI95" s="627">
        <v>0</v>
      </c>
      <c r="JJ95" s="627">
        <v>0</v>
      </c>
      <c r="JK95" s="627">
        <v>0</v>
      </c>
      <c r="JL95" s="627">
        <v>0</v>
      </c>
      <c r="JM95" s="627">
        <v>0</v>
      </c>
      <c r="JN95" s="627">
        <v>0</v>
      </c>
      <c r="JO95" s="627">
        <v>32469</v>
      </c>
      <c r="JP95" s="627">
        <v>10.847000000000001</v>
      </c>
      <c r="JQ95" s="627">
        <v>15.167000000000002</v>
      </c>
      <c r="JR95" s="627">
        <v>0</v>
      </c>
      <c r="JS95" s="627">
        <v>86648</v>
      </c>
      <c r="JT95" s="627">
        <v>140983</v>
      </c>
      <c r="JU95" s="627">
        <v>0</v>
      </c>
      <c r="JV95" s="627">
        <v>2587</v>
      </c>
      <c r="JW95" s="627">
        <v>0</v>
      </c>
      <c r="JX95" s="627">
        <v>0</v>
      </c>
      <c r="JY95" s="627">
        <v>0</v>
      </c>
      <c r="JZ95" s="627">
        <v>0</v>
      </c>
      <c r="KA95" s="627">
        <v>0</v>
      </c>
      <c r="KB95" s="627">
        <v>0</v>
      </c>
      <c r="KC95" s="627">
        <v>0</v>
      </c>
      <c r="KD95" s="627">
        <v>0</v>
      </c>
      <c r="KE95" s="627">
        <v>2587</v>
      </c>
      <c r="KF95" s="627">
        <v>7262</v>
      </c>
      <c r="KG95" s="627">
        <v>0</v>
      </c>
      <c r="KH95" s="627">
        <v>0</v>
      </c>
      <c r="KI95" s="627">
        <v>8185960</v>
      </c>
      <c r="KJ95" s="627">
        <v>0</v>
      </c>
      <c r="KK95" s="627">
        <v>16</v>
      </c>
      <c r="KL95" s="627">
        <v>30</v>
      </c>
      <c r="KM95" s="627">
        <v>9856</v>
      </c>
      <c r="KN95" s="627">
        <v>18480</v>
      </c>
      <c r="KO95" s="627">
        <v>0</v>
      </c>
      <c r="KP95" s="627">
        <v>0</v>
      </c>
      <c r="KQ95" s="627">
        <v>8185960</v>
      </c>
      <c r="KR95" s="627">
        <v>0</v>
      </c>
      <c r="KS95" s="627">
        <v>0</v>
      </c>
      <c r="KT95" s="627">
        <v>0</v>
      </c>
      <c r="KU95" s="627">
        <v>0</v>
      </c>
      <c r="KV95" s="627">
        <v>0</v>
      </c>
      <c r="KW95" s="627">
        <v>0</v>
      </c>
      <c r="KX95" s="627">
        <v>0</v>
      </c>
      <c r="KY95" s="627">
        <v>0</v>
      </c>
      <c r="KZ95" s="627">
        <v>0</v>
      </c>
      <c r="LA95" s="627">
        <v>0</v>
      </c>
      <c r="LB95" s="627">
        <v>0</v>
      </c>
      <c r="LC95" s="627">
        <v>0</v>
      </c>
      <c r="LD95" s="627">
        <v>0</v>
      </c>
      <c r="LE95" s="627">
        <v>0</v>
      </c>
      <c r="LF95" s="627">
        <v>0</v>
      </c>
    </row>
    <row r="96" spans="1:318" x14ac:dyDescent="0.25">
      <c r="A96" s="627">
        <v>42602</v>
      </c>
      <c r="B96" s="627">
        <v>101810</v>
      </c>
      <c r="D96" s="627">
        <v>9</v>
      </c>
      <c r="E96" s="627">
        <v>2024</v>
      </c>
      <c r="F96" s="627">
        <v>6160</v>
      </c>
      <c r="G96" s="627">
        <v>0</v>
      </c>
      <c r="H96" s="627">
        <v>758.35599999999999</v>
      </c>
      <c r="I96" s="627">
        <v>750.12600000000009</v>
      </c>
      <c r="J96" s="627">
        <v>750.12600000000009</v>
      </c>
      <c r="K96" s="627">
        <v>758.35599999999999</v>
      </c>
      <c r="L96" s="627">
        <v>0</v>
      </c>
      <c r="M96" s="627">
        <v>6160</v>
      </c>
      <c r="N96" s="627">
        <v>0</v>
      </c>
      <c r="O96" s="627">
        <v>0</v>
      </c>
      <c r="P96" s="627">
        <v>0</v>
      </c>
      <c r="Q96" s="627">
        <v>765.49</v>
      </c>
      <c r="R96" s="627">
        <v>0</v>
      </c>
      <c r="S96" s="627">
        <v>317590</v>
      </c>
      <c r="T96" s="627">
        <v>414.88400000000001</v>
      </c>
      <c r="U96" s="627">
        <v>0</v>
      </c>
      <c r="V96" s="627">
        <v>164816</v>
      </c>
      <c r="W96" s="627">
        <v>509.99600000000004</v>
      </c>
      <c r="X96" s="627">
        <v>314158</v>
      </c>
      <c r="Y96" s="627">
        <v>314158</v>
      </c>
      <c r="Z96" s="627">
        <v>0</v>
      </c>
      <c r="AA96" s="627">
        <v>0</v>
      </c>
      <c r="AB96" s="627">
        <v>0</v>
      </c>
      <c r="AC96" s="627">
        <v>0</v>
      </c>
      <c r="AD96" s="627">
        <v>0</v>
      </c>
      <c r="AE96" s="627" t="s">
        <v>314</v>
      </c>
      <c r="AF96" s="627">
        <v>0</v>
      </c>
      <c r="AG96" s="627">
        <v>0</v>
      </c>
      <c r="AH96" s="627">
        <v>0</v>
      </c>
      <c r="AI96" s="627">
        <v>0</v>
      </c>
      <c r="AJ96" s="627">
        <v>0</v>
      </c>
      <c r="AK96" s="627">
        <v>6160</v>
      </c>
      <c r="AL96" s="627" t="s">
        <v>651</v>
      </c>
      <c r="AM96" s="627" t="s">
        <v>342</v>
      </c>
      <c r="AN96" s="627">
        <v>0</v>
      </c>
      <c r="AO96" s="627">
        <v>0</v>
      </c>
      <c r="AP96" s="627">
        <v>0</v>
      </c>
      <c r="AQ96" s="627">
        <v>0</v>
      </c>
      <c r="AR96" s="627">
        <v>0</v>
      </c>
      <c r="AS96" s="627">
        <v>0</v>
      </c>
      <c r="AT96" s="627">
        <v>0</v>
      </c>
      <c r="AU96" s="627">
        <v>0</v>
      </c>
      <c r="AV96" s="627">
        <v>0</v>
      </c>
      <c r="AW96" s="627">
        <v>0</v>
      </c>
      <c r="AX96" s="627">
        <v>8567570</v>
      </c>
      <c r="AY96" s="627">
        <v>8568178</v>
      </c>
      <c r="AZ96" s="627">
        <v>4295274</v>
      </c>
      <c r="BA96" s="627">
        <v>317590</v>
      </c>
      <c r="BB96" s="627">
        <v>10.667</v>
      </c>
      <c r="BC96" s="627">
        <v>0</v>
      </c>
      <c r="BD96" s="627">
        <v>0</v>
      </c>
      <c r="BE96" s="627">
        <v>0</v>
      </c>
      <c r="BF96" s="627">
        <v>0</v>
      </c>
      <c r="BG96" s="627">
        <v>7601595</v>
      </c>
      <c r="BH96" s="627">
        <v>0</v>
      </c>
      <c r="BI96" s="627">
        <v>0</v>
      </c>
      <c r="BJ96" s="627">
        <v>0</v>
      </c>
      <c r="BK96" s="627">
        <v>12</v>
      </c>
      <c r="BL96" s="627">
        <v>0</v>
      </c>
      <c r="BM96" s="627">
        <v>0</v>
      </c>
      <c r="BN96" s="627">
        <v>0</v>
      </c>
      <c r="BO96" s="627">
        <v>0</v>
      </c>
      <c r="BP96" s="627">
        <v>0</v>
      </c>
      <c r="BQ96" s="627">
        <v>0</v>
      </c>
      <c r="BR96" s="627">
        <v>654</v>
      </c>
      <c r="BS96" s="627">
        <v>0</v>
      </c>
      <c r="BT96" s="627">
        <v>0</v>
      </c>
      <c r="BU96" s="627">
        <v>0</v>
      </c>
      <c r="BV96" s="627">
        <v>0</v>
      </c>
      <c r="BW96" s="627">
        <v>0</v>
      </c>
      <c r="BX96" s="627">
        <v>0</v>
      </c>
      <c r="BY96" s="627">
        <v>0</v>
      </c>
      <c r="BZ96" s="627">
        <v>0</v>
      </c>
      <c r="CA96" s="627">
        <v>0</v>
      </c>
      <c r="CB96" s="627">
        <v>0</v>
      </c>
      <c r="CC96" s="627">
        <v>0</v>
      </c>
      <c r="CD96" s="627">
        <v>0</v>
      </c>
      <c r="CE96" s="627">
        <v>0</v>
      </c>
      <c r="CF96" s="627">
        <v>0</v>
      </c>
      <c r="CG96" s="627">
        <v>0</v>
      </c>
      <c r="CH96" s="627">
        <v>0</v>
      </c>
      <c r="CI96" s="627">
        <v>0</v>
      </c>
      <c r="CJ96" s="627">
        <v>0</v>
      </c>
      <c r="CK96" s="627">
        <v>4</v>
      </c>
      <c r="CL96" s="627">
        <v>0</v>
      </c>
      <c r="CM96" s="627">
        <v>0</v>
      </c>
      <c r="CN96" s="627">
        <v>0</v>
      </c>
      <c r="CO96" s="627">
        <v>0</v>
      </c>
      <c r="CP96" s="627">
        <v>1</v>
      </c>
      <c r="CQ96" s="627">
        <v>0</v>
      </c>
      <c r="CR96" s="627">
        <v>0.91700000000000004</v>
      </c>
      <c r="CS96" s="627">
        <v>765.19</v>
      </c>
      <c r="CT96" s="627">
        <v>0</v>
      </c>
      <c r="CU96" s="627">
        <v>0</v>
      </c>
      <c r="CV96" s="627">
        <v>0</v>
      </c>
      <c r="CW96" s="627">
        <v>0</v>
      </c>
      <c r="CX96" s="627">
        <v>0</v>
      </c>
      <c r="CY96" s="627">
        <v>0</v>
      </c>
      <c r="CZ96" s="627">
        <v>0</v>
      </c>
      <c r="DA96" s="627">
        <v>0</v>
      </c>
      <c r="DB96" s="627">
        <v>0</v>
      </c>
      <c r="DC96" s="627">
        <v>4620776</v>
      </c>
      <c r="DD96" s="627">
        <v>0</v>
      </c>
      <c r="DE96" s="627">
        <v>0</v>
      </c>
      <c r="DF96" s="627">
        <v>1288441</v>
      </c>
      <c r="DG96" s="627">
        <v>1288441</v>
      </c>
      <c r="DH96" s="627">
        <v>209.16300000000001</v>
      </c>
      <c r="DI96" s="627">
        <v>0</v>
      </c>
      <c r="DJ96" s="627">
        <v>0</v>
      </c>
      <c r="DK96" s="627">
        <v>0</v>
      </c>
      <c r="DL96" s="627">
        <v>2094</v>
      </c>
      <c r="DM96" s="627">
        <v>0</v>
      </c>
      <c r="DN96" s="627">
        <v>178452</v>
      </c>
      <c r="DO96" s="627">
        <v>608</v>
      </c>
      <c r="DP96" s="627">
        <v>0</v>
      </c>
      <c r="DQ96" s="627">
        <v>0</v>
      </c>
      <c r="DR96" s="627">
        <v>0</v>
      </c>
      <c r="DS96" s="627">
        <v>0</v>
      </c>
      <c r="DT96" s="627">
        <v>0</v>
      </c>
      <c r="DU96" s="627">
        <v>0</v>
      </c>
      <c r="DV96" s="627">
        <v>0</v>
      </c>
      <c r="DW96" s="627">
        <v>0</v>
      </c>
      <c r="DX96" s="627">
        <v>0</v>
      </c>
      <c r="DY96" s="627">
        <v>0</v>
      </c>
      <c r="DZ96" s="627">
        <v>0</v>
      </c>
      <c r="EA96" s="627">
        <v>0</v>
      </c>
      <c r="EB96" s="627">
        <v>0</v>
      </c>
      <c r="EC96" s="627">
        <v>0</v>
      </c>
      <c r="ED96" s="627">
        <v>2.8680000000000003</v>
      </c>
      <c r="EE96" s="627">
        <v>20317</v>
      </c>
      <c r="EF96" s="627">
        <v>0</v>
      </c>
      <c r="EG96" s="627">
        <v>0</v>
      </c>
      <c r="EH96" s="627">
        <v>0</v>
      </c>
      <c r="EI96" s="627">
        <v>158743</v>
      </c>
      <c r="EJ96" s="627">
        <v>0</v>
      </c>
      <c r="EK96" s="627">
        <v>0</v>
      </c>
      <c r="EL96" s="627">
        <v>7.69</v>
      </c>
      <c r="EM96" s="627">
        <v>0</v>
      </c>
      <c r="EN96" s="627">
        <v>0</v>
      </c>
      <c r="EO96" s="627">
        <v>0.54</v>
      </c>
      <c r="EP96" s="627">
        <v>0</v>
      </c>
      <c r="EQ96" s="627">
        <v>0</v>
      </c>
      <c r="ER96" s="627">
        <v>8.23</v>
      </c>
      <c r="ES96" s="627">
        <v>0</v>
      </c>
      <c r="ET96" s="627">
        <v>25.77</v>
      </c>
      <c r="EU96" s="627">
        <v>0</v>
      </c>
      <c r="EV96" s="627">
        <v>0</v>
      </c>
      <c r="EW96" s="627">
        <v>0</v>
      </c>
      <c r="EX96" s="627">
        <v>0</v>
      </c>
      <c r="EY96" s="627">
        <v>0</v>
      </c>
      <c r="EZ96" s="627">
        <v>0</v>
      </c>
      <c r="FA96" s="627">
        <v>7284005</v>
      </c>
      <c r="FB96" s="627">
        <v>0</v>
      </c>
      <c r="FC96" s="627">
        <v>7600987</v>
      </c>
      <c r="FD96" s="627">
        <v>0</v>
      </c>
      <c r="FE96" s="627">
        <v>0</v>
      </c>
      <c r="FF96" s="627">
        <v>1094601</v>
      </c>
      <c r="FG96" s="627">
        <v>189572</v>
      </c>
      <c r="FH96" s="627">
        <v>7.0280999999999996E-2</v>
      </c>
      <c r="FI96" s="627">
        <v>3.1172999999999999E-2</v>
      </c>
      <c r="FJ96" s="627">
        <v>0</v>
      </c>
      <c r="FK96" s="627">
        <v>0</v>
      </c>
      <c r="FL96" s="627">
        <v>1234.0250000000001</v>
      </c>
      <c r="FM96" s="627">
        <v>8885160</v>
      </c>
      <c r="FN96" s="627">
        <v>0</v>
      </c>
      <c r="FO96" s="627">
        <v>0</v>
      </c>
      <c r="FP96" s="627">
        <v>0</v>
      </c>
      <c r="FQ96" s="627">
        <v>0</v>
      </c>
      <c r="FR96" s="627">
        <v>0</v>
      </c>
      <c r="FS96" s="627">
        <v>0</v>
      </c>
      <c r="FT96" s="627">
        <v>0</v>
      </c>
      <c r="FU96" s="627">
        <v>0</v>
      </c>
      <c r="FV96" s="627">
        <v>0</v>
      </c>
      <c r="FW96" s="627">
        <v>0</v>
      </c>
      <c r="FX96" s="627">
        <v>0</v>
      </c>
      <c r="FY96" s="627">
        <v>0</v>
      </c>
      <c r="FZ96" s="627">
        <v>0</v>
      </c>
      <c r="GA96" s="627">
        <v>0</v>
      </c>
      <c r="GB96" s="627">
        <v>0</v>
      </c>
      <c r="GC96" s="627">
        <v>0</v>
      </c>
      <c r="GD96" s="627">
        <v>0</v>
      </c>
      <c r="GE96" s="627">
        <v>0</v>
      </c>
      <c r="GF96" s="627">
        <v>0</v>
      </c>
      <c r="GG96" s="627">
        <v>0</v>
      </c>
      <c r="GH96" s="627">
        <v>0</v>
      </c>
      <c r="GI96" s="627">
        <v>0</v>
      </c>
      <c r="GJ96" s="627">
        <v>0</v>
      </c>
      <c r="GK96" s="627">
        <v>0</v>
      </c>
      <c r="GL96" s="627">
        <v>0</v>
      </c>
      <c r="GM96" s="627">
        <v>0</v>
      </c>
      <c r="GN96" s="627">
        <v>0</v>
      </c>
      <c r="GO96" s="627">
        <v>0</v>
      </c>
      <c r="GP96" s="627">
        <v>0</v>
      </c>
      <c r="GQ96" s="627">
        <v>0</v>
      </c>
      <c r="GR96" s="627">
        <v>8567570</v>
      </c>
      <c r="GS96" s="627">
        <v>0</v>
      </c>
      <c r="GT96" s="627">
        <v>0</v>
      </c>
      <c r="GU96" s="627">
        <v>0</v>
      </c>
      <c r="GV96" s="627">
        <v>0</v>
      </c>
      <c r="GW96" s="627">
        <v>0</v>
      </c>
      <c r="GX96" s="627">
        <v>0</v>
      </c>
      <c r="GY96" s="627">
        <v>0</v>
      </c>
      <c r="GZ96" s="627">
        <v>0</v>
      </c>
      <c r="HA96" s="627">
        <v>0</v>
      </c>
      <c r="HB96" s="627">
        <v>0</v>
      </c>
      <c r="HC96" s="627">
        <v>0</v>
      </c>
      <c r="HD96" s="627">
        <v>3.9981999999999997E-2</v>
      </c>
      <c r="HE96" s="627">
        <v>0</v>
      </c>
      <c r="HF96" s="627">
        <v>0</v>
      </c>
      <c r="HG96" s="627">
        <v>826639</v>
      </c>
      <c r="HH96" s="627">
        <v>0</v>
      </c>
      <c r="HI96" s="627">
        <v>349937</v>
      </c>
      <c r="HJ96" s="627">
        <v>0</v>
      </c>
      <c r="HK96" s="627">
        <v>22584</v>
      </c>
      <c r="HL96" s="627">
        <v>0</v>
      </c>
      <c r="HM96" s="627">
        <v>0</v>
      </c>
      <c r="HN96" s="627">
        <v>0</v>
      </c>
      <c r="HO96" s="627">
        <v>0</v>
      </c>
      <c r="HP96" s="627">
        <v>0</v>
      </c>
      <c r="HQ96" s="627">
        <v>0</v>
      </c>
      <c r="HR96" s="627">
        <v>0</v>
      </c>
      <c r="HS96" s="627">
        <v>0</v>
      </c>
      <c r="HT96" s="627">
        <v>7283397</v>
      </c>
      <c r="HU96" s="627">
        <v>189572</v>
      </c>
      <c r="HV96" s="627">
        <v>0</v>
      </c>
      <c r="HW96" s="627">
        <v>0</v>
      </c>
      <c r="HX96" s="627">
        <v>0</v>
      </c>
      <c r="HY96" s="627">
        <v>15</v>
      </c>
      <c r="HZ96" s="627">
        <v>32</v>
      </c>
      <c r="IA96" s="627">
        <v>90</v>
      </c>
      <c r="IB96" s="627">
        <v>135</v>
      </c>
      <c r="IC96" s="627">
        <v>510</v>
      </c>
      <c r="ID96" s="627">
        <v>782</v>
      </c>
      <c r="IE96" s="627">
        <v>0</v>
      </c>
      <c r="IF96" s="627">
        <v>0</v>
      </c>
      <c r="IG96" s="627">
        <v>0</v>
      </c>
      <c r="IH96" s="627">
        <v>0</v>
      </c>
      <c r="II96" s="627">
        <v>568.08000000000004</v>
      </c>
      <c r="IJ96" s="627">
        <v>0</v>
      </c>
      <c r="IK96" s="627">
        <v>509.99600000000004</v>
      </c>
      <c r="IL96" s="627">
        <v>0</v>
      </c>
      <c r="IM96" s="627">
        <v>0</v>
      </c>
      <c r="IN96" s="627">
        <v>0</v>
      </c>
      <c r="IO96" s="627">
        <v>0</v>
      </c>
      <c r="IP96" s="627">
        <v>0</v>
      </c>
      <c r="IQ96" s="627">
        <v>0</v>
      </c>
      <c r="IR96" s="627">
        <v>509.99600000000004</v>
      </c>
      <c r="IS96" s="627">
        <v>314158</v>
      </c>
      <c r="IT96" s="627">
        <v>0</v>
      </c>
      <c r="IU96" s="627">
        <v>0</v>
      </c>
      <c r="IV96" s="627">
        <v>0</v>
      </c>
      <c r="IW96" s="627">
        <v>0</v>
      </c>
      <c r="IX96" s="627">
        <v>6160</v>
      </c>
      <c r="IY96" s="627">
        <v>0</v>
      </c>
      <c r="IZ96" s="627">
        <v>0</v>
      </c>
      <c r="JA96" s="627">
        <v>0</v>
      </c>
      <c r="JB96" s="627">
        <v>0</v>
      </c>
      <c r="JC96" s="627">
        <v>0</v>
      </c>
      <c r="JD96" s="627">
        <v>0</v>
      </c>
      <c r="JE96" s="627">
        <v>0</v>
      </c>
      <c r="JF96" s="627">
        <v>0</v>
      </c>
      <c r="JG96" s="627">
        <v>0</v>
      </c>
      <c r="JH96" s="627">
        <v>0</v>
      </c>
      <c r="JI96" s="627">
        <v>0</v>
      </c>
      <c r="JJ96" s="627">
        <v>0</v>
      </c>
      <c r="JK96" s="627">
        <v>0</v>
      </c>
      <c r="JL96" s="627">
        <v>0</v>
      </c>
      <c r="JM96" s="627">
        <v>0</v>
      </c>
      <c r="JN96" s="627">
        <v>0</v>
      </c>
      <c r="JO96" s="627">
        <v>32469</v>
      </c>
      <c r="JP96" s="627">
        <v>0</v>
      </c>
      <c r="JQ96" s="627">
        <v>0</v>
      </c>
      <c r="JR96" s="627">
        <v>0</v>
      </c>
      <c r="JS96" s="627">
        <v>0</v>
      </c>
      <c r="JT96" s="627">
        <v>0</v>
      </c>
      <c r="JU96" s="627">
        <v>0</v>
      </c>
      <c r="JV96" s="627">
        <v>0</v>
      </c>
      <c r="JW96" s="627">
        <v>0</v>
      </c>
      <c r="JX96" s="627">
        <v>0</v>
      </c>
      <c r="JY96" s="627">
        <v>0</v>
      </c>
      <c r="JZ96" s="627">
        <v>0</v>
      </c>
      <c r="KA96" s="627">
        <v>0</v>
      </c>
      <c r="KB96" s="627">
        <v>0</v>
      </c>
      <c r="KC96" s="627">
        <v>0</v>
      </c>
      <c r="KD96" s="627">
        <v>0</v>
      </c>
      <c r="KE96" s="627">
        <v>0</v>
      </c>
      <c r="KF96" s="627">
        <v>7262</v>
      </c>
      <c r="KG96" s="627">
        <v>0</v>
      </c>
      <c r="KH96" s="627">
        <v>0</v>
      </c>
      <c r="KI96" s="627">
        <v>8567570</v>
      </c>
      <c r="KJ96" s="627">
        <v>0</v>
      </c>
      <c r="KK96" s="627">
        <v>0</v>
      </c>
      <c r="KL96" s="627">
        <v>0</v>
      </c>
      <c r="KM96" s="627">
        <v>0</v>
      </c>
      <c r="KN96" s="627">
        <v>0</v>
      </c>
      <c r="KO96" s="627">
        <v>0</v>
      </c>
      <c r="KP96" s="627">
        <v>0</v>
      </c>
      <c r="KQ96" s="627">
        <v>8567570</v>
      </c>
      <c r="KR96" s="627">
        <v>0</v>
      </c>
      <c r="KS96" s="627">
        <v>0</v>
      </c>
      <c r="KT96" s="627">
        <v>0</v>
      </c>
      <c r="KU96" s="627">
        <v>0</v>
      </c>
      <c r="KV96" s="627">
        <v>0</v>
      </c>
      <c r="KW96" s="627">
        <v>0</v>
      </c>
      <c r="KX96" s="627">
        <v>0</v>
      </c>
      <c r="KY96" s="627">
        <v>0</v>
      </c>
      <c r="KZ96" s="627">
        <v>0</v>
      </c>
      <c r="LA96" s="627">
        <v>0</v>
      </c>
      <c r="LB96" s="627">
        <v>0</v>
      </c>
      <c r="LC96" s="627">
        <v>0</v>
      </c>
      <c r="LD96" s="627">
        <v>0</v>
      </c>
      <c r="LE96" s="627">
        <v>0</v>
      </c>
      <c r="LF96" s="627">
        <v>0</v>
      </c>
    </row>
    <row r="97" spans="1:318" x14ac:dyDescent="0.25">
      <c r="A97" s="627">
        <v>42602</v>
      </c>
      <c r="B97" s="627">
        <v>108810</v>
      </c>
      <c r="D97" s="627">
        <v>9</v>
      </c>
      <c r="E97" s="627">
        <v>2024</v>
      </c>
      <c r="F97" s="627">
        <v>6160</v>
      </c>
      <c r="G97" s="627">
        <v>0</v>
      </c>
      <c r="H97" s="627">
        <v>101.79700000000001</v>
      </c>
      <c r="I97" s="627">
        <v>101.79700000000001</v>
      </c>
      <c r="J97" s="627">
        <v>101.79700000000001</v>
      </c>
      <c r="K97" s="627">
        <v>101.79700000000001</v>
      </c>
      <c r="L97" s="627">
        <v>0</v>
      </c>
      <c r="M97" s="627">
        <v>6160</v>
      </c>
      <c r="N97" s="627">
        <v>0</v>
      </c>
      <c r="O97" s="627">
        <v>0</v>
      </c>
      <c r="P97" s="627">
        <v>0</v>
      </c>
      <c r="Q97" s="627">
        <v>0</v>
      </c>
      <c r="R97" s="627">
        <v>0</v>
      </c>
      <c r="S97" s="627">
        <v>0</v>
      </c>
      <c r="T97" s="627">
        <v>414.88400000000001</v>
      </c>
      <c r="U97" s="627">
        <v>0</v>
      </c>
      <c r="V97" s="627">
        <v>0</v>
      </c>
      <c r="W97" s="627">
        <v>0.25</v>
      </c>
      <c r="X97" s="627">
        <v>36549</v>
      </c>
      <c r="Y97" s="627">
        <v>36549</v>
      </c>
      <c r="Z97" s="627">
        <v>0</v>
      </c>
      <c r="AA97" s="627">
        <v>0</v>
      </c>
      <c r="AB97" s="627">
        <v>0</v>
      </c>
      <c r="AC97" s="627">
        <v>0</v>
      </c>
      <c r="AD97" s="627">
        <v>0</v>
      </c>
      <c r="AE97" s="627" t="s">
        <v>314</v>
      </c>
      <c r="AF97" s="627">
        <v>0</v>
      </c>
      <c r="AG97" s="627">
        <v>0</v>
      </c>
      <c r="AH97" s="627">
        <v>0</v>
      </c>
      <c r="AI97" s="627">
        <v>0</v>
      </c>
      <c r="AJ97" s="627">
        <v>0</v>
      </c>
      <c r="AK97" s="627">
        <v>6160</v>
      </c>
      <c r="AL97" s="627" t="s">
        <v>651</v>
      </c>
      <c r="AM97" s="627" t="s">
        <v>1067</v>
      </c>
      <c r="AN97" s="627">
        <v>0</v>
      </c>
      <c r="AO97" s="627">
        <v>0</v>
      </c>
      <c r="AP97" s="627">
        <v>0</v>
      </c>
      <c r="AQ97" s="627">
        <v>0</v>
      </c>
      <c r="AR97" s="627">
        <v>0</v>
      </c>
      <c r="AS97" s="627">
        <v>0</v>
      </c>
      <c r="AT97" s="627">
        <v>0</v>
      </c>
      <c r="AU97" s="627">
        <v>0</v>
      </c>
      <c r="AV97" s="627">
        <v>0</v>
      </c>
      <c r="AW97" s="627">
        <v>0</v>
      </c>
      <c r="AX97" s="627">
        <v>1221621</v>
      </c>
      <c r="AY97" s="627">
        <v>1221629</v>
      </c>
      <c r="AZ97" s="627">
        <v>975822</v>
      </c>
      <c r="BA97" s="627">
        <v>0</v>
      </c>
      <c r="BB97" s="627">
        <v>0</v>
      </c>
      <c r="BC97" s="627">
        <v>0</v>
      </c>
      <c r="BD97" s="627">
        <v>0</v>
      </c>
      <c r="BE97" s="627">
        <v>0</v>
      </c>
      <c r="BF97" s="627">
        <v>0</v>
      </c>
      <c r="BG97" s="627">
        <v>1045078</v>
      </c>
      <c r="BH97" s="627">
        <v>0</v>
      </c>
      <c r="BI97" s="627">
        <v>0</v>
      </c>
      <c r="BJ97" s="627">
        <v>0</v>
      </c>
      <c r="BK97" s="627">
        <v>12</v>
      </c>
      <c r="BL97" s="627">
        <v>0</v>
      </c>
      <c r="BM97" s="627">
        <v>0</v>
      </c>
      <c r="BN97" s="627">
        <v>0</v>
      </c>
      <c r="BO97" s="627">
        <v>0</v>
      </c>
      <c r="BP97" s="627">
        <v>0</v>
      </c>
      <c r="BQ97" s="627">
        <v>0</v>
      </c>
      <c r="BR97" s="627">
        <v>754</v>
      </c>
      <c r="BS97" s="627">
        <v>0</v>
      </c>
      <c r="BT97" s="627">
        <v>0</v>
      </c>
      <c r="BU97" s="627">
        <v>0</v>
      </c>
      <c r="BV97" s="627">
        <v>0</v>
      </c>
      <c r="BW97" s="627">
        <v>0</v>
      </c>
      <c r="BX97" s="627">
        <v>0</v>
      </c>
      <c r="BY97" s="627">
        <v>0</v>
      </c>
      <c r="BZ97" s="627">
        <v>0</v>
      </c>
      <c r="CA97" s="627">
        <v>0</v>
      </c>
      <c r="CB97" s="627">
        <v>0</v>
      </c>
      <c r="CC97" s="627">
        <v>0</v>
      </c>
      <c r="CD97" s="627">
        <v>0</v>
      </c>
      <c r="CE97" s="627">
        <v>0</v>
      </c>
      <c r="CF97" s="627">
        <v>0</v>
      </c>
      <c r="CG97" s="627">
        <v>0</v>
      </c>
      <c r="CH97" s="627">
        <v>0</v>
      </c>
      <c r="CI97" s="627">
        <v>0</v>
      </c>
      <c r="CJ97" s="627">
        <v>0</v>
      </c>
      <c r="CK97" s="627">
        <v>4</v>
      </c>
      <c r="CL97" s="627">
        <v>0</v>
      </c>
      <c r="CM97" s="627">
        <v>0</v>
      </c>
      <c r="CN97" s="627">
        <v>0</v>
      </c>
      <c r="CO97" s="627">
        <v>0</v>
      </c>
      <c r="CP97" s="627">
        <v>1</v>
      </c>
      <c r="CQ97" s="627">
        <v>0</v>
      </c>
      <c r="CR97" s="627">
        <v>0</v>
      </c>
      <c r="CS97" s="627">
        <v>0</v>
      </c>
      <c r="CT97" s="627">
        <v>0</v>
      </c>
      <c r="CU97" s="627">
        <v>0</v>
      </c>
      <c r="CV97" s="627">
        <v>0</v>
      </c>
      <c r="CW97" s="627">
        <v>0</v>
      </c>
      <c r="CX97" s="627">
        <v>0</v>
      </c>
      <c r="CY97" s="627">
        <v>0</v>
      </c>
      <c r="CZ97" s="627">
        <v>0</v>
      </c>
      <c r="DA97" s="627">
        <v>0</v>
      </c>
      <c r="DB97" s="627">
        <v>0</v>
      </c>
      <c r="DC97" s="627">
        <v>627070</v>
      </c>
      <c r="DD97" s="627">
        <v>0</v>
      </c>
      <c r="DE97" s="627">
        <v>0</v>
      </c>
      <c r="DF97" s="627">
        <v>231770</v>
      </c>
      <c r="DG97" s="627">
        <v>231770</v>
      </c>
      <c r="DH97" s="627">
        <v>37.625</v>
      </c>
      <c r="DI97" s="627">
        <v>0</v>
      </c>
      <c r="DJ97" s="627">
        <v>0</v>
      </c>
      <c r="DK97" s="627">
        <v>0</v>
      </c>
      <c r="DL97" s="627">
        <v>3692</v>
      </c>
      <c r="DM97" s="627">
        <v>0</v>
      </c>
      <c r="DN97" s="627">
        <v>2238</v>
      </c>
      <c r="DO97" s="627">
        <v>8</v>
      </c>
      <c r="DP97" s="627">
        <v>0</v>
      </c>
      <c r="DQ97" s="627">
        <v>0</v>
      </c>
      <c r="DR97" s="627">
        <v>0</v>
      </c>
      <c r="DS97" s="627">
        <v>0</v>
      </c>
      <c r="DT97" s="627">
        <v>0</v>
      </c>
      <c r="DU97" s="627">
        <v>0</v>
      </c>
      <c r="DV97" s="627">
        <v>0</v>
      </c>
      <c r="DW97" s="627">
        <v>0</v>
      </c>
      <c r="DX97" s="627">
        <v>0</v>
      </c>
      <c r="DY97" s="627">
        <v>0</v>
      </c>
      <c r="DZ97" s="627">
        <v>0</v>
      </c>
      <c r="EA97" s="627">
        <v>0</v>
      </c>
      <c r="EB97" s="627">
        <v>0</v>
      </c>
      <c r="EC97" s="627">
        <v>0</v>
      </c>
      <c r="ED97" s="627">
        <v>0.317</v>
      </c>
      <c r="EE97" s="627">
        <v>2246</v>
      </c>
      <c r="EF97" s="627">
        <v>0</v>
      </c>
      <c r="EG97" s="627">
        <v>0</v>
      </c>
      <c r="EH97" s="627">
        <v>0</v>
      </c>
      <c r="EI97" s="627">
        <v>0</v>
      </c>
      <c r="EJ97" s="627">
        <v>0</v>
      </c>
      <c r="EK97" s="627">
        <v>0</v>
      </c>
      <c r="EL97" s="627">
        <v>0</v>
      </c>
      <c r="EM97" s="627">
        <v>0</v>
      </c>
      <c r="EN97" s="627">
        <v>0</v>
      </c>
      <c r="EO97" s="627">
        <v>0</v>
      </c>
      <c r="EP97" s="627">
        <v>0</v>
      </c>
      <c r="EQ97" s="627">
        <v>0</v>
      </c>
      <c r="ER97" s="627">
        <v>0</v>
      </c>
      <c r="ES97" s="627">
        <v>0</v>
      </c>
      <c r="ET97" s="627">
        <v>0</v>
      </c>
      <c r="EU97" s="627">
        <v>0</v>
      </c>
      <c r="EV97" s="627">
        <v>0</v>
      </c>
      <c r="EW97" s="627">
        <v>0</v>
      </c>
      <c r="EX97" s="627">
        <v>0</v>
      </c>
      <c r="EY97" s="627">
        <v>0</v>
      </c>
      <c r="EZ97" s="627">
        <v>0</v>
      </c>
      <c r="FA97" s="627">
        <v>1045078</v>
      </c>
      <c r="FB97" s="627">
        <v>0</v>
      </c>
      <c r="FC97" s="627">
        <v>1045070</v>
      </c>
      <c r="FD97" s="627">
        <v>0</v>
      </c>
      <c r="FE97" s="627">
        <v>0</v>
      </c>
      <c r="FF97" s="627">
        <v>150488</v>
      </c>
      <c r="FG97" s="627">
        <v>26063</v>
      </c>
      <c r="FH97" s="627">
        <v>7.0280999999999996E-2</v>
      </c>
      <c r="FI97" s="627">
        <v>3.1172999999999999E-2</v>
      </c>
      <c r="FJ97" s="627">
        <v>0</v>
      </c>
      <c r="FK97" s="627">
        <v>0</v>
      </c>
      <c r="FL97" s="627">
        <v>169.65600000000001</v>
      </c>
      <c r="FM97" s="627">
        <v>1221621</v>
      </c>
      <c r="FN97" s="627">
        <v>0</v>
      </c>
      <c r="FO97" s="627">
        <v>0</v>
      </c>
      <c r="FP97" s="627">
        <v>0</v>
      </c>
      <c r="FQ97" s="627">
        <v>0</v>
      </c>
      <c r="FR97" s="627">
        <v>0</v>
      </c>
      <c r="FS97" s="627">
        <v>0</v>
      </c>
      <c r="FT97" s="627">
        <v>0</v>
      </c>
      <c r="FU97" s="627">
        <v>0</v>
      </c>
      <c r="FV97" s="627">
        <v>0</v>
      </c>
      <c r="FW97" s="627">
        <v>0</v>
      </c>
      <c r="FX97" s="627">
        <v>0</v>
      </c>
      <c r="FY97" s="627">
        <v>0</v>
      </c>
      <c r="FZ97" s="627">
        <v>0</v>
      </c>
      <c r="GA97" s="627">
        <v>0</v>
      </c>
      <c r="GB97" s="627">
        <v>0</v>
      </c>
      <c r="GC97" s="627">
        <v>0</v>
      </c>
      <c r="GD97" s="627">
        <v>0</v>
      </c>
      <c r="GE97" s="627">
        <v>0</v>
      </c>
      <c r="GF97" s="627">
        <v>0</v>
      </c>
      <c r="GG97" s="627">
        <v>0</v>
      </c>
      <c r="GH97" s="627">
        <v>0</v>
      </c>
      <c r="GI97" s="627">
        <v>0</v>
      </c>
      <c r="GJ97" s="627">
        <v>0</v>
      </c>
      <c r="GK97" s="627">
        <v>0</v>
      </c>
      <c r="GL97" s="627">
        <v>0</v>
      </c>
      <c r="GM97" s="627">
        <v>0</v>
      </c>
      <c r="GN97" s="627">
        <v>0</v>
      </c>
      <c r="GO97" s="627">
        <v>0</v>
      </c>
      <c r="GP97" s="627">
        <v>0</v>
      </c>
      <c r="GQ97" s="627">
        <v>0</v>
      </c>
      <c r="GR97" s="627">
        <v>1221621</v>
      </c>
      <c r="GS97" s="627">
        <v>0</v>
      </c>
      <c r="GT97" s="627">
        <v>0</v>
      </c>
      <c r="GU97" s="627">
        <v>0</v>
      </c>
      <c r="GV97" s="627">
        <v>0</v>
      </c>
      <c r="GW97" s="627">
        <v>0</v>
      </c>
      <c r="GX97" s="627">
        <v>0</v>
      </c>
      <c r="GY97" s="627">
        <v>0</v>
      </c>
      <c r="GZ97" s="627">
        <v>0</v>
      </c>
      <c r="HA97" s="627">
        <v>0</v>
      </c>
      <c r="HB97" s="627">
        <v>0</v>
      </c>
      <c r="HC97" s="627">
        <v>0</v>
      </c>
      <c r="HD97" s="627">
        <v>3.9981999999999997E-2</v>
      </c>
      <c r="HE97" s="627">
        <v>0</v>
      </c>
      <c r="HF97" s="627">
        <v>0</v>
      </c>
      <c r="HG97" s="627">
        <v>112180</v>
      </c>
      <c r="HH97" s="627">
        <v>5544</v>
      </c>
      <c r="HI97" s="627">
        <v>28701</v>
      </c>
      <c r="HJ97" s="627">
        <v>0</v>
      </c>
      <c r="HK97" s="627">
        <v>1018</v>
      </c>
      <c r="HL97" s="627">
        <v>0</v>
      </c>
      <c r="HM97" s="627">
        <v>0</v>
      </c>
      <c r="HN97" s="627">
        <v>0</v>
      </c>
      <c r="HO97" s="627">
        <v>0</v>
      </c>
      <c r="HP97" s="627">
        <v>0</v>
      </c>
      <c r="HQ97" s="627">
        <v>0</v>
      </c>
      <c r="HR97" s="627">
        <v>0</v>
      </c>
      <c r="HS97" s="627">
        <v>0</v>
      </c>
      <c r="HT97" s="627">
        <v>1045070</v>
      </c>
      <c r="HU97" s="627">
        <v>26063</v>
      </c>
      <c r="HV97" s="627">
        <v>0</v>
      </c>
      <c r="HW97" s="627">
        <v>0</v>
      </c>
      <c r="HX97" s="627">
        <v>0</v>
      </c>
      <c r="HY97" s="627">
        <v>22</v>
      </c>
      <c r="HZ97" s="627">
        <v>16</v>
      </c>
      <c r="IA97" s="627">
        <v>26</v>
      </c>
      <c r="IB97" s="627">
        <v>58</v>
      </c>
      <c r="IC97" s="627">
        <v>26</v>
      </c>
      <c r="ID97" s="627">
        <v>148</v>
      </c>
      <c r="IE97" s="627">
        <v>0</v>
      </c>
      <c r="IF97" s="627">
        <v>39.388000000000005</v>
      </c>
      <c r="IG97" s="627">
        <v>0</v>
      </c>
      <c r="IH97" s="627">
        <v>9</v>
      </c>
      <c r="II97" s="627">
        <v>46.591999999999999</v>
      </c>
      <c r="IJ97" s="627">
        <v>0</v>
      </c>
      <c r="IK97" s="627">
        <v>39.638000000000005</v>
      </c>
      <c r="IL97" s="627">
        <v>0</v>
      </c>
      <c r="IM97" s="627">
        <v>0</v>
      </c>
      <c r="IN97" s="627">
        <v>0</v>
      </c>
      <c r="IO97" s="627">
        <v>0</v>
      </c>
      <c r="IP97" s="627">
        <v>0</v>
      </c>
      <c r="IQ97" s="627">
        <v>0</v>
      </c>
      <c r="IR97" s="627">
        <v>0.25</v>
      </c>
      <c r="IS97" s="627">
        <v>154</v>
      </c>
      <c r="IT97" s="627">
        <v>0</v>
      </c>
      <c r="IU97" s="627">
        <v>0</v>
      </c>
      <c r="IV97" s="627">
        <v>0</v>
      </c>
      <c r="IW97" s="627">
        <v>0</v>
      </c>
      <c r="IX97" s="627">
        <v>6160</v>
      </c>
      <c r="IY97" s="627">
        <v>36395</v>
      </c>
      <c r="IZ97" s="627">
        <v>0</v>
      </c>
      <c r="JA97" s="627">
        <v>0</v>
      </c>
      <c r="JB97" s="627">
        <v>0</v>
      </c>
      <c r="JC97" s="627">
        <v>0</v>
      </c>
      <c r="JD97" s="627">
        <v>0</v>
      </c>
      <c r="JE97" s="627">
        <v>0</v>
      </c>
      <c r="JF97" s="627">
        <v>0</v>
      </c>
      <c r="JG97" s="627">
        <v>0</v>
      </c>
      <c r="JH97" s="627">
        <v>0</v>
      </c>
      <c r="JI97" s="627">
        <v>0</v>
      </c>
      <c r="JJ97" s="627">
        <v>0</v>
      </c>
      <c r="JK97" s="627">
        <v>0</v>
      </c>
      <c r="JL97" s="627">
        <v>0</v>
      </c>
      <c r="JM97" s="627">
        <v>0</v>
      </c>
      <c r="JN97" s="627">
        <v>0</v>
      </c>
      <c r="JO97" s="627">
        <v>0</v>
      </c>
      <c r="JP97" s="627">
        <v>0</v>
      </c>
      <c r="JQ97" s="627">
        <v>0</v>
      </c>
      <c r="JR97" s="627">
        <v>0</v>
      </c>
      <c r="JS97" s="627">
        <v>0</v>
      </c>
      <c r="JT97" s="627">
        <v>0</v>
      </c>
      <c r="JU97" s="627">
        <v>0</v>
      </c>
      <c r="JV97" s="627">
        <v>0</v>
      </c>
      <c r="JW97" s="627">
        <v>0</v>
      </c>
      <c r="JX97" s="627">
        <v>0</v>
      </c>
      <c r="JY97" s="627">
        <v>0</v>
      </c>
      <c r="JZ97" s="627">
        <v>0</v>
      </c>
      <c r="KA97" s="627">
        <v>0</v>
      </c>
      <c r="KB97" s="627">
        <v>0</v>
      </c>
      <c r="KC97" s="627">
        <v>0</v>
      </c>
      <c r="KD97" s="627">
        <v>0</v>
      </c>
      <c r="KE97" s="627">
        <v>0</v>
      </c>
      <c r="KF97" s="627">
        <v>7262</v>
      </c>
      <c r="KG97" s="627">
        <v>0</v>
      </c>
      <c r="KH97" s="627">
        <v>0</v>
      </c>
      <c r="KI97" s="627">
        <v>1221621</v>
      </c>
      <c r="KJ97" s="627">
        <v>0</v>
      </c>
      <c r="KK97" s="627">
        <v>4</v>
      </c>
      <c r="KL97" s="627">
        <v>5</v>
      </c>
      <c r="KM97" s="627">
        <v>2464</v>
      </c>
      <c r="KN97" s="627">
        <v>3080</v>
      </c>
      <c r="KO97" s="627">
        <v>0</v>
      </c>
      <c r="KP97" s="627">
        <v>0</v>
      </c>
      <c r="KQ97" s="627">
        <v>1221621</v>
      </c>
      <c r="KR97" s="627">
        <v>0</v>
      </c>
      <c r="KS97" s="627">
        <v>0</v>
      </c>
      <c r="KT97" s="627">
        <v>0</v>
      </c>
      <c r="KU97" s="627">
        <v>0</v>
      </c>
      <c r="KV97" s="627">
        <v>0</v>
      </c>
      <c r="KW97" s="627">
        <v>0</v>
      </c>
      <c r="KX97" s="627">
        <v>0</v>
      </c>
      <c r="KY97" s="627">
        <v>0</v>
      </c>
      <c r="KZ97" s="627">
        <v>0</v>
      </c>
      <c r="LA97" s="627">
        <v>0</v>
      </c>
      <c r="LB97" s="627">
        <v>0</v>
      </c>
      <c r="LC97" s="627">
        <v>0</v>
      </c>
      <c r="LD97" s="627">
        <v>0</v>
      </c>
      <c r="LE97" s="627">
        <v>0</v>
      </c>
      <c r="LF97" s="627">
        <v>0</v>
      </c>
    </row>
    <row r="98" spans="1:318" x14ac:dyDescent="0.25">
      <c r="A98" s="627">
        <v>42602</v>
      </c>
      <c r="B98" s="627">
        <v>220810</v>
      </c>
      <c r="D98" s="627">
        <v>9</v>
      </c>
      <c r="E98" s="627">
        <v>2024</v>
      </c>
      <c r="F98" s="627">
        <v>6160</v>
      </c>
      <c r="G98" s="627">
        <v>0</v>
      </c>
      <c r="H98" s="627">
        <v>842.22800000000007</v>
      </c>
      <c r="I98" s="627">
        <v>739.51300000000003</v>
      </c>
      <c r="J98" s="627">
        <v>739.51300000000003</v>
      </c>
      <c r="K98" s="627">
        <v>842.22800000000007</v>
      </c>
      <c r="L98" s="627">
        <v>0</v>
      </c>
      <c r="M98" s="627">
        <v>6160</v>
      </c>
      <c r="N98" s="627">
        <v>0</v>
      </c>
      <c r="O98" s="627">
        <v>0</v>
      </c>
      <c r="P98" s="627">
        <v>0</v>
      </c>
      <c r="Q98" s="627">
        <v>827.02300000000002</v>
      </c>
      <c r="R98" s="627">
        <v>0</v>
      </c>
      <c r="S98" s="627">
        <v>343119</v>
      </c>
      <c r="T98" s="627">
        <v>414.88400000000001</v>
      </c>
      <c r="U98" s="627">
        <v>0</v>
      </c>
      <c r="V98" s="627">
        <v>178064</v>
      </c>
      <c r="W98" s="627">
        <v>28.797000000000001</v>
      </c>
      <c r="X98" s="627">
        <v>17739</v>
      </c>
      <c r="Y98" s="627">
        <v>17739</v>
      </c>
      <c r="Z98" s="627">
        <v>0</v>
      </c>
      <c r="AA98" s="627">
        <v>0</v>
      </c>
      <c r="AB98" s="627">
        <v>0</v>
      </c>
      <c r="AC98" s="627">
        <v>0</v>
      </c>
      <c r="AD98" s="627">
        <v>0</v>
      </c>
      <c r="AE98" s="627" t="s">
        <v>314</v>
      </c>
      <c r="AF98" s="627">
        <v>0</v>
      </c>
      <c r="AG98" s="627">
        <v>0</v>
      </c>
      <c r="AH98" s="627">
        <v>0</v>
      </c>
      <c r="AI98" s="627">
        <v>0</v>
      </c>
      <c r="AJ98" s="627">
        <v>0</v>
      </c>
      <c r="AK98" s="627">
        <v>6160</v>
      </c>
      <c r="AL98" s="627" t="s">
        <v>651</v>
      </c>
      <c r="AM98" s="627" t="s">
        <v>0</v>
      </c>
      <c r="AN98" s="627">
        <v>0</v>
      </c>
      <c r="AO98" s="627">
        <v>0</v>
      </c>
      <c r="AP98" s="627">
        <v>0</v>
      </c>
      <c r="AQ98" s="627">
        <v>0</v>
      </c>
      <c r="AR98" s="627">
        <v>0</v>
      </c>
      <c r="AS98" s="627">
        <v>0</v>
      </c>
      <c r="AT98" s="627">
        <v>0</v>
      </c>
      <c r="AU98" s="627">
        <v>0</v>
      </c>
      <c r="AV98" s="627">
        <v>0</v>
      </c>
      <c r="AW98" s="627">
        <v>0</v>
      </c>
      <c r="AX98" s="627">
        <v>7628240</v>
      </c>
      <c r="AY98" s="627">
        <v>7495196</v>
      </c>
      <c r="AZ98" s="627">
        <v>3787962</v>
      </c>
      <c r="BA98" s="627">
        <v>343119</v>
      </c>
      <c r="BB98" s="627">
        <v>0</v>
      </c>
      <c r="BC98" s="627">
        <v>0</v>
      </c>
      <c r="BD98" s="627">
        <v>0</v>
      </c>
      <c r="BE98" s="627">
        <v>0</v>
      </c>
      <c r="BF98" s="627">
        <v>0</v>
      </c>
      <c r="BG98" s="627">
        <v>6699804</v>
      </c>
      <c r="BH98" s="627">
        <v>0</v>
      </c>
      <c r="BI98" s="627">
        <v>0</v>
      </c>
      <c r="BJ98" s="627">
        <v>0</v>
      </c>
      <c r="BK98" s="627">
        <v>12</v>
      </c>
      <c r="BL98" s="627">
        <v>0</v>
      </c>
      <c r="BM98" s="627">
        <v>0</v>
      </c>
      <c r="BN98" s="627">
        <v>0</v>
      </c>
      <c r="BO98" s="627">
        <v>0</v>
      </c>
      <c r="BP98" s="627">
        <v>0</v>
      </c>
      <c r="BQ98" s="627">
        <v>0</v>
      </c>
      <c r="BR98" s="627">
        <v>656</v>
      </c>
      <c r="BS98" s="627">
        <v>0</v>
      </c>
      <c r="BT98" s="627">
        <v>0</v>
      </c>
      <c r="BU98" s="627">
        <v>0</v>
      </c>
      <c r="BV98" s="627">
        <v>0</v>
      </c>
      <c r="BW98" s="627">
        <v>0</v>
      </c>
      <c r="BX98" s="627">
        <v>0</v>
      </c>
      <c r="BY98" s="627">
        <v>0</v>
      </c>
      <c r="BZ98" s="627">
        <v>0</v>
      </c>
      <c r="CA98" s="627">
        <v>0</v>
      </c>
      <c r="CB98" s="627">
        <v>0</v>
      </c>
      <c r="CC98" s="627">
        <v>0</v>
      </c>
      <c r="CD98" s="627">
        <v>0</v>
      </c>
      <c r="CE98" s="627">
        <v>0</v>
      </c>
      <c r="CF98" s="627">
        <v>0</v>
      </c>
      <c r="CG98" s="627">
        <v>0</v>
      </c>
      <c r="CH98" s="627">
        <v>0</v>
      </c>
      <c r="CI98" s="627">
        <v>134696</v>
      </c>
      <c r="CJ98" s="627">
        <v>0</v>
      </c>
      <c r="CK98" s="627">
        <v>4</v>
      </c>
      <c r="CL98" s="627">
        <v>0</v>
      </c>
      <c r="CM98" s="627">
        <v>0</v>
      </c>
      <c r="CN98" s="627">
        <v>0</v>
      </c>
      <c r="CO98" s="627">
        <v>0</v>
      </c>
      <c r="CP98" s="627">
        <v>1</v>
      </c>
      <c r="CQ98" s="627">
        <v>0</v>
      </c>
      <c r="CR98" s="627">
        <v>0</v>
      </c>
      <c r="CS98" s="627">
        <v>827.49</v>
      </c>
      <c r="CT98" s="627">
        <v>0</v>
      </c>
      <c r="CU98" s="627">
        <v>0</v>
      </c>
      <c r="CV98" s="627">
        <v>0</v>
      </c>
      <c r="CW98" s="627">
        <v>0</v>
      </c>
      <c r="CX98" s="627">
        <v>0</v>
      </c>
      <c r="CY98" s="627">
        <v>0</v>
      </c>
      <c r="CZ98" s="627">
        <v>0</v>
      </c>
      <c r="DA98" s="627">
        <v>0</v>
      </c>
      <c r="DB98" s="627">
        <v>0</v>
      </c>
      <c r="DC98" s="627">
        <v>4555400</v>
      </c>
      <c r="DD98" s="627">
        <v>0</v>
      </c>
      <c r="DE98" s="627">
        <v>0</v>
      </c>
      <c r="DF98" s="627">
        <v>31185</v>
      </c>
      <c r="DG98" s="627">
        <v>31185</v>
      </c>
      <c r="DH98" s="627">
        <v>5.0630000000000006</v>
      </c>
      <c r="DI98" s="627">
        <v>0</v>
      </c>
      <c r="DJ98" s="627">
        <v>0</v>
      </c>
      <c r="DK98" s="627">
        <v>0</v>
      </c>
      <c r="DL98" s="627">
        <v>2120</v>
      </c>
      <c r="DM98" s="627">
        <v>0</v>
      </c>
      <c r="DN98" s="627">
        <v>484760</v>
      </c>
      <c r="DO98" s="627">
        <v>1652</v>
      </c>
      <c r="DP98" s="627">
        <v>0</v>
      </c>
      <c r="DQ98" s="627">
        <v>0</v>
      </c>
      <c r="DR98" s="627">
        <v>0</v>
      </c>
      <c r="DS98" s="627">
        <v>0</v>
      </c>
      <c r="DT98" s="627">
        <v>0</v>
      </c>
      <c r="DU98" s="627">
        <v>0</v>
      </c>
      <c r="DV98" s="627">
        <v>0</v>
      </c>
      <c r="DW98" s="627">
        <v>0</v>
      </c>
      <c r="DX98" s="627">
        <v>0</v>
      </c>
      <c r="DY98" s="627">
        <v>0</v>
      </c>
      <c r="DZ98" s="627">
        <v>0</v>
      </c>
      <c r="EA98" s="627">
        <v>0</v>
      </c>
      <c r="EB98" s="627">
        <v>0</v>
      </c>
      <c r="EC98" s="627">
        <v>0</v>
      </c>
      <c r="ED98" s="627">
        <v>8.6070000000000011</v>
      </c>
      <c r="EE98" s="627">
        <v>60972</v>
      </c>
      <c r="EF98" s="627">
        <v>0</v>
      </c>
      <c r="EG98" s="627">
        <v>0</v>
      </c>
      <c r="EH98" s="627">
        <v>0</v>
      </c>
      <c r="EI98" s="627">
        <v>425440</v>
      </c>
      <c r="EJ98" s="627">
        <v>0</v>
      </c>
      <c r="EK98" s="627">
        <v>0</v>
      </c>
      <c r="EL98" s="627">
        <v>19.605</v>
      </c>
      <c r="EM98" s="627">
        <v>0</v>
      </c>
      <c r="EN98" s="627">
        <v>0</v>
      </c>
      <c r="EO98" s="627">
        <v>2.0499999999999998</v>
      </c>
      <c r="EP98" s="627">
        <v>0</v>
      </c>
      <c r="EQ98" s="627">
        <v>0</v>
      </c>
      <c r="ER98" s="627">
        <v>21.655000000000001</v>
      </c>
      <c r="ES98" s="627">
        <v>0</v>
      </c>
      <c r="ET98" s="627">
        <v>69.064999999999998</v>
      </c>
      <c r="EU98" s="627">
        <v>0</v>
      </c>
      <c r="EV98" s="627">
        <v>0</v>
      </c>
      <c r="EW98" s="627">
        <v>0</v>
      </c>
      <c r="EX98" s="627">
        <v>0</v>
      </c>
      <c r="EY98" s="627">
        <v>0</v>
      </c>
      <c r="EZ98" s="627">
        <v>0</v>
      </c>
      <c r="FA98" s="627">
        <v>6363367</v>
      </c>
      <c r="FB98" s="627">
        <v>0</v>
      </c>
      <c r="FC98" s="627">
        <v>6704834</v>
      </c>
      <c r="FD98" s="627">
        <v>0</v>
      </c>
      <c r="FE98" s="627">
        <v>0</v>
      </c>
      <c r="FF98" s="627">
        <v>964747</v>
      </c>
      <c r="FG98" s="627">
        <v>167082</v>
      </c>
      <c r="FH98" s="627">
        <v>7.0280999999999996E-2</v>
      </c>
      <c r="FI98" s="627">
        <v>3.1172999999999999E-2</v>
      </c>
      <c r="FJ98" s="627">
        <v>0</v>
      </c>
      <c r="FK98" s="627">
        <v>0</v>
      </c>
      <c r="FL98" s="627">
        <v>1087.6310000000001</v>
      </c>
      <c r="FM98" s="627">
        <v>7971359</v>
      </c>
      <c r="FN98" s="627">
        <v>0</v>
      </c>
      <c r="FO98" s="627">
        <v>0</v>
      </c>
      <c r="FP98" s="627">
        <v>0</v>
      </c>
      <c r="FQ98" s="627">
        <v>0</v>
      </c>
      <c r="FR98" s="627">
        <v>0</v>
      </c>
      <c r="FS98" s="627">
        <v>0</v>
      </c>
      <c r="FT98" s="627">
        <v>0</v>
      </c>
      <c r="FU98" s="627">
        <v>0</v>
      </c>
      <c r="FV98" s="627">
        <v>0</v>
      </c>
      <c r="FW98" s="627">
        <v>0</v>
      </c>
      <c r="FX98" s="627">
        <v>0</v>
      </c>
      <c r="FY98" s="627">
        <v>0</v>
      </c>
      <c r="FZ98" s="627">
        <v>0</v>
      </c>
      <c r="GA98" s="627">
        <v>0</v>
      </c>
      <c r="GB98" s="627">
        <v>0</v>
      </c>
      <c r="GC98" s="627">
        <v>647523</v>
      </c>
      <c r="GD98" s="627">
        <v>647523</v>
      </c>
      <c r="GE98" s="627">
        <v>81.06</v>
      </c>
      <c r="GF98" s="627">
        <v>0</v>
      </c>
      <c r="GG98" s="627">
        <v>0</v>
      </c>
      <c r="GH98" s="627">
        <v>0</v>
      </c>
      <c r="GI98" s="627">
        <v>0</v>
      </c>
      <c r="GJ98" s="627">
        <v>0</v>
      </c>
      <c r="GK98" s="627">
        <v>0</v>
      </c>
      <c r="GL98" s="627">
        <v>0</v>
      </c>
      <c r="GM98" s="627">
        <v>0</v>
      </c>
      <c r="GN98" s="627">
        <v>0</v>
      </c>
      <c r="GO98" s="627">
        <v>0</v>
      </c>
      <c r="GP98" s="627">
        <v>0</v>
      </c>
      <c r="GQ98" s="627">
        <v>0</v>
      </c>
      <c r="GR98" s="627">
        <v>7493544</v>
      </c>
      <c r="GS98" s="627">
        <v>0</v>
      </c>
      <c r="GT98" s="627">
        <v>0</v>
      </c>
      <c r="GU98" s="627">
        <v>0</v>
      </c>
      <c r="GV98" s="627">
        <v>0</v>
      </c>
      <c r="GW98" s="627">
        <v>0</v>
      </c>
      <c r="GX98" s="627">
        <v>0</v>
      </c>
      <c r="GY98" s="627">
        <v>0</v>
      </c>
      <c r="GZ98" s="627">
        <v>0</v>
      </c>
      <c r="HA98" s="627">
        <v>0</v>
      </c>
      <c r="HB98" s="627">
        <v>0</v>
      </c>
      <c r="HC98" s="627">
        <v>361151439</v>
      </c>
      <c r="HD98" s="627">
        <v>3.9981999999999997E-2</v>
      </c>
      <c r="HE98" s="627">
        <v>134696</v>
      </c>
      <c r="HF98" s="627">
        <v>0</v>
      </c>
      <c r="HG98" s="627">
        <v>814943</v>
      </c>
      <c r="HH98" s="627">
        <v>26488</v>
      </c>
      <c r="HI98" s="627">
        <v>6692</v>
      </c>
      <c r="HJ98" s="627">
        <v>0</v>
      </c>
      <c r="HK98" s="627">
        <v>23422</v>
      </c>
      <c r="HL98" s="627">
        <v>3904</v>
      </c>
      <c r="HM98" s="627">
        <v>2778</v>
      </c>
      <c r="HN98" s="627">
        <v>90000</v>
      </c>
      <c r="HO98" s="627">
        <v>0</v>
      </c>
      <c r="HP98" s="627">
        <v>0</v>
      </c>
      <c r="HQ98" s="627">
        <v>0</v>
      </c>
      <c r="HR98" s="627">
        <v>0</v>
      </c>
      <c r="HS98" s="627">
        <v>0</v>
      </c>
      <c r="HT98" s="627">
        <v>6361715</v>
      </c>
      <c r="HU98" s="627">
        <v>167082</v>
      </c>
      <c r="HV98" s="627">
        <v>0</v>
      </c>
      <c r="HW98" s="627">
        <v>0</v>
      </c>
      <c r="HX98" s="627">
        <v>0</v>
      </c>
      <c r="HY98" s="627">
        <v>18</v>
      </c>
      <c r="HZ98" s="627">
        <v>1</v>
      </c>
      <c r="IA98" s="627">
        <v>2</v>
      </c>
      <c r="IB98" s="627">
        <v>0</v>
      </c>
      <c r="IC98" s="627">
        <v>1</v>
      </c>
      <c r="ID98" s="627">
        <v>22</v>
      </c>
      <c r="IE98" s="627">
        <v>0</v>
      </c>
      <c r="IF98" s="627">
        <v>0</v>
      </c>
      <c r="IG98" s="627">
        <v>0</v>
      </c>
      <c r="IH98" s="627">
        <v>43</v>
      </c>
      <c r="II98" s="627">
        <v>10.863000000000001</v>
      </c>
      <c r="IJ98" s="627">
        <v>0</v>
      </c>
      <c r="IK98" s="627">
        <v>28.797000000000001</v>
      </c>
      <c r="IL98" s="627">
        <v>0</v>
      </c>
      <c r="IM98" s="627">
        <v>0</v>
      </c>
      <c r="IN98" s="627">
        <v>30</v>
      </c>
      <c r="IO98" s="627">
        <v>0</v>
      </c>
      <c r="IP98" s="627">
        <v>30</v>
      </c>
      <c r="IQ98" s="627">
        <v>0</v>
      </c>
      <c r="IR98" s="627">
        <v>28.797000000000001</v>
      </c>
      <c r="IS98" s="627">
        <v>17739</v>
      </c>
      <c r="IT98" s="627">
        <v>0</v>
      </c>
      <c r="IU98" s="627">
        <v>0</v>
      </c>
      <c r="IV98" s="627">
        <v>90000</v>
      </c>
      <c r="IW98" s="627">
        <v>0</v>
      </c>
      <c r="IX98" s="627">
        <v>6160</v>
      </c>
      <c r="IY98" s="627">
        <v>0</v>
      </c>
      <c r="IZ98" s="627">
        <v>0</v>
      </c>
      <c r="JA98" s="627">
        <v>0</v>
      </c>
      <c r="JB98" s="627">
        <v>0</v>
      </c>
      <c r="JC98" s="627">
        <v>0</v>
      </c>
      <c r="JD98" s="627">
        <v>0</v>
      </c>
      <c r="JE98" s="627">
        <v>0</v>
      </c>
      <c r="JF98" s="627">
        <v>0</v>
      </c>
      <c r="JG98" s="627">
        <v>0</v>
      </c>
      <c r="JH98" s="627">
        <v>0</v>
      </c>
      <c r="JI98" s="627">
        <v>0</v>
      </c>
      <c r="JJ98" s="627">
        <v>0</v>
      </c>
      <c r="JK98" s="627">
        <v>0</v>
      </c>
      <c r="JL98" s="627">
        <v>0</v>
      </c>
      <c r="JM98" s="627">
        <v>0</v>
      </c>
      <c r="JN98" s="627">
        <v>0</v>
      </c>
      <c r="JO98" s="627">
        <v>32469</v>
      </c>
      <c r="JP98" s="627">
        <v>81.06</v>
      </c>
      <c r="JQ98" s="627">
        <v>0</v>
      </c>
      <c r="JR98" s="627">
        <v>0</v>
      </c>
      <c r="JS98" s="627">
        <v>647523</v>
      </c>
      <c r="JT98" s="627">
        <v>0</v>
      </c>
      <c r="JU98" s="627">
        <v>0</v>
      </c>
      <c r="JV98" s="627">
        <v>0</v>
      </c>
      <c r="JW98" s="627">
        <v>0</v>
      </c>
      <c r="JX98" s="627">
        <v>0</v>
      </c>
      <c r="JY98" s="627">
        <v>0</v>
      </c>
      <c r="JZ98" s="627">
        <v>0</v>
      </c>
      <c r="KA98" s="627">
        <v>0</v>
      </c>
      <c r="KB98" s="627">
        <v>0</v>
      </c>
      <c r="KC98" s="627">
        <v>0</v>
      </c>
      <c r="KD98" s="627">
        <v>0</v>
      </c>
      <c r="KE98" s="627">
        <v>0</v>
      </c>
      <c r="KF98" s="627">
        <v>7262</v>
      </c>
      <c r="KG98" s="627">
        <v>0</v>
      </c>
      <c r="KH98" s="627">
        <v>0</v>
      </c>
      <c r="KI98" s="627">
        <v>7493544</v>
      </c>
      <c r="KJ98" s="627">
        <v>0</v>
      </c>
      <c r="KK98" s="627">
        <v>8</v>
      </c>
      <c r="KL98" s="627">
        <v>35</v>
      </c>
      <c r="KM98" s="627">
        <v>4928</v>
      </c>
      <c r="KN98" s="627">
        <v>21560</v>
      </c>
      <c r="KO98" s="627">
        <v>0</v>
      </c>
      <c r="KP98" s="627">
        <v>0</v>
      </c>
      <c r="KQ98" s="627">
        <v>7493544</v>
      </c>
      <c r="KR98" s="627">
        <v>0</v>
      </c>
      <c r="KS98" s="627">
        <v>0</v>
      </c>
      <c r="KT98" s="627">
        <v>0</v>
      </c>
      <c r="KU98" s="627">
        <v>0</v>
      </c>
      <c r="KV98" s="627">
        <v>0</v>
      </c>
      <c r="KW98" s="627">
        <v>0</v>
      </c>
      <c r="KX98" s="627">
        <v>0</v>
      </c>
      <c r="KY98" s="627">
        <v>0</v>
      </c>
      <c r="KZ98" s="627">
        <v>0</v>
      </c>
      <c r="LA98" s="627">
        <v>0</v>
      </c>
      <c r="LB98" s="627">
        <v>0</v>
      </c>
      <c r="LC98" s="627">
        <v>0</v>
      </c>
      <c r="LD98" s="627">
        <v>0</v>
      </c>
      <c r="LE98" s="627">
        <v>0</v>
      </c>
      <c r="LF98" s="627">
        <v>0</v>
      </c>
    </row>
    <row r="99" spans="1:318" x14ac:dyDescent="0.25">
      <c r="A99" s="627">
        <v>42602</v>
      </c>
      <c r="B99" s="627">
        <v>101811</v>
      </c>
      <c r="D99" s="627">
        <v>9</v>
      </c>
      <c r="E99" s="627">
        <v>2024</v>
      </c>
      <c r="F99" s="627">
        <v>6160</v>
      </c>
      <c r="G99" s="627">
        <v>0</v>
      </c>
      <c r="H99" s="627">
        <v>181.35300000000001</v>
      </c>
      <c r="I99" s="627">
        <v>136.37100000000001</v>
      </c>
      <c r="J99" s="627">
        <v>136.37100000000001</v>
      </c>
      <c r="K99" s="627">
        <v>181.35300000000001</v>
      </c>
      <c r="L99" s="627">
        <v>0</v>
      </c>
      <c r="M99" s="627">
        <v>6160</v>
      </c>
      <c r="N99" s="627">
        <v>0</v>
      </c>
      <c r="O99" s="627">
        <v>0</v>
      </c>
      <c r="P99" s="627">
        <v>0</v>
      </c>
      <c r="Q99" s="627">
        <v>200.59800000000001</v>
      </c>
      <c r="R99" s="627">
        <v>0</v>
      </c>
      <c r="S99" s="627">
        <v>83225</v>
      </c>
      <c r="T99" s="627">
        <v>414.88400000000001</v>
      </c>
      <c r="U99" s="627">
        <v>0</v>
      </c>
      <c r="V99" s="627">
        <v>43190</v>
      </c>
      <c r="W99" s="627">
        <v>21.37</v>
      </c>
      <c r="X99" s="627">
        <v>13164</v>
      </c>
      <c r="Y99" s="627">
        <v>13164</v>
      </c>
      <c r="Z99" s="627">
        <v>0</v>
      </c>
      <c r="AA99" s="627">
        <v>0</v>
      </c>
      <c r="AB99" s="627">
        <v>0</v>
      </c>
      <c r="AC99" s="627">
        <v>0</v>
      </c>
      <c r="AD99" s="627">
        <v>0</v>
      </c>
      <c r="AE99" s="627" t="s">
        <v>314</v>
      </c>
      <c r="AF99" s="627">
        <v>0</v>
      </c>
      <c r="AG99" s="627">
        <v>0</v>
      </c>
      <c r="AH99" s="627">
        <v>0</v>
      </c>
      <c r="AI99" s="627">
        <v>0</v>
      </c>
      <c r="AJ99" s="627">
        <v>0</v>
      </c>
      <c r="AK99" s="627">
        <v>6160</v>
      </c>
      <c r="AL99" s="627" t="s">
        <v>651</v>
      </c>
      <c r="AM99" s="627" t="s">
        <v>343</v>
      </c>
      <c r="AN99" s="627">
        <v>0</v>
      </c>
      <c r="AO99" s="627">
        <v>0</v>
      </c>
      <c r="AP99" s="627">
        <v>0</v>
      </c>
      <c r="AQ99" s="627">
        <v>0</v>
      </c>
      <c r="AR99" s="627">
        <v>0</v>
      </c>
      <c r="AS99" s="627">
        <v>0</v>
      </c>
      <c r="AT99" s="627">
        <v>0</v>
      </c>
      <c r="AU99" s="627">
        <v>0</v>
      </c>
      <c r="AV99" s="627">
        <v>0</v>
      </c>
      <c r="AW99" s="627">
        <v>0</v>
      </c>
      <c r="AX99" s="627">
        <v>2993439</v>
      </c>
      <c r="AY99" s="627">
        <v>2968214</v>
      </c>
      <c r="AZ99" s="627">
        <v>1492705</v>
      </c>
      <c r="BA99" s="627">
        <v>83225</v>
      </c>
      <c r="BB99" s="627">
        <v>0</v>
      </c>
      <c r="BC99" s="627">
        <v>0</v>
      </c>
      <c r="BD99" s="627">
        <v>0</v>
      </c>
      <c r="BE99" s="627">
        <v>0</v>
      </c>
      <c r="BF99" s="627">
        <v>0</v>
      </c>
      <c r="BG99" s="627">
        <v>2546031</v>
      </c>
      <c r="BH99" s="627">
        <v>0</v>
      </c>
      <c r="BI99" s="627">
        <v>0</v>
      </c>
      <c r="BJ99" s="627">
        <v>0</v>
      </c>
      <c r="BK99" s="627">
        <v>12</v>
      </c>
      <c r="BL99" s="627">
        <v>0</v>
      </c>
      <c r="BM99" s="627">
        <v>0</v>
      </c>
      <c r="BN99" s="627">
        <v>0</v>
      </c>
      <c r="BO99" s="627">
        <v>0</v>
      </c>
      <c r="BP99" s="627">
        <v>0</v>
      </c>
      <c r="BQ99" s="627">
        <v>0</v>
      </c>
      <c r="BR99" s="627">
        <v>749</v>
      </c>
      <c r="BS99" s="627">
        <v>0</v>
      </c>
      <c r="BT99" s="627">
        <v>0</v>
      </c>
      <c r="BU99" s="627">
        <v>0</v>
      </c>
      <c r="BV99" s="627">
        <v>0</v>
      </c>
      <c r="BW99" s="627">
        <v>0</v>
      </c>
      <c r="BX99" s="627">
        <v>0</v>
      </c>
      <c r="BY99" s="627">
        <v>0</v>
      </c>
      <c r="BZ99" s="627">
        <v>0</v>
      </c>
      <c r="CA99" s="627">
        <v>0</v>
      </c>
      <c r="CB99" s="627">
        <v>0</v>
      </c>
      <c r="CC99" s="627">
        <v>0</v>
      </c>
      <c r="CD99" s="627">
        <v>0</v>
      </c>
      <c r="CE99" s="627">
        <v>0</v>
      </c>
      <c r="CF99" s="627">
        <v>0</v>
      </c>
      <c r="CG99" s="627">
        <v>0</v>
      </c>
      <c r="CH99" s="627">
        <v>0</v>
      </c>
      <c r="CI99" s="627">
        <v>29004</v>
      </c>
      <c r="CJ99" s="627">
        <v>0</v>
      </c>
      <c r="CK99" s="627">
        <v>4</v>
      </c>
      <c r="CL99" s="627">
        <v>0</v>
      </c>
      <c r="CM99" s="627">
        <v>0</v>
      </c>
      <c r="CN99" s="627">
        <v>0</v>
      </c>
      <c r="CO99" s="627">
        <v>0</v>
      </c>
      <c r="CP99" s="627">
        <v>1</v>
      </c>
      <c r="CQ99" s="627">
        <v>0</v>
      </c>
      <c r="CR99" s="627">
        <v>0</v>
      </c>
      <c r="CS99" s="627">
        <v>209.1</v>
      </c>
      <c r="CT99" s="627">
        <v>0</v>
      </c>
      <c r="CU99" s="627">
        <v>0</v>
      </c>
      <c r="CV99" s="627">
        <v>0</v>
      </c>
      <c r="CW99" s="627">
        <v>0</v>
      </c>
      <c r="CX99" s="627">
        <v>0</v>
      </c>
      <c r="CY99" s="627">
        <v>0</v>
      </c>
      <c r="CZ99" s="627">
        <v>0</v>
      </c>
      <c r="DA99" s="627">
        <v>0</v>
      </c>
      <c r="DB99" s="627">
        <v>0</v>
      </c>
      <c r="DC99" s="627">
        <v>840045</v>
      </c>
      <c r="DD99" s="627">
        <v>0</v>
      </c>
      <c r="DE99" s="627">
        <v>0</v>
      </c>
      <c r="DF99" s="627">
        <v>367059</v>
      </c>
      <c r="DG99" s="627">
        <v>367059</v>
      </c>
      <c r="DH99" s="627">
        <v>59.588000000000001</v>
      </c>
      <c r="DI99" s="627">
        <v>0</v>
      </c>
      <c r="DJ99" s="627">
        <v>0</v>
      </c>
      <c r="DK99" s="627">
        <v>0</v>
      </c>
      <c r="DL99" s="627">
        <v>3606</v>
      </c>
      <c r="DM99" s="627">
        <v>0</v>
      </c>
      <c r="DN99" s="627">
        <v>1108657</v>
      </c>
      <c r="DO99" s="627">
        <v>3779</v>
      </c>
      <c r="DP99" s="627">
        <v>0</v>
      </c>
      <c r="DQ99" s="627">
        <v>0</v>
      </c>
      <c r="DR99" s="627">
        <v>0</v>
      </c>
      <c r="DS99" s="627">
        <v>0</v>
      </c>
      <c r="DT99" s="627">
        <v>0</v>
      </c>
      <c r="DU99" s="627">
        <v>0</v>
      </c>
      <c r="DV99" s="627">
        <v>0</v>
      </c>
      <c r="DW99" s="627">
        <v>0</v>
      </c>
      <c r="DX99" s="627">
        <v>0</v>
      </c>
      <c r="DY99" s="627">
        <v>0</v>
      </c>
      <c r="DZ99" s="627">
        <v>0</v>
      </c>
      <c r="EA99" s="627">
        <v>0</v>
      </c>
      <c r="EB99" s="627">
        <v>0</v>
      </c>
      <c r="EC99" s="627">
        <v>0</v>
      </c>
      <c r="ED99" s="627">
        <v>2.8820000000000001</v>
      </c>
      <c r="EE99" s="627">
        <v>20416</v>
      </c>
      <c r="EF99" s="627">
        <v>0</v>
      </c>
      <c r="EG99" s="627">
        <v>0</v>
      </c>
      <c r="EH99" s="627">
        <v>0.38</v>
      </c>
      <c r="EI99" s="627">
        <v>49748</v>
      </c>
      <c r="EJ99" s="627">
        <v>1042272</v>
      </c>
      <c r="EK99" s="627">
        <v>42.300000000000004</v>
      </c>
      <c r="EL99" s="627">
        <v>1.5070000000000001</v>
      </c>
      <c r="EM99" s="627">
        <v>4.7E-2</v>
      </c>
      <c r="EN99" s="627">
        <v>0.72300000000000009</v>
      </c>
      <c r="EO99" s="627">
        <v>7.2000000000000008E-2</v>
      </c>
      <c r="EP99" s="627">
        <v>0</v>
      </c>
      <c r="EQ99" s="627">
        <v>0</v>
      </c>
      <c r="ER99" s="627">
        <v>44.981999999999999</v>
      </c>
      <c r="ES99" s="627">
        <v>0</v>
      </c>
      <c r="ET99" s="627">
        <v>8.0760000000000005</v>
      </c>
      <c r="EU99" s="627">
        <v>0</v>
      </c>
      <c r="EV99" s="627">
        <v>0</v>
      </c>
      <c r="EW99" s="627">
        <v>0</v>
      </c>
      <c r="EX99" s="627">
        <v>0</v>
      </c>
      <c r="EY99" s="627">
        <v>0</v>
      </c>
      <c r="EZ99" s="627">
        <v>0</v>
      </c>
      <c r="FA99" s="627">
        <v>2538101</v>
      </c>
      <c r="FB99" s="627">
        <v>0</v>
      </c>
      <c r="FC99" s="627">
        <v>2617547</v>
      </c>
      <c r="FD99" s="627">
        <v>0</v>
      </c>
      <c r="FE99" s="627">
        <v>0</v>
      </c>
      <c r="FF99" s="627">
        <v>366619</v>
      </c>
      <c r="FG99" s="627">
        <v>63494</v>
      </c>
      <c r="FH99" s="627">
        <v>7.0280999999999996E-2</v>
      </c>
      <c r="FI99" s="627">
        <v>3.1172999999999999E-2</v>
      </c>
      <c r="FJ99" s="627">
        <v>0</v>
      </c>
      <c r="FK99" s="627">
        <v>0</v>
      </c>
      <c r="FL99" s="627">
        <v>413.31700000000001</v>
      </c>
      <c r="FM99" s="627">
        <v>3076664</v>
      </c>
      <c r="FN99" s="627">
        <v>0</v>
      </c>
      <c r="FO99" s="627">
        <v>0</v>
      </c>
      <c r="FP99" s="627">
        <v>0</v>
      </c>
      <c r="FQ99" s="627">
        <v>0</v>
      </c>
      <c r="FR99" s="627">
        <v>0</v>
      </c>
      <c r="FS99" s="627">
        <v>0</v>
      </c>
      <c r="FT99" s="627">
        <v>0</v>
      </c>
      <c r="FU99" s="627">
        <v>0</v>
      </c>
      <c r="FV99" s="627">
        <v>0</v>
      </c>
      <c r="FW99" s="627">
        <v>0</v>
      </c>
      <c r="FX99" s="627">
        <v>0</v>
      </c>
      <c r="FY99" s="627">
        <v>0</v>
      </c>
      <c r="FZ99" s="627">
        <v>0</v>
      </c>
      <c r="GA99" s="627">
        <v>0</v>
      </c>
      <c r="GB99" s="627">
        <v>0</v>
      </c>
      <c r="GC99" s="627">
        <v>0</v>
      </c>
      <c r="GD99" s="627">
        <v>0</v>
      </c>
      <c r="GE99" s="627">
        <v>0</v>
      </c>
      <c r="GF99" s="627">
        <v>0</v>
      </c>
      <c r="GG99" s="627">
        <v>0</v>
      </c>
      <c r="GH99" s="627">
        <v>0</v>
      </c>
      <c r="GI99" s="627">
        <v>0</v>
      </c>
      <c r="GJ99" s="627">
        <v>0</v>
      </c>
      <c r="GK99" s="627">
        <v>0</v>
      </c>
      <c r="GL99" s="627">
        <v>0</v>
      </c>
      <c r="GM99" s="627">
        <v>0</v>
      </c>
      <c r="GN99" s="627">
        <v>0</v>
      </c>
      <c r="GO99" s="627">
        <v>0</v>
      </c>
      <c r="GP99" s="627">
        <v>0</v>
      </c>
      <c r="GQ99" s="627">
        <v>0</v>
      </c>
      <c r="GR99" s="627">
        <v>2964435</v>
      </c>
      <c r="GS99" s="627">
        <v>0</v>
      </c>
      <c r="GT99" s="627">
        <v>0</v>
      </c>
      <c r="GU99" s="627">
        <v>0</v>
      </c>
      <c r="GV99" s="627">
        <v>0</v>
      </c>
      <c r="GW99" s="627">
        <v>0</v>
      </c>
      <c r="GX99" s="627">
        <v>0</v>
      </c>
      <c r="GY99" s="627">
        <v>0</v>
      </c>
      <c r="GZ99" s="627">
        <v>0</v>
      </c>
      <c r="HA99" s="627">
        <v>0</v>
      </c>
      <c r="HB99" s="627">
        <v>0</v>
      </c>
      <c r="HC99" s="627">
        <v>361151439</v>
      </c>
      <c r="HD99" s="627">
        <v>3.9981999999999997E-2</v>
      </c>
      <c r="HE99" s="627">
        <v>29004</v>
      </c>
      <c r="HF99" s="627">
        <v>0</v>
      </c>
      <c r="HG99" s="627">
        <v>150281</v>
      </c>
      <c r="HH99" s="627">
        <v>1232</v>
      </c>
      <c r="HI99" s="627">
        <v>0</v>
      </c>
      <c r="HJ99" s="627">
        <v>0</v>
      </c>
      <c r="HK99" s="627">
        <v>61814</v>
      </c>
      <c r="HL99" s="627">
        <v>2017</v>
      </c>
      <c r="HM99" s="627">
        <v>1776</v>
      </c>
      <c r="HN99" s="627">
        <v>0</v>
      </c>
      <c r="HO99" s="627">
        <v>0</v>
      </c>
      <c r="HP99" s="627">
        <v>0</v>
      </c>
      <c r="HQ99" s="627">
        <v>54780</v>
      </c>
      <c r="HR99" s="627">
        <v>0</v>
      </c>
      <c r="HS99" s="627">
        <v>0</v>
      </c>
      <c r="HT99" s="627">
        <v>2534322</v>
      </c>
      <c r="HU99" s="627">
        <v>63494</v>
      </c>
      <c r="HV99" s="627">
        <v>0</v>
      </c>
      <c r="HW99" s="627">
        <v>0</v>
      </c>
      <c r="HX99" s="627">
        <v>0</v>
      </c>
      <c r="HY99" s="627">
        <v>23</v>
      </c>
      <c r="HZ99" s="627">
        <v>33</v>
      </c>
      <c r="IA99" s="627">
        <v>36</v>
      </c>
      <c r="IB99" s="627">
        <v>52</v>
      </c>
      <c r="IC99" s="627">
        <v>87</v>
      </c>
      <c r="ID99" s="627">
        <v>231</v>
      </c>
      <c r="IE99" s="627">
        <v>0</v>
      </c>
      <c r="IF99" s="627">
        <v>0</v>
      </c>
      <c r="IG99" s="627">
        <v>0</v>
      </c>
      <c r="IH99" s="627">
        <v>2</v>
      </c>
      <c r="II99" s="627">
        <v>0</v>
      </c>
      <c r="IJ99" s="627">
        <v>199.20000000000002</v>
      </c>
      <c r="IK99" s="627">
        <v>21.37</v>
      </c>
      <c r="IL99" s="627">
        <v>60.808</v>
      </c>
      <c r="IM99" s="627">
        <v>0</v>
      </c>
      <c r="IN99" s="627">
        <v>0</v>
      </c>
      <c r="IO99" s="627">
        <v>0</v>
      </c>
      <c r="IP99" s="627">
        <v>0</v>
      </c>
      <c r="IQ99" s="627">
        <v>260.00800000000004</v>
      </c>
      <c r="IR99" s="627">
        <v>21.37</v>
      </c>
      <c r="IS99" s="627">
        <v>13164</v>
      </c>
      <c r="IT99" s="627">
        <v>16722</v>
      </c>
      <c r="IU99" s="627">
        <v>0</v>
      </c>
      <c r="IV99" s="627">
        <v>0</v>
      </c>
      <c r="IW99" s="627">
        <v>0</v>
      </c>
      <c r="IX99" s="627">
        <v>6160</v>
      </c>
      <c r="IY99" s="627">
        <v>0</v>
      </c>
      <c r="IZ99" s="627">
        <v>0</v>
      </c>
      <c r="JA99" s="627">
        <v>71502</v>
      </c>
      <c r="JB99" s="627">
        <v>0</v>
      </c>
      <c r="JC99" s="627">
        <v>0</v>
      </c>
      <c r="JD99" s="627">
        <v>0</v>
      </c>
      <c r="JE99" s="627">
        <v>0</v>
      </c>
      <c r="JF99" s="627">
        <v>0</v>
      </c>
      <c r="JG99" s="627">
        <v>0</v>
      </c>
      <c r="JH99" s="627">
        <v>0</v>
      </c>
      <c r="JI99" s="627">
        <v>0</v>
      </c>
      <c r="JJ99" s="627">
        <v>0</v>
      </c>
      <c r="JK99" s="627">
        <v>0</v>
      </c>
      <c r="JL99" s="627">
        <v>0</v>
      </c>
      <c r="JM99" s="627">
        <v>0</v>
      </c>
      <c r="JN99" s="627">
        <v>0</v>
      </c>
      <c r="JO99" s="627">
        <v>32469</v>
      </c>
      <c r="JP99" s="627">
        <v>0</v>
      </c>
      <c r="JQ99" s="627">
        <v>0</v>
      </c>
      <c r="JR99" s="627">
        <v>0</v>
      </c>
      <c r="JS99" s="627">
        <v>0</v>
      </c>
      <c r="JT99" s="627">
        <v>0</v>
      </c>
      <c r="JU99" s="627">
        <v>0</v>
      </c>
      <c r="JV99" s="627">
        <v>0</v>
      </c>
      <c r="JW99" s="627">
        <v>0</v>
      </c>
      <c r="JX99" s="627">
        <v>0</v>
      </c>
      <c r="JY99" s="627">
        <v>0</v>
      </c>
      <c r="JZ99" s="627">
        <v>0</v>
      </c>
      <c r="KA99" s="627">
        <v>0</v>
      </c>
      <c r="KB99" s="627">
        <v>0</v>
      </c>
      <c r="KC99" s="627">
        <v>0</v>
      </c>
      <c r="KD99" s="627">
        <v>0</v>
      </c>
      <c r="KE99" s="627">
        <v>0</v>
      </c>
      <c r="KF99" s="627">
        <v>7262</v>
      </c>
      <c r="KG99" s="627">
        <v>0</v>
      </c>
      <c r="KH99" s="627">
        <v>0</v>
      </c>
      <c r="KI99" s="627">
        <v>2964435</v>
      </c>
      <c r="KJ99" s="627">
        <v>0</v>
      </c>
      <c r="KK99" s="627">
        <v>1</v>
      </c>
      <c r="KL99" s="627">
        <v>1</v>
      </c>
      <c r="KM99" s="627">
        <v>616</v>
      </c>
      <c r="KN99" s="627">
        <v>616</v>
      </c>
      <c r="KO99" s="627">
        <v>0</v>
      </c>
      <c r="KP99" s="627">
        <v>0</v>
      </c>
      <c r="KQ99" s="627">
        <v>2964435</v>
      </c>
      <c r="KR99" s="627">
        <v>0</v>
      </c>
      <c r="KS99" s="627">
        <v>0</v>
      </c>
      <c r="KT99" s="627">
        <v>0</v>
      </c>
      <c r="KU99" s="627">
        <v>0</v>
      </c>
      <c r="KV99" s="627">
        <v>0</v>
      </c>
      <c r="KW99" s="627">
        <v>0</v>
      </c>
      <c r="KX99" s="627">
        <v>0</v>
      </c>
      <c r="KY99" s="627">
        <v>0</v>
      </c>
      <c r="KZ99" s="627">
        <v>0</v>
      </c>
      <c r="LA99" s="627">
        <v>0</v>
      </c>
      <c r="LB99" s="627">
        <v>0</v>
      </c>
      <c r="LC99" s="627">
        <v>0</v>
      </c>
      <c r="LD99" s="627">
        <v>0</v>
      </c>
      <c r="LE99" s="627">
        <v>0</v>
      </c>
      <c r="LF99" s="627">
        <v>0</v>
      </c>
    </row>
    <row r="100" spans="1:318" x14ac:dyDescent="0.25">
      <c r="A100" s="627">
        <v>42602</v>
      </c>
      <c r="B100" s="627">
        <v>220811</v>
      </c>
      <c r="D100" s="627">
        <v>9</v>
      </c>
      <c r="E100" s="627">
        <v>2024</v>
      </c>
      <c r="F100" s="627">
        <v>6160</v>
      </c>
      <c r="G100" s="627">
        <v>0</v>
      </c>
      <c r="H100" s="627">
        <v>151.648</v>
      </c>
      <c r="I100" s="627">
        <v>147.20600000000002</v>
      </c>
      <c r="J100" s="627">
        <v>147.20600000000002</v>
      </c>
      <c r="K100" s="627">
        <v>151.648</v>
      </c>
      <c r="L100" s="627">
        <v>0</v>
      </c>
      <c r="M100" s="627">
        <v>6160</v>
      </c>
      <c r="N100" s="627">
        <v>0</v>
      </c>
      <c r="O100" s="627">
        <v>0</v>
      </c>
      <c r="P100" s="627">
        <v>0</v>
      </c>
      <c r="Q100" s="627">
        <v>139.74299999999999</v>
      </c>
      <c r="R100" s="627">
        <v>0</v>
      </c>
      <c r="S100" s="627">
        <v>57977</v>
      </c>
      <c r="T100" s="627">
        <v>414.88400000000001</v>
      </c>
      <c r="U100" s="627">
        <v>0</v>
      </c>
      <c r="V100" s="627">
        <v>30088</v>
      </c>
      <c r="W100" s="627">
        <v>42.613</v>
      </c>
      <c r="X100" s="627">
        <v>26250</v>
      </c>
      <c r="Y100" s="627">
        <v>26250</v>
      </c>
      <c r="Z100" s="627">
        <v>0</v>
      </c>
      <c r="AA100" s="627">
        <v>0</v>
      </c>
      <c r="AB100" s="627">
        <v>0</v>
      </c>
      <c r="AC100" s="627">
        <v>0</v>
      </c>
      <c r="AD100" s="627">
        <v>0</v>
      </c>
      <c r="AE100" s="627" t="s">
        <v>314</v>
      </c>
      <c r="AF100" s="627">
        <v>0</v>
      </c>
      <c r="AG100" s="627">
        <v>0</v>
      </c>
      <c r="AH100" s="627">
        <v>0</v>
      </c>
      <c r="AI100" s="627">
        <v>0</v>
      </c>
      <c r="AJ100" s="627">
        <v>0</v>
      </c>
      <c r="AK100" s="627">
        <v>6160</v>
      </c>
      <c r="AL100" s="627" t="s">
        <v>651</v>
      </c>
      <c r="AM100" s="627" t="s">
        <v>62</v>
      </c>
      <c r="AN100" s="627">
        <v>0</v>
      </c>
      <c r="AO100" s="627">
        <v>0</v>
      </c>
      <c r="AP100" s="627">
        <v>0</v>
      </c>
      <c r="AQ100" s="627">
        <v>0</v>
      </c>
      <c r="AR100" s="627">
        <v>0</v>
      </c>
      <c r="AS100" s="627">
        <v>0</v>
      </c>
      <c r="AT100" s="627">
        <v>0</v>
      </c>
      <c r="AU100" s="627">
        <v>0</v>
      </c>
      <c r="AV100" s="627">
        <v>0</v>
      </c>
      <c r="AW100" s="627">
        <v>0</v>
      </c>
      <c r="AX100" s="627">
        <v>1766340</v>
      </c>
      <c r="AY100" s="627">
        <v>1742403</v>
      </c>
      <c r="AZ100" s="627">
        <v>839903</v>
      </c>
      <c r="BA100" s="627">
        <v>57977</v>
      </c>
      <c r="BB100" s="627">
        <v>12.417</v>
      </c>
      <c r="BC100" s="627">
        <v>2982</v>
      </c>
      <c r="BD100" s="627">
        <v>2963</v>
      </c>
      <c r="BE100" s="627">
        <v>7</v>
      </c>
      <c r="BF100" s="627">
        <v>19</v>
      </c>
      <c r="BG100" s="627">
        <v>1540188</v>
      </c>
      <c r="BH100" s="627">
        <v>0</v>
      </c>
      <c r="BI100" s="627">
        <v>0</v>
      </c>
      <c r="BJ100" s="627">
        <v>0</v>
      </c>
      <c r="BK100" s="627">
        <v>12</v>
      </c>
      <c r="BL100" s="627">
        <v>0</v>
      </c>
      <c r="BM100" s="627">
        <v>0</v>
      </c>
      <c r="BN100" s="627">
        <v>0</v>
      </c>
      <c r="BO100" s="627">
        <v>0</v>
      </c>
      <c r="BP100" s="627">
        <v>0</v>
      </c>
      <c r="BQ100" s="627">
        <v>0</v>
      </c>
      <c r="BR100" s="627">
        <v>747</v>
      </c>
      <c r="BS100" s="627">
        <v>0</v>
      </c>
      <c r="BT100" s="627">
        <v>0</v>
      </c>
      <c r="BU100" s="627">
        <v>0</v>
      </c>
      <c r="BV100" s="627">
        <v>0</v>
      </c>
      <c r="BW100" s="627">
        <v>0</v>
      </c>
      <c r="BX100" s="627">
        <v>0</v>
      </c>
      <c r="BY100" s="627">
        <v>0</v>
      </c>
      <c r="BZ100" s="627">
        <v>0</v>
      </c>
      <c r="CA100" s="627">
        <v>0</v>
      </c>
      <c r="CB100" s="627">
        <v>0</v>
      </c>
      <c r="CC100" s="627">
        <v>0</v>
      </c>
      <c r="CD100" s="627">
        <v>0</v>
      </c>
      <c r="CE100" s="627">
        <v>0</v>
      </c>
      <c r="CF100" s="627">
        <v>0</v>
      </c>
      <c r="CG100" s="627">
        <v>0</v>
      </c>
      <c r="CH100" s="627">
        <v>0</v>
      </c>
      <c r="CI100" s="627">
        <v>24253</v>
      </c>
      <c r="CJ100" s="627">
        <v>0</v>
      </c>
      <c r="CK100" s="627">
        <v>4</v>
      </c>
      <c r="CL100" s="627">
        <v>0</v>
      </c>
      <c r="CM100" s="627">
        <v>0</v>
      </c>
      <c r="CN100" s="627">
        <v>0</v>
      </c>
      <c r="CO100" s="627">
        <v>0</v>
      </c>
      <c r="CP100" s="627">
        <v>1</v>
      </c>
      <c r="CQ100" s="627">
        <v>0</v>
      </c>
      <c r="CR100" s="627">
        <v>0</v>
      </c>
      <c r="CS100" s="627">
        <v>141.09900000000002</v>
      </c>
      <c r="CT100" s="627">
        <v>0</v>
      </c>
      <c r="CU100" s="627">
        <v>0</v>
      </c>
      <c r="CV100" s="627">
        <v>0</v>
      </c>
      <c r="CW100" s="627">
        <v>0</v>
      </c>
      <c r="CX100" s="627">
        <v>0</v>
      </c>
      <c r="CY100" s="627">
        <v>0</v>
      </c>
      <c r="CZ100" s="627">
        <v>0</v>
      </c>
      <c r="DA100" s="627">
        <v>0</v>
      </c>
      <c r="DB100" s="627">
        <v>0</v>
      </c>
      <c r="DC100" s="627">
        <v>906789</v>
      </c>
      <c r="DD100" s="627">
        <v>0</v>
      </c>
      <c r="DE100" s="627">
        <v>0</v>
      </c>
      <c r="DF100" s="627">
        <v>250096</v>
      </c>
      <c r="DG100" s="627">
        <v>250096</v>
      </c>
      <c r="DH100" s="627">
        <v>40.6</v>
      </c>
      <c r="DI100" s="627">
        <v>0</v>
      </c>
      <c r="DJ100" s="627">
        <v>0</v>
      </c>
      <c r="DK100" s="627">
        <v>0</v>
      </c>
      <c r="DL100" s="627">
        <v>3580</v>
      </c>
      <c r="DM100" s="627">
        <v>0</v>
      </c>
      <c r="DN100" s="627">
        <v>87200</v>
      </c>
      <c r="DO100" s="627">
        <v>297</v>
      </c>
      <c r="DP100" s="627">
        <v>0</v>
      </c>
      <c r="DQ100" s="627">
        <v>0</v>
      </c>
      <c r="DR100" s="627">
        <v>0</v>
      </c>
      <c r="DS100" s="627">
        <v>0</v>
      </c>
      <c r="DT100" s="627">
        <v>0</v>
      </c>
      <c r="DU100" s="627">
        <v>0</v>
      </c>
      <c r="DV100" s="627">
        <v>0</v>
      </c>
      <c r="DW100" s="627">
        <v>0</v>
      </c>
      <c r="DX100" s="627">
        <v>0</v>
      </c>
      <c r="DY100" s="627">
        <v>0</v>
      </c>
      <c r="DZ100" s="627">
        <v>0</v>
      </c>
      <c r="EA100" s="627">
        <v>0</v>
      </c>
      <c r="EB100" s="627">
        <v>0</v>
      </c>
      <c r="EC100" s="627">
        <v>0</v>
      </c>
      <c r="ED100" s="627">
        <v>0</v>
      </c>
      <c r="EE100" s="627">
        <v>0</v>
      </c>
      <c r="EF100" s="627">
        <v>0</v>
      </c>
      <c r="EG100" s="627">
        <v>0</v>
      </c>
      <c r="EH100" s="627">
        <v>0</v>
      </c>
      <c r="EI100" s="627">
        <v>87497</v>
      </c>
      <c r="EJ100" s="627">
        <v>0</v>
      </c>
      <c r="EK100" s="627">
        <v>0</v>
      </c>
      <c r="EL100" s="627">
        <v>4.0030000000000001</v>
      </c>
      <c r="EM100" s="627">
        <v>0</v>
      </c>
      <c r="EN100" s="627">
        <v>0</v>
      </c>
      <c r="EO100" s="627">
        <v>0.439</v>
      </c>
      <c r="EP100" s="627">
        <v>0</v>
      </c>
      <c r="EQ100" s="627">
        <v>0</v>
      </c>
      <c r="ER100" s="627">
        <v>4.4420000000000002</v>
      </c>
      <c r="ES100" s="627">
        <v>0</v>
      </c>
      <c r="ET100" s="627">
        <v>14.204000000000001</v>
      </c>
      <c r="EU100" s="627">
        <v>0</v>
      </c>
      <c r="EV100" s="627">
        <v>0</v>
      </c>
      <c r="EW100" s="627">
        <v>0</v>
      </c>
      <c r="EX100" s="627">
        <v>0</v>
      </c>
      <c r="EY100" s="627">
        <v>0</v>
      </c>
      <c r="EZ100" s="627">
        <v>0</v>
      </c>
      <c r="FA100" s="627">
        <v>1482211</v>
      </c>
      <c r="FB100" s="627">
        <v>0</v>
      </c>
      <c r="FC100" s="627">
        <v>1539872</v>
      </c>
      <c r="FD100" s="627">
        <v>0</v>
      </c>
      <c r="FE100" s="627">
        <v>0</v>
      </c>
      <c r="FF100" s="627">
        <v>221782</v>
      </c>
      <c r="FG100" s="627">
        <v>38410</v>
      </c>
      <c r="FH100" s="627">
        <v>7.0280999999999996E-2</v>
      </c>
      <c r="FI100" s="627">
        <v>3.1172999999999999E-2</v>
      </c>
      <c r="FJ100" s="627">
        <v>0</v>
      </c>
      <c r="FK100" s="627">
        <v>0</v>
      </c>
      <c r="FL100" s="627">
        <v>250.03100000000001</v>
      </c>
      <c r="FM100" s="627">
        <v>1824317</v>
      </c>
      <c r="FN100" s="627">
        <v>0</v>
      </c>
      <c r="FO100" s="627">
        <v>0</v>
      </c>
      <c r="FP100" s="627">
        <v>0</v>
      </c>
      <c r="FQ100" s="627">
        <v>0</v>
      </c>
      <c r="FR100" s="627">
        <v>0</v>
      </c>
      <c r="FS100" s="627">
        <v>0</v>
      </c>
      <c r="FT100" s="627">
        <v>0</v>
      </c>
      <c r="FU100" s="627">
        <v>0</v>
      </c>
      <c r="FV100" s="627">
        <v>0</v>
      </c>
      <c r="FW100" s="627">
        <v>0</v>
      </c>
      <c r="FX100" s="627">
        <v>0</v>
      </c>
      <c r="FY100" s="627">
        <v>0</v>
      </c>
      <c r="FZ100" s="627">
        <v>0</v>
      </c>
      <c r="GA100" s="627">
        <v>0</v>
      </c>
      <c r="GB100" s="627">
        <v>0</v>
      </c>
      <c r="GC100" s="627">
        <v>0</v>
      </c>
      <c r="GD100" s="627">
        <v>0</v>
      </c>
      <c r="GE100" s="627">
        <v>0</v>
      </c>
      <c r="GF100" s="627">
        <v>0</v>
      </c>
      <c r="GG100" s="627">
        <v>0</v>
      </c>
      <c r="GH100" s="627">
        <v>0</v>
      </c>
      <c r="GI100" s="627">
        <v>0</v>
      </c>
      <c r="GJ100" s="627">
        <v>0</v>
      </c>
      <c r="GK100" s="627">
        <v>0</v>
      </c>
      <c r="GL100" s="627">
        <v>0</v>
      </c>
      <c r="GM100" s="627">
        <v>0</v>
      </c>
      <c r="GN100" s="627">
        <v>0</v>
      </c>
      <c r="GO100" s="627">
        <v>0</v>
      </c>
      <c r="GP100" s="627">
        <v>0</v>
      </c>
      <c r="GQ100" s="627">
        <v>0</v>
      </c>
      <c r="GR100" s="627">
        <v>1742087</v>
      </c>
      <c r="GS100" s="627">
        <v>0</v>
      </c>
      <c r="GT100" s="627">
        <v>0</v>
      </c>
      <c r="GU100" s="627">
        <v>0</v>
      </c>
      <c r="GV100" s="627">
        <v>0</v>
      </c>
      <c r="GW100" s="627">
        <v>0</v>
      </c>
      <c r="GX100" s="627">
        <v>0</v>
      </c>
      <c r="GY100" s="627">
        <v>0</v>
      </c>
      <c r="GZ100" s="627">
        <v>0</v>
      </c>
      <c r="HA100" s="627">
        <v>0</v>
      </c>
      <c r="HB100" s="627">
        <v>0</v>
      </c>
      <c r="HC100" s="627">
        <v>361151439</v>
      </c>
      <c r="HD100" s="627">
        <v>3.9981999999999997E-2</v>
      </c>
      <c r="HE100" s="627">
        <v>24253</v>
      </c>
      <c r="HF100" s="627">
        <v>0</v>
      </c>
      <c r="HG100" s="627">
        <v>162221</v>
      </c>
      <c r="HH100" s="627">
        <v>0</v>
      </c>
      <c r="HI100" s="627">
        <v>81226</v>
      </c>
      <c r="HJ100" s="627">
        <v>0</v>
      </c>
      <c r="HK100" s="627">
        <v>16516</v>
      </c>
      <c r="HL100" s="627">
        <v>0</v>
      </c>
      <c r="HM100" s="627">
        <v>0</v>
      </c>
      <c r="HN100" s="627">
        <v>0</v>
      </c>
      <c r="HO100" s="627">
        <v>6611</v>
      </c>
      <c r="HP100" s="627">
        <v>0</v>
      </c>
      <c r="HQ100" s="627">
        <v>0</v>
      </c>
      <c r="HR100" s="627">
        <v>0</v>
      </c>
      <c r="HS100" s="627">
        <v>0</v>
      </c>
      <c r="HT100" s="627">
        <v>1481895</v>
      </c>
      <c r="HU100" s="627">
        <v>38410</v>
      </c>
      <c r="HV100" s="627">
        <v>0</v>
      </c>
      <c r="HW100" s="627">
        <v>0</v>
      </c>
      <c r="HX100" s="627">
        <v>0</v>
      </c>
      <c r="HY100" s="627">
        <v>16</v>
      </c>
      <c r="HZ100" s="627">
        <v>21</v>
      </c>
      <c r="IA100" s="627">
        <v>27</v>
      </c>
      <c r="IB100" s="627">
        <v>47</v>
      </c>
      <c r="IC100" s="627">
        <v>47</v>
      </c>
      <c r="ID100" s="627">
        <v>158</v>
      </c>
      <c r="IE100" s="627">
        <v>0</v>
      </c>
      <c r="IF100" s="627">
        <v>0</v>
      </c>
      <c r="IG100" s="627">
        <v>0</v>
      </c>
      <c r="IH100" s="627">
        <v>0</v>
      </c>
      <c r="II100" s="627">
        <v>131.86000000000001</v>
      </c>
      <c r="IJ100" s="627">
        <v>0</v>
      </c>
      <c r="IK100" s="627">
        <v>42.613</v>
      </c>
      <c r="IL100" s="627">
        <v>0</v>
      </c>
      <c r="IM100" s="627">
        <v>0</v>
      </c>
      <c r="IN100" s="627">
        <v>0</v>
      </c>
      <c r="IO100" s="627">
        <v>0</v>
      </c>
      <c r="IP100" s="627">
        <v>0</v>
      </c>
      <c r="IQ100" s="627">
        <v>0</v>
      </c>
      <c r="IR100" s="627">
        <v>42.613</v>
      </c>
      <c r="IS100" s="627">
        <v>26250</v>
      </c>
      <c r="IT100" s="627">
        <v>0</v>
      </c>
      <c r="IU100" s="627">
        <v>0</v>
      </c>
      <c r="IV100" s="627">
        <v>0</v>
      </c>
      <c r="IW100" s="627">
        <v>0</v>
      </c>
      <c r="IX100" s="627">
        <v>6160</v>
      </c>
      <c r="IY100" s="627">
        <v>0</v>
      </c>
      <c r="IZ100" s="627">
        <v>0</v>
      </c>
      <c r="JA100" s="627">
        <v>0</v>
      </c>
      <c r="JB100" s="627">
        <v>0</v>
      </c>
      <c r="JC100" s="627">
        <v>0</v>
      </c>
      <c r="JD100" s="627">
        <v>0</v>
      </c>
      <c r="JE100" s="627">
        <v>0</v>
      </c>
      <c r="JF100" s="627">
        <v>0</v>
      </c>
      <c r="JG100" s="627">
        <v>1</v>
      </c>
      <c r="JH100" s="627">
        <v>6111</v>
      </c>
      <c r="JI100" s="627">
        <v>500</v>
      </c>
      <c r="JJ100" s="627">
        <v>0</v>
      </c>
      <c r="JK100" s="627">
        <v>0</v>
      </c>
      <c r="JL100" s="627">
        <v>0</v>
      </c>
      <c r="JM100" s="627">
        <v>0</v>
      </c>
      <c r="JN100" s="627">
        <v>0</v>
      </c>
      <c r="JO100" s="627">
        <v>32469</v>
      </c>
      <c r="JP100" s="627">
        <v>0</v>
      </c>
      <c r="JQ100" s="627">
        <v>0</v>
      </c>
      <c r="JR100" s="627">
        <v>0</v>
      </c>
      <c r="JS100" s="627">
        <v>0</v>
      </c>
      <c r="JT100" s="627">
        <v>0</v>
      </c>
      <c r="JU100" s="627">
        <v>0</v>
      </c>
      <c r="JV100" s="627">
        <v>3018</v>
      </c>
      <c r="JW100" s="627">
        <v>0</v>
      </c>
      <c r="JX100" s="627">
        <v>0</v>
      </c>
      <c r="JY100" s="627">
        <v>0</v>
      </c>
      <c r="JZ100" s="627">
        <v>0</v>
      </c>
      <c r="KA100" s="627">
        <v>0</v>
      </c>
      <c r="KB100" s="627">
        <v>0</v>
      </c>
      <c r="KC100" s="627">
        <v>0</v>
      </c>
      <c r="KD100" s="627">
        <v>0</v>
      </c>
      <c r="KE100" s="627">
        <v>3018</v>
      </c>
      <c r="KF100" s="627">
        <v>7262</v>
      </c>
      <c r="KG100" s="627">
        <v>0</v>
      </c>
      <c r="KH100" s="627">
        <v>0</v>
      </c>
      <c r="KI100" s="627">
        <v>1742087</v>
      </c>
      <c r="KJ100" s="627">
        <v>0</v>
      </c>
      <c r="KK100" s="627">
        <v>0</v>
      </c>
      <c r="KL100" s="627">
        <v>0</v>
      </c>
      <c r="KM100" s="627">
        <v>0</v>
      </c>
      <c r="KN100" s="627">
        <v>0</v>
      </c>
      <c r="KO100" s="627">
        <v>0</v>
      </c>
      <c r="KP100" s="627">
        <v>0</v>
      </c>
      <c r="KQ100" s="627">
        <v>1742087</v>
      </c>
      <c r="KR100" s="627">
        <v>0</v>
      </c>
      <c r="KS100" s="627">
        <v>0</v>
      </c>
      <c r="KT100" s="627">
        <v>0</v>
      </c>
      <c r="KU100" s="627">
        <v>0</v>
      </c>
      <c r="KV100" s="627">
        <v>0</v>
      </c>
      <c r="KW100" s="627">
        <v>0</v>
      </c>
      <c r="KX100" s="627">
        <v>0</v>
      </c>
      <c r="KY100" s="627">
        <v>0</v>
      </c>
      <c r="KZ100" s="627">
        <v>0</v>
      </c>
      <c r="LA100" s="627">
        <v>0</v>
      </c>
      <c r="LB100" s="627">
        <v>0</v>
      </c>
      <c r="LC100" s="627">
        <v>0</v>
      </c>
      <c r="LD100" s="627">
        <v>0</v>
      </c>
      <c r="LE100" s="627">
        <v>0</v>
      </c>
      <c r="LF100" s="627">
        <v>0</v>
      </c>
    </row>
    <row r="101" spans="1:318" x14ac:dyDescent="0.25">
      <c r="A101" s="627">
        <v>42602</v>
      </c>
      <c r="B101" s="627">
        <v>57813</v>
      </c>
      <c r="D101" s="627">
        <v>9</v>
      </c>
      <c r="E101" s="627">
        <v>2024</v>
      </c>
      <c r="F101" s="627">
        <v>6160</v>
      </c>
      <c r="G101" s="627">
        <v>0</v>
      </c>
      <c r="H101" s="627">
        <v>5849.4670000000006</v>
      </c>
      <c r="I101" s="627">
        <v>5504.8050000000003</v>
      </c>
      <c r="J101" s="627">
        <v>5504.8050000000003</v>
      </c>
      <c r="K101" s="627">
        <v>5849.4670000000006</v>
      </c>
      <c r="L101" s="627">
        <v>0</v>
      </c>
      <c r="M101" s="627">
        <v>6160</v>
      </c>
      <c r="N101" s="627">
        <v>0</v>
      </c>
      <c r="O101" s="627">
        <v>0</v>
      </c>
      <c r="P101" s="627">
        <v>0</v>
      </c>
      <c r="Q101" s="627">
        <v>4074.1</v>
      </c>
      <c r="R101" s="627">
        <v>0</v>
      </c>
      <c r="S101" s="627">
        <v>1690279</v>
      </c>
      <c r="T101" s="627">
        <v>414.88400000000001</v>
      </c>
      <c r="U101" s="627">
        <v>0</v>
      </c>
      <c r="V101" s="627">
        <v>877187</v>
      </c>
      <c r="W101" s="627">
        <v>2479.6330000000003</v>
      </c>
      <c r="X101" s="627">
        <v>1527454</v>
      </c>
      <c r="Y101" s="627">
        <v>1527454</v>
      </c>
      <c r="Z101" s="627">
        <v>0</v>
      </c>
      <c r="AA101" s="627">
        <v>0</v>
      </c>
      <c r="AB101" s="627">
        <v>0</v>
      </c>
      <c r="AC101" s="627">
        <v>0</v>
      </c>
      <c r="AD101" s="627">
        <v>0</v>
      </c>
      <c r="AE101" s="627" t="s">
        <v>314</v>
      </c>
      <c r="AF101" s="627">
        <v>0</v>
      </c>
      <c r="AG101" s="627">
        <v>0</v>
      </c>
      <c r="AH101" s="627">
        <v>0</v>
      </c>
      <c r="AI101" s="627">
        <v>0</v>
      </c>
      <c r="AJ101" s="627">
        <v>0</v>
      </c>
      <c r="AK101" s="627">
        <v>6160</v>
      </c>
      <c r="AL101" s="627" t="s">
        <v>651</v>
      </c>
      <c r="AM101" s="627" t="s">
        <v>21</v>
      </c>
      <c r="AN101" s="627">
        <v>0</v>
      </c>
      <c r="AO101" s="627">
        <v>0</v>
      </c>
      <c r="AP101" s="627">
        <v>0</v>
      </c>
      <c r="AQ101" s="627">
        <v>0</v>
      </c>
      <c r="AR101" s="627">
        <v>0</v>
      </c>
      <c r="AS101" s="627">
        <v>0</v>
      </c>
      <c r="AT101" s="627">
        <v>0</v>
      </c>
      <c r="AU101" s="627">
        <v>0</v>
      </c>
      <c r="AV101" s="627">
        <v>0</v>
      </c>
      <c r="AW101" s="627">
        <v>0</v>
      </c>
      <c r="AX101" s="627">
        <v>71194660</v>
      </c>
      <c r="AY101" s="627">
        <v>70279487</v>
      </c>
      <c r="AZ101" s="627">
        <v>40548269</v>
      </c>
      <c r="BA101" s="627">
        <v>1690279</v>
      </c>
      <c r="BB101" s="627">
        <v>143</v>
      </c>
      <c r="BC101" s="627">
        <v>0</v>
      </c>
      <c r="BD101" s="627">
        <v>0</v>
      </c>
      <c r="BE101" s="627">
        <v>0</v>
      </c>
      <c r="BF101" s="627">
        <v>0</v>
      </c>
      <c r="BG101" s="627">
        <v>60054616</v>
      </c>
      <c r="BH101" s="627">
        <v>0</v>
      </c>
      <c r="BI101" s="627">
        <v>0</v>
      </c>
      <c r="BJ101" s="627">
        <v>0</v>
      </c>
      <c r="BK101" s="627">
        <v>12</v>
      </c>
      <c r="BL101" s="627">
        <v>0</v>
      </c>
      <c r="BM101" s="627">
        <v>0</v>
      </c>
      <c r="BN101" s="627">
        <v>0</v>
      </c>
      <c r="BO101" s="627">
        <v>0</v>
      </c>
      <c r="BP101" s="627">
        <v>0</v>
      </c>
      <c r="BQ101" s="627">
        <v>0</v>
      </c>
      <c r="BR101" s="627">
        <v>0</v>
      </c>
      <c r="BS101" s="627">
        <v>0</v>
      </c>
      <c r="BT101" s="627">
        <v>0</v>
      </c>
      <c r="BU101" s="627">
        <v>0</v>
      </c>
      <c r="BV101" s="627">
        <v>0</v>
      </c>
      <c r="BW101" s="627">
        <v>0</v>
      </c>
      <c r="BX101" s="627">
        <v>0</v>
      </c>
      <c r="BY101" s="627">
        <v>0</v>
      </c>
      <c r="BZ101" s="627">
        <v>0</v>
      </c>
      <c r="CA101" s="627">
        <v>0</v>
      </c>
      <c r="CB101" s="627">
        <v>1769.8480000000002</v>
      </c>
      <c r="CC101" s="627">
        <v>1769848</v>
      </c>
      <c r="CD101" s="627">
        <v>0</v>
      </c>
      <c r="CE101" s="627">
        <v>0</v>
      </c>
      <c r="CF101" s="627">
        <v>0</v>
      </c>
      <c r="CG101" s="627">
        <v>0</v>
      </c>
      <c r="CH101" s="627">
        <v>0</v>
      </c>
      <c r="CI101" s="627">
        <v>935497</v>
      </c>
      <c r="CJ101" s="627">
        <v>0</v>
      </c>
      <c r="CK101" s="627">
        <v>5</v>
      </c>
      <c r="CL101" s="627">
        <v>0</v>
      </c>
      <c r="CM101" s="627">
        <v>0</v>
      </c>
      <c r="CN101" s="627">
        <v>0</v>
      </c>
      <c r="CO101" s="627">
        <v>0</v>
      </c>
      <c r="CP101" s="627">
        <v>1</v>
      </c>
      <c r="CQ101" s="627">
        <v>0</v>
      </c>
      <c r="CR101" s="627">
        <v>17</v>
      </c>
      <c r="CS101" s="627">
        <v>4077.232</v>
      </c>
      <c r="CT101" s="627">
        <v>0</v>
      </c>
      <c r="CU101" s="627">
        <v>0</v>
      </c>
      <c r="CV101" s="627">
        <v>0</v>
      </c>
      <c r="CW101" s="627">
        <v>0</v>
      </c>
      <c r="CX101" s="627">
        <v>0</v>
      </c>
      <c r="CY101" s="627">
        <v>0</v>
      </c>
      <c r="CZ101" s="627">
        <v>0</v>
      </c>
      <c r="DA101" s="627">
        <v>0</v>
      </c>
      <c r="DB101" s="627">
        <v>0</v>
      </c>
      <c r="DC101" s="627">
        <v>33909599</v>
      </c>
      <c r="DD101" s="627">
        <v>0</v>
      </c>
      <c r="DE101" s="627">
        <v>0</v>
      </c>
      <c r="DF101" s="627">
        <v>9366357</v>
      </c>
      <c r="DG101" s="627">
        <v>9366357</v>
      </c>
      <c r="DH101" s="627">
        <v>1520.5130000000001</v>
      </c>
      <c r="DI101" s="627">
        <v>0</v>
      </c>
      <c r="DJ101" s="627">
        <v>0</v>
      </c>
      <c r="DK101" s="627">
        <v>0</v>
      </c>
      <c r="DL101" s="627">
        <v>0</v>
      </c>
      <c r="DM101" s="627">
        <v>0</v>
      </c>
      <c r="DN101" s="627">
        <v>5963029</v>
      </c>
      <c r="DO101" s="627">
        <v>20324</v>
      </c>
      <c r="DP101" s="627">
        <v>0</v>
      </c>
      <c r="DQ101" s="627">
        <v>0</v>
      </c>
      <c r="DR101" s="627">
        <v>0</v>
      </c>
      <c r="DS101" s="627">
        <v>0</v>
      </c>
      <c r="DT101" s="627">
        <v>0</v>
      </c>
      <c r="DU101" s="627">
        <v>0</v>
      </c>
      <c r="DV101" s="627">
        <v>0</v>
      </c>
      <c r="DW101" s="627">
        <v>0</v>
      </c>
      <c r="DX101" s="627">
        <v>0</v>
      </c>
      <c r="DY101" s="627">
        <v>0</v>
      </c>
      <c r="DZ101" s="627">
        <v>0</v>
      </c>
      <c r="EA101" s="627">
        <v>0</v>
      </c>
      <c r="EB101" s="627">
        <v>0.14400000000000002</v>
      </c>
      <c r="EC101" s="627">
        <v>0</v>
      </c>
      <c r="ED101" s="627">
        <v>155.11700000000002</v>
      </c>
      <c r="EE101" s="627">
        <v>1098849</v>
      </c>
      <c r="EF101" s="627">
        <v>0</v>
      </c>
      <c r="EG101" s="627">
        <v>0</v>
      </c>
      <c r="EH101" s="627">
        <v>0</v>
      </c>
      <c r="EI101" s="627">
        <v>4884504</v>
      </c>
      <c r="EJ101" s="627">
        <v>0</v>
      </c>
      <c r="EK101" s="627">
        <v>0</v>
      </c>
      <c r="EL101" s="627">
        <v>198.53900000000002</v>
      </c>
      <c r="EM101" s="627">
        <v>5.1459999999999999</v>
      </c>
      <c r="EN101" s="627">
        <v>36.679000000000002</v>
      </c>
      <c r="EO101" s="627">
        <v>17.313000000000002</v>
      </c>
      <c r="EP101" s="627">
        <v>0</v>
      </c>
      <c r="EQ101" s="627">
        <v>0</v>
      </c>
      <c r="ER101" s="627">
        <v>252.67500000000001</v>
      </c>
      <c r="ES101" s="627">
        <v>0</v>
      </c>
      <c r="ET101" s="627">
        <v>792.93900000000008</v>
      </c>
      <c r="EU101" s="627">
        <v>0</v>
      </c>
      <c r="EV101" s="627">
        <v>0</v>
      </c>
      <c r="EW101" s="627">
        <v>0</v>
      </c>
      <c r="EX101" s="627">
        <v>0</v>
      </c>
      <c r="EY101" s="627">
        <v>0</v>
      </c>
      <c r="EZ101" s="627">
        <v>0</v>
      </c>
      <c r="FA101" s="627">
        <v>60134185</v>
      </c>
      <c r="FB101" s="627">
        <v>0</v>
      </c>
      <c r="FC101" s="627">
        <v>61804140</v>
      </c>
      <c r="FD101" s="627">
        <v>0</v>
      </c>
      <c r="FE101" s="627">
        <v>0</v>
      </c>
      <c r="FF101" s="627">
        <v>8647636</v>
      </c>
      <c r="FG101" s="627">
        <v>1497666</v>
      </c>
      <c r="FH101" s="627">
        <v>7.0280999999999996E-2</v>
      </c>
      <c r="FI101" s="627">
        <v>3.1172999999999999E-2</v>
      </c>
      <c r="FJ101" s="627">
        <v>0</v>
      </c>
      <c r="FK101" s="627">
        <v>0</v>
      </c>
      <c r="FL101" s="627">
        <v>9749.1260000000002</v>
      </c>
      <c r="FM101" s="627">
        <v>72884939</v>
      </c>
      <c r="FN101" s="627">
        <v>0</v>
      </c>
      <c r="FO101" s="627">
        <v>0</v>
      </c>
      <c r="FP101" s="627">
        <v>0</v>
      </c>
      <c r="FQ101" s="627">
        <v>0</v>
      </c>
      <c r="FR101" s="627">
        <v>0</v>
      </c>
      <c r="FS101" s="627">
        <v>0</v>
      </c>
      <c r="FT101" s="627">
        <v>0</v>
      </c>
      <c r="FU101" s="627">
        <v>0</v>
      </c>
      <c r="FV101" s="627">
        <v>0</v>
      </c>
      <c r="FW101" s="627">
        <v>0</v>
      </c>
      <c r="FX101" s="627">
        <v>0</v>
      </c>
      <c r="FY101" s="627">
        <v>0</v>
      </c>
      <c r="FZ101" s="627">
        <v>0</v>
      </c>
      <c r="GA101" s="627">
        <v>0</v>
      </c>
      <c r="GB101" s="627">
        <v>0</v>
      </c>
      <c r="GC101" s="627">
        <v>770414</v>
      </c>
      <c r="GD101" s="627">
        <v>770414</v>
      </c>
      <c r="GE101" s="627">
        <v>91.987000000000009</v>
      </c>
      <c r="GF101" s="627">
        <v>0</v>
      </c>
      <c r="GG101" s="627">
        <v>0</v>
      </c>
      <c r="GH101" s="627">
        <v>0</v>
      </c>
      <c r="GI101" s="627">
        <v>0</v>
      </c>
      <c r="GJ101" s="627">
        <v>0</v>
      </c>
      <c r="GK101" s="627">
        <v>0</v>
      </c>
      <c r="GL101" s="627">
        <v>0</v>
      </c>
      <c r="GM101" s="627">
        <v>0</v>
      </c>
      <c r="GN101" s="627">
        <v>0</v>
      </c>
      <c r="GO101" s="627">
        <v>0</v>
      </c>
      <c r="GP101" s="627">
        <v>0</v>
      </c>
      <c r="GQ101" s="627">
        <v>0</v>
      </c>
      <c r="GR101" s="627">
        <v>70259163</v>
      </c>
      <c r="GS101" s="627">
        <v>0</v>
      </c>
      <c r="GT101" s="627">
        <v>0</v>
      </c>
      <c r="GU101" s="627">
        <v>0</v>
      </c>
      <c r="GV101" s="627">
        <v>0</v>
      </c>
      <c r="GW101" s="627">
        <v>0</v>
      </c>
      <c r="GX101" s="627">
        <v>0</v>
      </c>
      <c r="GY101" s="627">
        <v>0</v>
      </c>
      <c r="GZ101" s="627">
        <v>0</v>
      </c>
      <c r="HA101" s="627">
        <v>0</v>
      </c>
      <c r="HB101" s="627">
        <v>0</v>
      </c>
      <c r="HC101" s="627">
        <v>361151439</v>
      </c>
      <c r="HD101" s="627">
        <v>3.9981999999999997E-2</v>
      </c>
      <c r="HE101" s="627">
        <v>935497</v>
      </c>
      <c r="HF101" s="627">
        <v>0</v>
      </c>
      <c r="HG101" s="627">
        <v>6066295</v>
      </c>
      <c r="HH101" s="627">
        <v>243320</v>
      </c>
      <c r="HI101" s="627">
        <v>1829992</v>
      </c>
      <c r="HJ101" s="627">
        <v>0</v>
      </c>
      <c r="HK101" s="627">
        <v>103495</v>
      </c>
      <c r="HL101" s="627">
        <v>0</v>
      </c>
      <c r="HM101" s="627">
        <v>0</v>
      </c>
      <c r="HN101" s="627">
        <v>0</v>
      </c>
      <c r="HO101" s="627">
        <v>254337</v>
      </c>
      <c r="HP101" s="627">
        <v>0</v>
      </c>
      <c r="HQ101" s="627">
        <v>0</v>
      </c>
      <c r="HR101" s="627">
        <v>0</v>
      </c>
      <c r="HS101" s="627">
        <v>0</v>
      </c>
      <c r="HT101" s="627">
        <v>60113861</v>
      </c>
      <c r="HU101" s="627">
        <v>1497666</v>
      </c>
      <c r="HV101" s="627">
        <v>0</v>
      </c>
      <c r="HW101" s="627">
        <v>0</v>
      </c>
      <c r="HX101" s="627">
        <v>0</v>
      </c>
      <c r="HY101" s="627">
        <v>363</v>
      </c>
      <c r="HZ101" s="627">
        <v>757</v>
      </c>
      <c r="IA101" s="627">
        <v>876</v>
      </c>
      <c r="IB101" s="627">
        <v>1738</v>
      </c>
      <c r="IC101" s="627">
        <v>2123</v>
      </c>
      <c r="ID101" s="627">
        <v>5857</v>
      </c>
      <c r="IE101" s="627">
        <v>0</v>
      </c>
      <c r="IF101" s="627">
        <v>0</v>
      </c>
      <c r="IG101" s="627">
        <v>0</v>
      </c>
      <c r="IH101" s="627">
        <v>395</v>
      </c>
      <c r="II101" s="627">
        <v>2970.7670000000003</v>
      </c>
      <c r="IJ101" s="627">
        <v>0</v>
      </c>
      <c r="IK101" s="627">
        <v>2479.6330000000003</v>
      </c>
      <c r="IL101" s="627">
        <v>0</v>
      </c>
      <c r="IM101" s="627">
        <v>0</v>
      </c>
      <c r="IN101" s="627">
        <v>0</v>
      </c>
      <c r="IO101" s="627">
        <v>0</v>
      </c>
      <c r="IP101" s="627">
        <v>0</v>
      </c>
      <c r="IQ101" s="627">
        <v>0</v>
      </c>
      <c r="IR101" s="627">
        <v>2479.6330000000003</v>
      </c>
      <c r="IS101" s="627">
        <v>1527454</v>
      </c>
      <c r="IT101" s="627">
        <v>0</v>
      </c>
      <c r="IU101" s="627">
        <v>0</v>
      </c>
      <c r="IV101" s="627">
        <v>0</v>
      </c>
      <c r="IW101" s="627">
        <v>0</v>
      </c>
      <c r="IX101" s="627">
        <v>6160</v>
      </c>
      <c r="IY101" s="627">
        <v>0</v>
      </c>
      <c r="IZ101" s="627">
        <v>0</v>
      </c>
      <c r="JA101" s="627">
        <v>0</v>
      </c>
      <c r="JB101" s="627">
        <v>0</v>
      </c>
      <c r="JC101" s="627">
        <v>2</v>
      </c>
      <c r="JD101" s="627">
        <v>51860</v>
      </c>
      <c r="JE101" s="627">
        <v>6</v>
      </c>
      <c r="JF101" s="627">
        <v>83790</v>
      </c>
      <c r="JG101" s="627">
        <v>15</v>
      </c>
      <c r="JH101" s="627">
        <v>107187</v>
      </c>
      <c r="JI101" s="627">
        <v>11500</v>
      </c>
      <c r="JJ101" s="627">
        <v>0</v>
      </c>
      <c r="JK101" s="627">
        <v>0</v>
      </c>
      <c r="JL101" s="627">
        <v>0</v>
      </c>
      <c r="JM101" s="627">
        <v>0</v>
      </c>
      <c r="JN101" s="627">
        <v>0</v>
      </c>
      <c r="JO101" s="627">
        <v>40091</v>
      </c>
      <c r="JP101" s="627">
        <v>64.75</v>
      </c>
      <c r="JQ101" s="627">
        <v>27.237000000000002</v>
      </c>
      <c r="JR101" s="627">
        <v>0</v>
      </c>
      <c r="JS101" s="627">
        <v>517236</v>
      </c>
      <c r="JT101" s="627">
        <v>253178</v>
      </c>
      <c r="JU101" s="627">
        <v>0</v>
      </c>
      <c r="JV101" s="627">
        <v>0</v>
      </c>
      <c r="JW101" s="627">
        <v>0</v>
      </c>
      <c r="JX101" s="627">
        <v>0</v>
      </c>
      <c r="JY101" s="627">
        <v>0</v>
      </c>
      <c r="JZ101" s="627">
        <v>0</v>
      </c>
      <c r="KA101" s="627">
        <v>0</v>
      </c>
      <c r="KB101" s="627">
        <v>0</v>
      </c>
      <c r="KC101" s="627">
        <v>0</v>
      </c>
      <c r="KD101" s="627">
        <v>0</v>
      </c>
      <c r="KE101" s="627">
        <v>0</v>
      </c>
      <c r="KF101" s="627">
        <v>7262</v>
      </c>
      <c r="KG101" s="627">
        <v>0</v>
      </c>
      <c r="KH101" s="627">
        <v>0</v>
      </c>
      <c r="KI101" s="627">
        <v>70259163</v>
      </c>
      <c r="KJ101" s="627">
        <v>0</v>
      </c>
      <c r="KK101" s="627">
        <v>250</v>
      </c>
      <c r="KL101" s="627">
        <v>145</v>
      </c>
      <c r="KM101" s="627">
        <v>154000</v>
      </c>
      <c r="KN101" s="627">
        <v>89320</v>
      </c>
      <c r="KO101" s="627">
        <v>0</v>
      </c>
      <c r="KP101" s="627">
        <v>0</v>
      </c>
      <c r="KQ101" s="627">
        <v>70259163</v>
      </c>
      <c r="KR101" s="627">
        <v>0</v>
      </c>
      <c r="KS101" s="627">
        <v>0</v>
      </c>
      <c r="KT101" s="627">
        <v>0</v>
      </c>
      <c r="KU101" s="627">
        <v>0</v>
      </c>
      <c r="KV101" s="627">
        <v>0</v>
      </c>
      <c r="KW101" s="627">
        <v>0</v>
      </c>
      <c r="KX101" s="627">
        <v>0</v>
      </c>
      <c r="KY101" s="627">
        <v>0</v>
      </c>
      <c r="KZ101" s="627">
        <v>0</v>
      </c>
      <c r="LA101" s="627">
        <v>0</v>
      </c>
      <c r="LB101" s="627">
        <v>0</v>
      </c>
      <c r="LC101" s="627">
        <v>0</v>
      </c>
      <c r="LD101" s="627">
        <v>0</v>
      </c>
      <c r="LE101" s="627">
        <v>0</v>
      </c>
      <c r="LF101" s="627">
        <v>0</v>
      </c>
    </row>
    <row r="102" spans="1:318" x14ac:dyDescent="0.25">
      <c r="A102" s="627">
        <v>42602</v>
      </c>
      <c r="B102" s="627">
        <v>15814</v>
      </c>
      <c r="D102" s="627">
        <v>9</v>
      </c>
      <c r="E102" s="627">
        <v>2024</v>
      </c>
      <c r="F102" s="627">
        <v>6160</v>
      </c>
      <c r="G102" s="627">
        <v>0</v>
      </c>
      <c r="H102" s="627">
        <v>58.937000000000005</v>
      </c>
      <c r="I102" s="627">
        <v>56.195</v>
      </c>
      <c r="J102" s="627">
        <v>56.195</v>
      </c>
      <c r="K102" s="627">
        <v>58.937000000000005</v>
      </c>
      <c r="L102" s="627">
        <v>0</v>
      </c>
      <c r="M102" s="627">
        <v>6160</v>
      </c>
      <c r="N102" s="627">
        <v>0</v>
      </c>
      <c r="O102" s="627">
        <v>0</v>
      </c>
      <c r="P102" s="627">
        <v>0</v>
      </c>
      <c r="Q102" s="627">
        <v>73.046999999999997</v>
      </c>
      <c r="R102" s="627">
        <v>0</v>
      </c>
      <c r="S102" s="627">
        <v>30306</v>
      </c>
      <c r="T102" s="627">
        <v>414.88400000000001</v>
      </c>
      <c r="U102" s="627">
        <v>0</v>
      </c>
      <c r="V102" s="627">
        <v>15727</v>
      </c>
      <c r="W102" s="627">
        <v>3.3080000000000003</v>
      </c>
      <c r="X102" s="627">
        <v>2038</v>
      </c>
      <c r="Y102" s="627">
        <v>2038</v>
      </c>
      <c r="Z102" s="627">
        <v>0</v>
      </c>
      <c r="AA102" s="627">
        <v>0</v>
      </c>
      <c r="AB102" s="627">
        <v>0</v>
      </c>
      <c r="AC102" s="627">
        <v>0</v>
      </c>
      <c r="AD102" s="627">
        <v>0</v>
      </c>
      <c r="AE102" s="627" t="s">
        <v>314</v>
      </c>
      <c r="AF102" s="627">
        <v>0</v>
      </c>
      <c r="AG102" s="627">
        <v>0</v>
      </c>
      <c r="AH102" s="627">
        <v>0</v>
      </c>
      <c r="AI102" s="627">
        <v>0</v>
      </c>
      <c r="AJ102" s="627">
        <v>0</v>
      </c>
      <c r="AK102" s="627">
        <v>6160</v>
      </c>
      <c r="AL102" s="627" t="s">
        <v>651</v>
      </c>
      <c r="AM102" s="627" t="s">
        <v>39</v>
      </c>
      <c r="AN102" s="627">
        <v>0</v>
      </c>
      <c r="AO102" s="627">
        <v>0</v>
      </c>
      <c r="AP102" s="627">
        <v>0</v>
      </c>
      <c r="AQ102" s="627">
        <v>0</v>
      </c>
      <c r="AR102" s="627">
        <v>0</v>
      </c>
      <c r="AS102" s="627">
        <v>0</v>
      </c>
      <c r="AT102" s="627">
        <v>0</v>
      </c>
      <c r="AU102" s="627">
        <v>0</v>
      </c>
      <c r="AV102" s="627">
        <v>0</v>
      </c>
      <c r="AW102" s="627">
        <v>0</v>
      </c>
      <c r="AX102" s="627">
        <v>786888</v>
      </c>
      <c r="AY102" s="627">
        <v>777804</v>
      </c>
      <c r="AZ102" s="627">
        <v>405705</v>
      </c>
      <c r="BA102" s="627">
        <v>30306</v>
      </c>
      <c r="BB102" s="627">
        <v>0</v>
      </c>
      <c r="BC102" s="627">
        <v>0</v>
      </c>
      <c r="BD102" s="627">
        <v>0</v>
      </c>
      <c r="BE102" s="627">
        <v>0</v>
      </c>
      <c r="BF102" s="627">
        <v>0</v>
      </c>
      <c r="BG102" s="627">
        <v>670721</v>
      </c>
      <c r="BH102" s="627">
        <v>0</v>
      </c>
      <c r="BI102" s="627">
        <v>0</v>
      </c>
      <c r="BJ102" s="627">
        <v>0</v>
      </c>
      <c r="BK102" s="627">
        <v>12</v>
      </c>
      <c r="BL102" s="627">
        <v>0</v>
      </c>
      <c r="BM102" s="627">
        <v>0</v>
      </c>
      <c r="BN102" s="627">
        <v>0</v>
      </c>
      <c r="BO102" s="627">
        <v>0</v>
      </c>
      <c r="BP102" s="627">
        <v>0</v>
      </c>
      <c r="BQ102" s="627">
        <v>0</v>
      </c>
      <c r="BR102" s="627">
        <v>761</v>
      </c>
      <c r="BS102" s="627">
        <v>0</v>
      </c>
      <c r="BT102" s="627">
        <v>0</v>
      </c>
      <c r="BU102" s="627">
        <v>0</v>
      </c>
      <c r="BV102" s="627">
        <v>0</v>
      </c>
      <c r="BW102" s="627">
        <v>0</v>
      </c>
      <c r="BX102" s="627">
        <v>0</v>
      </c>
      <c r="BY102" s="627">
        <v>0</v>
      </c>
      <c r="BZ102" s="627">
        <v>0</v>
      </c>
      <c r="CA102" s="627">
        <v>0</v>
      </c>
      <c r="CB102" s="627">
        <v>0</v>
      </c>
      <c r="CC102" s="627">
        <v>0</v>
      </c>
      <c r="CD102" s="627">
        <v>0</v>
      </c>
      <c r="CE102" s="627">
        <v>0</v>
      </c>
      <c r="CF102" s="627">
        <v>0</v>
      </c>
      <c r="CG102" s="627">
        <v>0</v>
      </c>
      <c r="CH102" s="627">
        <v>0</v>
      </c>
      <c r="CI102" s="627">
        <v>9426</v>
      </c>
      <c r="CJ102" s="627">
        <v>0</v>
      </c>
      <c r="CK102" s="627">
        <v>4</v>
      </c>
      <c r="CL102" s="627">
        <v>0</v>
      </c>
      <c r="CM102" s="627">
        <v>0</v>
      </c>
      <c r="CN102" s="627">
        <v>0</v>
      </c>
      <c r="CO102" s="627">
        <v>0</v>
      </c>
      <c r="CP102" s="627">
        <v>1</v>
      </c>
      <c r="CQ102" s="627">
        <v>0</v>
      </c>
      <c r="CR102" s="627">
        <v>0</v>
      </c>
      <c r="CS102" s="627">
        <v>72.010000000000005</v>
      </c>
      <c r="CT102" s="627">
        <v>0</v>
      </c>
      <c r="CU102" s="627">
        <v>0</v>
      </c>
      <c r="CV102" s="627">
        <v>0</v>
      </c>
      <c r="CW102" s="627">
        <v>0</v>
      </c>
      <c r="CX102" s="627">
        <v>0</v>
      </c>
      <c r="CY102" s="627">
        <v>0</v>
      </c>
      <c r="CZ102" s="627">
        <v>0</v>
      </c>
      <c r="DA102" s="627">
        <v>0</v>
      </c>
      <c r="DB102" s="627">
        <v>0</v>
      </c>
      <c r="DC102" s="627">
        <v>332246</v>
      </c>
      <c r="DD102" s="627">
        <v>0</v>
      </c>
      <c r="DE102" s="627">
        <v>0</v>
      </c>
      <c r="DF102" s="627">
        <v>113421</v>
      </c>
      <c r="DG102" s="627">
        <v>113421</v>
      </c>
      <c r="DH102" s="627">
        <v>18.413</v>
      </c>
      <c r="DI102" s="627">
        <v>0</v>
      </c>
      <c r="DJ102" s="627">
        <v>0</v>
      </c>
      <c r="DK102" s="627">
        <v>0</v>
      </c>
      <c r="DL102" s="627">
        <v>3804</v>
      </c>
      <c r="DM102" s="627">
        <v>0</v>
      </c>
      <c r="DN102" s="627">
        <v>114251</v>
      </c>
      <c r="DO102" s="627">
        <v>342</v>
      </c>
      <c r="DP102" s="627">
        <v>0</v>
      </c>
      <c r="DQ102" s="627">
        <v>0</v>
      </c>
      <c r="DR102" s="627">
        <v>0</v>
      </c>
      <c r="DS102" s="627">
        <v>0</v>
      </c>
      <c r="DT102" s="627">
        <v>0</v>
      </c>
      <c r="DU102" s="627">
        <v>0</v>
      </c>
      <c r="DV102" s="627">
        <v>0</v>
      </c>
      <c r="DW102" s="627">
        <v>0</v>
      </c>
      <c r="DX102" s="627">
        <v>0</v>
      </c>
      <c r="DY102" s="627">
        <v>0</v>
      </c>
      <c r="DZ102" s="627">
        <v>0</v>
      </c>
      <c r="EA102" s="627">
        <v>0</v>
      </c>
      <c r="EB102" s="627">
        <v>0</v>
      </c>
      <c r="EC102" s="627">
        <v>0</v>
      </c>
      <c r="ED102" s="627">
        <v>7.3120000000000003</v>
      </c>
      <c r="EE102" s="627">
        <v>51798</v>
      </c>
      <c r="EF102" s="627">
        <v>0</v>
      </c>
      <c r="EG102" s="627">
        <v>0</v>
      </c>
      <c r="EH102" s="627">
        <v>0</v>
      </c>
      <c r="EI102" s="627">
        <v>48880</v>
      </c>
      <c r="EJ102" s="627">
        <v>0</v>
      </c>
      <c r="EK102" s="627">
        <v>0</v>
      </c>
      <c r="EL102" s="627">
        <v>2.5449999999999999</v>
      </c>
      <c r="EM102" s="627">
        <v>0</v>
      </c>
      <c r="EN102" s="627">
        <v>0</v>
      </c>
      <c r="EO102" s="627">
        <v>0.06</v>
      </c>
      <c r="EP102" s="627">
        <v>0</v>
      </c>
      <c r="EQ102" s="627">
        <v>0</v>
      </c>
      <c r="ER102" s="627">
        <v>2.605</v>
      </c>
      <c r="ES102" s="627">
        <v>0</v>
      </c>
      <c r="ET102" s="627">
        <v>7.9350000000000005</v>
      </c>
      <c r="EU102" s="627">
        <v>0</v>
      </c>
      <c r="EV102" s="627">
        <v>0</v>
      </c>
      <c r="EW102" s="627">
        <v>0</v>
      </c>
      <c r="EX102" s="627">
        <v>0</v>
      </c>
      <c r="EY102" s="627">
        <v>0</v>
      </c>
      <c r="EZ102" s="627">
        <v>0</v>
      </c>
      <c r="FA102" s="627">
        <v>664496</v>
      </c>
      <c r="FB102" s="627">
        <v>0</v>
      </c>
      <c r="FC102" s="627">
        <v>694460</v>
      </c>
      <c r="FD102" s="627">
        <v>0</v>
      </c>
      <c r="FE102" s="627">
        <v>0</v>
      </c>
      <c r="FF102" s="627">
        <v>96581</v>
      </c>
      <c r="FG102" s="627">
        <v>16727</v>
      </c>
      <c r="FH102" s="627">
        <v>7.0280999999999996E-2</v>
      </c>
      <c r="FI102" s="627">
        <v>3.1172999999999999E-2</v>
      </c>
      <c r="FJ102" s="627">
        <v>0</v>
      </c>
      <c r="FK102" s="627">
        <v>0</v>
      </c>
      <c r="FL102" s="627">
        <v>108.88300000000001</v>
      </c>
      <c r="FM102" s="627">
        <v>817194</v>
      </c>
      <c r="FN102" s="627">
        <v>0</v>
      </c>
      <c r="FO102" s="627">
        <v>0</v>
      </c>
      <c r="FP102" s="627">
        <v>3450</v>
      </c>
      <c r="FQ102" s="627">
        <v>0</v>
      </c>
      <c r="FR102" s="627">
        <v>3450</v>
      </c>
      <c r="FS102" s="627">
        <v>3450</v>
      </c>
      <c r="FT102" s="627">
        <v>0</v>
      </c>
      <c r="FU102" s="627">
        <v>0</v>
      </c>
      <c r="FV102" s="627">
        <v>0</v>
      </c>
      <c r="FW102" s="627">
        <v>0</v>
      </c>
      <c r="FX102" s="627">
        <v>0</v>
      </c>
      <c r="FY102" s="627">
        <v>0</v>
      </c>
      <c r="FZ102" s="627">
        <v>0</v>
      </c>
      <c r="GA102" s="627">
        <v>0</v>
      </c>
      <c r="GB102" s="627">
        <v>0</v>
      </c>
      <c r="GC102" s="627">
        <v>1094</v>
      </c>
      <c r="GD102" s="627">
        <v>1094</v>
      </c>
      <c r="GE102" s="627">
        <v>0.13700000000000001</v>
      </c>
      <c r="GF102" s="627">
        <v>0</v>
      </c>
      <c r="GG102" s="627">
        <v>0</v>
      </c>
      <c r="GH102" s="627">
        <v>0</v>
      </c>
      <c r="GI102" s="627">
        <v>0</v>
      </c>
      <c r="GJ102" s="627">
        <v>0</v>
      </c>
      <c r="GK102" s="627">
        <v>0</v>
      </c>
      <c r="GL102" s="627">
        <v>0</v>
      </c>
      <c r="GM102" s="627">
        <v>0</v>
      </c>
      <c r="GN102" s="627">
        <v>0</v>
      </c>
      <c r="GO102" s="627">
        <v>0</v>
      </c>
      <c r="GP102" s="627">
        <v>0</v>
      </c>
      <c r="GQ102" s="627">
        <v>0</v>
      </c>
      <c r="GR102" s="627">
        <v>777462</v>
      </c>
      <c r="GS102" s="627">
        <v>0</v>
      </c>
      <c r="GT102" s="627">
        <v>0</v>
      </c>
      <c r="GU102" s="627">
        <v>0</v>
      </c>
      <c r="GV102" s="627">
        <v>0</v>
      </c>
      <c r="GW102" s="627">
        <v>0</v>
      </c>
      <c r="GX102" s="627">
        <v>0</v>
      </c>
      <c r="GY102" s="627">
        <v>0</v>
      </c>
      <c r="GZ102" s="627">
        <v>0</v>
      </c>
      <c r="HA102" s="627">
        <v>0</v>
      </c>
      <c r="HB102" s="627">
        <v>0</v>
      </c>
      <c r="HC102" s="627">
        <v>361151439</v>
      </c>
      <c r="HD102" s="627">
        <v>3.9981999999999997E-2</v>
      </c>
      <c r="HE102" s="627">
        <v>9426</v>
      </c>
      <c r="HF102" s="627">
        <v>0</v>
      </c>
      <c r="HG102" s="627">
        <v>61927</v>
      </c>
      <c r="HH102" s="627">
        <v>3080</v>
      </c>
      <c r="HI102" s="627">
        <v>0</v>
      </c>
      <c r="HJ102" s="627">
        <v>0</v>
      </c>
      <c r="HK102" s="627">
        <v>15589</v>
      </c>
      <c r="HL102" s="627">
        <v>1369</v>
      </c>
      <c r="HM102" s="627">
        <v>984</v>
      </c>
      <c r="HN102" s="627">
        <v>0</v>
      </c>
      <c r="HO102" s="627">
        <v>26733</v>
      </c>
      <c r="HP102" s="627">
        <v>0</v>
      </c>
      <c r="HQ102" s="627">
        <v>18278</v>
      </c>
      <c r="HR102" s="627">
        <v>0</v>
      </c>
      <c r="HS102" s="627">
        <v>0</v>
      </c>
      <c r="HT102" s="627">
        <v>664154</v>
      </c>
      <c r="HU102" s="627">
        <v>16727</v>
      </c>
      <c r="HV102" s="627">
        <v>0</v>
      </c>
      <c r="HW102" s="627">
        <v>0</v>
      </c>
      <c r="HX102" s="627">
        <v>0</v>
      </c>
      <c r="HY102" s="627">
        <v>1</v>
      </c>
      <c r="HZ102" s="627">
        <v>9</v>
      </c>
      <c r="IA102" s="627">
        <v>5</v>
      </c>
      <c r="IB102" s="627">
        <v>26</v>
      </c>
      <c r="IC102" s="627">
        <v>29</v>
      </c>
      <c r="ID102" s="627">
        <v>70</v>
      </c>
      <c r="IE102" s="627">
        <v>0</v>
      </c>
      <c r="IF102" s="627">
        <v>0</v>
      </c>
      <c r="IG102" s="627">
        <v>0</v>
      </c>
      <c r="IH102" s="627">
        <v>5</v>
      </c>
      <c r="II102" s="627">
        <v>0</v>
      </c>
      <c r="IJ102" s="627">
        <v>66.463999999999999</v>
      </c>
      <c r="IK102" s="627">
        <v>3.3080000000000003</v>
      </c>
      <c r="IL102" s="627">
        <v>0</v>
      </c>
      <c r="IM102" s="627">
        <v>0</v>
      </c>
      <c r="IN102" s="627">
        <v>0</v>
      </c>
      <c r="IO102" s="627">
        <v>0</v>
      </c>
      <c r="IP102" s="627">
        <v>0</v>
      </c>
      <c r="IQ102" s="627">
        <v>66.463999999999999</v>
      </c>
      <c r="IR102" s="627">
        <v>3.3080000000000003</v>
      </c>
      <c r="IS102" s="627">
        <v>2038</v>
      </c>
      <c r="IT102" s="627">
        <v>0</v>
      </c>
      <c r="IU102" s="627">
        <v>0</v>
      </c>
      <c r="IV102" s="627">
        <v>0</v>
      </c>
      <c r="IW102" s="627">
        <v>0</v>
      </c>
      <c r="IX102" s="627">
        <v>6160</v>
      </c>
      <c r="IY102" s="627">
        <v>0</v>
      </c>
      <c r="IZ102" s="627">
        <v>0</v>
      </c>
      <c r="JA102" s="627">
        <v>18278</v>
      </c>
      <c r="JB102" s="627">
        <v>0</v>
      </c>
      <c r="JC102" s="627">
        <v>1</v>
      </c>
      <c r="JD102" s="627">
        <v>26233</v>
      </c>
      <c r="JE102" s="627">
        <v>0</v>
      </c>
      <c r="JF102" s="627">
        <v>0</v>
      </c>
      <c r="JG102" s="627">
        <v>0</v>
      </c>
      <c r="JH102" s="627">
        <v>0</v>
      </c>
      <c r="JI102" s="627">
        <v>500</v>
      </c>
      <c r="JJ102" s="627">
        <v>0</v>
      </c>
      <c r="JK102" s="627">
        <v>0</v>
      </c>
      <c r="JL102" s="627">
        <v>0</v>
      </c>
      <c r="JM102" s="627">
        <v>0</v>
      </c>
      <c r="JN102" s="627">
        <v>0</v>
      </c>
      <c r="JO102" s="627">
        <v>32469</v>
      </c>
      <c r="JP102" s="627">
        <v>0.13700000000000001</v>
      </c>
      <c r="JQ102" s="627">
        <v>0</v>
      </c>
      <c r="JR102" s="627">
        <v>0</v>
      </c>
      <c r="JS102" s="627">
        <v>1094</v>
      </c>
      <c r="JT102" s="627">
        <v>0</v>
      </c>
      <c r="JU102" s="627">
        <v>0</v>
      </c>
      <c r="JV102" s="627">
        <v>0</v>
      </c>
      <c r="JW102" s="627">
        <v>0</v>
      </c>
      <c r="JX102" s="627">
        <v>0</v>
      </c>
      <c r="JY102" s="627">
        <v>0</v>
      </c>
      <c r="JZ102" s="627">
        <v>0</v>
      </c>
      <c r="KA102" s="627">
        <v>0</v>
      </c>
      <c r="KB102" s="627">
        <v>0</v>
      </c>
      <c r="KC102" s="627">
        <v>0</v>
      </c>
      <c r="KD102" s="627">
        <v>0</v>
      </c>
      <c r="KE102" s="627">
        <v>0</v>
      </c>
      <c r="KF102" s="627">
        <v>7262</v>
      </c>
      <c r="KG102" s="627">
        <v>0</v>
      </c>
      <c r="KH102" s="627">
        <v>0</v>
      </c>
      <c r="KI102" s="627">
        <v>777462</v>
      </c>
      <c r="KJ102" s="627">
        <v>0</v>
      </c>
      <c r="KK102" s="627">
        <v>0</v>
      </c>
      <c r="KL102" s="627">
        <v>5</v>
      </c>
      <c r="KM102" s="627">
        <v>0</v>
      </c>
      <c r="KN102" s="627">
        <v>3080</v>
      </c>
      <c r="KO102" s="627">
        <v>0</v>
      </c>
      <c r="KP102" s="627">
        <v>0</v>
      </c>
      <c r="KQ102" s="627">
        <v>777462</v>
      </c>
      <c r="KR102" s="627">
        <v>0</v>
      </c>
      <c r="KS102" s="627">
        <v>0</v>
      </c>
      <c r="KT102" s="627">
        <v>0</v>
      </c>
      <c r="KU102" s="627">
        <v>0</v>
      </c>
      <c r="KV102" s="627">
        <v>0</v>
      </c>
      <c r="KW102" s="627">
        <v>0</v>
      </c>
      <c r="KX102" s="627">
        <v>0</v>
      </c>
      <c r="KY102" s="627">
        <v>0</v>
      </c>
      <c r="KZ102" s="627">
        <v>0</v>
      </c>
      <c r="LA102" s="627">
        <v>0</v>
      </c>
      <c r="LB102" s="627">
        <v>0</v>
      </c>
      <c r="LC102" s="627">
        <v>0</v>
      </c>
      <c r="LD102" s="627">
        <v>0</v>
      </c>
      <c r="LE102" s="627">
        <v>0</v>
      </c>
      <c r="LF102" s="627">
        <v>0</v>
      </c>
    </row>
    <row r="103" spans="1:318" x14ac:dyDescent="0.25">
      <c r="A103" s="627">
        <v>42602</v>
      </c>
      <c r="B103" s="627">
        <v>57814</v>
      </c>
      <c r="D103" s="627">
        <v>9</v>
      </c>
      <c r="E103" s="627">
        <v>2024</v>
      </c>
      <c r="F103" s="627">
        <v>6160</v>
      </c>
      <c r="G103" s="627">
        <v>0</v>
      </c>
      <c r="H103" s="627">
        <v>325.35700000000003</v>
      </c>
      <c r="I103" s="627">
        <v>230.28400000000002</v>
      </c>
      <c r="J103" s="627">
        <v>230.28400000000002</v>
      </c>
      <c r="K103" s="627">
        <v>325.35700000000003</v>
      </c>
      <c r="L103" s="627">
        <v>0</v>
      </c>
      <c r="M103" s="627">
        <v>6160</v>
      </c>
      <c r="N103" s="627">
        <v>0</v>
      </c>
      <c r="O103" s="627">
        <v>0</v>
      </c>
      <c r="P103" s="627">
        <v>0</v>
      </c>
      <c r="Q103" s="627">
        <v>336.58500000000004</v>
      </c>
      <c r="R103" s="627">
        <v>0</v>
      </c>
      <c r="S103" s="627">
        <v>139644</v>
      </c>
      <c r="T103" s="627">
        <v>414.88400000000001</v>
      </c>
      <c r="U103" s="627">
        <v>0</v>
      </c>
      <c r="V103" s="627">
        <v>72469</v>
      </c>
      <c r="W103" s="627">
        <v>51.645000000000003</v>
      </c>
      <c r="X103" s="627">
        <v>31813</v>
      </c>
      <c r="Y103" s="627">
        <v>31813</v>
      </c>
      <c r="Z103" s="627">
        <v>0</v>
      </c>
      <c r="AA103" s="627">
        <v>0</v>
      </c>
      <c r="AB103" s="627">
        <v>0</v>
      </c>
      <c r="AC103" s="627">
        <v>0</v>
      </c>
      <c r="AD103" s="627">
        <v>0</v>
      </c>
      <c r="AE103" s="627" t="s">
        <v>314</v>
      </c>
      <c r="AF103" s="627">
        <v>0</v>
      </c>
      <c r="AG103" s="627">
        <v>0</v>
      </c>
      <c r="AH103" s="627">
        <v>0</v>
      </c>
      <c r="AI103" s="627">
        <v>0</v>
      </c>
      <c r="AJ103" s="627">
        <v>0</v>
      </c>
      <c r="AK103" s="627">
        <v>6160</v>
      </c>
      <c r="AL103" s="627" t="s">
        <v>651</v>
      </c>
      <c r="AM103" s="627" t="s">
        <v>326</v>
      </c>
      <c r="AN103" s="627">
        <v>0</v>
      </c>
      <c r="AO103" s="627">
        <v>0</v>
      </c>
      <c r="AP103" s="627">
        <v>0</v>
      </c>
      <c r="AQ103" s="627">
        <v>0</v>
      </c>
      <c r="AR103" s="627">
        <v>0</v>
      </c>
      <c r="AS103" s="627">
        <v>0</v>
      </c>
      <c r="AT103" s="627">
        <v>0</v>
      </c>
      <c r="AU103" s="627">
        <v>0</v>
      </c>
      <c r="AV103" s="627">
        <v>0</v>
      </c>
      <c r="AW103" s="627">
        <v>0</v>
      </c>
      <c r="AX103" s="627">
        <v>5027745</v>
      </c>
      <c r="AY103" s="627">
        <v>4981367</v>
      </c>
      <c r="AZ103" s="627">
        <v>2513537</v>
      </c>
      <c r="BA103" s="627">
        <v>139644</v>
      </c>
      <c r="BB103" s="627">
        <v>0</v>
      </c>
      <c r="BC103" s="627">
        <v>0</v>
      </c>
      <c r="BD103" s="627">
        <v>0</v>
      </c>
      <c r="BE103" s="627">
        <v>0</v>
      </c>
      <c r="BF103" s="627">
        <v>0</v>
      </c>
      <c r="BG103" s="627">
        <v>4246619</v>
      </c>
      <c r="BH103" s="627">
        <v>0</v>
      </c>
      <c r="BI103" s="627">
        <v>0</v>
      </c>
      <c r="BJ103" s="627">
        <v>0</v>
      </c>
      <c r="BK103" s="627">
        <v>12</v>
      </c>
      <c r="BL103" s="627">
        <v>0</v>
      </c>
      <c r="BM103" s="627">
        <v>0</v>
      </c>
      <c r="BN103" s="627">
        <v>0</v>
      </c>
      <c r="BO103" s="627">
        <v>0</v>
      </c>
      <c r="BP103" s="627">
        <v>0</v>
      </c>
      <c r="BQ103" s="627">
        <v>0</v>
      </c>
      <c r="BR103" s="627">
        <v>735</v>
      </c>
      <c r="BS103" s="627">
        <v>0</v>
      </c>
      <c r="BT103" s="627">
        <v>0</v>
      </c>
      <c r="BU103" s="627">
        <v>0</v>
      </c>
      <c r="BV103" s="627">
        <v>0</v>
      </c>
      <c r="BW103" s="627">
        <v>0</v>
      </c>
      <c r="BX103" s="627">
        <v>0</v>
      </c>
      <c r="BY103" s="627">
        <v>0</v>
      </c>
      <c r="BZ103" s="627">
        <v>0</v>
      </c>
      <c r="CA103" s="627">
        <v>0</v>
      </c>
      <c r="CB103" s="627">
        <v>0</v>
      </c>
      <c r="CC103" s="627">
        <v>0</v>
      </c>
      <c r="CD103" s="627">
        <v>0</v>
      </c>
      <c r="CE103" s="627">
        <v>0</v>
      </c>
      <c r="CF103" s="627">
        <v>0</v>
      </c>
      <c r="CG103" s="627">
        <v>0</v>
      </c>
      <c r="CH103" s="627">
        <v>0</v>
      </c>
      <c r="CI103" s="627">
        <v>52034</v>
      </c>
      <c r="CJ103" s="627">
        <v>0</v>
      </c>
      <c r="CK103" s="627">
        <v>4</v>
      </c>
      <c r="CL103" s="627">
        <v>0</v>
      </c>
      <c r="CM103" s="627">
        <v>0</v>
      </c>
      <c r="CN103" s="627">
        <v>0</v>
      </c>
      <c r="CO103" s="627">
        <v>0</v>
      </c>
      <c r="CP103" s="627">
        <v>1</v>
      </c>
      <c r="CQ103" s="627">
        <v>0</v>
      </c>
      <c r="CR103" s="627">
        <v>0</v>
      </c>
      <c r="CS103" s="627">
        <v>334.3</v>
      </c>
      <c r="CT103" s="627">
        <v>0</v>
      </c>
      <c r="CU103" s="627">
        <v>0</v>
      </c>
      <c r="CV103" s="627">
        <v>0</v>
      </c>
      <c r="CW103" s="627">
        <v>0</v>
      </c>
      <c r="CX103" s="627">
        <v>0</v>
      </c>
      <c r="CY103" s="627">
        <v>0</v>
      </c>
      <c r="CZ103" s="627">
        <v>0</v>
      </c>
      <c r="DA103" s="627">
        <v>0</v>
      </c>
      <c r="DB103" s="627">
        <v>0</v>
      </c>
      <c r="DC103" s="627">
        <v>801617</v>
      </c>
      <c r="DD103" s="627">
        <v>0</v>
      </c>
      <c r="DE103" s="627">
        <v>0</v>
      </c>
      <c r="DF103" s="627">
        <v>580118</v>
      </c>
      <c r="DG103" s="627">
        <v>580118</v>
      </c>
      <c r="DH103" s="627">
        <v>94.175000000000011</v>
      </c>
      <c r="DI103" s="627">
        <v>0</v>
      </c>
      <c r="DJ103" s="627">
        <v>0</v>
      </c>
      <c r="DK103" s="627">
        <v>0</v>
      </c>
      <c r="DL103" s="627">
        <v>3375</v>
      </c>
      <c r="DM103" s="627">
        <v>0</v>
      </c>
      <c r="DN103" s="627">
        <v>2276312</v>
      </c>
      <c r="DO103" s="627">
        <v>5656</v>
      </c>
      <c r="DP103" s="627">
        <v>0</v>
      </c>
      <c r="DQ103" s="627">
        <v>0</v>
      </c>
      <c r="DR103" s="627">
        <v>0</v>
      </c>
      <c r="DS103" s="627">
        <v>0</v>
      </c>
      <c r="DT103" s="627">
        <v>0</v>
      </c>
      <c r="DU103" s="627">
        <v>0</v>
      </c>
      <c r="DV103" s="627">
        <v>0</v>
      </c>
      <c r="DW103" s="627">
        <v>0</v>
      </c>
      <c r="DX103" s="627">
        <v>0</v>
      </c>
      <c r="DY103" s="627">
        <v>0</v>
      </c>
      <c r="DZ103" s="627">
        <v>0</v>
      </c>
      <c r="EA103" s="627">
        <v>0</v>
      </c>
      <c r="EB103" s="627">
        <v>0</v>
      </c>
      <c r="EC103" s="627">
        <v>0</v>
      </c>
      <c r="ED103" s="627">
        <v>0.58700000000000008</v>
      </c>
      <c r="EE103" s="627">
        <v>4158</v>
      </c>
      <c r="EF103" s="627">
        <v>0</v>
      </c>
      <c r="EG103" s="627">
        <v>0</v>
      </c>
      <c r="EH103" s="627">
        <v>0</v>
      </c>
      <c r="EI103" s="627">
        <v>8470</v>
      </c>
      <c r="EJ103" s="627">
        <v>1652408</v>
      </c>
      <c r="EK103" s="627">
        <v>67.061999999999998</v>
      </c>
      <c r="EL103" s="627">
        <v>0</v>
      </c>
      <c r="EM103" s="627">
        <v>0</v>
      </c>
      <c r="EN103" s="627">
        <v>0</v>
      </c>
      <c r="EO103" s="627">
        <v>0.27500000000000002</v>
      </c>
      <c r="EP103" s="627">
        <v>0</v>
      </c>
      <c r="EQ103" s="627">
        <v>0</v>
      </c>
      <c r="ER103" s="627">
        <v>67.337000000000003</v>
      </c>
      <c r="ES103" s="627">
        <v>0</v>
      </c>
      <c r="ET103" s="627">
        <v>1.375</v>
      </c>
      <c r="EU103" s="627">
        <v>0</v>
      </c>
      <c r="EV103" s="627">
        <v>0</v>
      </c>
      <c r="EW103" s="627">
        <v>0</v>
      </c>
      <c r="EX103" s="627">
        <v>0</v>
      </c>
      <c r="EY103" s="627">
        <v>0</v>
      </c>
      <c r="EZ103" s="627">
        <v>0</v>
      </c>
      <c r="FA103" s="627">
        <v>4263966</v>
      </c>
      <c r="FB103" s="627">
        <v>0</v>
      </c>
      <c r="FC103" s="627">
        <v>4397954</v>
      </c>
      <c r="FD103" s="627">
        <v>0</v>
      </c>
      <c r="FE103" s="627">
        <v>0</v>
      </c>
      <c r="FF103" s="627">
        <v>611497</v>
      </c>
      <c r="FG103" s="627">
        <v>105904</v>
      </c>
      <c r="FH103" s="627">
        <v>7.0280999999999996E-2</v>
      </c>
      <c r="FI103" s="627">
        <v>3.1172999999999999E-2</v>
      </c>
      <c r="FJ103" s="627">
        <v>0</v>
      </c>
      <c r="FK103" s="627">
        <v>0</v>
      </c>
      <c r="FL103" s="627">
        <v>689.38600000000008</v>
      </c>
      <c r="FM103" s="627">
        <v>5167389</v>
      </c>
      <c r="FN103" s="627">
        <v>0</v>
      </c>
      <c r="FO103" s="627">
        <v>0</v>
      </c>
      <c r="FP103" s="627">
        <v>1486</v>
      </c>
      <c r="FQ103" s="627">
        <v>0</v>
      </c>
      <c r="FR103" s="627">
        <v>1486</v>
      </c>
      <c r="FS103" s="627">
        <v>1486</v>
      </c>
      <c r="FT103" s="627">
        <v>0</v>
      </c>
      <c r="FU103" s="627">
        <v>0</v>
      </c>
      <c r="FV103" s="627">
        <v>0</v>
      </c>
      <c r="FW103" s="627">
        <v>0</v>
      </c>
      <c r="FX103" s="627">
        <v>0</v>
      </c>
      <c r="FY103" s="627">
        <v>0</v>
      </c>
      <c r="FZ103" s="627">
        <v>0</v>
      </c>
      <c r="GA103" s="627">
        <v>0</v>
      </c>
      <c r="GB103" s="627">
        <v>0</v>
      </c>
      <c r="GC103" s="627">
        <v>234076</v>
      </c>
      <c r="GD103" s="627">
        <v>234076</v>
      </c>
      <c r="GE103" s="627">
        <v>27.736000000000001</v>
      </c>
      <c r="GF103" s="627">
        <v>0</v>
      </c>
      <c r="GG103" s="627">
        <v>0</v>
      </c>
      <c r="GH103" s="627">
        <v>0</v>
      </c>
      <c r="GI103" s="627">
        <v>0</v>
      </c>
      <c r="GJ103" s="627">
        <v>0</v>
      </c>
      <c r="GK103" s="627">
        <v>0</v>
      </c>
      <c r="GL103" s="627">
        <v>0</v>
      </c>
      <c r="GM103" s="627">
        <v>0</v>
      </c>
      <c r="GN103" s="627">
        <v>0</v>
      </c>
      <c r="GO103" s="627">
        <v>0</v>
      </c>
      <c r="GP103" s="627">
        <v>0</v>
      </c>
      <c r="GQ103" s="627">
        <v>0</v>
      </c>
      <c r="GR103" s="627">
        <v>4975711</v>
      </c>
      <c r="GS103" s="627">
        <v>0</v>
      </c>
      <c r="GT103" s="627">
        <v>0</v>
      </c>
      <c r="GU103" s="627">
        <v>0</v>
      </c>
      <c r="GV103" s="627">
        <v>0</v>
      </c>
      <c r="GW103" s="627">
        <v>0</v>
      </c>
      <c r="GX103" s="627">
        <v>0</v>
      </c>
      <c r="GY103" s="627">
        <v>0</v>
      </c>
      <c r="GZ103" s="627">
        <v>0</v>
      </c>
      <c r="HA103" s="627">
        <v>0</v>
      </c>
      <c r="HB103" s="627">
        <v>0</v>
      </c>
      <c r="HC103" s="627">
        <v>361151439</v>
      </c>
      <c r="HD103" s="627">
        <v>3.9981999999999997E-2</v>
      </c>
      <c r="HE103" s="627">
        <v>52034</v>
      </c>
      <c r="HF103" s="627">
        <v>0</v>
      </c>
      <c r="HG103" s="627">
        <v>253773</v>
      </c>
      <c r="HH103" s="627">
        <v>0</v>
      </c>
      <c r="HI103" s="627">
        <v>0</v>
      </c>
      <c r="HJ103" s="627">
        <v>0</v>
      </c>
      <c r="HK103" s="627">
        <v>63254</v>
      </c>
      <c r="HL103" s="627">
        <v>3339</v>
      </c>
      <c r="HM103" s="627">
        <v>2594</v>
      </c>
      <c r="HN103" s="627">
        <v>0</v>
      </c>
      <c r="HO103" s="627">
        <v>0</v>
      </c>
      <c r="HP103" s="627">
        <v>0</v>
      </c>
      <c r="HQ103" s="627">
        <v>127565</v>
      </c>
      <c r="HR103" s="627">
        <v>0</v>
      </c>
      <c r="HS103" s="627">
        <v>0</v>
      </c>
      <c r="HT103" s="627">
        <v>4258310</v>
      </c>
      <c r="HU103" s="627">
        <v>105904</v>
      </c>
      <c r="HV103" s="627">
        <v>0</v>
      </c>
      <c r="HW103" s="627">
        <v>0</v>
      </c>
      <c r="HX103" s="627">
        <v>0</v>
      </c>
      <c r="HY103" s="627">
        <v>1</v>
      </c>
      <c r="HZ103" s="627">
        <v>2</v>
      </c>
      <c r="IA103" s="627">
        <v>0</v>
      </c>
      <c r="IB103" s="627">
        <v>2</v>
      </c>
      <c r="IC103" s="627">
        <v>338</v>
      </c>
      <c r="ID103" s="627">
        <v>343</v>
      </c>
      <c r="IE103" s="627">
        <v>0</v>
      </c>
      <c r="IF103" s="627">
        <v>0</v>
      </c>
      <c r="IG103" s="627">
        <v>0</v>
      </c>
      <c r="IH103" s="627">
        <v>0</v>
      </c>
      <c r="II103" s="627">
        <v>0</v>
      </c>
      <c r="IJ103" s="627">
        <v>463.87400000000002</v>
      </c>
      <c r="IK103" s="627">
        <v>51.645000000000003</v>
      </c>
      <c r="IL103" s="627">
        <v>80.02300000000001</v>
      </c>
      <c r="IM103" s="627">
        <v>0</v>
      </c>
      <c r="IN103" s="627">
        <v>0</v>
      </c>
      <c r="IO103" s="627">
        <v>0</v>
      </c>
      <c r="IP103" s="627">
        <v>0</v>
      </c>
      <c r="IQ103" s="627">
        <v>543.89700000000005</v>
      </c>
      <c r="IR103" s="627">
        <v>51.645000000000003</v>
      </c>
      <c r="IS103" s="627">
        <v>31813</v>
      </c>
      <c r="IT103" s="627">
        <v>22006</v>
      </c>
      <c r="IU103" s="627">
        <v>0</v>
      </c>
      <c r="IV103" s="627">
        <v>0</v>
      </c>
      <c r="IW103" s="627">
        <v>0</v>
      </c>
      <c r="IX103" s="627">
        <v>6160</v>
      </c>
      <c r="IY103" s="627">
        <v>0</v>
      </c>
      <c r="IZ103" s="627">
        <v>0</v>
      </c>
      <c r="JA103" s="627">
        <v>149572</v>
      </c>
      <c r="JB103" s="627">
        <v>0</v>
      </c>
      <c r="JC103" s="627">
        <v>0</v>
      </c>
      <c r="JD103" s="627">
        <v>0</v>
      </c>
      <c r="JE103" s="627">
        <v>0</v>
      </c>
      <c r="JF103" s="627">
        <v>0</v>
      </c>
      <c r="JG103" s="627">
        <v>0</v>
      </c>
      <c r="JH103" s="627">
        <v>0</v>
      </c>
      <c r="JI103" s="627">
        <v>0</v>
      </c>
      <c r="JJ103" s="627">
        <v>0</v>
      </c>
      <c r="JK103" s="627">
        <v>0</v>
      </c>
      <c r="JL103" s="627">
        <v>0</v>
      </c>
      <c r="JM103" s="627">
        <v>0</v>
      </c>
      <c r="JN103" s="627">
        <v>0</v>
      </c>
      <c r="JO103" s="627">
        <v>32469</v>
      </c>
      <c r="JP103" s="627">
        <v>18.169</v>
      </c>
      <c r="JQ103" s="627">
        <v>9.5679999999999996</v>
      </c>
      <c r="JR103" s="627">
        <v>0</v>
      </c>
      <c r="JS103" s="627">
        <v>145138</v>
      </c>
      <c r="JT103" s="627">
        <v>88938</v>
      </c>
      <c r="JU103" s="627">
        <v>0</v>
      </c>
      <c r="JV103" s="627">
        <v>0</v>
      </c>
      <c r="JW103" s="627">
        <v>0</v>
      </c>
      <c r="JX103" s="627">
        <v>0</v>
      </c>
      <c r="JY103" s="627">
        <v>0</v>
      </c>
      <c r="JZ103" s="627">
        <v>0</v>
      </c>
      <c r="KA103" s="627">
        <v>0</v>
      </c>
      <c r="KB103" s="627">
        <v>0</v>
      </c>
      <c r="KC103" s="627">
        <v>0</v>
      </c>
      <c r="KD103" s="627">
        <v>0</v>
      </c>
      <c r="KE103" s="627">
        <v>0</v>
      </c>
      <c r="KF103" s="627">
        <v>7262</v>
      </c>
      <c r="KG103" s="627">
        <v>0</v>
      </c>
      <c r="KH103" s="627">
        <v>0</v>
      </c>
      <c r="KI103" s="627">
        <v>4975711</v>
      </c>
      <c r="KJ103" s="627">
        <v>0</v>
      </c>
      <c r="KK103" s="627">
        <v>0</v>
      </c>
      <c r="KL103" s="627">
        <v>0</v>
      </c>
      <c r="KM103" s="627">
        <v>0</v>
      </c>
      <c r="KN103" s="627">
        <v>0</v>
      </c>
      <c r="KO103" s="627">
        <v>0</v>
      </c>
      <c r="KP103" s="627">
        <v>0</v>
      </c>
      <c r="KQ103" s="627">
        <v>4975711</v>
      </c>
      <c r="KR103" s="627">
        <v>0</v>
      </c>
      <c r="KS103" s="627">
        <v>0</v>
      </c>
      <c r="KT103" s="627">
        <v>0</v>
      </c>
      <c r="KU103" s="627">
        <v>0</v>
      </c>
      <c r="KV103" s="627">
        <v>0</v>
      </c>
      <c r="KW103" s="627">
        <v>0</v>
      </c>
      <c r="KX103" s="627">
        <v>0</v>
      </c>
      <c r="KY103" s="627">
        <v>0</v>
      </c>
      <c r="KZ103" s="627">
        <v>0</v>
      </c>
      <c r="LA103" s="627">
        <v>0</v>
      </c>
      <c r="LB103" s="627">
        <v>0</v>
      </c>
      <c r="LC103" s="627">
        <v>0</v>
      </c>
      <c r="LD103" s="627">
        <v>0</v>
      </c>
      <c r="LE103" s="627">
        <v>0</v>
      </c>
      <c r="LF103" s="627">
        <v>0</v>
      </c>
    </row>
    <row r="104" spans="1:318" x14ac:dyDescent="0.25">
      <c r="A104" s="627">
        <v>42602</v>
      </c>
      <c r="B104" s="627">
        <v>101814</v>
      </c>
      <c r="D104" s="627">
        <v>9</v>
      </c>
      <c r="E104" s="627">
        <v>2024</v>
      </c>
      <c r="F104" s="627">
        <v>6160</v>
      </c>
      <c r="G104" s="627">
        <v>0</v>
      </c>
      <c r="H104" s="627">
        <v>1021.553</v>
      </c>
      <c r="I104" s="627">
        <v>1002.205</v>
      </c>
      <c r="J104" s="627">
        <v>1002.205</v>
      </c>
      <c r="K104" s="627">
        <v>1021.553</v>
      </c>
      <c r="L104" s="627">
        <v>0</v>
      </c>
      <c r="M104" s="627">
        <v>6160</v>
      </c>
      <c r="N104" s="627">
        <v>0</v>
      </c>
      <c r="O104" s="627">
        <v>0</v>
      </c>
      <c r="P104" s="627">
        <v>0</v>
      </c>
      <c r="Q104" s="627">
        <v>962.53800000000001</v>
      </c>
      <c r="R104" s="627">
        <v>0</v>
      </c>
      <c r="S104" s="627">
        <v>399342</v>
      </c>
      <c r="T104" s="627">
        <v>414.88400000000001</v>
      </c>
      <c r="U104" s="627">
        <v>0</v>
      </c>
      <c r="V104" s="627">
        <v>207241</v>
      </c>
      <c r="W104" s="627">
        <v>599.70800000000008</v>
      </c>
      <c r="X104" s="627">
        <v>369420</v>
      </c>
      <c r="Y104" s="627">
        <v>369420</v>
      </c>
      <c r="Z104" s="627">
        <v>0</v>
      </c>
      <c r="AA104" s="627">
        <v>0</v>
      </c>
      <c r="AB104" s="627">
        <v>0</v>
      </c>
      <c r="AC104" s="627">
        <v>0</v>
      </c>
      <c r="AD104" s="627">
        <v>0</v>
      </c>
      <c r="AE104" s="627" t="s">
        <v>314</v>
      </c>
      <c r="AF104" s="627">
        <v>0</v>
      </c>
      <c r="AG104" s="627">
        <v>0</v>
      </c>
      <c r="AH104" s="627">
        <v>0</v>
      </c>
      <c r="AI104" s="627">
        <v>0</v>
      </c>
      <c r="AJ104" s="627">
        <v>0</v>
      </c>
      <c r="AK104" s="627">
        <v>6160</v>
      </c>
      <c r="AL104" s="627" t="s">
        <v>651</v>
      </c>
      <c r="AM104" s="627" t="s">
        <v>344</v>
      </c>
      <c r="AN104" s="627">
        <v>0</v>
      </c>
      <c r="AO104" s="627">
        <v>0</v>
      </c>
      <c r="AP104" s="627">
        <v>0</v>
      </c>
      <c r="AQ104" s="627">
        <v>0</v>
      </c>
      <c r="AR104" s="627">
        <v>0</v>
      </c>
      <c r="AS104" s="627">
        <v>0</v>
      </c>
      <c r="AT104" s="627">
        <v>0</v>
      </c>
      <c r="AU104" s="627">
        <v>0</v>
      </c>
      <c r="AV104" s="627">
        <v>0</v>
      </c>
      <c r="AW104" s="627">
        <v>0</v>
      </c>
      <c r="AX104" s="627">
        <v>11899209</v>
      </c>
      <c r="AY104" s="627">
        <v>11737384</v>
      </c>
      <c r="AZ104" s="627">
        <v>5861735</v>
      </c>
      <c r="BA104" s="627">
        <v>399342</v>
      </c>
      <c r="BB104" s="627">
        <v>68.25</v>
      </c>
      <c r="BC104" s="627">
        <v>0</v>
      </c>
      <c r="BD104" s="627">
        <v>0</v>
      </c>
      <c r="BE104" s="627">
        <v>0</v>
      </c>
      <c r="BF104" s="627">
        <v>0</v>
      </c>
      <c r="BG104" s="627">
        <v>10309273</v>
      </c>
      <c r="BH104" s="627">
        <v>0</v>
      </c>
      <c r="BI104" s="627">
        <v>0</v>
      </c>
      <c r="BJ104" s="627">
        <v>0</v>
      </c>
      <c r="BK104" s="627">
        <v>12</v>
      </c>
      <c r="BL104" s="627">
        <v>0</v>
      </c>
      <c r="BM104" s="627">
        <v>0</v>
      </c>
      <c r="BN104" s="627">
        <v>0</v>
      </c>
      <c r="BO104" s="627">
        <v>0</v>
      </c>
      <c r="BP104" s="627">
        <v>0</v>
      </c>
      <c r="BQ104" s="627">
        <v>0</v>
      </c>
      <c r="BR104" s="627">
        <v>616</v>
      </c>
      <c r="BS104" s="627">
        <v>0</v>
      </c>
      <c r="BT104" s="627">
        <v>0</v>
      </c>
      <c r="BU104" s="627">
        <v>0</v>
      </c>
      <c r="BV104" s="627">
        <v>0</v>
      </c>
      <c r="BW104" s="627">
        <v>0</v>
      </c>
      <c r="BX104" s="627">
        <v>0</v>
      </c>
      <c r="BY104" s="627">
        <v>0</v>
      </c>
      <c r="BZ104" s="627">
        <v>0</v>
      </c>
      <c r="CA104" s="627">
        <v>0</v>
      </c>
      <c r="CB104" s="627">
        <v>0</v>
      </c>
      <c r="CC104" s="627">
        <v>0</v>
      </c>
      <c r="CD104" s="627">
        <v>0</v>
      </c>
      <c r="CE104" s="627">
        <v>0</v>
      </c>
      <c r="CF104" s="627">
        <v>0</v>
      </c>
      <c r="CG104" s="627">
        <v>0</v>
      </c>
      <c r="CH104" s="627">
        <v>0</v>
      </c>
      <c r="CI104" s="627">
        <v>163376</v>
      </c>
      <c r="CJ104" s="627">
        <v>0</v>
      </c>
      <c r="CK104" s="627">
        <v>4</v>
      </c>
      <c r="CL104" s="627">
        <v>0</v>
      </c>
      <c r="CM104" s="627">
        <v>0</v>
      </c>
      <c r="CN104" s="627">
        <v>0</v>
      </c>
      <c r="CO104" s="627">
        <v>0</v>
      </c>
      <c r="CP104" s="627">
        <v>1</v>
      </c>
      <c r="CQ104" s="627">
        <v>0</v>
      </c>
      <c r="CR104" s="627">
        <v>0</v>
      </c>
      <c r="CS104" s="627">
        <v>972.34100000000001</v>
      </c>
      <c r="CT104" s="627">
        <v>0</v>
      </c>
      <c r="CU104" s="627">
        <v>0</v>
      </c>
      <c r="CV104" s="627">
        <v>0</v>
      </c>
      <c r="CW104" s="627">
        <v>0</v>
      </c>
      <c r="CX104" s="627">
        <v>0</v>
      </c>
      <c r="CY104" s="627">
        <v>0</v>
      </c>
      <c r="CZ104" s="627">
        <v>0</v>
      </c>
      <c r="DA104" s="627">
        <v>0</v>
      </c>
      <c r="DB104" s="627">
        <v>0</v>
      </c>
      <c r="DC104" s="627">
        <v>6173583</v>
      </c>
      <c r="DD104" s="627">
        <v>0</v>
      </c>
      <c r="DE104" s="627">
        <v>0</v>
      </c>
      <c r="DF104" s="627">
        <v>1843534</v>
      </c>
      <c r="DG104" s="627">
        <v>1843534</v>
      </c>
      <c r="DH104" s="627">
        <v>299.27500000000003</v>
      </c>
      <c r="DI104" s="627">
        <v>0</v>
      </c>
      <c r="DJ104" s="627">
        <v>0</v>
      </c>
      <c r="DK104" s="627">
        <v>0</v>
      </c>
      <c r="DL104" s="627">
        <v>1473</v>
      </c>
      <c r="DM104" s="627">
        <v>0</v>
      </c>
      <c r="DN104" s="627">
        <v>455176</v>
      </c>
      <c r="DO104" s="627">
        <v>1551</v>
      </c>
      <c r="DP104" s="627">
        <v>0</v>
      </c>
      <c r="DQ104" s="627">
        <v>0</v>
      </c>
      <c r="DR104" s="627">
        <v>0</v>
      </c>
      <c r="DS104" s="627">
        <v>0</v>
      </c>
      <c r="DT104" s="627">
        <v>0</v>
      </c>
      <c r="DU104" s="627">
        <v>0</v>
      </c>
      <c r="DV104" s="627">
        <v>0</v>
      </c>
      <c r="DW104" s="627">
        <v>0</v>
      </c>
      <c r="DX104" s="627">
        <v>0</v>
      </c>
      <c r="DY104" s="627">
        <v>0</v>
      </c>
      <c r="DZ104" s="627">
        <v>0</v>
      </c>
      <c r="EA104" s="627">
        <v>0</v>
      </c>
      <c r="EB104" s="627">
        <v>0</v>
      </c>
      <c r="EC104" s="627">
        <v>0</v>
      </c>
      <c r="ED104" s="627">
        <v>12.087</v>
      </c>
      <c r="EE104" s="627">
        <v>85624</v>
      </c>
      <c r="EF104" s="627">
        <v>0</v>
      </c>
      <c r="EG104" s="627">
        <v>0</v>
      </c>
      <c r="EH104" s="627">
        <v>0</v>
      </c>
      <c r="EI104" s="627">
        <v>371103</v>
      </c>
      <c r="EJ104" s="627">
        <v>0</v>
      </c>
      <c r="EK104" s="627">
        <v>0</v>
      </c>
      <c r="EL104" s="627">
        <v>18.248000000000001</v>
      </c>
      <c r="EM104" s="627">
        <v>0</v>
      </c>
      <c r="EN104" s="627">
        <v>0</v>
      </c>
      <c r="EO104" s="627">
        <v>1.1000000000000001</v>
      </c>
      <c r="EP104" s="627">
        <v>0</v>
      </c>
      <c r="EQ104" s="627">
        <v>0</v>
      </c>
      <c r="ER104" s="627">
        <v>19.348000000000003</v>
      </c>
      <c r="ES104" s="627">
        <v>0</v>
      </c>
      <c r="ET104" s="627">
        <v>60.244</v>
      </c>
      <c r="EU104" s="627">
        <v>0</v>
      </c>
      <c r="EV104" s="627">
        <v>0</v>
      </c>
      <c r="EW104" s="627">
        <v>0</v>
      </c>
      <c r="EX104" s="627">
        <v>0</v>
      </c>
      <c r="EY104" s="627">
        <v>0</v>
      </c>
      <c r="EZ104" s="627">
        <v>0</v>
      </c>
      <c r="FA104" s="627">
        <v>9995791</v>
      </c>
      <c r="FB104" s="627">
        <v>0</v>
      </c>
      <c r="FC104" s="627">
        <v>10393582</v>
      </c>
      <c r="FD104" s="627">
        <v>0</v>
      </c>
      <c r="FE104" s="627">
        <v>0</v>
      </c>
      <c r="FF104" s="627">
        <v>1484496</v>
      </c>
      <c r="FG104" s="627">
        <v>257097</v>
      </c>
      <c r="FH104" s="627">
        <v>7.0280999999999996E-2</v>
      </c>
      <c r="FI104" s="627">
        <v>3.1172999999999999E-2</v>
      </c>
      <c r="FJ104" s="627">
        <v>0</v>
      </c>
      <c r="FK104" s="627">
        <v>0</v>
      </c>
      <c r="FL104" s="627">
        <v>1673.5830000000001</v>
      </c>
      <c r="FM104" s="627">
        <v>12298551</v>
      </c>
      <c r="FN104" s="627">
        <v>0</v>
      </c>
      <c r="FO104" s="627">
        <v>0</v>
      </c>
      <c r="FP104" s="627">
        <v>85860</v>
      </c>
      <c r="FQ104" s="627">
        <v>0</v>
      </c>
      <c r="FR104" s="627">
        <v>85860</v>
      </c>
      <c r="FS104" s="627">
        <v>85860</v>
      </c>
      <c r="FT104" s="627">
        <v>0</v>
      </c>
      <c r="FU104" s="627">
        <v>0</v>
      </c>
      <c r="FV104" s="627">
        <v>0</v>
      </c>
      <c r="FW104" s="627">
        <v>0</v>
      </c>
      <c r="FX104" s="627">
        <v>0</v>
      </c>
      <c r="FY104" s="627">
        <v>0</v>
      </c>
      <c r="FZ104" s="627">
        <v>0</v>
      </c>
      <c r="GA104" s="627">
        <v>0</v>
      </c>
      <c r="GB104" s="627">
        <v>0</v>
      </c>
      <c r="GC104" s="627">
        <v>0</v>
      </c>
      <c r="GD104" s="627">
        <v>0</v>
      </c>
      <c r="GE104" s="627">
        <v>0</v>
      </c>
      <c r="GF104" s="627">
        <v>0</v>
      </c>
      <c r="GG104" s="627">
        <v>0</v>
      </c>
      <c r="GH104" s="627">
        <v>0</v>
      </c>
      <c r="GI104" s="627">
        <v>0</v>
      </c>
      <c r="GJ104" s="627">
        <v>0</v>
      </c>
      <c r="GK104" s="627">
        <v>0</v>
      </c>
      <c r="GL104" s="627">
        <v>0</v>
      </c>
      <c r="GM104" s="627">
        <v>0</v>
      </c>
      <c r="GN104" s="627">
        <v>0</v>
      </c>
      <c r="GO104" s="627">
        <v>0</v>
      </c>
      <c r="GP104" s="627">
        <v>0</v>
      </c>
      <c r="GQ104" s="627">
        <v>0</v>
      </c>
      <c r="GR104" s="627">
        <v>11735833</v>
      </c>
      <c r="GS104" s="627">
        <v>0</v>
      </c>
      <c r="GT104" s="627">
        <v>0</v>
      </c>
      <c r="GU104" s="627">
        <v>0</v>
      </c>
      <c r="GV104" s="627">
        <v>0</v>
      </c>
      <c r="GW104" s="627">
        <v>0</v>
      </c>
      <c r="GX104" s="627">
        <v>0</v>
      </c>
      <c r="GY104" s="627">
        <v>0</v>
      </c>
      <c r="GZ104" s="627">
        <v>0</v>
      </c>
      <c r="HA104" s="627">
        <v>0</v>
      </c>
      <c r="HB104" s="627">
        <v>0</v>
      </c>
      <c r="HC104" s="627">
        <v>361151439</v>
      </c>
      <c r="HD104" s="627">
        <v>3.9981999999999997E-2</v>
      </c>
      <c r="HE104" s="627">
        <v>163376</v>
      </c>
      <c r="HF104" s="627">
        <v>0</v>
      </c>
      <c r="HG104" s="627">
        <v>1104430</v>
      </c>
      <c r="HH104" s="627">
        <v>3696</v>
      </c>
      <c r="HI104" s="627">
        <v>302667</v>
      </c>
      <c r="HJ104" s="627">
        <v>0</v>
      </c>
      <c r="HK104" s="627">
        <v>55216</v>
      </c>
      <c r="HL104" s="627">
        <v>0</v>
      </c>
      <c r="HM104" s="627">
        <v>0</v>
      </c>
      <c r="HN104" s="627">
        <v>0</v>
      </c>
      <c r="HO104" s="627">
        <v>0</v>
      </c>
      <c r="HP104" s="627">
        <v>0</v>
      </c>
      <c r="HQ104" s="627">
        <v>0</v>
      </c>
      <c r="HR104" s="627">
        <v>0</v>
      </c>
      <c r="HS104" s="627">
        <v>0</v>
      </c>
      <c r="HT104" s="627">
        <v>9994240</v>
      </c>
      <c r="HU104" s="627">
        <v>257097</v>
      </c>
      <c r="HV104" s="627">
        <v>0</v>
      </c>
      <c r="HW104" s="627">
        <v>0</v>
      </c>
      <c r="HX104" s="627">
        <v>0</v>
      </c>
      <c r="HY104" s="627">
        <v>62</v>
      </c>
      <c r="HZ104" s="627">
        <v>28</v>
      </c>
      <c r="IA104" s="627">
        <v>143</v>
      </c>
      <c r="IB104" s="627">
        <v>212</v>
      </c>
      <c r="IC104" s="627">
        <v>681</v>
      </c>
      <c r="ID104" s="627">
        <v>1126</v>
      </c>
      <c r="IE104" s="627">
        <v>0</v>
      </c>
      <c r="IF104" s="627">
        <v>0</v>
      </c>
      <c r="IG104" s="627">
        <v>0</v>
      </c>
      <c r="IH104" s="627">
        <v>6</v>
      </c>
      <c r="II104" s="627">
        <v>491.34200000000004</v>
      </c>
      <c r="IJ104" s="627">
        <v>0</v>
      </c>
      <c r="IK104" s="627">
        <v>599.70800000000008</v>
      </c>
      <c r="IL104" s="627">
        <v>0</v>
      </c>
      <c r="IM104" s="627">
        <v>0</v>
      </c>
      <c r="IN104" s="627">
        <v>0</v>
      </c>
      <c r="IO104" s="627">
        <v>0</v>
      </c>
      <c r="IP104" s="627">
        <v>0</v>
      </c>
      <c r="IQ104" s="627">
        <v>0</v>
      </c>
      <c r="IR104" s="627">
        <v>599.70800000000008</v>
      </c>
      <c r="IS104" s="627">
        <v>369420</v>
      </c>
      <c r="IT104" s="627">
        <v>0</v>
      </c>
      <c r="IU104" s="627">
        <v>0</v>
      </c>
      <c r="IV104" s="627">
        <v>0</v>
      </c>
      <c r="IW104" s="627">
        <v>0</v>
      </c>
      <c r="IX104" s="627">
        <v>6160</v>
      </c>
      <c r="IY104" s="627">
        <v>0</v>
      </c>
      <c r="IZ104" s="627">
        <v>0</v>
      </c>
      <c r="JA104" s="627">
        <v>0</v>
      </c>
      <c r="JB104" s="627">
        <v>0</v>
      </c>
      <c r="JC104" s="627">
        <v>0</v>
      </c>
      <c r="JD104" s="627">
        <v>0</v>
      </c>
      <c r="JE104" s="627">
        <v>0</v>
      </c>
      <c r="JF104" s="627">
        <v>0</v>
      </c>
      <c r="JG104" s="627">
        <v>0</v>
      </c>
      <c r="JH104" s="627">
        <v>0</v>
      </c>
      <c r="JI104" s="627">
        <v>0</v>
      </c>
      <c r="JJ104" s="627">
        <v>0</v>
      </c>
      <c r="JK104" s="627">
        <v>0</v>
      </c>
      <c r="JL104" s="627">
        <v>0</v>
      </c>
      <c r="JM104" s="627">
        <v>0</v>
      </c>
      <c r="JN104" s="627">
        <v>0</v>
      </c>
      <c r="JO104" s="627">
        <v>32469</v>
      </c>
      <c r="JP104" s="627">
        <v>0</v>
      </c>
      <c r="JQ104" s="627">
        <v>0</v>
      </c>
      <c r="JR104" s="627">
        <v>0</v>
      </c>
      <c r="JS104" s="627">
        <v>0</v>
      </c>
      <c r="JT104" s="627">
        <v>0</v>
      </c>
      <c r="JU104" s="627">
        <v>0</v>
      </c>
      <c r="JV104" s="627">
        <v>0</v>
      </c>
      <c r="JW104" s="627">
        <v>0</v>
      </c>
      <c r="JX104" s="627">
        <v>0</v>
      </c>
      <c r="JY104" s="627">
        <v>0</v>
      </c>
      <c r="JZ104" s="627">
        <v>0</v>
      </c>
      <c r="KA104" s="627">
        <v>0</v>
      </c>
      <c r="KB104" s="627">
        <v>0</v>
      </c>
      <c r="KC104" s="627">
        <v>0</v>
      </c>
      <c r="KD104" s="627">
        <v>0</v>
      </c>
      <c r="KE104" s="627">
        <v>0</v>
      </c>
      <c r="KF104" s="627">
        <v>7262</v>
      </c>
      <c r="KG104" s="627">
        <v>0</v>
      </c>
      <c r="KH104" s="627">
        <v>0</v>
      </c>
      <c r="KI104" s="627">
        <v>11735833</v>
      </c>
      <c r="KJ104" s="627">
        <v>0</v>
      </c>
      <c r="KK104" s="627">
        <v>6</v>
      </c>
      <c r="KL104" s="627">
        <v>0</v>
      </c>
      <c r="KM104" s="627">
        <v>3696</v>
      </c>
      <c r="KN104" s="627">
        <v>0</v>
      </c>
      <c r="KO104" s="627">
        <v>0</v>
      </c>
      <c r="KP104" s="627">
        <v>0</v>
      </c>
      <c r="KQ104" s="627">
        <v>11735833</v>
      </c>
      <c r="KR104" s="627">
        <v>0</v>
      </c>
      <c r="KS104" s="627">
        <v>0</v>
      </c>
      <c r="KT104" s="627">
        <v>0</v>
      </c>
      <c r="KU104" s="627">
        <v>0</v>
      </c>
      <c r="KV104" s="627">
        <v>0</v>
      </c>
      <c r="KW104" s="627">
        <v>0</v>
      </c>
      <c r="KX104" s="627">
        <v>0</v>
      </c>
      <c r="KY104" s="627">
        <v>0</v>
      </c>
      <c r="KZ104" s="627">
        <v>0</v>
      </c>
      <c r="LA104" s="627">
        <v>0</v>
      </c>
      <c r="LB104" s="627">
        <v>0</v>
      </c>
      <c r="LC104" s="627">
        <v>0</v>
      </c>
      <c r="LD104" s="627">
        <v>0</v>
      </c>
      <c r="LE104" s="627">
        <v>0</v>
      </c>
      <c r="LF104" s="627">
        <v>0</v>
      </c>
    </row>
    <row r="105" spans="1:318" x14ac:dyDescent="0.25">
      <c r="A105" s="627">
        <v>42602</v>
      </c>
      <c r="B105" s="627">
        <v>220814</v>
      </c>
      <c r="D105" s="627">
        <v>9</v>
      </c>
      <c r="E105" s="627">
        <v>2024</v>
      </c>
      <c r="F105" s="627">
        <v>6160</v>
      </c>
      <c r="G105" s="627">
        <v>0</v>
      </c>
      <c r="H105" s="627">
        <v>312.83</v>
      </c>
      <c r="I105" s="627">
        <v>300.78899999999999</v>
      </c>
      <c r="J105" s="627">
        <v>300.78899999999999</v>
      </c>
      <c r="K105" s="627">
        <v>312.83</v>
      </c>
      <c r="L105" s="627">
        <v>0</v>
      </c>
      <c r="M105" s="627">
        <v>6160</v>
      </c>
      <c r="N105" s="627">
        <v>0</v>
      </c>
      <c r="O105" s="627">
        <v>0</v>
      </c>
      <c r="P105" s="627">
        <v>0</v>
      </c>
      <c r="Q105" s="627">
        <v>314.887</v>
      </c>
      <c r="R105" s="627">
        <v>0</v>
      </c>
      <c r="S105" s="627">
        <v>130642</v>
      </c>
      <c r="T105" s="627">
        <v>414.88400000000001</v>
      </c>
      <c r="U105" s="627">
        <v>0</v>
      </c>
      <c r="V105" s="627">
        <v>67798</v>
      </c>
      <c r="W105" s="627">
        <v>22.438000000000002</v>
      </c>
      <c r="X105" s="627">
        <v>13822</v>
      </c>
      <c r="Y105" s="627">
        <v>13822</v>
      </c>
      <c r="Z105" s="627">
        <v>0</v>
      </c>
      <c r="AA105" s="627">
        <v>0</v>
      </c>
      <c r="AB105" s="627">
        <v>0</v>
      </c>
      <c r="AC105" s="627">
        <v>0</v>
      </c>
      <c r="AD105" s="627">
        <v>0</v>
      </c>
      <c r="AE105" s="627" t="s">
        <v>314</v>
      </c>
      <c r="AF105" s="627">
        <v>0</v>
      </c>
      <c r="AG105" s="627">
        <v>0</v>
      </c>
      <c r="AH105" s="627">
        <v>0</v>
      </c>
      <c r="AI105" s="627">
        <v>0</v>
      </c>
      <c r="AJ105" s="627">
        <v>0</v>
      </c>
      <c r="AK105" s="627">
        <v>6160</v>
      </c>
      <c r="AL105" s="627" t="s">
        <v>651</v>
      </c>
      <c r="AM105" s="627" t="s">
        <v>360</v>
      </c>
      <c r="AN105" s="627">
        <v>0</v>
      </c>
      <c r="AO105" s="627">
        <v>0</v>
      </c>
      <c r="AP105" s="627">
        <v>0</v>
      </c>
      <c r="AQ105" s="627">
        <v>0</v>
      </c>
      <c r="AR105" s="627">
        <v>0</v>
      </c>
      <c r="AS105" s="627">
        <v>0</v>
      </c>
      <c r="AT105" s="627">
        <v>0</v>
      </c>
      <c r="AU105" s="627">
        <v>0</v>
      </c>
      <c r="AV105" s="627">
        <v>0</v>
      </c>
      <c r="AW105" s="627">
        <v>0</v>
      </c>
      <c r="AX105" s="627">
        <v>2878022</v>
      </c>
      <c r="AY105" s="627">
        <v>2828839</v>
      </c>
      <c r="AZ105" s="627">
        <v>1454671</v>
      </c>
      <c r="BA105" s="627">
        <v>130642</v>
      </c>
      <c r="BB105" s="627">
        <v>3</v>
      </c>
      <c r="BC105" s="627">
        <v>6665</v>
      </c>
      <c r="BD105" s="627">
        <v>6622</v>
      </c>
      <c r="BE105" s="627">
        <v>15.642000000000001</v>
      </c>
      <c r="BF105" s="627">
        <v>42</v>
      </c>
      <c r="BG105" s="627">
        <v>2531776</v>
      </c>
      <c r="BH105" s="627">
        <v>0</v>
      </c>
      <c r="BI105" s="627">
        <v>0</v>
      </c>
      <c r="BJ105" s="627">
        <v>0</v>
      </c>
      <c r="BK105" s="627">
        <v>12</v>
      </c>
      <c r="BL105" s="627">
        <v>0</v>
      </c>
      <c r="BM105" s="627">
        <v>0</v>
      </c>
      <c r="BN105" s="627">
        <v>0</v>
      </c>
      <c r="BO105" s="627">
        <v>0</v>
      </c>
      <c r="BP105" s="627">
        <v>0</v>
      </c>
      <c r="BQ105" s="627">
        <v>0</v>
      </c>
      <c r="BR105" s="627">
        <v>724</v>
      </c>
      <c r="BS105" s="627">
        <v>0</v>
      </c>
      <c r="BT105" s="627">
        <v>0</v>
      </c>
      <c r="BU105" s="627">
        <v>0</v>
      </c>
      <c r="BV105" s="627">
        <v>0</v>
      </c>
      <c r="BW105" s="627">
        <v>0</v>
      </c>
      <c r="BX105" s="627">
        <v>0</v>
      </c>
      <c r="BY105" s="627">
        <v>0</v>
      </c>
      <c r="BZ105" s="627">
        <v>0</v>
      </c>
      <c r="CA105" s="627">
        <v>0</v>
      </c>
      <c r="CB105" s="627">
        <v>0</v>
      </c>
      <c r="CC105" s="627">
        <v>0</v>
      </c>
      <c r="CD105" s="627">
        <v>0</v>
      </c>
      <c r="CE105" s="627">
        <v>0</v>
      </c>
      <c r="CF105" s="627">
        <v>0</v>
      </c>
      <c r="CG105" s="627">
        <v>0</v>
      </c>
      <c r="CH105" s="627">
        <v>0</v>
      </c>
      <c r="CI105" s="627">
        <v>50030</v>
      </c>
      <c r="CJ105" s="627">
        <v>0</v>
      </c>
      <c r="CK105" s="627">
        <v>4</v>
      </c>
      <c r="CL105" s="627">
        <v>0</v>
      </c>
      <c r="CM105" s="627">
        <v>0</v>
      </c>
      <c r="CN105" s="627">
        <v>0</v>
      </c>
      <c r="CO105" s="627">
        <v>0</v>
      </c>
      <c r="CP105" s="627">
        <v>1</v>
      </c>
      <c r="CQ105" s="627">
        <v>0</v>
      </c>
      <c r="CR105" s="627">
        <v>3.4170000000000003</v>
      </c>
      <c r="CS105" s="627">
        <v>312.63</v>
      </c>
      <c r="CT105" s="627">
        <v>0</v>
      </c>
      <c r="CU105" s="627">
        <v>0</v>
      </c>
      <c r="CV105" s="627">
        <v>0</v>
      </c>
      <c r="CW105" s="627">
        <v>0</v>
      </c>
      <c r="CX105" s="627">
        <v>0</v>
      </c>
      <c r="CY105" s="627">
        <v>0</v>
      </c>
      <c r="CZ105" s="627">
        <v>0</v>
      </c>
      <c r="DA105" s="627">
        <v>0</v>
      </c>
      <c r="DB105" s="627">
        <v>0</v>
      </c>
      <c r="DC105" s="627">
        <v>1852860</v>
      </c>
      <c r="DD105" s="627">
        <v>0</v>
      </c>
      <c r="DE105" s="627">
        <v>0</v>
      </c>
      <c r="DF105" s="627">
        <v>43197</v>
      </c>
      <c r="DG105" s="627">
        <v>43197</v>
      </c>
      <c r="DH105" s="627">
        <v>7.0129999999999999</v>
      </c>
      <c r="DI105" s="627">
        <v>0</v>
      </c>
      <c r="DJ105" s="627">
        <v>0</v>
      </c>
      <c r="DK105" s="627">
        <v>0</v>
      </c>
      <c r="DL105" s="627">
        <v>3201</v>
      </c>
      <c r="DM105" s="627">
        <v>0</v>
      </c>
      <c r="DN105" s="627">
        <v>235887</v>
      </c>
      <c r="DO105" s="627">
        <v>804</v>
      </c>
      <c r="DP105" s="627">
        <v>0</v>
      </c>
      <c r="DQ105" s="627">
        <v>0</v>
      </c>
      <c r="DR105" s="627">
        <v>0</v>
      </c>
      <c r="DS105" s="627">
        <v>0</v>
      </c>
      <c r="DT105" s="627">
        <v>0</v>
      </c>
      <c r="DU105" s="627">
        <v>0</v>
      </c>
      <c r="DV105" s="627">
        <v>0</v>
      </c>
      <c r="DW105" s="627">
        <v>0</v>
      </c>
      <c r="DX105" s="627">
        <v>0</v>
      </c>
      <c r="DY105" s="627">
        <v>0</v>
      </c>
      <c r="DZ105" s="627">
        <v>0</v>
      </c>
      <c r="EA105" s="627">
        <v>0</v>
      </c>
      <c r="EB105" s="627">
        <v>0</v>
      </c>
      <c r="EC105" s="627">
        <v>0</v>
      </c>
      <c r="ED105" s="627">
        <v>0.69300000000000006</v>
      </c>
      <c r="EE105" s="627">
        <v>4909</v>
      </c>
      <c r="EF105" s="627">
        <v>0</v>
      </c>
      <c r="EG105" s="627">
        <v>0</v>
      </c>
      <c r="EH105" s="627">
        <v>0</v>
      </c>
      <c r="EI105" s="627">
        <v>231782</v>
      </c>
      <c r="EJ105" s="627">
        <v>0</v>
      </c>
      <c r="EK105" s="627">
        <v>0</v>
      </c>
      <c r="EL105" s="627">
        <v>11.289</v>
      </c>
      <c r="EM105" s="627">
        <v>0</v>
      </c>
      <c r="EN105" s="627">
        <v>0</v>
      </c>
      <c r="EO105" s="627">
        <v>0.752</v>
      </c>
      <c r="EP105" s="627">
        <v>0</v>
      </c>
      <c r="EQ105" s="627">
        <v>0</v>
      </c>
      <c r="ER105" s="627">
        <v>12.041</v>
      </c>
      <c r="ES105" s="627">
        <v>0</v>
      </c>
      <c r="ET105" s="627">
        <v>37.627000000000002</v>
      </c>
      <c r="EU105" s="627">
        <v>0</v>
      </c>
      <c r="EV105" s="627">
        <v>0</v>
      </c>
      <c r="EW105" s="627">
        <v>0</v>
      </c>
      <c r="EX105" s="627">
        <v>0</v>
      </c>
      <c r="EY105" s="627">
        <v>0</v>
      </c>
      <c r="EZ105" s="627">
        <v>0</v>
      </c>
      <c r="FA105" s="627">
        <v>2401134</v>
      </c>
      <c r="FB105" s="627">
        <v>0</v>
      </c>
      <c r="FC105" s="627">
        <v>2530929</v>
      </c>
      <c r="FD105" s="627">
        <v>0</v>
      </c>
      <c r="FE105" s="627">
        <v>0</v>
      </c>
      <c r="FF105" s="627">
        <v>364566</v>
      </c>
      <c r="FG105" s="627">
        <v>63139</v>
      </c>
      <c r="FH105" s="627">
        <v>7.0280999999999996E-2</v>
      </c>
      <c r="FI105" s="627">
        <v>3.1172999999999999E-2</v>
      </c>
      <c r="FJ105" s="627">
        <v>0</v>
      </c>
      <c r="FK105" s="627">
        <v>0</v>
      </c>
      <c r="FL105" s="627">
        <v>411.00300000000004</v>
      </c>
      <c r="FM105" s="627">
        <v>3008664</v>
      </c>
      <c r="FN105" s="627">
        <v>0</v>
      </c>
      <c r="FO105" s="627">
        <v>0</v>
      </c>
      <c r="FP105" s="627">
        <v>0</v>
      </c>
      <c r="FQ105" s="627">
        <v>0</v>
      </c>
      <c r="FR105" s="627">
        <v>0</v>
      </c>
      <c r="FS105" s="627">
        <v>0</v>
      </c>
      <c r="FT105" s="627">
        <v>0</v>
      </c>
      <c r="FU105" s="627">
        <v>0</v>
      </c>
      <c r="FV105" s="627">
        <v>0</v>
      </c>
      <c r="FW105" s="627">
        <v>0</v>
      </c>
      <c r="FX105" s="627">
        <v>0</v>
      </c>
      <c r="FY105" s="627">
        <v>0</v>
      </c>
      <c r="FZ105" s="627">
        <v>0</v>
      </c>
      <c r="GA105" s="627">
        <v>0</v>
      </c>
      <c r="GB105" s="627">
        <v>0</v>
      </c>
      <c r="GC105" s="627">
        <v>0</v>
      </c>
      <c r="GD105" s="627">
        <v>0</v>
      </c>
      <c r="GE105" s="627">
        <v>0</v>
      </c>
      <c r="GF105" s="627">
        <v>0</v>
      </c>
      <c r="GG105" s="627">
        <v>0</v>
      </c>
      <c r="GH105" s="627">
        <v>0</v>
      </c>
      <c r="GI105" s="627">
        <v>0</v>
      </c>
      <c r="GJ105" s="627">
        <v>0</v>
      </c>
      <c r="GK105" s="627">
        <v>0</v>
      </c>
      <c r="GL105" s="627">
        <v>0</v>
      </c>
      <c r="GM105" s="627">
        <v>0</v>
      </c>
      <c r="GN105" s="627">
        <v>0</v>
      </c>
      <c r="GO105" s="627">
        <v>0</v>
      </c>
      <c r="GP105" s="627">
        <v>0</v>
      </c>
      <c r="GQ105" s="627">
        <v>0</v>
      </c>
      <c r="GR105" s="627">
        <v>2827992</v>
      </c>
      <c r="GS105" s="627">
        <v>0</v>
      </c>
      <c r="GT105" s="627">
        <v>0</v>
      </c>
      <c r="GU105" s="627">
        <v>0</v>
      </c>
      <c r="GV105" s="627">
        <v>0</v>
      </c>
      <c r="GW105" s="627">
        <v>0</v>
      </c>
      <c r="GX105" s="627">
        <v>0</v>
      </c>
      <c r="GY105" s="627">
        <v>0</v>
      </c>
      <c r="GZ105" s="627">
        <v>0</v>
      </c>
      <c r="HA105" s="627">
        <v>0</v>
      </c>
      <c r="HB105" s="627">
        <v>0</v>
      </c>
      <c r="HC105" s="627">
        <v>361151439</v>
      </c>
      <c r="HD105" s="627">
        <v>3.9981999999999997E-2</v>
      </c>
      <c r="HE105" s="627">
        <v>50030</v>
      </c>
      <c r="HF105" s="627">
        <v>0</v>
      </c>
      <c r="HG105" s="627">
        <v>331469</v>
      </c>
      <c r="HH105" s="627">
        <v>8624</v>
      </c>
      <c r="HI105" s="627">
        <v>20320</v>
      </c>
      <c r="HJ105" s="627">
        <v>0</v>
      </c>
      <c r="HK105" s="627">
        <v>18128</v>
      </c>
      <c r="HL105" s="627">
        <v>0</v>
      </c>
      <c r="HM105" s="627">
        <v>0</v>
      </c>
      <c r="HN105" s="627">
        <v>0</v>
      </c>
      <c r="HO105" s="627">
        <v>0</v>
      </c>
      <c r="HP105" s="627">
        <v>0</v>
      </c>
      <c r="HQ105" s="627">
        <v>0</v>
      </c>
      <c r="HR105" s="627">
        <v>0</v>
      </c>
      <c r="HS105" s="627">
        <v>0</v>
      </c>
      <c r="HT105" s="627">
        <v>2400287</v>
      </c>
      <c r="HU105" s="627">
        <v>63139</v>
      </c>
      <c r="HV105" s="627">
        <v>0</v>
      </c>
      <c r="HW105" s="627">
        <v>0</v>
      </c>
      <c r="HX105" s="627">
        <v>0</v>
      </c>
      <c r="HY105" s="627">
        <v>4</v>
      </c>
      <c r="HZ105" s="627">
        <v>7</v>
      </c>
      <c r="IA105" s="627">
        <v>7</v>
      </c>
      <c r="IB105" s="627">
        <v>4</v>
      </c>
      <c r="IC105" s="627">
        <v>6</v>
      </c>
      <c r="ID105" s="627">
        <v>28</v>
      </c>
      <c r="IE105" s="627">
        <v>0</v>
      </c>
      <c r="IF105" s="627">
        <v>0</v>
      </c>
      <c r="IG105" s="627">
        <v>0</v>
      </c>
      <c r="IH105" s="627">
        <v>14</v>
      </c>
      <c r="II105" s="627">
        <v>32.987000000000002</v>
      </c>
      <c r="IJ105" s="627">
        <v>0</v>
      </c>
      <c r="IK105" s="627">
        <v>22.438000000000002</v>
      </c>
      <c r="IL105" s="627">
        <v>0</v>
      </c>
      <c r="IM105" s="627">
        <v>0</v>
      </c>
      <c r="IN105" s="627">
        <v>0</v>
      </c>
      <c r="IO105" s="627">
        <v>0</v>
      </c>
      <c r="IP105" s="627">
        <v>0</v>
      </c>
      <c r="IQ105" s="627">
        <v>0</v>
      </c>
      <c r="IR105" s="627">
        <v>22.438000000000002</v>
      </c>
      <c r="IS105" s="627">
        <v>13822</v>
      </c>
      <c r="IT105" s="627">
        <v>0</v>
      </c>
      <c r="IU105" s="627">
        <v>0</v>
      </c>
      <c r="IV105" s="627">
        <v>0</v>
      </c>
      <c r="IW105" s="627">
        <v>0</v>
      </c>
      <c r="IX105" s="627">
        <v>6160</v>
      </c>
      <c r="IY105" s="627">
        <v>0</v>
      </c>
      <c r="IZ105" s="627">
        <v>0</v>
      </c>
      <c r="JA105" s="627">
        <v>0</v>
      </c>
      <c r="JB105" s="627">
        <v>0</v>
      </c>
      <c r="JC105" s="627">
        <v>0</v>
      </c>
      <c r="JD105" s="627">
        <v>0</v>
      </c>
      <c r="JE105" s="627">
        <v>0</v>
      </c>
      <c r="JF105" s="627">
        <v>0</v>
      </c>
      <c r="JG105" s="627">
        <v>0</v>
      </c>
      <c r="JH105" s="627">
        <v>0</v>
      </c>
      <c r="JI105" s="627">
        <v>0</v>
      </c>
      <c r="JJ105" s="627">
        <v>0</v>
      </c>
      <c r="JK105" s="627">
        <v>0</v>
      </c>
      <c r="JL105" s="627">
        <v>0</v>
      </c>
      <c r="JM105" s="627">
        <v>0</v>
      </c>
      <c r="JN105" s="627">
        <v>0</v>
      </c>
      <c r="JO105" s="627">
        <v>32469</v>
      </c>
      <c r="JP105" s="627">
        <v>0</v>
      </c>
      <c r="JQ105" s="627">
        <v>0</v>
      </c>
      <c r="JR105" s="627">
        <v>0</v>
      </c>
      <c r="JS105" s="627">
        <v>0</v>
      </c>
      <c r="JT105" s="627">
        <v>0</v>
      </c>
      <c r="JU105" s="627">
        <v>0</v>
      </c>
      <c r="JV105" s="627">
        <v>6745</v>
      </c>
      <c r="JW105" s="627">
        <v>0</v>
      </c>
      <c r="JX105" s="627">
        <v>0</v>
      </c>
      <c r="JY105" s="627">
        <v>0</v>
      </c>
      <c r="JZ105" s="627">
        <v>0</v>
      </c>
      <c r="KA105" s="627">
        <v>0</v>
      </c>
      <c r="KB105" s="627">
        <v>0</v>
      </c>
      <c r="KC105" s="627">
        <v>0</v>
      </c>
      <c r="KD105" s="627">
        <v>0</v>
      </c>
      <c r="KE105" s="627">
        <v>6899</v>
      </c>
      <c r="KF105" s="627">
        <v>7262</v>
      </c>
      <c r="KG105" s="627">
        <v>0</v>
      </c>
      <c r="KH105" s="627">
        <v>0</v>
      </c>
      <c r="KI105" s="627">
        <v>2827992</v>
      </c>
      <c r="KJ105" s="627">
        <v>0</v>
      </c>
      <c r="KK105" s="627">
        <v>6</v>
      </c>
      <c r="KL105" s="627">
        <v>8</v>
      </c>
      <c r="KM105" s="627">
        <v>3696</v>
      </c>
      <c r="KN105" s="627">
        <v>4928</v>
      </c>
      <c r="KO105" s="627">
        <v>0</v>
      </c>
      <c r="KP105" s="627">
        <v>0</v>
      </c>
      <c r="KQ105" s="627">
        <v>2827992</v>
      </c>
      <c r="KR105" s="627">
        <v>0</v>
      </c>
      <c r="KS105" s="627">
        <v>0</v>
      </c>
      <c r="KT105" s="627">
        <v>0</v>
      </c>
      <c r="KU105" s="627">
        <v>0</v>
      </c>
      <c r="KV105" s="627">
        <v>0</v>
      </c>
      <c r="KW105" s="627">
        <v>0</v>
      </c>
      <c r="KX105" s="627">
        <v>0</v>
      </c>
      <c r="KY105" s="627">
        <v>0</v>
      </c>
      <c r="KZ105" s="627">
        <v>0</v>
      </c>
      <c r="LA105" s="627">
        <v>0</v>
      </c>
      <c r="LB105" s="627">
        <v>0</v>
      </c>
      <c r="LC105" s="627">
        <v>0</v>
      </c>
      <c r="LD105" s="627">
        <v>0</v>
      </c>
      <c r="LE105" s="627">
        <v>0</v>
      </c>
      <c r="LF105" s="627">
        <v>0</v>
      </c>
    </row>
    <row r="106" spans="1:318" x14ac:dyDescent="0.25">
      <c r="A106" s="627">
        <v>42602</v>
      </c>
      <c r="B106" s="627">
        <v>227814</v>
      </c>
      <c r="D106" s="627">
        <v>9</v>
      </c>
      <c r="E106" s="627">
        <v>2024</v>
      </c>
      <c r="F106" s="627">
        <v>6160</v>
      </c>
      <c r="G106" s="627">
        <v>0</v>
      </c>
      <c r="H106" s="627">
        <v>337.89300000000003</v>
      </c>
      <c r="I106" s="627">
        <v>334.14699999999999</v>
      </c>
      <c r="J106" s="627">
        <v>334.14699999999999</v>
      </c>
      <c r="K106" s="627">
        <v>337.89300000000003</v>
      </c>
      <c r="L106" s="627">
        <v>0</v>
      </c>
      <c r="M106" s="627">
        <v>6160</v>
      </c>
      <c r="N106" s="627">
        <v>0</v>
      </c>
      <c r="O106" s="627">
        <v>0</v>
      </c>
      <c r="P106" s="627">
        <v>0</v>
      </c>
      <c r="Q106" s="627">
        <v>349.33300000000003</v>
      </c>
      <c r="R106" s="627">
        <v>0</v>
      </c>
      <c r="S106" s="627">
        <v>144933</v>
      </c>
      <c r="T106" s="627">
        <v>414.88400000000001</v>
      </c>
      <c r="U106" s="627">
        <v>0</v>
      </c>
      <c r="V106" s="627">
        <v>75215</v>
      </c>
      <c r="W106" s="627">
        <v>52.875</v>
      </c>
      <c r="X106" s="627">
        <v>32571</v>
      </c>
      <c r="Y106" s="627">
        <v>32571</v>
      </c>
      <c r="Z106" s="627">
        <v>0</v>
      </c>
      <c r="AA106" s="627">
        <v>0</v>
      </c>
      <c r="AB106" s="627">
        <v>0</v>
      </c>
      <c r="AC106" s="627">
        <v>0</v>
      </c>
      <c r="AD106" s="627">
        <v>0</v>
      </c>
      <c r="AE106" s="627" t="s">
        <v>314</v>
      </c>
      <c r="AF106" s="627">
        <v>0</v>
      </c>
      <c r="AG106" s="627">
        <v>0</v>
      </c>
      <c r="AH106" s="627">
        <v>0</v>
      </c>
      <c r="AI106" s="627">
        <v>0</v>
      </c>
      <c r="AJ106" s="627">
        <v>0</v>
      </c>
      <c r="AK106" s="627">
        <v>6160</v>
      </c>
      <c r="AL106" s="627" t="s">
        <v>651</v>
      </c>
      <c r="AM106" s="627" t="s">
        <v>92</v>
      </c>
      <c r="AN106" s="627">
        <v>0</v>
      </c>
      <c r="AO106" s="627">
        <v>0</v>
      </c>
      <c r="AP106" s="627">
        <v>0</v>
      </c>
      <c r="AQ106" s="627">
        <v>0</v>
      </c>
      <c r="AR106" s="627">
        <v>0</v>
      </c>
      <c r="AS106" s="627">
        <v>0</v>
      </c>
      <c r="AT106" s="627">
        <v>0</v>
      </c>
      <c r="AU106" s="627">
        <v>0</v>
      </c>
      <c r="AV106" s="627">
        <v>0</v>
      </c>
      <c r="AW106" s="627">
        <v>-39642</v>
      </c>
      <c r="AX106" s="627">
        <v>3080735</v>
      </c>
      <c r="AY106" s="627">
        <v>3027139</v>
      </c>
      <c r="AZ106" s="627">
        <v>1519127</v>
      </c>
      <c r="BA106" s="627">
        <v>144933</v>
      </c>
      <c r="BB106" s="627">
        <v>1</v>
      </c>
      <c r="BC106" s="627">
        <v>0</v>
      </c>
      <c r="BD106" s="627">
        <v>0</v>
      </c>
      <c r="BE106" s="627">
        <v>0</v>
      </c>
      <c r="BF106" s="627">
        <v>0</v>
      </c>
      <c r="BG106" s="627">
        <v>2711923</v>
      </c>
      <c r="BH106" s="627">
        <v>0</v>
      </c>
      <c r="BI106" s="627">
        <v>0</v>
      </c>
      <c r="BJ106" s="627">
        <v>0</v>
      </c>
      <c r="BK106" s="627">
        <v>12</v>
      </c>
      <c r="BL106" s="627">
        <v>0</v>
      </c>
      <c r="BM106" s="627">
        <v>0</v>
      </c>
      <c r="BN106" s="627">
        <v>0</v>
      </c>
      <c r="BO106" s="627">
        <v>0</v>
      </c>
      <c r="BP106" s="627">
        <v>0</v>
      </c>
      <c r="BQ106" s="627">
        <v>0</v>
      </c>
      <c r="BR106" s="627">
        <v>719</v>
      </c>
      <c r="BS106" s="627">
        <v>0</v>
      </c>
      <c r="BT106" s="627">
        <v>0</v>
      </c>
      <c r="BU106" s="627">
        <v>0</v>
      </c>
      <c r="BV106" s="627">
        <v>0</v>
      </c>
      <c r="BW106" s="627">
        <v>0</v>
      </c>
      <c r="BX106" s="627">
        <v>0</v>
      </c>
      <c r="BY106" s="627">
        <v>0</v>
      </c>
      <c r="BZ106" s="627">
        <v>0</v>
      </c>
      <c r="CA106" s="627">
        <v>0</v>
      </c>
      <c r="CB106" s="627">
        <v>0</v>
      </c>
      <c r="CC106" s="627">
        <v>0</v>
      </c>
      <c r="CD106" s="627">
        <v>0</v>
      </c>
      <c r="CE106" s="627">
        <v>0</v>
      </c>
      <c r="CF106" s="627">
        <v>0</v>
      </c>
      <c r="CG106" s="627">
        <v>0</v>
      </c>
      <c r="CH106" s="627">
        <v>0</v>
      </c>
      <c r="CI106" s="627">
        <v>54039</v>
      </c>
      <c r="CJ106" s="627">
        <v>0</v>
      </c>
      <c r="CK106" s="627">
        <v>4</v>
      </c>
      <c r="CL106" s="627">
        <v>0</v>
      </c>
      <c r="CM106" s="627">
        <v>0</v>
      </c>
      <c r="CN106" s="627">
        <v>0</v>
      </c>
      <c r="CO106" s="627">
        <v>0</v>
      </c>
      <c r="CP106" s="627">
        <v>1</v>
      </c>
      <c r="CQ106" s="627">
        <v>0</v>
      </c>
      <c r="CR106" s="627">
        <v>0</v>
      </c>
      <c r="CS106" s="627">
        <v>345.23</v>
      </c>
      <c r="CT106" s="627">
        <v>0</v>
      </c>
      <c r="CU106" s="627">
        <v>0</v>
      </c>
      <c r="CV106" s="627">
        <v>0</v>
      </c>
      <c r="CW106" s="627">
        <v>0</v>
      </c>
      <c r="CX106" s="627">
        <v>0</v>
      </c>
      <c r="CY106" s="627">
        <v>0</v>
      </c>
      <c r="CZ106" s="627">
        <v>0</v>
      </c>
      <c r="DA106" s="627">
        <v>0</v>
      </c>
      <c r="DB106" s="627">
        <v>0</v>
      </c>
      <c r="DC106" s="627">
        <v>2058346</v>
      </c>
      <c r="DD106" s="627">
        <v>0</v>
      </c>
      <c r="DE106" s="627">
        <v>0</v>
      </c>
      <c r="DF106" s="627">
        <v>52437</v>
      </c>
      <c r="DG106" s="627">
        <v>52437</v>
      </c>
      <c r="DH106" s="627">
        <v>8.5129999999999999</v>
      </c>
      <c r="DI106" s="627">
        <v>0</v>
      </c>
      <c r="DJ106" s="627">
        <v>0</v>
      </c>
      <c r="DK106" s="627">
        <v>0</v>
      </c>
      <c r="DL106" s="627">
        <v>3119</v>
      </c>
      <c r="DM106" s="627">
        <v>0</v>
      </c>
      <c r="DN106" s="627">
        <v>130043</v>
      </c>
      <c r="DO106" s="627">
        <v>443</v>
      </c>
      <c r="DP106" s="627">
        <v>0</v>
      </c>
      <c r="DQ106" s="627">
        <v>0</v>
      </c>
      <c r="DR106" s="627">
        <v>0</v>
      </c>
      <c r="DS106" s="627">
        <v>0</v>
      </c>
      <c r="DT106" s="627">
        <v>0</v>
      </c>
      <c r="DU106" s="627">
        <v>0</v>
      </c>
      <c r="DV106" s="627">
        <v>0</v>
      </c>
      <c r="DW106" s="627">
        <v>0</v>
      </c>
      <c r="DX106" s="627">
        <v>0</v>
      </c>
      <c r="DY106" s="627">
        <v>0</v>
      </c>
      <c r="DZ106" s="627">
        <v>0</v>
      </c>
      <c r="EA106" s="627">
        <v>0</v>
      </c>
      <c r="EB106" s="627">
        <v>0</v>
      </c>
      <c r="EC106" s="627">
        <v>0</v>
      </c>
      <c r="ED106" s="627">
        <v>8.0180000000000007</v>
      </c>
      <c r="EE106" s="627">
        <v>56800</v>
      </c>
      <c r="EF106" s="627">
        <v>0</v>
      </c>
      <c r="EG106" s="627">
        <v>0</v>
      </c>
      <c r="EH106" s="627">
        <v>0</v>
      </c>
      <c r="EI106" s="627">
        <v>73686</v>
      </c>
      <c r="EJ106" s="627">
        <v>0</v>
      </c>
      <c r="EK106" s="627">
        <v>0</v>
      </c>
      <c r="EL106" s="627">
        <v>3.3840000000000003</v>
      </c>
      <c r="EM106" s="627">
        <v>0</v>
      </c>
      <c r="EN106" s="627">
        <v>0</v>
      </c>
      <c r="EO106" s="627">
        <v>0.36200000000000004</v>
      </c>
      <c r="EP106" s="627">
        <v>0</v>
      </c>
      <c r="EQ106" s="627">
        <v>0</v>
      </c>
      <c r="ER106" s="627">
        <v>3.746</v>
      </c>
      <c r="ES106" s="627">
        <v>0</v>
      </c>
      <c r="ET106" s="627">
        <v>11.962</v>
      </c>
      <c r="EU106" s="627">
        <v>0</v>
      </c>
      <c r="EV106" s="627">
        <v>0</v>
      </c>
      <c r="EW106" s="627">
        <v>0</v>
      </c>
      <c r="EX106" s="627">
        <v>0</v>
      </c>
      <c r="EY106" s="627">
        <v>0</v>
      </c>
      <c r="EZ106" s="627">
        <v>0</v>
      </c>
      <c r="FA106" s="627">
        <v>2569002</v>
      </c>
      <c r="FB106" s="627">
        <v>0</v>
      </c>
      <c r="FC106" s="627">
        <v>2713492</v>
      </c>
      <c r="FD106" s="627">
        <v>0</v>
      </c>
      <c r="FE106" s="627">
        <v>0</v>
      </c>
      <c r="FF106" s="627">
        <v>390506</v>
      </c>
      <c r="FG106" s="627">
        <v>67631</v>
      </c>
      <c r="FH106" s="627">
        <v>7.0280999999999996E-2</v>
      </c>
      <c r="FI106" s="627">
        <v>3.1172999999999999E-2</v>
      </c>
      <c r="FJ106" s="627">
        <v>0</v>
      </c>
      <c r="FK106" s="627">
        <v>0</v>
      </c>
      <c r="FL106" s="627">
        <v>440.24700000000001</v>
      </c>
      <c r="FM106" s="627">
        <v>3225668</v>
      </c>
      <c r="FN106" s="627">
        <v>0</v>
      </c>
      <c r="FO106" s="627">
        <v>0</v>
      </c>
      <c r="FP106" s="627">
        <v>0</v>
      </c>
      <c r="FQ106" s="627">
        <v>0</v>
      </c>
      <c r="FR106" s="627">
        <v>0</v>
      </c>
      <c r="FS106" s="627">
        <v>0</v>
      </c>
      <c r="FT106" s="627">
        <v>0</v>
      </c>
      <c r="FU106" s="627">
        <v>0</v>
      </c>
      <c r="FV106" s="627">
        <v>0</v>
      </c>
      <c r="FW106" s="627">
        <v>0</v>
      </c>
      <c r="FX106" s="627">
        <v>0</v>
      </c>
      <c r="FY106" s="627">
        <v>0</v>
      </c>
      <c r="FZ106" s="627">
        <v>0</v>
      </c>
      <c r="GA106" s="627">
        <v>0</v>
      </c>
      <c r="GB106" s="627">
        <v>0</v>
      </c>
      <c r="GC106" s="627">
        <v>0</v>
      </c>
      <c r="GD106" s="627">
        <v>0</v>
      </c>
      <c r="GE106" s="627">
        <v>0</v>
      </c>
      <c r="GF106" s="627">
        <v>0</v>
      </c>
      <c r="GG106" s="627">
        <v>0</v>
      </c>
      <c r="GH106" s="627">
        <v>0</v>
      </c>
      <c r="GI106" s="627">
        <v>0</v>
      </c>
      <c r="GJ106" s="627">
        <v>0</v>
      </c>
      <c r="GK106" s="627">
        <v>0</v>
      </c>
      <c r="GL106" s="627">
        <v>0</v>
      </c>
      <c r="GM106" s="627">
        <v>0</v>
      </c>
      <c r="GN106" s="627">
        <v>0</v>
      </c>
      <c r="GO106" s="627">
        <v>0</v>
      </c>
      <c r="GP106" s="627">
        <v>0</v>
      </c>
      <c r="GQ106" s="627">
        <v>0</v>
      </c>
      <c r="GR106" s="627">
        <v>3026696</v>
      </c>
      <c r="GS106" s="627">
        <v>0</v>
      </c>
      <c r="GT106" s="627">
        <v>0</v>
      </c>
      <c r="GU106" s="627">
        <v>0</v>
      </c>
      <c r="GV106" s="627">
        <v>0</v>
      </c>
      <c r="GW106" s="627">
        <v>0</v>
      </c>
      <c r="GX106" s="627">
        <v>0</v>
      </c>
      <c r="GY106" s="627">
        <v>0</v>
      </c>
      <c r="GZ106" s="627">
        <v>0</v>
      </c>
      <c r="HA106" s="627">
        <v>0</v>
      </c>
      <c r="HB106" s="627">
        <v>0</v>
      </c>
      <c r="HC106" s="627">
        <v>361151439</v>
      </c>
      <c r="HD106" s="627">
        <v>3.9981999999999997E-2</v>
      </c>
      <c r="HE106" s="627">
        <v>54039</v>
      </c>
      <c r="HF106" s="627">
        <v>0</v>
      </c>
      <c r="HG106" s="627">
        <v>368230</v>
      </c>
      <c r="HH106" s="627">
        <v>616</v>
      </c>
      <c r="HI106" s="627">
        <v>18858</v>
      </c>
      <c r="HJ106" s="627">
        <v>0</v>
      </c>
      <c r="HK106" s="627">
        <v>18379</v>
      </c>
      <c r="HL106" s="627">
        <v>1147</v>
      </c>
      <c r="HM106" s="627">
        <v>865</v>
      </c>
      <c r="HN106" s="627">
        <v>32000</v>
      </c>
      <c r="HO106" s="627">
        <v>0</v>
      </c>
      <c r="HP106" s="627">
        <v>0</v>
      </c>
      <c r="HQ106" s="627">
        <v>0</v>
      </c>
      <c r="HR106" s="627">
        <v>0</v>
      </c>
      <c r="HS106" s="627">
        <v>0</v>
      </c>
      <c r="HT106" s="627">
        <v>2568559</v>
      </c>
      <c r="HU106" s="627">
        <v>67631</v>
      </c>
      <c r="HV106" s="627">
        <v>0</v>
      </c>
      <c r="HW106" s="627">
        <v>0</v>
      </c>
      <c r="HX106" s="627">
        <v>0</v>
      </c>
      <c r="HY106" s="627">
        <v>12</v>
      </c>
      <c r="HZ106" s="627">
        <v>9</v>
      </c>
      <c r="IA106" s="627">
        <v>7</v>
      </c>
      <c r="IB106" s="627">
        <v>0</v>
      </c>
      <c r="IC106" s="627">
        <v>7</v>
      </c>
      <c r="ID106" s="627">
        <v>35</v>
      </c>
      <c r="IE106" s="627">
        <v>0</v>
      </c>
      <c r="IF106" s="627">
        <v>0</v>
      </c>
      <c r="IG106" s="627">
        <v>0</v>
      </c>
      <c r="IH106" s="627">
        <v>1</v>
      </c>
      <c r="II106" s="627">
        <v>30.613000000000003</v>
      </c>
      <c r="IJ106" s="627">
        <v>0</v>
      </c>
      <c r="IK106" s="627">
        <v>52.875</v>
      </c>
      <c r="IL106" s="627">
        <v>0</v>
      </c>
      <c r="IM106" s="627">
        <v>1</v>
      </c>
      <c r="IN106" s="627">
        <v>9</v>
      </c>
      <c r="IO106" s="627">
        <v>0</v>
      </c>
      <c r="IP106" s="627">
        <v>10</v>
      </c>
      <c r="IQ106" s="627">
        <v>0</v>
      </c>
      <c r="IR106" s="627">
        <v>52.875</v>
      </c>
      <c r="IS106" s="627">
        <v>32571</v>
      </c>
      <c r="IT106" s="627">
        <v>0</v>
      </c>
      <c r="IU106" s="627">
        <v>5000</v>
      </c>
      <c r="IV106" s="627">
        <v>27000</v>
      </c>
      <c r="IW106" s="627">
        <v>0</v>
      </c>
      <c r="IX106" s="627">
        <v>6160</v>
      </c>
      <c r="IY106" s="627">
        <v>0</v>
      </c>
      <c r="IZ106" s="627">
        <v>0</v>
      </c>
      <c r="JA106" s="627">
        <v>0</v>
      </c>
      <c r="JB106" s="627">
        <v>0</v>
      </c>
      <c r="JC106" s="627">
        <v>0</v>
      </c>
      <c r="JD106" s="627">
        <v>0</v>
      </c>
      <c r="JE106" s="627">
        <v>0</v>
      </c>
      <c r="JF106" s="627">
        <v>0</v>
      </c>
      <c r="JG106" s="627">
        <v>0</v>
      </c>
      <c r="JH106" s="627">
        <v>0</v>
      </c>
      <c r="JI106" s="627">
        <v>0</v>
      </c>
      <c r="JJ106" s="627">
        <v>0</v>
      </c>
      <c r="JK106" s="627">
        <v>0</v>
      </c>
      <c r="JL106" s="627">
        <v>0</v>
      </c>
      <c r="JM106" s="627">
        <v>0</v>
      </c>
      <c r="JN106" s="627">
        <v>0</v>
      </c>
      <c r="JO106" s="627">
        <v>32469</v>
      </c>
      <c r="JP106" s="627">
        <v>0</v>
      </c>
      <c r="JQ106" s="627">
        <v>0</v>
      </c>
      <c r="JR106" s="627">
        <v>0</v>
      </c>
      <c r="JS106" s="627">
        <v>0</v>
      </c>
      <c r="JT106" s="627">
        <v>0</v>
      </c>
      <c r="JU106" s="627">
        <v>0</v>
      </c>
      <c r="JV106" s="627">
        <v>0</v>
      </c>
      <c r="JW106" s="627">
        <v>0</v>
      </c>
      <c r="JX106" s="627">
        <v>0</v>
      </c>
      <c r="JY106" s="627">
        <v>0</v>
      </c>
      <c r="JZ106" s="627">
        <v>0</v>
      </c>
      <c r="KA106" s="627">
        <v>0</v>
      </c>
      <c r="KB106" s="627">
        <v>0</v>
      </c>
      <c r="KC106" s="627">
        <v>0</v>
      </c>
      <c r="KD106" s="627">
        <v>0</v>
      </c>
      <c r="KE106" s="627">
        <v>0</v>
      </c>
      <c r="KF106" s="627">
        <v>7262</v>
      </c>
      <c r="KG106" s="627">
        <v>0</v>
      </c>
      <c r="KH106" s="627">
        <v>0</v>
      </c>
      <c r="KI106" s="627">
        <v>3026696</v>
      </c>
      <c r="KJ106" s="627">
        <v>0</v>
      </c>
      <c r="KK106" s="627">
        <v>0</v>
      </c>
      <c r="KL106" s="627">
        <v>1</v>
      </c>
      <c r="KM106" s="627">
        <v>0</v>
      </c>
      <c r="KN106" s="627">
        <v>616</v>
      </c>
      <c r="KO106" s="627">
        <v>0</v>
      </c>
      <c r="KP106" s="627">
        <v>0</v>
      </c>
      <c r="KQ106" s="627">
        <v>3026696</v>
      </c>
      <c r="KR106" s="627">
        <v>0</v>
      </c>
      <c r="KS106" s="627">
        <v>0</v>
      </c>
      <c r="KT106" s="627">
        <v>0</v>
      </c>
      <c r="KU106" s="627">
        <v>0</v>
      </c>
      <c r="KV106" s="627">
        <v>0</v>
      </c>
      <c r="KW106" s="627">
        <v>0</v>
      </c>
      <c r="KX106" s="627">
        <v>0</v>
      </c>
      <c r="KY106" s="627">
        <v>0</v>
      </c>
      <c r="KZ106" s="627">
        <v>0</v>
      </c>
      <c r="LA106" s="627">
        <v>0</v>
      </c>
      <c r="LB106" s="627">
        <v>0</v>
      </c>
      <c r="LC106" s="627">
        <v>0</v>
      </c>
      <c r="LD106" s="627">
        <v>0</v>
      </c>
      <c r="LE106" s="627">
        <v>0</v>
      </c>
      <c r="LF106" s="627">
        <v>0</v>
      </c>
    </row>
    <row r="107" spans="1:318" x14ac:dyDescent="0.25">
      <c r="A107" s="627">
        <v>42602</v>
      </c>
      <c r="B107" s="627">
        <v>15815</v>
      </c>
      <c r="D107" s="627">
        <v>9</v>
      </c>
      <c r="E107" s="627">
        <v>2024</v>
      </c>
      <c r="F107" s="627">
        <v>6160</v>
      </c>
      <c r="G107" s="627">
        <v>0</v>
      </c>
      <c r="H107" s="627">
        <v>534.68500000000006</v>
      </c>
      <c r="I107" s="627">
        <v>492.61600000000004</v>
      </c>
      <c r="J107" s="627">
        <v>492.61600000000004</v>
      </c>
      <c r="K107" s="627">
        <v>534.68500000000006</v>
      </c>
      <c r="L107" s="627">
        <v>0</v>
      </c>
      <c r="M107" s="627">
        <v>6160</v>
      </c>
      <c r="N107" s="627">
        <v>0</v>
      </c>
      <c r="O107" s="627">
        <v>0</v>
      </c>
      <c r="P107" s="627">
        <v>0</v>
      </c>
      <c r="Q107" s="627">
        <v>511.84500000000003</v>
      </c>
      <c r="R107" s="627">
        <v>0</v>
      </c>
      <c r="S107" s="627">
        <v>212356</v>
      </c>
      <c r="T107" s="627">
        <v>414.88400000000001</v>
      </c>
      <c r="U107" s="627">
        <v>0</v>
      </c>
      <c r="V107" s="627">
        <v>110206</v>
      </c>
      <c r="W107" s="627">
        <v>310.92200000000003</v>
      </c>
      <c r="X107" s="627">
        <v>191528</v>
      </c>
      <c r="Y107" s="627">
        <v>191528</v>
      </c>
      <c r="Z107" s="627">
        <v>0</v>
      </c>
      <c r="AA107" s="627">
        <v>0</v>
      </c>
      <c r="AB107" s="627">
        <v>0</v>
      </c>
      <c r="AC107" s="627">
        <v>0</v>
      </c>
      <c r="AD107" s="627">
        <v>0</v>
      </c>
      <c r="AE107" s="627" t="s">
        <v>314</v>
      </c>
      <c r="AF107" s="627">
        <v>0</v>
      </c>
      <c r="AG107" s="627">
        <v>0</v>
      </c>
      <c r="AH107" s="627">
        <v>0</v>
      </c>
      <c r="AI107" s="627">
        <v>0</v>
      </c>
      <c r="AJ107" s="627">
        <v>0</v>
      </c>
      <c r="AK107" s="627">
        <v>6160</v>
      </c>
      <c r="AL107" s="627" t="s">
        <v>651</v>
      </c>
      <c r="AM107" s="627" t="s">
        <v>386</v>
      </c>
      <c r="AN107" s="627">
        <v>0</v>
      </c>
      <c r="AO107" s="627">
        <v>0</v>
      </c>
      <c r="AP107" s="627">
        <v>0</v>
      </c>
      <c r="AQ107" s="627">
        <v>0</v>
      </c>
      <c r="AR107" s="627">
        <v>0</v>
      </c>
      <c r="AS107" s="627">
        <v>0</v>
      </c>
      <c r="AT107" s="627">
        <v>0</v>
      </c>
      <c r="AU107" s="627">
        <v>0</v>
      </c>
      <c r="AV107" s="627">
        <v>0</v>
      </c>
      <c r="AW107" s="627">
        <v>0</v>
      </c>
      <c r="AX107" s="627">
        <v>6404348</v>
      </c>
      <c r="AY107" s="627">
        <v>6320451</v>
      </c>
      <c r="AZ107" s="627">
        <v>3121935</v>
      </c>
      <c r="BA107" s="627">
        <v>212356</v>
      </c>
      <c r="BB107" s="627">
        <v>13.25</v>
      </c>
      <c r="BC107" s="627">
        <v>1704</v>
      </c>
      <c r="BD107" s="627">
        <v>1694</v>
      </c>
      <c r="BE107" s="627">
        <v>4</v>
      </c>
      <c r="BF107" s="627">
        <v>11</v>
      </c>
      <c r="BG107" s="627">
        <v>5548347</v>
      </c>
      <c r="BH107" s="627">
        <v>0</v>
      </c>
      <c r="BI107" s="627">
        <v>0</v>
      </c>
      <c r="BJ107" s="627">
        <v>0</v>
      </c>
      <c r="BK107" s="627">
        <v>12</v>
      </c>
      <c r="BL107" s="627">
        <v>0</v>
      </c>
      <c r="BM107" s="627">
        <v>0</v>
      </c>
      <c r="BN107" s="627">
        <v>0</v>
      </c>
      <c r="BO107" s="627">
        <v>0</v>
      </c>
      <c r="BP107" s="627">
        <v>0</v>
      </c>
      <c r="BQ107" s="627">
        <v>0</v>
      </c>
      <c r="BR107" s="627">
        <v>694</v>
      </c>
      <c r="BS107" s="627">
        <v>0</v>
      </c>
      <c r="BT107" s="627">
        <v>0</v>
      </c>
      <c r="BU107" s="627">
        <v>0</v>
      </c>
      <c r="BV107" s="627">
        <v>0</v>
      </c>
      <c r="BW107" s="627">
        <v>0</v>
      </c>
      <c r="BX107" s="627">
        <v>0</v>
      </c>
      <c r="BY107" s="627">
        <v>0</v>
      </c>
      <c r="BZ107" s="627">
        <v>0</v>
      </c>
      <c r="CA107" s="627">
        <v>0</v>
      </c>
      <c r="CB107" s="627">
        <v>0</v>
      </c>
      <c r="CC107" s="627">
        <v>0</v>
      </c>
      <c r="CD107" s="627">
        <v>0</v>
      </c>
      <c r="CE107" s="627">
        <v>0</v>
      </c>
      <c r="CF107" s="627">
        <v>0</v>
      </c>
      <c r="CG107" s="627">
        <v>0</v>
      </c>
      <c r="CH107" s="627">
        <v>0</v>
      </c>
      <c r="CI107" s="627">
        <v>85511</v>
      </c>
      <c r="CJ107" s="627">
        <v>0</v>
      </c>
      <c r="CK107" s="627">
        <v>4</v>
      </c>
      <c r="CL107" s="627">
        <v>0</v>
      </c>
      <c r="CM107" s="627">
        <v>0</v>
      </c>
      <c r="CN107" s="627">
        <v>0</v>
      </c>
      <c r="CO107" s="627">
        <v>0</v>
      </c>
      <c r="CP107" s="627">
        <v>1</v>
      </c>
      <c r="CQ107" s="627">
        <v>0</v>
      </c>
      <c r="CR107" s="627">
        <v>0</v>
      </c>
      <c r="CS107" s="627">
        <v>510.51</v>
      </c>
      <c r="CT107" s="627">
        <v>0</v>
      </c>
      <c r="CU107" s="627">
        <v>0</v>
      </c>
      <c r="CV107" s="627">
        <v>0</v>
      </c>
      <c r="CW107" s="627">
        <v>0</v>
      </c>
      <c r="CX107" s="627">
        <v>0</v>
      </c>
      <c r="CY107" s="627">
        <v>0</v>
      </c>
      <c r="CZ107" s="627">
        <v>0</v>
      </c>
      <c r="DA107" s="627">
        <v>0</v>
      </c>
      <c r="DB107" s="627">
        <v>0</v>
      </c>
      <c r="DC107" s="627">
        <v>3034515</v>
      </c>
      <c r="DD107" s="627">
        <v>0</v>
      </c>
      <c r="DE107" s="627">
        <v>0</v>
      </c>
      <c r="DF107" s="627">
        <v>795256</v>
      </c>
      <c r="DG107" s="627">
        <v>795256</v>
      </c>
      <c r="DH107" s="627">
        <v>129.1</v>
      </c>
      <c r="DI107" s="627">
        <v>0</v>
      </c>
      <c r="DJ107" s="627">
        <v>0</v>
      </c>
      <c r="DK107" s="627">
        <v>0</v>
      </c>
      <c r="DL107" s="627">
        <v>2729</v>
      </c>
      <c r="DM107" s="627">
        <v>0</v>
      </c>
      <c r="DN107" s="627">
        <v>470356</v>
      </c>
      <c r="DO107" s="627">
        <v>1603</v>
      </c>
      <c r="DP107" s="627">
        <v>0</v>
      </c>
      <c r="DQ107" s="627">
        <v>0</v>
      </c>
      <c r="DR107" s="627">
        <v>0</v>
      </c>
      <c r="DS107" s="627">
        <v>0</v>
      </c>
      <c r="DT107" s="627">
        <v>0</v>
      </c>
      <c r="DU107" s="627">
        <v>0</v>
      </c>
      <c r="DV107" s="627">
        <v>0</v>
      </c>
      <c r="DW107" s="627">
        <v>0</v>
      </c>
      <c r="DX107" s="627">
        <v>0</v>
      </c>
      <c r="DY107" s="627">
        <v>0</v>
      </c>
      <c r="DZ107" s="627">
        <v>0</v>
      </c>
      <c r="EA107" s="627">
        <v>0</v>
      </c>
      <c r="EB107" s="627">
        <v>0</v>
      </c>
      <c r="EC107" s="627">
        <v>0</v>
      </c>
      <c r="ED107" s="627">
        <v>28.279</v>
      </c>
      <c r="EE107" s="627">
        <v>200328</v>
      </c>
      <c r="EF107" s="627">
        <v>0</v>
      </c>
      <c r="EG107" s="627">
        <v>0</v>
      </c>
      <c r="EH107" s="627">
        <v>0</v>
      </c>
      <c r="EI107" s="627">
        <v>271631</v>
      </c>
      <c r="EJ107" s="627">
        <v>0</v>
      </c>
      <c r="EK107" s="627">
        <v>0</v>
      </c>
      <c r="EL107" s="627">
        <v>12.462</v>
      </c>
      <c r="EM107" s="627">
        <v>0</v>
      </c>
      <c r="EN107" s="627">
        <v>0.69500000000000006</v>
      </c>
      <c r="EO107" s="627">
        <v>0.92500000000000004</v>
      </c>
      <c r="EP107" s="627">
        <v>0</v>
      </c>
      <c r="EQ107" s="627">
        <v>0</v>
      </c>
      <c r="ER107" s="627">
        <v>14.082000000000001</v>
      </c>
      <c r="ES107" s="627">
        <v>0</v>
      </c>
      <c r="ET107" s="627">
        <v>44.096000000000004</v>
      </c>
      <c r="EU107" s="627">
        <v>0</v>
      </c>
      <c r="EV107" s="627">
        <v>0</v>
      </c>
      <c r="EW107" s="627">
        <v>0</v>
      </c>
      <c r="EX107" s="627">
        <v>0</v>
      </c>
      <c r="EY107" s="627">
        <v>0</v>
      </c>
      <c r="EZ107" s="627">
        <v>0</v>
      </c>
      <c r="FA107" s="627">
        <v>5383143</v>
      </c>
      <c r="FB107" s="627">
        <v>0</v>
      </c>
      <c r="FC107" s="627">
        <v>5593885</v>
      </c>
      <c r="FD107" s="627">
        <v>0</v>
      </c>
      <c r="FE107" s="627">
        <v>0</v>
      </c>
      <c r="FF107" s="627">
        <v>798941</v>
      </c>
      <c r="FG107" s="627">
        <v>138367</v>
      </c>
      <c r="FH107" s="627">
        <v>7.0280999999999996E-2</v>
      </c>
      <c r="FI107" s="627">
        <v>3.1172999999999999E-2</v>
      </c>
      <c r="FJ107" s="627">
        <v>0</v>
      </c>
      <c r="FK107" s="627">
        <v>0</v>
      </c>
      <c r="FL107" s="627">
        <v>900.70600000000002</v>
      </c>
      <c r="FM107" s="627">
        <v>6616704</v>
      </c>
      <c r="FN107" s="627">
        <v>0</v>
      </c>
      <c r="FO107" s="627">
        <v>0</v>
      </c>
      <c r="FP107" s="627">
        <v>336</v>
      </c>
      <c r="FQ107" s="627">
        <v>0</v>
      </c>
      <c r="FR107" s="627">
        <v>4724</v>
      </c>
      <c r="FS107" s="627">
        <v>336</v>
      </c>
      <c r="FT107" s="627">
        <v>4388</v>
      </c>
      <c r="FU107" s="627">
        <v>0</v>
      </c>
      <c r="FV107" s="627">
        <v>0</v>
      </c>
      <c r="FW107" s="627">
        <v>0</v>
      </c>
      <c r="FX107" s="627">
        <v>0</v>
      </c>
      <c r="FY107" s="627">
        <v>0</v>
      </c>
      <c r="FZ107" s="627">
        <v>0</v>
      </c>
      <c r="GA107" s="627">
        <v>0</v>
      </c>
      <c r="GB107" s="627">
        <v>0</v>
      </c>
      <c r="GC107" s="627">
        <v>263494</v>
      </c>
      <c r="GD107" s="627">
        <v>263494</v>
      </c>
      <c r="GE107" s="627">
        <v>27.987000000000002</v>
      </c>
      <c r="GF107" s="627">
        <v>0</v>
      </c>
      <c r="GG107" s="627">
        <v>0</v>
      </c>
      <c r="GH107" s="627">
        <v>0</v>
      </c>
      <c r="GI107" s="627">
        <v>0</v>
      </c>
      <c r="GJ107" s="627">
        <v>0</v>
      </c>
      <c r="GK107" s="627">
        <v>0</v>
      </c>
      <c r="GL107" s="627">
        <v>0</v>
      </c>
      <c r="GM107" s="627">
        <v>0</v>
      </c>
      <c r="GN107" s="627">
        <v>0</v>
      </c>
      <c r="GO107" s="627">
        <v>0</v>
      </c>
      <c r="GP107" s="627">
        <v>0</v>
      </c>
      <c r="GQ107" s="627">
        <v>0</v>
      </c>
      <c r="GR107" s="627">
        <v>6318837</v>
      </c>
      <c r="GS107" s="627">
        <v>0</v>
      </c>
      <c r="GT107" s="627">
        <v>0</v>
      </c>
      <c r="GU107" s="627">
        <v>0</v>
      </c>
      <c r="GV107" s="627">
        <v>0</v>
      </c>
      <c r="GW107" s="627">
        <v>0</v>
      </c>
      <c r="GX107" s="627">
        <v>0</v>
      </c>
      <c r="GY107" s="627">
        <v>0</v>
      </c>
      <c r="GZ107" s="627">
        <v>0</v>
      </c>
      <c r="HA107" s="627">
        <v>0</v>
      </c>
      <c r="HB107" s="627">
        <v>0</v>
      </c>
      <c r="HC107" s="627">
        <v>361151439</v>
      </c>
      <c r="HD107" s="627">
        <v>3.9981999999999997E-2</v>
      </c>
      <c r="HE107" s="627">
        <v>85511</v>
      </c>
      <c r="HF107" s="627">
        <v>0</v>
      </c>
      <c r="HG107" s="627">
        <v>542863</v>
      </c>
      <c r="HH107" s="627">
        <v>3080</v>
      </c>
      <c r="HI107" s="627">
        <v>36066</v>
      </c>
      <c r="HJ107" s="627">
        <v>0</v>
      </c>
      <c r="HK107" s="627">
        <v>80347</v>
      </c>
      <c r="HL107" s="627">
        <v>1859</v>
      </c>
      <c r="HM107" s="627">
        <v>1730</v>
      </c>
      <c r="HN107" s="627">
        <v>0</v>
      </c>
      <c r="HO107" s="627">
        <v>127535</v>
      </c>
      <c r="HP107" s="627">
        <v>0</v>
      </c>
      <c r="HQ107" s="627">
        <v>38839</v>
      </c>
      <c r="HR107" s="627">
        <v>0</v>
      </c>
      <c r="HS107" s="627">
        <v>0</v>
      </c>
      <c r="HT107" s="627">
        <v>5381529</v>
      </c>
      <c r="HU107" s="627">
        <v>138367</v>
      </c>
      <c r="HV107" s="627">
        <v>0</v>
      </c>
      <c r="HW107" s="627">
        <v>0</v>
      </c>
      <c r="HX107" s="627">
        <v>0</v>
      </c>
      <c r="HY107" s="627">
        <v>110</v>
      </c>
      <c r="HZ107" s="627">
        <v>74</v>
      </c>
      <c r="IA107" s="627">
        <v>152</v>
      </c>
      <c r="IB107" s="627">
        <v>80</v>
      </c>
      <c r="IC107" s="627">
        <v>101</v>
      </c>
      <c r="ID107" s="627">
        <v>517</v>
      </c>
      <c r="IE107" s="627">
        <v>0</v>
      </c>
      <c r="IF107" s="627">
        <v>0</v>
      </c>
      <c r="IG107" s="627">
        <v>0</v>
      </c>
      <c r="IH107" s="627">
        <v>5</v>
      </c>
      <c r="II107" s="627">
        <v>58.548000000000002</v>
      </c>
      <c r="IJ107" s="627">
        <v>141.23099999999999</v>
      </c>
      <c r="IK107" s="627">
        <v>310.92200000000003</v>
      </c>
      <c r="IL107" s="627">
        <v>0</v>
      </c>
      <c r="IM107" s="627">
        <v>0</v>
      </c>
      <c r="IN107" s="627">
        <v>0</v>
      </c>
      <c r="IO107" s="627">
        <v>0</v>
      </c>
      <c r="IP107" s="627">
        <v>0</v>
      </c>
      <c r="IQ107" s="627">
        <v>141.23099999999999</v>
      </c>
      <c r="IR107" s="627">
        <v>310.92200000000003</v>
      </c>
      <c r="IS107" s="627">
        <v>191528</v>
      </c>
      <c r="IT107" s="627">
        <v>0</v>
      </c>
      <c r="IU107" s="627">
        <v>0</v>
      </c>
      <c r="IV107" s="627">
        <v>0</v>
      </c>
      <c r="IW107" s="627">
        <v>0</v>
      </c>
      <c r="IX107" s="627">
        <v>6160</v>
      </c>
      <c r="IY107" s="627">
        <v>0</v>
      </c>
      <c r="IZ107" s="627">
        <v>0</v>
      </c>
      <c r="JA107" s="627">
        <v>38839</v>
      </c>
      <c r="JB107" s="627">
        <v>0</v>
      </c>
      <c r="JC107" s="627">
        <v>3</v>
      </c>
      <c r="JD107" s="627">
        <v>69236</v>
      </c>
      <c r="JE107" s="627">
        <v>4</v>
      </c>
      <c r="JF107" s="627">
        <v>47864</v>
      </c>
      <c r="JG107" s="627">
        <v>1</v>
      </c>
      <c r="JH107" s="627">
        <v>6435</v>
      </c>
      <c r="JI107" s="627">
        <v>4000</v>
      </c>
      <c r="JJ107" s="627">
        <v>0</v>
      </c>
      <c r="JK107" s="627">
        <v>0</v>
      </c>
      <c r="JL107" s="627">
        <v>0</v>
      </c>
      <c r="JM107" s="627">
        <v>0</v>
      </c>
      <c r="JN107" s="627">
        <v>0</v>
      </c>
      <c r="JO107" s="627">
        <v>32469</v>
      </c>
      <c r="JP107" s="627">
        <v>0</v>
      </c>
      <c r="JQ107" s="627">
        <v>25.563000000000002</v>
      </c>
      <c r="JR107" s="627">
        <v>2.4239999999999999</v>
      </c>
      <c r="JS107" s="627">
        <v>0</v>
      </c>
      <c r="JT107" s="627">
        <v>237617</v>
      </c>
      <c r="JU107" s="627">
        <v>25877</v>
      </c>
      <c r="JV107" s="627">
        <v>1725</v>
      </c>
      <c r="JW107" s="627">
        <v>0</v>
      </c>
      <c r="JX107" s="627">
        <v>0</v>
      </c>
      <c r="JY107" s="627">
        <v>0</v>
      </c>
      <c r="JZ107" s="627">
        <v>0</v>
      </c>
      <c r="KA107" s="627">
        <v>0</v>
      </c>
      <c r="KB107" s="627">
        <v>0</v>
      </c>
      <c r="KC107" s="627">
        <v>0</v>
      </c>
      <c r="KD107" s="627">
        <v>0</v>
      </c>
      <c r="KE107" s="627">
        <v>1725</v>
      </c>
      <c r="KF107" s="627">
        <v>7262</v>
      </c>
      <c r="KG107" s="627">
        <v>0</v>
      </c>
      <c r="KH107" s="627">
        <v>0</v>
      </c>
      <c r="KI107" s="627">
        <v>6318837</v>
      </c>
      <c r="KJ107" s="627">
        <v>0</v>
      </c>
      <c r="KK107" s="627">
        <v>3</v>
      </c>
      <c r="KL107" s="627">
        <v>2</v>
      </c>
      <c r="KM107" s="627">
        <v>1848</v>
      </c>
      <c r="KN107" s="627">
        <v>1232</v>
      </c>
      <c r="KO107" s="627">
        <v>0</v>
      </c>
      <c r="KP107" s="627">
        <v>0</v>
      </c>
      <c r="KQ107" s="627">
        <v>6318837</v>
      </c>
      <c r="KR107" s="627">
        <v>0</v>
      </c>
      <c r="KS107" s="627">
        <v>0</v>
      </c>
      <c r="KT107" s="627">
        <v>0</v>
      </c>
      <c r="KU107" s="627">
        <v>0</v>
      </c>
      <c r="KV107" s="627">
        <v>0</v>
      </c>
      <c r="KW107" s="627">
        <v>0</v>
      </c>
      <c r="KX107" s="627">
        <v>0</v>
      </c>
      <c r="KY107" s="627">
        <v>0</v>
      </c>
      <c r="KZ107" s="627">
        <v>0</v>
      </c>
      <c r="LA107" s="627">
        <v>0</v>
      </c>
      <c r="LB107" s="627">
        <v>0</v>
      </c>
      <c r="LC107" s="627">
        <v>0</v>
      </c>
      <c r="LD107" s="627">
        <v>0</v>
      </c>
      <c r="LE107" s="627">
        <v>0</v>
      </c>
      <c r="LF107" s="627">
        <v>0</v>
      </c>
    </row>
    <row r="108" spans="1:318" x14ac:dyDescent="0.25">
      <c r="A108" s="627">
        <v>42602</v>
      </c>
      <c r="B108" s="627">
        <v>101815</v>
      </c>
      <c r="D108" s="627">
        <v>9</v>
      </c>
      <c r="E108" s="627">
        <v>2024</v>
      </c>
      <c r="F108" s="627">
        <v>6160</v>
      </c>
      <c r="G108" s="627">
        <v>0</v>
      </c>
      <c r="H108" s="627">
        <v>307.22000000000003</v>
      </c>
      <c r="I108" s="627">
        <v>301.65300000000002</v>
      </c>
      <c r="J108" s="627">
        <v>301.65300000000002</v>
      </c>
      <c r="K108" s="627">
        <v>307.22000000000003</v>
      </c>
      <c r="L108" s="627">
        <v>0</v>
      </c>
      <c r="M108" s="627">
        <v>6160</v>
      </c>
      <c r="N108" s="627">
        <v>0</v>
      </c>
      <c r="O108" s="627">
        <v>0</v>
      </c>
      <c r="P108" s="627">
        <v>0</v>
      </c>
      <c r="Q108" s="627">
        <v>295.97500000000002</v>
      </c>
      <c r="R108" s="627">
        <v>0</v>
      </c>
      <c r="S108" s="627">
        <v>122795</v>
      </c>
      <c r="T108" s="627">
        <v>414.88400000000001</v>
      </c>
      <c r="U108" s="627">
        <v>0</v>
      </c>
      <c r="V108" s="627">
        <v>63727</v>
      </c>
      <c r="W108" s="627">
        <v>229.161</v>
      </c>
      <c r="X108" s="627">
        <v>141163</v>
      </c>
      <c r="Y108" s="627">
        <v>141163</v>
      </c>
      <c r="Z108" s="627">
        <v>0</v>
      </c>
      <c r="AA108" s="627">
        <v>0</v>
      </c>
      <c r="AB108" s="627">
        <v>0</v>
      </c>
      <c r="AC108" s="627">
        <v>0</v>
      </c>
      <c r="AD108" s="627">
        <v>0</v>
      </c>
      <c r="AE108" s="627" t="s">
        <v>314</v>
      </c>
      <c r="AF108" s="627">
        <v>0</v>
      </c>
      <c r="AG108" s="627">
        <v>0</v>
      </c>
      <c r="AH108" s="627">
        <v>0</v>
      </c>
      <c r="AI108" s="627">
        <v>0</v>
      </c>
      <c r="AJ108" s="627">
        <v>0</v>
      </c>
      <c r="AK108" s="627">
        <v>6160</v>
      </c>
      <c r="AL108" s="627" t="s">
        <v>651</v>
      </c>
      <c r="AM108" s="627" t="s">
        <v>52</v>
      </c>
      <c r="AN108" s="627">
        <v>0</v>
      </c>
      <c r="AO108" s="627">
        <v>0</v>
      </c>
      <c r="AP108" s="627">
        <v>0</v>
      </c>
      <c r="AQ108" s="627">
        <v>0</v>
      </c>
      <c r="AR108" s="627">
        <v>0</v>
      </c>
      <c r="AS108" s="627">
        <v>0</v>
      </c>
      <c r="AT108" s="627">
        <v>0</v>
      </c>
      <c r="AU108" s="627">
        <v>0</v>
      </c>
      <c r="AV108" s="627">
        <v>0</v>
      </c>
      <c r="AW108" s="627">
        <v>-6519</v>
      </c>
      <c r="AX108" s="627">
        <v>3568714</v>
      </c>
      <c r="AY108" s="627">
        <v>3520175</v>
      </c>
      <c r="AZ108" s="627">
        <v>1761989</v>
      </c>
      <c r="BA108" s="627">
        <v>122795</v>
      </c>
      <c r="BB108" s="627">
        <v>18.083000000000002</v>
      </c>
      <c r="BC108" s="627">
        <v>0</v>
      </c>
      <c r="BD108" s="627">
        <v>0</v>
      </c>
      <c r="BE108" s="627">
        <v>0</v>
      </c>
      <c r="BF108" s="627">
        <v>0</v>
      </c>
      <c r="BG108" s="627">
        <v>3116488</v>
      </c>
      <c r="BH108" s="627">
        <v>0</v>
      </c>
      <c r="BI108" s="627">
        <v>0</v>
      </c>
      <c r="BJ108" s="627">
        <v>0</v>
      </c>
      <c r="BK108" s="627">
        <v>12</v>
      </c>
      <c r="BL108" s="627">
        <v>0</v>
      </c>
      <c r="BM108" s="627">
        <v>0</v>
      </c>
      <c r="BN108" s="627">
        <v>0</v>
      </c>
      <c r="BO108" s="627">
        <v>0</v>
      </c>
      <c r="BP108" s="627">
        <v>0</v>
      </c>
      <c r="BQ108" s="627">
        <v>0</v>
      </c>
      <c r="BR108" s="627">
        <v>724</v>
      </c>
      <c r="BS108" s="627">
        <v>0</v>
      </c>
      <c r="BT108" s="627">
        <v>0</v>
      </c>
      <c r="BU108" s="627">
        <v>0</v>
      </c>
      <c r="BV108" s="627">
        <v>0</v>
      </c>
      <c r="BW108" s="627">
        <v>0</v>
      </c>
      <c r="BX108" s="627">
        <v>0</v>
      </c>
      <c r="BY108" s="627">
        <v>0</v>
      </c>
      <c r="BZ108" s="627">
        <v>0</v>
      </c>
      <c r="CA108" s="627">
        <v>0</v>
      </c>
      <c r="CB108" s="627">
        <v>0</v>
      </c>
      <c r="CC108" s="627">
        <v>0</v>
      </c>
      <c r="CD108" s="627">
        <v>0</v>
      </c>
      <c r="CE108" s="627">
        <v>0</v>
      </c>
      <c r="CF108" s="627">
        <v>0</v>
      </c>
      <c r="CG108" s="627">
        <v>0</v>
      </c>
      <c r="CH108" s="627">
        <v>0</v>
      </c>
      <c r="CI108" s="627">
        <v>49133</v>
      </c>
      <c r="CJ108" s="627">
        <v>0</v>
      </c>
      <c r="CK108" s="627">
        <v>4</v>
      </c>
      <c r="CL108" s="627">
        <v>0</v>
      </c>
      <c r="CM108" s="627">
        <v>0</v>
      </c>
      <c r="CN108" s="627">
        <v>0</v>
      </c>
      <c r="CO108" s="627">
        <v>0</v>
      </c>
      <c r="CP108" s="627">
        <v>1</v>
      </c>
      <c r="CQ108" s="627">
        <v>0</v>
      </c>
      <c r="CR108" s="627">
        <v>0.5</v>
      </c>
      <c r="CS108" s="627">
        <v>295.64</v>
      </c>
      <c r="CT108" s="627">
        <v>0</v>
      </c>
      <c r="CU108" s="627">
        <v>0</v>
      </c>
      <c r="CV108" s="627">
        <v>0</v>
      </c>
      <c r="CW108" s="627">
        <v>0</v>
      </c>
      <c r="CX108" s="627">
        <v>0</v>
      </c>
      <c r="CY108" s="627">
        <v>0</v>
      </c>
      <c r="CZ108" s="627">
        <v>0</v>
      </c>
      <c r="DA108" s="627">
        <v>0</v>
      </c>
      <c r="DB108" s="627">
        <v>0</v>
      </c>
      <c r="DC108" s="627">
        <v>1858182</v>
      </c>
      <c r="DD108" s="627">
        <v>0</v>
      </c>
      <c r="DE108" s="627">
        <v>0</v>
      </c>
      <c r="DF108" s="627">
        <v>457303</v>
      </c>
      <c r="DG108" s="627">
        <v>457303</v>
      </c>
      <c r="DH108" s="627">
        <v>74.238</v>
      </c>
      <c r="DI108" s="627">
        <v>0</v>
      </c>
      <c r="DJ108" s="627">
        <v>0</v>
      </c>
      <c r="DK108" s="627">
        <v>0</v>
      </c>
      <c r="DL108" s="627">
        <v>3199</v>
      </c>
      <c r="DM108" s="627">
        <v>0</v>
      </c>
      <c r="DN108" s="627">
        <v>174230</v>
      </c>
      <c r="DO108" s="627">
        <v>594</v>
      </c>
      <c r="DP108" s="627">
        <v>0</v>
      </c>
      <c r="DQ108" s="627">
        <v>0</v>
      </c>
      <c r="DR108" s="627">
        <v>0</v>
      </c>
      <c r="DS108" s="627">
        <v>0</v>
      </c>
      <c r="DT108" s="627">
        <v>0</v>
      </c>
      <c r="DU108" s="627">
        <v>0</v>
      </c>
      <c r="DV108" s="627">
        <v>0</v>
      </c>
      <c r="DW108" s="627">
        <v>0</v>
      </c>
      <c r="DX108" s="627">
        <v>0</v>
      </c>
      <c r="DY108" s="627">
        <v>0</v>
      </c>
      <c r="DZ108" s="627">
        <v>0</v>
      </c>
      <c r="EA108" s="627">
        <v>0</v>
      </c>
      <c r="EB108" s="627">
        <v>0</v>
      </c>
      <c r="EC108" s="627">
        <v>0</v>
      </c>
      <c r="ED108" s="627">
        <v>8.7910000000000004</v>
      </c>
      <c r="EE108" s="627">
        <v>62275</v>
      </c>
      <c r="EF108" s="627">
        <v>0</v>
      </c>
      <c r="EG108" s="627">
        <v>0</v>
      </c>
      <c r="EH108" s="627">
        <v>0</v>
      </c>
      <c r="EI108" s="627">
        <v>112549</v>
      </c>
      <c r="EJ108" s="627">
        <v>0</v>
      </c>
      <c r="EK108" s="627">
        <v>0</v>
      </c>
      <c r="EL108" s="627">
        <v>4.782</v>
      </c>
      <c r="EM108" s="627">
        <v>0</v>
      </c>
      <c r="EN108" s="627">
        <v>0</v>
      </c>
      <c r="EO108" s="627">
        <v>0.78500000000000003</v>
      </c>
      <c r="EP108" s="627">
        <v>0</v>
      </c>
      <c r="EQ108" s="627">
        <v>0</v>
      </c>
      <c r="ER108" s="627">
        <v>5.5670000000000002</v>
      </c>
      <c r="ES108" s="627">
        <v>0</v>
      </c>
      <c r="ET108" s="627">
        <v>18.271000000000001</v>
      </c>
      <c r="EU108" s="627">
        <v>0</v>
      </c>
      <c r="EV108" s="627">
        <v>0</v>
      </c>
      <c r="EW108" s="627">
        <v>0</v>
      </c>
      <c r="EX108" s="627">
        <v>0</v>
      </c>
      <c r="EY108" s="627">
        <v>0</v>
      </c>
      <c r="EZ108" s="627">
        <v>0</v>
      </c>
      <c r="FA108" s="627">
        <v>2993693</v>
      </c>
      <c r="FB108" s="627">
        <v>0</v>
      </c>
      <c r="FC108" s="627">
        <v>3115894</v>
      </c>
      <c r="FD108" s="627">
        <v>0</v>
      </c>
      <c r="FE108" s="627">
        <v>0</v>
      </c>
      <c r="FF108" s="627">
        <v>448762</v>
      </c>
      <c r="FG108" s="627">
        <v>77720</v>
      </c>
      <c r="FH108" s="627">
        <v>7.0280999999999996E-2</v>
      </c>
      <c r="FI108" s="627">
        <v>3.1172999999999999E-2</v>
      </c>
      <c r="FJ108" s="627">
        <v>0</v>
      </c>
      <c r="FK108" s="627">
        <v>0</v>
      </c>
      <c r="FL108" s="627">
        <v>505.923</v>
      </c>
      <c r="FM108" s="627">
        <v>3691509</v>
      </c>
      <c r="FN108" s="627">
        <v>0</v>
      </c>
      <c r="FO108" s="627">
        <v>0</v>
      </c>
      <c r="FP108" s="627">
        <v>0</v>
      </c>
      <c r="FQ108" s="627">
        <v>0</v>
      </c>
      <c r="FR108" s="627">
        <v>0</v>
      </c>
      <c r="FS108" s="627">
        <v>0</v>
      </c>
      <c r="FT108" s="627">
        <v>0</v>
      </c>
      <c r="FU108" s="627">
        <v>0</v>
      </c>
      <c r="FV108" s="627">
        <v>0</v>
      </c>
      <c r="FW108" s="627">
        <v>0</v>
      </c>
      <c r="FX108" s="627">
        <v>0</v>
      </c>
      <c r="FY108" s="627">
        <v>0</v>
      </c>
      <c r="FZ108" s="627">
        <v>0</v>
      </c>
      <c r="GA108" s="627">
        <v>0</v>
      </c>
      <c r="GB108" s="627">
        <v>0</v>
      </c>
      <c r="GC108" s="627">
        <v>0</v>
      </c>
      <c r="GD108" s="627">
        <v>0</v>
      </c>
      <c r="GE108" s="627">
        <v>0</v>
      </c>
      <c r="GF108" s="627">
        <v>0</v>
      </c>
      <c r="GG108" s="627">
        <v>0</v>
      </c>
      <c r="GH108" s="627">
        <v>0</v>
      </c>
      <c r="GI108" s="627">
        <v>0</v>
      </c>
      <c r="GJ108" s="627">
        <v>0</v>
      </c>
      <c r="GK108" s="627">
        <v>0</v>
      </c>
      <c r="GL108" s="627">
        <v>0</v>
      </c>
      <c r="GM108" s="627">
        <v>0</v>
      </c>
      <c r="GN108" s="627">
        <v>0</v>
      </c>
      <c r="GO108" s="627">
        <v>0</v>
      </c>
      <c r="GP108" s="627">
        <v>0</v>
      </c>
      <c r="GQ108" s="627">
        <v>0</v>
      </c>
      <c r="GR108" s="627">
        <v>3519581</v>
      </c>
      <c r="GS108" s="627">
        <v>0</v>
      </c>
      <c r="GT108" s="627">
        <v>0</v>
      </c>
      <c r="GU108" s="627">
        <v>0</v>
      </c>
      <c r="GV108" s="627">
        <v>0</v>
      </c>
      <c r="GW108" s="627">
        <v>0</v>
      </c>
      <c r="GX108" s="627">
        <v>0</v>
      </c>
      <c r="GY108" s="627">
        <v>0</v>
      </c>
      <c r="GZ108" s="627">
        <v>0</v>
      </c>
      <c r="HA108" s="627">
        <v>0</v>
      </c>
      <c r="HB108" s="627">
        <v>0</v>
      </c>
      <c r="HC108" s="627">
        <v>361151439</v>
      </c>
      <c r="HD108" s="627">
        <v>3.9981999999999997E-2</v>
      </c>
      <c r="HE108" s="627">
        <v>49133</v>
      </c>
      <c r="HF108" s="627">
        <v>0</v>
      </c>
      <c r="HG108" s="627">
        <v>332422</v>
      </c>
      <c r="HH108" s="627">
        <v>0</v>
      </c>
      <c r="HI108" s="627">
        <v>134522</v>
      </c>
      <c r="HJ108" s="627">
        <v>0</v>
      </c>
      <c r="HK108" s="627">
        <v>18072</v>
      </c>
      <c r="HL108" s="627">
        <v>0</v>
      </c>
      <c r="HM108" s="627">
        <v>0</v>
      </c>
      <c r="HN108" s="627">
        <v>0</v>
      </c>
      <c r="HO108" s="627">
        <v>0</v>
      </c>
      <c r="HP108" s="627">
        <v>0</v>
      </c>
      <c r="HQ108" s="627">
        <v>0</v>
      </c>
      <c r="HR108" s="627">
        <v>0</v>
      </c>
      <c r="HS108" s="627">
        <v>0</v>
      </c>
      <c r="HT108" s="627">
        <v>2993099</v>
      </c>
      <c r="HU108" s="627">
        <v>77720</v>
      </c>
      <c r="HV108" s="627">
        <v>0</v>
      </c>
      <c r="HW108" s="627">
        <v>0</v>
      </c>
      <c r="HX108" s="627">
        <v>0</v>
      </c>
      <c r="HY108" s="627">
        <v>40</v>
      </c>
      <c r="HZ108" s="627">
        <v>48</v>
      </c>
      <c r="IA108" s="627">
        <v>84</v>
      </c>
      <c r="IB108" s="627">
        <v>79</v>
      </c>
      <c r="IC108" s="627">
        <v>44</v>
      </c>
      <c r="ID108" s="627">
        <v>295</v>
      </c>
      <c r="IE108" s="627">
        <v>0</v>
      </c>
      <c r="IF108" s="627">
        <v>0</v>
      </c>
      <c r="IG108" s="627">
        <v>0</v>
      </c>
      <c r="IH108" s="627">
        <v>0</v>
      </c>
      <c r="II108" s="627">
        <v>218.38</v>
      </c>
      <c r="IJ108" s="627">
        <v>0</v>
      </c>
      <c r="IK108" s="627">
        <v>229.161</v>
      </c>
      <c r="IL108" s="627">
        <v>0</v>
      </c>
      <c r="IM108" s="627">
        <v>0</v>
      </c>
      <c r="IN108" s="627">
        <v>0</v>
      </c>
      <c r="IO108" s="627">
        <v>0</v>
      </c>
      <c r="IP108" s="627">
        <v>0</v>
      </c>
      <c r="IQ108" s="627">
        <v>0</v>
      </c>
      <c r="IR108" s="627">
        <v>229.161</v>
      </c>
      <c r="IS108" s="627">
        <v>141163</v>
      </c>
      <c r="IT108" s="627">
        <v>0</v>
      </c>
      <c r="IU108" s="627">
        <v>0</v>
      </c>
      <c r="IV108" s="627">
        <v>0</v>
      </c>
      <c r="IW108" s="627">
        <v>0</v>
      </c>
      <c r="IX108" s="627">
        <v>6160</v>
      </c>
      <c r="IY108" s="627">
        <v>0</v>
      </c>
      <c r="IZ108" s="627">
        <v>0</v>
      </c>
      <c r="JA108" s="627">
        <v>0</v>
      </c>
      <c r="JB108" s="627">
        <v>0</v>
      </c>
      <c r="JC108" s="627">
        <v>0</v>
      </c>
      <c r="JD108" s="627">
        <v>0</v>
      </c>
      <c r="JE108" s="627">
        <v>0</v>
      </c>
      <c r="JF108" s="627">
        <v>0</v>
      </c>
      <c r="JG108" s="627">
        <v>0</v>
      </c>
      <c r="JH108" s="627">
        <v>0</v>
      </c>
      <c r="JI108" s="627">
        <v>0</v>
      </c>
      <c r="JJ108" s="627">
        <v>0</v>
      </c>
      <c r="JK108" s="627">
        <v>0</v>
      </c>
      <c r="JL108" s="627">
        <v>0</v>
      </c>
      <c r="JM108" s="627">
        <v>0</v>
      </c>
      <c r="JN108" s="627">
        <v>0</v>
      </c>
      <c r="JO108" s="627">
        <v>32469</v>
      </c>
      <c r="JP108" s="627">
        <v>0</v>
      </c>
      <c r="JQ108" s="627">
        <v>0</v>
      </c>
      <c r="JR108" s="627">
        <v>0</v>
      </c>
      <c r="JS108" s="627">
        <v>0</v>
      </c>
      <c r="JT108" s="627">
        <v>0</v>
      </c>
      <c r="JU108" s="627">
        <v>0</v>
      </c>
      <c r="JV108" s="627">
        <v>0</v>
      </c>
      <c r="JW108" s="627">
        <v>0</v>
      </c>
      <c r="JX108" s="627">
        <v>0</v>
      </c>
      <c r="JY108" s="627">
        <v>0</v>
      </c>
      <c r="JZ108" s="627">
        <v>0</v>
      </c>
      <c r="KA108" s="627">
        <v>0</v>
      </c>
      <c r="KB108" s="627">
        <v>0</v>
      </c>
      <c r="KC108" s="627">
        <v>0</v>
      </c>
      <c r="KD108" s="627">
        <v>0</v>
      </c>
      <c r="KE108" s="627">
        <v>0</v>
      </c>
      <c r="KF108" s="627">
        <v>7262</v>
      </c>
      <c r="KG108" s="627">
        <v>0</v>
      </c>
      <c r="KH108" s="627">
        <v>0</v>
      </c>
      <c r="KI108" s="627">
        <v>3519581</v>
      </c>
      <c r="KJ108" s="627">
        <v>0</v>
      </c>
      <c r="KK108" s="627">
        <v>0</v>
      </c>
      <c r="KL108" s="627">
        <v>0</v>
      </c>
      <c r="KM108" s="627">
        <v>0</v>
      </c>
      <c r="KN108" s="627">
        <v>0</v>
      </c>
      <c r="KO108" s="627">
        <v>0</v>
      </c>
      <c r="KP108" s="627">
        <v>0</v>
      </c>
      <c r="KQ108" s="627">
        <v>3519581</v>
      </c>
      <c r="KR108" s="627">
        <v>0</v>
      </c>
      <c r="KS108" s="627">
        <v>0</v>
      </c>
      <c r="KT108" s="627">
        <v>0</v>
      </c>
      <c r="KU108" s="627">
        <v>0</v>
      </c>
      <c r="KV108" s="627">
        <v>0</v>
      </c>
      <c r="KW108" s="627">
        <v>0</v>
      </c>
      <c r="KX108" s="627">
        <v>0</v>
      </c>
      <c r="KY108" s="627">
        <v>0</v>
      </c>
      <c r="KZ108" s="627">
        <v>0</v>
      </c>
      <c r="LA108" s="627">
        <v>0</v>
      </c>
      <c r="LB108" s="627">
        <v>0</v>
      </c>
      <c r="LC108" s="627">
        <v>0</v>
      </c>
      <c r="LD108" s="627">
        <v>0</v>
      </c>
      <c r="LE108" s="627">
        <v>0</v>
      </c>
      <c r="LF108" s="627">
        <v>0</v>
      </c>
    </row>
    <row r="109" spans="1:318" x14ac:dyDescent="0.25">
      <c r="A109" s="627">
        <v>42602</v>
      </c>
      <c r="B109" s="627">
        <v>220815</v>
      </c>
      <c r="D109" s="627">
        <v>9</v>
      </c>
      <c r="E109" s="627">
        <v>2024</v>
      </c>
      <c r="F109" s="627">
        <v>6160</v>
      </c>
      <c r="G109" s="627">
        <v>0</v>
      </c>
      <c r="H109" s="627">
        <v>478.13</v>
      </c>
      <c r="I109" s="627">
        <v>469.36799999999999</v>
      </c>
      <c r="J109" s="627">
        <v>469.36799999999999</v>
      </c>
      <c r="K109" s="627">
        <v>478.13</v>
      </c>
      <c r="L109" s="627">
        <v>0</v>
      </c>
      <c r="M109" s="627">
        <v>6160</v>
      </c>
      <c r="N109" s="627">
        <v>0</v>
      </c>
      <c r="O109" s="627">
        <v>0</v>
      </c>
      <c r="P109" s="627">
        <v>0</v>
      </c>
      <c r="Q109" s="627">
        <v>608.95500000000004</v>
      </c>
      <c r="R109" s="627">
        <v>0</v>
      </c>
      <c r="S109" s="627">
        <v>252646</v>
      </c>
      <c r="T109" s="627">
        <v>414.88400000000001</v>
      </c>
      <c r="U109" s="627">
        <v>0</v>
      </c>
      <c r="V109" s="627">
        <v>131112</v>
      </c>
      <c r="W109" s="627">
        <v>79.102000000000004</v>
      </c>
      <c r="X109" s="627">
        <v>48727</v>
      </c>
      <c r="Y109" s="627">
        <v>48727</v>
      </c>
      <c r="Z109" s="627">
        <v>0</v>
      </c>
      <c r="AA109" s="627">
        <v>0</v>
      </c>
      <c r="AB109" s="627">
        <v>0</v>
      </c>
      <c r="AC109" s="627">
        <v>0</v>
      </c>
      <c r="AD109" s="627">
        <v>0</v>
      </c>
      <c r="AE109" s="627" t="s">
        <v>314</v>
      </c>
      <c r="AF109" s="627">
        <v>0</v>
      </c>
      <c r="AG109" s="627">
        <v>0</v>
      </c>
      <c r="AH109" s="627">
        <v>0</v>
      </c>
      <c r="AI109" s="627">
        <v>0</v>
      </c>
      <c r="AJ109" s="627">
        <v>0</v>
      </c>
      <c r="AK109" s="627">
        <v>6160</v>
      </c>
      <c r="AL109" s="627" t="s">
        <v>651</v>
      </c>
      <c r="AM109" s="627" t="s">
        <v>361</v>
      </c>
      <c r="AN109" s="627">
        <v>0</v>
      </c>
      <c r="AO109" s="627">
        <v>0</v>
      </c>
      <c r="AP109" s="627">
        <v>0</v>
      </c>
      <c r="AQ109" s="627">
        <v>0</v>
      </c>
      <c r="AR109" s="627">
        <v>0</v>
      </c>
      <c r="AS109" s="627">
        <v>0</v>
      </c>
      <c r="AT109" s="627">
        <v>0</v>
      </c>
      <c r="AU109" s="627">
        <v>0</v>
      </c>
      <c r="AV109" s="627">
        <v>0</v>
      </c>
      <c r="AW109" s="627">
        <v>0</v>
      </c>
      <c r="AX109" s="627">
        <v>5066189</v>
      </c>
      <c r="AY109" s="627">
        <v>4990650</v>
      </c>
      <c r="AZ109" s="627">
        <v>2645117</v>
      </c>
      <c r="BA109" s="627">
        <v>252646</v>
      </c>
      <c r="BB109" s="627">
        <v>0</v>
      </c>
      <c r="BC109" s="627">
        <v>10185</v>
      </c>
      <c r="BD109" s="627">
        <v>10120</v>
      </c>
      <c r="BE109" s="627">
        <v>23.907</v>
      </c>
      <c r="BF109" s="627">
        <v>65</v>
      </c>
      <c r="BG109" s="627">
        <v>4485534</v>
      </c>
      <c r="BH109" s="627">
        <v>0</v>
      </c>
      <c r="BI109" s="627">
        <v>0</v>
      </c>
      <c r="BJ109" s="627">
        <v>0</v>
      </c>
      <c r="BK109" s="627">
        <v>12</v>
      </c>
      <c r="BL109" s="627">
        <v>0</v>
      </c>
      <c r="BM109" s="627">
        <v>0</v>
      </c>
      <c r="BN109" s="627">
        <v>0</v>
      </c>
      <c r="BO109" s="627">
        <v>0</v>
      </c>
      <c r="BP109" s="627">
        <v>0</v>
      </c>
      <c r="BQ109" s="627">
        <v>0</v>
      </c>
      <c r="BR109" s="627">
        <v>698</v>
      </c>
      <c r="BS109" s="627">
        <v>0</v>
      </c>
      <c r="BT109" s="627">
        <v>0</v>
      </c>
      <c r="BU109" s="627">
        <v>0</v>
      </c>
      <c r="BV109" s="627">
        <v>0</v>
      </c>
      <c r="BW109" s="627">
        <v>0</v>
      </c>
      <c r="BX109" s="627">
        <v>0</v>
      </c>
      <c r="BY109" s="627">
        <v>0</v>
      </c>
      <c r="BZ109" s="627">
        <v>0</v>
      </c>
      <c r="CA109" s="627">
        <v>0</v>
      </c>
      <c r="CB109" s="627">
        <v>0</v>
      </c>
      <c r="CC109" s="627">
        <v>0</v>
      </c>
      <c r="CD109" s="627">
        <v>0</v>
      </c>
      <c r="CE109" s="627">
        <v>0</v>
      </c>
      <c r="CF109" s="627">
        <v>0</v>
      </c>
      <c r="CG109" s="627">
        <v>0</v>
      </c>
      <c r="CH109" s="627">
        <v>0</v>
      </c>
      <c r="CI109" s="627">
        <v>76467</v>
      </c>
      <c r="CJ109" s="627">
        <v>0</v>
      </c>
      <c r="CK109" s="627">
        <v>4</v>
      </c>
      <c r="CL109" s="627">
        <v>0</v>
      </c>
      <c r="CM109" s="627">
        <v>0</v>
      </c>
      <c r="CN109" s="627">
        <v>0</v>
      </c>
      <c r="CO109" s="627">
        <v>0</v>
      </c>
      <c r="CP109" s="627">
        <v>1</v>
      </c>
      <c r="CQ109" s="627">
        <v>0</v>
      </c>
      <c r="CR109" s="627">
        <v>0</v>
      </c>
      <c r="CS109" s="627">
        <v>606.49</v>
      </c>
      <c r="CT109" s="627">
        <v>0</v>
      </c>
      <c r="CU109" s="627">
        <v>0</v>
      </c>
      <c r="CV109" s="627">
        <v>0</v>
      </c>
      <c r="CW109" s="627">
        <v>0</v>
      </c>
      <c r="CX109" s="627">
        <v>0</v>
      </c>
      <c r="CY109" s="627">
        <v>0</v>
      </c>
      <c r="CZ109" s="627">
        <v>0</v>
      </c>
      <c r="DA109" s="627">
        <v>0</v>
      </c>
      <c r="DB109" s="627">
        <v>0</v>
      </c>
      <c r="DC109" s="627">
        <v>2753746</v>
      </c>
      <c r="DD109" s="627">
        <v>0</v>
      </c>
      <c r="DE109" s="627">
        <v>0</v>
      </c>
      <c r="DF109" s="627">
        <v>620928</v>
      </c>
      <c r="DG109" s="627">
        <v>620928</v>
      </c>
      <c r="DH109" s="627">
        <v>100.8</v>
      </c>
      <c r="DI109" s="627">
        <v>0</v>
      </c>
      <c r="DJ109" s="627">
        <v>0</v>
      </c>
      <c r="DK109" s="627">
        <v>0</v>
      </c>
      <c r="DL109" s="627">
        <v>2786</v>
      </c>
      <c r="DM109" s="627">
        <v>0</v>
      </c>
      <c r="DN109" s="627">
        <v>390850</v>
      </c>
      <c r="DO109" s="627">
        <v>863</v>
      </c>
      <c r="DP109" s="627">
        <v>0</v>
      </c>
      <c r="DQ109" s="627">
        <v>0</v>
      </c>
      <c r="DR109" s="627">
        <v>0</v>
      </c>
      <c r="DS109" s="627">
        <v>0</v>
      </c>
      <c r="DT109" s="627">
        <v>0</v>
      </c>
      <c r="DU109" s="627">
        <v>0</v>
      </c>
      <c r="DV109" s="627">
        <v>0</v>
      </c>
      <c r="DW109" s="627">
        <v>0</v>
      </c>
      <c r="DX109" s="627">
        <v>0</v>
      </c>
      <c r="DY109" s="627">
        <v>0</v>
      </c>
      <c r="DZ109" s="627">
        <v>0</v>
      </c>
      <c r="EA109" s="627">
        <v>0</v>
      </c>
      <c r="EB109" s="627">
        <v>0</v>
      </c>
      <c r="EC109" s="627">
        <v>0</v>
      </c>
      <c r="ED109" s="627">
        <v>11.183</v>
      </c>
      <c r="EE109" s="627">
        <v>79220</v>
      </c>
      <c r="EF109" s="627">
        <v>0</v>
      </c>
      <c r="EG109" s="627">
        <v>0</v>
      </c>
      <c r="EH109" s="627">
        <v>0</v>
      </c>
      <c r="EI109" s="627">
        <v>174932</v>
      </c>
      <c r="EJ109" s="627">
        <v>0</v>
      </c>
      <c r="EK109" s="627">
        <v>0</v>
      </c>
      <c r="EL109" s="627">
        <v>7.7060000000000004</v>
      </c>
      <c r="EM109" s="627">
        <v>0</v>
      </c>
      <c r="EN109" s="627">
        <v>0</v>
      </c>
      <c r="EO109" s="627">
        <v>1.056</v>
      </c>
      <c r="EP109" s="627">
        <v>0</v>
      </c>
      <c r="EQ109" s="627">
        <v>0</v>
      </c>
      <c r="ER109" s="627">
        <v>8.7620000000000005</v>
      </c>
      <c r="ES109" s="627">
        <v>0</v>
      </c>
      <c r="ET109" s="627">
        <v>28.398</v>
      </c>
      <c r="EU109" s="627">
        <v>0</v>
      </c>
      <c r="EV109" s="627">
        <v>0</v>
      </c>
      <c r="EW109" s="627">
        <v>0</v>
      </c>
      <c r="EX109" s="627">
        <v>0</v>
      </c>
      <c r="EY109" s="627">
        <v>0</v>
      </c>
      <c r="EZ109" s="627">
        <v>0</v>
      </c>
      <c r="FA109" s="627">
        <v>4232888</v>
      </c>
      <c r="FB109" s="627">
        <v>0</v>
      </c>
      <c r="FC109" s="627">
        <v>4484606</v>
      </c>
      <c r="FD109" s="627">
        <v>0</v>
      </c>
      <c r="FE109" s="627">
        <v>0</v>
      </c>
      <c r="FF109" s="627">
        <v>645900</v>
      </c>
      <c r="FG109" s="627">
        <v>111862</v>
      </c>
      <c r="FH109" s="627">
        <v>7.0280999999999996E-2</v>
      </c>
      <c r="FI109" s="627">
        <v>3.1172999999999999E-2</v>
      </c>
      <c r="FJ109" s="627">
        <v>0</v>
      </c>
      <c r="FK109" s="627">
        <v>0</v>
      </c>
      <c r="FL109" s="627">
        <v>728.17100000000005</v>
      </c>
      <c r="FM109" s="627">
        <v>5318835</v>
      </c>
      <c r="FN109" s="627">
        <v>0</v>
      </c>
      <c r="FO109" s="627">
        <v>0</v>
      </c>
      <c r="FP109" s="627">
        <v>0</v>
      </c>
      <c r="FQ109" s="627">
        <v>0</v>
      </c>
      <c r="FR109" s="627">
        <v>0</v>
      </c>
      <c r="FS109" s="627">
        <v>0</v>
      </c>
      <c r="FT109" s="627">
        <v>0</v>
      </c>
      <c r="FU109" s="627">
        <v>0</v>
      </c>
      <c r="FV109" s="627">
        <v>0</v>
      </c>
      <c r="FW109" s="627">
        <v>0</v>
      </c>
      <c r="FX109" s="627">
        <v>0</v>
      </c>
      <c r="FY109" s="627">
        <v>0</v>
      </c>
      <c r="FZ109" s="627">
        <v>0</v>
      </c>
      <c r="GA109" s="627">
        <v>0</v>
      </c>
      <c r="GB109" s="627">
        <v>0</v>
      </c>
      <c r="GC109" s="627">
        <v>0</v>
      </c>
      <c r="GD109" s="627">
        <v>0</v>
      </c>
      <c r="GE109" s="627">
        <v>0</v>
      </c>
      <c r="GF109" s="627">
        <v>0</v>
      </c>
      <c r="GG109" s="627">
        <v>0</v>
      </c>
      <c r="GH109" s="627">
        <v>0</v>
      </c>
      <c r="GI109" s="627">
        <v>0</v>
      </c>
      <c r="GJ109" s="627">
        <v>0</v>
      </c>
      <c r="GK109" s="627">
        <v>0</v>
      </c>
      <c r="GL109" s="627">
        <v>0</v>
      </c>
      <c r="GM109" s="627">
        <v>0</v>
      </c>
      <c r="GN109" s="627">
        <v>0</v>
      </c>
      <c r="GO109" s="627">
        <v>0</v>
      </c>
      <c r="GP109" s="627">
        <v>0</v>
      </c>
      <c r="GQ109" s="627">
        <v>0</v>
      </c>
      <c r="GR109" s="627">
        <v>4989722</v>
      </c>
      <c r="GS109" s="627">
        <v>0</v>
      </c>
      <c r="GT109" s="627">
        <v>0</v>
      </c>
      <c r="GU109" s="627">
        <v>0</v>
      </c>
      <c r="GV109" s="627">
        <v>0</v>
      </c>
      <c r="GW109" s="627">
        <v>0</v>
      </c>
      <c r="GX109" s="627">
        <v>0</v>
      </c>
      <c r="GY109" s="627">
        <v>0</v>
      </c>
      <c r="GZ109" s="627">
        <v>0</v>
      </c>
      <c r="HA109" s="627">
        <v>0</v>
      </c>
      <c r="HB109" s="627">
        <v>0</v>
      </c>
      <c r="HC109" s="627">
        <v>361151439</v>
      </c>
      <c r="HD109" s="627">
        <v>3.9981999999999997E-2</v>
      </c>
      <c r="HE109" s="627">
        <v>76467</v>
      </c>
      <c r="HF109" s="627">
        <v>0</v>
      </c>
      <c r="HG109" s="627">
        <v>517244</v>
      </c>
      <c r="HH109" s="627">
        <v>8008</v>
      </c>
      <c r="HI109" s="627">
        <v>115202</v>
      </c>
      <c r="HJ109" s="627">
        <v>0</v>
      </c>
      <c r="HK109" s="627">
        <v>19781</v>
      </c>
      <c r="HL109" s="627">
        <v>0</v>
      </c>
      <c r="HM109" s="627">
        <v>0</v>
      </c>
      <c r="HN109" s="627">
        <v>0</v>
      </c>
      <c r="HO109" s="627">
        <v>0</v>
      </c>
      <c r="HP109" s="627">
        <v>0</v>
      </c>
      <c r="HQ109" s="627">
        <v>0</v>
      </c>
      <c r="HR109" s="627">
        <v>0</v>
      </c>
      <c r="HS109" s="627">
        <v>0</v>
      </c>
      <c r="HT109" s="627">
        <v>4231960</v>
      </c>
      <c r="HU109" s="627">
        <v>111862</v>
      </c>
      <c r="HV109" s="627">
        <v>0</v>
      </c>
      <c r="HW109" s="627">
        <v>0</v>
      </c>
      <c r="HX109" s="627">
        <v>0</v>
      </c>
      <c r="HY109" s="627">
        <v>66</v>
      </c>
      <c r="HZ109" s="627">
        <v>94</v>
      </c>
      <c r="IA109" s="627">
        <v>59</v>
      </c>
      <c r="IB109" s="627">
        <v>94</v>
      </c>
      <c r="IC109" s="627">
        <v>88</v>
      </c>
      <c r="ID109" s="627">
        <v>401</v>
      </c>
      <c r="IE109" s="627">
        <v>0</v>
      </c>
      <c r="IF109" s="627">
        <v>0</v>
      </c>
      <c r="IG109" s="627">
        <v>0</v>
      </c>
      <c r="IH109" s="627">
        <v>13</v>
      </c>
      <c r="II109" s="627">
        <v>187.017</v>
      </c>
      <c r="IJ109" s="627">
        <v>0</v>
      </c>
      <c r="IK109" s="627">
        <v>79.102000000000004</v>
      </c>
      <c r="IL109" s="627">
        <v>0</v>
      </c>
      <c r="IM109" s="627">
        <v>0</v>
      </c>
      <c r="IN109" s="627">
        <v>0</v>
      </c>
      <c r="IO109" s="627">
        <v>0</v>
      </c>
      <c r="IP109" s="627">
        <v>0</v>
      </c>
      <c r="IQ109" s="627">
        <v>0</v>
      </c>
      <c r="IR109" s="627">
        <v>79.102000000000004</v>
      </c>
      <c r="IS109" s="627">
        <v>48727</v>
      </c>
      <c r="IT109" s="627">
        <v>0</v>
      </c>
      <c r="IU109" s="627">
        <v>0</v>
      </c>
      <c r="IV109" s="627">
        <v>0</v>
      </c>
      <c r="IW109" s="627">
        <v>0</v>
      </c>
      <c r="IX109" s="627">
        <v>6160</v>
      </c>
      <c r="IY109" s="627">
        <v>0</v>
      </c>
      <c r="IZ109" s="627">
        <v>0</v>
      </c>
      <c r="JA109" s="627">
        <v>0</v>
      </c>
      <c r="JB109" s="627">
        <v>0</v>
      </c>
      <c r="JC109" s="627">
        <v>0</v>
      </c>
      <c r="JD109" s="627">
        <v>0</v>
      </c>
      <c r="JE109" s="627">
        <v>0</v>
      </c>
      <c r="JF109" s="627">
        <v>0</v>
      </c>
      <c r="JG109" s="627">
        <v>0</v>
      </c>
      <c r="JH109" s="627">
        <v>0</v>
      </c>
      <c r="JI109" s="627">
        <v>0</v>
      </c>
      <c r="JJ109" s="627">
        <v>0</v>
      </c>
      <c r="JK109" s="627">
        <v>0</v>
      </c>
      <c r="JL109" s="627">
        <v>0</v>
      </c>
      <c r="JM109" s="627">
        <v>0</v>
      </c>
      <c r="JN109" s="627">
        <v>0</v>
      </c>
      <c r="JO109" s="627">
        <v>32469</v>
      </c>
      <c r="JP109" s="627">
        <v>0</v>
      </c>
      <c r="JQ109" s="627">
        <v>0</v>
      </c>
      <c r="JR109" s="627">
        <v>0</v>
      </c>
      <c r="JS109" s="627">
        <v>0</v>
      </c>
      <c r="JT109" s="627">
        <v>0</v>
      </c>
      <c r="JU109" s="627">
        <v>0</v>
      </c>
      <c r="JV109" s="627">
        <v>10308</v>
      </c>
      <c r="JW109" s="627">
        <v>0</v>
      </c>
      <c r="JX109" s="627">
        <v>0</v>
      </c>
      <c r="JY109" s="627">
        <v>0</v>
      </c>
      <c r="JZ109" s="627">
        <v>0</v>
      </c>
      <c r="KA109" s="627">
        <v>0</v>
      </c>
      <c r="KB109" s="627">
        <v>0</v>
      </c>
      <c r="KC109" s="627">
        <v>0</v>
      </c>
      <c r="KD109" s="627">
        <v>0</v>
      </c>
      <c r="KE109" s="627">
        <v>10349</v>
      </c>
      <c r="KF109" s="627">
        <v>7262</v>
      </c>
      <c r="KG109" s="627">
        <v>0</v>
      </c>
      <c r="KH109" s="627">
        <v>0</v>
      </c>
      <c r="KI109" s="627">
        <v>4989722</v>
      </c>
      <c r="KJ109" s="627">
        <v>0</v>
      </c>
      <c r="KK109" s="627">
        <v>4</v>
      </c>
      <c r="KL109" s="627">
        <v>9</v>
      </c>
      <c r="KM109" s="627">
        <v>2464</v>
      </c>
      <c r="KN109" s="627">
        <v>5544</v>
      </c>
      <c r="KO109" s="627">
        <v>0</v>
      </c>
      <c r="KP109" s="627">
        <v>0</v>
      </c>
      <c r="KQ109" s="627">
        <v>4989722</v>
      </c>
      <c r="KR109" s="627">
        <v>0</v>
      </c>
      <c r="KS109" s="627">
        <v>0</v>
      </c>
      <c r="KT109" s="627">
        <v>0</v>
      </c>
      <c r="KU109" s="627">
        <v>0</v>
      </c>
      <c r="KV109" s="627">
        <v>0</v>
      </c>
      <c r="KW109" s="627">
        <v>0</v>
      </c>
      <c r="KX109" s="627">
        <v>0</v>
      </c>
      <c r="KY109" s="627">
        <v>0</v>
      </c>
      <c r="KZ109" s="627">
        <v>0</v>
      </c>
      <c r="LA109" s="627">
        <v>0</v>
      </c>
      <c r="LB109" s="627">
        <v>0</v>
      </c>
      <c r="LC109" s="627">
        <v>0</v>
      </c>
      <c r="LD109" s="627">
        <v>0</v>
      </c>
      <c r="LE109" s="627">
        <v>0</v>
      </c>
      <c r="LF109" s="627">
        <v>0</v>
      </c>
    </row>
    <row r="110" spans="1:318" x14ac:dyDescent="0.25">
      <c r="A110" s="627">
        <v>42602</v>
      </c>
      <c r="B110" s="627">
        <v>57816</v>
      </c>
      <c r="D110" s="627">
        <v>9</v>
      </c>
      <c r="E110" s="627">
        <v>2024</v>
      </c>
      <c r="F110" s="627">
        <v>6160</v>
      </c>
      <c r="G110" s="627">
        <v>0</v>
      </c>
      <c r="H110" s="627">
        <v>613.84800000000007</v>
      </c>
      <c r="I110" s="627">
        <v>594.28300000000002</v>
      </c>
      <c r="J110" s="627">
        <v>594.28300000000002</v>
      </c>
      <c r="K110" s="627">
        <v>613.84800000000007</v>
      </c>
      <c r="L110" s="627">
        <v>0</v>
      </c>
      <c r="M110" s="627">
        <v>6160</v>
      </c>
      <c r="N110" s="627">
        <v>0</v>
      </c>
      <c r="O110" s="627">
        <v>0</v>
      </c>
      <c r="P110" s="627">
        <v>0</v>
      </c>
      <c r="Q110" s="627">
        <v>764.74800000000005</v>
      </c>
      <c r="R110" s="627">
        <v>0</v>
      </c>
      <c r="S110" s="627">
        <v>317282</v>
      </c>
      <c r="T110" s="627">
        <v>414.88400000000001</v>
      </c>
      <c r="U110" s="627">
        <v>0</v>
      </c>
      <c r="V110" s="627">
        <v>164657</v>
      </c>
      <c r="W110" s="627">
        <v>2.9250000000000003</v>
      </c>
      <c r="X110" s="627">
        <v>1802</v>
      </c>
      <c r="Y110" s="627">
        <v>1802</v>
      </c>
      <c r="Z110" s="627">
        <v>0</v>
      </c>
      <c r="AA110" s="627">
        <v>0</v>
      </c>
      <c r="AB110" s="627">
        <v>0</v>
      </c>
      <c r="AC110" s="627">
        <v>0</v>
      </c>
      <c r="AD110" s="627">
        <v>0</v>
      </c>
      <c r="AE110" s="627" t="s">
        <v>314</v>
      </c>
      <c r="AF110" s="627">
        <v>0</v>
      </c>
      <c r="AG110" s="627">
        <v>0</v>
      </c>
      <c r="AH110" s="627">
        <v>0</v>
      </c>
      <c r="AI110" s="627">
        <v>0</v>
      </c>
      <c r="AJ110" s="627">
        <v>0</v>
      </c>
      <c r="AK110" s="627">
        <v>6160</v>
      </c>
      <c r="AL110" s="627" t="s">
        <v>651</v>
      </c>
      <c r="AM110" s="627" t="s">
        <v>425</v>
      </c>
      <c r="AN110" s="627">
        <v>0</v>
      </c>
      <c r="AO110" s="627">
        <v>0</v>
      </c>
      <c r="AP110" s="627">
        <v>0</v>
      </c>
      <c r="AQ110" s="627">
        <v>0</v>
      </c>
      <c r="AR110" s="627">
        <v>0</v>
      </c>
      <c r="AS110" s="627">
        <v>0</v>
      </c>
      <c r="AT110" s="627">
        <v>0</v>
      </c>
      <c r="AU110" s="627">
        <v>0</v>
      </c>
      <c r="AV110" s="627">
        <v>0</v>
      </c>
      <c r="AW110" s="627">
        <v>0</v>
      </c>
      <c r="AX110" s="627">
        <v>6720649</v>
      </c>
      <c r="AY110" s="627">
        <v>6623881</v>
      </c>
      <c r="AZ110" s="627">
        <v>3620603</v>
      </c>
      <c r="BA110" s="627">
        <v>317282</v>
      </c>
      <c r="BB110" s="627">
        <v>95.582999999999998</v>
      </c>
      <c r="BC110" s="627">
        <v>0</v>
      </c>
      <c r="BD110" s="627">
        <v>0</v>
      </c>
      <c r="BE110" s="627">
        <v>0</v>
      </c>
      <c r="BF110" s="627">
        <v>0</v>
      </c>
      <c r="BG110" s="627">
        <v>5936023</v>
      </c>
      <c r="BH110" s="627">
        <v>0</v>
      </c>
      <c r="BI110" s="627">
        <v>0</v>
      </c>
      <c r="BJ110" s="627">
        <v>0</v>
      </c>
      <c r="BK110" s="627">
        <v>12</v>
      </c>
      <c r="BL110" s="627">
        <v>0</v>
      </c>
      <c r="BM110" s="627">
        <v>0</v>
      </c>
      <c r="BN110" s="627">
        <v>0</v>
      </c>
      <c r="BO110" s="627">
        <v>0</v>
      </c>
      <c r="BP110" s="627">
        <v>0</v>
      </c>
      <c r="BQ110" s="627">
        <v>0</v>
      </c>
      <c r="BR110" s="627">
        <v>678</v>
      </c>
      <c r="BS110" s="627">
        <v>0</v>
      </c>
      <c r="BT110" s="627">
        <v>0</v>
      </c>
      <c r="BU110" s="627">
        <v>0</v>
      </c>
      <c r="BV110" s="627">
        <v>0</v>
      </c>
      <c r="BW110" s="627">
        <v>0</v>
      </c>
      <c r="BX110" s="627">
        <v>0</v>
      </c>
      <c r="BY110" s="627">
        <v>0</v>
      </c>
      <c r="BZ110" s="627">
        <v>0</v>
      </c>
      <c r="CA110" s="627">
        <v>0</v>
      </c>
      <c r="CB110" s="627">
        <v>0</v>
      </c>
      <c r="CC110" s="627">
        <v>0</v>
      </c>
      <c r="CD110" s="627">
        <v>0</v>
      </c>
      <c r="CE110" s="627">
        <v>0</v>
      </c>
      <c r="CF110" s="627">
        <v>0</v>
      </c>
      <c r="CG110" s="627">
        <v>0</v>
      </c>
      <c r="CH110" s="627">
        <v>0</v>
      </c>
      <c r="CI110" s="627">
        <v>98172</v>
      </c>
      <c r="CJ110" s="627">
        <v>0</v>
      </c>
      <c r="CK110" s="627">
        <v>4</v>
      </c>
      <c r="CL110" s="627">
        <v>0</v>
      </c>
      <c r="CM110" s="627">
        <v>0</v>
      </c>
      <c r="CN110" s="627">
        <v>0</v>
      </c>
      <c r="CO110" s="627">
        <v>0</v>
      </c>
      <c r="CP110" s="627">
        <v>1</v>
      </c>
      <c r="CQ110" s="627">
        <v>0</v>
      </c>
      <c r="CR110" s="627">
        <v>3.4170000000000003</v>
      </c>
      <c r="CS110" s="627">
        <v>763.44</v>
      </c>
      <c r="CT110" s="627">
        <v>0</v>
      </c>
      <c r="CU110" s="627">
        <v>0</v>
      </c>
      <c r="CV110" s="627">
        <v>0</v>
      </c>
      <c r="CW110" s="627">
        <v>0</v>
      </c>
      <c r="CX110" s="627">
        <v>0</v>
      </c>
      <c r="CY110" s="627">
        <v>0</v>
      </c>
      <c r="CZ110" s="627">
        <v>0</v>
      </c>
      <c r="DA110" s="627">
        <v>0</v>
      </c>
      <c r="DB110" s="627">
        <v>0</v>
      </c>
      <c r="DC110" s="627">
        <v>3601711</v>
      </c>
      <c r="DD110" s="627">
        <v>0</v>
      </c>
      <c r="DE110" s="627">
        <v>0</v>
      </c>
      <c r="DF110" s="627">
        <v>1010317</v>
      </c>
      <c r="DG110" s="627">
        <v>1010317</v>
      </c>
      <c r="DH110" s="627">
        <v>164.01300000000001</v>
      </c>
      <c r="DI110" s="627">
        <v>0</v>
      </c>
      <c r="DJ110" s="627">
        <v>0</v>
      </c>
      <c r="DK110" s="627">
        <v>0</v>
      </c>
      <c r="DL110" s="627">
        <v>2478</v>
      </c>
      <c r="DM110" s="627">
        <v>0</v>
      </c>
      <c r="DN110" s="627">
        <v>470872</v>
      </c>
      <c r="DO110" s="627">
        <v>1404</v>
      </c>
      <c r="DP110" s="627">
        <v>0</v>
      </c>
      <c r="DQ110" s="627">
        <v>0</v>
      </c>
      <c r="DR110" s="627">
        <v>0</v>
      </c>
      <c r="DS110" s="627">
        <v>0</v>
      </c>
      <c r="DT110" s="627">
        <v>0</v>
      </c>
      <c r="DU110" s="627">
        <v>0</v>
      </c>
      <c r="DV110" s="627">
        <v>0</v>
      </c>
      <c r="DW110" s="627">
        <v>0</v>
      </c>
      <c r="DX110" s="627">
        <v>0</v>
      </c>
      <c r="DY110" s="627">
        <v>0</v>
      </c>
      <c r="DZ110" s="627">
        <v>0</v>
      </c>
      <c r="EA110" s="627">
        <v>0</v>
      </c>
      <c r="EB110" s="627">
        <v>0</v>
      </c>
      <c r="EC110" s="627">
        <v>0</v>
      </c>
      <c r="ED110" s="627">
        <v>6.0430000000000001</v>
      </c>
      <c r="EE110" s="627">
        <v>42809</v>
      </c>
      <c r="EF110" s="627">
        <v>0</v>
      </c>
      <c r="EG110" s="627">
        <v>0</v>
      </c>
      <c r="EH110" s="627">
        <v>0.04</v>
      </c>
      <c r="EI110" s="627">
        <v>370395</v>
      </c>
      <c r="EJ110" s="627">
        <v>0</v>
      </c>
      <c r="EK110" s="627">
        <v>0</v>
      </c>
      <c r="EL110" s="627">
        <v>17.391000000000002</v>
      </c>
      <c r="EM110" s="627">
        <v>0</v>
      </c>
      <c r="EN110" s="627">
        <v>1.411</v>
      </c>
      <c r="EO110" s="627">
        <v>0.72300000000000009</v>
      </c>
      <c r="EP110" s="627">
        <v>0</v>
      </c>
      <c r="EQ110" s="627">
        <v>0</v>
      </c>
      <c r="ER110" s="627">
        <v>19.565000000000001</v>
      </c>
      <c r="ES110" s="627">
        <v>0</v>
      </c>
      <c r="ET110" s="627">
        <v>60.129000000000005</v>
      </c>
      <c r="EU110" s="627">
        <v>0</v>
      </c>
      <c r="EV110" s="627">
        <v>0</v>
      </c>
      <c r="EW110" s="627">
        <v>0</v>
      </c>
      <c r="EX110" s="627">
        <v>0</v>
      </c>
      <c r="EY110" s="627">
        <v>0</v>
      </c>
      <c r="EZ110" s="627">
        <v>0</v>
      </c>
      <c r="FA110" s="627">
        <v>5621081</v>
      </c>
      <c r="FB110" s="627">
        <v>0</v>
      </c>
      <c r="FC110" s="627">
        <v>5936959</v>
      </c>
      <c r="FD110" s="627">
        <v>0</v>
      </c>
      <c r="FE110" s="627">
        <v>0</v>
      </c>
      <c r="FF110" s="627">
        <v>854765</v>
      </c>
      <c r="FG110" s="627">
        <v>148035</v>
      </c>
      <c r="FH110" s="627">
        <v>7.0280999999999996E-2</v>
      </c>
      <c r="FI110" s="627">
        <v>3.1172999999999999E-2</v>
      </c>
      <c r="FJ110" s="627">
        <v>0</v>
      </c>
      <c r="FK110" s="627">
        <v>0</v>
      </c>
      <c r="FL110" s="627">
        <v>963.64</v>
      </c>
      <c r="FM110" s="627">
        <v>7037931</v>
      </c>
      <c r="FN110" s="627">
        <v>0</v>
      </c>
      <c r="FO110" s="627">
        <v>0</v>
      </c>
      <c r="FP110" s="627">
        <v>2340</v>
      </c>
      <c r="FQ110" s="627">
        <v>0</v>
      </c>
      <c r="FR110" s="627">
        <v>2340</v>
      </c>
      <c r="FS110" s="627">
        <v>2340</v>
      </c>
      <c r="FT110" s="627">
        <v>0</v>
      </c>
      <c r="FU110" s="627">
        <v>0</v>
      </c>
      <c r="FV110" s="627">
        <v>0</v>
      </c>
      <c r="FW110" s="627">
        <v>0</v>
      </c>
      <c r="FX110" s="627">
        <v>0</v>
      </c>
      <c r="FY110" s="627">
        <v>0</v>
      </c>
      <c r="FZ110" s="627">
        <v>0</v>
      </c>
      <c r="GA110" s="627">
        <v>0</v>
      </c>
      <c r="GB110" s="627">
        <v>0</v>
      </c>
      <c r="GC110" s="627">
        <v>0</v>
      </c>
      <c r="GD110" s="627">
        <v>0</v>
      </c>
      <c r="GE110" s="627">
        <v>0</v>
      </c>
      <c r="GF110" s="627">
        <v>0</v>
      </c>
      <c r="GG110" s="627">
        <v>0</v>
      </c>
      <c r="GH110" s="627">
        <v>0</v>
      </c>
      <c r="GI110" s="627">
        <v>0</v>
      </c>
      <c r="GJ110" s="627">
        <v>0</v>
      </c>
      <c r="GK110" s="627">
        <v>0</v>
      </c>
      <c r="GL110" s="627">
        <v>0</v>
      </c>
      <c r="GM110" s="627">
        <v>0</v>
      </c>
      <c r="GN110" s="627">
        <v>0</v>
      </c>
      <c r="GO110" s="627">
        <v>0</v>
      </c>
      <c r="GP110" s="627">
        <v>0</v>
      </c>
      <c r="GQ110" s="627">
        <v>0</v>
      </c>
      <c r="GR110" s="627">
        <v>6622477</v>
      </c>
      <c r="GS110" s="627">
        <v>0</v>
      </c>
      <c r="GT110" s="627">
        <v>0</v>
      </c>
      <c r="GU110" s="627">
        <v>0</v>
      </c>
      <c r="GV110" s="627">
        <v>0</v>
      </c>
      <c r="GW110" s="627">
        <v>0</v>
      </c>
      <c r="GX110" s="627">
        <v>0</v>
      </c>
      <c r="GY110" s="627">
        <v>0</v>
      </c>
      <c r="GZ110" s="627">
        <v>0</v>
      </c>
      <c r="HA110" s="627">
        <v>0</v>
      </c>
      <c r="HB110" s="627">
        <v>0</v>
      </c>
      <c r="HC110" s="627">
        <v>361151439</v>
      </c>
      <c r="HD110" s="627">
        <v>3.9981999999999997E-2</v>
      </c>
      <c r="HE110" s="627">
        <v>98172</v>
      </c>
      <c r="HF110" s="627">
        <v>0</v>
      </c>
      <c r="HG110" s="627">
        <v>654900</v>
      </c>
      <c r="HH110" s="627">
        <v>14784</v>
      </c>
      <c r="HI110" s="627">
        <v>144095</v>
      </c>
      <c r="HJ110" s="627">
        <v>0</v>
      </c>
      <c r="HK110" s="627">
        <v>36138</v>
      </c>
      <c r="HL110" s="627">
        <v>0</v>
      </c>
      <c r="HM110" s="627">
        <v>0</v>
      </c>
      <c r="HN110" s="627">
        <v>0</v>
      </c>
      <c r="HO110" s="627">
        <v>0</v>
      </c>
      <c r="HP110" s="627">
        <v>0</v>
      </c>
      <c r="HQ110" s="627">
        <v>0</v>
      </c>
      <c r="HR110" s="627">
        <v>0</v>
      </c>
      <c r="HS110" s="627">
        <v>0</v>
      </c>
      <c r="HT110" s="627">
        <v>5619677</v>
      </c>
      <c r="HU110" s="627">
        <v>148035</v>
      </c>
      <c r="HV110" s="627">
        <v>0</v>
      </c>
      <c r="HW110" s="627">
        <v>0</v>
      </c>
      <c r="HX110" s="627">
        <v>0</v>
      </c>
      <c r="HY110" s="627">
        <v>39</v>
      </c>
      <c r="HZ110" s="627">
        <v>65</v>
      </c>
      <c r="IA110" s="627">
        <v>87</v>
      </c>
      <c r="IB110" s="627">
        <v>126</v>
      </c>
      <c r="IC110" s="627">
        <v>309</v>
      </c>
      <c r="ID110" s="627">
        <v>626</v>
      </c>
      <c r="IE110" s="627">
        <v>0</v>
      </c>
      <c r="IF110" s="627">
        <v>0</v>
      </c>
      <c r="IG110" s="627">
        <v>0</v>
      </c>
      <c r="IH110" s="627">
        <v>24</v>
      </c>
      <c r="II110" s="627">
        <v>233.92000000000002</v>
      </c>
      <c r="IJ110" s="627">
        <v>0</v>
      </c>
      <c r="IK110" s="627">
        <v>2.9250000000000003</v>
      </c>
      <c r="IL110" s="627">
        <v>0</v>
      </c>
      <c r="IM110" s="627">
        <v>0</v>
      </c>
      <c r="IN110" s="627">
        <v>0</v>
      </c>
      <c r="IO110" s="627">
        <v>0</v>
      </c>
      <c r="IP110" s="627">
        <v>0</v>
      </c>
      <c r="IQ110" s="627">
        <v>0</v>
      </c>
      <c r="IR110" s="627">
        <v>2.9250000000000003</v>
      </c>
      <c r="IS110" s="627">
        <v>1802</v>
      </c>
      <c r="IT110" s="627">
        <v>0</v>
      </c>
      <c r="IU110" s="627">
        <v>0</v>
      </c>
      <c r="IV110" s="627">
        <v>0</v>
      </c>
      <c r="IW110" s="627">
        <v>0</v>
      </c>
      <c r="IX110" s="627">
        <v>6160</v>
      </c>
      <c r="IY110" s="627">
        <v>0</v>
      </c>
      <c r="IZ110" s="627">
        <v>0</v>
      </c>
      <c r="JA110" s="627">
        <v>0</v>
      </c>
      <c r="JB110" s="627">
        <v>0</v>
      </c>
      <c r="JC110" s="627">
        <v>0</v>
      </c>
      <c r="JD110" s="627">
        <v>0</v>
      </c>
      <c r="JE110" s="627">
        <v>0</v>
      </c>
      <c r="JF110" s="627">
        <v>0</v>
      </c>
      <c r="JG110" s="627">
        <v>0</v>
      </c>
      <c r="JH110" s="627">
        <v>0</v>
      </c>
      <c r="JI110" s="627">
        <v>0</v>
      </c>
      <c r="JJ110" s="627">
        <v>0</v>
      </c>
      <c r="JK110" s="627">
        <v>0</v>
      </c>
      <c r="JL110" s="627">
        <v>0</v>
      </c>
      <c r="JM110" s="627">
        <v>0</v>
      </c>
      <c r="JN110" s="627">
        <v>0</v>
      </c>
      <c r="JO110" s="627">
        <v>32469</v>
      </c>
      <c r="JP110" s="627">
        <v>0</v>
      </c>
      <c r="JQ110" s="627">
        <v>0</v>
      </c>
      <c r="JR110" s="627">
        <v>0</v>
      </c>
      <c r="JS110" s="627">
        <v>0</v>
      </c>
      <c r="JT110" s="627">
        <v>0</v>
      </c>
      <c r="JU110" s="627">
        <v>0</v>
      </c>
      <c r="JV110" s="627">
        <v>0</v>
      </c>
      <c r="JW110" s="627">
        <v>0</v>
      </c>
      <c r="JX110" s="627">
        <v>0</v>
      </c>
      <c r="JY110" s="627">
        <v>0</v>
      </c>
      <c r="JZ110" s="627">
        <v>0</v>
      </c>
      <c r="KA110" s="627">
        <v>0</v>
      </c>
      <c r="KB110" s="627">
        <v>0</v>
      </c>
      <c r="KC110" s="627">
        <v>0</v>
      </c>
      <c r="KD110" s="627">
        <v>0</v>
      </c>
      <c r="KE110" s="627">
        <v>0</v>
      </c>
      <c r="KF110" s="627">
        <v>7262</v>
      </c>
      <c r="KG110" s="627">
        <v>0</v>
      </c>
      <c r="KH110" s="627">
        <v>0</v>
      </c>
      <c r="KI110" s="627">
        <v>6622477</v>
      </c>
      <c r="KJ110" s="627">
        <v>0</v>
      </c>
      <c r="KK110" s="627">
        <v>5</v>
      </c>
      <c r="KL110" s="627">
        <v>19</v>
      </c>
      <c r="KM110" s="627">
        <v>3080</v>
      </c>
      <c r="KN110" s="627">
        <v>11704</v>
      </c>
      <c r="KO110" s="627">
        <v>0</v>
      </c>
      <c r="KP110" s="627">
        <v>0</v>
      </c>
      <c r="KQ110" s="627">
        <v>6622477</v>
      </c>
      <c r="KR110" s="627">
        <v>0</v>
      </c>
      <c r="KS110" s="627">
        <v>0</v>
      </c>
      <c r="KT110" s="627">
        <v>0</v>
      </c>
      <c r="KU110" s="627">
        <v>0</v>
      </c>
      <c r="KV110" s="627">
        <v>0</v>
      </c>
      <c r="KW110" s="627">
        <v>0</v>
      </c>
      <c r="KX110" s="627">
        <v>0</v>
      </c>
      <c r="KY110" s="627">
        <v>0</v>
      </c>
      <c r="KZ110" s="627">
        <v>0</v>
      </c>
      <c r="LA110" s="627">
        <v>0</v>
      </c>
      <c r="LB110" s="627">
        <v>0</v>
      </c>
      <c r="LC110" s="627">
        <v>0</v>
      </c>
      <c r="LD110" s="627">
        <v>0</v>
      </c>
      <c r="LE110" s="627">
        <v>0</v>
      </c>
      <c r="LF110" s="627">
        <v>0</v>
      </c>
    </row>
    <row r="111" spans="1:318" x14ac:dyDescent="0.25">
      <c r="A111" s="627">
        <v>42602</v>
      </c>
      <c r="B111" s="627">
        <v>227816</v>
      </c>
      <c r="D111" s="627">
        <v>9</v>
      </c>
      <c r="E111" s="627">
        <v>2024</v>
      </c>
      <c r="F111" s="627">
        <v>6160</v>
      </c>
      <c r="G111" s="627">
        <v>0</v>
      </c>
      <c r="H111" s="627">
        <v>4098.4110000000001</v>
      </c>
      <c r="I111" s="627">
        <v>3843.672</v>
      </c>
      <c r="J111" s="627">
        <v>3843.672</v>
      </c>
      <c r="K111" s="627">
        <v>4098.4110000000001</v>
      </c>
      <c r="L111" s="627">
        <v>0</v>
      </c>
      <c r="M111" s="627">
        <v>6160</v>
      </c>
      <c r="N111" s="627">
        <v>0</v>
      </c>
      <c r="O111" s="627">
        <v>0</v>
      </c>
      <c r="P111" s="627">
        <v>0</v>
      </c>
      <c r="Q111" s="627">
        <v>4093.7220000000002</v>
      </c>
      <c r="R111" s="627">
        <v>0</v>
      </c>
      <c r="S111" s="627">
        <v>1698420</v>
      </c>
      <c r="T111" s="627">
        <v>414.88400000000001</v>
      </c>
      <c r="U111" s="627">
        <v>0</v>
      </c>
      <c r="V111" s="627">
        <v>881411</v>
      </c>
      <c r="W111" s="627">
        <v>2097.6590000000001</v>
      </c>
      <c r="X111" s="627">
        <v>1292158</v>
      </c>
      <c r="Y111" s="627">
        <v>1292158</v>
      </c>
      <c r="Z111" s="627">
        <v>0</v>
      </c>
      <c r="AA111" s="627">
        <v>0</v>
      </c>
      <c r="AB111" s="627">
        <v>0</v>
      </c>
      <c r="AC111" s="627">
        <v>0</v>
      </c>
      <c r="AD111" s="627">
        <v>0</v>
      </c>
      <c r="AE111" s="627" t="s">
        <v>314</v>
      </c>
      <c r="AF111" s="627">
        <v>0</v>
      </c>
      <c r="AG111" s="627">
        <v>0</v>
      </c>
      <c r="AH111" s="627">
        <v>0</v>
      </c>
      <c r="AI111" s="627">
        <v>0</v>
      </c>
      <c r="AJ111" s="627">
        <v>0</v>
      </c>
      <c r="AK111" s="627">
        <v>6160</v>
      </c>
      <c r="AL111" s="627" t="s">
        <v>651</v>
      </c>
      <c r="AM111" s="627" t="s">
        <v>760</v>
      </c>
      <c r="AN111" s="627">
        <v>0</v>
      </c>
      <c r="AO111" s="627">
        <v>0</v>
      </c>
      <c r="AP111" s="627">
        <v>0</v>
      </c>
      <c r="AQ111" s="627">
        <v>0</v>
      </c>
      <c r="AR111" s="627">
        <v>0</v>
      </c>
      <c r="AS111" s="627">
        <v>0</v>
      </c>
      <c r="AT111" s="627">
        <v>0</v>
      </c>
      <c r="AU111" s="627">
        <v>0</v>
      </c>
      <c r="AV111" s="627">
        <v>0</v>
      </c>
      <c r="AW111" s="627">
        <v>0</v>
      </c>
      <c r="AX111" s="627">
        <v>45549351</v>
      </c>
      <c r="AY111" s="627">
        <v>44901905</v>
      </c>
      <c r="AZ111" s="627">
        <v>22932286</v>
      </c>
      <c r="BA111" s="627">
        <v>1698420</v>
      </c>
      <c r="BB111" s="627">
        <v>83</v>
      </c>
      <c r="BC111" s="627">
        <v>87308</v>
      </c>
      <c r="BD111" s="627">
        <v>86752</v>
      </c>
      <c r="BE111" s="627">
        <v>204.92100000000002</v>
      </c>
      <c r="BF111" s="627">
        <v>557</v>
      </c>
      <c r="BG111" s="627">
        <v>39777115</v>
      </c>
      <c r="BH111" s="627">
        <v>0</v>
      </c>
      <c r="BI111" s="627">
        <v>0</v>
      </c>
      <c r="BJ111" s="627">
        <v>0</v>
      </c>
      <c r="BK111" s="627">
        <v>12</v>
      </c>
      <c r="BL111" s="627">
        <v>0</v>
      </c>
      <c r="BM111" s="627">
        <v>0</v>
      </c>
      <c r="BN111" s="627">
        <v>0</v>
      </c>
      <c r="BO111" s="627">
        <v>0</v>
      </c>
      <c r="BP111" s="627">
        <v>0</v>
      </c>
      <c r="BQ111" s="627">
        <v>0</v>
      </c>
      <c r="BR111" s="627">
        <v>178</v>
      </c>
      <c r="BS111" s="627">
        <v>0</v>
      </c>
      <c r="BT111" s="627">
        <v>0</v>
      </c>
      <c r="BU111" s="627">
        <v>0</v>
      </c>
      <c r="BV111" s="627">
        <v>0</v>
      </c>
      <c r="BW111" s="627">
        <v>0</v>
      </c>
      <c r="BX111" s="627">
        <v>0</v>
      </c>
      <c r="BY111" s="627">
        <v>0</v>
      </c>
      <c r="BZ111" s="627">
        <v>0</v>
      </c>
      <c r="CA111" s="627">
        <v>0</v>
      </c>
      <c r="CB111" s="627">
        <v>0</v>
      </c>
      <c r="CC111" s="627">
        <v>0</v>
      </c>
      <c r="CD111" s="627">
        <v>0</v>
      </c>
      <c r="CE111" s="627">
        <v>0</v>
      </c>
      <c r="CF111" s="627">
        <v>0</v>
      </c>
      <c r="CG111" s="627">
        <v>0</v>
      </c>
      <c r="CH111" s="627">
        <v>0</v>
      </c>
      <c r="CI111" s="627">
        <v>655453</v>
      </c>
      <c r="CJ111" s="627">
        <v>0</v>
      </c>
      <c r="CK111" s="627">
        <v>4</v>
      </c>
      <c r="CL111" s="627">
        <v>0</v>
      </c>
      <c r="CM111" s="627">
        <v>0</v>
      </c>
      <c r="CN111" s="627">
        <v>0</v>
      </c>
      <c r="CO111" s="627">
        <v>0</v>
      </c>
      <c r="CP111" s="627">
        <v>1</v>
      </c>
      <c r="CQ111" s="627">
        <v>0.14100000000000001</v>
      </c>
      <c r="CR111" s="627">
        <v>0</v>
      </c>
      <c r="CS111" s="627">
        <v>4078.9700000000003</v>
      </c>
      <c r="CT111" s="627">
        <v>0</v>
      </c>
      <c r="CU111" s="627">
        <v>0</v>
      </c>
      <c r="CV111" s="627">
        <v>0</v>
      </c>
      <c r="CW111" s="627">
        <v>0</v>
      </c>
      <c r="CX111" s="627">
        <v>0</v>
      </c>
      <c r="CY111" s="627">
        <v>0</v>
      </c>
      <c r="CZ111" s="627">
        <v>0</v>
      </c>
      <c r="DA111" s="627">
        <v>0</v>
      </c>
      <c r="DB111" s="627">
        <v>0</v>
      </c>
      <c r="DC111" s="627">
        <v>23622967</v>
      </c>
      <c r="DD111" s="627">
        <v>0</v>
      </c>
      <c r="DE111" s="627">
        <v>0</v>
      </c>
      <c r="DF111" s="627">
        <v>4248475</v>
      </c>
      <c r="DG111" s="627">
        <v>4250568</v>
      </c>
      <c r="DH111" s="627">
        <v>689.68799999999999</v>
      </c>
      <c r="DI111" s="627">
        <v>0</v>
      </c>
      <c r="DJ111" s="627">
        <v>2093</v>
      </c>
      <c r="DK111" s="627">
        <v>0</v>
      </c>
      <c r="DL111" s="627">
        <v>0</v>
      </c>
      <c r="DM111" s="627">
        <v>0</v>
      </c>
      <c r="DN111" s="627">
        <v>2240110</v>
      </c>
      <c r="DO111" s="627">
        <v>7451</v>
      </c>
      <c r="DP111" s="627">
        <v>0</v>
      </c>
      <c r="DQ111" s="627">
        <v>0</v>
      </c>
      <c r="DR111" s="627">
        <v>0</v>
      </c>
      <c r="DS111" s="627">
        <v>0</v>
      </c>
      <c r="DT111" s="627">
        <v>0</v>
      </c>
      <c r="DU111" s="627">
        <v>0</v>
      </c>
      <c r="DV111" s="627">
        <v>0</v>
      </c>
      <c r="DW111" s="627">
        <v>0</v>
      </c>
      <c r="DX111" s="627">
        <v>0</v>
      </c>
      <c r="DY111" s="627">
        <v>0</v>
      </c>
      <c r="DZ111" s="627">
        <v>0</v>
      </c>
      <c r="EA111" s="627">
        <v>0</v>
      </c>
      <c r="EB111" s="627">
        <v>0</v>
      </c>
      <c r="EC111" s="627">
        <v>0</v>
      </c>
      <c r="ED111" s="627">
        <v>74.44</v>
      </c>
      <c r="EE111" s="627">
        <v>527333</v>
      </c>
      <c r="EF111" s="627">
        <v>0</v>
      </c>
      <c r="EG111" s="627">
        <v>0</v>
      </c>
      <c r="EH111" s="627">
        <v>0</v>
      </c>
      <c r="EI111" s="627">
        <v>1666175</v>
      </c>
      <c r="EJ111" s="627">
        <v>0</v>
      </c>
      <c r="EK111" s="627">
        <v>0</v>
      </c>
      <c r="EL111" s="627">
        <v>69.433000000000007</v>
      </c>
      <c r="EM111" s="627">
        <v>0</v>
      </c>
      <c r="EN111" s="627">
        <v>9.7780000000000005</v>
      </c>
      <c r="EO111" s="627">
        <v>6.57</v>
      </c>
      <c r="EP111" s="627">
        <v>0</v>
      </c>
      <c r="EQ111" s="627">
        <v>0</v>
      </c>
      <c r="ER111" s="627">
        <v>85.781000000000006</v>
      </c>
      <c r="ES111" s="627">
        <v>0</v>
      </c>
      <c r="ET111" s="627">
        <v>270.483</v>
      </c>
      <c r="EU111" s="627">
        <v>0</v>
      </c>
      <c r="EV111" s="627">
        <v>0</v>
      </c>
      <c r="EW111" s="627">
        <v>0</v>
      </c>
      <c r="EX111" s="627">
        <v>0</v>
      </c>
      <c r="EY111" s="627">
        <v>0</v>
      </c>
      <c r="EZ111" s="627">
        <v>0</v>
      </c>
      <c r="FA111" s="627">
        <v>38182174</v>
      </c>
      <c r="FB111" s="627">
        <v>0</v>
      </c>
      <c r="FC111" s="627">
        <v>39872587</v>
      </c>
      <c r="FD111" s="627">
        <v>0</v>
      </c>
      <c r="FE111" s="627">
        <v>0</v>
      </c>
      <c r="FF111" s="627">
        <v>5727753</v>
      </c>
      <c r="FG111" s="627">
        <v>991978</v>
      </c>
      <c r="FH111" s="627">
        <v>7.0280999999999996E-2</v>
      </c>
      <c r="FI111" s="627">
        <v>3.1172999999999999E-2</v>
      </c>
      <c r="FJ111" s="627">
        <v>0</v>
      </c>
      <c r="FK111" s="627">
        <v>0</v>
      </c>
      <c r="FL111" s="627">
        <v>6457.3240000000005</v>
      </c>
      <c r="FM111" s="627">
        <v>47247771</v>
      </c>
      <c r="FN111" s="627">
        <v>0</v>
      </c>
      <c r="FO111" s="627">
        <v>0</v>
      </c>
      <c r="FP111" s="627">
        <v>84355</v>
      </c>
      <c r="FQ111" s="627">
        <v>0</v>
      </c>
      <c r="FR111" s="627">
        <v>84355</v>
      </c>
      <c r="FS111" s="627">
        <v>84355</v>
      </c>
      <c r="FT111" s="627">
        <v>0</v>
      </c>
      <c r="FU111" s="627">
        <v>0</v>
      </c>
      <c r="FV111" s="627">
        <v>0</v>
      </c>
      <c r="FW111" s="627">
        <v>0</v>
      </c>
      <c r="FX111" s="627">
        <v>0</v>
      </c>
      <c r="FY111" s="627">
        <v>0</v>
      </c>
      <c r="FZ111" s="627">
        <v>0</v>
      </c>
      <c r="GA111" s="627">
        <v>0</v>
      </c>
      <c r="GB111" s="627">
        <v>0</v>
      </c>
      <c r="GC111" s="627">
        <v>1690004</v>
      </c>
      <c r="GD111" s="627">
        <v>1690004</v>
      </c>
      <c r="GE111" s="627">
        <v>168.958</v>
      </c>
      <c r="GF111" s="627">
        <v>0</v>
      </c>
      <c r="GG111" s="627">
        <v>0</v>
      </c>
      <c r="GH111" s="627">
        <v>0</v>
      </c>
      <c r="GI111" s="627">
        <v>0</v>
      </c>
      <c r="GJ111" s="627">
        <v>0</v>
      </c>
      <c r="GK111" s="627">
        <v>0</v>
      </c>
      <c r="GL111" s="627">
        <v>0</v>
      </c>
      <c r="GM111" s="627">
        <v>0</v>
      </c>
      <c r="GN111" s="627">
        <v>0</v>
      </c>
      <c r="GO111" s="627">
        <v>0</v>
      </c>
      <c r="GP111" s="627">
        <v>0</v>
      </c>
      <c r="GQ111" s="627">
        <v>0</v>
      </c>
      <c r="GR111" s="627">
        <v>44893898</v>
      </c>
      <c r="GS111" s="627">
        <v>0</v>
      </c>
      <c r="GT111" s="627">
        <v>0</v>
      </c>
      <c r="GU111" s="627">
        <v>0</v>
      </c>
      <c r="GV111" s="627">
        <v>0</v>
      </c>
      <c r="GW111" s="627">
        <v>0</v>
      </c>
      <c r="GX111" s="627">
        <v>0</v>
      </c>
      <c r="GY111" s="627">
        <v>0</v>
      </c>
      <c r="GZ111" s="627">
        <v>0</v>
      </c>
      <c r="HA111" s="627">
        <v>0</v>
      </c>
      <c r="HB111" s="627">
        <v>0</v>
      </c>
      <c r="HC111" s="627">
        <v>361151439</v>
      </c>
      <c r="HD111" s="627">
        <v>3.9981999999999997E-2</v>
      </c>
      <c r="HE111" s="627">
        <v>655453</v>
      </c>
      <c r="HF111" s="627">
        <v>0</v>
      </c>
      <c r="HG111" s="627">
        <v>4235727</v>
      </c>
      <c r="HH111" s="627">
        <v>79464</v>
      </c>
      <c r="HI111" s="627">
        <v>928558</v>
      </c>
      <c r="HJ111" s="627">
        <v>0</v>
      </c>
      <c r="HK111" s="627">
        <v>145984</v>
      </c>
      <c r="HL111" s="627">
        <v>11424</v>
      </c>
      <c r="HM111" s="627">
        <v>7700</v>
      </c>
      <c r="HN111" s="627">
        <v>174000</v>
      </c>
      <c r="HO111" s="627">
        <v>1022816</v>
      </c>
      <c r="HP111" s="627">
        <v>0</v>
      </c>
      <c r="HQ111" s="627">
        <v>0</v>
      </c>
      <c r="HR111" s="627">
        <v>0</v>
      </c>
      <c r="HS111" s="627">
        <v>0</v>
      </c>
      <c r="HT111" s="627">
        <v>38174167</v>
      </c>
      <c r="HU111" s="627">
        <v>991978</v>
      </c>
      <c r="HV111" s="627">
        <v>0</v>
      </c>
      <c r="HW111" s="627">
        <v>0</v>
      </c>
      <c r="HX111" s="627">
        <v>0</v>
      </c>
      <c r="HY111" s="627">
        <v>543</v>
      </c>
      <c r="HZ111" s="627">
        <v>683</v>
      </c>
      <c r="IA111" s="627">
        <v>477</v>
      </c>
      <c r="IB111" s="627">
        <v>524</v>
      </c>
      <c r="IC111" s="627">
        <v>540</v>
      </c>
      <c r="ID111" s="627">
        <v>2767</v>
      </c>
      <c r="IE111" s="627">
        <v>0</v>
      </c>
      <c r="IF111" s="627">
        <v>0</v>
      </c>
      <c r="IG111" s="627">
        <v>0</v>
      </c>
      <c r="IH111" s="627">
        <v>129</v>
      </c>
      <c r="II111" s="627">
        <v>1507.3990000000001</v>
      </c>
      <c r="IJ111" s="627">
        <v>0</v>
      </c>
      <c r="IK111" s="627">
        <v>2097.6590000000001</v>
      </c>
      <c r="IL111" s="627">
        <v>0</v>
      </c>
      <c r="IM111" s="627">
        <v>24</v>
      </c>
      <c r="IN111" s="627">
        <v>18</v>
      </c>
      <c r="IO111" s="627">
        <v>0</v>
      </c>
      <c r="IP111" s="627">
        <v>42</v>
      </c>
      <c r="IQ111" s="627">
        <v>0</v>
      </c>
      <c r="IR111" s="627">
        <v>2097.6590000000001</v>
      </c>
      <c r="IS111" s="627">
        <v>1292158</v>
      </c>
      <c r="IT111" s="627">
        <v>0</v>
      </c>
      <c r="IU111" s="627">
        <v>120000</v>
      </c>
      <c r="IV111" s="627">
        <v>54000</v>
      </c>
      <c r="IW111" s="627">
        <v>0</v>
      </c>
      <c r="IX111" s="627">
        <v>6160</v>
      </c>
      <c r="IY111" s="627">
        <v>0</v>
      </c>
      <c r="IZ111" s="627">
        <v>0</v>
      </c>
      <c r="JA111" s="627">
        <v>0</v>
      </c>
      <c r="JB111" s="627">
        <v>0</v>
      </c>
      <c r="JC111" s="627">
        <v>15</v>
      </c>
      <c r="JD111" s="627">
        <v>260633</v>
      </c>
      <c r="JE111" s="627">
        <v>50</v>
      </c>
      <c r="JF111" s="627">
        <v>471608</v>
      </c>
      <c r="JG111" s="627">
        <v>56</v>
      </c>
      <c r="JH111" s="627">
        <v>253075</v>
      </c>
      <c r="JI111" s="627">
        <v>37500</v>
      </c>
      <c r="JJ111" s="627">
        <v>0</v>
      </c>
      <c r="JK111" s="627">
        <v>0</v>
      </c>
      <c r="JL111" s="627">
        <v>0</v>
      </c>
      <c r="JM111" s="627">
        <v>0</v>
      </c>
      <c r="JN111" s="627">
        <v>0</v>
      </c>
      <c r="JO111" s="627">
        <v>32469</v>
      </c>
      <c r="JP111" s="627">
        <v>0</v>
      </c>
      <c r="JQ111" s="627">
        <v>82.366</v>
      </c>
      <c r="JR111" s="627">
        <v>86.591999999999999</v>
      </c>
      <c r="JS111" s="627">
        <v>0</v>
      </c>
      <c r="JT111" s="627">
        <v>765622</v>
      </c>
      <c r="JU111" s="627">
        <v>924382</v>
      </c>
      <c r="JV111" s="627">
        <v>88362</v>
      </c>
      <c r="JW111" s="627">
        <v>0</v>
      </c>
      <c r="JX111" s="627">
        <v>0</v>
      </c>
      <c r="JY111" s="627">
        <v>0</v>
      </c>
      <c r="JZ111" s="627">
        <v>0</v>
      </c>
      <c r="KA111" s="627">
        <v>0</v>
      </c>
      <c r="KB111" s="627">
        <v>0</v>
      </c>
      <c r="KC111" s="627">
        <v>0</v>
      </c>
      <c r="KD111" s="627">
        <v>0</v>
      </c>
      <c r="KE111" s="627">
        <v>88396</v>
      </c>
      <c r="KF111" s="627">
        <v>7262</v>
      </c>
      <c r="KG111" s="627">
        <v>0</v>
      </c>
      <c r="KH111" s="627">
        <v>0</v>
      </c>
      <c r="KI111" s="627">
        <v>44893898</v>
      </c>
      <c r="KJ111" s="627">
        <v>0</v>
      </c>
      <c r="KK111" s="627">
        <v>63</v>
      </c>
      <c r="KL111" s="627">
        <v>66</v>
      </c>
      <c r="KM111" s="627">
        <v>38808</v>
      </c>
      <c r="KN111" s="627">
        <v>40656</v>
      </c>
      <c r="KO111" s="627">
        <v>0</v>
      </c>
      <c r="KP111" s="627">
        <v>0</v>
      </c>
      <c r="KQ111" s="627">
        <v>44893898</v>
      </c>
      <c r="KR111" s="627">
        <v>0</v>
      </c>
      <c r="KS111" s="627">
        <v>0</v>
      </c>
      <c r="KT111" s="627">
        <v>0</v>
      </c>
      <c r="KU111" s="627">
        <v>0</v>
      </c>
      <c r="KV111" s="627">
        <v>0</v>
      </c>
      <c r="KW111" s="627">
        <v>0</v>
      </c>
      <c r="KX111" s="627">
        <v>0</v>
      </c>
      <c r="KY111" s="627">
        <v>0</v>
      </c>
      <c r="KZ111" s="627">
        <v>0</v>
      </c>
      <c r="LA111" s="627">
        <v>0</v>
      </c>
      <c r="LB111" s="627">
        <v>0</v>
      </c>
      <c r="LC111" s="627">
        <v>0</v>
      </c>
      <c r="LD111" s="627">
        <v>0</v>
      </c>
      <c r="LE111" s="627">
        <v>0</v>
      </c>
      <c r="LF111" s="627">
        <v>0</v>
      </c>
    </row>
    <row r="112" spans="1:318" x14ac:dyDescent="0.25">
      <c r="A112" s="627">
        <v>42602</v>
      </c>
      <c r="B112" s="627">
        <v>220817</v>
      </c>
      <c r="D112" s="627">
        <v>9</v>
      </c>
      <c r="E112" s="627">
        <v>2024</v>
      </c>
      <c r="F112" s="627">
        <v>6160</v>
      </c>
      <c r="G112" s="627">
        <v>0</v>
      </c>
      <c r="H112" s="627">
        <v>2561.7850000000003</v>
      </c>
      <c r="I112" s="627">
        <v>2347.0450000000001</v>
      </c>
      <c r="J112" s="627">
        <v>2347.0450000000001</v>
      </c>
      <c r="K112" s="627">
        <v>2561.7850000000003</v>
      </c>
      <c r="L112" s="627">
        <v>0</v>
      </c>
      <c r="M112" s="627">
        <v>6160</v>
      </c>
      <c r="N112" s="627">
        <v>0</v>
      </c>
      <c r="O112" s="627">
        <v>0</v>
      </c>
      <c r="P112" s="627">
        <v>0</v>
      </c>
      <c r="Q112" s="627">
        <v>2581.6020000000003</v>
      </c>
      <c r="R112" s="627">
        <v>0</v>
      </c>
      <c r="S112" s="627">
        <v>1071065</v>
      </c>
      <c r="T112" s="627">
        <v>414.88400000000001</v>
      </c>
      <c r="U112" s="627">
        <v>0</v>
      </c>
      <c r="V112" s="627">
        <v>555839</v>
      </c>
      <c r="W112" s="627">
        <v>377.42</v>
      </c>
      <c r="X112" s="627">
        <v>232491</v>
      </c>
      <c r="Y112" s="627">
        <v>232491</v>
      </c>
      <c r="Z112" s="627">
        <v>0</v>
      </c>
      <c r="AA112" s="627">
        <v>0</v>
      </c>
      <c r="AB112" s="627">
        <v>0</v>
      </c>
      <c r="AC112" s="627">
        <v>0</v>
      </c>
      <c r="AD112" s="627">
        <v>0</v>
      </c>
      <c r="AE112" s="627" t="s">
        <v>314</v>
      </c>
      <c r="AF112" s="627">
        <v>0</v>
      </c>
      <c r="AG112" s="627">
        <v>0</v>
      </c>
      <c r="AH112" s="627">
        <v>0</v>
      </c>
      <c r="AI112" s="627">
        <v>0</v>
      </c>
      <c r="AJ112" s="627">
        <v>0</v>
      </c>
      <c r="AK112" s="627">
        <v>6160</v>
      </c>
      <c r="AL112" s="627" t="s">
        <v>651</v>
      </c>
      <c r="AM112" s="627" t="s">
        <v>362</v>
      </c>
      <c r="AN112" s="627">
        <v>0</v>
      </c>
      <c r="AO112" s="627">
        <v>0</v>
      </c>
      <c r="AP112" s="627">
        <v>0</v>
      </c>
      <c r="AQ112" s="627">
        <v>0</v>
      </c>
      <c r="AR112" s="627">
        <v>0</v>
      </c>
      <c r="AS112" s="627">
        <v>0</v>
      </c>
      <c r="AT112" s="627">
        <v>0</v>
      </c>
      <c r="AU112" s="627">
        <v>0</v>
      </c>
      <c r="AV112" s="627">
        <v>0</v>
      </c>
      <c r="AW112" s="627">
        <v>0</v>
      </c>
      <c r="AX112" s="627">
        <v>27057625</v>
      </c>
      <c r="AY112" s="627">
        <v>26652067</v>
      </c>
      <c r="AZ112" s="627">
        <v>13647261</v>
      </c>
      <c r="BA112" s="627">
        <v>1071065</v>
      </c>
      <c r="BB112" s="627">
        <v>0</v>
      </c>
      <c r="BC112" s="627">
        <v>53683</v>
      </c>
      <c r="BD112" s="627">
        <v>53341</v>
      </c>
      <c r="BE112" s="627">
        <v>126</v>
      </c>
      <c r="BF112" s="627">
        <v>342</v>
      </c>
      <c r="BG112" s="627">
        <v>23698329</v>
      </c>
      <c r="BH112" s="627">
        <v>0</v>
      </c>
      <c r="BI112" s="627">
        <v>0</v>
      </c>
      <c r="BJ112" s="627">
        <v>0</v>
      </c>
      <c r="BK112" s="627">
        <v>12</v>
      </c>
      <c r="BL112" s="627">
        <v>0</v>
      </c>
      <c r="BM112" s="627">
        <v>0</v>
      </c>
      <c r="BN112" s="627">
        <v>0</v>
      </c>
      <c r="BO112" s="627">
        <v>0</v>
      </c>
      <c r="BP112" s="627">
        <v>0</v>
      </c>
      <c r="BQ112" s="627">
        <v>0</v>
      </c>
      <c r="BR112" s="627">
        <v>409</v>
      </c>
      <c r="BS112" s="627">
        <v>0</v>
      </c>
      <c r="BT112" s="627">
        <v>0</v>
      </c>
      <c r="BU112" s="627">
        <v>0</v>
      </c>
      <c r="BV112" s="627">
        <v>0</v>
      </c>
      <c r="BW112" s="627">
        <v>0</v>
      </c>
      <c r="BX112" s="627">
        <v>0</v>
      </c>
      <c r="BY112" s="627">
        <v>0</v>
      </c>
      <c r="BZ112" s="627">
        <v>0</v>
      </c>
      <c r="CA112" s="627">
        <v>0</v>
      </c>
      <c r="CB112" s="627">
        <v>0</v>
      </c>
      <c r="CC112" s="627">
        <v>0</v>
      </c>
      <c r="CD112" s="627">
        <v>0</v>
      </c>
      <c r="CE112" s="627">
        <v>0</v>
      </c>
      <c r="CF112" s="627">
        <v>0</v>
      </c>
      <c r="CG112" s="627">
        <v>0</v>
      </c>
      <c r="CH112" s="627">
        <v>0</v>
      </c>
      <c r="CI112" s="627">
        <v>409703</v>
      </c>
      <c r="CJ112" s="627">
        <v>0</v>
      </c>
      <c r="CK112" s="627">
        <v>4</v>
      </c>
      <c r="CL112" s="627">
        <v>0</v>
      </c>
      <c r="CM112" s="627">
        <v>0</v>
      </c>
      <c r="CN112" s="627">
        <v>0</v>
      </c>
      <c r="CO112" s="627">
        <v>0</v>
      </c>
      <c r="CP112" s="627">
        <v>1</v>
      </c>
      <c r="CQ112" s="627">
        <v>0</v>
      </c>
      <c r="CR112" s="627">
        <v>0</v>
      </c>
      <c r="CS112" s="627">
        <v>2578.29</v>
      </c>
      <c r="CT112" s="627">
        <v>0</v>
      </c>
      <c r="CU112" s="627">
        <v>0</v>
      </c>
      <c r="CV112" s="627">
        <v>0</v>
      </c>
      <c r="CW112" s="627">
        <v>0</v>
      </c>
      <c r="CX112" s="627">
        <v>0</v>
      </c>
      <c r="CY112" s="627">
        <v>0</v>
      </c>
      <c r="CZ112" s="627">
        <v>0</v>
      </c>
      <c r="DA112" s="627">
        <v>0</v>
      </c>
      <c r="DB112" s="627">
        <v>0</v>
      </c>
      <c r="DC112" s="627">
        <v>14264013</v>
      </c>
      <c r="DD112" s="627">
        <v>0</v>
      </c>
      <c r="DE112" s="627">
        <v>0</v>
      </c>
      <c r="DF112" s="627">
        <v>2765147</v>
      </c>
      <c r="DG112" s="627">
        <v>2765147</v>
      </c>
      <c r="DH112" s="627">
        <v>448.88800000000003</v>
      </c>
      <c r="DI112" s="627">
        <v>0</v>
      </c>
      <c r="DJ112" s="627">
        <v>0</v>
      </c>
      <c r="DK112" s="627">
        <v>0</v>
      </c>
      <c r="DL112" s="627">
        <v>0</v>
      </c>
      <c r="DM112" s="627">
        <v>0</v>
      </c>
      <c r="DN112" s="627">
        <v>1309545</v>
      </c>
      <c r="DO112" s="627">
        <v>3803</v>
      </c>
      <c r="DP112" s="627">
        <v>0</v>
      </c>
      <c r="DQ112" s="627">
        <v>0</v>
      </c>
      <c r="DR112" s="627">
        <v>0</v>
      </c>
      <c r="DS112" s="627">
        <v>0</v>
      </c>
      <c r="DT112" s="627">
        <v>0</v>
      </c>
      <c r="DU112" s="627">
        <v>0</v>
      </c>
      <c r="DV112" s="627">
        <v>0</v>
      </c>
      <c r="DW112" s="627">
        <v>0</v>
      </c>
      <c r="DX112" s="627">
        <v>0</v>
      </c>
      <c r="DY112" s="627">
        <v>0</v>
      </c>
      <c r="DZ112" s="627">
        <v>0</v>
      </c>
      <c r="EA112" s="627">
        <v>0</v>
      </c>
      <c r="EB112" s="627">
        <v>0</v>
      </c>
      <c r="EC112" s="627">
        <v>0</v>
      </c>
      <c r="ED112" s="627">
        <v>22.643000000000001</v>
      </c>
      <c r="EE112" s="627">
        <v>160403</v>
      </c>
      <c r="EF112" s="627">
        <v>0</v>
      </c>
      <c r="EG112" s="627">
        <v>0</v>
      </c>
      <c r="EH112" s="627">
        <v>0</v>
      </c>
      <c r="EI112" s="627">
        <v>959161</v>
      </c>
      <c r="EJ112" s="627">
        <v>0</v>
      </c>
      <c r="EK112" s="627">
        <v>0</v>
      </c>
      <c r="EL112" s="627">
        <v>42.655999999999999</v>
      </c>
      <c r="EM112" s="627">
        <v>0</v>
      </c>
      <c r="EN112" s="627">
        <v>3.835</v>
      </c>
      <c r="EO112" s="627">
        <v>3.2470000000000003</v>
      </c>
      <c r="EP112" s="627">
        <v>0</v>
      </c>
      <c r="EQ112" s="627">
        <v>0</v>
      </c>
      <c r="ER112" s="627">
        <v>49.738</v>
      </c>
      <c r="ES112" s="627">
        <v>0</v>
      </c>
      <c r="ET112" s="627">
        <v>155.708</v>
      </c>
      <c r="EU112" s="627">
        <v>0</v>
      </c>
      <c r="EV112" s="627">
        <v>0</v>
      </c>
      <c r="EW112" s="627">
        <v>0</v>
      </c>
      <c r="EX112" s="627">
        <v>0</v>
      </c>
      <c r="EY112" s="627">
        <v>0</v>
      </c>
      <c r="EZ112" s="627">
        <v>0</v>
      </c>
      <c r="FA112" s="627">
        <v>22648600</v>
      </c>
      <c r="FB112" s="627">
        <v>0</v>
      </c>
      <c r="FC112" s="627">
        <v>23715520</v>
      </c>
      <c r="FD112" s="627">
        <v>0</v>
      </c>
      <c r="FE112" s="627">
        <v>0</v>
      </c>
      <c r="FF112" s="627">
        <v>3412469</v>
      </c>
      <c r="FG112" s="627">
        <v>590998</v>
      </c>
      <c r="FH112" s="627">
        <v>7.0280999999999996E-2</v>
      </c>
      <c r="FI112" s="627">
        <v>3.1172999999999999E-2</v>
      </c>
      <c r="FJ112" s="627">
        <v>0</v>
      </c>
      <c r="FK112" s="627">
        <v>0</v>
      </c>
      <c r="FL112" s="627">
        <v>3847.1310000000003</v>
      </c>
      <c r="FM112" s="627">
        <v>28128690</v>
      </c>
      <c r="FN112" s="627">
        <v>0</v>
      </c>
      <c r="FO112" s="627">
        <v>0</v>
      </c>
      <c r="FP112" s="627">
        <v>8600</v>
      </c>
      <c r="FQ112" s="627">
        <v>0</v>
      </c>
      <c r="FR112" s="627">
        <v>8600</v>
      </c>
      <c r="FS112" s="627">
        <v>8600</v>
      </c>
      <c r="FT112" s="627">
        <v>0</v>
      </c>
      <c r="FU112" s="627">
        <v>0</v>
      </c>
      <c r="FV112" s="627">
        <v>0</v>
      </c>
      <c r="FW112" s="627">
        <v>0</v>
      </c>
      <c r="FX112" s="627">
        <v>0</v>
      </c>
      <c r="FY112" s="627">
        <v>0</v>
      </c>
      <c r="FZ112" s="627">
        <v>0</v>
      </c>
      <c r="GA112" s="627">
        <v>0</v>
      </c>
      <c r="GB112" s="627">
        <v>0</v>
      </c>
      <c r="GC112" s="627">
        <v>1596211</v>
      </c>
      <c r="GD112" s="627">
        <v>1596211</v>
      </c>
      <c r="GE112" s="627">
        <v>165.00200000000001</v>
      </c>
      <c r="GF112" s="627">
        <v>0</v>
      </c>
      <c r="GG112" s="627">
        <v>0</v>
      </c>
      <c r="GH112" s="627">
        <v>0</v>
      </c>
      <c r="GI112" s="627">
        <v>0</v>
      </c>
      <c r="GJ112" s="627">
        <v>0</v>
      </c>
      <c r="GK112" s="627">
        <v>0</v>
      </c>
      <c r="GL112" s="627">
        <v>0</v>
      </c>
      <c r="GM112" s="627">
        <v>0</v>
      </c>
      <c r="GN112" s="627">
        <v>0</v>
      </c>
      <c r="GO112" s="627">
        <v>0</v>
      </c>
      <c r="GP112" s="627">
        <v>0</v>
      </c>
      <c r="GQ112" s="627">
        <v>0</v>
      </c>
      <c r="GR112" s="627">
        <v>26647922</v>
      </c>
      <c r="GS112" s="627">
        <v>0</v>
      </c>
      <c r="GT112" s="627">
        <v>0</v>
      </c>
      <c r="GU112" s="627">
        <v>0</v>
      </c>
      <c r="GV112" s="627">
        <v>0</v>
      </c>
      <c r="GW112" s="627">
        <v>0</v>
      </c>
      <c r="GX112" s="627">
        <v>0</v>
      </c>
      <c r="GY112" s="627">
        <v>0</v>
      </c>
      <c r="GZ112" s="627">
        <v>0</v>
      </c>
      <c r="HA112" s="627">
        <v>0</v>
      </c>
      <c r="HB112" s="627">
        <v>0</v>
      </c>
      <c r="HC112" s="627">
        <v>361151439</v>
      </c>
      <c r="HD112" s="627">
        <v>3.9981999999999997E-2</v>
      </c>
      <c r="HE112" s="627">
        <v>409703</v>
      </c>
      <c r="HF112" s="627">
        <v>0</v>
      </c>
      <c r="HG112" s="627">
        <v>2586444</v>
      </c>
      <c r="HH112" s="627">
        <v>64680</v>
      </c>
      <c r="HI112" s="627">
        <v>439650</v>
      </c>
      <c r="HJ112" s="627">
        <v>0</v>
      </c>
      <c r="HK112" s="627">
        <v>130618</v>
      </c>
      <c r="HL112" s="627">
        <v>7409</v>
      </c>
      <c r="HM112" s="627">
        <v>5327</v>
      </c>
      <c r="HN112" s="627">
        <v>5000</v>
      </c>
      <c r="HO112" s="627">
        <v>247044</v>
      </c>
      <c r="HP112" s="627">
        <v>0</v>
      </c>
      <c r="HQ112" s="627">
        <v>0</v>
      </c>
      <c r="HR112" s="627">
        <v>0</v>
      </c>
      <c r="HS112" s="627">
        <v>0</v>
      </c>
      <c r="HT112" s="627">
        <v>22644455</v>
      </c>
      <c r="HU112" s="627">
        <v>590998</v>
      </c>
      <c r="HV112" s="627">
        <v>0</v>
      </c>
      <c r="HW112" s="627">
        <v>0</v>
      </c>
      <c r="HX112" s="627">
        <v>0</v>
      </c>
      <c r="HY112" s="627">
        <v>410</v>
      </c>
      <c r="HZ112" s="627">
        <v>461</v>
      </c>
      <c r="IA112" s="627">
        <v>312</v>
      </c>
      <c r="IB112" s="627">
        <v>350</v>
      </c>
      <c r="IC112" s="627">
        <v>281</v>
      </c>
      <c r="ID112" s="627">
        <v>1814</v>
      </c>
      <c r="IE112" s="627">
        <v>0</v>
      </c>
      <c r="IF112" s="627">
        <v>0</v>
      </c>
      <c r="IG112" s="627">
        <v>0</v>
      </c>
      <c r="IH112" s="627">
        <v>105</v>
      </c>
      <c r="II112" s="627">
        <v>713.71699999999998</v>
      </c>
      <c r="IJ112" s="627">
        <v>0</v>
      </c>
      <c r="IK112" s="627">
        <v>377.42</v>
      </c>
      <c r="IL112" s="627">
        <v>0</v>
      </c>
      <c r="IM112" s="627">
        <v>1</v>
      </c>
      <c r="IN112" s="627">
        <v>0</v>
      </c>
      <c r="IO112" s="627">
        <v>0</v>
      </c>
      <c r="IP112" s="627">
        <v>1</v>
      </c>
      <c r="IQ112" s="627">
        <v>0</v>
      </c>
      <c r="IR112" s="627">
        <v>377.42</v>
      </c>
      <c r="IS112" s="627">
        <v>232491</v>
      </c>
      <c r="IT112" s="627">
        <v>0</v>
      </c>
      <c r="IU112" s="627">
        <v>5000</v>
      </c>
      <c r="IV112" s="627">
        <v>0</v>
      </c>
      <c r="IW112" s="627">
        <v>0</v>
      </c>
      <c r="IX112" s="627">
        <v>6160</v>
      </c>
      <c r="IY112" s="627">
        <v>0</v>
      </c>
      <c r="IZ112" s="627">
        <v>0</v>
      </c>
      <c r="JA112" s="627">
        <v>0</v>
      </c>
      <c r="JB112" s="627">
        <v>0</v>
      </c>
      <c r="JC112" s="627">
        <v>2</v>
      </c>
      <c r="JD112" s="627">
        <v>33118</v>
      </c>
      <c r="JE112" s="627">
        <v>12</v>
      </c>
      <c r="JF112" s="627">
        <v>123750</v>
      </c>
      <c r="JG112" s="627">
        <v>13</v>
      </c>
      <c r="JH112" s="627">
        <v>69176</v>
      </c>
      <c r="JI112" s="627">
        <v>21000</v>
      </c>
      <c r="JJ112" s="627">
        <v>0</v>
      </c>
      <c r="JK112" s="627">
        <v>0</v>
      </c>
      <c r="JL112" s="627">
        <v>0</v>
      </c>
      <c r="JM112" s="627">
        <v>0</v>
      </c>
      <c r="JN112" s="627">
        <v>0</v>
      </c>
      <c r="JO112" s="627">
        <v>32469</v>
      </c>
      <c r="JP112" s="627">
        <v>0</v>
      </c>
      <c r="JQ112" s="627">
        <v>119.72800000000001</v>
      </c>
      <c r="JR112" s="627">
        <v>45.273000000000003</v>
      </c>
      <c r="JS112" s="627">
        <v>0</v>
      </c>
      <c r="JT112" s="627">
        <v>1112915</v>
      </c>
      <c r="JU112" s="627">
        <v>483296</v>
      </c>
      <c r="JV112" s="627">
        <v>54331</v>
      </c>
      <c r="JW112" s="627">
        <v>0</v>
      </c>
      <c r="JX112" s="627">
        <v>0</v>
      </c>
      <c r="JY112" s="627">
        <v>0</v>
      </c>
      <c r="JZ112" s="627">
        <v>0</v>
      </c>
      <c r="KA112" s="627">
        <v>0</v>
      </c>
      <c r="KB112" s="627">
        <v>0</v>
      </c>
      <c r="KC112" s="627">
        <v>0</v>
      </c>
      <c r="KD112" s="627">
        <v>0</v>
      </c>
      <c r="KE112" s="627">
        <v>54331</v>
      </c>
      <c r="KF112" s="627">
        <v>7262</v>
      </c>
      <c r="KG112" s="627">
        <v>0</v>
      </c>
      <c r="KH112" s="627">
        <v>0</v>
      </c>
      <c r="KI112" s="627">
        <v>26647922</v>
      </c>
      <c r="KJ112" s="627">
        <v>0</v>
      </c>
      <c r="KK112" s="627">
        <v>30</v>
      </c>
      <c r="KL112" s="627">
        <v>75</v>
      </c>
      <c r="KM112" s="627">
        <v>18480</v>
      </c>
      <c r="KN112" s="627">
        <v>46200</v>
      </c>
      <c r="KO112" s="627">
        <v>0</v>
      </c>
      <c r="KP112" s="627">
        <v>0</v>
      </c>
      <c r="KQ112" s="627">
        <v>26647922</v>
      </c>
      <c r="KR112" s="627">
        <v>0</v>
      </c>
      <c r="KS112" s="627">
        <v>0</v>
      </c>
      <c r="KT112" s="627">
        <v>0</v>
      </c>
      <c r="KU112" s="627">
        <v>0</v>
      </c>
      <c r="KV112" s="627">
        <v>0</v>
      </c>
      <c r="KW112" s="627">
        <v>0</v>
      </c>
      <c r="KX112" s="627">
        <v>0</v>
      </c>
      <c r="KY112" s="627">
        <v>0</v>
      </c>
      <c r="KZ112" s="627">
        <v>0</v>
      </c>
      <c r="LA112" s="627">
        <v>0</v>
      </c>
      <c r="LB112" s="627">
        <v>0</v>
      </c>
      <c r="LC112" s="627">
        <v>0</v>
      </c>
      <c r="LD112" s="627">
        <v>0</v>
      </c>
      <c r="LE112" s="627">
        <v>0</v>
      </c>
      <c r="LF112" s="627">
        <v>0</v>
      </c>
    </row>
    <row r="113" spans="1:318" x14ac:dyDescent="0.25">
      <c r="A113" s="627">
        <v>42602</v>
      </c>
      <c r="B113" s="627">
        <v>227817</v>
      </c>
      <c r="D113" s="627">
        <v>9</v>
      </c>
      <c r="E113" s="627">
        <v>2024</v>
      </c>
      <c r="F113" s="627">
        <v>6160</v>
      </c>
      <c r="G113" s="627">
        <v>0</v>
      </c>
      <c r="H113" s="627">
        <v>411.74700000000001</v>
      </c>
      <c r="I113" s="627">
        <v>380.99600000000004</v>
      </c>
      <c r="J113" s="627">
        <v>380.99600000000004</v>
      </c>
      <c r="K113" s="627">
        <v>411.74700000000001</v>
      </c>
      <c r="L113" s="627">
        <v>0</v>
      </c>
      <c r="M113" s="627">
        <v>6160</v>
      </c>
      <c r="N113" s="627">
        <v>0</v>
      </c>
      <c r="O113" s="627">
        <v>0</v>
      </c>
      <c r="P113" s="627">
        <v>0</v>
      </c>
      <c r="Q113" s="627">
        <v>426.22300000000001</v>
      </c>
      <c r="R113" s="627">
        <v>0</v>
      </c>
      <c r="S113" s="627">
        <v>176833</v>
      </c>
      <c r="T113" s="627">
        <v>414.88400000000001</v>
      </c>
      <c r="U113" s="627">
        <v>0</v>
      </c>
      <c r="V113" s="627">
        <v>91769</v>
      </c>
      <c r="W113" s="627">
        <v>230.571</v>
      </c>
      <c r="X113" s="627">
        <v>142032</v>
      </c>
      <c r="Y113" s="627">
        <v>142032</v>
      </c>
      <c r="Z113" s="627">
        <v>0</v>
      </c>
      <c r="AA113" s="627">
        <v>0</v>
      </c>
      <c r="AB113" s="627">
        <v>0</v>
      </c>
      <c r="AC113" s="627">
        <v>0</v>
      </c>
      <c r="AD113" s="627">
        <v>0</v>
      </c>
      <c r="AE113" s="627" t="s">
        <v>314</v>
      </c>
      <c r="AF113" s="627">
        <v>0</v>
      </c>
      <c r="AG113" s="627">
        <v>0</v>
      </c>
      <c r="AH113" s="627">
        <v>0</v>
      </c>
      <c r="AI113" s="627">
        <v>0</v>
      </c>
      <c r="AJ113" s="627">
        <v>0</v>
      </c>
      <c r="AK113" s="627">
        <v>6160</v>
      </c>
      <c r="AL113" s="627" t="s">
        <v>651</v>
      </c>
      <c r="AM113" s="627" t="s">
        <v>80</v>
      </c>
      <c r="AN113" s="627">
        <v>0</v>
      </c>
      <c r="AO113" s="627">
        <v>0</v>
      </c>
      <c r="AP113" s="627">
        <v>0</v>
      </c>
      <c r="AQ113" s="627">
        <v>0</v>
      </c>
      <c r="AR113" s="627">
        <v>0</v>
      </c>
      <c r="AS113" s="627">
        <v>0</v>
      </c>
      <c r="AT113" s="627">
        <v>0</v>
      </c>
      <c r="AU113" s="627">
        <v>0</v>
      </c>
      <c r="AV113" s="627">
        <v>0</v>
      </c>
      <c r="AW113" s="627">
        <v>0</v>
      </c>
      <c r="AX113" s="627">
        <v>5030336</v>
      </c>
      <c r="AY113" s="627">
        <v>4966468</v>
      </c>
      <c r="AZ113" s="627">
        <v>2543686</v>
      </c>
      <c r="BA113" s="627">
        <v>176833</v>
      </c>
      <c r="BB113" s="627">
        <v>17.833000000000002</v>
      </c>
      <c r="BC113" s="627">
        <v>6817</v>
      </c>
      <c r="BD113" s="627">
        <v>6773</v>
      </c>
      <c r="BE113" s="627">
        <v>16</v>
      </c>
      <c r="BF113" s="627">
        <v>43</v>
      </c>
      <c r="BG113" s="627">
        <v>4398040</v>
      </c>
      <c r="BH113" s="627">
        <v>0</v>
      </c>
      <c r="BI113" s="627">
        <v>0</v>
      </c>
      <c r="BJ113" s="627">
        <v>0</v>
      </c>
      <c r="BK113" s="627">
        <v>12</v>
      </c>
      <c r="BL113" s="627">
        <v>0</v>
      </c>
      <c r="BM113" s="627">
        <v>0</v>
      </c>
      <c r="BN113" s="627">
        <v>0</v>
      </c>
      <c r="BO113" s="627">
        <v>0</v>
      </c>
      <c r="BP113" s="627">
        <v>0</v>
      </c>
      <c r="BQ113" s="627">
        <v>0</v>
      </c>
      <c r="BR113" s="627">
        <v>711</v>
      </c>
      <c r="BS113" s="627">
        <v>0</v>
      </c>
      <c r="BT113" s="627">
        <v>0</v>
      </c>
      <c r="BU113" s="627">
        <v>0</v>
      </c>
      <c r="BV113" s="627">
        <v>0</v>
      </c>
      <c r="BW113" s="627">
        <v>0</v>
      </c>
      <c r="BX113" s="627">
        <v>0</v>
      </c>
      <c r="BY113" s="627">
        <v>0</v>
      </c>
      <c r="BZ113" s="627">
        <v>0</v>
      </c>
      <c r="CA113" s="627">
        <v>0</v>
      </c>
      <c r="CB113" s="627">
        <v>0</v>
      </c>
      <c r="CC113" s="627">
        <v>0</v>
      </c>
      <c r="CD113" s="627">
        <v>0</v>
      </c>
      <c r="CE113" s="627">
        <v>0</v>
      </c>
      <c r="CF113" s="627">
        <v>0</v>
      </c>
      <c r="CG113" s="627">
        <v>0</v>
      </c>
      <c r="CH113" s="627">
        <v>0</v>
      </c>
      <c r="CI113" s="627">
        <v>65850</v>
      </c>
      <c r="CJ113" s="627">
        <v>0</v>
      </c>
      <c r="CK113" s="627">
        <v>4</v>
      </c>
      <c r="CL113" s="627">
        <v>0</v>
      </c>
      <c r="CM113" s="627">
        <v>0</v>
      </c>
      <c r="CN113" s="627">
        <v>0</v>
      </c>
      <c r="CO113" s="627">
        <v>0</v>
      </c>
      <c r="CP113" s="627">
        <v>1</v>
      </c>
      <c r="CQ113" s="627">
        <v>0</v>
      </c>
      <c r="CR113" s="627">
        <v>0.66700000000000004</v>
      </c>
      <c r="CS113" s="627">
        <v>429.12100000000004</v>
      </c>
      <c r="CT113" s="627">
        <v>0</v>
      </c>
      <c r="CU113" s="627">
        <v>0</v>
      </c>
      <c r="CV113" s="627">
        <v>0</v>
      </c>
      <c r="CW113" s="627">
        <v>0</v>
      </c>
      <c r="CX113" s="627">
        <v>0</v>
      </c>
      <c r="CY113" s="627">
        <v>0</v>
      </c>
      <c r="CZ113" s="627">
        <v>0</v>
      </c>
      <c r="DA113" s="627">
        <v>0</v>
      </c>
      <c r="DB113" s="627">
        <v>0</v>
      </c>
      <c r="DC113" s="627">
        <v>2346935</v>
      </c>
      <c r="DD113" s="627">
        <v>0</v>
      </c>
      <c r="DE113" s="627">
        <v>0</v>
      </c>
      <c r="DF113" s="627">
        <v>596827</v>
      </c>
      <c r="DG113" s="627">
        <v>596827</v>
      </c>
      <c r="DH113" s="627">
        <v>96.888000000000005</v>
      </c>
      <c r="DI113" s="627">
        <v>0</v>
      </c>
      <c r="DJ113" s="627">
        <v>0</v>
      </c>
      <c r="DK113" s="627">
        <v>0</v>
      </c>
      <c r="DL113" s="627">
        <v>3004</v>
      </c>
      <c r="DM113" s="627">
        <v>0</v>
      </c>
      <c r="DN113" s="627">
        <v>568564</v>
      </c>
      <c r="DO113" s="627">
        <v>1938</v>
      </c>
      <c r="DP113" s="627">
        <v>0</v>
      </c>
      <c r="DQ113" s="627">
        <v>0</v>
      </c>
      <c r="DR113" s="627">
        <v>0</v>
      </c>
      <c r="DS113" s="627">
        <v>0</v>
      </c>
      <c r="DT113" s="627">
        <v>0</v>
      </c>
      <c r="DU113" s="627">
        <v>0</v>
      </c>
      <c r="DV113" s="627">
        <v>0</v>
      </c>
      <c r="DW113" s="627">
        <v>0</v>
      </c>
      <c r="DX113" s="627">
        <v>0</v>
      </c>
      <c r="DY113" s="627">
        <v>0</v>
      </c>
      <c r="DZ113" s="627">
        <v>0</v>
      </c>
      <c r="EA113" s="627">
        <v>0</v>
      </c>
      <c r="EB113" s="627">
        <v>0</v>
      </c>
      <c r="EC113" s="627">
        <v>0</v>
      </c>
      <c r="ED113" s="627">
        <v>28.934000000000001</v>
      </c>
      <c r="EE113" s="627">
        <v>204968</v>
      </c>
      <c r="EF113" s="627">
        <v>0</v>
      </c>
      <c r="EG113" s="627">
        <v>0</v>
      </c>
      <c r="EH113" s="627">
        <v>0</v>
      </c>
      <c r="EI113" s="627">
        <v>365534</v>
      </c>
      <c r="EJ113" s="627">
        <v>0</v>
      </c>
      <c r="EK113" s="627">
        <v>0</v>
      </c>
      <c r="EL113" s="627">
        <v>16.673000000000002</v>
      </c>
      <c r="EM113" s="627">
        <v>0</v>
      </c>
      <c r="EN113" s="627">
        <v>1.2570000000000001</v>
      </c>
      <c r="EO113" s="627">
        <v>1.1100000000000001</v>
      </c>
      <c r="EP113" s="627">
        <v>0</v>
      </c>
      <c r="EQ113" s="627">
        <v>0</v>
      </c>
      <c r="ER113" s="627">
        <v>19.04</v>
      </c>
      <c r="ES113" s="627">
        <v>0</v>
      </c>
      <c r="ET113" s="627">
        <v>59.34</v>
      </c>
      <c r="EU113" s="627">
        <v>0</v>
      </c>
      <c r="EV113" s="627">
        <v>0</v>
      </c>
      <c r="EW113" s="627">
        <v>0</v>
      </c>
      <c r="EX113" s="627">
        <v>0</v>
      </c>
      <c r="EY113" s="627">
        <v>0</v>
      </c>
      <c r="EZ113" s="627">
        <v>0</v>
      </c>
      <c r="FA113" s="627">
        <v>4223487</v>
      </c>
      <c r="FB113" s="627">
        <v>0</v>
      </c>
      <c r="FC113" s="627">
        <v>4398338</v>
      </c>
      <c r="FD113" s="627">
        <v>0</v>
      </c>
      <c r="FE113" s="627">
        <v>0</v>
      </c>
      <c r="FF113" s="627">
        <v>633301</v>
      </c>
      <c r="FG113" s="627">
        <v>109680</v>
      </c>
      <c r="FH113" s="627">
        <v>7.0280999999999996E-2</v>
      </c>
      <c r="FI113" s="627">
        <v>3.1172999999999999E-2</v>
      </c>
      <c r="FJ113" s="627">
        <v>0</v>
      </c>
      <c r="FK113" s="627">
        <v>0</v>
      </c>
      <c r="FL113" s="627">
        <v>713.96699999999998</v>
      </c>
      <c r="FM113" s="627">
        <v>5207169</v>
      </c>
      <c r="FN113" s="627">
        <v>0</v>
      </c>
      <c r="FO113" s="627">
        <v>0</v>
      </c>
      <c r="FP113" s="627">
        <v>0</v>
      </c>
      <c r="FQ113" s="627">
        <v>0</v>
      </c>
      <c r="FR113" s="627">
        <v>0</v>
      </c>
      <c r="FS113" s="627">
        <v>0</v>
      </c>
      <c r="FT113" s="627">
        <v>0</v>
      </c>
      <c r="FU113" s="627">
        <v>0</v>
      </c>
      <c r="FV113" s="627">
        <v>0</v>
      </c>
      <c r="FW113" s="627">
        <v>0</v>
      </c>
      <c r="FX113" s="627">
        <v>0</v>
      </c>
      <c r="FY113" s="627">
        <v>0</v>
      </c>
      <c r="FZ113" s="627">
        <v>0</v>
      </c>
      <c r="GA113" s="627">
        <v>0</v>
      </c>
      <c r="GB113" s="627">
        <v>0</v>
      </c>
      <c r="GC113" s="627">
        <v>112840</v>
      </c>
      <c r="GD113" s="627">
        <v>112840</v>
      </c>
      <c r="GE113" s="627">
        <v>11.711</v>
      </c>
      <c r="GF113" s="627">
        <v>0</v>
      </c>
      <c r="GG113" s="627">
        <v>0</v>
      </c>
      <c r="GH113" s="627">
        <v>0</v>
      </c>
      <c r="GI113" s="627">
        <v>0</v>
      </c>
      <c r="GJ113" s="627">
        <v>0</v>
      </c>
      <c r="GK113" s="627">
        <v>0</v>
      </c>
      <c r="GL113" s="627">
        <v>0</v>
      </c>
      <c r="GM113" s="627">
        <v>0</v>
      </c>
      <c r="GN113" s="627">
        <v>0</v>
      </c>
      <c r="GO113" s="627">
        <v>0</v>
      </c>
      <c r="GP113" s="627">
        <v>0</v>
      </c>
      <c r="GQ113" s="627">
        <v>0</v>
      </c>
      <c r="GR113" s="627">
        <v>4964486</v>
      </c>
      <c r="GS113" s="627">
        <v>0</v>
      </c>
      <c r="GT113" s="627">
        <v>0</v>
      </c>
      <c r="GU113" s="627">
        <v>0</v>
      </c>
      <c r="GV113" s="627">
        <v>0</v>
      </c>
      <c r="GW113" s="627">
        <v>0</v>
      </c>
      <c r="GX113" s="627">
        <v>0</v>
      </c>
      <c r="GY113" s="627">
        <v>0</v>
      </c>
      <c r="GZ113" s="627">
        <v>0</v>
      </c>
      <c r="HA113" s="627">
        <v>0</v>
      </c>
      <c r="HB113" s="627">
        <v>0</v>
      </c>
      <c r="HC113" s="627">
        <v>361151439</v>
      </c>
      <c r="HD113" s="627">
        <v>3.9981999999999997E-2</v>
      </c>
      <c r="HE113" s="627">
        <v>65850</v>
      </c>
      <c r="HF113" s="627">
        <v>0</v>
      </c>
      <c r="HG113" s="627">
        <v>419858</v>
      </c>
      <c r="HH113" s="627">
        <v>11088</v>
      </c>
      <c r="HI113" s="627">
        <v>123024</v>
      </c>
      <c r="HJ113" s="627">
        <v>0</v>
      </c>
      <c r="HK113" s="627">
        <v>34117</v>
      </c>
      <c r="HL113" s="627">
        <v>1480</v>
      </c>
      <c r="HM113" s="627">
        <v>800</v>
      </c>
      <c r="HN113" s="627">
        <v>34000</v>
      </c>
      <c r="HO113" s="627">
        <v>0</v>
      </c>
      <c r="HP113" s="627">
        <v>0</v>
      </c>
      <c r="HQ113" s="627">
        <v>0</v>
      </c>
      <c r="HR113" s="627">
        <v>0</v>
      </c>
      <c r="HS113" s="627">
        <v>0</v>
      </c>
      <c r="HT113" s="627">
        <v>4221505</v>
      </c>
      <c r="HU113" s="627">
        <v>109680</v>
      </c>
      <c r="HV113" s="627">
        <v>0</v>
      </c>
      <c r="HW113" s="627">
        <v>0</v>
      </c>
      <c r="HX113" s="627">
        <v>0</v>
      </c>
      <c r="HY113" s="627">
        <v>42</v>
      </c>
      <c r="HZ113" s="627">
        <v>74</v>
      </c>
      <c r="IA113" s="627">
        <v>63</v>
      </c>
      <c r="IB113" s="627">
        <v>115</v>
      </c>
      <c r="IC113" s="627">
        <v>87</v>
      </c>
      <c r="ID113" s="627">
        <v>381</v>
      </c>
      <c r="IE113" s="627">
        <v>0</v>
      </c>
      <c r="IF113" s="627">
        <v>0</v>
      </c>
      <c r="IG113" s="627">
        <v>0</v>
      </c>
      <c r="IH113" s="627">
        <v>18</v>
      </c>
      <c r="II113" s="627">
        <v>199.715</v>
      </c>
      <c r="IJ113" s="627">
        <v>0</v>
      </c>
      <c r="IK113" s="627">
        <v>230.571</v>
      </c>
      <c r="IL113" s="627">
        <v>0</v>
      </c>
      <c r="IM113" s="627">
        <v>5</v>
      </c>
      <c r="IN113" s="627">
        <v>3</v>
      </c>
      <c r="IO113" s="627">
        <v>0</v>
      </c>
      <c r="IP113" s="627">
        <v>8</v>
      </c>
      <c r="IQ113" s="627">
        <v>0</v>
      </c>
      <c r="IR113" s="627">
        <v>230.571</v>
      </c>
      <c r="IS113" s="627">
        <v>142032</v>
      </c>
      <c r="IT113" s="627">
        <v>0</v>
      </c>
      <c r="IU113" s="627">
        <v>25000</v>
      </c>
      <c r="IV113" s="627">
        <v>9000</v>
      </c>
      <c r="IW113" s="627">
        <v>0</v>
      </c>
      <c r="IX113" s="627">
        <v>6160</v>
      </c>
      <c r="IY113" s="627">
        <v>0</v>
      </c>
      <c r="IZ113" s="627">
        <v>0</v>
      </c>
      <c r="JA113" s="627">
        <v>0</v>
      </c>
      <c r="JB113" s="627">
        <v>0</v>
      </c>
      <c r="JC113" s="627">
        <v>0</v>
      </c>
      <c r="JD113" s="627">
        <v>0</v>
      </c>
      <c r="JE113" s="627">
        <v>0</v>
      </c>
      <c r="JF113" s="627">
        <v>0</v>
      </c>
      <c r="JG113" s="627">
        <v>0</v>
      </c>
      <c r="JH113" s="627">
        <v>0</v>
      </c>
      <c r="JI113" s="627">
        <v>0</v>
      </c>
      <c r="JJ113" s="627">
        <v>0</v>
      </c>
      <c r="JK113" s="627">
        <v>0</v>
      </c>
      <c r="JL113" s="627">
        <v>0</v>
      </c>
      <c r="JM113" s="627">
        <v>0</v>
      </c>
      <c r="JN113" s="627">
        <v>0</v>
      </c>
      <c r="JO113" s="627">
        <v>32469</v>
      </c>
      <c r="JP113" s="627">
        <v>0</v>
      </c>
      <c r="JQ113" s="627">
        <v>8.8330000000000002</v>
      </c>
      <c r="JR113" s="627">
        <v>2.879</v>
      </c>
      <c r="JS113" s="627">
        <v>0</v>
      </c>
      <c r="JT113" s="627">
        <v>82106</v>
      </c>
      <c r="JU113" s="627">
        <v>30734</v>
      </c>
      <c r="JV113" s="627">
        <v>6899</v>
      </c>
      <c r="JW113" s="627">
        <v>0</v>
      </c>
      <c r="JX113" s="627">
        <v>0</v>
      </c>
      <c r="JY113" s="627">
        <v>0</v>
      </c>
      <c r="JZ113" s="627">
        <v>0</v>
      </c>
      <c r="KA113" s="627">
        <v>0</v>
      </c>
      <c r="KB113" s="627">
        <v>0</v>
      </c>
      <c r="KC113" s="627">
        <v>0</v>
      </c>
      <c r="KD113" s="627">
        <v>0</v>
      </c>
      <c r="KE113" s="627">
        <v>6899</v>
      </c>
      <c r="KF113" s="627">
        <v>7262</v>
      </c>
      <c r="KG113" s="627">
        <v>0</v>
      </c>
      <c r="KH113" s="627">
        <v>0</v>
      </c>
      <c r="KI113" s="627">
        <v>4964486</v>
      </c>
      <c r="KJ113" s="627">
        <v>0</v>
      </c>
      <c r="KK113" s="627">
        <v>14</v>
      </c>
      <c r="KL113" s="627">
        <v>4</v>
      </c>
      <c r="KM113" s="627">
        <v>8624</v>
      </c>
      <c r="KN113" s="627">
        <v>2464</v>
      </c>
      <c r="KO113" s="627">
        <v>0</v>
      </c>
      <c r="KP113" s="627">
        <v>0</v>
      </c>
      <c r="KQ113" s="627">
        <v>4964486</v>
      </c>
      <c r="KR113" s="627">
        <v>0</v>
      </c>
      <c r="KS113" s="627">
        <v>0</v>
      </c>
      <c r="KT113" s="627">
        <v>0</v>
      </c>
      <c r="KU113" s="627">
        <v>0</v>
      </c>
      <c r="KV113" s="627">
        <v>0</v>
      </c>
      <c r="KW113" s="627">
        <v>0</v>
      </c>
      <c r="KX113" s="627">
        <v>0</v>
      </c>
      <c r="KY113" s="627">
        <v>0</v>
      </c>
      <c r="KZ113" s="627">
        <v>0</v>
      </c>
      <c r="LA113" s="627">
        <v>0</v>
      </c>
      <c r="LB113" s="627">
        <v>0</v>
      </c>
      <c r="LC113" s="627">
        <v>0</v>
      </c>
      <c r="LD113" s="627">
        <v>0</v>
      </c>
      <c r="LE113" s="627">
        <v>0</v>
      </c>
      <c r="LF113" s="627">
        <v>0</v>
      </c>
    </row>
    <row r="114" spans="1:318" x14ac:dyDescent="0.25">
      <c r="A114" s="627">
        <v>42602</v>
      </c>
      <c r="B114" s="627">
        <v>57819</v>
      </c>
      <c r="D114" s="627">
        <v>9</v>
      </c>
      <c r="E114" s="627">
        <v>2024</v>
      </c>
      <c r="F114" s="627">
        <v>6160</v>
      </c>
      <c r="G114" s="627">
        <v>0</v>
      </c>
      <c r="H114" s="627">
        <v>176.16300000000001</v>
      </c>
      <c r="I114" s="627">
        <v>164.19900000000001</v>
      </c>
      <c r="J114" s="627">
        <v>164.19900000000001</v>
      </c>
      <c r="K114" s="627">
        <v>176.16300000000001</v>
      </c>
      <c r="L114" s="627">
        <v>0</v>
      </c>
      <c r="M114" s="627">
        <v>6160</v>
      </c>
      <c r="N114" s="627">
        <v>0</v>
      </c>
      <c r="O114" s="627">
        <v>0</v>
      </c>
      <c r="P114" s="627">
        <v>0</v>
      </c>
      <c r="Q114" s="627">
        <v>161.77800000000002</v>
      </c>
      <c r="R114" s="627">
        <v>0</v>
      </c>
      <c r="S114" s="627">
        <v>67119</v>
      </c>
      <c r="T114" s="627">
        <v>414.88400000000001</v>
      </c>
      <c r="U114" s="627">
        <v>0</v>
      </c>
      <c r="V114" s="627">
        <v>34832</v>
      </c>
      <c r="W114" s="627">
        <v>110.995</v>
      </c>
      <c r="X114" s="627">
        <v>68373</v>
      </c>
      <c r="Y114" s="627">
        <v>68373</v>
      </c>
      <c r="Z114" s="627">
        <v>0</v>
      </c>
      <c r="AA114" s="627">
        <v>0</v>
      </c>
      <c r="AB114" s="627">
        <v>0</v>
      </c>
      <c r="AC114" s="627">
        <v>0</v>
      </c>
      <c r="AD114" s="627">
        <v>0</v>
      </c>
      <c r="AE114" s="627" t="s">
        <v>314</v>
      </c>
      <c r="AF114" s="627">
        <v>0</v>
      </c>
      <c r="AG114" s="627">
        <v>0</v>
      </c>
      <c r="AH114" s="627">
        <v>0</v>
      </c>
      <c r="AI114" s="627">
        <v>0</v>
      </c>
      <c r="AJ114" s="627">
        <v>0</v>
      </c>
      <c r="AK114" s="627">
        <v>6160</v>
      </c>
      <c r="AL114" s="627" t="s">
        <v>651</v>
      </c>
      <c r="AM114" s="627" t="s">
        <v>43</v>
      </c>
      <c r="AN114" s="627">
        <v>0</v>
      </c>
      <c r="AO114" s="627">
        <v>0</v>
      </c>
      <c r="AP114" s="627">
        <v>0</v>
      </c>
      <c r="AQ114" s="627">
        <v>0</v>
      </c>
      <c r="AR114" s="627">
        <v>0</v>
      </c>
      <c r="AS114" s="627">
        <v>0</v>
      </c>
      <c r="AT114" s="627">
        <v>0</v>
      </c>
      <c r="AU114" s="627">
        <v>0</v>
      </c>
      <c r="AV114" s="627">
        <v>0</v>
      </c>
      <c r="AW114" s="627">
        <v>0</v>
      </c>
      <c r="AX114" s="627">
        <v>2005912</v>
      </c>
      <c r="AY114" s="627">
        <v>1978101</v>
      </c>
      <c r="AZ114" s="627">
        <v>1005873</v>
      </c>
      <c r="BA114" s="627">
        <v>67119</v>
      </c>
      <c r="BB114" s="627">
        <v>9</v>
      </c>
      <c r="BC114" s="627">
        <v>0</v>
      </c>
      <c r="BD114" s="627">
        <v>0</v>
      </c>
      <c r="BE114" s="627">
        <v>0</v>
      </c>
      <c r="BF114" s="627">
        <v>0</v>
      </c>
      <c r="BG114" s="627">
        <v>1725954</v>
      </c>
      <c r="BH114" s="627">
        <v>0</v>
      </c>
      <c r="BI114" s="627">
        <v>0</v>
      </c>
      <c r="BJ114" s="627">
        <v>0</v>
      </c>
      <c r="BK114" s="627">
        <v>12</v>
      </c>
      <c r="BL114" s="627">
        <v>0</v>
      </c>
      <c r="BM114" s="627">
        <v>0</v>
      </c>
      <c r="BN114" s="627">
        <v>0</v>
      </c>
      <c r="BO114" s="627">
        <v>0</v>
      </c>
      <c r="BP114" s="627">
        <v>0</v>
      </c>
      <c r="BQ114" s="627">
        <v>0</v>
      </c>
      <c r="BR114" s="627">
        <v>745</v>
      </c>
      <c r="BS114" s="627">
        <v>0</v>
      </c>
      <c r="BT114" s="627">
        <v>0</v>
      </c>
      <c r="BU114" s="627">
        <v>0</v>
      </c>
      <c r="BV114" s="627">
        <v>0</v>
      </c>
      <c r="BW114" s="627">
        <v>0</v>
      </c>
      <c r="BX114" s="627">
        <v>0</v>
      </c>
      <c r="BY114" s="627">
        <v>0</v>
      </c>
      <c r="BZ114" s="627">
        <v>0</v>
      </c>
      <c r="CA114" s="627">
        <v>0</v>
      </c>
      <c r="CB114" s="627">
        <v>0</v>
      </c>
      <c r="CC114" s="627">
        <v>0</v>
      </c>
      <c r="CD114" s="627">
        <v>0</v>
      </c>
      <c r="CE114" s="627">
        <v>0</v>
      </c>
      <c r="CF114" s="627">
        <v>0</v>
      </c>
      <c r="CG114" s="627">
        <v>0</v>
      </c>
      <c r="CH114" s="627">
        <v>0</v>
      </c>
      <c r="CI114" s="627">
        <v>28174</v>
      </c>
      <c r="CJ114" s="627">
        <v>0</v>
      </c>
      <c r="CK114" s="627">
        <v>4</v>
      </c>
      <c r="CL114" s="627">
        <v>0</v>
      </c>
      <c r="CM114" s="627">
        <v>0</v>
      </c>
      <c r="CN114" s="627">
        <v>0</v>
      </c>
      <c r="CO114" s="627">
        <v>0</v>
      </c>
      <c r="CP114" s="627">
        <v>1</v>
      </c>
      <c r="CQ114" s="627">
        <v>0</v>
      </c>
      <c r="CR114" s="627">
        <v>1</v>
      </c>
      <c r="CS114" s="627">
        <v>162.01</v>
      </c>
      <c r="CT114" s="627">
        <v>0</v>
      </c>
      <c r="CU114" s="627">
        <v>0</v>
      </c>
      <c r="CV114" s="627">
        <v>0</v>
      </c>
      <c r="CW114" s="627">
        <v>0</v>
      </c>
      <c r="CX114" s="627">
        <v>0</v>
      </c>
      <c r="CY114" s="627">
        <v>0</v>
      </c>
      <c r="CZ114" s="627">
        <v>0</v>
      </c>
      <c r="DA114" s="627">
        <v>0</v>
      </c>
      <c r="DB114" s="627">
        <v>0</v>
      </c>
      <c r="DC114" s="627">
        <v>1011466</v>
      </c>
      <c r="DD114" s="627">
        <v>0</v>
      </c>
      <c r="DE114" s="627">
        <v>0</v>
      </c>
      <c r="DF114" s="627">
        <v>210287</v>
      </c>
      <c r="DG114" s="627">
        <v>210287</v>
      </c>
      <c r="DH114" s="627">
        <v>34.137999999999998</v>
      </c>
      <c r="DI114" s="627">
        <v>0</v>
      </c>
      <c r="DJ114" s="627">
        <v>0</v>
      </c>
      <c r="DK114" s="627">
        <v>0</v>
      </c>
      <c r="DL114" s="627">
        <v>3538</v>
      </c>
      <c r="DM114" s="627">
        <v>0</v>
      </c>
      <c r="DN114" s="627">
        <v>106579</v>
      </c>
      <c r="DO114" s="627">
        <v>363</v>
      </c>
      <c r="DP114" s="627">
        <v>0</v>
      </c>
      <c r="DQ114" s="627">
        <v>0</v>
      </c>
      <c r="DR114" s="627">
        <v>0</v>
      </c>
      <c r="DS114" s="627">
        <v>0</v>
      </c>
      <c r="DT114" s="627">
        <v>0</v>
      </c>
      <c r="DU114" s="627">
        <v>0</v>
      </c>
      <c r="DV114" s="627">
        <v>0</v>
      </c>
      <c r="DW114" s="627">
        <v>0</v>
      </c>
      <c r="DX114" s="627">
        <v>0</v>
      </c>
      <c r="DY114" s="627">
        <v>0</v>
      </c>
      <c r="DZ114" s="627">
        <v>0</v>
      </c>
      <c r="EA114" s="627">
        <v>0</v>
      </c>
      <c r="EB114" s="627">
        <v>0</v>
      </c>
      <c r="EC114" s="627">
        <v>0</v>
      </c>
      <c r="ED114" s="627">
        <v>1.8450000000000002</v>
      </c>
      <c r="EE114" s="627">
        <v>13070</v>
      </c>
      <c r="EF114" s="627">
        <v>0</v>
      </c>
      <c r="EG114" s="627">
        <v>0</v>
      </c>
      <c r="EH114" s="627">
        <v>0</v>
      </c>
      <c r="EI114" s="627">
        <v>93872</v>
      </c>
      <c r="EJ114" s="627">
        <v>0</v>
      </c>
      <c r="EK114" s="627">
        <v>0</v>
      </c>
      <c r="EL114" s="627">
        <v>4.7330000000000005</v>
      </c>
      <c r="EM114" s="627">
        <v>0</v>
      </c>
      <c r="EN114" s="627">
        <v>0</v>
      </c>
      <c r="EO114" s="627">
        <v>0.20800000000000002</v>
      </c>
      <c r="EP114" s="627">
        <v>0</v>
      </c>
      <c r="EQ114" s="627">
        <v>0</v>
      </c>
      <c r="ER114" s="627">
        <v>4.9409999999999998</v>
      </c>
      <c r="ES114" s="627">
        <v>0</v>
      </c>
      <c r="ET114" s="627">
        <v>15.239000000000001</v>
      </c>
      <c r="EU114" s="627">
        <v>0</v>
      </c>
      <c r="EV114" s="627">
        <v>0</v>
      </c>
      <c r="EW114" s="627">
        <v>0</v>
      </c>
      <c r="EX114" s="627">
        <v>0</v>
      </c>
      <c r="EY114" s="627">
        <v>0</v>
      </c>
      <c r="EZ114" s="627">
        <v>0</v>
      </c>
      <c r="FA114" s="627">
        <v>1686529</v>
      </c>
      <c r="FB114" s="627">
        <v>0</v>
      </c>
      <c r="FC114" s="627">
        <v>1753285</v>
      </c>
      <c r="FD114" s="627">
        <v>0</v>
      </c>
      <c r="FE114" s="627">
        <v>0</v>
      </c>
      <c r="FF114" s="627">
        <v>248530</v>
      </c>
      <c r="FG114" s="627">
        <v>43042</v>
      </c>
      <c r="FH114" s="627">
        <v>7.0280999999999996E-2</v>
      </c>
      <c r="FI114" s="627">
        <v>3.1172999999999999E-2</v>
      </c>
      <c r="FJ114" s="627">
        <v>0</v>
      </c>
      <c r="FK114" s="627">
        <v>0</v>
      </c>
      <c r="FL114" s="627">
        <v>280.18700000000001</v>
      </c>
      <c r="FM114" s="627">
        <v>2073031</v>
      </c>
      <c r="FN114" s="627">
        <v>0</v>
      </c>
      <c r="FO114" s="627">
        <v>0</v>
      </c>
      <c r="FP114" s="627">
        <v>26918</v>
      </c>
      <c r="FQ114" s="627">
        <v>0</v>
      </c>
      <c r="FR114" s="627">
        <v>26918</v>
      </c>
      <c r="FS114" s="627">
        <v>26918</v>
      </c>
      <c r="FT114" s="627">
        <v>0</v>
      </c>
      <c r="FU114" s="627">
        <v>0</v>
      </c>
      <c r="FV114" s="627">
        <v>0</v>
      </c>
      <c r="FW114" s="627">
        <v>0</v>
      </c>
      <c r="FX114" s="627">
        <v>0</v>
      </c>
      <c r="FY114" s="627">
        <v>0</v>
      </c>
      <c r="FZ114" s="627">
        <v>0</v>
      </c>
      <c r="GA114" s="627">
        <v>0</v>
      </c>
      <c r="GB114" s="627">
        <v>0</v>
      </c>
      <c r="GC114" s="627">
        <v>67848</v>
      </c>
      <c r="GD114" s="627">
        <v>67848</v>
      </c>
      <c r="GE114" s="627">
        <v>7.0230000000000006</v>
      </c>
      <c r="GF114" s="627">
        <v>0</v>
      </c>
      <c r="GG114" s="627">
        <v>0</v>
      </c>
      <c r="GH114" s="627">
        <v>0</v>
      </c>
      <c r="GI114" s="627">
        <v>0</v>
      </c>
      <c r="GJ114" s="627">
        <v>0</v>
      </c>
      <c r="GK114" s="627">
        <v>0</v>
      </c>
      <c r="GL114" s="627">
        <v>0</v>
      </c>
      <c r="GM114" s="627">
        <v>0</v>
      </c>
      <c r="GN114" s="627">
        <v>0</v>
      </c>
      <c r="GO114" s="627">
        <v>0</v>
      </c>
      <c r="GP114" s="627">
        <v>0</v>
      </c>
      <c r="GQ114" s="627">
        <v>0</v>
      </c>
      <c r="GR114" s="627">
        <v>1977738</v>
      </c>
      <c r="GS114" s="627">
        <v>0</v>
      </c>
      <c r="GT114" s="627">
        <v>0</v>
      </c>
      <c r="GU114" s="627">
        <v>0</v>
      </c>
      <c r="GV114" s="627">
        <v>0</v>
      </c>
      <c r="GW114" s="627">
        <v>0</v>
      </c>
      <c r="GX114" s="627">
        <v>0</v>
      </c>
      <c r="GY114" s="627">
        <v>0</v>
      </c>
      <c r="GZ114" s="627">
        <v>0</v>
      </c>
      <c r="HA114" s="627">
        <v>0</v>
      </c>
      <c r="HB114" s="627">
        <v>0</v>
      </c>
      <c r="HC114" s="627">
        <v>361151439</v>
      </c>
      <c r="HD114" s="627">
        <v>3.9981999999999997E-2</v>
      </c>
      <c r="HE114" s="627">
        <v>28174</v>
      </c>
      <c r="HF114" s="627">
        <v>0</v>
      </c>
      <c r="HG114" s="627">
        <v>180947</v>
      </c>
      <c r="HH114" s="627">
        <v>0</v>
      </c>
      <c r="HI114" s="627">
        <v>60329</v>
      </c>
      <c r="HJ114" s="627">
        <v>0</v>
      </c>
      <c r="HK114" s="627">
        <v>16762</v>
      </c>
      <c r="HL114" s="627">
        <v>463</v>
      </c>
      <c r="HM114" s="627">
        <v>313</v>
      </c>
      <c r="HN114" s="627">
        <v>3000</v>
      </c>
      <c r="HO114" s="627">
        <v>0</v>
      </c>
      <c r="HP114" s="627">
        <v>0</v>
      </c>
      <c r="HQ114" s="627">
        <v>0</v>
      </c>
      <c r="HR114" s="627">
        <v>0</v>
      </c>
      <c r="HS114" s="627">
        <v>0</v>
      </c>
      <c r="HT114" s="627">
        <v>1686166</v>
      </c>
      <c r="HU114" s="627">
        <v>43042</v>
      </c>
      <c r="HV114" s="627">
        <v>0</v>
      </c>
      <c r="HW114" s="627">
        <v>0</v>
      </c>
      <c r="HX114" s="627">
        <v>0</v>
      </c>
      <c r="HY114" s="627">
        <v>18</v>
      </c>
      <c r="HZ114" s="627">
        <v>11</v>
      </c>
      <c r="IA114" s="627">
        <v>23</v>
      </c>
      <c r="IB114" s="627">
        <v>22</v>
      </c>
      <c r="IC114" s="627">
        <v>58</v>
      </c>
      <c r="ID114" s="627">
        <v>132</v>
      </c>
      <c r="IE114" s="627">
        <v>0</v>
      </c>
      <c r="IF114" s="627">
        <v>0</v>
      </c>
      <c r="IG114" s="627">
        <v>0</v>
      </c>
      <c r="IH114" s="627">
        <v>0</v>
      </c>
      <c r="II114" s="627">
        <v>97.936999999999998</v>
      </c>
      <c r="IJ114" s="627">
        <v>0</v>
      </c>
      <c r="IK114" s="627">
        <v>110.995</v>
      </c>
      <c r="IL114" s="627">
        <v>0</v>
      </c>
      <c r="IM114" s="627">
        <v>0</v>
      </c>
      <c r="IN114" s="627">
        <v>1</v>
      </c>
      <c r="IO114" s="627">
        <v>0</v>
      </c>
      <c r="IP114" s="627">
        <v>1</v>
      </c>
      <c r="IQ114" s="627">
        <v>0</v>
      </c>
      <c r="IR114" s="627">
        <v>110.995</v>
      </c>
      <c r="IS114" s="627">
        <v>68373</v>
      </c>
      <c r="IT114" s="627">
        <v>0</v>
      </c>
      <c r="IU114" s="627">
        <v>0</v>
      </c>
      <c r="IV114" s="627">
        <v>3000</v>
      </c>
      <c r="IW114" s="627">
        <v>0</v>
      </c>
      <c r="IX114" s="627">
        <v>6160</v>
      </c>
      <c r="IY114" s="627">
        <v>0</v>
      </c>
      <c r="IZ114" s="627">
        <v>0</v>
      </c>
      <c r="JA114" s="627">
        <v>0</v>
      </c>
      <c r="JB114" s="627">
        <v>0</v>
      </c>
      <c r="JC114" s="627">
        <v>0</v>
      </c>
      <c r="JD114" s="627">
        <v>0</v>
      </c>
      <c r="JE114" s="627">
        <v>0</v>
      </c>
      <c r="JF114" s="627">
        <v>0</v>
      </c>
      <c r="JG114" s="627">
        <v>0</v>
      </c>
      <c r="JH114" s="627">
        <v>0</v>
      </c>
      <c r="JI114" s="627">
        <v>0</v>
      </c>
      <c r="JJ114" s="627">
        <v>0</v>
      </c>
      <c r="JK114" s="627">
        <v>0</v>
      </c>
      <c r="JL114" s="627">
        <v>0</v>
      </c>
      <c r="JM114" s="627">
        <v>0</v>
      </c>
      <c r="JN114" s="627">
        <v>0</v>
      </c>
      <c r="JO114" s="627">
        <v>35572</v>
      </c>
      <c r="JP114" s="627">
        <v>0</v>
      </c>
      <c r="JQ114" s="627">
        <v>5.1630000000000003</v>
      </c>
      <c r="JR114" s="627">
        <v>1.86</v>
      </c>
      <c r="JS114" s="627">
        <v>0</v>
      </c>
      <c r="JT114" s="627">
        <v>47992</v>
      </c>
      <c r="JU114" s="627">
        <v>19856</v>
      </c>
      <c r="JV114" s="627">
        <v>0</v>
      </c>
      <c r="JW114" s="627">
        <v>0</v>
      </c>
      <c r="JX114" s="627">
        <v>0</v>
      </c>
      <c r="JY114" s="627">
        <v>0</v>
      </c>
      <c r="JZ114" s="627">
        <v>0</v>
      </c>
      <c r="KA114" s="627">
        <v>0</v>
      </c>
      <c r="KB114" s="627">
        <v>0</v>
      </c>
      <c r="KC114" s="627">
        <v>0</v>
      </c>
      <c r="KD114" s="627">
        <v>0</v>
      </c>
      <c r="KE114" s="627">
        <v>0</v>
      </c>
      <c r="KF114" s="627">
        <v>7262</v>
      </c>
      <c r="KG114" s="627">
        <v>0</v>
      </c>
      <c r="KH114" s="627">
        <v>0</v>
      </c>
      <c r="KI114" s="627">
        <v>1977738</v>
      </c>
      <c r="KJ114" s="627">
        <v>0</v>
      </c>
      <c r="KK114" s="627">
        <v>0</v>
      </c>
      <c r="KL114" s="627">
        <v>0</v>
      </c>
      <c r="KM114" s="627">
        <v>0</v>
      </c>
      <c r="KN114" s="627">
        <v>0</v>
      </c>
      <c r="KO114" s="627">
        <v>0</v>
      </c>
      <c r="KP114" s="627">
        <v>0</v>
      </c>
      <c r="KQ114" s="627">
        <v>1977738</v>
      </c>
      <c r="KR114" s="627">
        <v>0</v>
      </c>
      <c r="KS114" s="627">
        <v>0</v>
      </c>
      <c r="KT114" s="627">
        <v>0</v>
      </c>
      <c r="KU114" s="627">
        <v>0</v>
      </c>
      <c r="KV114" s="627">
        <v>0</v>
      </c>
      <c r="KW114" s="627">
        <v>0</v>
      </c>
      <c r="KX114" s="627">
        <v>0</v>
      </c>
      <c r="KY114" s="627">
        <v>0</v>
      </c>
      <c r="KZ114" s="627">
        <v>0</v>
      </c>
      <c r="LA114" s="627">
        <v>0</v>
      </c>
      <c r="LB114" s="627">
        <v>0</v>
      </c>
      <c r="LC114" s="627">
        <v>0</v>
      </c>
      <c r="LD114" s="627">
        <v>0</v>
      </c>
      <c r="LE114" s="627">
        <v>0</v>
      </c>
      <c r="LF114" s="627">
        <v>0</v>
      </c>
    </row>
    <row r="115" spans="1:318" x14ac:dyDescent="0.25">
      <c r="A115" s="627">
        <v>42602</v>
      </c>
      <c r="B115" s="627">
        <v>101819</v>
      </c>
      <c r="D115" s="627">
        <v>9</v>
      </c>
      <c r="E115" s="627">
        <v>2024</v>
      </c>
      <c r="F115" s="627">
        <v>6160</v>
      </c>
      <c r="G115" s="627">
        <v>0</v>
      </c>
      <c r="H115" s="627">
        <v>624.29300000000001</v>
      </c>
      <c r="I115" s="627">
        <v>614.12800000000004</v>
      </c>
      <c r="J115" s="627">
        <v>614.12800000000004</v>
      </c>
      <c r="K115" s="627">
        <v>624.29300000000001</v>
      </c>
      <c r="L115" s="627">
        <v>0</v>
      </c>
      <c r="M115" s="627">
        <v>6160</v>
      </c>
      <c r="N115" s="627">
        <v>0</v>
      </c>
      <c r="O115" s="627">
        <v>0</v>
      </c>
      <c r="P115" s="627">
        <v>0</v>
      </c>
      <c r="Q115" s="627">
        <v>517.95799999999997</v>
      </c>
      <c r="R115" s="627">
        <v>0</v>
      </c>
      <c r="S115" s="627">
        <v>214892</v>
      </c>
      <c r="T115" s="627">
        <v>414.88400000000001</v>
      </c>
      <c r="U115" s="627">
        <v>0</v>
      </c>
      <c r="V115" s="627">
        <v>111521</v>
      </c>
      <c r="W115" s="627">
        <v>519.697</v>
      </c>
      <c r="X115" s="627">
        <v>320133</v>
      </c>
      <c r="Y115" s="627">
        <v>320133</v>
      </c>
      <c r="Z115" s="627">
        <v>0</v>
      </c>
      <c r="AA115" s="627">
        <v>0</v>
      </c>
      <c r="AB115" s="627">
        <v>0</v>
      </c>
      <c r="AC115" s="627">
        <v>0</v>
      </c>
      <c r="AD115" s="627">
        <v>0</v>
      </c>
      <c r="AE115" s="627" t="s">
        <v>314</v>
      </c>
      <c r="AF115" s="627">
        <v>0</v>
      </c>
      <c r="AG115" s="627">
        <v>0</v>
      </c>
      <c r="AH115" s="627">
        <v>0</v>
      </c>
      <c r="AI115" s="627">
        <v>0</v>
      </c>
      <c r="AJ115" s="627">
        <v>0</v>
      </c>
      <c r="AK115" s="627">
        <v>6160</v>
      </c>
      <c r="AL115" s="627" t="s">
        <v>651</v>
      </c>
      <c r="AM115" s="627" t="s">
        <v>345</v>
      </c>
      <c r="AN115" s="627">
        <v>0</v>
      </c>
      <c r="AO115" s="627">
        <v>0</v>
      </c>
      <c r="AP115" s="627">
        <v>0</v>
      </c>
      <c r="AQ115" s="627">
        <v>0</v>
      </c>
      <c r="AR115" s="627">
        <v>0</v>
      </c>
      <c r="AS115" s="627">
        <v>0</v>
      </c>
      <c r="AT115" s="627">
        <v>0</v>
      </c>
      <c r="AU115" s="627">
        <v>0</v>
      </c>
      <c r="AV115" s="627">
        <v>0</v>
      </c>
      <c r="AW115" s="627">
        <v>0</v>
      </c>
      <c r="AX115" s="627">
        <v>7474678</v>
      </c>
      <c r="AY115" s="627">
        <v>7375668</v>
      </c>
      <c r="AZ115" s="627">
        <v>3551422</v>
      </c>
      <c r="BA115" s="627">
        <v>214892</v>
      </c>
      <c r="BB115" s="627">
        <v>28.5</v>
      </c>
      <c r="BC115" s="627">
        <v>0</v>
      </c>
      <c r="BD115" s="627">
        <v>0</v>
      </c>
      <c r="BE115" s="627">
        <v>0</v>
      </c>
      <c r="BF115" s="627">
        <v>0</v>
      </c>
      <c r="BG115" s="627">
        <v>6493572</v>
      </c>
      <c r="BH115" s="627">
        <v>0</v>
      </c>
      <c r="BI115" s="627">
        <v>0</v>
      </c>
      <c r="BJ115" s="627">
        <v>0</v>
      </c>
      <c r="BK115" s="627">
        <v>12</v>
      </c>
      <c r="BL115" s="627">
        <v>0</v>
      </c>
      <c r="BM115" s="627">
        <v>0</v>
      </c>
      <c r="BN115" s="627">
        <v>0</v>
      </c>
      <c r="BO115" s="627">
        <v>0</v>
      </c>
      <c r="BP115" s="627">
        <v>0</v>
      </c>
      <c r="BQ115" s="627">
        <v>0</v>
      </c>
      <c r="BR115" s="627">
        <v>675</v>
      </c>
      <c r="BS115" s="627">
        <v>0</v>
      </c>
      <c r="BT115" s="627">
        <v>0</v>
      </c>
      <c r="BU115" s="627">
        <v>0</v>
      </c>
      <c r="BV115" s="627">
        <v>0</v>
      </c>
      <c r="BW115" s="627">
        <v>0</v>
      </c>
      <c r="BX115" s="627">
        <v>0</v>
      </c>
      <c r="BY115" s="627">
        <v>0</v>
      </c>
      <c r="BZ115" s="627">
        <v>0</v>
      </c>
      <c r="CA115" s="627">
        <v>0</v>
      </c>
      <c r="CB115" s="627">
        <v>0</v>
      </c>
      <c r="CC115" s="627">
        <v>0</v>
      </c>
      <c r="CD115" s="627">
        <v>0</v>
      </c>
      <c r="CE115" s="627">
        <v>0</v>
      </c>
      <c r="CF115" s="627">
        <v>0</v>
      </c>
      <c r="CG115" s="627">
        <v>0</v>
      </c>
      <c r="CH115" s="627">
        <v>0</v>
      </c>
      <c r="CI115" s="627">
        <v>99842</v>
      </c>
      <c r="CJ115" s="627">
        <v>0</v>
      </c>
      <c r="CK115" s="627">
        <v>4</v>
      </c>
      <c r="CL115" s="627">
        <v>0</v>
      </c>
      <c r="CM115" s="627">
        <v>0</v>
      </c>
      <c r="CN115" s="627">
        <v>0</v>
      </c>
      <c r="CO115" s="627">
        <v>0</v>
      </c>
      <c r="CP115" s="627">
        <v>1</v>
      </c>
      <c r="CQ115" s="627">
        <v>0</v>
      </c>
      <c r="CR115" s="627">
        <v>0.75</v>
      </c>
      <c r="CS115" s="627">
        <v>518.15</v>
      </c>
      <c r="CT115" s="627">
        <v>0</v>
      </c>
      <c r="CU115" s="627">
        <v>0</v>
      </c>
      <c r="CV115" s="627">
        <v>0</v>
      </c>
      <c r="CW115" s="627">
        <v>0</v>
      </c>
      <c r="CX115" s="627">
        <v>0</v>
      </c>
      <c r="CY115" s="627">
        <v>0</v>
      </c>
      <c r="CZ115" s="627">
        <v>0</v>
      </c>
      <c r="DA115" s="627">
        <v>0</v>
      </c>
      <c r="DB115" s="627">
        <v>0</v>
      </c>
      <c r="DC115" s="627">
        <v>3783028</v>
      </c>
      <c r="DD115" s="627">
        <v>0</v>
      </c>
      <c r="DE115" s="627">
        <v>0</v>
      </c>
      <c r="DF115" s="627">
        <v>1133671</v>
      </c>
      <c r="DG115" s="627">
        <v>1133671</v>
      </c>
      <c r="DH115" s="627">
        <v>184.03800000000001</v>
      </c>
      <c r="DI115" s="627">
        <v>0</v>
      </c>
      <c r="DJ115" s="627">
        <v>0</v>
      </c>
      <c r="DK115" s="627">
        <v>0</v>
      </c>
      <c r="DL115" s="627">
        <v>2429</v>
      </c>
      <c r="DM115" s="627">
        <v>0</v>
      </c>
      <c r="DN115" s="627">
        <v>244156</v>
      </c>
      <c r="DO115" s="627">
        <v>832</v>
      </c>
      <c r="DP115" s="627">
        <v>0</v>
      </c>
      <c r="DQ115" s="627">
        <v>0</v>
      </c>
      <c r="DR115" s="627">
        <v>0</v>
      </c>
      <c r="DS115" s="627">
        <v>0</v>
      </c>
      <c r="DT115" s="627">
        <v>0</v>
      </c>
      <c r="DU115" s="627">
        <v>0</v>
      </c>
      <c r="DV115" s="627">
        <v>0</v>
      </c>
      <c r="DW115" s="627">
        <v>0</v>
      </c>
      <c r="DX115" s="627">
        <v>0</v>
      </c>
      <c r="DY115" s="627">
        <v>0</v>
      </c>
      <c r="DZ115" s="627">
        <v>0</v>
      </c>
      <c r="EA115" s="627">
        <v>0</v>
      </c>
      <c r="EB115" s="627">
        <v>0</v>
      </c>
      <c r="EC115" s="627">
        <v>0</v>
      </c>
      <c r="ED115" s="627">
        <v>5.7320000000000002</v>
      </c>
      <c r="EE115" s="627">
        <v>40605</v>
      </c>
      <c r="EF115" s="627">
        <v>0</v>
      </c>
      <c r="EG115" s="627">
        <v>0</v>
      </c>
      <c r="EH115" s="627">
        <v>0</v>
      </c>
      <c r="EI115" s="627">
        <v>204383</v>
      </c>
      <c r="EJ115" s="627">
        <v>0</v>
      </c>
      <c r="EK115" s="627">
        <v>0</v>
      </c>
      <c r="EL115" s="627">
        <v>7.8840000000000003</v>
      </c>
      <c r="EM115" s="627">
        <v>0</v>
      </c>
      <c r="EN115" s="627">
        <v>0.93900000000000006</v>
      </c>
      <c r="EO115" s="627">
        <v>1.3420000000000001</v>
      </c>
      <c r="EP115" s="627">
        <v>0</v>
      </c>
      <c r="EQ115" s="627">
        <v>0</v>
      </c>
      <c r="ER115" s="627">
        <v>10.165000000000001</v>
      </c>
      <c r="ES115" s="627">
        <v>0</v>
      </c>
      <c r="ET115" s="627">
        <v>33.179000000000002</v>
      </c>
      <c r="EU115" s="627">
        <v>0</v>
      </c>
      <c r="EV115" s="627">
        <v>0</v>
      </c>
      <c r="EW115" s="627">
        <v>0</v>
      </c>
      <c r="EX115" s="627">
        <v>0</v>
      </c>
      <c r="EY115" s="627">
        <v>0</v>
      </c>
      <c r="EZ115" s="627">
        <v>0</v>
      </c>
      <c r="FA115" s="627">
        <v>6278680</v>
      </c>
      <c r="FB115" s="627">
        <v>0</v>
      </c>
      <c r="FC115" s="627">
        <v>6492740</v>
      </c>
      <c r="FD115" s="627">
        <v>0</v>
      </c>
      <c r="FE115" s="627">
        <v>0</v>
      </c>
      <c r="FF115" s="627">
        <v>935049</v>
      </c>
      <c r="FG115" s="627">
        <v>161939</v>
      </c>
      <c r="FH115" s="627">
        <v>7.0280999999999996E-2</v>
      </c>
      <c r="FI115" s="627">
        <v>3.1172999999999999E-2</v>
      </c>
      <c r="FJ115" s="627">
        <v>0</v>
      </c>
      <c r="FK115" s="627">
        <v>0</v>
      </c>
      <c r="FL115" s="627">
        <v>1054.1510000000001</v>
      </c>
      <c r="FM115" s="627">
        <v>7689570</v>
      </c>
      <c r="FN115" s="627">
        <v>0</v>
      </c>
      <c r="FO115" s="627">
        <v>0</v>
      </c>
      <c r="FP115" s="627">
        <v>0</v>
      </c>
      <c r="FQ115" s="627">
        <v>0</v>
      </c>
      <c r="FR115" s="627">
        <v>0</v>
      </c>
      <c r="FS115" s="627">
        <v>0</v>
      </c>
      <c r="FT115" s="627">
        <v>0</v>
      </c>
      <c r="FU115" s="627">
        <v>0</v>
      </c>
      <c r="FV115" s="627">
        <v>0</v>
      </c>
      <c r="FW115" s="627">
        <v>0</v>
      </c>
      <c r="FX115" s="627">
        <v>0</v>
      </c>
      <c r="FY115" s="627">
        <v>0</v>
      </c>
      <c r="FZ115" s="627">
        <v>0</v>
      </c>
      <c r="GA115" s="627">
        <v>0</v>
      </c>
      <c r="GB115" s="627">
        <v>0</v>
      </c>
      <c r="GC115" s="627">
        <v>0</v>
      </c>
      <c r="GD115" s="627">
        <v>0</v>
      </c>
      <c r="GE115" s="627">
        <v>0</v>
      </c>
      <c r="GF115" s="627">
        <v>0</v>
      </c>
      <c r="GG115" s="627">
        <v>0</v>
      </c>
      <c r="GH115" s="627">
        <v>0</v>
      </c>
      <c r="GI115" s="627">
        <v>0</v>
      </c>
      <c r="GJ115" s="627">
        <v>0</v>
      </c>
      <c r="GK115" s="627">
        <v>0</v>
      </c>
      <c r="GL115" s="627">
        <v>0</v>
      </c>
      <c r="GM115" s="627">
        <v>0</v>
      </c>
      <c r="GN115" s="627">
        <v>0</v>
      </c>
      <c r="GO115" s="627">
        <v>0</v>
      </c>
      <c r="GP115" s="627">
        <v>0</v>
      </c>
      <c r="GQ115" s="627">
        <v>0</v>
      </c>
      <c r="GR115" s="627">
        <v>7374836</v>
      </c>
      <c r="GS115" s="627">
        <v>0</v>
      </c>
      <c r="GT115" s="627">
        <v>0</v>
      </c>
      <c r="GU115" s="627">
        <v>0</v>
      </c>
      <c r="GV115" s="627">
        <v>0</v>
      </c>
      <c r="GW115" s="627">
        <v>0</v>
      </c>
      <c r="GX115" s="627">
        <v>0</v>
      </c>
      <c r="GY115" s="627">
        <v>0</v>
      </c>
      <c r="GZ115" s="627">
        <v>0</v>
      </c>
      <c r="HA115" s="627">
        <v>0</v>
      </c>
      <c r="HB115" s="627">
        <v>0</v>
      </c>
      <c r="HC115" s="627">
        <v>361151439</v>
      </c>
      <c r="HD115" s="627">
        <v>3.9981999999999997E-2</v>
      </c>
      <c r="HE115" s="627">
        <v>99842</v>
      </c>
      <c r="HF115" s="627">
        <v>0</v>
      </c>
      <c r="HG115" s="627">
        <v>676769</v>
      </c>
      <c r="HH115" s="627">
        <v>1848</v>
      </c>
      <c r="HI115" s="627">
        <v>296892</v>
      </c>
      <c r="HJ115" s="627">
        <v>0</v>
      </c>
      <c r="HK115" s="627">
        <v>36243</v>
      </c>
      <c r="HL115" s="627">
        <v>0</v>
      </c>
      <c r="HM115" s="627">
        <v>0</v>
      </c>
      <c r="HN115" s="627">
        <v>0</v>
      </c>
      <c r="HO115" s="627">
        <v>0</v>
      </c>
      <c r="HP115" s="627">
        <v>0</v>
      </c>
      <c r="HQ115" s="627">
        <v>0</v>
      </c>
      <c r="HR115" s="627">
        <v>0</v>
      </c>
      <c r="HS115" s="627">
        <v>0</v>
      </c>
      <c r="HT115" s="627">
        <v>6277848</v>
      </c>
      <c r="HU115" s="627">
        <v>161939</v>
      </c>
      <c r="HV115" s="627">
        <v>0</v>
      </c>
      <c r="HW115" s="627">
        <v>0</v>
      </c>
      <c r="HX115" s="627">
        <v>0</v>
      </c>
      <c r="HY115" s="627">
        <v>11</v>
      </c>
      <c r="HZ115" s="627">
        <v>37</v>
      </c>
      <c r="IA115" s="627">
        <v>29</v>
      </c>
      <c r="IB115" s="627">
        <v>90</v>
      </c>
      <c r="IC115" s="627">
        <v>516</v>
      </c>
      <c r="ID115" s="627">
        <v>683</v>
      </c>
      <c r="IE115" s="627">
        <v>0</v>
      </c>
      <c r="IF115" s="627">
        <v>0</v>
      </c>
      <c r="IG115" s="627">
        <v>0</v>
      </c>
      <c r="IH115" s="627">
        <v>3</v>
      </c>
      <c r="II115" s="627">
        <v>481.96700000000004</v>
      </c>
      <c r="IJ115" s="627">
        <v>0</v>
      </c>
      <c r="IK115" s="627">
        <v>519.697</v>
      </c>
      <c r="IL115" s="627">
        <v>0</v>
      </c>
      <c r="IM115" s="627">
        <v>0</v>
      </c>
      <c r="IN115" s="627">
        <v>0</v>
      </c>
      <c r="IO115" s="627">
        <v>0</v>
      </c>
      <c r="IP115" s="627">
        <v>0</v>
      </c>
      <c r="IQ115" s="627">
        <v>0</v>
      </c>
      <c r="IR115" s="627">
        <v>519.697</v>
      </c>
      <c r="IS115" s="627">
        <v>320133</v>
      </c>
      <c r="IT115" s="627">
        <v>0</v>
      </c>
      <c r="IU115" s="627">
        <v>0</v>
      </c>
      <c r="IV115" s="627">
        <v>0</v>
      </c>
      <c r="IW115" s="627">
        <v>0</v>
      </c>
      <c r="IX115" s="627">
        <v>6160</v>
      </c>
      <c r="IY115" s="627">
        <v>0</v>
      </c>
      <c r="IZ115" s="627">
        <v>0</v>
      </c>
      <c r="JA115" s="627">
        <v>0</v>
      </c>
      <c r="JB115" s="627">
        <v>0</v>
      </c>
      <c r="JC115" s="627">
        <v>0</v>
      </c>
      <c r="JD115" s="627">
        <v>0</v>
      </c>
      <c r="JE115" s="627">
        <v>0</v>
      </c>
      <c r="JF115" s="627">
        <v>0</v>
      </c>
      <c r="JG115" s="627">
        <v>0</v>
      </c>
      <c r="JH115" s="627">
        <v>0</v>
      </c>
      <c r="JI115" s="627">
        <v>0</v>
      </c>
      <c r="JJ115" s="627">
        <v>0</v>
      </c>
      <c r="JK115" s="627">
        <v>0</v>
      </c>
      <c r="JL115" s="627">
        <v>0</v>
      </c>
      <c r="JM115" s="627">
        <v>0</v>
      </c>
      <c r="JN115" s="627">
        <v>0</v>
      </c>
      <c r="JO115" s="627">
        <v>32469</v>
      </c>
      <c r="JP115" s="627">
        <v>0</v>
      </c>
      <c r="JQ115" s="627">
        <v>0</v>
      </c>
      <c r="JR115" s="627">
        <v>0</v>
      </c>
      <c r="JS115" s="627">
        <v>0</v>
      </c>
      <c r="JT115" s="627">
        <v>0</v>
      </c>
      <c r="JU115" s="627">
        <v>0</v>
      </c>
      <c r="JV115" s="627">
        <v>0</v>
      </c>
      <c r="JW115" s="627">
        <v>0</v>
      </c>
      <c r="JX115" s="627">
        <v>0</v>
      </c>
      <c r="JY115" s="627">
        <v>0</v>
      </c>
      <c r="JZ115" s="627">
        <v>0</v>
      </c>
      <c r="KA115" s="627">
        <v>0</v>
      </c>
      <c r="KB115" s="627">
        <v>0</v>
      </c>
      <c r="KC115" s="627">
        <v>0</v>
      </c>
      <c r="KD115" s="627">
        <v>0</v>
      </c>
      <c r="KE115" s="627">
        <v>0</v>
      </c>
      <c r="KF115" s="627">
        <v>7262</v>
      </c>
      <c r="KG115" s="627">
        <v>0</v>
      </c>
      <c r="KH115" s="627">
        <v>0</v>
      </c>
      <c r="KI115" s="627">
        <v>7374836</v>
      </c>
      <c r="KJ115" s="627">
        <v>0</v>
      </c>
      <c r="KK115" s="627">
        <v>3</v>
      </c>
      <c r="KL115" s="627">
        <v>0</v>
      </c>
      <c r="KM115" s="627">
        <v>1848</v>
      </c>
      <c r="KN115" s="627">
        <v>0</v>
      </c>
      <c r="KO115" s="627">
        <v>0</v>
      </c>
      <c r="KP115" s="627">
        <v>0</v>
      </c>
      <c r="KQ115" s="627">
        <v>7374836</v>
      </c>
      <c r="KR115" s="627">
        <v>0</v>
      </c>
      <c r="KS115" s="627">
        <v>0</v>
      </c>
      <c r="KT115" s="627">
        <v>0</v>
      </c>
      <c r="KU115" s="627">
        <v>0</v>
      </c>
      <c r="KV115" s="627">
        <v>0</v>
      </c>
      <c r="KW115" s="627">
        <v>0</v>
      </c>
      <c r="KX115" s="627">
        <v>0</v>
      </c>
      <c r="KY115" s="627">
        <v>0</v>
      </c>
      <c r="KZ115" s="627">
        <v>0</v>
      </c>
      <c r="LA115" s="627">
        <v>0</v>
      </c>
      <c r="LB115" s="627">
        <v>0</v>
      </c>
      <c r="LC115" s="627">
        <v>0</v>
      </c>
      <c r="LD115" s="627">
        <v>0</v>
      </c>
      <c r="LE115" s="627">
        <v>0</v>
      </c>
      <c r="LF115" s="627">
        <v>0</v>
      </c>
    </row>
    <row r="116" spans="1:318" x14ac:dyDescent="0.25">
      <c r="A116" s="627">
        <v>42602</v>
      </c>
      <c r="B116" s="627">
        <v>227819</v>
      </c>
      <c r="D116" s="627">
        <v>9</v>
      </c>
      <c r="E116" s="627">
        <v>2024</v>
      </c>
      <c r="F116" s="627">
        <v>6160</v>
      </c>
      <c r="G116" s="627">
        <v>0</v>
      </c>
      <c r="H116" s="627">
        <v>252.14800000000002</v>
      </c>
      <c r="I116" s="627">
        <v>232.79600000000002</v>
      </c>
      <c r="J116" s="627">
        <v>232.79600000000002</v>
      </c>
      <c r="K116" s="627">
        <v>252.14800000000002</v>
      </c>
      <c r="L116" s="627">
        <v>0</v>
      </c>
      <c r="M116" s="627">
        <v>6160</v>
      </c>
      <c r="N116" s="627">
        <v>0</v>
      </c>
      <c r="O116" s="627">
        <v>0</v>
      </c>
      <c r="P116" s="627">
        <v>0</v>
      </c>
      <c r="Q116" s="627">
        <v>261.63300000000004</v>
      </c>
      <c r="R116" s="627">
        <v>0</v>
      </c>
      <c r="S116" s="627">
        <v>108547</v>
      </c>
      <c r="T116" s="627">
        <v>414.88400000000001</v>
      </c>
      <c r="U116" s="627">
        <v>0</v>
      </c>
      <c r="V116" s="627">
        <v>56332</v>
      </c>
      <c r="W116" s="627">
        <v>23.557000000000002</v>
      </c>
      <c r="X116" s="627">
        <v>14511</v>
      </c>
      <c r="Y116" s="627">
        <v>14511</v>
      </c>
      <c r="Z116" s="627">
        <v>0</v>
      </c>
      <c r="AA116" s="627">
        <v>0</v>
      </c>
      <c r="AB116" s="627">
        <v>0</v>
      </c>
      <c r="AC116" s="627">
        <v>0</v>
      </c>
      <c r="AD116" s="627">
        <v>0</v>
      </c>
      <c r="AE116" s="627" t="s">
        <v>314</v>
      </c>
      <c r="AF116" s="627">
        <v>0</v>
      </c>
      <c r="AG116" s="627">
        <v>0</v>
      </c>
      <c r="AH116" s="627">
        <v>0</v>
      </c>
      <c r="AI116" s="627">
        <v>0</v>
      </c>
      <c r="AJ116" s="627">
        <v>0</v>
      </c>
      <c r="AK116" s="627">
        <v>6160</v>
      </c>
      <c r="AL116" s="627" t="s">
        <v>651</v>
      </c>
      <c r="AM116" s="627" t="s">
        <v>87</v>
      </c>
      <c r="AN116" s="627">
        <v>0</v>
      </c>
      <c r="AO116" s="627">
        <v>0</v>
      </c>
      <c r="AP116" s="627">
        <v>0</v>
      </c>
      <c r="AQ116" s="627">
        <v>0</v>
      </c>
      <c r="AR116" s="627">
        <v>0</v>
      </c>
      <c r="AS116" s="627">
        <v>0</v>
      </c>
      <c r="AT116" s="627">
        <v>0</v>
      </c>
      <c r="AU116" s="627">
        <v>0</v>
      </c>
      <c r="AV116" s="627">
        <v>0</v>
      </c>
      <c r="AW116" s="627">
        <v>0</v>
      </c>
      <c r="AX116" s="627">
        <v>2986460</v>
      </c>
      <c r="AY116" s="627">
        <v>2947548</v>
      </c>
      <c r="AZ116" s="627">
        <v>1475268</v>
      </c>
      <c r="BA116" s="627">
        <v>108547</v>
      </c>
      <c r="BB116" s="627">
        <v>0</v>
      </c>
      <c r="BC116" s="627">
        <v>5371</v>
      </c>
      <c r="BD116" s="627">
        <v>5337</v>
      </c>
      <c r="BE116" s="627">
        <v>12.607000000000001</v>
      </c>
      <c r="BF116" s="627">
        <v>34</v>
      </c>
      <c r="BG116" s="627">
        <v>2614427</v>
      </c>
      <c r="BH116" s="627">
        <v>0</v>
      </c>
      <c r="BI116" s="627">
        <v>0</v>
      </c>
      <c r="BJ116" s="627">
        <v>0</v>
      </c>
      <c r="BK116" s="627">
        <v>12</v>
      </c>
      <c r="BL116" s="627">
        <v>0</v>
      </c>
      <c r="BM116" s="627">
        <v>0</v>
      </c>
      <c r="BN116" s="627">
        <v>0</v>
      </c>
      <c r="BO116" s="627">
        <v>0</v>
      </c>
      <c r="BP116" s="627">
        <v>0</v>
      </c>
      <c r="BQ116" s="627">
        <v>0</v>
      </c>
      <c r="BR116" s="627">
        <v>734</v>
      </c>
      <c r="BS116" s="627">
        <v>0</v>
      </c>
      <c r="BT116" s="627">
        <v>0</v>
      </c>
      <c r="BU116" s="627">
        <v>0</v>
      </c>
      <c r="BV116" s="627">
        <v>0</v>
      </c>
      <c r="BW116" s="627">
        <v>0</v>
      </c>
      <c r="BX116" s="627">
        <v>0</v>
      </c>
      <c r="BY116" s="627">
        <v>0</v>
      </c>
      <c r="BZ116" s="627">
        <v>0</v>
      </c>
      <c r="CA116" s="627">
        <v>0</v>
      </c>
      <c r="CB116" s="627">
        <v>0</v>
      </c>
      <c r="CC116" s="627">
        <v>0</v>
      </c>
      <c r="CD116" s="627">
        <v>0</v>
      </c>
      <c r="CE116" s="627">
        <v>0</v>
      </c>
      <c r="CF116" s="627">
        <v>0</v>
      </c>
      <c r="CG116" s="627">
        <v>0</v>
      </c>
      <c r="CH116" s="627">
        <v>0</v>
      </c>
      <c r="CI116" s="627">
        <v>40326</v>
      </c>
      <c r="CJ116" s="627">
        <v>0</v>
      </c>
      <c r="CK116" s="627">
        <v>4</v>
      </c>
      <c r="CL116" s="627">
        <v>0</v>
      </c>
      <c r="CM116" s="627">
        <v>0</v>
      </c>
      <c r="CN116" s="627">
        <v>0</v>
      </c>
      <c r="CO116" s="627">
        <v>0</v>
      </c>
      <c r="CP116" s="627">
        <v>1</v>
      </c>
      <c r="CQ116" s="627">
        <v>0</v>
      </c>
      <c r="CR116" s="627">
        <v>0</v>
      </c>
      <c r="CS116" s="627">
        <v>268.83699999999999</v>
      </c>
      <c r="CT116" s="627">
        <v>0</v>
      </c>
      <c r="CU116" s="627">
        <v>0</v>
      </c>
      <c r="CV116" s="627">
        <v>0</v>
      </c>
      <c r="CW116" s="627">
        <v>0</v>
      </c>
      <c r="CX116" s="627">
        <v>0</v>
      </c>
      <c r="CY116" s="627">
        <v>0</v>
      </c>
      <c r="CZ116" s="627">
        <v>0</v>
      </c>
      <c r="DA116" s="627">
        <v>0</v>
      </c>
      <c r="DB116" s="627">
        <v>0</v>
      </c>
      <c r="DC116" s="627">
        <v>1434023</v>
      </c>
      <c r="DD116" s="627">
        <v>0</v>
      </c>
      <c r="DE116" s="627">
        <v>0</v>
      </c>
      <c r="DF116" s="627">
        <v>257796</v>
      </c>
      <c r="DG116" s="627">
        <v>257796</v>
      </c>
      <c r="DH116" s="627">
        <v>41.85</v>
      </c>
      <c r="DI116" s="627">
        <v>0</v>
      </c>
      <c r="DJ116" s="627">
        <v>0</v>
      </c>
      <c r="DK116" s="627">
        <v>0</v>
      </c>
      <c r="DL116" s="627">
        <v>3369</v>
      </c>
      <c r="DM116" s="627">
        <v>0</v>
      </c>
      <c r="DN116" s="627">
        <v>404727</v>
      </c>
      <c r="DO116" s="627">
        <v>1379</v>
      </c>
      <c r="DP116" s="627">
        <v>0</v>
      </c>
      <c r="DQ116" s="627">
        <v>0</v>
      </c>
      <c r="DR116" s="627">
        <v>0</v>
      </c>
      <c r="DS116" s="627">
        <v>0</v>
      </c>
      <c r="DT116" s="627">
        <v>0</v>
      </c>
      <c r="DU116" s="627">
        <v>0</v>
      </c>
      <c r="DV116" s="627">
        <v>0</v>
      </c>
      <c r="DW116" s="627">
        <v>0</v>
      </c>
      <c r="DX116" s="627">
        <v>0</v>
      </c>
      <c r="DY116" s="627">
        <v>0</v>
      </c>
      <c r="DZ116" s="627">
        <v>0</v>
      </c>
      <c r="EA116" s="627">
        <v>0</v>
      </c>
      <c r="EB116" s="627">
        <v>0</v>
      </c>
      <c r="EC116" s="627">
        <v>0</v>
      </c>
      <c r="ED116" s="627">
        <v>4.4750000000000005</v>
      </c>
      <c r="EE116" s="627">
        <v>31701</v>
      </c>
      <c r="EF116" s="627">
        <v>0</v>
      </c>
      <c r="EG116" s="627">
        <v>0</v>
      </c>
      <c r="EH116" s="627">
        <v>0</v>
      </c>
      <c r="EI116" s="627">
        <v>374405</v>
      </c>
      <c r="EJ116" s="627">
        <v>0</v>
      </c>
      <c r="EK116" s="627">
        <v>0</v>
      </c>
      <c r="EL116" s="627">
        <v>17.895</v>
      </c>
      <c r="EM116" s="627">
        <v>0</v>
      </c>
      <c r="EN116" s="627">
        <v>9.5000000000000001E-2</v>
      </c>
      <c r="EO116" s="627">
        <v>1.3620000000000001</v>
      </c>
      <c r="EP116" s="627">
        <v>0</v>
      </c>
      <c r="EQ116" s="627">
        <v>0</v>
      </c>
      <c r="ER116" s="627">
        <v>19.352</v>
      </c>
      <c r="ES116" s="627">
        <v>0</v>
      </c>
      <c r="ET116" s="627">
        <v>60.78</v>
      </c>
      <c r="EU116" s="627">
        <v>0</v>
      </c>
      <c r="EV116" s="627">
        <v>0</v>
      </c>
      <c r="EW116" s="627">
        <v>0</v>
      </c>
      <c r="EX116" s="627">
        <v>0</v>
      </c>
      <c r="EY116" s="627">
        <v>0</v>
      </c>
      <c r="EZ116" s="627">
        <v>0</v>
      </c>
      <c r="FA116" s="627">
        <v>2505880</v>
      </c>
      <c r="FB116" s="627">
        <v>0</v>
      </c>
      <c r="FC116" s="627">
        <v>2613013</v>
      </c>
      <c r="FD116" s="627">
        <v>0</v>
      </c>
      <c r="FE116" s="627">
        <v>0</v>
      </c>
      <c r="FF116" s="627">
        <v>376468</v>
      </c>
      <c r="FG116" s="627">
        <v>65200</v>
      </c>
      <c r="FH116" s="627">
        <v>7.0280999999999996E-2</v>
      </c>
      <c r="FI116" s="627">
        <v>3.1172999999999999E-2</v>
      </c>
      <c r="FJ116" s="627">
        <v>0</v>
      </c>
      <c r="FK116" s="627">
        <v>0</v>
      </c>
      <c r="FL116" s="627">
        <v>424.42</v>
      </c>
      <c r="FM116" s="627">
        <v>3095007</v>
      </c>
      <c r="FN116" s="627">
        <v>0</v>
      </c>
      <c r="FO116" s="627">
        <v>0</v>
      </c>
      <c r="FP116" s="627">
        <v>0</v>
      </c>
      <c r="FQ116" s="627">
        <v>0</v>
      </c>
      <c r="FR116" s="627">
        <v>0</v>
      </c>
      <c r="FS116" s="627">
        <v>0</v>
      </c>
      <c r="FT116" s="627">
        <v>0</v>
      </c>
      <c r="FU116" s="627">
        <v>0</v>
      </c>
      <c r="FV116" s="627">
        <v>0</v>
      </c>
      <c r="FW116" s="627">
        <v>0</v>
      </c>
      <c r="FX116" s="627">
        <v>0</v>
      </c>
      <c r="FY116" s="627">
        <v>0</v>
      </c>
      <c r="FZ116" s="627">
        <v>0</v>
      </c>
      <c r="GA116" s="627">
        <v>0</v>
      </c>
      <c r="GB116" s="627">
        <v>0</v>
      </c>
      <c r="GC116" s="627">
        <v>0</v>
      </c>
      <c r="GD116" s="627">
        <v>0</v>
      </c>
      <c r="GE116" s="627">
        <v>0</v>
      </c>
      <c r="GF116" s="627">
        <v>0</v>
      </c>
      <c r="GG116" s="627">
        <v>0</v>
      </c>
      <c r="GH116" s="627">
        <v>0</v>
      </c>
      <c r="GI116" s="627">
        <v>0</v>
      </c>
      <c r="GJ116" s="627">
        <v>0</v>
      </c>
      <c r="GK116" s="627">
        <v>0</v>
      </c>
      <c r="GL116" s="627">
        <v>0</v>
      </c>
      <c r="GM116" s="627">
        <v>0</v>
      </c>
      <c r="GN116" s="627">
        <v>0</v>
      </c>
      <c r="GO116" s="627">
        <v>0</v>
      </c>
      <c r="GP116" s="627">
        <v>0</v>
      </c>
      <c r="GQ116" s="627">
        <v>0</v>
      </c>
      <c r="GR116" s="627">
        <v>2946134</v>
      </c>
      <c r="GS116" s="627">
        <v>0</v>
      </c>
      <c r="GT116" s="627">
        <v>0</v>
      </c>
      <c r="GU116" s="627">
        <v>0</v>
      </c>
      <c r="GV116" s="627">
        <v>0</v>
      </c>
      <c r="GW116" s="627">
        <v>0</v>
      </c>
      <c r="GX116" s="627">
        <v>0</v>
      </c>
      <c r="GY116" s="627">
        <v>0</v>
      </c>
      <c r="GZ116" s="627">
        <v>0</v>
      </c>
      <c r="HA116" s="627">
        <v>0</v>
      </c>
      <c r="HB116" s="627">
        <v>0</v>
      </c>
      <c r="HC116" s="627">
        <v>361151439</v>
      </c>
      <c r="HD116" s="627">
        <v>3.9981999999999997E-2</v>
      </c>
      <c r="HE116" s="627">
        <v>40326</v>
      </c>
      <c r="HF116" s="627">
        <v>0</v>
      </c>
      <c r="HG116" s="627">
        <v>256541</v>
      </c>
      <c r="HH116" s="627">
        <v>11088</v>
      </c>
      <c r="HI116" s="627">
        <v>69451</v>
      </c>
      <c r="HJ116" s="627">
        <v>0</v>
      </c>
      <c r="HK116" s="627">
        <v>17521</v>
      </c>
      <c r="HL116" s="627">
        <v>0</v>
      </c>
      <c r="HM116" s="627">
        <v>0</v>
      </c>
      <c r="HN116" s="627">
        <v>0</v>
      </c>
      <c r="HO116" s="627">
        <v>142019</v>
      </c>
      <c r="HP116" s="627">
        <v>0</v>
      </c>
      <c r="HQ116" s="627">
        <v>0</v>
      </c>
      <c r="HR116" s="627">
        <v>0</v>
      </c>
      <c r="HS116" s="627">
        <v>0</v>
      </c>
      <c r="HT116" s="627">
        <v>2504466</v>
      </c>
      <c r="HU116" s="627">
        <v>65200</v>
      </c>
      <c r="HV116" s="627">
        <v>0</v>
      </c>
      <c r="HW116" s="627">
        <v>0</v>
      </c>
      <c r="HX116" s="627">
        <v>0</v>
      </c>
      <c r="HY116" s="627">
        <v>47</v>
      </c>
      <c r="HZ116" s="627">
        <v>60</v>
      </c>
      <c r="IA116" s="627">
        <v>33</v>
      </c>
      <c r="IB116" s="627">
        <v>24</v>
      </c>
      <c r="IC116" s="627">
        <v>9</v>
      </c>
      <c r="ID116" s="627">
        <v>173</v>
      </c>
      <c r="IE116" s="627">
        <v>0</v>
      </c>
      <c r="IF116" s="627">
        <v>0</v>
      </c>
      <c r="IG116" s="627">
        <v>0</v>
      </c>
      <c r="IH116" s="627">
        <v>18</v>
      </c>
      <c r="II116" s="627">
        <v>112.745</v>
      </c>
      <c r="IJ116" s="627">
        <v>0</v>
      </c>
      <c r="IK116" s="627">
        <v>23.557000000000002</v>
      </c>
      <c r="IL116" s="627">
        <v>0</v>
      </c>
      <c r="IM116" s="627">
        <v>0</v>
      </c>
      <c r="IN116" s="627">
        <v>0</v>
      </c>
      <c r="IO116" s="627">
        <v>0</v>
      </c>
      <c r="IP116" s="627">
        <v>0</v>
      </c>
      <c r="IQ116" s="627">
        <v>0</v>
      </c>
      <c r="IR116" s="627">
        <v>23.557000000000002</v>
      </c>
      <c r="IS116" s="627">
        <v>14511</v>
      </c>
      <c r="IT116" s="627">
        <v>0</v>
      </c>
      <c r="IU116" s="627">
        <v>0</v>
      </c>
      <c r="IV116" s="627">
        <v>0</v>
      </c>
      <c r="IW116" s="627">
        <v>0</v>
      </c>
      <c r="IX116" s="627">
        <v>6160</v>
      </c>
      <c r="IY116" s="627">
        <v>0</v>
      </c>
      <c r="IZ116" s="627">
        <v>0</v>
      </c>
      <c r="JA116" s="627">
        <v>0</v>
      </c>
      <c r="JB116" s="627">
        <v>0</v>
      </c>
      <c r="JC116" s="627">
        <v>4</v>
      </c>
      <c r="JD116" s="627">
        <v>70448</v>
      </c>
      <c r="JE116" s="627">
        <v>5</v>
      </c>
      <c r="JF116" s="627">
        <v>46835</v>
      </c>
      <c r="JG116" s="627">
        <v>4</v>
      </c>
      <c r="JH116" s="627">
        <v>18736</v>
      </c>
      <c r="JI116" s="627">
        <v>6000</v>
      </c>
      <c r="JJ116" s="627">
        <v>0</v>
      </c>
      <c r="JK116" s="627">
        <v>0</v>
      </c>
      <c r="JL116" s="627">
        <v>0</v>
      </c>
      <c r="JM116" s="627">
        <v>0</v>
      </c>
      <c r="JN116" s="627">
        <v>0</v>
      </c>
      <c r="JO116" s="627">
        <v>32469</v>
      </c>
      <c r="JP116" s="627">
        <v>0</v>
      </c>
      <c r="JQ116" s="627">
        <v>0</v>
      </c>
      <c r="JR116" s="627">
        <v>0</v>
      </c>
      <c r="JS116" s="627">
        <v>0</v>
      </c>
      <c r="JT116" s="627">
        <v>0</v>
      </c>
      <c r="JU116" s="627">
        <v>0</v>
      </c>
      <c r="JV116" s="627">
        <v>5436</v>
      </c>
      <c r="JW116" s="627">
        <v>0</v>
      </c>
      <c r="JX116" s="627">
        <v>0</v>
      </c>
      <c r="JY116" s="627">
        <v>0</v>
      </c>
      <c r="JZ116" s="627">
        <v>0</v>
      </c>
      <c r="KA116" s="627">
        <v>0</v>
      </c>
      <c r="KB116" s="627">
        <v>0</v>
      </c>
      <c r="KC116" s="627">
        <v>0</v>
      </c>
      <c r="KD116" s="627">
        <v>0</v>
      </c>
      <c r="KE116" s="627">
        <v>5606</v>
      </c>
      <c r="KF116" s="627">
        <v>7262</v>
      </c>
      <c r="KG116" s="627">
        <v>0</v>
      </c>
      <c r="KH116" s="627">
        <v>0</v>
      </c>
      <c r="KI116" s="627">
        <v>2946134</v>
      </c>
      <c r="KJ116" s="627">
        <v>0</v>
      </c>
      <c r="KK116" s="627">
        <v>14</v>
      </c>
      <c r="KL116" s="627">
        <v>4</v>
      </c>
      <c r="KM116" s="627">
        <v>8624</v>
      </c>
      <c r="KN116" s="627">
        <v>2464</v>
      </c>
      <c r="KO116" s="627">
        <v>0</v>
      </c>
      <c r="KP116" s="627">
        <v>0</v>
      </c>
      <c r="KQ116" s="627">
        <v>2946134</v>
      </c>
      <c r="KR116" s="627">
        <v>0</v>
      </c>
      <c r="KS116" s="627">
        <v>0</v>
      </c>
      <c r="KT116" s="627">
        <v>0</v>
      </c>
      <c r="KU116" s="627">
        <v>0</v>
      </c>
      <c r="KV116" s="627">
        <v>0</v>
      </c>
      <c r="KW116" s="627">
        <v>0</v>
      </c>
      <c r="KX116" s="627">
        <v>0</v>
      </c>
      <c r="KY116" s="627">
        <v>0</v>
      </c>
      <c r="KZ116" s="627">
        <v>0</v>
      </c>
      <c r="LA116" s="627">
        <v>0</v>
      </c>
      <c r="LB116" s="627">
        <v>0</v>
      </c>
      <c r="LC116" s="627">
        <v>0</v>
      </c>
      <c r="LD116" s="627">
        <v>0</v>
      </c>
      <c r="LE116" s="627">
        <v>0</v>
      </c>
      <c r="LF116" s="627">
        <v>0</v>
      </c>
    </row>
    <row r="117" spans="1:318" x14ac:dyDescent="0.25">
      <c r="A117" s="627">
        <v>42602</v>
      </c>
      <c r="B117" s="627">
        <v>220820</v>
      </c>
      <c r="D117" s="627">
        <v>9</v>
      </c>
      <c r="E117" s="627">
        <v>2024</v>
      </c>
      <c r="F117" s="627">
        <v>6160</v>
      </c>
      <c r="G117" s="627">
        <v>0</v>
      </c>
      <c r="H117" s="627">
        <v>536.83299999999997</v>
      </c>
      <c r="I117" s="627">
        <v>520.19600000000003</v>
      </c>
      <c r="J117" s="627">
        <v>520.19600000000003</v>
      </c>
      <c r="K117" s="627">
        <v>536.83299999999997</v>
      </c>
      <c r="L117" s="627">
        <v>0</v>
      </c>
      <c r="M117" s="627">
        <v>6160</v>
      </c>
      <c r="N117" s="627">
        <v>0</v>
      </c>
      <c r="O117" s="627">
        <v>0</v>
      </c>
      <c r="P117" s="627">
        <v>0</v>
      </c>
      <c r="Q117" s="627">
        <v>216.27</v>
      </c>
      <c r="R117" s="627">
        <v>0</v>
      </c>
      <c r="S117" s="627">
        <v>89727</v>
      </c>
      <c r="T117" s="627">
        <v>414.88400000000001</v>
      </c>
      <c r="U117" s="627">
        <v>0</v>
      </c>
      <c r="V117" s="627">
        <v>46565</v>
      </c>
      <c r="W117" s="627">
        <v>23.095000000000002</v>
      </c>
      <c r="X117" s="627">
        <v>14227</v>
      </c>
      <c r="Y117" s="627">
        <v>14227</v>
      </c>
      <c r="Z117" s="627">
        <v>0</v>
      </c>
      <c r="AA117" s="627">
        <v>0</v>
      </c>
      <c r="AB117" s="627">
        <v>0</v>
      </c>
      <c r="AC117" s="627">
        <v>0</v>
      </c>
      <c r="AD117" s="627">
        <v>0</v>
      </c>
      <c r="AE117" s="627" t="s">
        <v>314</v>
      </c>
      <c r="AF117" s="627">
        <v>0</v>
      </c>
      <c r="AG117" s="627">
        <v>0</v>
      </c>
      <c r="AH117" s="627">
        <v>0</v>
      </c>
      <c r="AI117" s="627">
        <v>0</v>
      </c>
      <c r="AJ117" s="627">
        <v>0</v>
      </c>
      <c r="AK117" s="627">
        <v>6160</v>
      </c>
      <c r="AL117" s="627" t="s">
        <v>651</v>
      </c>
      <c r="AM117" s="627" t="s">
        <v>807</v>
      </c>
      <c r="AN117" s="627">
        <v>0</v>
      </c>
      <c r="AO117" s="627">
        <v>0</v>
      </c>
      <c r="AP117" s="627">
        <v>0</v>
      </c>
      <c r="AQ117" s="627">
        <v>0</v>
      </c>
      <c r="AR117" s="627">
        <v>0</v>
      </c>
      <c r="AS117" s="627">
        <v>0</v>
      </c>
      <c r="AT117" s="627">
        <v>0</v>
      </c>
      <c r="AU117" s="627">
        <v>0</v>
      </c>
      <c r="AV117" s="627">
        <v>0</v>
      </c>
      <c r="AW117" s="627">
        <v>0</v>
      </c>
      <c r="AX117" s="627">
        <v>6340425</v>
      </c>
      <c r="AY117" s="627">
        <v>6341617</v>
      </c>
      <c r="AZ117" s="627">
        <v>2878130</v>
      </c>
      <c r="BA117" s="627">
        <v>89727</v>
      </c>
      <c r="BB117" s="627">
        <v>0</v>
      </c>
      <c r="BC117" s="627">
        <v>0</v>
      </c>
      <c r="BD117" s="627">
        <v>0</v>
      </c>
      <c r="BE117" s="627">
        <v>0</v>
      </c>
      <c r="BF117" s="627">
        <v>0</v>
      </c>
      <c r="BG117" s="627">
        <v>5233174</v>
      </c>
      <c r="BH117" s="627">
        <v>0</v>
      </c>
      <c r="BI117" s="627">
        <v>0</v>
      </c>
      <c r="BJ117" s="627">
        <v>0</v>
      </c>
      <c r="BK117" s="627">
        <v>12</v>
      </c>
      <c r="BL117" s="627">
        <v>0</v>
      </c>
      <c r="BM117" s="627">
        <v>0</v>
      </c>
      <c r="BN117" s="627">
        <v>0</v>
      </c>
      <c r="BO117" s="627">
        <v>0</v>
      </c>
      <c r="BP117" s="627">
        <v>0</v>
      </c>
      <c r="BQ117" s="627">
        <v>0</v>
      </c>
      <c r="BR117" s="627">
        <v>690</v>
      </c>
      <c r="BS117" s="627">
        <v>0</v>
      </c>
      <c r="BT117" s="627">
        <v>0</v>
      </c>
      <c r="BU117" s="627">
        <v>0</v>
      </c>
      <c r="BV117" s="627">
        <v>0</v>
      </c>
      <c r="BW117" s="627">
        <v>0</v>
      </c>
      <c r="BX117" s="627">
        <v>0</v>
      </c>
      <c r="BY117" s="627">
        <v>0</v>
      </c>
      <c r="BZ117" s="627">
        <v>0</v>
      </c>
      <c r="CA117" s="627">
        <v>0</v>
      </c>
      <c r="CB117" s="627">
        <v>228.45000000000002</v>
      </c>
      <c r="CC117" s="627">
        <v>228450</v>
      </c>
      <c r="CD117" s="627">
        <v>0</v>
      </c>
      <c r="CE117" s="627">
        <v>0</v>
      </c>
      <c r="CF117" s="627">
        <v>0</v>
      </c>
      <c r="CG117" s="627">
        <v>0</v>
      </c>
      <c r="CH117" s="627">
        <v>0</v>
      </c>
      <c r="CI117" s="627">
        <v>0</v>
      </c>
      <c r="CJ117" s="627">
        <v>0</v>
      </c>
      <c r="CK117" s="627">
        <v>4</v>
      </c>
      <c r="CL117" s="627">
        <v>0</v>
      </c>
      <c r="CM117" s="627">
        <v>0</v>
      </c>
      <c r="CN117" s="627">
        <v>0</v>
      </c>
      <c r="CO117" s="627">
        <v>0</v>
      </c>
      <c r="CP117" s="627">
        <v>1</v>
      </c>
      <c r="CQ117" s="627">
        <v>0</v>
      </c>
      <c r="CR117" s="627">
        <v>0</v>
      </c>
      <c r="CS117" s="627">
        <v>212.57</v>
      </c>
      <c r="CT117" s="627">
        <v>0</v>
      </c>
      <c r="CU117" s="627">
        <v>0</v>
      </c>
      <c r="CV117" s="627">
        <v>0</v>
      </c>
      <c r="CW117" s="627">
        <v>0</v>
      </c>
      <c r="CX117" s="627">
        <v>0</v>
      </c>
      <c r="CY117" s="627">
        <v>0</v>
      </c>
      <c r="CZ117" s="627">
        <v>0</v>
      </c>
      <c r="DA117" s="627">
        <v>0</v>
      </c>
      <c r="DB117" s="627">
        <v>0</v>
      </c>
      <c r="DC117" s="627">
        <v>3204407</v>
      </c>
      <c r="DD117" s="627">
        <v>0</v>
      </c>
      <c r="DE117" s="627">
        <v>0</v>
      </c>
      <c r="DF117" s="627">
        <v>846153</v>
      </c>
      <c r="DG117" s="627">
        <v>846153</v>
      </c>
      <c r="DH117" s="627">
        <v>137.363</v>
      </c>
      <c r="DI117" s="627">
        <v>0</v>
      </c>
      <c r="DJ117" s="627">
        <v>0</v>
      </c>
      <c r="DK117" s="627">
        <v>0</v>
      </c>
      <c r="DL117" s="627">
        <v>2661</v>
      </c>
      <c r="DM117" s="627">
        <v>0</v>
      </c>
      <c r="DN117" s="627">
        <v>349783</v>
      </c>
      <c r="DO117" s="627">
        <v>1192</v>
      </c>
      <c r="DP117" s="627">
        <v>0</v>
      </c>
      <c r="DQ117" s="627">
        <v>0</v>
      </c>
      <c r="DR117" s="627">
        <v>0</v>
      </c>
      <c r="DS117" s="627">
        <v>0</v>
      </c>
      <c r="DT117" s="627">
        <v>0</v>
      </c>
      <c r="DU117" s="627">
        <v>0</v>
      </c>
      <c r="DV117" s="627">
        <v>0</v>
      </c>
      <c r="DW117" s="627">
        <v>0</v>
      </c>
      <c r="DX117" s="627">
        <v>0</v>
      </c>
      <c r="DY117" s="627">
        <v>0</v>
      </c>
      <c r="DZ117" s="627">
        <v>0</v>
      </c>
      <c r="EA117" s="627">
        <v>0</v>
      </c>
      <c r="EB117" s="627">
        <v>0</v>
      </c>
      <c r="EC117" s="627">
        <v>0</v>
      </c>
      <c r="ED117" s="627">
        <v>3.4430000000000001</v>
      </c>
      <c r="EE117" s="627">
        <v>24390</v>
      </c>
      <c r="EF117" s="627">
        <v>0</v>
      </c>
      <c r="EG117" s="627">
        <v>0</v>
      </c>
      <c r="EH117" s="627">
        <v>0</v>
      </c>
      <c r="EI117" s="627">
        <v>326585</v>
      </c>
      <c r="EJ117" s="627">
        <v>0</v>
      </c>
      <c r="EK117" s="627">
        <v>0</v>
      </c>
      <c r="EL117" s="627">
        <v>12.977</v>
      </c>
      <c r="EM117" s="627">
        <v>0</v>
      </c>
      <c r="EN117" s="627">
        <v>2.1070000000000002</v>
      </c>
      <c r="EO117" s="627">
        <v>1.5530000000000002</v>
      </c>
      <c r="EP117" s="627">
        <v>0</v>
      </c>
      <c r="EQ117" s="627">
        <v>0</v>
      </c>
      <c r="ER117" s="627">
        <v>16.637</v>
      </c>
      <c r="ES117" s="627">
        <v>0</v>
      </c>
      <c r="ET117" s="627">
        <v>53.017000000000003</v>
      </c>
      <c r="EU117" s="627">
        <v>0</v>
      </c>
      <c r="EV117" s="627">
        <v>0</v>
      </c>
      <c r="EW117" s="627">
        <v>0</v>
      </c>
      <c r="EX117" s="627">
        <v>0</v>
      </c>
      <c r="EY117" s="627">
        <v>0</v>
      </c>
      <c r="EZ117" s="627">
        <v>0</v>
      </c>
      <c r="FA117" s="627">
        <v>5457553</v>
      </c>
      <c r="FB117" s="627">
        <v>0</v>
      </c>
      <c r="FC117" s="627">
        <v>5546088</v>
      </c>
      <c r="FD117" s="627">
        <v>0</v>
      </c>
      <c r="FE117" s="627">
        <v>0</v>
      </c>
      <c r="FF117" s="627">
        <v>753557</v>
      </c>
      <c r="FG117" s="627">
        <v>130507</v>
      </c>
      <c r="FH117" s="627">
        <v>7.0280999999999996E-2</v>
      </c>
      <c r="FI117" s="627">
        <v>3.1172999999999999E-2</v>
      </c>
      <c r="FJ117" s="627">
        <v>0</v>
      </c>
      <c r="FK117" s="627">
        <v>0</v>
      </c>
      <c r="FL117" s="627">
        <v>849.54100000000005</v>
      </c>
      <c r="FM117" s="627">
        <v>6430152</v>
      </c>
      <c r="FN117" s="627">
        <v>0</v>
      </c>
      <c r="FO117" s="627">
        <v>0</v>
      </c>
      <c r="FP117" s="627">
        <v>85656</v>
      </c>
      <c r="FQ117" s="627">
        <v>0</v>
      </c>
      <c r="FR117" s="627">
        <v>85656</v>
      </c>
      <c r="FS117" s="627">
        <v>85656</v>
      </c>
      <c r="FT117" s="627">
        <v>0</v>
      </c>
      <c r="FU117" s="627">
        <v>0</v>
      </c>
      <c r="FV117" s="627">
        <v>0</v>
      </c>
      <c r="FW117" s="627">
        <v>0</v>
      </c>
      <c r="FX117" s="627">
        <v>0</v>
      </c>
      <c r="FY117" s="627">
        <v>0</v>
      </c>
      <c r="FZ117" s="627">
        <v>0</v>
      </c>
      <c r="GA117" s="627">
        <v>0</v>
      </c>
      <c r="GB117" s="627">
        <v>0</v>
      </c>
      <c r="GC117" s="627">
        <v>0</v>
      </c>
      <c r="GD117" s="627">
        <v>0</v>
      </c>
      <c r="GE117" s="627">
        <v>0</v>
      </c>
      <c r="GF117" s="627">
        <v>0</v>
      </c>
      <c r="GG117" s="627">
        <v>0</v>
      </c>
      <c r="GH117" s="627">
        <v>0</v>
      </c>
      <c r="GI117" s="627">
        <v>0</v>
      </c>
      <c r="GJ117" s="627">
        <v>0</v>
      </c>
      <c r="GK117" s="627">
        <v>0</v>
      </c>
      <c r="GL117" s="627">
        <v>0</v>
      </c>
      <c r="GM117" s="627">
        <v>0</v>
      </c>
      <c r="GN117" s="627">
        <v>0</v>
      </c>
      <c r="GO117" s="627">
        <v>0</v>
      </c>
      <c r="GP117" s="627">
        <v>0</v>
      </c>
      <c r="GQ117" s="627">
        <v>0</v>
      </c>
      <c r="GR117" s="627">
        <v>6340425</v>
      </c>
      <c r="GS117" s="627">
        <v>0</v>
      </c>
      <c r="GT117" s="627">
        <v>0</v>
      </c>
      <c r="GU117" s="627">
        <v>0</v>
      </c>
      <c r="GV117" s="627">
        <v>0</v>
      </c>
      <c r="GW117" s="627">
        <v>0</v>
      </c>
      <c r="GX117" s="627">
        <v>0</v>
      </c>
      <c r="GY117" s="627">
        <v>0</v>
      </c>
      <c r="GZ117" s="627">
        <v>0</v>
      </c>
      <c r="HA117" s="627">
        <v>0</v>
      </c>
      <c r="HB117" s="627">
        <v>0</v>
      </c>
      <c r="HC117" s="627">
        <v>0</v>
      </c>
      <c r="HD117" s="627">
        <v>3.9981999999999997E-2</v>
      </c>
      <c r="HE117" s="627">
        <v>0</v>
      </c>
      <c r="HF117" s="627">
        <v>0</v>
      </c>
      <c r="HG117" s="627">
        <v>573256</v>
      </c>
      <c r="HH117" s="627">
        <v>30184</v>
      </c>
      <c r="HI117" s="627">
        <v>193604</v>
      </c>
      <c r="HJ117" s="627">
        <v>0</v>
      </c>
      <c r="HK117" s="627">
        <v>20368</v>
      </c>
      <c r="HL117" s="627">
        <v>0</v>
      </c>
      <c r="HM117" s="627">
        <v>0</v>
      </c>
      <c r="HN117" s="627">
        <v>0</v>
      </c>
      <c r="HO117" s="627">
        <v>0</v>
      </c>
      <c r="HP117" s="627">
        <v>0</v>
      </c>
      <c r="HQ117" s="627">
        <v>0</v>
      </c>
      <c r="HR117" s="627">
        <v>0</v>
      </c>
      <c r="HS117" s="627">
        <v>0</v>
      </c>
      <c r="HT117" s="627">
        <v>5456361</v>
      </c>
      <c r="HU117" s="627">
        <v>130507</v>
      </c>
      <c r="HV117" s="627">
        <v>0</v>
      </c>
      <c r="HW117" s="627">
        <v>0</v>
      </c>
      <c r="HX117" s="627">
        <v>0</v>
      </c>
      <c r="HY117" s="627">
        <v>18</v>
      </c>
      <c r="HZ117" s="627">
        <v>44</v>
      </c>
      <c r="IA117" s="627">
        <v>64</v>
      </c>
      <c r="IB117" s="627">
        <v>185</v>
      </c>
      <c r="IC117" s="627">
        <v>212</v>
      </c>
      <c r="ID117" s="627">
        <v>523</v>
      </c>
      <c r="IE117" s="627">
        <v>0</v>
      </c>
      <c r="IF117" s="627">
        <v>0</v>
      </c>
      <c r="IG117" s="627">
        <v>0</v>
      </c>
      <c r="IH117" s="627">
        <v>49</v>
      </c>
      <c r="II117" s="627">
        <v>314.29200000000003</v>
      </c>
      <c r="IJ117" s="627">
        <v>0</v>
      </c>
      <c r="IK117" s="627">
        <v>23.095000000000002</v>
      </c>
      <c r="IL117" s="627">
        <v>0</v>
      </c>
      <c r="IM117" s="627">
        <v>0</v>
      </c>
      <c r="IN117" s="627">
        <v>0</v>
      </c>
      <c r="IO117" s="627">
        <v>0</v>
      </c>
      <c r="IP117" s="627">
        <v>0</v>
      </c>
      <c r="IQ117" s="627">
        <v>0</v>
      </c>
      <c r="IR117" s="627">
        <v>23.095000000000002</v>
      </c>
      <c r="IS117" s="627">
        <v>14227</v>
      </c>
      <c r="IT117" s="627">
        <v>0</v>
      </c>
      <c r="IU117" s="627">
        <v>0</v>
      </c>
      <c r="IV117" s="627">
        <v>0</v>
      </c>
      <c r="IW117" s="627">
        <v>0</v>
      </c>
      <c r="IX117" s="627">
        <v>6160</v>
      </c>
      <c r="IY117" s="627">
        <v>0</v>
      </c>
      <c r="IZ117" s="627">
        <v>0</v>
      </c>
      <c r="JA117" s="627">
        <v>0</v>
      </c>
      <c r="JB117" s="627">
        <v>0</v>
      </c>
      <c r="JC117" s="627">
        <v>0</v>
      </c>
      <c r="JD117" s="627">
        <v>0</v>
      </c>
      <c r="JE117" s="627">
        <v>0</v>
      </c>
      <c r="JF117" s="627">
        <v>0</v>
      </c>
      <c r="JG117" s="627">
        <v>0</v>
      </c>
      <c r="JH117" s="627">
        <v>0</v>
      </c>
      <c r="JI117" s="627">
        <v>0</v>
      </c>
      <c r="JJ117" s="627">
        <v>0</v>
      </c>
      <c r="JK117" s="627">
        <v>0</v>
      </c>
      <c r="JL117" s="627">
        <v>0</v>
      </c>
      <c r="JM117" s="627">
        <v>0</v>
      </c>
      <c r="JN117" s="627">
        <v>0</v>
      </c>
      <c r="JO117" s="627">
        <v>0</v>
      </c>
      <c r="JP117" s="627">
        <v>0</v>
      </c>
      <c r="JQ117" s="627">
        <v>0</v>
      </c>
      <c r="JR117" s="627">
        <v>0</v>
      </c>
      <c r="JS117" s="627">
        <v>0</v>
      </c>
      <c r="JT117" s="627">
        <v>0</v>
      </c>
      <c r="JU117" s="627">
        <v>0</v>
      </c>
      <c r="JV117" s="627">
        <v>0</v>
      </c>
      <c r="JW117" s="627">
        <v>0</v>
      </c>
      <c r="JX117" s="627">
        <v>0</v>
      </c>
      <c r="JY117" s="627">
        <v>0</v>
      </c>
      <c r="JZ117" s="627">
        <v>0</v>
      </c>
      <c r="KA117" s="627">
        <v>0</v>
      </c>
      <c r="KB117" s="627">
        <v>0</v>
      </c>
      <c r="KC117" s="627">
        <v>0</v>
      </c>
      <c r="KD117" s="627">
        <v>0</v>
      </c>
      <c r="KE117" s="627">
        <v>0</v>
      </c>
      <c r="KF117" s="627">
        <v>7262</v>
      </c>
      <c r="KG117" s="627">
        <v>0</v>
      </c>
      <c r="KH117" s="627">
        <v>0</v>
      </c>
      <c r="KI117" s="627">
        <v>6340425</v>
      </c>
      <c r="KJ117" s="627">
        <v>0</v>
      </c>
      <c r="KK117" s="627">
        <v>0</v>
      </c>
      <c r="KL117" s="627">
        <v>49</v>
      </c>
      <c r="KM117" s="627">
        <v>0</v>
      </c>
      <c r="KN117" s="627">
        <v>30184</v>
      </c>
      <c r="KO117" s="627">
        <v>0</v>
      </c>
      <c r="KP117" s="627">
        <v>0</v>
      </c>
      <c r="KQ117" s="627">
        <v>6340425</v>
      </c>
      <c r="KR117" s="627">
        <v>0</v>
      </c>
      <c r="KS117" s="627">
        <v>0</v>
      </c>
      <c r="KT117" s="627">
        <v>0</v>
      </c>
      <c r="KU117" s="627">
        <v>0</v>
      </c>
      <c r="KV117" s="627">
        <v>0</v>
      </c>
      <c r="KW117" s="627">
        <v>0</v>
      </c>
      <c r="KX117" s="627">
        <v>0</v>
      </c>
      <c r="KY117" s="627">
        <v>0</v>
      </c>
      <c r="KZ117" s="627">
        <v>0</v>
      </c>
      <c r="LA117" s="627">
        <v>0</v>
      </c>
      <c r="LB117" s="627">
        <v>0</v>
      </c>
      <c r="LC117" s="627">
        <v>0</v>
      </c>
      <c r="LD117" s="627">
        <v>0</v>
      </c>
      <c r="LE117" s="627">
        <v>0</v>
      </c>
      <c r="LF117" s="627">
        <v>0</v>
      </c>
    </row>
    <row r="118" spans="1:318" x14ac:dyDescent="0.25">
      <c r="A118" s="627">
        <v>42602</v>
      </c>
      <c r="B118" s="627">
        <v>227820</v>
      </c>
      <c r="D118" s="627">
        <v>9</v>
      </c>
      <c r="E118" s="627">
        <v>2024</v>
      </c>
      <c r="F118" s="627">
        <v>6160</v>
      </c>
      <c r="G118" s="627">
        <v>0</v>
      </c>
      <c r="H118" s="627">
        <v>29940.575000000001</v>
      </c>
      <c r="I118" s="627">
        <v>27866.793000000001</v>
      </c>
      <c r="J118" s="627">
        <v>27866.793000000001</v>
      </c>
      <c r="K118" s="627">
        <v>29940.575000000001</v>
      </c>
      <c r="L118" s="627">
        <v>0</v>
      </c>
      <c r="M118" s="627">
        <v>6160</v>
      </c>
      <c r="N118" s="627">
        <v>0</v>
      </c>
      <c r="O118" s="627">
        <v>0</v>
      </c>
      <c r="P118" s="627">
        <v>0</v>
      </c>
      <c r="Q118" s="627">
        <v>28825.601999999999</v>
      </c>
      <c r="R118" s="627">
        <v>0</v>
      </c>
      <c r="S118" s="627">
        <v>11959281</v>
      </c>
      <c r="T118" s="627">
        <v>414.88400000000001</v>
      </c>
      <c r="U118" s="627">
        <v>0</v>
      </c>
      <c r="V118" s="627">
        <v>6206382</v>
      </c>
      <c r="W118" s="627">
        <v>12273.963</v>
      </c>
      <c r="X118" s="627">
        <v>7560761</v>
      </c>
      <c r="Y118" s="627">
        <v>7560761</v>
      </c>
      <c r="Z118" s="627">
        <v>0</v>
      </c>
      <c r="AA118" s="627">
        <v>0</v>
      </c>
      <c r="AB118" s="627">
        <v>0</v>
      </c>
      <c r="AC118" s="627">
        <v>0</v>
      </c>
      <c r="AD118" s="627">
        <v>0</v>
      </c>
      <c r="AE118" s="627" t="s">
        <v>314</v>
      </c>
      <c r="AF118" s="627">
        <v>0</v>
      </c>
      <c r="AG118" s="627">
        <v>0</v>
      </c>
      <c r="AH118" s="627">
        <v>0</v>
      </c>
      <c r="AI118" s="627">
        <v>0</v>
      </c>
      <c r="AJ118" s="627">
        <v>0</v>
      </c>
      <c r="AK118" s="627">
        <v>6160</v>
      </c>
      <c r="AL118" s="627" t="s">
        <v>651</v>
      </c>
      <c r="AM118" s="627" t="s">
        <v>463</v>
      </c>
      <c r="AN118" s="627">
        <v>0</v>
      </c>
      <c r="AO118" s="627">
        <v>0</v>
      </c>
      <c r="AP118" s="627">
        <v>0</v>
      </c>
      <c r="AQ118" s="627">
        <v>0</v>
      </c>
      <c r="AR118" s="627">
        <v>0</v>
      </c>
      <c r="AS118" s="627">
        <v>0</v>
      </c>
      <c r="AT118" s="627">
        <v>0</v>
      </c>
      <c r="AU118" s="627">
        <v>0</v>
      </c>
      <c r="AV118" s="627">
        <v>0</v>
      </c>
      <c r="AW118" s="627">
        <v>0</v>
      </c>
      <c r="AX118" s="627">
        <v>351783599</v>
      </c>
      <c r="AY118" s="627">
        <v>347070750</v>
      </c>
      <c r="AZ118" s="627">
        <v>171677760</v>
      </c>
      <c r="BA118" s="627">
        <v>11959281</v>
      </c>
      <c r="BB118" s="627">
        <v>0</v>
      </c>
      <c r="BC118" s="627">
        <v>0</v>
      </c>
      <c r="BD118" s="627">
        <v>0</v>
      </c>
      <c r="BE118" s="627">
        <v>0</v>
      </c>
      <c r="BF118" s="627">
        <v>0</v>
      </c>
      <c r="BG118" s="627">
        <v>303879674</v>
      </c>
      <c r="BH118" s="627">
        <v>0</v>
      </c>
      <c r="BI118" s="627">
        <v>0</v>
      </c>
      <c r="BJ118" s="627">
        <v>0</v>
      </c>
      <c r="BK118" s="627">
        <v>12</v>
      </c>
      <c r="BL118" s="627">
        <v>0</v>
      </c>
      <c r="BM118" s="627">
        <v>0</v>
      </c>
      <c r="BN118" s="627">
        <v>0</v>
      </c>
      <c r="BO118" s="627">
        <v>0</v>
      </c>
      <c r="BP118" s="627">
        <v>0</v>
      </c>
      <c r="BQ118" s="627">
        <v>0</v>
      </c>
      <c r="BR118" s="627">
        <v>0</v>
      </c>
      <c r="BS118" s="627">
        <v>0</v>
      </c>
      <c r="BT118" s="627">
        <v>0</v>
      </c>
      <c r="BU118" s="627">
        <v>0</v>
      </c>
      <c r="BV118" s="627">
        <v>0</v>
      </c>
      <c r="BW118" s="627">
        <v>0</v>
      </c>
      <c r="BX118" s="627">
        <v>0</v>
      </c>
      <c r="BY118" s="627">
        <v>0</v>
      </c>
      <c r="BZ118" s="627">
        <v>0</v>
      </c>
      <c r="CA118" s="627">
        <v>0</v>
      </c>
      <c r="CB118" s="627">
        <v>1335.8590000000002</v>
      </c>
      <c r="CC118" s="627">
        <v>1335859</v>
      </c>
      <c r="CD118" s="627">
        <v>0</v>
      </c>
      <c r="CE118" s="627">
        <v>0</v>
      </c>
      <c r="CF118" s="627">
        <v>0</v>
      </c>
      <c r="CG118" s="627">
        <v>0</v>
      </c>
      <c r="CH118" s="627">
        <v>0</v>
      </c>
      <c r="CI118" s="627">
        <v>4788355</v>
      </c>
      <c r="CJ118" s="627">
        <v>0</v>
      </c>
      <c r="CK118" s="627">
        <v>4</v>
      </c>
      <c r="CL118" s="627">
        <v>0</v>
      </c>
      <c r="CM118" s="627">
        <v>0</v>
      </c>
      <c r="CN118" s="627">
        <v>0</v>
      </c>
      <c r="CO118" s="627">
        <v>0</v>
      </c>
      <c r="CP118" s="627">
        <v>1</v>
      </c>
      <c r="CQ118" s="627">
        <v>0</v>
      </c>
      <c r="CR118" s="627">
        <v>0</v>
      </c>
      <c r="CS118" s="627">
        <v>28730.16</v>
      </c>
      <c r="CT118" s="627">
        <v>0</v>
      </c>
      <c r="CU118" s="627">
        <v>0</v>
      </c>
      <c r="CV118" s="627">
        <v>0</v>
      </c>
      <c r="CW118" s="627">
        <v>0</v>
      </c>
      <c r="CX118" s="627">
        <v>0</v>
      </c>
      <c r="CY118" s="627">
        <v>0</v>
      </c>
      <c r="CZ118" s="627">
        <v>0</v>
      </c>
      <c r="DA118" s="627">
        <v>0</v>
      </c>
      <c r="DB118" s="627">
        <v>0</v>
      </c>
      <c r="DC118" s="627">
        <v>171659445</v>
      </c>
      <c r="DD118" s="627">
        <v>0</v>
      </c>
      <c r="DE118" s="627">
        <v>0</v>
      </c>
      <c r="DF118" s="627">
        <v>50263290</v>
      </c>
      <c r="DG118" s="627">
        <v>50263290</v>
      </c>
      <c r="DH118" s="627">
        <v>8159.625</v>
      </c>
      <c r="DI118" s="627">
        <v>0</v>
      </c>
      <c r="DJ118" s="627">
        <v>0</v>
      </c>
      <c r="DK118" s="627">
        <v>0</v>
      </c>
      <c r="DL118" s="627">
        <v>0</v>
      </c>
      <c r="DM118" s="627">
        <v>0</v>
      </c>
      <c r="DN118" s="627">
        <v>22153097</v>
      </c>
      <c r="DO118" s="627">
        <v>75506</v>
      </c>
      <c r="DP118" s="627">
        <v>0</v>
      </c>
      <c r="DQ118" s="627">
        <v>0</v>
      </c>
      <c r="DR118" s="627">
        <v>0</v>
      </c>
      <c r="DS118" s="627">
        <v>0</v>
      </c>
      <c r="DT118" s="627">
        <v>0</v>
      </c>
      <c r="DU118" s="627">
        <v>0</v>
      </c>
      <c r="DV118" s="627">
        <v>0</v>
      </c>
      <c r="DW118" s="627">
        <v>0</v>
      </c>
      <c r="DX118" s="627">
        <v>0</v>
      </c>
      <c r="DY118" s="627">
        <v>0</v>
      </c>
      <c r="DZ118" s="627">
        <v>0</v>
      </c>
      <c r="EA118" s="627">
        <v>0</v>
      </c>
      <c r="EB118" s="627">
        <v>4.0000000000000001E-3</v>
      </c>
      <c r="EC118" s="627">
        <v>0</v>
      </c>
      <c r="ED118" s="627">
        <v>840.99300000000005</v>
      </c>
      <c r="EE118" s="627">
        <v>5957594</v>
      </c>
      <c r="EF118" s="627">
        <v>0</v>
      </c>
      <c r="EG118" s="627">
        <v>0</v>
      </c>
      <c r="EH118" s="627">
        <v>0.58900000000000008</v>
      </c>
      <c r="EI118" s="627">
        <v>16271009</v>
      </c>
      <c r="EJ118" s="627">
        <v>0</v>
      </c>
      <c r="EK118" s="627">
        <v>0</v>
      </c>
      <c r="EL118" s="627">
        <v>669.56700000000001</v>
      </c>
      <c r="EM118" s="627">
        <v>2.7320000000000002</v>
      </c>
      <c r="EN118" s="627">
        <v>117.65600000000001</v>
      </c>
      <c r="EO118" s="627">
        <v>54.050000000000004</v>
      </c>
      <c r="EP118" s="627">
        <v>0</v>
      </c>
      <c r="EQ118" s="627">
        <v>0</v>
      </c>
      <c r="ER118" s="627">
        <v>845.28700000000003</v>
      </c>
      <c r="ES118" s="627">
        <v>3.4210000000000003</v>
      </c>
      <c r="ET118" s="627">
        <v>2641.3980000000001</v>
      </c>
      <c r="EU118" s="627">
        <v>0</v>
      </c>
      <c r="EV118" s="627">
        <v>0</v>
      </c>
      <c r="EW118" s="627">
        <v>0</v>
      </c>
      <c r="EX118" s="627">
        <v>0</v>
      </c>
      <c r="EY118" s="627">
        <v>0</v>
      </c>
      <c r="EZ118" s="627">
        <v>0</v>
      </c>
      <c r="FA118" s="627">
        <v>295734963</v>
      </c>
      <c r="FB118" s="627">
        <v>0</v>
      </c>
      <c r="FC118" s="627">
        <v>307618738</v>
      </c>
      <c r="FD118" s="627">
        <v>0</v>
      </c>
      <c r="FE118" s="627">
        <v>0</v>
      </c>
      <c r="FF118" s="627">
        <v>43757514</v>
      </c>
      <c r="FG118" s="627">
        <v>7578273</v>
      </c>
      <c r="FH118" s="627">
        <v>7.0280999999999996E-2</v>
      </c>
      <c r="FI118" s="627">
        <v>3.1172999999999999E-2</v>
      </c>
      <c r="FJ118" s="627">
        <v>0</v>
      </c>
      <c r="FK118" s="627">
        <v>0</v>
      </c>
      <c r="FL118" s="627">
        <v>49331.116000000002</v>
      </c>
      <c r="FM118" s="627">
        <v>363742880</v>
      </c>
      <c r="FN118" s="627">
        <v>0</v>
      </c>
      <c r="FO118" s="627">
        <v>19343</v>
      </c>
      <c r="FP118" s="627">
        <v>1905102</v>
      </c>
      <c r="FQ118" s="627">
        <v>439797</v>
      </c>
      <c r="FR118" s="627">
        <v>2364242</v>
      </c>
      <c r="FS118" s="627">
        <v>1924445</v>
      </c>
      <c r="FT118" s="627">
        <v>0</v>
      </c>
      <c r="FU118" s="627">
        <v>0</v>
      </c>
      <c r="FV118" s="627">
        <v>0</v>
      </c>
      <c r="FW118" s="627">
        <v>0</v>
      </c>
      <c r="FX118" s="627">
        <v>0</v>
      </c>
      <c r="FY118" s="627">
        <v>0</v>
      </c>
      <c r="FZ118" s="627">
        <v>0</v>
      </c>
      <c r="GA118" s="627">
        <v>0</v>
      </c>
      <c r="GB118" s="627">
        <v>0</v>
      </c>
      <c r="GC118" s="627">
        <v>11742291</v>
      </c>
      <c r="GD118" s="627">
        <v>11742291</v>
      </c>
      <c r="GE118" s="627">
        <v>1228.4950000000001</v>
      </c>
      <c r="GF118" s="627">
        <v>0</v>
      </c>
      <c r="GG118" s="627">
        <v>0</v>
      </c>
      <c r="GH118" s="627">
        <v>0</v>
      </c>
      <c r="GI118" s="627">
        <v>0</v>
      </c>
      <c r="GJ118" s="627">
        <v>0</v>
      </c>
      <c r="GK118" s="627">
        <v>0</v>
      </c>
      <c r="GL118" s="627">
        <v>0</v>
      </c>
      <c r="GM118" s="627">
        <v>0</v>
      </c>
      <c r="GN118" s="627">
        <v>0</v>
      </c>
      <c r="GO118" s="627">
        <v>0</v>
      </c>
      <c r="GP118" s="627">
        <v>0</v>
      </c>
      <c r="GQ118" s="627">
        <v>0</v>
      </c>
      <c r="GR118" s="627">
        <v>346995244</v>
      </c>
      <c r="GS118" s="627">
        <v>0</v>
      </c>
      <c r="GT118" s="627">
        <v>0</v>
      </c>
      <c r="GU118" s="627">
        <v>0</v>
      </c>
      <c r="GV118" s="627">
        <v>0</v>
      </c>
      <c r="GW118" s="627">
        <v>0</v>
      </c>
      <c r="GX118" s="627">
        <v>0</v>
      </c>
      <c r="GY118" s="627">
        <v>0</v>
      </c>
      <c r="GZ118" s="627">
        <v>0</v>
      </c>
      <c r="HA118" s="627">
        <v>0</v>
      </c>
      <c r="HB118" s="627">
        <v>0</v>
      </c>
      <c r="HC118" s="627">
        <v>361151439</v>
      </c>
      <c r="HD118" s="627">
        <v>3.9981999999999997E-2</v>
      </c>
      <c r="HE118" s="627">
        <v>4788355</v>
      </c>
      <c r="HF118" s="627">
        <v>0</v>
      </c>
      <c r="HG118" s="627">
        <v>30709206</v>
      </c>
      <c r="HH118" s="627">
        <v>57904</v>
      </c>
      <c r="HI118" s="627">
        <v>7217440</v>
      </c>
      <c r="HJ118" s="627">
        <v>0</v>
      </c>
      <c r="HK118" s="627">
        <v>1169406</v>
      </c>
      <c r="HL118" s="627">
        <v>75341</v>
      </c>
      <c r="HM118" s="627">
        <v>39128</v>
      </c>
      <c r="HN118" s="627">
        <v>593000</v>
      </c>
      <c r="HO118" s="627">
        <v>678328</v>
      </c>
      <c r="HP118" s="627">
        <v>0</v>
      </c>
      <c r="HQ118" s="627">
        <v>0</v>
      </c>
      <c r="HR118" s="627">
        <v>0</v>
      </c>
      <c r="HS118" s="627">
        <v>0</v>
      </c>
      <c r="HT118" s="627">
        <v>295659457</v>
      </c>
      <c r="HU118" s="627">
        <v>7578273</v>
      </c>
      <c r="HV118" s="627">
        <v>0</v>
      </c>
      <c r="HW118" s="627">
        <v>0</v>
      </c>
      <c r="HX118" s="627">
        <v>0</v>
      </c>
      <c r="HY118" s="627">
        <v>2550</v>
      </c>
      <c r="HZ118" s="627">
        <v>4323</v>
      </c>
      <c r="IA118" s="627">
        <v>5311</v>
      </c>
      <c r="IB118" s="627">
        <v>8111</v>
      </c>
      <c r="IC118" s="627">
        <v>11281</v>
      </c>
      <c r="ID118" s="627">
        <v>31576</v>
      </c>
      <c r="IE118" s="627">
        <v>0</v>
      </c>
      <c r="IF118" s="627">
        <v>0</v>
      </c>
      <c r="IG118" s="627">
        <v>0</v>
      </c>
      <c r="IH118" s="627">
        <v>94</v>
      </c>
      <c r="II118" s="627">
        <v>11716.623</v>
      </c>
      <c r="IJ118" s="627">
        <v>0</v>
      </c>
      <c r="IK118" s="627">
        <v>12273.963</v>
      </c>
      <c r="IL118" s="627">
        <v>0</v>
      </c>
      <c r="IM118" s="627">
        <v>112</v>
      </c>
      <c r="IN118" s="627">
        <v>11</v>
      </c>
      <c r="IO118" s="627">
        <v>0</v>
      </c>
      <c r="IP118" s="627">
        <v>123</v>
      </c>
      <c r="IQ118" s="627">
        <v>0</v>
      </c>
      <c r="IR118" s="627">
        <v>12273.963</v>
      </c>
      <c r="IS118" s="627">
        <v>7560761</v>
      </c>
      <c r="IT118" s="627">
        <v>0</v>
      </c>
      <c r="IU118" s="627">
        <v>560000</v>
      </c>
      <c r="IV118" s="627">
        <v>33000</v>
      </c>
      <c r="IW118" s="627">
        <v>0</v>
      </c>
      <c r="IX118" s="627">
        <v>6160</v>
      </c>
      <c r="IY118" s="627">
        <v>0</v>
      </c>
      <c r="IZ118" s="627">
        <v>0</v>
      </c>
      <c r="JA118" s="627">
        <v>0</v>
      </c>
      <c r="JB118" s="627">
        <v>0</v>
      </c>
      <c r="JC118" s="627">
        <v>9</v>
      </c>
      <c r="JD118" s="627">
        <v>213176</v>
      </c>
      <c r="JE118" s="627">
        <v>19</v>
      </c>
      <c r="JF118" s="627">
        <v>243313</v>
      </c>
      <c r="JG118" s="627">
        <v>28</v>
      </c>
      <c r="JH118" s="627">
        <v>189639</v>
      </c>
      <c r="JI118" s="627">
        <v>32200</v>
      </c>
      <c r="JJ118" s="627">
        <v>0</v>
      </c>
      <c r="JK118" s="627">
        <v>0</v>
      </c>
      <c r="JL118" s="627">
        <v>0</v>
      </c>
      <c r="JM118" s="627">
        <v>0</v>
      </c>
      <c r="JN118" s="627">
        <v>0</v>
      </c>
      <c r="JO118" s="627">
        <v>32469</v>
      </c>
      <c r="JP118" s="627">
        <v>3.6070000000000002</v>
      </c>
      <c r="JQ118" s="627">
        <v>987.39200000000005</v>
      </c>
      <c r="JR118" s="627">
        <v>237.49700000000001</v>
      </c>
      <c r="JS118" s="627">
        <v>28813</v>
      </c>
      <c r="JT118" s="627">
        <v>9178164</v>
      </c>
      <c r="JU118" s="627">
        <v>2535314</v>
      </c>
      <c r="JV118" s="627">
        <v>0</v>
      </c>
      <c r="JW118" s="627">
        <v>0</v>
      </c>
      <c r="JX118" s="627">
        <v>0</v>
      </c>
      <c r="JY118" s="627">
        <v>0</v>
      </c>
      <c r="JZ118" s="627">
        <v>0</v>
      </c>
      <c r="KA118" s="627">
        <v>0</v>
      </c>
      <c r="KB118" s="627">
        <v>0</v>
      </c>
      <c r="KC118" s="627">
        <v>0</v>
      </c>
      <c r="KD118" s="627">
        <v>0</v>
      </c>
      <c r="KE118" s="627">
        <v>0</v>
      </c>
      <c r="KF118" s="627">
        <v>7262</v>
      </c>
      <c r="KG118" s="627">
        <v>0</v>
      </c>
      <c r="KH118" s="627">
        <v>0</v>
      </c>
      <c r="KI118" s="627">
        <v>346995244</v>
      </c>
      <c r="KJ118" s="627">
        <v>0</v>
      </c>
      <c r="KK118" s="627">
        <v>55</v>
      </c>
      <c r="KL118" s="627">
        <v>39</v>
      </c>
      <c r="KM118" s="627">
        <v>33880</v>
      </c>
      <c r="KN118" s="627">
        <v>24024</v>
      </c>
      <c r="KO118" s="627">
        <v>0</v>
      </c>
      <c r="KP118" s="627">
        <v>0</v>
      </c>
      <c r="KQ118" s="627">
        <v>346995244</v>
      </c>
      <c r="KR118" s="627">
        <v>0</v>
      </c>
      <c r="KS118" s="627">
        <v>0</v>
      </c>
      <c r="KT118" s="627">
        <v>0</v>
      </c>
      <c r="KU118" s="627">
        <v>0</v>
      </c>
      <c r="KV118" s="627">
        <v>0</v>
      </c>
      <c r="KW118" s="627">
        <v>0</v>
      </c>
      <c r="KX118" s="627">
        <v>0</v>
      </c>
      <c r="KY118" s="627">
        <v>0</v>
      </c>
      <c r="KZ118" s="627">
        <v>0</v>
      </c>
      <c r="LA118" s="627">
        <v>0</v>
      </c>
      <c r="LB118" s="627">
        <v>0</v>
      </c>
      <c r="LC118" s="627">
        <v>0</v>
      </c>
      <c r="LD118" s="627">
        <v>0</v>
      </c>
      <c r="LE118" s="627">
        <v>0</v>
      </c>
      <c r="LF118" s="627">
        <v>0</v>
      </c>
    </row>
    <row r="119" spans="1:318" x14ac:dyDescent="0.25">
      <c r="A119" s="627">
        <v>42602</v>
      </c>
      <c r="B119" s="627">
        <v>101821</v>
      </c>
      <c r="D119" s="627">
        <v>9</v>
      </c>
      <c r="E119" s="627">
        <v>2024</v>
      </c>
      <c r="F119" s="627">
        <v>6160</v>
      </c>
      <c r="G119" s="627">
        <v>0</v>
      </c>
      <c r="H119" s="627">
        <v>162.74</v>
      </c>
      <c r="I119" s="627">
        <v>147.42100000000002</v>
      </c>
      <c r="J119" s="627">
        <v>147.42100000000002</v>
      </c>
      <c r="K119" s="627">
        <v>162.74</v>
      </c>
      <c r="L119" s="627">
        <v>0</v>
      </c>
      <c r="M119" s="627">
        <v>6160</v>
      </c>
      <c r="N119" s="627">
        <v>0</v>
      </c>
      <c r="O119" s="627">
        <v>0</v>
      </c>
      <c r="P119" s="627">
        <v>0</v>
      </c>
      <c r="Q119" s="627">
        <v>157.113</v>
      </c>
      <c r="R119" s="627">
        <v>0</v>
      </c>
      <c r="S119" s="627">
        <v>65184</v>
      </c>
      <c r="T119" s="627">
        <v>414.88400000000001</v>
      </c>
      <c r="U119" s="627">
        <v>0</v>
      </c>
      <c r="V119" s="627">
        <v>33827</v>
      </c>
      <c r="W119" s="627">
        <v>0</v>
      </c>
      <c r="X119" s="627">
        <v>0</v>
      </c>
      <c r="Y119" s="627">
        <v>0</v>
      </c>
      <c r="Z119" s="627">
        <v>0</v>
      </c>
      <c r="AA119" s="627">
        <v>0</v>
      </c>
      <c r="AB119" s="627">
        <v>0</v>
      </c>
      <c r="AC119" s="627">
        <v>0</v>
      </c>
      <c r="AD119" s="627">
        <v>0</v>
      </c>
      <c r="AE119" s="627" t="s">
        <v>314</v>
      </c>
      <c r="AF119" s="627">
        <v>0</v>
      </c>
      <c r="AG119" s="627">
        <v>0</v>
      </c>
      <c r="AH119" s="627">
        <v>0</v>
      </c>
      <c r="AI119" s="627">
        <v>0</v>
      </c>
      <c r="AJ119" s="627">
        <v>0</v>
      </c>
      <c r="AK119" s="627">
        <v>6160</v>
      </c>
      <c r="AL119" s="627" t="s">
        <v>651</v>
      </c>
      <c r="AM119" s="627" t="s">
        <v>9</v>
      </c>
      <c r="AN119" s="627">
        <v>0</v>
      </c>
      <c r="AO119" s="627">
        <v>0</v>
      </c>
      <c r="AP119" s="627">
        <v>0</v>
      </c>
      <c r="AQ119" s="627">
        <v>0</v>
      </c>
      <c r="AR119" s="627">
        <v>0</v>
      </c>
      <c r="AS119" s="627">
        <v>0</v>
      </c>
      <c r="AT119" s="627">
        <v>0</v>
      </c>
      <c r="AU119" s="627">
        <v>0</v>
      </c>
      <c r="AV119" s="627">
        <v>0</v>
      </c>
      <c r="AW119" s="627">
        <v>0</v>
      </c>
      <c r="AX119" s="627">
        <v>1909593</v>
      </c>
      <c r="AY119" s="627">
        <v>1884186</v>
      </c>
      <c r="AZ119" s="627">
        <v>915517</v>
      </c>
      <c r="BA119" s="627">
        <v>65184</v>
      </c>
      <c r="BB119" s="627">
        <v>0</v>
      </c>
      <c r="BC119" s="627">
        <v>0</v>
      </c>
      <c r="BD119" s="627">
        <v>0</v>
      </c>
      <c r="BE119" s="627">
        <v>0</v>
      </c>
      <c r="BF119" s="627">
        <v>0</v>
      </c>
      <c r="BG119" s="627">
        <v>1628228</v>
      </c>
      <c r="BH119" s="627">
        <v>0</v>
      </c>
      <c r="BI119" s="627">
        <v>0</v>
      </c>
      <c r="BJ119" s="627">
        <v>0</v>
      </c>
      <c r="BK119" s="627">
        <v>12</v>
      </c>
      <c r="BL119" s="627">
        <v>0</v>
      </c>
      <c r="BM119" s="627">
        <v>0</v>
      </c>
      <c r="BN119" s="627">
        <v>0</v>
      </c>
      <c r="BO119" s="627">
        <v>0</v>
      </c>
      <c r="BP119" s="627">
        <v>0</v>
      </c>
      <c r="BQ119" s="627">
        <v>0</v>
      </c>
      <c r="BR119" s="627">
        <v>747</v>
      </c>
      <c r="BS119" s="627">
        <v>0</v>
      </c>
      <c r="BT119" s="627">
        <v>0</v>
      </c>
      <c r="BU119" s="627">
        <v>0</v>
      </c>
      <c r="BV119" s="627">
        <v>0</v>
      </c>
      <c r="BW119" s="627">
        <v>0</v>
      </c>
      <c r="BX119" s="627">
        <v>0</v>
      </c>
      <c r="BY119" s="627">
        <v>0</v>
      </c>
      <c r="BZ119" s="627">
        <v>0</v>
      </c>
      <c r="CA119" s="627">
        <v>0</v>
      </c>
      <c r="CB119" s="627">
        <v>0</v>
      </c>
      <c r="CC119" s="627">
        <v>0</v>
      </c>
      <c r="CD119" s="627">
        <v>0</v>
      </c>
      <c r="CE119" s="627">
        <v>0</v>
      </c>
      <c r="CF119" s="627">
        <v>0</v>
      </c>
      <c r="CG119" s="627">
        <v>0</v>
      </c>
      <c r="CH119" s="627">
        <v>0</v>
      </c>
      <c r="CI119" s="627">
        <v>26027</v>
      </c>
      <c r="CJ119" s="627">
        <v>0</v>
      </c>
      <c r="CK119" s="627">
        <v>4</v>
      </c>
      <c r="CL119" s="627">
        <v>0</v>
      </c>
      <c r="CM119" s="627">
        <v>0</v>
      </c>
      <c r="CN119" s="627">
        <v>0</v>
      </c>
      <c r="CO119" s="627">
        <v>0</v>
      </c>
      <c r="CP119" s="627">
        <v>1</v>
      </c>
      <c r="CQ119" s="627">
        <v>0.55700000000000005</v>
      </c>
      <c r="CR119" s="627">
        <v>0</v>
      </c>
      <c r="CS119" s="627">
        <v>156.97</v>
      </c>
      <c r="CT119" s="627">
        <v>0</v>
      </c>
      <c r="CU119" s="627">
        <v>0</v>
      </c>
      <c r="CV119" s="627">
        <v>0</v>
      </c>
      <c r="CW119" s="627">
        <v>0</v>
      </c>
      <c r="CX119" s="627">
        <v>0</v>
      </c>
      <c r="CY119" s="627">
        <v>0</v>
      </c>
      <c r="CZ119" s="627">
        <v>0</v>
      </c>
      <c r="DA119" s="627">
        <v>0</v>
      </c>
      <c r="DB119" s="627">
        <v>0</v>
      </c>
      <c r="DC119" s="627">
        <v>898732</v>
      </c>
      <c r="DD119" s="627">
        <v>0</v>
      </c>
      <c r="DE119" s="627">
        <v>0</v>
      </c>
      <c r="DF119" s="627">
        <v>243859</v>
      </c>
      <c r="DG119" s="627">
        <v>252128</v>
      </c>
      <c r="DH119" s="627">
        <v>39.588000000000001</v>
      </c>
      <c r="DI119" s="627">
        <v>0</v>
      </c>
      <c r="DJ119" s="627">
        <v>8269</v>
      </c>
      <c r="DK119" s="627">
        <v>0</v>
      </c>
      <c r="DL119" s="627">
        <v>3579</v>
      </c>
      <c r="DM119" s="627">
        <v>0</v>
      </c>
      <c r="DN119" s="627">
        <v>191379</v>
      </c>
      <c r="DO119" s="627">
        <v>620</v>
      </c>
      <c r="DP119" s="627">
        <v>0</v>
      </c>
      <c r="DQ119" s="627">
        <v>0</v>
      </c>
      <c r="DR119" s="627">
        <v>0</v>
      </c>
      <c r="DS119" s="627">
        <v>0</v>
      </c>
      <c r="DT119" s="627">
        <v>0</v>
      </c>
      <c r="DU119" s="627">
        <v>0</v>
      </c>
      <c r="DV119" s="627">
        <v>0</v>
      </c>
      <c r="DW119" s="627">
        <v>0</v>
      </c>
      <c r="DX119" s="627">
        <v>0</v>
      </c>
      <c r="DY119" s="627">
        <v>0</v>
      </c>
      <c r="DZ119" s="627">
        <v>0</v>
      </c>
      <c r="EA119" s="627">
        <v>0</v>
      </c>
      <c r="EB119" s="627">
        <v>0</v>
      </c>
      <c r="EC119" s="627">
        <v>0</v>
      </c>
      <c r="ED119" s="627">
        <v>16.332000000000001</v>
      </c>
      <c r="EE119" s="627">
        <v>115696</v>
      </c>
      <c r="EF119" s="627">
        <v>0</v>
      </c>
      <c r="EG119" s="627">
        <v>0</v>
      </c>
      <c r="EH119" s="627">
        <v>0</v>
      </c>
      <c r="EI119" s="627">
        <v>66922</v>
      </c>
      <c r="EJ119" s="627">
        <v>0</v>
      </c>
      <c r="EK119" s="627">
        <v>0</v>
      </c>
      <c r="EL119" s="627">
        <v>3.4330000000000003</v>
      </c>
      <c r="EM119" s="627">
        <v>0</v>
      </c>
      <c r="EN119" s="627">
        <v>0</v>
      </c>
      <c r="EO119" s="627">
        <v>0.113</v>
      </c>
      <c r="EP119" s="627">
        <v>0</v>
      </c>
      <c r="EQ119" s="627">
        <v>0</v>
      </c>
      <c r="ER119" s="627">
        <v>3.5460000000000003</v>
      </c>
      <c r="ES119" s="627">
        <v>0</v>
      </c>
      <c r="ET119" s="627">
        <v>10.864000000000001</v>
      </c>
      <c r="EU119" s="627">
        <v>0</v>
      </c>
      <c r="EV119" s="627">
        <v>0</v>
      </c>
      <c r="EW119" s="627">
        <v>0</v>
      </c>
      <c r="EX119" s="627">
        <v>0</v>
      </c>
      <c r="EY119" s="627">
        <v>0</v>
      </c>
      <c r="EZ119" s="627">
        <v>0</v>
      </c>
      <c r="FA119" s="627">
        <v>1609122</v>
      </c>
      <c r="FB119" s="627">
        <v>0</v>
      </c>
      <c r="FC119" s="627">
        <v>1673686</v>
      </c>
      <c r="FD119" s="627">
        <v>0</v>
      </c>
      <c r="FE119" s="627">
        <v>0</v>
      </c>
      <c r="FF119" s="627">
        <v>234459</v>
      </c>
      <c r="FG119" s="627">
        <v>40605</v>
      </c>
      <c r="FH119" s="627">
        <v>7.0280999999999996E-2</v>
      </c>
      <c r="FI119" s="627">
        <v>3.1172999999999999E-2</v>
      </c>
      <c r="FJ119" s="627">
        <v>0</v>
      </c>
      <c r="FK119" s="627">
        <v>0</v>
      </c>
      <c r="FL119" s="627">
        <v>264.32300000000004</v>
      </c>
      <c r="FM119" s="627">
        <v>1974777</v>
      </c>
      <c r="FN119" s="627">
        <v>0</v>
      </c>
      <c r="FO119" s="627">
        <v>0</v>
      </c>
      <c r="FP119" s="627">
        <v>0</v>
      </c>
      <c r="FQ119" s="627">
        <v>0</v>
      </c>
      <c r="FR119" s="627">
        <v>0</v>
      </c>
      <c r="FS119" s="627">
        <v>0</v>
      </c>
      <c r="FT119" s="627">
        <v>0</v>
      </c>
      <c r="FU119" s="627">
        <v>0</v>
      </c>
      <c r="FV119" s="627">
        <v>0</v>
      </c>
      <c r="FW119" s="627">
        <v>0</v>
      </c>
      <c r="FX119" s="627">
        <v>0</v>
      </c>
      <c r="FY119" s="627">
        <v>0</v>
      </c>
      <c r="FZ119" s="627">
        <v>0</v>
      </c>
      <c r="GA119" s="627">
        <v>0</v>
      </c>
      <c r="GB119" s="627">
        <v>0</v>
      </c>
      <c r="GC119" s="627">
        <v>104436</v>
      </c>
      <c r="GD119" s="627">
        <v>104436</v>
      </c>
      <c r="GE119" s="627">
        <v>11.773</v>
      </c>
      <c r="GF119" s="627">
        <v>0</v>
      </c>
      <c r="GG119" s="627">
        <v>0</v>
      </c>
      <c r="GH119" s="627">
        <v>0</v>
      </c>
      <c r="GI119" s="627">
        <v>0</v>
      </c>
      <c r="GJ119" s="627">
        <v>0</v>
      </c>
      <c r="GK119" s="627">
        <v>0</v>
      </c>
      <c r="GL119" s="627">
        <v>0</v>
      </c>
      <c r="GM119" s="627">
        <v>0</v>
      </c>
      <c r="GN119" s="627">
        <v>0</v>
      </c>
      <c r="GO119" s="627">
        <v>0</v>
      </c>
      <c r="GP119" s="627">
        <v>0</v>
      </c>
      <c r="GQ119" s="627">
        <v>0</v>
      </c>
      <c r="GR119" s="627">
        <v>1883566</v>
      </c>
      <c r="GS119" s="627">
        <v>0</v>
      </c>
      <c r="GT119" s="627">
        <v>0</v>
      </c>
      <c r="GU119" s="627">
        <v>0</v>
      </c>
      <c r="GV119" s="627">
        <v>0</v>
      </c>
      <c r="GW119" s="627">
        <v>0</v>
      </c>
      <c r="GX119" s="627">
        <v>0</v>
      </c>
      <c r="GY119" s="627">
        <v>0</v>
      </c>
      <c r="GZ119" s="627">
        <v>0</v>
      </c>
      <c r="HA119" s="627">
        <v>0</v>
      </c>
      <c r="HB119" s="627">
        <v>0</v>
      </c>
      <c r="HC119" s="627">
        <v>361151439</v>
      </c>
      <c r="HD119" s="627">
        <v>3.9981999999999997E-2</v>
      </c>
      <c r="HE119" s="627">
        <v>26027</v>
      </c>
      <c r="HF119" s="627">
        <v>0</v>
      </c>
      <c r="HG119" s="627">
        <v>162458</v>
      </c>
      <c r="HH119" s="627">
        <v>1848</v>
      </c>
      <c r="HI119" s="627">
        <v>0</v>
      </c>
      <c r="HJ119" s="627">
        <v>0</v>
      </c>
      <c r="HK119" s="627">
        <v>16627</v>
      </c>
      <c r="HL119" s="627">
        <v>1027</v>
      </c>
      <c r="HM119" s="627">
        <v>1766</v>
      </c>
      <c r="HN119" s="627">
        <v>0</v>
      </c>
      <c r="HO119" s="627">
        <v>0</v>
      </c>
      <c r="HP119" s="627">
        <v>0</v>
      </c>
      <c r="HQ119" s="627">
        <v>43285</v>
      </c>
      <c r="HR119" s="627">
        <v>0</v>
      </c>
      <c r="HS119" s="627">
        <v>0</v>
      </c>
      <c r="HT119" s="627">
        <v>1608502</v>
      </c>
      <c r="HU119" s="627">
        <v>40605</v>
      </c>
      <c r="HV119" s="627">
        <v>0</v>
      </c>
      <c r="HW119" s="627">
        <v>0</v>
      </c>
      <c r="HX119" s="627">
        <v>0</v>
      </c>
      <c r="HY119" s="627">
        <v>17</v>
      </c>
      <c r="HZ119" s="627">
        <v>13</v>
      </c>
      <c r="IA119" s="627">
        <v>17</v>
      </c>
      <c r="IB119" s="627">
        <v>58</v>
      </c>
      <c r="IC119" s="627">
        <v>48</v>
      </c>
      <c r="ID119" s="627">
        <v>153</v>
      </c>
      <c r="IE119" s="627">
        <v>0</v>
      </c>
      <c r="IF119" s="627">
        <v>0</v>
      </c>
      <c r="IG119" s="627">
        <v>0</v>
      </c>
      <c r="IH119" s="627">
        <v>3</v>
      </c>
      <c r="II119" s="627">
        <v>0</v>
      </c>
      <c r="IJ119" s="627">
        <v>157.4</v>
      </c>
      <c r="IK119" s="627">
        <v>0</v>
      </c>
      <c r="IL119" s="627">
        <v>0</v>
      </c>
      <c r="IM119" s="627">
        <v>0</v>
      </c>
      <c r="IN119" s="627">
        <v>0</v>
      </c>
      <c r="IO119" s="627">
        <v>0</v>
      </c>
      <c r="IP119" s="627">
        <v>0</v>
      </c>
      <c r="IQ119" s="627">
        <v>157.4</v>
      </c>
      <c r="IR119" s="627">
        <v>0</v>
      </c>
      <c r="IS119" s="627">
        <v>0</v>
      </c>
      <c r="IT119" s="627">
        <v>0</v>
      </c>
      <c r="IU119" s="627">
        <v>0</v>
      </c>
      <c r="IV119" s="627">
        <v>0</v>
      </c>
      <c r="IW119" s="627">
        <v>0</v>
      </c>
      <c r="IX119" s="627">
        <v>6160</v>
      </c>
      <c r="IY119" s="627">
        <v>0</v>
      </c>
      <c r="IZ119" s="627">
        <v>0</v>
      </c>
      <c r="JA119" s="627">
        <v>43285</v>
      </c>
      <c r="JB119" s="627">
        <v>0</v>
      </c>
      <c r="JC119" s="627">
        <v>0</v>
      </c>
      <c r="JD119" s="627">
        <v>0</v>
      </c>
      <c r="JE119" s="627">
        <v>0</v>
      </c>
      <c r="JF119" s="627">
        <v>0</v>
      </c>
      <c r="JG119" s="627">
        <v>0</v>
      </c>
      <c r="JH119" s="627">
        <v>0</v>
      </c>
      <c r="JI119" s="627">
        <v>0</v>
      </c>
      <c r="JJ119" s="627">
        <v>0</v>
      </c>
      <c r="JK119" s="627">
        <v>0</v>
      </c>
      <c r="JL119" s="627">
        <v>0</v>
      </c>
      <c r="JM119" s="627">
        <v>0</v>
      </c>
      <c r="JN119" s="627">
        <v>0</v>
      </c>
      <c r="JO119" s="627">
        <v>32469</v>
      </c>
      <c r="JP119" s="627">
        <v>6.2880000000000003</v>
      </c>
      <c r="JQ119" s="627">
        <v>3.15</v>
      </c>
      <c r="JR119" s="627">
        <v>2.335</v>
      </c>
      <c r="JS119" s="627">
        <v>50230</v>
      </c>
      <c r="JT119" s="627">
        <v>29280</v>
      </c>
      <c r="JU119" s="627">
        <v>24926</v>
      </c>
      <c r="JV119" s="627">
        <v>0</v>
      </c>
      <c r="JW119" s="627">
        <v>0</v>
      </c>
      <c r="JX119" s="627">
        <v>0</v>
      </c>
      <c r="JY119" s="627">
        <v>0</v>
      </c>
      <c r="JZ119" s="627">
        <v>0</v>
      </c>
      <c r="KA119" s="627">
        <v>0</v>
      </c>
      <c r="KB119" s="627">
        <v>0</v>
      </c>
      <c r="KC119" s="627">
        <v>0</v>
      </c>
      <c r="KD119" s="627">
        <v>0</v>
      </c>
      <c r="KE119" s="627">
        <v>0</v>
      </c>
      <c r="KF119" s="627">
        <v>7262</v>
      </c>
      <c r="KG119" s="627">
        <v>0</v>
      </c>
      <c r="KH119" s="627">
        <v>0</v>
      </c>
      <c r="KI119" s="627">
        <v>1883566</v>
      </c>
      <c r="KJ119" s="627">
        <v>0</v>
      </c>
      <c r="KK119" s="627">
        <v>2</v>
      </c>
      <c r="KL119" s="627">
        <v>1</v>
      </c>
      <c r="KM119" s="627">
        <v>1232</v>
      </c>
      <c r="KN119" s="627">
        <v>616</v>
      </c>
      <c r="KO119" s="627">
        <v>0</v>
      </c>
      <c r="KP119" s="627">
        <v>0</v>
      </c>
      <c r="KQ119" s="627">
        <v>1883566</v>
      </c>
      <c r="KR119" s="627">
        <v>0</v>
      </c>
      <c r="KS119" s="627">
        <v>0</v>
      </c>
      <c r="KT119" s="627">
        <v>0</v>
      </c>
      <c r="KU119" s="627">
        <v>0</v>
      </c>
      <c r="KV119" s="627">
        <v>0</v>
      </c>
      <c r="KW119" s="627">
        <v>0</v>
      </c>
      <c r="KX119" s="627">
        <v>0</v>
      </c>
      <c r="KY119" s="627">
        <v>0</v>
      </c>
      <c r="KZ119" s="627">
        <v>0</v>
      </c>
      <c r="LA119" s="627">
        <v>0</v>
      </c>
      <c r="LB119" s="627">
        <v>0</v>
      </c>
      <c r="LC119" s="627">
        <v>0</v>
      </c>
      <c r="LD119" s="627">
        <v>0</v>
      </c>
      <c r="LE119" s="627">
        <v>0</v>
      </c>
      <c r="LF119" s="627">
        <v>0</v>
      </c>
    </row>
    <row r="120" spans="1:318" x14ac:dyDescent="0.25">
      <c r="A120" s="627">
        <v>42602</v>
      </c>
      <c r="B120" s="627">
        <v>220821</v>
      </c>
      <c r="D120" s="627">
        <v>9</v>
      </c>
      <c r="E120" s="627">
        <v>2024</v>
      </c>
      <c r="F120" s="627">
        <v>6160</v>
      </c>
      <c r="G120" s="627">
        <v>0</v>
      </c>
      <c r="H120" s="627">
        <v>90.378</v>
      </c>
      <c r="I120" s="627">
        <v>86.745000000000005</v>
      </c>
      <c r="J120" s="627">
        <v>86.745000000000005</v>
      </c>
      <c r="K120" s="627">
        <v>90.378</v>
      </c>
      <c r="L120" s="627">
        <v>0</v>
      </c>
      <c r="M120" s="627">
        <v>6160</v>
      </c>
      <c r="N120" s="627">
        <v>0</v>
      </c>
      <c r="O120" s="627">
        <v>0</v>
      </c>
      <c r="P120" s="627">
        <v>0</v>
      </c>
      <c r="Q120" s="627">
        <v>0</v>
      </c>
      <c r="R120" s="627">
        <v>0</v>
      </c>
      <c r="S120" s="627">
        <v>0</v>
      </c>
      <c r="T120" s="627">
        <v>414.88400000000001</v>
      </c>
      <c r="U120" s="627">
        <v>0</v>
      </c>
      <c r="V120" s="627">
        <v>0</v>
      </c>
      <c r="W120" s="627">
        <v>5.0600000000000005</v>
      </c>
      <c r="X120" s="627">
        <v>3117</v>
      </c>
      <c r="Y120" s="627">
        <v>3117</v>
      </c>
      <c r="Z120" s="627">
        <v>0</v>
      </c>
      <c r="AA120" s="627">
        <v>0</v>
      </c>
      <c r="AB120" s="627">
        <v>0</v>
      </c>
      <c r="AC120" s="627">
        <v>0</v>
      </c>
      <c r="AD120" s="627">
        <v>0</v>
      </c>
      <c r="AE120" s="627" t="s">
        <v>314</v>
      </c>
      <c r="AF120" s="627">
        <v>0</v>
      </c>
      <c r="AG120" s="627">
        <v>0</v>
      </c>
      <c r="AH120" s="627">
        <v>0</v>
      </c>
      <c r="AI120" s="627">
        <v>0</v>
      </c>
      <c r="AJ120" s="627">
        <v>0</v>
      </c>
      <c r="AK120" s="627">
        <v>6160</v>
      </c>
      <c r="AL120" s="627" t="s">
        <v>651</v>
      </c>
      <c r="AM120" s="627" t="s">
        <v>1061</v>
      </c>
      <c r="AN120" s="627">
        <v>0</v>
      </c>
      <c r="AO120" s="627">
        <v>0</v>
      </c>
      <c r="AP120" s="627">
        <v>0</v>
      </c>
      <c r="AQ120" s="627">
        <v>0</v>
      </c>
      <c r="AR120" s="627">
        <v>0</v>
      </c>
      <c r="AS120" s="627">
        <v>0</v>
      </c>
      <c r="AT120" s="627">
        <v>0</v>
      </c>
      <c r="AU120" s="627">
        <v>0</v>
      </c>
      <c r="AV120" s="627">
        <v>0</v>
      </c>
      <c r="AW120" s="627">
        <v>0</v>
      </c>
      <c r="AX120" s="627">
        <v>1047032</v>
      </c>
      <c r="AY120" s="627">
        <v>1047345</v>
      </c>
      <c r="AZ120" s="627">
        <v>747460</v>
      </c>
      <c r="BA120" s="627">
        <v>0</v>
      </c>
      <c r="BB120" s="627">
        <v>0</v>
      </c>
      <c r="BC120" s="627">
        <v>1926</v>
      </c>
      <c r="BD120" s="627">
        <v>1913</v>
      </c>
      <c r="BE120" s="627">
        <v>4.5190000000000001</v>
      </c>
      <c r="BF120" s="627">
        <v>12</v>
      </c>
      <c r="BG120" s="627">
        <v>841610</v>
      </c>
      <c r="BH120" s="627">
        <v>0</v>
      </c>
      <c r="BI120" s="627">
        <v>0</v>
      </c>
      <c r="BJ120" s="627">
        <v>0</v>
      </c>
      <c r="BK120" s="627">
        <v>12</v>
      </c>
      <c r="BL120" s="627">
        <v>0</v>
      </c>
      <c r="BM120" s="627">
        <v>0</v>
      </c>
      <c r="BN120" s="627">
        <v>0</v>
      </c>
      <c r="BO120" s="627">
        <v>0</v>
      </c>
      <c r="BP120" s="627">
        <v>0</v>
      </c>
      <c r="BQ120" s="627">
        <v>0</v>
      </c>
      <c r="BR120" s="627">
        <v>757</v>
      </c>
      <c r="BS120" s="627">
        <v>0</v>
      </c>
      <c r="BT120" s="627">
        <v>0</v>
      </c>
      <c r="BU120" s="627">
        <v>0</v>
      </c>
      <c r="BV120" s="627">
        <v>0</v>
      </c>
      <c r="BW120" s="627">
        <v>0</v>
      </c>
      <c r="BX120" s="627">
        <v>0</v>
      </c>
      <c r="BY120" s="627">
        <v>0</v>
      </c>
      <c r="BZ120" s="627">
        <v>0</v>
      </c>
      <c r="CA120" s="627">
        <v>0</v>
      </c>
      <c r="CB120" s="627">
        <v>0</v>
      </c>
      <c r="CC120" s="627">
        <v>0</v>
      </c>
      <c r="CD120" s="627">
        <v>0</v>
      </c>
      <c r="CE120" s="627">
        <v>0</v>
      </c>
      <c r="CF120" s="627">
        <v>0</v>
      </c>
      <c r="CG120" s="627">
        <v>0</v>
      </c>
      <c r="CH120" s="627">
        <v>0</v>
      </c>
      <c r="CI120" s="627">
        <v>0</v>
      </c>
      <c r="CJ120" s="627">
        <v>0</v>
      </c>
      <c r="CK120" s="627">
        <v>4</v>
      </c>
      <c r="CL120" s="627">
        <v>0</v>
      </c>
      <c r="CM120" s="627">
        <v>0</v>
      </c>
      <c r="CN120" s="627">
        <v>0</v>
      </c>
      <c r="CO120" s="627">
        <v>0</v>
      </c>
      <c r="CP120" s="627">
        <v>1</v>
      </c>
      <c r="CQ120" s="627">
        <v>0</v>
      </c>
      <c r="CR120" s="627">
        <v>0</v>
      </c>
      <c r="CS120" s="627">
        <v>0</v>
      </c>
      <c r="CT120" s="627">
        <v>0</v>
      </c>
      <c r="CU120" s="627">
        <v>0</v>
      </c>
      <c r="CV120" s="627">
        <v>0</v>
      </c>
      <c r="CW120" s="627">
        <v>0</v>
      </c>
      <c r="CX120" s="627">
        <v>0</v>
      </c>
      <c r="CY120" s="627">
        <v>0</v>
      </c>
      <c r="CZ120" s="627">
        <v>0</v>
      </c>
      <c r="DA120" s="627">
        <v>0</v>
      </c>
      <c r="DB120" s="627">
        <v>0</v>
      </c>
      <c r="DC120" s="627">
        <v>534349</v>
      </c>
      <c r="DD120" s="627">
        <v>0</v>
      </c>
      <c r="DE120" s="627">
        <v>0</v>
      </c>
      <c r="DF120" s="627">
        <v>106645</v>
      </c>
      <c r="DG120" s="627">
        <v>106645</v>
      </c>
      <c r="DH120" s="627">
        <v>17.313000000000002</v>
      </c>
      <c r="DI120" s="627">
        <v>0</v>
      </c>
      <c r="DJ120" s="627">
        <v>0</v>
      </c>
      <c r="DK120" s="627">
        <v>0</v>
      </c>
      <c r="DL120" s="627">
        <v>3729</v>
      </c>
      <c r="DM120" s="627">
        <v>0</v>
      </c>
      <c r="DN120" s="627">
        <v>88303</v>
      </c>
      <c r="DO120" s="627">
        <v>301</v>
      </c>
      <c r="DP120" s="627">
        <v>0</v>
      </c>
      <c r="DQ120" s="627">
        <v>0</v>
      </c>
      <c r="DR120" s="627">
        <v>0</v>
      </c>
      <c r="DS120" s="627">
        <v>0</v>
      </c>
      <c r="DT120" s="627">
        <v>0</v>
      </c>
      <c r="DU120" s="627">
        <v>0</v>
      </c>
      <c r="DV120" s="627">
        <v>0</v>
      </c>
      <c r="DW120" s="627">
        <v>0</v>
      </c>
      <c r="DX120" s="627">
        <v>0</v>
      </c>
      <c r="DY120" s="627">
        <v>0</v>
      </c>
      <c r="DZ120" s="627">
        <v>0</v>
      </c>
      <c r="EA120" s="627">
        <v>0</v>
      </c>
      <c r="EB120" s="627">
        <v>0</v>
      </c>
      <c r="EC120" s="627">
        <v>0</v>
      </c>
      <c r="ED120" s="627">
        <v>2.665</v>
      </c>
      <c r="EE120" s="627">
        <v>18879</v>
      </c>
      <c r="EF120" s="627">
        <v>0</v>
      </c>
      <c r="EG120" s="627">
        <v>0</v>
      </c>
      <c r="EH120" s="627">
        <v>0</v>
      </c>
      <c r="EI120" s="627">
        <v>69725</v>
      </c>
      <c r="EJ120" s="627">
        <v>0</v>
      </c>
      <c r="EK120" s="627">
        <v>0</v>
      </c>
      <c r="EL120" s="627">
        <v>3.423</v>
      </c>
      <c r="EM120" s="627">
        <v>0</v>
      </c>
      <c r="EN120" s="627">
        <v>0</v>
      </c>
      <c r="EO120" s="627">
        <v>0.21</v>
      </c>
      <c r="EP120" s="627">
        <v>0</v>
      </c>
      <c r="EQ120" s="627">
        <v>0</v>
      </c>
      <c r="ER120" s="627">
        <v>3.633</v>
      </c>
      <c r="ES120" s="627">
        <v>0</v>
      </c>
      <c r="ET120" s="627">
        <v>11.319000000000001</v>
      </c>
      <c r="EU120" s="627">
        <v>0</v>
      </c>
      <c r="EV120" s="627">
        <v>0</v>
      </c>
      <c r="EW120" s="627">
        <v>0</v>
      </c>
      <c r="EX120" s="627">
        <v>0</v>
      </c>
      <c r="EY120" s="627">
        <v>0</v>
      </c>
      <c r="EZ120" s="627">
        <v>0</v>
      </c>
      <c r="FA120" s="627">
        <v>905168</v>
      </c>
      <c r="FB120" s="627">
        <v>0</v>
      </c>
      <c r="FC120" s="627">
        <v>904855</v>
      </c>
      <c r="FD120" s="627">
        <v>0</v>
      </c>
      <c r="FE120" s="627">
        <v>0</v>
      </c>
      <c r="FF120" s="627">
        <v>121189</v>
      </c>
      <c r="FG120" s="627">
        <v>20988</v>
      </c>
      <c r="FH120" s="627">
        <v>7.0280999999999996E-2</v>
      </c>
      <c r="FI120" s="627">
        <v>3.1172999999999999E-2</v>
      </c>
      <c r="FJ120" s="627">
        <v>0</v>
      </c>
      <c r="FK120" s="627">
        <v>0</v>
      </c>
      <c r="FL120" s="627">
        <v>136.625</v>
      </c>
      <c r="FM120" s="627">
        <v>1047032</v>
      </c>
      <c r="FN120" s="627">
        <v>0</v>
      </c>
      <c r="FO120" s="627">
        <v>0</v>
      </c>
      <c r="FP120" s="627">
        <v>63558</v>
      </c>
      <c r="FQ120" s="627">
        <v>0</v>
      </c>
      <c r="FR120" s="627">
        <v>63558</v>
      </c>
      <c r="FS120" s="627">
        <v>63558</v>
      </c>
      <c r="FT120" s="627">
        <v>0</v>
      </c>
      <c r="FU120" s="627">
        <v>0</v>
      </c>
      <c r="FV120" s="627">
        <v>0</v>
      </c>
      <c r="FW120" s="627">
        <v>0</v>
      </c>
      <c r="FX120" s="627">
        <v>0</v>
      </c>
      <c r="FY120" s="627">
        <v>0</v>
      </c>
      <c r="FZ120" s="627">
        <v>0</v>
      </c>
      <c r="GA120" s="627">
        <v>0</v>
      </c>
      <c r="GB120" s="627">
        <v>0</v>
      </c>
      <c r="GC120" s="627">
        <v>0</v>
      </c>
      <c r="GD120" s="627">
        <v>0</v>
      </c>
      <c r="GE120" s="627">
        <v>0</v>
      </c>
      <c r="GF120" s="627">
        <v>0</v>
      </c>
      <c r="GG120" s="627">
        <v>0</v>
      </c>
      <c r="GH120" s="627">
        <v>0</v>
      </c>
      <c r="GI120" s="627">
        <v>0</v>
      </c>
      <c r="GJ120" s="627">
        <v>0</v>
      </c>
      <c r="GK120" s="627">
        <v>0</v>
      </c>
      <c r="GL120" s="627">
        <v>0</v>
      </c>
      <c r="GM120" s="627">
        <v>0</v>
      </c>
      <c r="GN120" s="627">
        <v>0</v>
      </c>
      <c r="GO120" s="627">
        <v>0</v>
      </c>
      <c r="GP120" s="627">
        <v>0</v>
      </c>
      <c r="GQ120" s="627">
        <v>0</v>
      </c>
      <c r="GR120" s="627">
        <v>1047032</v>
      </c>
      <c r="GS120" s="627">
        <v>0</v>
      </c>
      <c r="GT120" s="627">
        <v>0</v>
      </c>
      <c r="GU120" s="627">
        <v>0</v>
      </c>
      <c r="GV120" s="627">
        <v>0</v>
      </c>
      <c r="GW120" s="627">
        <v>0</v>
      </c>
      <c r="GX120" s="627">
        <v>0</v>
      </c>
      <c r="GY120" s="627">
        <v>0</v>
      </c>
      <c r="GZ120" s="627">
        <v>0</v>
      </c>
      <c r="HA120" s="627">
        <v>0</v>
      </c>
      <c r="HB120" s="627">
        <v>0</v>
      </c>
      <c r="HC120" s="627">
        <v>0</v>
      </c>
      <c r="HD120" s="627">
        <v>3.9981999999999997E-2</v>
      </c>
      <c r="HE120" s="627">
        <v>0</v>
      </c>
      <c r="HF120" s="627">
        <v>0</v>
      </c>
      <c r="HG120" s="627">
        <v>95593</v>
      </c>
      <c r="HH120" s="627">
        <v>10472</v>
      </c>
      <c r="HI120" s="627">
        <v>0</v>
      </c>
      <c r="HJ120" s="627">
        <v>0</v>
      </c>
      <c r="HK120" s="627">
        <v>904</v>
      </c>
      <c r="HL120" s="627">
        <v>0</v>
      </c>
      <c r="HM120" s="627">
        <v>0</v>
      </c>
      <c r="HN120" s="627">
        <v>0</v>
      </c>
      <c r="HO120" s="627">
        <v>0</v>
      </c>
      <c r="HP120" s="627">
        <v>0</v>
      </c>
      <c r="HQ120" s="627">
        <v>0</v>
      </c>
      <c r="HR120" s="627">
        <v>0</v>
      </c>
      <c r="HS120" s="627">
        <v>0</v>
      </c>
      <c r="HT120" s="627">
        <v>904855</v>
      </c>
      <c r="HU120" s="627">
        <v>20988</v>
      </c>
      <c r="HV120" s="627">
        <v>0</v>
      </c>
      <c r="HW120" s="627">
        <v>0</v>
      </c>
      <c r="HX120" s="627">
        <v>0</v>
      </c>
      <c r="HY120" s="627">
        <v>6</v>
      </c>
      <c r="HZ120" s="627">
        <v>7</v>
      </c>
      <c r="IA120" s="627">
        <v>8</v>
      </c>
      <c r="IB120" s="627">
        <v>28</v>
      </c>
      <c r="IC120" s="627">
        <v>18</v>
      </c>
      <c r="ID120" s="627">
        <v>67</v>
      </c>
      <c r="IE120" s="627">
        <v>0</v>
      </c>
      <c r="IF120" s="627">
        <v>0</v>
      </c>
      <c r="IG120" s="627">
        <v>0</v>
      </c>
      <c r="IH120" s="627">
        <v>17</v>
      </c>
      <c r="II120" s="627">
        <v>0</v>
      </c>
      <c r="IJ120" s="627">
        <v>0</v>
      </c>
      <c r="IK120" s="627">
        <v>5.0600000000000005</v>
      </c>
      <c r="IL120" s="627">
        <v>0</v>
      </c>
      <c r="IM120" s="627">
        <v>0</v>
      </c>
      <c r="IN120" s="627">
        <v>0</v>
      </c>
      <c r="IO120" s="627">
        <v>0</v>
      </c>
      <c r="IP120" s="627">
        <v>0</v>
      </c>
      <c r="IQ120" s="627">
        <v>0</v>
      </c>
      <c r="IR120" s="627">
        <v>5.0600000000000005</v>
      </c>
      <c r="IS120" s="627">
        <v>3117</v>
      </c>
      <c r="IT120" s="627">
        <v>0</v>
      </c>
      <c r="IU120" s="627">
        <v>0</v>
      </c>
      <c r="IV120" s="627">
        <v>0</v>
      </c>
      <c r="IW120" s="627">
        <v>0</v>
      </c>
      <c r="IX120" s="627">
        <v>6160</v>
      </c>
      <c r="IY120" s="627">
        <v>0</v>
      </c>
      <c r="IZ120" s="627">
        <v>0</v>
      </c>
      <c r="JA120" s="627">
        <v>0</v>
      </c>
      <c r="JB120" s="627">
        <v>0</v>
      </c>
      <c r="JC120" s="627">
        <v>0</v>
      </c>
      <c r="JD120" s="627">
        <v>0</v>
      </c>
      <c r="JE120" s="627">
        <v>0</v>
      </c>
      <c r="JF120" s="627">
        <v>0</v>
      </c>
      <c r="JG120" s="627">
        <v>0</v>
      </c>
      <c r="JH120" s="627">
        <v>0</v>
      </c>
      <c r="JI120" s="627">
        <v>0</v>
      </c>
      <c r="JJ120" s="627">
        <v>0</v>
      </c>
      <c r="JK120" s="627">
        <v>0</v>
      </c>
      <c r="JL120" s="627">
        <v>0</v>
      </c>
      <c r="JM120" s="627">
        <v>0</v>
      </c>
      <c r="JN120" s="627">
        <v>0</v>
      </c>
      <c r="JO120" s="627">
        <v>0</v>
      </c>
      <c r="JP120" s="627">
        <v>0</v>
      </c>
      <c r="JQ120" s="627">
        <v>0</v>
      </c>
      <c r="JR120" s="627">
        <v>0</v>
      </c>
      <c r="JS120" s="627">
        <v>0</v>
      </c>
      <c r="JT120" s="627">
        <v>0</v>
      </c>
      <c r="JU120" s="627">
        <v>0</v>
      </c>
      <c r="JV120" s="627">
        <v>1949</v>
      </c>
      <c r="JW120" s="627">
        <v>0</v>
      </c>
      <c r="JX120" s="627">
        <v>0</v>
      </c>
      <c r="JY120" s="627">
        <v>0</v>
      </c>
      <c r="JZ120" s="627">
        <v>0</v>
      </c>
      <c r="KA120" s="627">
        <v>0</v>
      </c>
      <c r="KB120" s="627">
        <v>0</v>
      </c>
      <c r="KC120" s="627">
        <v>0</v>
      </c>
      <c r="KD120" s="627">
        <v>0</v>
      </c>
      <c r="KE120" s="627">
        <v>2156</v>
      </c>
      <c r="KF120" s="627">
        <v>7262</v>
      </c>
      <c r="KG120" s="627">
        <v>0</v>
      </c>
      <c r="KH120" s="627">
        <v>0</v>
      </c>
      <c r="KI120" s="627">
        <v>1047032</v>
      </c>
      <c r="KJ120" s="627">
        <v>0</v>
      </c>
      <c r="KK120" s="627">
        <v>6</v>
      </c>
      <c r="KL120" s="627">
        <v>11</v>
      </c>
      <c r="KM120" s="627">
        <v>3696</v>
      </c>
      <c r="KN120" s="627">
        <v>6776</v>
      </c>
      <c r="KO120" s="627">
        <v>0</v>
      </c>
      <c r="KP120" s="627">
        <v>0</v>
      </c>
      <c r="KQ120" s="627">
        <v>1047032</v>
      </c>
      <c r="KR120" s="627">
        <v>0</v>
      </c>
      <c r="KS120" s="627">
        <v>0</v>
      </c>
      <c r="KT120" s="627">
        <v>0</v>
      </c>
      <c r="KU120" s="627">
        <v>0</v>
      </c>
      <c r="KV120" s="627">
        <v>0</v>
      </c>
      <c r="KW120" s="627">
        <v>0</v>
      </c>
      <c r="KX120" s="627">
        <v>0</v>
      </c>
      <c r="KY120" s="627">
        <v>0</v>
      </c>
      <c r="KZ120" s="627">
        <v>0</v>
      </c>
      <c r="LA120" s="627">
        <v>0</v>
      </c>
      <c r="LB120" s="627">
        <v>0</v>
      </c>
      <c r="LC120" s="627">
        <v>0</v>
      </c>
      <c r="LD120" s="627">
        <v>0</v>
      </c>
      <c r="LE120" s="627">
        <v>0</v>
      </c>
      <c r="LF120" s="627">
        <v>0</v>
      </c>
    </row>
    <row r="121" spans="1:318" x14ac:dyDescent="0.25">
      <c r="A121" s="627">
        <v>42602</v>
      </c>
      <c r="B121" s="627">
        <v>227821</v>
      </c>
      <c r="D121" s="627">
        <v>9</v>
      </c>
      <c r="E121" s="627">
        <v>2024</v>
      </c>
      <c r="F121" s="627">
        <v>6160</v>
      </c>
      <c r="G121" s="627">
        <v>0</v>
      </c>
      <c r="H121" s="627">
        <v>243.453</v>
      </c>
      <c r="I121" s="627">
        <v>243.453</v>
      </c>
      <c r="J121" s="627">
        <v>243.453</v>
      </c>
      <c r="K121" s="627">
        <v>243.453</v>
      </c>
      <c r="L121" s="627">
        <v>0</v>
      </c>
      <c r="M121" s="627">
        <v>6160</v>
      </c>
      <c r="N121" s="627">
        <v>0</v>
      </c>
      <c r="O121" s="627">
        <v>0</v>
      </c>
      <c r="P121" s="627">
        <v>0</v>
      </c>
      <c r="Q121" s="627">
        <v>306.37</v>
      </c>
      <c r="R121" s="627">
        <v>0</v>
      </c>
      <c r="S121" s="627">
        <v>127108</v>
      </c>
      <c r="T121" s="627">
        <v>414.88400000000001</v>
      </c>
      <c r="U121" s="627">
        <v>0</v>
      </c>
      <c r="V121" s="627">
        <v>65963</v>
      </c>
      <c r="W121" s="627">
        <v>0</v>
      </c>
      <c r="X121" s="627">
        <v>0</v>
      </c>
      <c r="Y121" s="627">
        <v>0</v>
      </c>
      <c r="Z121" s="627">
        <v>0</v>
      </c>
      <c r="AA121" s="627">
        <v>0</v>
      </c>
      <c r="AB121" s="627">
        <v>0</v>
      </c>
      <c r="AC121" s="627">
        <v>0</v>
      </c>
      <c r="AD121" s="627">
        <v>0</v>
      </c>
      <c r="AE121" s="627" t="s">
        <v>314</v>
      </c>
      <c r="AF121" s="627">
        <v>0</v>
      </c>
      <c r="AG121" s="627">
        <v>0</v>
      </c>
      <c r="AH121" s="627">
        <v>0</v>
      </c>
      <c r="AI121" s="627">
        <v>0</v>
      </c>
      <c r="AJ121" s="627">
        <v>0</v>
      </c>
      <c r="AK121" s="627">
        <v>6160</v>
      </c>
      <c r="AL121" s="627" t="s">
        <v>651</v>
      </c>
      <c r="AM121" s="627" t="s">
        <v>67</v>
      </c>
      <c r="AN121" s="627">
        <v>0</v>
      </c>
      <c r="AO121" s="627">
        <v>0</v>
      </c>
      <c r="AP121" s="627">
        <v>0</v>
      </c>
      <c r="AQ121" s="627">
        <v>0</v>
      </c>
      <c r="AR121" s="627">
        <v>0</v>
      </c>
      <c r="AS121" s="627">
        <v>0</v>
      </c>
      <c r="AT121" s="627">
        <v>0</v>
      </c>
      <c r="AU121" s="627">
        <v>0</v>
      </c>
      <c r="AV121" s="627">
        <v>0</v>
      </c>
      <c r="AW121" s="627">
        <v>0</v>
      </c>
      <c r="AX121" s="627">
        <v>2160376</v>
      </c>
      <c r="AY121" s="627">
        <v>2007493</v>
      </c>
      <c r="AZ121" s="627">
        <v>1180002</v>
      </c>
      <c r="BA121" s="627">
        <v>127108</v>
      </c>
      <c r="BB121" s="627">
        <v>7.75</v>
      </c>
      <c r="BC121" s="627">
        <v>0</v>
      </c>
      <c r="BD121" s="627">
        <v>0</v>
      </c>
      <c r="BE121" s="627">
        <v>0</v>
      </c>
      <c r="BF121" s="627">
        <v>0</v>
      </c>
      <c r="BG121" s="627">
        <v>1826109</v>
      </c>
      <c r="BH121" s="627">
        <v>0</v>
      </c>
      <c r="BI121" s="627">
        <v>0</v>
      </c>
      <c r="BJ121" s="627">
        <v>0</v>
      </c>
      <c r="BK121" s="627">
        <v>12</v>
      </c>
      <c r="BL121" s="627">
        <v>0</v>
      </c>
      <c r="BM121" s="627">
        <v>0</v>
      </c>
      <c r="BN121" s="627">
        <v>0</v>
      </c>
      <c r="BO121" s="627">
        <v>0</v>
      </c>
      <c r="BP121" s="627">
        <v>0</v>
      </c>
      <c r="BQ121" s="627">
        <v>0</v>
      </c>
      <c r="BR121" s="627">
        <v>733</v>
      </c>
      <c r="BS121" s="627">
        <v>0</v>
      </c>
      <c r="BT121" s="627">
        <v>0</v>
      </c>
      <c r="BU121" s="627">
        <v>0</v>
      </c>
      <c r="BV121" s="627">
        <v>0</v>
      </c>
      <c r="BW121" s="627">
        <v>0</v>
      </c>
      <c r="BX121" s="627">
        <v>0</v>
      </c>
      <c r="BY121" s="627">
        <v>0</v>
      </c>
      <c r="BZ121" s="627">
        <v>0</v>
      </c>
      <c r="CA121" s="627">
        <v>0</v>
      </c>
      <c r="CB121" s="627">
        <v>0</v>
      </c>
      <c r="CC121" s="627">
        <v>0</v>
      </c>
      <c r="CD121" s="627">
        <v>0</v>
      </c>
      <c r="CE121" s="627">
        <v>0</v>
      </c>
      <c r="CF121" s="627">
        <v>0</v>
      </c>
      <c r="CG121" s="627">
        <v>0</v>
      </c>
      <c r="CH121" s="627">
        <v>0</v>
      </c>
      <c r="CI121" s="627">
        <v>152883</v>
      </c>
      <c r="CJ121" s="627">
        <v>0</v>
      </c>
      <c r="CK121" s="627">
        <v>4</v>
      </c>
      <c r="CL121" s="627">
        <v>0</v>
      </c>
      <c r="CM121" s="627">
        <v>0</v>
      </c>
      <c r="CN121" s="627">
        <v>0</v>
      </c>
      <c r="CO121" s="627">
        <v>0</v>
      </c>
      <c r="CP121" s="627">
        <v>1</v>
      </c>
      <c r="CQ121" s="627">
        <v>0</v>
      </c>
      <c r="CR121" s="627">
        <v>9.5830000000000002</v>
      </c>
      <c r="CS121" s="627">
        <v>302.10000000000002</v>
      </c>
      <c r="CT121" s="627">
        <v>0</v>
      </c>
      <c r="CU121" s="627">
        <v>0</v>
      </c>
      <c r="CV121" s="627">
        <v>0</v>
      </c>
      <c r="CW121" s="627">
        <v>0</v>
      </c>
      <c r="CX121" s="627">
        <v>0</v>
      </c>
      <c r="CY121" s="627">
        <v>0</v>
      </c>
      <c r="CZ121" s="627">
        <v>0</v>
      </c>
      <c r="DA121" s="627">
        <v>0</v>
      </c>
      <c r="DB121" s="627">
        <v>0</v>
      </c>
      <c r="DC121" s="627">
        <v>1096713</v>
      </c>
      <c r="DD121" s="627">
        <v>0</v>
      </c>
      <c r="DE121" s="627">
        <v>0</v>
      </c>
      <c r="DF121" s="627">
        <v>10241</v>
      </c>
      <c r="DG121" s="627">
        <v>10241</v>
      </c>
      <c r="DH121" s="627">
        <v>1.663</v>
      </c>
      <c r="DI121" s="627">
        <v>0</v>
      </c>
      <c r="DJ121" s="627">
        <v>0</v>
      </c>
      <c r="DK121" s="627">
        <v>0</v>
      </c>
      <c r="DL121" s="627">
        <v>3343</v>
      </c>
      <c r="DM121" s="627">
        <v>0</v>
      </c>
      <c r="DN121" s="627">
        <v>402957</v>
      </c>
      <c r="DO121" s="627">
        <v>0</v>
      </c>
      <c r="DP121" s="627">
        <v>0</v>
      </c>
      <c r="DQ121" s="627">
        <v>0</v>
      </c>
      <c r="DR121" s="627">
        <v>0</v>
      </c>
      <c r="DS121" s="627">
        <v>0</v>
      </c>
      <c r="DT121" s="627">
        <v>0</v>
      </c>
      <c r="DU121" s="627">
        <v>0</v>
      </c>
      <c r="DV121" s="627">
        <v>0</v>
      </c>
      <c r="DW121" s="627">
        <v>0</v>
      </c>
      <c r="DX121" s="627">
        <v>0</v>
      </c>
      <c r="DY121" s="627">
        <v>0</v>
      </c>
      <c r="DZ121" s="627">
        <v>0</v>
      </c>
      <c r="EA121" s="627">
        <v>0</v>
      </c>
      <c r="EB121" s="627">
        <v>0</v>
      </c>
      <c r="EC121" s="627">
        <v>0</v>
      </c>
      <c r="ED121" s="627">
        <v>0</v>
      </c>
      <c r="EE121" s="627">
        <v>0</v>
      </c>
      <c r="EF121" s="627">
        <v>0</v>
      </c>
      <c r="EG121" s="627">
        <v>0</v>
      </c>
      <c r="EH121" s="627">
        <v>0</v>
      </c>
      <c r="EI121" s="627">
        <v>0</v>
      </c>
      <c r="EJ121" s="627">
        <v>0</v>
      </c>
      <c r="EK121" s="627">
        <v>0</v>
      </c>
      <c r="EL121" s="627">
        <v>0</v>
      </c>
      <c r="EM121" s="627">
        <v>0</v>
      </c>
      <c r="EN121" s="627">
        <v>0</v>
      </c>
      <c r="EO121" s="627">
        <v>0</v>
      </c>
      <c r="EP121" s="627">
        <v>0</v>
      </c>
      <c r="EQ121" s="627">
        <v>0</v>
      </c>
      <c r="ER121" s="627">
        <v>0</v>
      </c>
      <c r="ES121" s="627">
        <v>0</v>
      </c>
      <c r="ET121" s="627">
        <v>0</v>
      </c>
      <c r="EU121" s="627">
        <v>0</v>
      </c>
      <c r="EV121" s="627">
        <v>0</v>
      </c>
      <c r="EW121" s="627">
        <v>0</v>
      </c>
      <c r="EX121" s="627">
        <v>0</v>
      </c>
      <c r="EY121" s="627">
        <v>0</v>
      </c>
      <c r="EZ121" s="627">
        <v>0</v>
      </c>
      <c r="FA121" s="627">
        <v>1699001</v>
      </c>
      <c r="FB121" s="627">
        <v>0</v>
      </c>
      <c r="FC121" s="627">
        <v>1826109</v>
      </c>
      <c r="FD121" s="627">
        <v>0</v>
      </c>
      <c r="FE121" s="627">
        <v>0</v>
      </c>
      <c r="FF121" s="627">
        <v>262952</v>
      </c>
      <c r="FG121" s="627">
        <v>45540</v>
      </c>
      <c r="FH121" s="627">
        <v>7.0280999999999996E-2</v>
      </c>
      <c r="FI121" s="627">
        <v>3.1172999999999999E-2</v>
      </c>
      <c r="FJ121" s="627">
        <v>0</v>
      </c>
      <c r="FK121" s="627">
        <v>0</v>
      </c>
      <c r="FL121" s="627">
        <v>296.44600000000003</v>
      </c>
      <c r="FM121" s="627">
        <v>2287484</v>
      </c>
      <c r="FN121" s="627">
        <v>0</v>
      </c>
      <c r="FO121" s="627">
        <v>0</v>
      </c>
      <c r="FP121" s="627">
        <v>0</v>
      </c>
      <c r="FQ121" s="627">
        <v>0</v>
      </c>
      <c r="FR121" s="627">
        <v>0</v>
      </c>
      <c r="FS121" s="627">
        <v>0</v>
      </c>
      <c r="FT121" s="627">
        <v>0</v>
      </c>
      <c r="FU121" s="627">
        <v>0</v>
      </c>
      <c r="FV121" s="627">
        <v>0</v>
      </c>
      <c r="FW121" s="627">
        <v>0</v>
      </c>
      <c r="FX121" s="627">
        <v>0</v>
      </c>
      <c r="FY121" s="627">
        <v>0</v>
      </c>
      <c r="FZ121" s="627">
        <v>0</v>
      </c>
      <c r="GA121" s="627">
        <v>0</v>
      </c>
      <c r="GB121" s="627">
        <v>0</v>
      </c>
      <c r="GC121" s="627">
        <v>0</v>
      </c>
      <c r="GD121" s="627">
        <v>0</v>
      </c>
      <c r="GE121" s="627">
        <v>0</v>
      </c>
      <c r="GF121" s="627">
        <v>0</v>
      </c>
      <c r="GG121" s="627">
        <v>0</v>
      </c>
      <c r="GH121" s="627">
        <v>0</v>
      </c>
      <c r="GI121" s="627">
        <v>0</v>
      </c>
      <c r="GJ121" s="627">
        <v>0</v>
      </c>
      <c r="GK121" s="627">
        <v>0</v>
      </c>
      <c r="GL121" s="627">
        <v>0</v>
      </c>
      <c r="GM121" s="627">
        <v>0</v>
      </c>
      <c r="GN121" s="627">
        <v>0</v>
      </c>
      <c r="GO121" s="627">
        <v>0</v>
      </c>
      <c r="GP121" s="627">
        <v>0</v>
      </c>
      <c r="GQ121" s="627">
        <v>0</v>
      </c>
      <c r="GR121" s="627">
        <v>2007493</v>
      </c>
      <c r="GS121" s="627">
        <v>0</v>
      </c>
      <c r="GT121" s="627">
        <v>0</v>
      </c>
      <c r="GU121" s="627">
        <v>0</v>
      </c>
      <c r="GV121" s="627">
        <v>0</v>
      </c>
      <c r="GW121" s="627">
        <v>0</v>
      </c>
      <c r="GX121" s="627">
        <v>0</v>
      </c>
      <c r="GY121" s="627">
        <v>0</v>
      </c>
      <c r="GZ121" s="627">
        <v>0</v>
      </c>
      <c r="HA121" s="627">
        <v>0</v>
      </c>
      <c r="HB121" s="627">
        <v>0</v>
      </c>
      <c r="HC121" s="627">
        <v>361151439</v>
      </c>
      <c r="HD121" s="627">
        <v>3.9981999999999997E-2</v>
      </c>
      <c r="HE121" s="627">
        <v>38935</v>
      </c>
      <c r="HF121" s="627">
        <v>0</v>
      </c>
      <c r="HG121" s="627">
        <v>268285</v>
      </c>
      <c r="HH121" s="627">
        <v>28336</v>
      </c>
      <c r="HI121" s="627">
        <v>2142</v>
      </c>
      <c r="HJ121" s="627">
        <v>0</v>
      </c>
      <c r="HK121" s="627">
        <v>17435</v>
      </c>
      <c r="HL121" s="627">
        <v>0</v>
      </c>
      <c r="HM121" s="627">
        <v>0</v>
      </c>
      <c r="HN121" s="627">
        <v>0</v>
      </c>
      <c r="HO121" s="627">
        <v>0</v>
      </c>
      <c r="HP121" s="627">
        <v>0</v>
      </c>
      <c r="HQ121" s="627">
        <v>0</v>
      </c>
      <c r="HR121" s="627">
        <v>0</v>
      </c>
      <c r="HS121" s="627">
        <v>0</v>
      </c>
      <c r="HT121" s="627">
        <v>1699001</v>
      </c>
      <c r="HU121" s="627">
        <v>45540</v>
      </c>
      <c r="HV121" s="627">
        <v>113948</v>
      </c>
      <c r="HW121" s="627">
        <v>0</v>
      </c>
      <c r="HX121" s="627">
        <v>0</v>
      </c>
      <c r="HY121" s="627">
        <v>1</v>
      </c>
      <c r="HZ121" s="627">
        <v>5</v>
      </c>
      <c r="IA121" s="627">
        <v>1</v>
      </c>
      <c r="IB121" s="627">
        <v>0</v>
      </c>
      <c r="IC121" s="627">
        <v>0</v>
      </c>
      <c r="ID121" s="627">
        <v>7</v>
      </c>
      <c r="IE121" s="627">
        <v>0</v>
      </c>
      <c r="IF121" s="627">
        <v>0</v>
      </c>
      <c r="IG121" s="627">
        <v>0</v>
      </c>
      <c r="IH121" s="627">
        <v>46</v>
      </c>
      <c r="II121" s="627">
        <v>3.4780000000000002</v>
      </c>
      <c r="IJ121" s="627">
        <v>0</v>
      </c>
      <c r="IK121" s="627">
        <v>0</v>
      </c>
      <c r="IL121" s="627">
        <v>0</v>
      </c>
      <c r="IM121" s="627">
        <v>0</v>
      </c>
      <c r="IN121" s="627">
        <v>0</v>
      </c>
      <c r="IO121" s="627">
        <v>0</v>
      </c>
      <c r="IP121" s="627">
        <v>0</v>
      </c>
      <c r="IQ121" s="627">
        <v>0</v>
      </c>
      <c r="IR121" s="627">
        <v>0</v>
      </c>
      <c r="IS121" s="627">
        <v>0</v>
      </c>
      <c r="IT121" s="627">
        <v>0</v>
      </c>
      <c r="IU121" s="627">
        <v>0</v>
      </c>
      <c r="IV121" s="627">
        <v>0</v>
      </c>
      <c r="IW121" s="627">
        <v>0</v>
      </c>
      <c r="IX121" s="627">
        <v>6160</v>
      </c>
      <c r="IY121" s="627">
        <v>0</v>
      </c>
      <c r="IZ121" s="627">
        <v>0</v>
      </c>
      <c r="JA121" s="627">
        <v>0</v>
      </c>
      <c r="JB121" s="627">
        <v>0</v>
      </c>
      <c r="JC121" s="627">
        <v>0</v>
      </c>
      <c r="JD121" s="627">
        <v>0</v>
      </c>
      <c r="JE121" s="627">
        <v>0</v>
      </c>
      <c r="JF121" s="627">
        <v>0</v>
      </c>
      <c r="JG121" s="627">
        <v>0</v>
      </c>
      <c r="JH121" s="627">
        <v>0</v>
      </c>
      <c r="JI121" s="627">
        <v>0</v>
      </c>
      <c r="JJ121" s="627">
        <v>0</v>
      </c>
      <c r="JK121" s="627">
        <v>0</v>
      </c>
      <c r="JL121" s="627">
        <v>0</v>
      </c>
      <c r="JM121" s="627">
        <v>0</v>
      </c>
      <c r="JN121" s="627">
        <v>0</v>
      </c>
      <c r="JO121" s="627">
        <v>32469</v>
      </c>
      <c r="JP121" s="627">
        <v>0</v>
      </c>
      <c r="JQ121" s="627">
        <v>0</v>
      </c>
      <c r="JR121" s="627">
        <v>0</v>
      </c>
      <c r="JS121" s="627">
        <v>0</v>
      </c>
      <c r="JT121" s="627">
        <v>0</v>
      </c>
      <c r="JU121" s="627">
        <v>0</v>
      </c>
      <c r="JV121" s="627">
        <v>0</v>
      </c>
      <c r="JW121" s="627">
        <v>113948</v>
      </c>
      <c r="JX121" s="627">
        <v>0</v>
      </c>
      <c r="JY121" s="627">
        <v>0</v>
      </c>
      <c r="JZ121" s="627">
        <v>0</v>
      </c>
      <c r="KA121" s="627">
        <v>0</v>
      </c>
      <c r="KB121" s="627">
        <v>0</v>
      </c>
      <c r="KC121" s="627">
        <v>0</v>
      </c>
      <c r="KD121" s="627">
        <v>0</v>
      </c>
      <c r="KE121" s="627">
        <v>0</v>
      </c>
      <c r="KF121" s="627">
        <v>7262</v>
      </c>
      <c r="KG121" s="627">
        <v>0</v>
      </c>
      <c r="KH121" s="627">
        <v>0</v>
      </c>
      <c r="KI121" s="627">
        <v>2007493</v>
      </c>
      <c r="KJ121" s="627">
        <v>0</v>
      </c>
      <c r="KK121" s="627">
        <v>29</v>
      </c>
      <c r="KL121" s="627">
        <v>17</v>
      </c>
      <c r="KM121" s="627">
        <v>17864</v>
      </c>
      <c r="KN121" s="627">
        <v>10472</v>
      </c>
      <c r="KO121" s="627">
        <v>0</v>
      </c>
      <c r="KP121" s="627">
        <v>0</v>
      </c>
      <c r="KQ121" s="627">
        <v>2007493</v>
      </c>
      <c r="KR121" s="627">
        <v>0</v>
      </c>
      <c r="KS121" s="627">
        <v>0</v>
      </c>
      <c r="KT121" s="627">
        <v>0</v>
      </c>
      <c r="KU121" s="627">
        <v>0</v>
      </c>
      <c r="KV121" s="627">
        <v>0</v>
      </c>
      <c r="KW121" s="627">
        <v>0</v>
      </c>
      <c r="KX121" s="627">
        <v>0</v>
      </c>
      <c r="KY121" s="627">
        <v>0</v>
      </c>
      <c r="KZ121" s="627">
        <v>0</v>
      </c>
      <c r="LA121" s="627">
        <v>0</v>
      </c>
      <c r="LB121" s="627">
        <v>0</v>
      </c>
      <c r="LC121" s="627">
        <v>0</v>
      </c>
      <c r="LD121" s="627">
        <v>0</v>
      </c>
      <c r="LE121" s="627">
        <v>0</v>
      </c>
      <c r="LF121" s="627">
        <v>0</v>
      </c>
    </row>
    <row r="122" spans="1:318" x14ac:dyDescent="0.25">
      <c r="A122" s="627">
        <v>42602</v>
      </c>
      <c r="B122" s="627">
        <v>15822</v>
      </c>
      <c r="D122" s="627">
        <v>9</v>
      </c>
      <c r="E122" s="627">
        <v>2024</v>
      </c>
      <c r="F122" s="627">
        <v>6160</v>
      </c>
      <c r="G122" s="627">
        <v>0</v>
      </c>
      <c r="H122" s="627">
        <v>5285.86</v>
      </c>
      <c r="I122" s="627">
        <v>4940.2150000000001</v>
      </c>
      <c r="J122" s="627">
        <v>4940.2150000000001</v>
      </c>
      <c r="K122" s="627">
        <v>5285.86</v>
      </c>
      <c r="L122" s="627">
        <v>0</v>
      </c>
      <c r="M122" s="627">
        <v>6160</v>
      </c>
      <c r="N122" s="627">
        <v>0</v>
      </c>
      <c r="O122" s="627">
        <v>0</v>
      </c>
      <c r="P122" s="627">
        <v>0</v>
      </c>
      <c r="Q122" s="627">
        <v>5484.7350000000006</v>
      </c>
      <c r="R122" s="627">
        <v>0</v>
      </c>
      <c r="S122" s="627">
        <v>2275529</v>
      </c>
      <c r="T122" s="627">
        <v>414.88400000000001</v>
      </c>
      <c r="U122" s="627">
        <v>0</v>
      </c>
      <c r="V122" s="627">
        <v>1180908</v>
      </c>
      <c r="W122" s="627">
        <v>1541.65</v>
      </c>
      <c r="X122" s="627">
        <v>964238</v>
      </c>
      <c r="Y122" s="627">
        <v>964238</v>
      </c>
      <c r="Z122" s="627">
        <v>0</v>
      </c>
      <c r="AA122" s="627">
        <v>0</v>
      </c>
      <c r="AB122" s="627">
        <v>0</v>
      </c>
      <c r="AC122" s="627">
        <v>0</v>
      </c>
      <c r="AD122" s="627">
        <v>0</v>
      </c>
      <c r="AE122" s="627" t="s">
        <v>314</v>
      </c>
      <c r="AF122" s="627">
        <v>0</v>
      </c>
      <c r="AG122" s="627">
        <v>0</v>
      </c>
      <c r="AH122" s="627">
        <v>0</v>
      </c>
      <c r="AI122" s="627">
        <v>0</v>
      </c>
      <c r="AJ122" s="627">
        <v>0</v>
      </c>
      <c r="AK122" s="627">
        <v>6160</v>
      </c>
      <c r="AL122" s="627" t="s">
        <v>651</v>
      </c>
      <c r="AM122" s="627" t="s">
        <v>424</v>
      </c>
      <c r="AN122" s="627">
        <v>0</v>
      </c>
      <c r="AO122" s="627">
        <v>0</v>
      </c>
      <c r="AP122" s="627">
        <v>0</v>
      </c>
      <c r="AQ122" s="627">
        <v>0</v>
      </c>
      <c r="AR122" s="627">
        <v>0</v>
      </c>
      <c r="AS122" s="627">
        <v>0</v>
      </c>
      <c r="AT122" s="627">
        <v>0</v>
      </c>
      <c r="AU122" s="627">
        <v>0</v>
      </c>
      <c r="AV122" s="627">
        <v>0</v>
      </c>
      <c r="AW122" s="627">
        <v>0</v>
      </c>
      <c r="AX122" s="627">
        <v>61374980</v>
      </c>
      <c r="AY122" s="627">
        <v>60543778</v>
      </c>
      <c r="AZ122" s="627">
        <v>30910464</v>
      </c>
      <c r="BA122" s="627">
        <v>2275529</v>
      </c>
      <c r="BB122" s="627">
        <v>0</v>
      </c>
      <c r="BC122" s="627">
        <v>112480</v>
      </c>
      <c r="BD122" s="627">
        <v>111763</v>
      </c>
      <c r="BE122" s="627">
        <v>264</v>
      </c>
      <c r="BF122" s="627">
        <v>717</v>
      </c>
      <c r="BG122" s="627">
        <v>53440996</v>
      </c>
      <c r="BH122" s="627">
        <v>0</v>
      </c>
      <c r="BI122" s="627">
        <v>0</v>
      </c>
      <c r="BJ122" s="627">
        <v>0</v>
      </c>
      <c r="BK122" s="627">
        <v>12</v>
      </c>
      <c r="BL122" s="627">
        <v>0</v>
      </c>
      <c r="BM122" s="627">
        <v>0</v>
      </c>
      <c r="BN122" s="627">
        <v>0</v>
      </c>
      <c r="BO122" s="627">
        <v>0</v>
      </c>
      <c r="BP122" s="627">
        <v>0</v>
      </c>
      <c r="BQ122" s="627">
        <v>0</v>
      </c>
      <c r="BR122" s="627">
        <v>9</v>
      </c>
      <c r="BS122" s="627">
        <v>0</v>
      </c>
      <c r="BT122" s="627">
        <v>0</v>
      </c>
      <c r="BU122" s="627">
        <v>0</v>
      </c>
      <c r="BV122" s="627">
        <v>0</v>
      </c>
      <c r="BW122" s="627">
        <v>0</v>
      </c>
      <c r="BX122" s="627">
        <v>0</v>
      </c>
      <c r="BY122" s="627">
        <v>0</v>
      </c>
      <c r="BZ122" s="627">
        <v>0</v>
      </c>
      <c r="CA122" s="627">
        <v>0</v>
      </c>
      <c r="CB122" s="627">
        <v>214.39700000000002</v>
      </c>
      <c r="CC122" s="627">
        <v>214397</v>
      </c>
      <c r="CD122" s="627">
        <v>0</v>
      </c>
      <c r="CE122" s="627">
        <v>0</v>
      </c>
      <c r="CF122" s="627">
        <v>0</v>
      </c>
      <c r="CG122" s="627">
        <v>0</v>
      </c>
      <c r="CH122" s="627">
        <v>0</v>
      </c>
      <c r="CI122" s="627">
        <v>845360</v>
      </c>
      <c r="CJ122" s="627">
        <v>0</v>
      </c>
      <c r="CK122" s="627">
        <v>4</v>
      </c>
      <c r="CL122" s="627">
        <v>0</v>
      </c>
      <c r="CM122" s="627">
        <v>0</v>
      </c>
      <c r="CN122" s="627">
        <v>0</v>
      </c>
      <c r="CO122" s="627">
        <v>0</v>
      </c>
      <c r="CP122" s="627">
        <v>1</v>
      </c>
      <c r="CQ122" s="627">
        <v>7.0000000000000001E-3</v>
      </c>
      <c r="CR122" s="627">
        <v>0</v>
      </c>
      <c r="CS122" s="627">
        <v>5510.8410000000003</v>
      </c>
      <c r="CT122" s="627">
        <v>0</v>
      </c>
      <c r="CU122" s="627">
        <v>0</v>
      </c>
      <c r="CV122" s="627">
        <v>0</v>
      </c>
      <c r="CW122" s="627">
        <v>0</v>
      </c>
      <c r="CX122" s="627">
        <v>0</v>
      </c>
      <c r="CY122" s="627">
        <v>0</v>
      </c>
      <c r="CZ122" s="627">
        <v>0</v>
      </c>
      <c r="DA122" s="627">
        <v>0</v>
      </c>
      <c r="DB122" s="627">
        <v>0</v>
      </c>
      <c r="DC122" s="627">
        <v>30431724</v>
      </c>
      <c r="DD122" s="627">
        <v>0</v>
      </c>
      <c r="DE122" s="627">
        <v>0</v>
      </c>
      <c r="DF122" s="627">
        <v>8161230</v>
      </c>
      <c r="DG122" s="627">
        <v>8161334</v>
      </c>
      <c r="DH122" s="627">
        <v>1324.875</v>
      </c>
      <c r="DI122" s="627">
        <v>0</v>
      </c>
      <c r="DJ122" s="627">
        <v>104</v>
      </c>
      <c r="DK122" s="627">
        <v>0</v>
      </c>
      <c r="DL122" s="627">
        <v>0</v>
      </c>
      <c r="DM122" s="627">
        <v>0</v>
      </c>
      <c r="DN122" s="627">
        <v>3943507</v>
      </c>
      <c r="DO122" s="627">
        <v>13441</v>
      </c>
      <c r="DP122" s="627">
        <v>0</v>
      </c>
      <c r="DQ122" s="627">
        <v>0</v>
      </c>
      <c r="DR122" s="627">
        <v>0</v>
      </c>
      <c r="DS122" s="627">
        <v>0</v>
      </c>
      <c r="DT122" s="627">
        <v>0</v>
      </c>
      <c r="DU122" s="627">
        <v>0</v>
      </c>
      <c r="DV122" s="627">
        <v>0</v>
      </c>
      <c r="DW122" s="627">
        <v>0</v>
      </c>
      <c r="DX122" s="627">
        <v>0</v>
      </c>
      <c r="DY122" s="627">
        <v>0</v>
      </c>
      <c r="DZ122" s="627">
        <v>0</v>
      </c>
      <c r="EA122" s="627">
        <v>0</v>
      </c>
      <c r="EB122" s="627">
        <v>0.113</v>
      </c>
      <c r="EC122" s="627">
        <v>0</v>
      </c>
      <c r="ED122" s="627">
        <v>318.73200000000003</v>
      </c>
      <c r="EE122" s="627">
        <v>2257897</v>
      </c>
      <c r="EF122" s="627">
        <v>0</v>
      </c>
      <c r="EG122" s="627">
        <v>0</v>
      </c>
      <c r="EH122" s="627">
        <v>0</v>
      </c>
      <c r="EI122" s="627">
        <v>1699051</v>
      </c>
      <c r="EJ122" s="627">
        <v>0</v>
      </c>
      <c r="EK122" s="627">
        <v>0</v>
      </c>
      <c r="EL122" s="627">
        <v>60.179000000000002</v>
      </c>
      <c r="EM122" s="627">
        <v>0</v>
      </c>
      <c r="EN122" s="627">
        <v>14.406000000000001</v>
      </c>
      <c r="EO122" s="627">
        <v>10.3</v>
      </c>
      <c r="EP122" s="627">
        <v>0</v>
      </c>
      <c r="EQ122" s="627">
        <v>0</v>
      </c>
      <c r="ER122" s="627">
        <v>84.998000000000005</v>
      </c>
      <c r="ES122" s="627">
        <v>0</v>
      </c>
      <c r="ET122" s="627">
        <v>275.82</v>
      </c>
      <c r="EU122" s="627">
        <v>0</v>
      </c>
      <c r="EV122" s="627">
        <v>0</v>
      </c>
      <c r="EW122" s="627">
        <v>0</v>
      </c>
      <c r="EX122" s="627">
        <v>0</v>
      </c>
      <c r="EY122" s="627">
        <v>0</v>
      </c>
      <c r="EZ122" s="627">
        <v>0</v>
      </c>
      <c r="FA122" s="627">
        <v>51515746</v>
      </c>
      <c r="FB122" s="627">
        <v>0</v>
      </c>
      <c r="FC122" s="627">
        <v>53777117</v>
      </c>
      <c r="FD122" s="627">
        <v>0</v>
      </c>
      <c r="FE122" s="627">
        <v>0</v>
      </c>
      <c r="FF122" s="627">
        <v>7695299</v>
      </c>
      <c r="FG122" s="627">
        <v>1332733</v>
      </c>
      <c r="FH122" s="627">
        <v>7.0280999999999996E-2</v>
      </c>
      <c r="FI122" s="627">
        <v>3.1172999999999999E-2</v>
      </c>
      <c r="FJ122" s="627">
        <v>0</v>
      </c>
      <c r="FK122" s="627">
        <v>0</v>
      </c>
      <c r="FL122" s="627">
        <v>8675.4860000000008</v>
      </c>
      <c r="FM122" s="627">
        <v>63650509</v>
      </c>
      <c r="FN122" s="627">
        <v>0</v>
      </c>
      <c r="FO122" s="627">
        <v>0</v>
      </c>
      <c r="FP122" s="627">
        <v>104384</v>
      </c>
      <c r="FQ122" s="627">
        <v>0</v>
      </c>
      <c r="FR122" s="627">
        <v>119936</v>
      </c>
      <c r="FS122" s="627">
        <v>104384</v>
      </c>
      <c r="FT122" s="627">
        <v>15552</v>
      </c>
      <c r="FU122" s="627">
        <v>0</v>
      </c>
      <c r="FV122" s="627">
        <v>0</v>
      </c>
      <c r="FW122" s="627">
        <v>0</v>
      </c>
      <c r="FX122" s="627">
        <v>0</v>
      </c>
      <c r="FY122" s="627">
        <v>0</v>
      </c>
      <c r="FZ122" s="627">
        <v>0</v>
      </c>
      <c r="GA122" s="627">
        <v>0</v>
      </c>
      <c r="GB122" s="627">
        <v>0</v>
      </c>
      <c r="GC122" s="627">
        <v>2545552</v>
      </c>
      <c r="GD122" s="627">
        <v>2545552</v>
      </c>
      <c r="GE122" s="627">
        <v>260.64699999999999</v>
      </c>
      <c r="GF122" s="627">
        <v>0</v>
      </c>
      <c r="GG122" s="627">
        <v>0</v>
      </c>
      <c r="GH122" s="627">
        <v>0</v>
      </c>
      <c r="GI122" s="627">
        <v>0</v>
      </c>
      <c r="GJ122" s="627">
        <v>0</v>
      </c>
      <c r="GK122" s="627">
        <v>0</v>
      </c>
      <c r="GL122" s="627">
        <v>0</v>
      </c>
      <c r="GM122" s="627">
        <v>0</v>
      </c>
      <c r="GN122" s="627">
        <v>0</v>
      </c>
      <c r="GO122" s="627">
        <v>0</v>
      </c>
      <c r="GP122" s="627">
        <v>0</v>
      </c>
      <c r="GQ122" s="627">
        <v>0</v>
      </c>
      <c r="GR122" s="627">
        <v>60529620</v>
      </c>
      <c r="GS122" s="627">
        <v>0</v>
      </c>
      <c r="GT122" s="627">
        <v>0</v>
      </c>
      <c r="GU122" s="627">
        <v>0</v>
      </c>
      <c r="GV122" s="627">
        <v>0</v>
      </c>
      <c r="GW122" s="627">
        <v>0</v>
      </c>
      <c r="GX122" s="627">
        <v>0</v>
      </c>
      <c r="GY122" s="627">
        <v>0</v>
      </c>
      <c r="GZ122" s="627">
        <v>0</v>
      </c>
      <c r="HA122" s="627">
        <v>0</v>
      </c>
      <c r="HB122" s="627">
        <v>0</v>
      </c>
      <c r="HC122" s="627">
        <v>361151439</v>
      </c>
      <c r="HD122" s="627">
        <v>3.9981999999999997E-2</v>
      </c>
      <c r="HE122" s="627">
        <v>845360</v>
      </c>
      <c r="HF122" s="627">
        <v>0</v>
      </c>
      <c r="HG122" s="627">
        <v>5444117</v>
      </c>
      <c r="HH122" s="627">
        <v>123816</v>
      </c>
      <c r="HI122" s="627">
        <v>1353928</v>
      </c>
      <c r="HJ122" s="627">
        <v>0</v>
      </c>
      <c r="HK122" s="627">
        <v>247859</v>
      </c>
      <c r="HL122" s="627">
        <v>8871</v>
      </c>
      <c r="HM122" s="627">
        <v>7075</v>
      </c>
      <c r="HN122" s="627">
        <v>99000</v>
      </c>
      <c r="HO122" s="627">
        <v>0</v>
      </c>
      <c r="HP122" s="627">
        <v>0</v>
      </c>
      <c r="HQ122" s="627">
        <v>0</v>
      </c>
      <c r="HR122" s="627">
        <v>0</v>
      </c>
      <c r="HS122" s="627">
        <v>0</v>
      </c>
      <c r="HT122" s="627">
        <v>51501588</v>
      </c>
      <c r="HU122" s="627">
        <v>1332733</v>
      </c>
      <c r="HV122" s="627">
        <v>0</v>
      </c>
      <c r="HW122" s="627">
        <v>0</v>
      </c>
      <c r="HX122" s="627">
        <v>0</v>
      </c>
      <c r="HY122" s="627">
        <v>487</v>
      </c>
      <c r="HZ122" s="627">
        <v>825</v>
      </c>
      <c r="IA122" s="627">
        <v>1019</v>
      </c>
      <c r="IB122" s="627">
        <v>1311</v>
      </c>
      <c r="IC122" s="627">
        <v>1529</v>
      </c>
      <c r="ID122" s="627">
        <v>5171</v>
      </c>
      <c r="IE122" s="627">
        <v>0</v>
      </c>
      <c r="IF122" s="627">
        <v>13.655000000000001</v>
      </c>
      <c r="IG122" s="627">
        <v>6.38</v>
      </c>
      <c r="IH122" s="627">
        <v>201</v>
      </c>
      <c r="II122" s="627">
        <v>2197.9349999999999</v>
      </c>
      <c r="IJ122" s="627">
        <v>0</v>
      </c>
      <c r="IK122" s="627">
        <v>1561.6850000000002</v>
      </c>
      <c r="IL122" s="627">
        <v>0</v>
      </c>
      <c r="IM122" s="627">
        <v>18</v>
      </c>
      <c r="IN122" s="627">
        <v>3</v>
      </c>
      <c r="IO122" s="627">
        <v>0</v>
      </c>
      <c r="IP122" s="627">
        <v>21</v>
      </c>
      <c r="IQ122" s="627">
        <v>0</v>
      </c>
      <c r="IR122" s="627">
        <v>1541.65</v>
      </c>
      <c r="IS122" s="627">
        <v>949656</v>
      </c>
      <c r="IT122" s="627">
        <v>0</v>
      </c>
      <c r="IU122" s="627">
        <v>90000</v>
      </c>
      <c r="IV122" s="627">
        <v>9000</v>
      </c>
      <c r="IW122" s="627">
        <v>0</v>
      </c>
      <c r="IX122" s="627">
        <v>6160</v>
      </c>
      <c r="IY122" s="627">
        <v>12617</v>
      </c>
      <c r="IZ122" s="627">
        <v>1965</v>
      </c>
      <c r="JA122" s="627">
        <v>0</v>
      </c>
      <c r="JB122" s="627">
        <v>0</v>
      </c>
      <c r="JC122" s="627">
        <v>0</v>
      </c>
      <c r="JD122" s="627">
        <v>0</v>
      </c>
      <c r="JE122" s="627">
        <v>0</v>
      </c>
      <c r="JF122" s="627">
        <v>0</v>
      </c>
      <c r="JG122" s="627">
        <v>0</v>
      </c>
      <c r="JH122" s="627">
        <v>0</v>
      </c>
      <c r="JI122" s="627">
        <v>0</v>
      </c>
      <c r="JJ122" s="627">
        <v>0</v>
      </c>
      <c r="JK122" s="627">
        <v>0</v>
      </c>
      <c r="JL122" s="627">
        <v>0</v>
      </c>
      <c r="JM122" s="627">
        <v>0</v>
      </c>
      <c r="JN122" s="627">
        <v>0</v>
      </c>
      <c r="JO122" s="627">
        <v>41615</v>
      </c>
      <c r="JP122" s="627">
        <v>0</v>
      </c>
      <c r="JQ122" s="627">
        <v>171.68800000000002</v>
      </c>
      <c r="JR122" s="627">
        <v>88.959000000000003</v>
      </c>
      <c r="JS122" s="627">
        <v>0</v>
      </c>
      <c r="JT122" s="627">
        <v>1595902</v>
      </c>
      <c r="JU122" s="627">
        <v>949650</v>
      </c>
      <c r="JV122" s="627">
        <v>113837</v>
      </c>
      <c r="JW122" s="627">
        <v>0</v>
      </c>
      <c r="JX122" s="627">
        <v>0</v>
      </c>
      <c r="JY122" s="627">
        <v>0</v>
      </c>
      <c r="JZ122" s="627">
        <v>0</v>
      </c>
      <c r="KA122" s="627">
        <v>0</v>
      </c>
      <c r="KB122" s="627">
        <v>0</v>
      </c>
      <c r="KC122" s="627">
        <v>0</v>
      </c>
      <c r="KD122" s="627">
        <v>0</v>
      </c>
      <c r="KE122" s="627">
        <v>113837</v>
      </c>
      <c r="KF122" s="627">
        <v>7262</v>
      </c>
      <c r="KG122" s="627">
        <v>0</v>
      </c>
      <c r="KH122" s="627">
        <v>0</v>
      </c>
      <c r="KI122" s="627">
        <v>60529620</v>
      </c>
      <c r="KJ122" s="627">
        <v>0</v>
      </c>
      <c r="KK122" s="627">
        <v>60</v>
      </c>
      <c r="KL122" s="627">
        <v>141</v>
      </c>
      <c r="KM122" s="627">
        <v>36960</v>
      </c>
      <c r="KN122" s="627">
        <v>86856</v>
      </c>
      <c r="KO122" s="627">
        <v>0</v>
      </c>
      <c r="KP122" s="627">
        <v>0</v>
      </c>
      <c r="KQ122" s="627">
        <v>60529620</v>
      </c>
      <c r="KR122" s="627">
        <v>0</v>
      </c>
      <c r="KS122" s="627">
        <v>0</v>
      </c>
      <c r="KT122" s="627">
        <v>0</v>
      </c>
      <c r="KU122" s="627">
        <v>0</v>
      </c>
      <c r="KV122" s="627">
        <v>0</v>
      </c>
      <c r="KW122" s="627">
        <v>0</v>
      </c>
      <c r="KX122" s="627">
        <v>0</v>
      </c>
      <c r="KY122" s="627">
        <v>0</v>
      </c>
      <c r="KZ122" s="627">
        <v>0</v>
      </c>
      <c r="LA122" s="627">
        <v>0</v>
      </c>
      <c r="LB122" s="627">
        <v>0</v>
      </c>
      <c r="LC122" s="627">
        <v>0</v>
      </c>
      <c r="LD122" s="627">
        <v>0</v>
      </c>
      <c r="LE122" s="627">
        <v>0</v>
      </c>
      <c r="LF122" s="627">
        <v>0</v>
      </c>
    </row>
    <row r="123" spans="1:318" x14ac:dyDescent="0.25">
      <c r="A123" s="627">
        <v>42602</v>
      </c>
      <c r="B123" s="627">
        <v>227824</v>
      </c>
      <c r="D123" s="627">
        <v>9</v>
      </c>
      <c r="E123" s="627">
        <v>2024</v>
      </c>
      <c r="F123" s="627">
        <v>6160</v>
      </c>
      <c r="G123" s="627">
        <v>0</v>
      </c>
      <c r="H123" s="627">
        <v>819.26200000000006</v>
      </c>
      <c r="I123" s="627">
        <v>811.04600000000005</v>
      </c>
      <c r="J123" s="627">
        <v>811.04600000000005</v>
      </c>
      <c r="K123" s="627">
        <v>819.26200000000006</v>
      </c>
      <c r="L123" s="627">
        <v>0</v>
      </c>
      <c r="M123" s="627">
        <v>6160</v>
      </c>
      <c r="N123" s="627">
        <v>0</v>
      </c>
      <c r="O123" s="627">
        <v>0</v>
      </c>
      <c r="P123" s="627">
        <v>0</v>
      </c>
      <c r="Q123" s="627">
        <v>833.32</v>
      </c>
      <c r="R123" s="627">
        <v>0</v>
      </c>
      <c r="S123" s="627">
        <v>345731</v>
      </c>
      <c r="T123" s="627">
        <v>414.88400000000001</v>
      </c>
      <c r="U123" s="627">
        <v>0</v>
      </c>
      <c r="V123" s="627">
        <v>179420</v>
      </c>
      <c r="W123" s="627">
        <v>297.30700000000002</v>
      </c>
      <c r="X123" s="627">
        <v>183141</v>
      </c>
      <c r="Y123" s="627">
        <v>183141</v>
      </c>
      <c r="Z123" s="627">
        <v>0</v>
      </c>
      <c r="AA123" s="627">
        <v>0</v>
      </c>
      <c r="AB123" s="627">
        <v>0</v>
      </c>
      <c r="AC123" s="627">
        <v>0</v>
      </c>
      <c r="AD123" s="627">
        <v>0</v>
      </c>
      <c r="AE123" s="627" t="s">
        <v>314</v>
      </c>
      <c r="AF123" s="627">
        <v>0</v>
      </c>
      <c r="AG123" s="627">
        <v>0</v>
      </c>
      <c r="AH123" s="627">
        <v>0</v>
      </c>
      <c r="AI123" s="627">
        <v>0</v>
      </c>
      <c r="AJ123" s="627">
        <v>0</v>
      </c>
      <c r="AK123" s="627">
        <v>6160</v>
      </c>
      <c r="AL123" s="627" t="s">
        <v>651</v>
      </c>
      <c r="AM123" s="627" t="s">
        <v>761</v>
      </c>
      <c r="AN123" s="627">
        <v>0</v>
      </c>
      <c r="AO123" s="627">
        <v>0</v>
      </c>
      <c r="AP123" s="627">
        <v>0</v>
      </c>
      <c r="AQ123" s="627">
        <v>0</v>
      </c>
      <c r="AR123" s="627">
        <v>0</v>
      </c>
      <c r="AS123" s="627">
        <v>0</v>
      </c>
      <c r="AT123" s="627">
        <v>0</v>
      </c>
      <c r="AU123" s="627">
        <v>0</v>
      </c>
      <c r="AV123" s="627">
        <v>0</v>
      </c>
      <c r="AW123" s="627">
        <v>0</v>
      </c>
      <c r="AX123" s="627">
        <v>9285390</v>
      </c>
      <c r="AY123" s="627">
        <v>9156119</v>
      </c>
      <c r="AZ123" s="627">
        <v>4711071</v>
      </c>
      <c r="BA123" s="627">
        <v>345731</v>
      </c>
      <c r="BB123" s="627">
        <v>0</v>
      </c>
      <c r="BC123" s="627">
        <v>0</v>
      </c>
      <c r="BD123" s="627">
        <v>0</v>
      </c>
      <c r="BE123" s="627">
        <v>0</v>
      </c>
      <c r="BF123" s="627">
        <v>0</v>
      </c>
      <c r="BG123" s="627">
        <v>8021324</v>
      </c>
      <c r="BH123" s="627">
        <v>0</v>
      </c>
      <c r="BI123" s="627">
        <v>0</v>
      </c>
      <c r="BJ123" s="627">
        <v>0</v>
      </c>
      <c r="BK123" s="627">
        <v>12</v>
      </c>
      <c r="BL123" s="627">
        <v>0</v>
      </c>
      <c r="BM123" s="627">
        <v>0</v>
      </c>
      <c r="BN123" s="627">
        <v>0</v>
      </c>
      <c r="BO123" s="627">
        <v>0</v>
      </c>
      <c r="BP123" s="627">
        <v>0</v>
      </c>
      <c r="BQ123" s="627">
        <v>0</v>
      </c>
      <c r="BR123" s="627">
        <v>645</v>
      </c>
      <c r="BS123" s="627">
        <v>0</v>
      </c>
      <c r="BT123" s="627">
        <v>0</v>
      </c>
      <c r="BU123" s="627">
        <v>0</v>
      </c>
      <c r="BV123" s="627">
        <v>0</v>
      </c>
      <c r="BW123" s="627">
        <v>0</v>
      </c>
      <c r="BX123" s="627">
        <v>0</v>
      </c>
      <c r="BY123" s="627">
        <v>0</v>
      </c>
      <c r="BZ123" s="627">
        <v>0</v>
      </c>
      <c r="CA123" s="627">
        <v>0</v>
      </c>
      <c r="CB123" s="627">
        <v>0</v>
      </c>
      <c r="CC123" s="627">
        <v>0</v>
      </c>
      <c r="CD123" s="627">
        <v>0</v>
      </c>
      <c r="CE123" s="627">
        <v>0</v>
      </c>
      <c r="CF123" s="627">
        <v>0</v>
      </c>
      <c r="CG123" s="627">
        <v>0</v>
      </c>
      <c r="CH123" s="627">
        <v>0</v>
      </c>
      <c r="CI123" s="627">
        <v>131023</v>
      </c>
      <c r="CJ123" s="627">
        <v>0</v>
      </c>
      <c r="CK123" s="627">
        <v>4</v>
      </c>
      <c r="CL123" s="627">
        <v>0</v>
      </c>
      <c r="CM123" s="627">
        <v>0</v>
      </c>
      <c r="CN123" s="627">
        <v>0</v>
      </c>
      <c r="CO123" s="627">
        <v>0</v>
      </c>
      <c r="CP123" s="627">
        <v>1</v>
      </c>
      <c r="CQ123" s="627">
        <v>0</v>
      </c>
      <c r="CR123" s="627">
        <v>0</v>
      </c>
      <c r="CS123" s="627">
        <v>830.91</v>
      </c>
      <c r="CT123" s="627">
        <v>0</v>
      </c>
      <c r="CU123" s="627">
        <v>0</v>
      </c>
      <c r="CV123" s="627">
        <v>0</v>
      </c>
      <c r="CW123" s="627">
        <v>0</v>
      </c>
      <c r="CX123" s="627">
        <v>0</v>
      </c>
      <c r="CY123" s="627">
        <v>0</v>
      </c>
      <c r="CZ123" s="627">
        <v>0</v>
      </c>
      <c r="DA123" s="627">
        <v>0</v>
      </c>
      <c r="DB123" s="627">
        <v>0</v>
      </c>
      <c r="DC123" s="627">
        <v>4996043</v>
      </c>
      <c r="DD123" s="627">
        <v>0</v>
      </c>
      <c r="DE123" s="627">
        <v>0</v>
      </c>
      <c r="DF123" s="627">
        <v>1285823</v>
      </c>
      <c r="DG123" s="627">
        <v>1285823</v>
      </c>
      <c r="DH123" s="627">
        <v>208.738</v>
      </c>
      <c r="DI123" s="627">
        <v>0</v>
      </c>
      <c r="DJ123" s="627">
        <v>0</v>
      </c>
      <c r="DK123" s="627">
        <v>0</v>
      </c>
      <c r="DL123" s="627">
        <v>1944</v>
      </c>
      <c r="DM123" s="627">
        <v>0</v>
      </c>
      <c r="DN123" s="627">
        <v>513980</v>
      </c>
      <c r="DO123" s="627">
        <v>1752</v>
      </c>
      <c r="DP123" s="627">
        <v>0</v>
      </c>
      <c r="DQ123" s="627">
        <v>0</v>
      </c>
      <c r="DR123" s="627">
        <v>0</v>
      </c>
      <c r="DS123" s="627">
        <v>0</v>
      </c>
      <c r="DT123" s="627">
        <v>0</v>
      </c>
      <c r="DU123" s="627">
        <v>0</v>
      </c>
      <c r="DV123" s="627">
        <v>0</v>
      </c>
      <c r="DW123" s="627">
        <v>0</v>
      </c>
      <c r="DX123" s="627">
        <v>0</v>
      </c>
      <c r="DY123" s="627">
        <v>0</v>
      </c>
      <c r="DZ123" s="627">
        <v>0</v>
      </c>
      <c r="EA123" s="627">
        <v>0</v>
      </c>
      <c r="EB123" s="627">
        <v>0</v>
      </c>
      <c r="EC123" s="627">
        <v>0</v>
      </c>
      <c r="ED123" s="627">
        <v>49.025000000000006</v>
      </c>
      <c r="EE123" s="627">
        <v>347293</v>
      </c>
      <c r="EF123" s="627">
        <v>0</v>
      </c>
      <c r="EG123" s="627">
        <v>0</v>
      </c>
      <c r="EH123" s="627">
        <v>0</v>
      </c>
      <c r="EI123" s="627">
        <v>168439</v>
      </c>
      <c r="EJ123" s="627">
        <v>0</v>
      </c>
      <c r="EK123" s="627">
        <v>0</v>
      </c>
      <c r="EL123" s="627">
        <v>6.8680000000000003</v>
      </c>
      <c r="EM123" s="627">
        <v>0</v>
      </c>
      <c r="EN123" s="627">
        <v>0</v>
      </c>
      <c r="EO123" s="627">
        <v>1.3480000000000001</v>
      </c>
      <c r="EP123" s="627">
        <v>0</v>
      </c>
      <c r="EQ123" s="627">
        <v>0</v>
      </c>
      <c r="ER123" s="627">
        <v>8.2160000000000011</v>
      </c>
      <c r="ES123" s="627">
        <v>0</v>
      </c>
      <c r="ET123" s="627">
        <v>27.344000000000001</v>
      </c>
      <c r="EU123" s="627">
        <v>0</v>
      </c>
      <c r="EV123" s="627">
        <v>0</v>
      </c>
      <c r="EW123" s="627">
        <v>0</v>
      </c>
      <c r="EX123" s="627">
        <v>0</v>
      </c>
      <c r="EY123" s="627">
        <v>0</v>
      </c>
      <c r="EZ123" s="627">
        <v>0</v>
      </c>
      <c r="FA123" s="627">
        <v>7801040</v>
      </c>
      <c r="FB123" s="627">
        <v>0</v>
      </c>
      <c r="FC123" s="627">
        <v>8145019</v>
      </c>
      <c r="FD123" s="627">
        <v>0</v>
      </c>
      <c r="FE123" s="627">
        <v>0</v>
      </c>
      <c r="FF123" s="627">
        <v>1155040</v>
      </c>
      <c r="FG123" s="627">
        <v>200039</v>
      </c>
      <c r="FH123" s="627">
        <v>7.0280999999999996E-2</v>
      </c>
      <c r="FI123" s="627">
        <v>3.1172999999999999E-2</v>
      </c>
      <c r="FJ123" s="627">
        <v>0</v>
      </c>
      <c r="FK123" s="627">
        <v>0</v>
      </c>
      <c r="FL123" s="627">
        <v>1302.163</v>
      </c>
      <c r="FM123" s="627">
        <v>9631121</v>
      </c>
      <c r="FN123" s="627">
        <v>0</v>
      </c>
      <c r="FO123" s="627">
        <v>0</v>
      </c>
      <c r="FP123" s="627">
        <v>122194</v>
      </c>
      <c r="FQ123" s="627">
        <v>0</v>
      </c>
      <c r="FR123" s="627">
        <v>122194</v>
      </c>
      <c r="FS123" s="627">
        <v>122194</v>
      </c>
      <c r="FT123" s="627">
        <v>0</v>
      </c>
      <c r="FU123" s="627">
        <v>0</v>
      </c>
      <c r="FV123" s="627">
        <v>0</v>
      </c>
      <c r="FW123" s="627">
        <v>0</v>
      </c>
      <c r="FX123" s="627">
        <v>0</v>
      </c>
      <c r="FY123" s="627">
        <v>0</v>
      </c>
      <c r="FZ123" s="627">
        <v>0</v>
      </c>
      <c r="GA123" s="627">
        <v>0</v>
      </c>
      <c r="GB123" s="627">
        <v>0</v>
      </c>
      <c r="GC123" s="627">
        <v>0</v>
      </c>
      <c r="GD123" s="627">
        <v>0</v>
      </c>
      <c r="GE123" s="627">
        <v>0</v>
      </c>
      <c r="GF123" s="627">
        <v>0</v>
      </c>
      <c r="GG123" s="627">
        <v>0</v>
      </c>
      <c r="GH123" s="627">
        <v>0</v>
      </c>
      <c r="GI123" s="627">
        <v>0</v>
      </c>
      <c r="GJ123" s="627">
        <v>0</v>
      </c>
      <c r="GK123" s="627">
        <v>0</v>
      </c>
      <c r="GL123" s="627">
        <v>0</v>
      </c>
      <c r="GM123" s="627">
        <v>0</v>
      </c>
      <c r="GN123" s="627">
        <v>0</v>
      </c>
      <c r="GO123" s="627">
        <v>0</v>
      </c>
      <c r="GP123" s="627">
        <v>0</v>
      </c>
      <c r="GQ123" s="627">
        <v>0</v>
      </c>
      <c r="GR123" s="627">
        <v>9154367</v>
      </c>
      <c r="GS123" s="627">
        <v>0</v>
      </c>
      <c r="GT123" s="627">
        <v>0</v>
      </c>
      <c r="GU123" s="627">
        <v>0</v>
      </c>
      <c r="GV123" s="627">
        <v>0</v>
      </c>
      <c r="GW123" s="627">
        <v>0</v>
      </c>
      <c r="GX123" s="627">
        <v>0</v>
      </c>
      <c r="GY123" s="627">
        <v>0</v>
      </c>
      <c r="GZ123" s="627">
        <v>0</v>
      </c>
      <c r="HA123" s="627">
        <v>0</v>
      </c>
      <c r="HB123" s="627">
        <v>0</v>
      </c>
      <c r="HC123" s="627">
        <v>361151439</v>
      </c>
      <c r="HD123" s="627">
        <v>3.9981999999999997E-2</v>
      </c>
      <c r="HE123" s="627">
        <v>131023</v>
      </c>
      <c r="HF123" s="627">
        <v>0</v>
      </c>
      <c r="HG123" s="627">
        <v>893773</v>
      </c>
      <c r="HH123" s="627">
        <v>6160</v>
      </c>
      <c r="HI123" s="627">
        <v>62459</v>
      </c>
      <c r="HJ123" s="627">
        <v>0</v>
      </c>
      <c r="HK123" s="627">
        <v>68193</v>
      </c>
      <c r="HL123" s="627">
        <v>2609</v>
      </c>
      <c r="HM123" s="627">
        <v>644</v>
      </c>
      <c r="HN123" s="627">
        <v>10000</v>
      </c>
      <c r="HO123" s="627">
        <v>0</v>
      </c>
      <c r="HP123" s="627">
        <v>0</v>
      </c>
      <c r="HQ123" s="627">
        <v>0</v>
      </c>
      <c r="HR123" s="627">
        <v>0</v>
      </c>
      <c r="HS123" s="627">
        <v>0</v>
      </c>
      <c r="HT123" s="627">
        <v>7799288</v>
      </c>
      <c r="HU123" s="627">
        <v>200039</v>
      </c>
      <c r="HV123" s="627">
        <v>0</v>
      </c>
      <c r="HW123" s="627">
        <v>0</v>
      </c>
      <c r="HX123" s="627">
        <v>0</v>
      </c>
      <c r="HY123" s="627">
        <v>93</v>
      </c>
      <c r="HZ123" s="627">
        <v>143</v>
      </c>
      <c r="IA123" s="627">
        <v>150</v>
      </c>
      <c r="IB123" s="627">
        <v>218</v>
      </c>
      <c r="IC123" s="627">
        <v>215</v>
      </c>
      <c r="ID123" s="627">
        <v>819</v>
      </c>
      <c r="IE123" s="627">
        <v>0</v>
      </c>
      <c r="IF123" s="627">
        <v>0</v>
      </c>
      <c r="IG123" s="627">
        <v>0</v>
      </c>
      <c r="IH123" s="627">
        <v>10</v>
      </c>
      <c r="II123" s="627">
        <v>101.39500000000001</v>
      </c>
      <c r="IJ123" s="627">
        <v>0</v>
      </c>
      <c r="IK123" s="627">
        <v>297.30700000000002</v>
      </c>
      <c r="IL123" s="627">
        <v>0</v>
      </c>
      <c r="IM123" s="627">
        <v>2</v>
      </c>
      <c r="IN123" s="627">
        <v>0</v>
      </c>
      <c r="IO123" s="627">
        <v>0</v>
      </c>
      <c r="IP123" s="627">
        <v>2</v>
      </c>
      <c r="IQ123" s="627">
        <v>0</v>
      </c>
      <c r="IR123" s="627">
        <v>297.30700000000002</v>
      </c>
      <c r="IS123" s="627">
        <v>183141</v>
      </c>
      <c r="IT123" s="627">
        <v>0</v>
      </c>
      <c r="IU123" s="627">
        <v>10000</v>
      </c>
      <c r="IV123" s="627">
        <v>0</v>
      </c>
      <c r="IW123" s="627">
        <v>0</v>
      </c>
      <c r="IX123" s="627">
        <v>6160</v>
      </c>
      <c r="IY123" s="627">
        <v>0</v>
      </c>
      <c r="IZ123" s="627">
        <v>0</v>
      </c>
      <c r="JA123" s="627">
        <v>0</v>
      </c>
      <c r="JB123" s="627">
        <v>0</v>
      </c>
      <c r="JC123" s="627">
        <v>0</v>
      </c>
      <c r="JD123" s="627">
        <v>0</v>
      </c>
      <c r="JE123" s="627">
        <v>0</v>
      </c>
      <c r="JF123" s="627">
        <v>0</v>
      </c>
      <c r="JG123" s="627">
        <v>0</v>
      </c>
      <c r="JH123" s="627">
        <v>0</v>
      </c>
      <c r="JI123" s="627">
        <v>0</v>
      </c>
      <c r="JJ123" s="627">
        <v>0</v>
      </c>
      <c r="JK123" s="627">
        <v>0</v>
      </c>
      <c r="JL123" s="627">
        <v>0</v>
      </c>
      <c r="JM123" s="627">
        <v>0</v>
      </c>
      <c r="JN123" s="627">
        <v>0</v>
      </c>
      <c r="JO123" s="627">
        <v>32469</v>
      </c>
      <c r="JP123" s="627">
        <v>0</v>
      </c>
      <c r="JQ123" s="627">
        <v>0</v>
      </c>
      <c r="JR123" s="627">
        <v>0</v>
      </c>
      <c r="JS123" s="627">
        <v>0</v>
      </c>
      <c r="JT123" s="627">
        <v>0</v>
      </c>
      <c r="JU123" s="627">
        <v>0</v>
      </c>
      <c r="JV123" s="627">
        <v>0</v>
      </c>
      <c r="JW123" s="627">
        <v>0</v>
      </c>
      <c r="JX123" s="627">
        <v>0</v>
      </c>
      <c r="JY123" s="627">
        <v>0</v>
      </c>
      <c r="JZ123" s="627">
        <v>0</v>
      </c>
      <c r="KA123" s="627">
        <v>0</v>
      </c>
      <c r="KB123" s="627">
        <v>0</v>
      </c>
      <c r="KC123" s="627">
        <v>0</v>
      </c>
      <c r="KD123" s="627">
        <v>0</v>
      </c>
      <c r="KE123" s="627">
        <v>0</v>
      </c>
      <c r="KF123" s="627">
        <v>7262</v>
      </c>
      <c r="KG123" s="627">
        <v>0</v>
      </c>
      <c r="KH123" s="627">
        <v>0</v>
      </c>
      <c r="KI123" s="627">
        <v>9154367</v>
      </c>
      <c r="KJ123" s="627">
        <v>0</v>
      </c>
      <c r="KK123" s="627">
        <v>9</v>
      </c>
      <c r="KL123" s="627">
        <v>1</v>
      </c>
      <c r="KM123" s="627">
        <v>5544</v>
      </c>
      <c r="KN123" s="627">
        <v>616</v>
      </c>
      <c r="KO123" s="627">
        <v>0</v>
      </c>
      <c r="KP123" s="627">
        <v>0</v>
      </c>
      <c r="KQ123" s="627">
        <v>9154367</v>
      </c>
      <c r="KR123" s="627">
        <v>0</v>
      </c>
      <c r="KS123" s="627">
        <v>0</v>
      </c>
      <c r="KT123" s="627">
        <v>0</v>
      </c>
      <c r="KU123" s="627">
        <v>0</v>
      </c>
      <c r="KV123" s="627">
        <v>0</v>
      </c>
      <c r="KW123" s="627">
        <v>0</v>
      </c>
      <c r="KX123" s="627">
        <v>0</v>
      </c>
      <c r="KY123" s="627">
        <v>0</v>
      </c>
      <c r="KZ123" s="627">
        <v>0</v>
      </c>
      <c r="LA123" s="627">
        <v>0</v>
      </c>
      <c r="LB123" s="627">
        <v>0</v>
      </c>
      <c r="LC123" s="627">
        <v>0</v>
      </c>
      <c r="LD123" s="627">
        <v>0</v>
      </c>
      <c r="LE123" s="627">
        <v>0</v>
      </c>
      <c r="LF123" s="627">
        <v>0</v>
      </c>
    </row>
    <row r="124" spans="1:318" x14ac:dyDescent="0.25">
      <c r="A124" s="627">
        <v>42602</v>
      </c>
      <c r="B124" s="627">
        <v>15825</v>
      </c>
      <c r="D124" s="627">
        <v>9</v>
      </c>
      <c r="E124" s="627">
        <v>2024</v>
      </c>
      <c r="F124" s="627">
        <v>6160</v>
      </c>
      <c r="G124" s="627">
        <v>0</v>
      </c>
      <c r="H124" s="627">
        <v>315.88</v>
      </c>
      <c r="I124" s="627">
        <v>277.25700000000001</v>
      </c>
      <c r="J124" s="627">
        <v>277.25700000000001</v>
      </c>
      <c r="K124" s="627">
        <v>315.88</v>
      </c>
      <c r="L124" s="627">
        <v>0</v>
      </c>
      <c r="M124" s="627">
        <v>6160</v>
      </c>
      <c r="N124" s="627">
        <v>0</v>
      </c>
      <c r="O124" s="627">
        <v>0</v>
      </c>
      <c r="P124" s="627">
        <v>0</v>
      </c>
      <c r="Q124" s="627">
        <v>333.47300000000001</v>
      </c>
      <c r="R124" s="627">
        <v>0</v>
      </c>
      <c r="S124" s="627">
        <v>138353</v>
      </c>
      <c r="T124" s="627">
        <v>414.88400000000001</v>
      </c>
      <c r="U124" s="627">
        <v>0</v>
      </c>
      <c r="V124" s="627">
        <v>71800</v>
      </c>
      <c r="W124" s="627">
        <v>99.387</v>
      </c>
      <c r="X124" s="627">
        <v>61222</v>
      </c>
      <c r="Y124" s="627">
        <v>61222</v>
      </c>
      <c r="Z124" s="627">
        <v>0</v>
      </c>
      <c r="AA124" s="627">
        <v>0</v>
      </c>
      <c r="AB124" s="627">
        <v>0</v>
      </c>
      <c r="AC124" s="627">
        <v>0</v>
      </c>
      <c r="AD124" s="627">
        <v>0</v>
      </c>
      <c r="AE124" s="627" t="s">
        <v>314</v>
      </c>
      <c r="AF124" s="627">
        <v>0</v>
      </c>
      <c r="AG124" s="627">
        <v>0</v>
      </c>
      <c r="AH124" s="627">
        <v>0</v>
      </c>
      <c r="AI124" s="627">
        <v>0</v>
      </c>
      <c r="AJ124" s="627">
        <v>0</v>
      </c>
      <c r="AK124" s="627">
        <v>6160</v>
      </c>
      <c r="AL124" s="627" t="s">
        <v>651</v>
      </c>
      <c r="AM124" s="627" t="s">
        <v>699</v>
      </c>
      <c r="AN124" s="627">
        <v>0</v>
      </c>
      <c r="AO124" s="627">
        <v>0</v>
      </c>
      <c r="AP124" s="627">
        <v>0</v>
      </c>
      <c r="AQ124" s="627">
        <v>0</v>
      </c>
      <c r="AR124" s="627">
        <v>0</v>
      </c>
      <c r="AS124" s="627">
        <v>0</v>
      </c>
      <c r="AT124" s="627">
        <v>0</v>
      </c>
      <c r="AU124" s="627">
        <v>0</v>
      </c>
      <c r="AV124" s="627">
        <v>0</v>
      </c>
      <c r="AW124" s="627">
        <v>0</v>
      </c>
      <c r="AX124" s="627">
        <v>3851035</v>
      </c>
      <c r="AY124" s="627">
        <v>3852812</v>
      </c>
      <c r="AZ124" s="627">
        <v>1945025</v>
      </c>
      <c r="BA124" s="627">
        <v>138353</v>
      </c>
      <c r="BB124" s="627">
        <v>9.5830000000000002</v>
      </c>
      <c r="BC124" s="627">
        <v>2130</v>
      </c>
      <c r="BD124" s="627">
        <v>2117</v>
      </c>
      <c r="BE124" s="627">
        <v>5</v>
      </c>
      <c r="BF124" s="627">
        <v>14</v>
      </c>
      <c r="BG124" s="627">
        <v>3413247</v>
      </c>
      <c r="BH124" s="627">
        <v>0</v>
      </c>
      <c r="BI124" s="627">
        <v>0</v>
      </c>
      <c r="BJ124" s="627">
        <v>0</v>
      </c>
      <c r="BK124" s="627">
        <v>12</v>
      </c>
      <c r="BL124" s="627">
        <v>0</v>
      </c>
      <c r="BM124" s="627">
        <v>0</v>
      </c>
      <c r="BN124" s="627">
        <v>0</v>
      </c>
      <c r="BO124" s="627">
        <v>0</v>
      </c>
      <c r="BP124" s="627">
        <v>0</v>
      </c>
      <c r="BQ124" s="627">
        <v>0</v>
      </c>
      <c r="BR124" s="627">
        <v>727</v>
      </c>
      <c r="BS124" s="627">
        <v>0</v>
      </c>
      <c r="BT124" s="627">
        <v>0</v>
      </c>
      <c r="BU124" s="627">
        <v>0</v>
      </c>
      <c r="BV124" s="627">
        <v>0</v>
      </c>
      <c r="BW124" s="627">
        <v>0</v>
      </c>
      <c r="BX124" s="627">
        <v>0</v>
      </c>
      <c r="BY124" s="627">
        <v>0</v>
      </c>
      <c r="BZ124" s="627">
        <v>0</v>
      </c>
      <c r="CA124" s="627">
        <v>0</v>
      </c>
      <c r="CB124" s="627">
        <v>0</v>
      </c>
      <c r="CC124" s="627">
        <v>0</v>
      </c>
      <c r="CD124" s="627">
        <v>0</v>
      </c>
      <c r="CE124" s="627">
        <v>0</v>
      </c>
      <c r="CF124" s="627">
        <v>0</v>
      </c>
      <c r="CG124" s="627">
        <v>0</v>
      </c>
      <c r="CH124" s="627">
        <v>0</v>
      </c>
      <c r="CI124" s="627">
        <v>0</v>
      </c>
      <c r="CJ124" s="627">
        <v>0</v>
      </c>
      <c r="CK124" s="627">
        <v>4</v>
      </c>
      <c r="CL124" s="627">
        <v>0</v>
      </c>
      <c r="CM124" s="627">
        <v>0</v>
      </c>
      <c r="CN124" s="627">
        <v>0</v>
      </c>
      <c r="CO124" s="627">
        <v>0</v>
      </c>
      <c r="CP124" s="627">
        <v>1</v>
      </c>
      <c r="CQ124" s="627">
        <v>0</v>
      </c>
      <c r="CR124" s="627">
        <v>1</v>
      </c>
      <c r="CS124" s="627">
        <v>332.19100000000003</v>
      </c>
      <c r="CT124" s="627">
        <v>0</v>
      </c>
      <c r="CU124" s="627">
        <v>0</v>
      </c>
      <c r="CV124" s="627">
        <v>0</v>
      </c>
      <c r="CW124" s="627">
        <v>0</v>
      </c>
      <c r="CX124" s="627">
        <v>0</v>
      </c>
      <c r="CY124" s="627">
        <v>0</v>
      </c>
      <c r="CZ124" s="627">
        <v>0</v>
      </c>
      <c r="DA124" s="627">
        <v>0</v>
      </c>
      <c r="DB124" s="627">
        <v>0</v>
      </c>
      <c r="DC124" s="627">
        <v>1707903</v>
      </c>
      <c r="DD124" s="627">
        <v>0</v>
      </c>
      <c r="DE124" s="627">
        <v>0</v>
      </c>
      <c r="DF124" s="627">
        <v>534996</v>
      </c>
      <c r="DG124" s="627">
        <v>534996</v>
      </c>
      <c r="DH124" s="627">
        <v>86.850000000000009</v>
      </c>
      <c r="DI124" s="627">
        <v>0</v>
      </c>
      <c r="DJ124" s="627">
        <v>0</v>
      </c>
      <c r="DK124" s="627">
        <v>0</v>
      </c>
      <c r="DL124" s="627">
        <v>3259</v>
      </c>
      <c r="DM124" s="627">
        <v>0</v>
      </c>
      <c r="DN124" s="627">
        <v>517546</v>
      </c>
      <c r="DO124" s="627">
        <v>1764</v>
      </c>
      <c r="DP124" s="627">
        <v>0</v>
      </c>
      <c r="DQ124" s="627">
        <v>0</v>
      </c>
      <c r="DR124" s="627">
        <v>0</v>
      </c>
      <c r="DS124" s="627">
        <v>0</v>
      </c>
      <c r="DT124" s="627">
        <v>0</v>
      </c>
      <c r="DU124" s="627">
        <v>0</v>
      </c>
      <c r="DV124" s="627">
        <v>0</v>
      </c>
      <c r="DW124" s="627">
        <v>0</v>
      </c>
      <c r="DX124" s="627">
        <v>0</v>
      </c>
      <c r="DY124" s="627">
        <v>0</v>
      </c>
      <c r="DZ124" s="627">
        <v>0</v>
      </c>
      <c r="EA124" s="627">
        <v>0</v>
      </c>
      <c r="EB124" s="627">
        <v>0.02</v>
      </c>
      <c r="EC124" s="627">
        <v>0</v>
      </c>
      <c r="ED124" s="627">
        <v>7.157</v>
      </c>
      <c r="EE124" s="627">
        <v>50700</v>
      </c>
      <c r="EF124" s="627">
        <v>0</v>
      </c>
      <c r="EG124" s="627">
        <v>0</v>
      </c>
      <c r="EH124" s="627">
        <v>0</v>
      </c>
      <c r="EI124" s="627">
        <v>468610</v>
      </c>
      <c r="EJ124" s="627">
        <v>0</v>
      </c>
      <c r="EK124" s="627">
        <v>0</v>
      </c>
      <c r="EL124" s="627">
        <v>22.791</v>
      </c>
      <c r="EM124" s="627">
        <v>0</v>
      </c>
      <c r="EN124" s="627">
        <v>0.91</v>
      </c>
      <c r="EO124" s="627">
        <v>0.97400000000000009</v>
      </c>
      <c r="EP124" s="627">
        <v>0</v>
      </c>
      <c r="EQ124" s="627">
        <v>0</v>
      </c>
      <c r="ER124" s="627">
        <v>24.695</v>
      </c>
      <c r="ES124" s="627">
        <v>0</v>
      </c>
      <c r="ET124" s="627">
        <v>76.073000000000008</v>
      </c>
      <c r="EU124" s="627">
        <v>0</v>
      </c>
      <c r="EV124" s="627">
        <v>0</v>
      </c>
      <c r="EW124" s="627">
        <v>0</v>
      </c>
      <c r="EX124" s="627">
        <v>0</v>
      </c>
      <c r="EY124" s="627">
        <v>0</v>
      </c>
      <c r="EZ124" s="627">
        <v>0</v>
      </c>
      <c r="FA124" s="627">
        <v>3276196</v>
      </c>
      <c r="FB124" s="627">
        <v>0</v>
      </c>
      <c r="FC124" s="627">
        <v>3412772</v>
      </c>
      <c r="FD124" s="627">
        <v>0</v>
      </c>
      <c r="FE124" s="627">
        <v>0</v>
      </c>
      <c r="FF124" s="627">
        <v>491495</v>
      </c>
      <c r="FG124" s="627">
        <v>85121</v>
      </c>
      <c r="FH124" s="627">
        <v>7.0280999999999996E-2</v>
      </c>
      <c r="FI124" s="627">
        <v>3.1172999999999999E-2</v>
      </c>
      <c r="FJ124" s="627">
        <v>0</v>
      </c>
      <c r="FK124" s="627">
        <v>0</v>
      </c>
      <c r="FL124" s="627">
        <v>554.09900000000005</v>
      </c>
      <c r="FM124" s="627">
        <v>3989388</v>
      </c>
      <c r="FN124" s="627">
        <v>0</v>
      </c>
      <c r="FO124" s="627">
        <v>0</v>
      </c>
      <c r="FP124" s="627">
        <v>0</v>
      </c>
      <c r="FQ124" s="627">
        <v>0</v>
      </c>
      <c r="FR124" s="627">
        <v>0</v>
      </c>
      <c r="FS124" s="627">
        <v>0</v>
      </c>
      <c r="FT124" s="627">
        <v>0</v>
      </c>
      <c r="FU124" s="627">
        <v>0</v>
      </c>
      <c r="FV124" s="627">
        <v>0</v>
      </c>
      <c r="FW124" s="627">
        <v>0</v>
      </c>
      <c r="FX124" s="627">
        <v>0</v>
      </c>
      <c r="FY124" s="627">
        <v>0</v>
      </c>
      <c r="FZ124" s="627">
        <v>0</v>
      </c>
      <c r="GA124" s="627">
        <v>0</v>
      </c>
      <c r="GB124" s="627">
        <v>0</v>
      </c>
      <c r="GC124" s="627">
        <v>130848</v>
      </c>
      <c r="GD124" s="627">
        <v>130848</v>
      </c>
      <c r="GE124" s="627">
        <v>13.928000000000001</v>
      </c>
      <c r="GF124" s="627">
        <v>0</v>
      </c>
      <c r="GG124" s="627">
        <v>0</v>
      </c>
      <c r="GH124" s="627">
        <v>0</v>
      </c>
      <c r="GI124" s="627">
        <v>0</v>
      </c>
      <c r="GJ124" s="627">
        <v>0</v>
      </c>
      <c r="GK124" s="627">
        <v>0</v>
      </c>
      <c r="GL124" s="627">
        <v>0</v>
      </c>
      <c r="GM124" s="627">
        <v>0</v>
      </c>
      <c r="GN124" s="627">
        <v>0</v>
      </c>
      <c r="GO124" s="627">
        <v>0</v>
      </c>
      <c r="GP124" s="627">
        <v>0</v>
      </c>
      <c r="GQ124" s="627">
        <v>0</v>
      </c>
      <c r="GR124" s="627">
        <v>3851035</v>
      </c>
      <c r="GS124" s="627">
        <v>0</v>
      </c>
      <c r="GT124" s="627">
        <v>0</v>
      </c>
      <c r="GU124" s="627">
        <v>0</v>
      </c>
      <c r="GV124" s="627">
        <v>0</v>
      </c>
      <c r="GW124" s="627">
        <v>0</v>
      </c>
      <c r="GX124" s="627">
        <v>0</v>
      </c>
      <c r="GY124" s="627">
        <v>0</v>
      </c>
      <c r="GZ124" s="627">
        <v>0</v>
      </c>
      <c r="HA124" s="627">
        <v>0</v>
      </c>
      <c r="HB124" s="627">
        <v>0</v>
      </c>
      <c r="HC124" s="627">
        <v>0</v>
      </c>
      <c r="HD124" s="627">
        <v>3.9981999999999997E-2</v>
      </c>
      <c r="HE124" s="627">
        <v>0</v>
      </c>
      <c r="HF124" s="627">
        <v>0</v>
      </c>
      <c r="HG124" s="627">
        <v>305537</v>
      </c>
      <c r="HH124" s="627">
        <v>13552</v>
      </c>
      <c r="HI124" s="627">
        <v>60247</v>
      </c>
      <c r="HJ124" s="627">
        <v>0</v>
      </c>
      <c r="HK124" s="627">
        <v>48159</v>
      </c>
      <c r="HL124" s="627">
        <v>833</v>
      </c>
      <c r="HM124" s="627">
        <v>469</v>
      </c>
      <c r="HN124" s="627">
        <v>0</v>
      </c>
      <c r="HO124" s="627">
        <v>29343</v>
      </c>
      <c r="HP124" s="627">
        <v>0</v>
      </c>
      <c r="HQ124" s="627">
        <v>0</v>
      </c>
      <c r="HR124" s="627">
        <v>0</v>
      </c>
      <c r="HS124" s="627">
        <v>0</v>
      </c>
      <c r="HT124" s="627">
        <v>3274419</v>
      </c>
      <c r="HU124" s="627">
        <v>85121</v>
      </c>
      <c r="HV124" s="627">
        <v>0</v>
      </c>
      <c r="HW124" s="627">
        <v>0</v>
      </c>
      <c r="HX124" s="627">
        <v>0</v>
      </c>
      <c r="HY124" s="627">
        <v>26</v>
      </c>
      <c r="HZ124" s="627">
        <v>31</v>
      </c>
      <c r="IA124" s="627">
        <v>71</v>
      </c>
      <c r="IB124" s="627">
        <v>83</v>
      </c>
      <c r="IC124" s="627">
        <v>124</v>
      </c>
      <c r="ID124" s="627">
        <v>335</v>
      </c>
      <c r="IE124" s="627">
        <v>0</v>
      </c>
      <c r="IF124" s="627">
        <v>0</v>
      </c>
      <c r="IG124" s="627">
        <v>0</v>
      </c>
      <c r="IH124" s="627">
        <v>22</v>
      </c>
      <c r="II124" s="627">
        <v>97.803000000000011</v>
      </c>
      <c r="IJ124" s="627">
        <v>0</v>
      </c>
      <c r="IK124" s="627">
        <v>99.387</v>
      </c>
      <c r="IL124" s="627">
        <v>0</v>
      </c>
      <c r="IM124" s="627">
        <v>0</v>
      </c>
      <c r="IN124" s="627">
        <v>0</v>
      </c>
      <c r="IO124" s="627">
        <v>0</v>
      </c>
      <c r="IP124" s="627">
        <v>0</v>
      </c>
      <c r="IQ124" s="627">
        <v>0</v>
      </c>
      <c r="IR124" s="627">
        <v>99.387</v>
      </c>
      <c r="IS124" s="627">
        <v>61222</v>
      </c>
      <c r="IT124" s="627">
        <v>0</v>
      </c>
      <c r="IU124" s="627">
        <v>0</v>
      </c>
      <c r="IV124" s="627">
        <v>0</v>
      </c>
      <c r="IW124" s="627">
        <v>0</v>
      </c>
      <c r="IX124" s="627">
        <v>6160</v>
      </c>
      <c r="IY124" s="627">
        <v>0</v>
      </c>
      <c r="IZ124" s="627">
        <v>0</v>
      </c>
      <c r="JA124" s="627">
        <v>0</v>
      </c>
      <c r="JB124" s="627">
        <v>0</v>
      </c>
      <c r="JC124" s="627">
        <v>0</v>
      </c>
      <c r="JD124" s="627">
        <v>0</v>
      </c>
      <c r="JE124" s="627">
        <v>1</v>
      </c>
      <c r="JF124" s="627">
        <v>13221</v>
      </c>
      <c r="JG124" s="627">
        <v>2</v>
      </c>
      <c r="JH124" s="627">
        <v>13222</v>
      </c>
      <c r="JI124" s="627">
        <v>2900</v>
      </c>
      <c r="JJ124" s="627">
        <v>0</v>
      </c>
      <c r="JK124" s="627">
        <v>0</v>
      </c>
      <c r="JL124" s="627">
        <v>0</v>
      </c>
      <c r="JM124" s="627">
        <v>0</v>
      </c>
      <c r="JN124" s="627">
        <v>0</v>
      </c>
      <c r="JO124" s="627">
        <v>32469</v>
      </c>
      <c r="JP124" s="627">
        <v>0</v>
      </c>
      <c r="JQ124" s="627">
        <v>12.934000000000001</v>
      </c>
      <c r="JR124" s="627">
        <v>0.995</v>
      </c>
      <c r="JS124" s="627">
        <v>0</v>
      </c>
      <c r="JT124" s="627">
        <v>120226</v>
      </c>
      <c r="JU124" s="627">
        <v>10622</v>
      </c>
      <c r="JV124" s="627">
        <v>2156</v>
      </c>
      <c r="JW124" s="627">
        <v>0</v>
      </c>
      <c r="JX124" s="627">
        <v>0</v>
      </c>
      <c r="JY124" s="627">
        <v>0</v>
      </c>
      <c r="JZ124" s="627">
        <v>0</v>
      </c>
      <c r="KA124" s="627">
        <v>0</v>
      </c>
      <c r="KB124" s="627">
        <v>0</v>
      </c>
      <c r="KC124" s="627">
        <v>0</v>
      </c>
      <c r="KD124" s="627">
        <v>0</v>
      </c>
      <c r="KE124" s="627">
        <v>2156</v>
      </c>
      <c r="KF124" s="627">
        <v>7262</v>
      </c>
      <c r="KG124" s="627">
        <v>0</v>
      </c>
      <c r="KH124" s="627">
        <v>0</v>
      </c>
      <c r="KI124" s="627">
        <v>3851035</v>
      </c>
      <c r="KJ124" s="627">
        <v>0</v>
      </c>
      <c r="KK124" s="627">
        <v>16</v>
      </c>
      <c r="KL124" s="627">
        <v>6</v>
      </c>
      <c r="KM124" s="627">
        <v>9856</v>
      </c>
      <c r="KN124" s="627">
        <v>3696</v>
      </c>
      <c r="KO124" s="627">
        <v>0</v>
      </c>
      <c r="KP124" s="627">
        <v>0</v>
      </c>
      <c r="KQ124" s="627">
        <v>3851035</v>
      </c>
      <c r="KR124" s="627">
        <v>0</v>
      </c>
      <c r="KS124" s="627">
        <v>0</v>
      </c>
      <c r="KT124" s="627">
        <v>0</v>
      </c>
      <c r="KU124" s="627">
        <v>0</v>
      </c>
      <c r="KV124" s="627">
        <v>0</v>
      </c>
      <c r="KW124" s="627">
        <v>0</v>
      </c>
      <c r="KX124" s="627">
        <v>0</v>
      </c>
      <c r="KY124" s="627">
        <v>0</v>
      </c>
      <c r="KZ124" s="627">
        <v>0</v>
      </c>
      <c r="LA124" s="627">
        <v>0</v>
      </c>
      <c r="LB124" s="627">
        <v>0</v>
      </c>
      <c r="LC124" s="627">
        <v>0</v>
      </c>
      <c r="LD124" s="627">
        <v>0</v>
      </c>
      <c r="LE124" s="627">
        <v>0</v>
      </c>
      <c r="LF124" s="627">
        <v>0</v>
      </c>
    </row>
    <row r="125" spans="1:318" x14ac:dyDescent="0.25">
      <c r="A125" s="627">
        <v>42602</v>
      </c>
      <c r="B125" s="627">
        <v>227825</v>
      </c>
      <c r="D125" s="627">
        <v>9</v>
      </c>
      <c r="E125" s="627">
        <v>2024</v>
      </c>
      <c r="F125" s="627">
        <v>6160</v>
      </c>
      <c r="G125" s="627">
        <v>0</v>
      </c>
      <c r="H125" s="627">
        <v>2341.35</v>
      </c>
      <c r="I125" s="627">
        <v>2228.8119999999999</v>
      </c>
      <c r="J125" s="627">
        <v>2228.8119999999999</v>
      </c>
      <c r="K125" s="627">
        <v>2341.35</v>
      </c>
      <c r="L125" s="627">
        <v>0</v>
      </c>
      <c r="M125" s="627">
        <v>6160</v>
      </c>
      <c r="N125" s="627">
        <v>0</v>
      </c>
      <c r="O125" s="627">
        <v>0</v>
      </c>
      <c r="P125" s="627">
        <v>0</v>
      </c>
      <c r="Q125" s="627">
        <v>2107.1350000000002</v>
      </c>
      <c r="R125" s="627">
        <v>0</v>
      </c>
      <c r="S125" s="627">
        <v>874217</v>
      </c>
      <c r="T125" s="627">
        <v>414.88400000000001</v>
      </c>
      <c r="U125" s="627">
        <v>0</v>
      </c>
      <c r="V125" s="627">
        <v>453683</v>
      </c>
      <c r="W125" s="627">
        <v>1414.0830000000001</v>
      </c>
      <c r="X125" s="627">
        <v>871075</v>
      </c>
      <c r="Y125" s="627">
        <v>871075</v>
      </c>
      <c r="Z125" s="627">
        <v>0</v>
      </c>
      <c r="AA125" s="627">
        <v>0</v>
      </c>
      <c r="AB125" s="627">
        <v>0</v>
      </c>
      <c r="AC125" s="627">
        <v>0</v>
      </c>
      <c r="AD125" s="627">
        <v>0</v>
      </c>
      <c r="AE125" s="627" t="s">
        <v>314</v>
      </c>
      <c r="AF125" s="627">
        <v>0</v>
      </c>
      <c r="AG125" s="627">
        <v>0</v>
      </c>
      <c r="AH125" s="627">
        <v>0</v>
      </c>
      <c r="AI125" s="627">
        <v>0</v>
      </c>
      <c r="AJ125" s="627">
        <v>0</v>
      </c>
      <c r="AK125" s="627">
        <v>6160</v>
      </c>
      <c r="AL125" s="627" t="s">
        <v>651</v>
      </c>
      <c r="AM125" s="627" t="s">
        <v>118</v>
      </c>
      <c r="AN125" s="627">
        <v>0</v>
      </c>
      <c r="AO125" s="627">
        <v>0</v>
      </c>
      <c r="AP125" s="627">
        <v>0</v>
      </c>
      <c r="AQ125" s="627">
        <v>0</v>
      </c>
      <c r="AR125" s="627">
        <v>0</v>
      </c>
      <c r="AS125" s="627">
        <v>0</v>
      </c>
      <c r="AT125" s="627">
        <v>0</v>
      </c>
      <c r="AU125" s="627">
        <v>0</v>
      </c>
      <c r="AV125" s="627">
        <v>0</v>
      </c>
      <c r="AW125" s="627">
        <v>0</v>
      </c>
      <c r="AX125" s="627">
        <v>27604907</v>
      </c>
      <c r="AY125" s="627">
        <v>27236848</v>
      </c>
      <c r="AZ125" s="627">
        <v>16587905</v>
      </c>
      <c r="BA125" s="627">
        <v>874217</v>
      </c>
      <c r="BB125" s="627">
        <v>0</v>
      </c>
      <c r="BC125" s="627">
        <v>0</v>
      </c>
      <c r="BD125" s="627">
        <v>0</v>
      </c>
      <c r="BE125" s="627">
        <v>0</v>
      </c>
      <c r="BF125" s="627">
        <v>0</v>
      </c>
      <c r="BG125" s="627">
        <v>23673671</v>
      </c>
      <c r="BH125" s="627">
        <v>0</v>
      </c>
      <c r="BI125" s="627">
        <v>0</v>
      </c>
      <c r="BJ125" s="627">
        <v>0</v>
      </c>
      <c r="BK125" s="627">
        <v>12</v>
      </c>
      <c r="BL125" s="627">
        <v>0</v>
      </c>
      <c r="BM125" s="627">
        <v>0</v>
      </c>
      <c r="BN125" s="627">
        <v>0</v>
      </c>
      <c r="BO125" s="627">
        <v>0</v>
      </c>
      <c r="BP125" s="627">
        <v>0</v>
      </c>
      <c r="BQ125" s="627">
        <v>0</v>
      </c>
      <c r="BR125" s="627">
        <v>427</v>
      </c>
      <c r="BS125" s="627">
        <v>0</v>
      </c>
      <c r="BT125" s="627">
        <v>0</v>
      </c>
      <c r="BU125" s="627">
        <v>0</v>
      </c>
      <c r="BV125" s="627">
        <v>0</v>
      </c>
      <c r="BW125" s="627">
        <v>0</v>
      </c>
      <c r="BX125" s="627">
        <v>0</v>
      </c>
      <c r="BY125" s="627">
        <v>0</v>
      </c>
      <c r="BZ125" s="627">
        <v>0</v>
      </c>
      <c r="CA125" s="627">
        <v>0</v>
      </c>
      <c r="CB125" s="627">
        <v>378.62400000000002</v>
      </c>
      <c r="CC125" s="627">
        <v>378624</v>
      </c>
      <c r="CD125" s="627">
        <v>0</v>
      </c>
      <c r="CE125" s="627">
        <v>0</v>
      </c>
      <c r="CF125" s="627">
        <v>0</v>
      </c>
      <c r="CG125" s="627">
        <v>0</v>
      </c>
      <c r="CH125" s="627">
        <v>0</v>
      </c>
      <c r="CI125" s="627">
        <v>374449</v>
      </c>
      <c r="CJ125" s="627">
        <v>0</v>
      </c>
      <c r="CK125" s="627">
        <v>5</v>
      </c>
      <c r="CL125" s="627">
        <v>0</v>
      </c>
      <c r="CM125" s="627">
        <v>0</v>
      </c>
      <c r="CN125" s="627">
        <v>0</v>
      </c>
      <c r="CO125" s="627">
        <v>0</v>
      </c>
      <c r="CP125" s="627">
        <v>1</v>
      </c>
      <c r="CQ125" s="627">
        <v>8.7000000000000008E-2</v>
      </c>
      <c r="CR125" s="627">
        <v>0</v>
      </c>
      <c r="CS125" s="627">
        <v>2151.2560000000003</v>
      </c>
      <c r="CT125" s="627">
        <v>0</v>
      </c>
      <c r="CU125" s="627">
        <v>0</v>
      </c>
      <c r="CV125" s="627">
        <v>0</v>
      </c>
      <c r="CW125" s="627">
        <v>0</v>
      </c>
      <c r="CX125" s="627">
        <v>0</v>
      </c>
      <c r="CY125" s="627">
        <v>0</v>
      </c>
      <c r="CZ125" s="627">
        <v>0</v>
      </c>
      <c r="DA125" s="627">
        <v>0</v>
      </c>
      <c r="DB125" s="627">
        <v>0</v>
      </c>
      <c r="DC125" s="627">
        <v>13729482</v>
      </c>
      <c r="DD125" s="627">
        <v>0</v>
      </c>
      <c r="DE125" s="627">
        <v>0</v>
      </c>
      <c r="DF125" s="627">
        <v>3492566</v>
      </c>
      <c r="DG125" s="627">
        <v>3493858</v>
      </c>
      <c r="DH125" s="627">
        <v>566.97500000000002</v>
      </c>
      <c r="DI125" s="627">
        <v>0</v>
      </c>
      <c r="DJ125" s="627">
        <v>1292</v>
      </c>
      <c r="DK125" s="627">
        <v>0</v>
      </c>
      <c r="DL125" s="627">
        <v>0</v>
      </c>
      <c r="DM125" s="627">
        <v>0</v>
      </c>
      <c r="DN125" s="627">
        <v>1874704</v>
      </c>
      <c r="DO125" s="627">
        <v>6390</v>
      </c>
      <c r="DP125" s="627">
        <v>0</v>
      </c>
      <c r="DQ125" s="627">
        <v>0</v>
      </c>
      <c r="DR125" s="627">
        <v>0</v>
      </c>
      <c r="DS125" s="627">
        <v>0</v>
      </c>
      <c r="DT125" s="627">
        <v>0</v>
      </c>
      <c r="DU125" s="627">
        <v>0</v>
      </c>
      <c r="DV125" s="627">
        <v>0</v>
      </c>
      <c r="DW125" s="627">
        <v>0</v>
      </c>
      <c r="DX125" s="627">
        <v>0</v>
      </c>
      <c r="DY125" s="627">
        <v>0</v>
      </c>
      <c r="DZ125" s="627">
        <v>0</v>
      </c>
      <c r="EA125" s="627">
        <v>0</v>
      </c>
      <c r="EB125" s="627">
        <v>0</v>
      </c>
      <c r="EC125" s="627">
        <v>0</v>
      </c>
      <c r="ED125" s="627">
        <v>118.47</v>
      </c>
      <c r="EE125" s="627">
        <v>839241</v>
      </c>
      <c r="EF125" s="627">
        <v>0</v>
      </c>
      <c r="EG125" s="627">
        <v>0</v>
      </c>
      <c r="EH125" s="627">
        <v>0</v>
      </c>
      <c r="EI125" s="627">
        <v>1041853</v>
      </c>
      <c r="EJ125" s="627">
        <v>0</v>
      </c>
      <c r="EK125" s="627">
        <v>0</v>
      </c>
      <c r="EL125" s="627">
        <v>40.383000000000003</v>
      </c>
      <c r="EM125" s="627">
        <v>0</v>
      </c>
      <c r="EN125" s="627">
        <v>8.6910000000000007</v>
      </c>
      <c r="EO125" s="627">
        <v>4.3820000000000006</v>
      </c>
      <c r="EP125" s="627">
        <v>0</v>
      </c>
      <c r="EQ125" s="627">
        <v>0</v>
      </c>
      <c r="ER125" s="627">
        <v>53.456000000000003</v>
      </c>
      <c r="ES125" s="627">
        <v>0</v>
      </c>
      <c r="ET125" s="627">
        <v>169.13200000000001</v>
      </c>
      <c r="EU125" s="627">
        <v>0</v>
      </c>
      <c r="EV125" s="627">
        <v>0</v>
      </c>
      <c r="EW125" s="627">
        <v>0</v>
      </c>
      <c r="EX125" s="627">
        <v>0</v>
      </c>
      <c r="EY125" s="627">
        <v>0</v>
      </c>
      <c r="EZ125" s="627">
        <v>0</v>
      </c>
      <c r="FA125" s="627">
        <v>23237547</v>
      </c>
      <c r="FB125" s="627">
        <v>0</v>
      </c>
      <c r="FC125" s="627">
        <v>24105374</v>
      </c>
      <c r="FD125" s="627">
        <v>0</v>
      </c>
      <c r="FE125" s="627">
        <v>0</v>
      </c>
      <c r="FF125" s="627">
        <v>3408918</v>
      </c>
      <c r="FG125" s="627">
        <v>590383</v>
      </c>
      <c r="FH125" s="627">
        <v>7.0280999999999996E-2</v>
      </c>
      <c r="FI125" s="627">
        <v>3.1172999999999999E-2</v>
      </c>
      <c r="FJ125" s="627">
        <v>0</v>
      </c>
      <c r="FK125" s="627">
        <v>0</v>
      </c>
      <c r="FL125" s="627">
        <v>3843.1280000000002</v>
      </c>
      <c r="FM125" s="627">
        <v>28479124</v>
      </c>
      <c r="FN125" s="627">
        <v>0</v>
      </c>
      <c r="FO125" s="627">
        <v>0</v>
      </c>
      <c r="FP125" s="627">
        <v>47772</v>
      </c>
      <c r="FQ125" s="627">
        <v>0</v>
      </c>
      <c r="FR125" s="627">
        <v>47772</v>
      </c>
      <c r="FS125" s="627">
        <v>47772</v>
      </c>
      <c r="FT125" s="627">
        <v>0</v>
      </c>
      <c r="FU125" s="627">
        <v>0</v>
      </c>
      <c r="FV125" s="627">
        <v>0</v>
      </c>
      <c r="FW125" s="627">
        <v>0</v>
      </c>
      <c r="FX125" s="627">
        <v>0</v>
      </c>
      <c r="FY125" s="627">
        <v>0</v>
      </c>
      <c r="FZ125" s="627">
        <v>0</v>
      </c>
      <c r="GA125" s="627">
        <v>0</v>
      </c>
      <c r="GB125" s="627">
        <v>0</v>
      </c>
      <c r="GC125" s="627">
        <v>563226</v>
      </c>
      <c r="GD125" s="627">
        <v>563226</v>
      </c>
      <c r="GE125" s="627">
        <v>59.082000000000001</v>
      </c>
      <c r="GF125" s="627">
        <v>0</v>
      </c>
      <c r="GG125" s="627">
        <v>0</v>
      </c>
      <c r="GH125" s="627">
        <v>0</v>
      </c>
      <c r="GI125" s="627">
        <v>0</v>
      </c>
      <c r="GJ125" s="627">
        <v>0</v>
      </c>
      <c r="GK125" s="627">
        <v>0</v>
      </c>
      <c r="GL125" s="627">
        <v>0</v>
      </c>
      <c r="GM125" s="627">
        <v>0</v>
      </c>
      <c r="GN125" s="627">
        <v>0</v>
      </c>
      <c r="GO125" s="627">
        <v>0</v>
      </c>
      <c r="GP125" s="627">
        <v>0</v>
      </c>
      <c r="GQ125" s="627">
        <v>0</v>
      </c>
      <c r="GR125" s="627">
        <v>27230458</v>
      </c>
      <c r="GS125" s="627">
        <v>0</v>
      </c>
      <c r="GT125" s="627">
        <v>0</v>
      </c>
      <c r="GU125" s="627">
        <v>0</v>
      </c>
      <c r="GV125" s="627">
        <v>0</v>
      </c>
      <c r="GW125" s="627">
        <v>0</v>
      </c>
      <c r="GX125" s="627">
        <v>0</v>
      </c>
      <c r="GY125" s="627">
        <v>0</v>
      </c>
      <c r="GZ125" s="627">
        <v>0</v>
      </c>
      <c r="HA125" s="627">
        <v>0</v>
      </c>
      <c r="HB125" s="627">
        <v>0</v>
      </c>
      <c r="HC125" s="627">
        <v>361151439</v>
      </c>
      <c r="HD125" s="627">
        <v>3.9981999999999997E-2</v>
      </c>
      <c r="HE125" s="627">
        <v>374449</v>
      </c>
      <c r="HF125" s="627">
        <v>0</v>
      </c>
      <c r="HG125" s="627">
        <v>2456151</v>
      </c>
      <c r="HH125" s="627">
        <v>0</v>
      </c>
      <c r="HI125" s="627">
        <v>515371</v>
      </c>
      <c r="HJ125" s="627">
        <v>0</v>
      </c>
      <c r="HK125" s="627">
        <v>83414</v>
      </c>
      <c r="HL125" s="627">
        <v>7539</v>
      </c>
      <c r="HM125" s="627">
        <v>4158</v>
      </c>
      <c r="HN125" s="627">
        <v>80000</v>
      </c>
      <c r="HO125" s="627">
        <v>0</v>
      </c>
      <c r="HP125" s="627">
        <v>0</v>
      </c>
      <c r="HQ125" s="627">
        <v>0</v>
      </c>
      <c r="HR125" s="627">
        <v>0</v>
      </c>
      <c r="HS125" s="627">
        <v>0</v>
      </c>
      <c r="HT125" s="627">
        <v>23231157</v>
      </c>
      <c r="HU125" s="627">
        <v>590383</v>
      </c>
      <c r="HV125" s="627">
        <v>0</v>
      </c>
      <c r="HW125" s="627">
        <v>0</v>
      </c>
      <c r="HX125" s="627">
        <v>0</v>
      </c>
      <c r="HY125" s="627">
        <v>373</v>
      </c>
      <c r="HZ125" s="627">
        <v>538</v>
      </c>
      <c r="IA125" s="627">
        <v>401</v>
      </c>
      <c r="IB125" s="627">
        <v>388</v>
      </c>
      <c r="IC125" s="627">
        <v>557</v>
      </c>
      <c r="ID125" s="627">
        <v>2257</v>
      </c>
      <c r="IE125" s="627">
        <v>0</v>
      </c>
      <c r="IF125" s="627">
        <v>0</v>
      </c>
      <c r="IG125" s="627">
        <v>0</v>
      </c>
      <c r="IH125" s="627">
        <v>0</v>
      </c>
      <c r="II125" s="627">
        <v>836.64200000000005</v>
      </c>
      <c r="IJ125" s="627">
        <v>0</v>
      </c>
      <c r="IK125" s="627">
        <v>1414.0830000000001</v>
      </c>
      <c r="IL125" s="627">
        <v>0</v>
      </c>
      <c r="IM125" s="627">
        <v>16</v>
      </c>
      <c r="IN125" s="627">
        <v>0</v>
      </c>
      <c r="IO125" s="627">
        <v>0</v>
      </c>
      <c r="IP125" s="627">
        <v>16</v>
      </c>
      <c r="IQ125" s="627">
        <v>0</v>
      </c>
      <c r="IR125" s="627">
        <v>1414.0830000000001</v>
      </c>
      <c r="IS125" s="627">
        <v>871075</v>
      </c>
      <c r="IT125" s="627">
        <v>0</v>
      </c>
      <c r="IU125" s="627">
        <v>80000</v>
      </c>
      <c r="IV125" s="627">
        <v>0</v>
      </c>
      <c r="IW125" s="627">
        <v>0</v>
      </c>
      <c r="IX125" s="627">
        <v>6160</v>
      </c>
      <c r="IY125" s="627">
        <v>0</v>
      </c>
      <c r="IZ125" s="627">
        <v>0</v>
      </c>
      <c r="JA125" s="627">
        <v>0</v>
      </c>
      <c r="JB125" s="627">
        <v>0</v>
      </c>
      <c r="JC125" s="627">
        <v>0</v>
      </c>
      <c r="JD125" s="627">
        <v>0</v>
      </c>
      <c r="JE125" s="627">
        <v>0</v>
      </c>
      <c r="JF125" s="627">
        <v>0</v>
      </c>
      <c r="JG125" s="627">
        <v>0</v>
      </c>
      <c r="JH125" s="627">
        <v>0</v>
      </c>
      <c r="JI125" s="627">
        <v>0</v>
      </c>
      <c r="JJ125" s="627">
        <v>0</v>
      </c>
      <c r="JK125" s="627">
        <v>0</v>
      </c>
      <c r="JL125" s="627">
        <v>0</v>
      </c>
      <c r="JM125" s="627">
        <v>0</v>
      </c>
      <c r="JN125" s="627">
        <v>0</v>
      </c>
      <c r="JO125" s="627">
        <v>42155</v>
      </c>
      <c r="JP125" s="627">
        <v>0</v>
      </c>
      <c r="JQ125" s="627">
        <v>48.908000000000001</v>
      </c>
      <c r="JR125" s="627">
        <v>10.174000000000001</v>
      </c>
      <c r="JS125" s="627">
        <v>0</v>
      </c>
      <c r="JT125" s="627">
        <v>454617</v>
      </c>
      <c r="JU125" s="627">
        <v>108609</v>
      </c>
      <c r="JV125" s="627">
        <v>0</v>
      </c>
      <c r="JW125" s="627">
        <v>0</v>
      </c>
      <c r="JX125" s="627">
        <v>0</v>
      </c>
      <c r="JY125" s="627">
        <v>0</v>
      </c>
      <c r="JZ125" s="627">
        <v>0</v>
      </c>
      <c r="KA125" s="627">
        <v>0</v>
      </c>
      <c r="KB125" s="627">
        <v>0</v>
      </c>
      <c r="KC125" s="627">
        <v>0</v>
      </c>
      <c r="KD125" s="627">
        <v>0</v>
      </c>
      <c r="KE125" s="627">
        <v>0</v>
      </c>
      <c r="KF125" s="627">
        <v>7262</v>
      </c>
      <c r="KG125" s="627">
        <v>0</v>
      </c>
      <c r="KH125" s="627">
        <v>0</v>
      </c>
      <c r="KI125" s="627">
        <v>27230458</v>
      </c>
      <c r="KJ125" s="627">
        <v>0</v>
      </c>
      <c r="KK125" s="627">
        <v>0</v>
      </c>
      <c r="KL125" s="627">
        <v>0</v>
      </c>
      <c r="KM125" s="627">
        <v>0</v>
      </c>
      <c r="KN125" s="627">
        <v>0</v>
      </c>
      <c r="KO125" s="627">
        <v>0</v>
      </c>
      <c r="KP125" s="627">
        <v>0</v>
      </c>
      <c r="KQ125" s="627">
        <v>27230458</v>
      </c>
      <c r="KR125" s="627">
        <v>0</v>
      </c>
      <c r="KS125" s="627">
        <v>0</v>
      </c>
      <c r="KT125" s="627">
        <v>0</v>
      </c>
      <c r="KU125" s="627">
        <v>0</v>
      </c>
      <c r="KV125" s="627">
        <v>0</v>
      </c>
      <c r="KW125" s="627">
        <v>0</v>
      </c>
      <c r="KX125" s="627">
        <v>0</v>
      </c>
      <c r="KY125" s="627">
        <v>0</v>
      </c>
      <c r="KZ125" s="627">
        <v>0</v>
      </c>
      <c r="LA125" s="627">
        <v>0</v>
      </c>
      <c r="LB125" s="627">
        <v>0</v>
      </c>
      <c r="LC125" s="627">
        <v>0</v>
      </c>
      <c r="LD125" s="627">
        <v>0</v>
      </c>
      <c r="LE125" s="627">
        <v>0</v>
      </c>
      <c r="LF125" s="627">
        <v>0</v>
      </c>
    </row>
    <row r="126" spans="1:318" x14ac:dyDescent="0.25">
      <c r="A126" s="627">
        <v>42602</v>
      </c>
      <c r="B126" s="627">
        <v>227826</v>
      </c>
      <c r="D126" s="627">
        <v>9</v>
      </c>
      <c r="E126" s="627">
        <v>2024</v>
      </c>
      <c r="F126" s="627">
        <v>6160</v>
      </c>
      <c r="G126" s="627">
        <v>0</v>
      </c>
      <c r="H126" s="627">
        <v>369.31300000000005</v>
      </c>
      <c r="I126" s="627">
        <v>347.25300000000004</v>
      </c>
      <c r="J126" s="627">
        <v>347.25300000000004</v>
      </c>
      <c r="K126" s="627">
        <v>369.31300000000005</v>
      </c>
      <c r="L126" s="627">
        <v>0</v>
      </c>
      <c r="M126" s="627">
        <v>6160</v>
      </c>
      <c r="N126" s="627">
        <v>0</v>
      </c>
      <c r="O126" s="627">
        <v>0</v>
      </c>
      <c r="P126" s="627">
        <v>0</v>
      </c>
      <c r="Q126" s="627">
        <v>356.62200000000001</v>
      </c>
      <c r="R126" s="627">
        <v>0</v>
      </c>
      <c r="S126" s="627">
        <v>147957</v>
      </c>
      <c r="T126" s="627">
        <v>414.88400000000001</v>
      </c>
      <c r="U126" s="627">
        <v>0</v>
      </c>
      <c r="V126" s="627">
        <v>76784</v>
      </c>
      <c r="W126" s="627">
        <v>102.253</v>
      </c>
      <c r="X126" s="627">
        <v>62988</v>
      </c>
      <c r="Y126" s="627">
        <v>62988</v>
      </c>
      <c r="Z126" s="627">
        <v>0</v>
      </c>
      <c r="AA126" s="627">
        <v>0</v>
      </c>
      <c r="AB126" s="627">
        <v>0</v>
      </c>
      <c r="AC126" s="627">
        <v>0</v>
      </c>
      <c r="AD126" s="627">
        <v>0</v>
      </c>
      <c r="AE126" s="627" t="s">
        <v>314</v>
      </c>
      <c r="AF126" s="627">
        <v>0</v>
      </c>
      <c r="AG126" s="627">
        <v>0</v>
      </c>
      <c r="AH126" s="627">
        <v>0</v>
      </c>
      <c r="AI126" s="627">
        <v>0</v>
      </c>
      <c r="AJ126" s="627">
        <v>0</v>
      </c>
      <c r="AK126" s="627">
        <v>6160</v>
      </c>
      <c r="AL126" s="627" t="s">
        <v>651</v>
      </c>
      <c r="AM126" s="627" t="s">
        <v>365</v>
      </c>
      <c r="AN126" s="627">
        <v>0</v>
      </c>
      <c r="AO126" s="627">
        <v>0</v>
      </c>
      <c r="AP126" s="627">
        <v>0</v>
      </c>
      <c r="AQ126" s="627">
        <v>0</v>
      </c>
      <c r="AR126" s="627">
        <v>0</v>
      </c>
      <c r="AS126" s="627">
        <v>0</v>
      </c>
      <c r="AT126" s="627">
        <v>0</v>
      </c>
      <c r="AU126" s="627">
        <v>0</v>
      </c>
      <c r="AV126" s="627">
        <v>0</v>
      </c>
      <c r="AW126" s="627">
        <v>0</v>
      </c>
      <c r="AX126" s="627">
        <v>4038022</v>
      </c>
      <c r="AY126" s="627">
        <v>3980495</v>
      </c>
      <c r="AZ126" s="627">
        <v>1982055</v>
      </c>
      <c r="BA126" s="627">
        <v>147957</v>
      </c>
      <c r="BB126" s="627">
        <v>0</v>
      </c>
      <c r="BC126" s="627">
        <v>0</v>
      </c>
      <c r="BD126" s="627">
        <v>0</v>
      </c>
      <c r="BE126" s="627">
        <v>0</v>
      </c>
      <c r="BF126" s="627">
        <v>0</v>
      </c>
      <c r="BG126" s="627">
        <v>3531808</v>
      </c>
      <c r="BH126" s="627">
        <v>0</v>
      </c>
      <c r="BI126" s="627">
        <v>0</v>
      </c>
      <c r="BJ126" s="627">
        <v>0</v>
      </c>
      <c r="BK126" s="627">
        <v>12</v>
      </c>
      <c r="BL126" s="627">
        <v>0</v>
      </c>
      <c r="BM126" s="627">
        <v>0</v>
      </c>
      <c r="BN126" s="627">
        <v>0</v>
      </c>
      <c r="BO126" s="627">
        <v>0</v>
      </c>
      <c r="BP126" s="627">
        <v>0</v>
      </c>
      <c r="BQ126" s="627">
        <v>0</v>
      </c>
      <c r="BR126" s="627">
        <v>717</v>
      </c>
      <c r="BS126" s="627">
        <v>0</v>
      </c>
      <c r="BT126" s="627">
        <v>0</v>
      </c>
      <c r="BU126" s="627">
        <v>0</v>
      </c>
      <c r="BV126" s="627">
        <v>0</v>
      </c>
      <c r="BW126" s="627">
        <v>0</v>
      </c>
      <c r="BX126" s="627">
        <v>0</v>
      </c>
      <c r="BY126" s="627">
        <v>0</v>
      </c>
      <c r="BZ126" s="627">
        <v>0</v>
      </c>
      <c r="CA126" s="627">
        <v>0</v>
      </c>
      <c r="CB126" s="627">
        <v>0</v>
      </c>
      <c r="CC126" s="627">
        <v>0</v>
      </c>
      <c r="CD126" s="627">
        <v>0</v>
      </c>
      <c r="CE126" s="627">
        <v>0</v>
      </c>
      <c r="CF126" s="627">
        <v>0</v>
      </c>
      <c r="CG126" s="627">
        <v>0</v>
      </c>
      <c r="CH126" s="627">
        <v>0</v>
      </c>
      <c r="CI126" s="627">
        <v>59064</v>
      </c>
      <c r="CJ126" s="627">
        <v>0</v>
      </c>
      <c r="CK126" s="627">
        <v>4</v>
      </c>
      <c r="CL126" s="627">
        <v>0</v>
      </c>
      <c r="CM126" s="627">
        <v>0</v>
      </c>
      <c r="CN126" s="627">
        <v>0</v>
      </c>
      <c r="CO126" s="627">
        <v>0</v>
      </c>
      <c r="CP126" s="627">
        <v>1</v>
      </c>
      <c r="CQ126" s="627">
        <v>0</v>
      </c>
      <c r="CR126" s="627">
        <v>0</v>
      </c>
      <c r="CS126" s="627">
        <v>356.57</v>
      </c>
      <c r="CT126" s="627">
        <v>0</v>
      </c>
      <c r="CU126" s="627">
        <v>0</v>
      </c>
      <c r="CV126" s="627">
        <v>0</v>
      </c>
      <c r="CW126" s="627">
        <v>0</v>
      </c>
      <c r="CX126" s="627">
        <v>0</v>
      </c>
      <c r="CY126" s="627">
        <v>0</v>
      </c>
      <c r="CZ126" s="627">
        <v>0</v>
      </c>
      <c r="DA126" s="627">
        <v>0</v>
      </c>
      <c r="DB126" s="627">
        <v>0</v>
      </c>
      <c r="DC126" s="627">
        <v>2139078</v>
      </c>
      <c r="DD126" s="627">
        <v>0</v>
      </c>
      <c r="DE126" s="627">
        <v>0</v>
      </c>
      <c r="DF126" s="627">
        <v>353430</v>
      </c>
      <c r="DG126" s="627">
        <v>353430</v>
      </c>
      <c r="DH126" s="627">
        <v>57.375</v>
      </c>
      <c r="DI126" s="627">
        <v>0</v>
      </c>
      <c r="DJ126" s="627">
        <v>0</v>
      </c>
      <c r="DK126" s="627">
        <v>0</v>
      </c>
      <c r="DL126" s="627">
        <v>3087</v>
      </c>
      <c r="DM126" s="627">
        <v>0</v>
      </c>
      <c r="DN126" s="627">
        <v>451087</v>
      </c>
      <c r="DO126" s="627">
        <v>1537</v>
      </c>
      <c r="DP126" s="627">
        <v>0</v>
      </c>
      <c r="DQ126" s="627">
        <v>0</v>
      </c>
      <c r="DR126" s="627">
        <v>0</v>
      </c>
      <c r="DS126" s="627">
        <v>0</v>
      </c>
      <c r="DT126" s="627">
        <v>0</v>
      </c>
      <c r="DU126" s="627">
        <v>0</v>
      </c>
      <c r="DV126" s="627">
        <v>0</v>
      </c>
      <c r="DW126" s="627">
        <v>0</v>
      </c>
      <c r="DX126" s="627">
        <v>0</v>
      </c>
      <c r="DY126" s="627">
        <v>0</v>
      </c>
      <c r="DZ126" s="627">
        <v>0</v>
      </c>
      <c r="EA126" s="627">
        <v>0</v>
      </c>
      <c r="EB126" s="627">
        <v>0</v>
      </c>
      <c r="EC126" s="627">
        <v>0</v>
      </c>
      <c r="ED126" s="627">
        <v>3.6</v>
      </c>
      <c r="EE126" s="627">
        <v>25502</v>
      </c>
      <c r="EF126" s="627">
        <v>0</v>
      </c>
      <c r="EG126" s="627">
        <v>0</v>
      </c>
      <c r="EH126" s="627">
        <v>0</v>
      </c>
      <c r="EI126" s="627">
        <v>427122</v>
      </c>
      <c r="EJ126" s="627">
        <v>0</v>
      </c>
      <c r="EK126" s="627">
        <v>0</v>
      </c>
      <c r="EL126" s="627">
        <v>16.725000000000001</v>
      </c>
      <c r="EM126" s="627">
        <v>0.68200000000000005</v>
      </c>
      <c r="EN126" s="627">
        <v>3.7560000000000002</v>
      </c>
      <c r="EO126" s="627">
        <v>1.5790000000000002</v>
      </c>
      <c r="EP126" s="627">
        <v>0</v>
      </c>
      <c r="EQ126" s="627">
        <v>0</v>
      </c>
      <c r="ER126" s="627">
        <v>22.06</v>
      </c>
      <c r="ES126" s="627">
        <v>0</v>
      </c>
      <c r="ET126" s="627">
        <v>69.338000000000008</v>
      </c>
      <c r="EU126" s="627">
        <v>0</v>
      </c>
      <c r="EV126" s="627">
        <v>0</v>
      </c>
      <c r="EW126" s="627">
        <v>0</v>
      </c>
      <c r="EX126" s="627">
        <v>0</v>
      </c>
      <c r="EY126" s="627">
        <v>0</v>
      </c>
      <c r="EZ126" s="627">
        <v>0</v>
      </c>
      <c r="FA126" s="627">
        <v>3383851</v>
      </c>
      <c r="FB126" s="627">
        <v>0</v>
      </c>
      <c r="FC126" s="627">
        <v>3530271</v>
      </c>
      <c r="FD126" s="627">
        <v>0</v>
      </c>
      <c r="FE126" s="627">
        <v>0</v>
      </c>
      <c r="FF126" s="627">
        <v>508566</v>
      </c>
      <c r="FG126" s="627">
        <v>88078</v>
      </c>
      <c r="FH126" s="627">
        <v>7.0280999999999996E-2</v>
      </c>
      <c r="FI126" s="627">
        <v>3.1172999999999999E-2</v>
      </c>
      <c r="FJ126" s="627">
        <v>0</v>
      </c>
      <c r="FK126" s="627">
        <v>0</v>
      </c>
      <c r="FL126" s="627">
        <v>573.34500000000003</v>
      </c>
      <c r="FM126" s="627">
        <v>4185979</v>
      </c>
      <c r="FN126" s="627">
        <v>0</v>
      </c>
      <c r="FO126" s="627">
        <v>0</v>
      </c>
      <c r="FP126" s="627">
        <v>0</v>
      </c>
      <c r="FQ126" s="627">
        <v>0</v>
      </c>
      <c r="FR126" s="627">
        <v>0</v>
      </c>
      <c r="FS126" s="627">
        <v>0</v>
      </c>
      <c r="FT126" s="627">
        <v>0</v>
      </c>
      <c r="FU126" s="627">
        <v>0</v>
      </c>
      <c r="FV126" s="627">
        <v>0</v>
      </c>
      <c r="FW126" s="627">
        <v>0</v>
      </c>
      <c r="FX126" s="627">
        <v>0</v>
      </c>
      <c r="FY126" s="627">
        <v>0</v>
      </c>
      <c r="FZ126" s="627">
        <v>0</v>
      </c>
      <c r="GA126" s="627">
        <v>0</v>
      </c>
      <c r="GB126" s="627">
        <v>0</v>
      </c>
      <c r="GC126" s="627">
        <v>0</v>
      </c>
      <c r="GD126" s="627">
        <v>0</v>
      </c>
      <c r="GE126" s="627">
        <v>0</v>
      </c>
      <c r="GF126" s="627">
        <v>0</v>
      </c>
      <c r="GG126" s="627">
        <v>0</v>
      </c>
      <c r="GH126" s="627">
        <v>0</v>
      </c>
      <c r="GI126" s="627">
        <v>0</v>
      </c>
      <c r="GJ126" s="627">
        <v>0</v>
      </c>
      <c r="GK126" s="627">
        <v>0</v>
      </c>
      <c r="GL126" s="627">
        <v>0</v>
      </c>
      <c r="GM126" s="627">
        <v>0</v>
      </c>
      <c r="GN126" s="627">
        <v>0</v>
      </c>
      <c r="GO126" s="627">
        <v>0</v>
      </c>
      <c r="GP126" s="627">
        <v>0</v>
      </c>
      <c r="GQ126" s="627">
        <v>0</v>
      </c>
      <c r="GR126" s="627">
        <v>3978958</v>
      </c>
      <c r="GS126" s="627">
        <v>0</v>
      </c>
      <c r="GT126" s="627">
        <v>0</v>
      </c>
      <c r="GU126" s="627">
        <v>0</v>
      </c>
      <c r="GV126" s="627">
        <v>0</v>
      </c>
      <c r="GW126" s="627">
        <v>0</v>
      </c>
      <c r="GX126" s="627">
        <v>0</v>
      </c>
      <c r="GY126" s="627">
        <v>0</v>
      </c>
      <c r="GZ126" s="627">
        <v>0</v>
      </c>
      <c r="HA126" s="627">
        <v>0</v>
      </c>
      <c r="HB126" s="627">
        <v>0</v>
      </c>
      <c r="HC126" s="627">
        <v>361151439</v>
      </c>
      <c r="HD126" s="627">
        <v>3.9981999999999997E-2</v>
      </c>
      <c r="HE126" s="627">
        <v>59064</v>
      </c>
      <c r="HF126" s="627">
        <v>0</v>
      </c>
      <c r="HG126" s="627">
        <v>382673</v>
      </c>
      <c r="HH126" s="627">
        <v>22792</v>
      </c>
      <c r="HI126" s="627">
        <v>99530</v>
      </c>
      <c r="HJ126" s="627">
        <v>0</v>
      </c>
      <c r="HK126" s="627">
        <v>18693</v>
      </c>
      <c r="HL126" s="627">
        <v>0</v>
      </c>
      <c r="HM126" s="627">
        <v>0</v>
      </c>
      <c r="HN126" s="627">
        <v>0</v>
      </c>
      <c r="HO126" s="627">
        <v>0</v>
      </c>
      <c r="HP126" s="627">
        <v>0</v>
      </c>
      <c r="HQ126" s="627">
        <v>0</v>
      </c>
      <c r="HR126" s="627">
        <v>0</v>
      </c>
      <c r="HS126" s="627">
        <v>0</v>
      </c>
      <c r="HT126" s="627">
        <v>3382314</v>
      </c>
      <c r="HU126" s="627">
        <v>88078</v>
      </c>
      <c r="HV126" s="627">
        <v>0</v>
      </c>
      <c r="HW126" s="627">
        <v>0</v>
      </c>
      <c r="HX126" s="627">
        <v>0</v>
      </c>
      <c r="HY126" s="627">
        <v>65</v>
      </c>
      <c r="HZ126" s="627">
        <v>66</v>
      </c>
      <c r="IA126" s="627">
        <v>41</v>
      </c>
      <c r="IB126" s="627">
        <v>40</v>
      </c>
      <c r="IC126" s="627">
        <v>23</v>
      </c>
      <c r="ID126" s="627">
        <v>235</v>
      </c>
      <c r="IE126" s="627">
        <v>0</v>
      </c>
      <c r="IF126" s="627">
        <v>0</v>
      </c>
      <c r="IG126" s="627">
        <v>0</v>
      </c>
      <c r="IH126" s="627">
        <v>37</v>
      </c>
      <c r="II126" s="627">
        <v>161.57500000000002</v>
      </c>
      <c r="IJ126" s="627">
        <v>0</v>
      </c>
      <c r="IK126" s="627">
        <v>102.253</v>
      </c>
      <c r="IL126" s="627">
        <v>0</v>
      </c>
      <c r="IM126" s="627">
        <v>0</v>
      </c>
      <c r="IN126" s="627">
        <v>0</v>
      </c>
      <c r="IO126" s="627">
        <v>0</v>
      </c>
      <c r="IP126" s="627">
        <v>0</v>
      </c>
      <c r="IQ126" s="627">
        <v>0</v>
      </c>
      <c r="IR126" s="627">
        <v>102.253</v>
      </c>
      <c r="IS126" s="627">
        <v>62988</v>
      </c>
      <c r="IT126" s="627">
        <v>0</v>
      </c>
      <c r="IU126" s="627">
        <v>0</v>
      </c>
      <c r="IV126" s="627">
        <v>0</v>
      </c>
      <c r="IW126" s="627">
        <v>0</v>
      </c>
      <c r="IX126" s="627">
        <v>6160</v>
      </c>
      <c r="IY126" s="627">
        <v>0</v>
      </c>
      <c r="IZ126" s="627">
        <v>0</v>
      </c>
      <c r="JA126" s="627">
        <v>0</v>
      </c>
      <c r="JB126" s="627">
        <v>0</v>
      </c>
      <c r="JC126" s="627">
        <v>0</v>
      </c>
      <c r="JD126" s="627">
        <v>0</v>
      </c>
      <c r="JE126" s="627">
        <v>0</v>
      </c>
      <c r="JF126" s="627">
        <v>0</v>
      </c>
      <c r="JG126" s="627">
        <v>0</v>
      </c>
      <c r="JH126" s="627">
        <v>0</v>
      </c>
      <c r="JI126" s="627">
        <v>0</v>
      </c>
      <c r="JJ126" s="627">
        <v>0</v>
      </c>
      <c r="JK126" s="627">
        <v>0</v>
      </c>
      <c r="JL126" s="627">
        <v>0</v>
      </c>
      <c r="JM126" s="627">
        <v>0</v>
      </c>
      <c r="JN126" s="627">
        <v>0</v>
      </c>
      <c r="JO126" s="627">
        <v>32469</v>
      </c>
      <c r="JP126" s="627">
        <v>0</v>
      </c>
      <c r="JQ126" s="627">
        <v>0</v>
      </c>
      <c r="JR126" s="627">
        <v>0</v>
      </c>
      <c r="JS126" s="627">
        <v>0</v>
      </c>
      <c r="JT126" s="627">
        <v>0</v>
      </c>
      <c r="JU126" s="627">
        <v>0</v>
      </c>
      <c r="JV126" s="627">
        <v>0</v>
      </c>
      <c r="JW126" s="627">
        <v>0</v>
      </c>
      <c r="JX126" s="627">
        <v>0</v>
      </c>
      <c r="JY126" s="627">
        <v>0</v>
      </c>
      <c r="JZ126" s="627">
        <v>0</v>
      </c>
      <c r="KA126" s="627">
        <v>0</v>
      </c>
      <c r="KB126" s="627">
        <v>0</v>
      </c>
      <c r="KC126" s="627">
        <v>0</v>
      </c>
      <c r="KD126" s="627">
        <v>0</v>
      </c>
      <c r="KE126" s="627">
        <v>0</v>
      </c>
      <c r="KF126" s="627">
        <v>7262</v>
      </c>
      <c r="KG126" s="627">
        <v>0</v>
      </c>
      <c r="KH126" s="627">
        <v>0</v>
      </c>
      <c r="KI126" s="627">
        <v>3978958</v>
      </c>
      <c r="KJ126" s="627">
        <v>0</v>
      </c>
      <c r="KK126" s="627">
        <v>19</v>
      </c>
      <c r="KL126" s="627">
        <v>18</v>
      </c>
      <c r="KM126" s="627">
        <v>11704</v>
      </c>
      <c r="KN126" s="627">
        <v>11088</v>
      </c>
      <c r="KO126" s="627">
        <v>0</v>
      </c>
      <c r="KP126" s="627">
        <v>0</v>
      </c>
      <c r="KQ126" s="627">
        <v>3978958</v>
      </c>
      <c r="KR126" s="627">
        <v>0</v>
      </c>
      <c r="KS126" s="627">
        <v>0</v>
      </c>
      <c r="KT126" s="627">
        <v>0</v>
      </c>
      <c r="KU126" s="627">
        <v>0</v>
      </c>
      <c r="KV126" s="627">
        <v>0</v>
      </c>
      <c r="KW126" s="627">
        <v>0</v>
      </c>
      <c r="KX126" s="627">
        <v>0</v>
      </c>
      <c r="KY126" s="627">
        <v>0</v>
      </c>
      <c r="KZ126" s="627">
        <v>0</v>
      </c>
      <c r="LA126" s="627">
        <v>0</v>
      </c>
      <c r="LB126" s="627">
        <v>0</v>
      </c>
      <c r="LC126" s="627">
        <v>0</v>
      </c>
      <c r="LD126" s="627">
        <v>0</v>
      </c>
      <c r="LE126" s="627">
        <v>0</v>
      </c>
      <c r="LF126" s="627">
        <v>0</v>
      </c>
    </row>
    <row r="127" spans="1:318" x14ac:dyDescent="0.25">
      <c r="A127" s="627">
        <v>42602</v>
      </c>
      <c r="B127" s="627">
        <v>15827</v>
      </c>
      <c r="D127" s="627">
        <v>9</v>
      </c>
      <c r="E127" s="627">
        <v>2024</v>
      </c>
      <c r="F127" s="627">
        <v>6160</v>
      </c>
      <c r="G127" s="627">
        <v>0</v>
      </c>
      <c r="H127" s="627">
        <v>4583.2480000000005</v>
      </c>
      <c r="I127" s="627">
        <v>4232.8270000000002</v>
      </c>
      <c r="J127" s="627">
        <v>4232.8270000000002</v>
      </c>
      <c r="K127" s="627">
        <v>4583.2480000000005</v>
      </c>
      <c r="L127" s="627">
        <v>0</v>
      </c>
      <c r="M127" s="627">
        <v>6160</v>
      </c>
      <c r="N127" s="627">
        <v>0</v>
      </c>
      <c r="O127" s="627">
        <v>0</v>
      </c>
      <c r="P127" s="627">
        <v>0</v>
      </c>
      <c r="Q127" s="627">
        <v>3830.4</v>
      </c>
      <c r="R127" s="627">
        <v>0</v>
      </c>
      <c r="S127" s="627">
        <v>1589172</v>
      </c>
      <c r="T127" s="627">
        <v>414.88400000000001</v>
      </c>
      <c r="U127" s="627">
        <v>0</v>
      </c>
      <c r="V127" s="627">
        <v>824715</v>
      </c>
      <c r="W127" s="627">
        <v>860.31400000000008</v>
      </c>
      <c r="X127" s="627">
        <v>529953</v>
      </c>
      <c r="Y127" s="627">
        <v>529953</v>
      </c>
      <c r="Z127" s="627">
        <v>0</v>
      </c>
      <c r="AA127" s="627">
        <v>0</v>
      </c>
      <c r="AB127" s="627">
        <v>0</v>
      </c>
      <c r="AC127" s="627">
        <v>0</v>
      </c>
      <c r="AD127" s="627">
        <v>0</v>
      </c>
      <c r="AE127" s="627" t="s">
        <v>314</v>
      </c>
      <c r="AF127" s="627">
        <v>0</v>
      </c>
      <c r="AG127" s="627">
        <v>0</v>
      </c>
      <c r="AH127" s="627">
        <v>0</v>
      </c>
      <c r="AI127" s="627">
        <v>0</v>
      </c>
      <c r="AJ127" s="627">
        <v>0</v>
      </c>
      <c r="AK127" s="627">
        <v>6160</v>
      </c>
      <c r="AL127" s="627" t="s">
        <v>651</v>
      </c>
      <c r="AM127" s="627" t="s">
        <v>15</v>
      </c>
      <c r="AN127" s="627">
        <v>0</v>
      </c>
      <c r="AO127" s="627">
        <v>0</v>
      </c>
      <c r="AP127" s="627">
        <v>0</v>
      </c>
      <c r="AQ127" s="627">
        <v>0</v>
      </c>
      <c r="AR127" s="627">
        <v>0</v>
      </c>
      <c r="AS127" s="627">
        <v>0</v>
      </c>
      <c r="AT127" s="627">
        <v>0</v>
      </c>
      <c r="AU127" s="627">
        <v>0</v>
      </c>
      <c r="AV127" s="627">
        <v>0</v>
      </c>
      <c r="AW127" s="627">
        <v>0</v>
      </c>
      <c r="AX127" s="627">
        <v>49907241</v>
      </c>
      <c r="AY127" s="627">
        <v>49188385</v>
      </c>
      <c r="AZ127" s="627">
        <v>24766381</v>
      </c>
      <c r="BA127" s="627">
        <v>1589172</v>
      </c>
      <c r="BB127" s="627">
        <v>44.417000000000002</v>
      </c>
      <c r="BC127" s="627">
        <v>97568</v>
      </c>
      <c r="BD127" s="627">
        <v>96946</v>
      </c>
      <c r="BE127" s="627">
        <v>229</v>
      </c>
      <c r="BF127" s="627">
        <v>622</v>
      </c>
      <c r="BG127" s="627">
        <v>43254659</v>
      </c>
      <c r="BH127" s="627">
        <v>0</v>
      </c>
      <c r="BI127" s="627">
        <v>0</v>
      </c>
      <c r="BJ127" s="627">
        <v>0</v>
      </c>
      <c r="BK127" s="627">
        <v>12</v>
      </c>
      <c r="BL127" s="627">
        <v>0</v>
      </c>
      <c r="BM127" s="627">
        <v>0</v>
      </c>
      <c r="BN127" s="627">
        <v>0</v>
      </c>
      <c r="BO127" s="627">
        <v>0</v>
      </c>
      <c r="BP127" s="627">
        <v>0</v>
      </c>
      <c r="BQ127" s="627">
        <v>0</v>
      </c>
      <c r="BR127" s="627">
        <v>118</v>
      </c>
      <c r="BS127" s="627">
        <v>0</v>
      </c>
      <c r="BT127" s="627">
        <v>0</v>
      </c>
      <c r="BU127" s="627">
        <v>0</v>
      </c>
      <c r="BV127" s="627">
        <v>0</v>
      </c>
      <c r="BW127" s="627">
        <v>0</v>
      </c>
      <c r="BX127" s="627">
        <v>0</v>
      </c>
      <c r="BY127" s="627">
        <v>0</v>
      </c>
      <c r="BZ127" s="627">
        <v>0</v>
      </c>
      <c r="CA127" s="627">
        <v>0</v>
      </c>
      <c r="CB127" s="627">
        <v>197.21300000000002</v>
      </c>
      <c r="CC127" s="627">
        <v>197213</v>
      </c>
      <c r="CD127" s="627">
        <v>0</v>
      </c>
      <c r="CE127" s="627">
        <v>0</v>
      </c>
      <c r="CF127" s="627">
        <v>0</v>
      </c>
      <c r="CG127" s="627">
        <v>0</v>
      </c>
      <c r="CH127" s="627">
        <v>0</v>
      </c>
      <c r="CI127" s="627">
        <v>732993</v>
      </c>
      <c r="CJ127" s="627">
        <v>0</v>
      </c>
      <c r="CK127" s="627">
        <v>4</v>
      </c>
      <c r="CL127" s="627">
        <v>0</v>
      </c>
      <c r="CM127" s="627">
        <v>0</v>
      </c>
      <c r="CN127" s="627">
        <v>0</v>
      </c>
      <c r="CO127" s="627">
        <v>0</v>
      </c>
      <c r="CP127" s="627">
        <v>1</v>
      </c>
      <c r="CQ127" s="627">
        <v>0</v>
      </c>
      <c r="CR127" s="627">
        <v>0</v>
      </c>
      <c r="CS127" s="627">
        <v>3872.5730000000003</v>
      </c>
      <c r="CT127" s="627">
        <v>0</v>
      </c>
      <c r="CU127" s="627">
        <v>0</v>
      </c>
      <c r="CV127" s="627">
        <v>0</v>
      </c>
      <c r="CW127" s="627">
        <v>0</v>
      </c>
      <c r="CX127" s="627">
        <v>0</v>
      </c>
      <c r="CY127" s="627">
        <v>0</v>
      </c>
      <c r="CZ127" s="627">
        <v>0</v>
      </c>
      <c r="DA127" s="627">
        <v>0</v>
      </c>
      <c r="DB127" s="627">
        <v>0</v>
      </c>
      <c r="DC127" s="627">
        <v>26074214</v>
      </c>
      <c r="DD127" s="627">
        <v>0</v>
      </c>
      <c r="DE127" s="627">
        <v>0</v>
      </c>
      <c r="DF127" s="627">
        <v>4499649</v>
      </c>
      <c r="DG127" s="627">
        <v>4499649</v>
      </c>
      <c r="DH127" s="627">
        <v>730.46300000000008</v>
      </c>
      <c r="DI127" s="627">
        <v>0</v>
      </c>
      <c r="DJ127" s="627">
        <v>0</v>
      </c>
      <c r="DK127" s="627">
        <v>0</v>
      </c>
      <c r="DL127" s="627">
        <v>0</v>
      </c>
      <c r="DM127" s="627">
        <v>0</v>
      </c>
      <c r="DN127" s="627">
        <v>3965196</v>
      </c>
      <c r="DO127" s="627">
        <v>13515</v>
      </c>
      <c r="DP127" s="627">
        <v>0</v>
      </c>
      <c r="DQ127" s="627">
        <v>0</v>
      </c>
      <c r="DR127" s="627">
        <v>0</v>
      </c>
      <c r="DS127" s="627">
        <v>0</v>
      </c>
      <c r="DT127" s="627">
        <v>0</v>
      </c>
      <c r="DU127" s="627">
        <v>0</v>
      </c>
      <c r="DV127" s="627">
        <v>0</v>
      </c>
      <c r="DW127" s="627">
        <v>0</v>
      </c>
      <c r="DX127" s="627">
        <v>0</v>
      </c>
      <c r="DY127" s="627">
        <v>0</v>
      </c>
      <c r="DZ127" s="627">
        <v>0</v>
      </c>
      <c r="EA127" s="627">
        <v>0</v>
      </c>
      <c r="EB127" s="627">
        <v>0</v>
      </c>
      <c r="EC127" s="627">
        <v>0</v>
      </c>
      <c r="ED127" s="627">
        <v>163.59800000000001</v>
      </c>
      <c r="EE127" s="627">
        <v>1158928</v>
      </c>
      <c r="EF127" s="627">
        <v>0</v>
      </c>
      <c r="EG127" s="627">
        <v>0</v>
      </c>
      <c r="EH127" s="627">
        <v>0</v>
      </c>
      <c r="EI127" s="627">
        <v>2819783</v>
      </c>
      <c r="EJ127" s="627">
        <v>0</v>
      </c>
      <c r="EK127" s="627">
        <v>0</v>
      </c>
      <c r="EL127" s="627">
        <v>121.70700000000001</v>
      </c>
      <c r="EM127" s="627">
        <v>0</v>
      </c>
      <c r="EN127" s="627">
        <v>11.142000000000001</v>
      </c>
      <c r="EO127" s="627">
        <v>11.842000000000001</v>
      </c>
      <c r="EP127" s="627">
        <v>0</v>
      </c>
      <c r="EQ127" s="627">
        <v>0</v>
      </c>
      <c r="ER127" s="627">
        <v>144.691</v>
      </c>
      <c r="ES127" s="627">
        <v>0</v>
      </c>
      <c r="ET127" s="627">
        <v>457.75700000000001</v>
      </c>
      <c r="EU127" s="627">
        <v>0</v>
      </c>
      <c r="EV127" s="627">
        <v>0</v>
      </c>
      <c r="EW127" s="627">
        <v>0</v>
      </c>
      <c r="EX127" s="627">
        <v>0</v>
      </c>
      <c r="EY127" s="627">
        <v>0</v>
      </c>
      <c r="EZ127" s="627">
        <v>0</v>
      </c>
      <c r="FA127" s="627">
        <v>41881177</v>
      </c>
      <c r="FB127" s="627">
        <v>0</v>
      </c>
      <c r="FC127" s="627">
        <v>43456212</v>
      </c>
      <c r="FD127" s="627">
        <v>0</v>
      </c>
      <c r="FE127" s="627">
        <v>0</v>
      </c>
      <c r="FF127" s="627">
        <v>6228506</v>
      </c>
      <c r="FG127" s="627">
        <v>1078702</v>
      </c>
      <c r="FH127" s="627">
        <v>7.0280999999999996E-2</v>
      </c>
      <c r="FI127" s="627">
        <v>3.1172999999999999E-2</v>
      </c>
      <c r="FJ127" s="627">
        <v>0</v>
      </c>
      <c r="FK127" s="627">
        <v>0</v>
      </c>
      <c r="FL127" s="627">
        <v>7021.8600000000006</v>
      </c>
      <c r="FM127" s="627">
        <v>51496413</v>
      </c>
      <c r="FN127" s="627">
        <v>0</v>
      </c>
      <c r="FO127" s="627">
        <v>0</v>
      </c>
      <c r="FP127" s="627">
        <v>12528</v>
      </c>
      <c r="FQ127" s="627">
        <v>0</v>
      </c>
      <c r="FR127" s="627">
        <v>12528</v>
      </c>
      <c r="FS127" s="627">
        <v>12528</v>
      </c>
      <c r="FT127" s="627">
        <v>0</v>
      </c>
      <c r="FU127" s="627">
        <v>0</v>
      </c>
      <c r="FV127" s="627">
        <v>0</v>
      </c>
      <c r="FW127" s="627">
        <v>0</v>
      </c>
      <c r="FX127" s="627">
        <v>0</v>
      </c>
      <c r="FY127" s="627">
        <v>0</v>
      </c>
      <c r="FZ127" s="627">
        <v>0</v>
      </c>
      <c r="GA127" s="627">
        <v>0</v>
      </c>
      <c r="GB127" s="627">
        <v>0</v>
      </c>
      <c r="GC127" s="627">
        <v>1807981</v>
      </c>
      <c r="GD127" s="627">
        <v>1807981</v>
      </c>
      <c r="GE127" s="627">
        <v>205.73000000000002</v>
      </c>
      <c r="GF127" s="627">
        <v>0</v>
      </c>
      <c r="GG127" s="627">
        <v>0</v>
      </c>
      <c r="GH127" s="627">
        <v>0</v>
      </c>
      <c r="GI127" s="627">
        <v>0</v>
      </c>
      <c r="GJ127" s="627">
        <v>0</v>
      </c>
      <c r="GK127" s="627">
        <v>0</v>
      </c>
      <c r="GL127" s="627">
        <v>0</v>
      </c>
      <c r="GM127" s="627">
        <v>0</v>
      </c>
      <c r="GN127" s="627">
        <v>0</v>
      </c>
      <c r="GO127" s="627">
        <v>0</v>
      </c>
      <c r="GP127" s="627">
        <v>0</v>
      </c>
      <c r="GQ127" s="627">
        <v>0</v>
      </c>
      <c r="GR127" s="627">
        <v>49174248</v>
      </c>
      <c r="GS127" s="627">
        <v>0</v>
      </c>
      <c r="GT127" s="627">
        <v>0</v>
      </c>
      <c r="GU127" s="627">
        <v>0</v>
      </c>
      <c r="GV127" s="627">
        <v>0</v>
      </c>
      <c r="GW127" s="627">
        <v>0</v>
      </c>
      <c r="GX127" s="627">
        <v>0</v>
      </c>
      <c r="GY127" s="627">
        <v>0</v>
      </c>
      <c r="GZ127" s="627">
        <v>0</v>
      </c>
      <c r="HA127" s="627">
        <v>0</v>
      </c>
      <c r="HB127" s="627">
        <v>0</v>
      </c>
      <c r="HC127" s="627">
        <v>361151439</v>
      </c>
      <c r="HD127" s="627">
        <v>3.9981999999999997E-2</v>
      </c>
      <c r="HE127" s="627">
        <v>732993</v>
      </c>
      <c r="HF127" s="627">
        <v>0</v>
      </c>
      <c r="HG127" s="627">
        <v>4664575</v>
      </c>
      <c r="HH127" s="627">
        <v>77616</v>
      </c>
      <c r="HI127" s="627">
        <v>976211</v>
      </c>
      <c r="HJ127" s="627">
        <v>0</v>
      </c>
      <c r="HK127" s="627">
        <v>150832</v>
      </c>
      <c r="HL127" s="627">
        <v>2757</v>
      </c>
      <c r="HM127" s="627">
        <v>3192</v>
      </c>
      <c r="HN127" s="627">
        <v>60000</v>
      </c>
      <c r="HO127" s="627">
        <v>337349</v>
      </c>
      <c r="HP127" s="627">
        <v>0</v>
      </c>
      <c r="HQ127" s="627">
        <v>0</v>
      </c>
      <c r="HR127" s="627">
        <v>0</v>
      </c>
      <c r="HS127" s="627">
        <v>0</v>
      </c>
      <c r="HT127" s="627">
        <v>41867040</v>
      </c>
      <c r="HU127" s="627">
        <v>1078702</v>
      </c>
      <c r="HV127" s="627">
        <v>0</v>
      </c>
      <c r="HW127" s="627">
        <v>0</v>
      </c>
      <c r="HX127" s="627">
        <v>0</v>
      </c>
      <c r="HY127" s="627">
        <v>802</v>
      </c>
      <c r="HZ127" s="627">
        <v>788</v>
      </c>
      <c r="IA127" s="627">
        <v>581</v>
      </c>
      <c r="IB127" s="627">
        <v>433</v>
      </c>
      <c r="IC127" s="627">
        <v>378</v>
      </c>
      <c r="ID127" s="627">
        <v>2982</v>
      </c>
      <c r="IE127" s="627">
        <v>0</v>
      </c>
      <c r="IF127" s="627">
        <v>0</v>
      </c>
      <c r="IG127" s="627">
        <v>0</v>
      </c>
      <c r="IH127" s="627">
        <v>126</v>
      </c>
      <c r="II127" s="627">
        <v>1584.758</v>
      </c>
      <c r="IJ127" s="627">
        <v>0</v>
      </c>
      <c r="IK127" s="627">
        <v>860.31400000000008</v>
      </c>
      <c r="IL127" s="627">
        <v>0</v>
      </c>
      <c r="IM127" s="627">
        <v>6</v>
      </c>
      <c r="IN127" s="627">
        <v>10</v>
      </c>
      <c r="IO127" s="627">
        <v>0</v>
      </c>
      <c r="IP127" s="627">
        <v>16</v>
      </c>
      <c r="IQ127" s="627">
        <v>0</v>
      </c>
      <c r="IR127" s="627">
        <v>860.31400000000008</v>
      </c>
      <c r="IS127" s="627">
        <v>529953</v>
      </c>
      <c r="IT127" s="627">
        <v>0</v>
      </c>
      <c r="IU127" s="627">
        <v>30000</v>
      </c>
      <c r="IV127" s="627">
        <v>30000</v>
      </c>
      <c r="IW127" s="627">
        <v>0</v>
      </c>
      <c r="IX127" s="627">
        <v>6160</v>
      </c>
      <c r="IY127" s="627">
        <v>0</v>
      </c>
      <c r="IZ127" s="627">
        <v>0</v>
      </c>
      <c r="JA127" s="627">
        <v>0</v>
      </c>
      <c r="JB127" s="627">
        <v>0</v>
      </c>
      <c r="JC127" s="627">
        <v>4</v>
      </c>
      <c r="JD127" s="627">
        <v>64664</v>
      </c>
      <c r="JE127" s="627">
        <v>25</v>
      </c>
      <c r="JF127" s="627">
        <v>240336</v>
      </c>
      <c r="JG127" s="627">
        <v>3</v>
      </c>
      <c r="JH127" s="627">
        <v>14349</v>
      </c>
      <c r="JI127" s="627">
        <v>18000</v>
      </c>
      <c r="JJ127" s="627">
        <v>0</v>
      </c>
      <c r="JK127" s="627">
        <v>0</v>
      </c>
      <c r="JL127" s="627">
        <v>0</v>
      </c>
      <c r="JM127" s="627">
        <v>0</v>
      </c>
      <c r="JN127" s="627">
        <v>0</v>
      </c>
      <c r="JO127" s="627">
        <v>32469</v>
      </c>
      <c r="JP127" s="627">
        <v>114.50200000000001</v>
      </c>
      <c r="JQ127" s="627">
        <v>58.383000000000003</v>
      </c>
      <c r="JR127" s="627">
        <v>32.844999999999999</v>
      </c>
      <c r="JS127" s="627">
        <v>914665</v>
      </c>
      <c r="JT127" s="627">
        <v>542691</v>
      </c>
      <c r="JU127" s="627">
        <v>350625</v>
      </c>
      <c r="JV127" s="627">
        <v>98745</v>
      </c>
      <c r="JW127" s="627">
        <v>0</v>
      </c>
      <c r="JX127" s="627">
        <v>0</v>
      </c>
      <c r="JY127" s="627">
        <v>0</v>
      </c>
      <c r="JZ127" s="627">
        <v>0</v>
      </c>
      <c r="KA127" s="627">
        <v>0</v>
      </c>
      <c r="KB127" s="627">
        <v>0</v>
      </c>
      <c r="KC127" s="627">
        <v>0</v>
      </c>
      <c r="KD127" s="627">
        <v>0</v>
      </c>
      <c r="KE127" s="627">
        <v>98745</v>
      </c>
      <c r="KF127" s="627">
        <v>7262</v>
      </c>
      <c r="KG127" s="627">
        <v>0</v>
      </c>
      <c r="KH127" s="627">
        <v>0</v>
      </c>
      <c r="KI127" s="627">
        <v>49174248</v>
      </c>
      <c r="KJ127" s="627">
        <v>0</v>
      </c>
      <c r="KK127" s="627">
        <v>99</v>
      </c>
      <c r="KL127" s="627">
        <v>27</v>
      </c>
      <c r="KM127" s="627">
        <v>60984</v>
      </c>
      <c r="KN127" s="627">
        <v>16632</v>
      </c>
      <c r="KO127" s="627">
        <v>0</v>
      </c>
      <c r="KP127" s="627">
        <v>0</v>
      </c>
      <c r="KQ127" s="627">
        <v>49174248</v>
      </c>
      <c r="KR127" s="627">
        <v>0</v>
      </c>
      <c r="KS127" s="627">
        <v>0</v>
      </c>
      <c r="KT127" s="627">
        <v>0</v>
      </c>
      <c r="KU127" s="627">
        <v>0</v>
      </c>
      <c r="KV127" s="627">
        <v>0</v>
      </c>
      <c r="KW127" s="627">
        <v>0</v>
      </c>
      <c r="KX127" s="627">
        <v>0</v>
      </c>
      <c r="KY127" s="627">
        <v>0</v>
      </c>
      <c r="KZ127" s="627">
        <v>0</v>
      </c>
      <c r="LA127" s="627">
        <v>0</v>
      </c>
      <c r="LB127" s="627">
        <v>0</v>
      </c>
      <c r="LC127" s="627">
        <v>0</v>
      </c>
      <c r="LD127" s="627">
        <v>0</v>
      </c>
      <c r="LE127" s="627">
        <v>0</v>
      </c>
      <c r="LF127" s="627">
        <v>0</v>
      </c>
    </row>
    <row r="128" spans="1:318" x14ac:dyDescent="0.25">
      <c r="A128" s="627">
        <v>42602</v>
      </c>
      <c r="B128" s="627">
        <v>57827</v>
      </c>
      <c r="D128" s="627">
        <v>9</v>
      </c>
      <c r="E128" s="627">
        <v>2024</v>
      </c>
      <c r="F128" s="627">
        <v>6160</v>
      </c>
      <c r="G128" s="627">
        <v>0</v>
      </c>
      <c r="H128" s="627">
        <v>311.28300000000002</v>
      </c>
      <c r="I128" s="627">
        <v>309.81299999999999</v>
      </c>
      <c r="J128" s="627">
        <v>309.81299999999999</v>
      </c>
      <c r="K128" s="627">
        <v>311.28300000000002</v>
      </c>
      <c r="L128" s="627">
        <v>0</v>
      </c>
      <c r="M128" s="627">
        <v>6160</v>
      </c>
      <c r="N128" s="627">
        <v>0</v>
      </c>
      <c r="O128" s="627">
        <v>0</v>
      </c>
      <c r="P128" s="627">
        <v>0</v>
      </c>
      <c r="Q128" s="627">
        <v>411.53300000000002</v>
      </c>
      <c r="R128" s="627">
        <v>0</v>
      </c>
      <c r="S128" s="627">
        <v>170738</v>
      </c>
      <c r="T128" s="627">
        <v>414.88400000000001</v>
      </c>
      <c r="U128" s="627">
        <v>0</v>
      </c>
      <c r="V128" s="627">
        <v>88606</v>
      </c>
      <c r="W128" s="627">
        <v>89.899000000000001</v>
      </c>
      <c r="X128" s="627">
        <v>55378</v>
      </c>
      <c r="Y128" s="627">
        <v>55378</v>
      </c>
      <c r="Z128" s="627">
        <v>0</v>
      </c>
      <c r="AA128" s="627">
        <v>0</v>
      </c>
      <c r="AB128" s="627">
        <v>0</v>
      </c>
      <c r="AC128" s="627">
        <v>0</v>
      </c>
      <c r="AD128" s="627">
        <v>0</v>
      </c>
      <c r="AE128" s="627" t="s">
        <v>314</v>
      </c>
      <c r="AF128" s="627">
        <v>0</v>
      </c>
      <c r="AG128" s="627">
        <v>0</v>
      </c>
      <c r="AH128" s="627">
        <v>0</v>
      </c>
      <c r="AI128" s="627">
        <v>0</v>
      </c>
      <c r="AJ128" s="627">
        <v>0</v>
      </c>
      <c r="AK128" s="627">
        <v>6160</v>
      </c>
      <c r="AL128" s="627" t="s">
        <v>651</v>
      </c>
      <c r="AM128" s="627" t="s">
        <v>456</v>
      </c>
      <c r="AN128" s="627">
        <v>0</v>
      </c>
      <c r="AO128" s="627">
        <v>0</v>
      </c>
      <c r="AP128" s="627">
        <v>0</v>
      </c>
      <c r="AQ128" s="627">
        <v>0</v>
      </c>
      <c r="AR128" s="627">
        <v>0</v>
      </c>
      <c r="AS128" s="627">
        <v>0</v>
      </c>
      <c r="AT128" s="627">
        <v>0</v>
      </c>
      <c r="AU128" s="627">
        <v>0</v>
      </c>
      <c r="AV128" s="627">
        <v>0</v>
      </c>
      <c r="AW128" s="627">
        <v>0</v>
      </c>
      <c r="AX128" s="627">
        <v>3504004</v>
      </c>
      <c r="AY128" s="627">
        <v>3454763</v>
      </c>
      <c r="AZ128" s="627">
        <v>1900139</v>
      </c>
      <c r="BA128" s="627">
        <v>170738</v>
      </c>
      <c r="BB128" s="627">
        <v>21.667000000000002</v>
      </c>
      <c r="BC128" s="627">
        <v>0</v>
      </c>
      <c r="BD128" s="627">
        <v>0</v>
      </c>
      <c r="BE128" s="627">
        <v>0</v>
      </c>
      <c r="BF128" s="627">
        <v>0</v>
      </c>
      <c r="BG128" s="627">
        <v>3101544</v>
      </c>
      <c r="BH128" s="627">
        <v>0</v>
      </c>
      <c r="BI128" s="627">
        <v>0</v>
      </c>
      <c r="BJ128" s="627">
        <v>0</v>
      </c>
      <c r="BK128" s="627">
        <v>12</v>
      </c>
      <c r="BL128" s="627">
        <v>0</v>
      </c>
      <c r="BM128" s="627">
        <v>0</v>
      </c>
      <c r="BN128" s="627">
        <v>0</v>
      </c>
      <c r="BO128" s="627">
        <v>0</v>
      </c>
      <c r="BP128" s="627">
        <v>0</v>
      </c>
      <c r="BQ128" s="627">
        <v>0</v>
      </c>
      <c r="BR128" s="627">
        <v>722</v>
      </c>
      <c r="BS128" s="627">
        <v>0</v>
      </c>
      <c r="BT128" s="627">
        <v>0</v>
      </c>
      <c r="BU128" s="627">
        <v>0</v>
      </c>
      <c r="BV128" s="627">
        <v>0</v>
      </c>
      <c r="BW128" s="627">
        <v>0</v>
      </c>
      <c r="BX128" s="627">
        <v>0</v>
      </c>
      <c r="BY128" s="627">
        <v>0</v>
      </c>
      <c r="BZ128" s="627">
        <v>0</v>
      </c>
      <c r="CA128" s="627">
        <v>0</v>
      </c>
      <c r="CB128" s="627">
        <v>0</v>
      </c>
      <c r="CC128" s="627">
        <v>0</v>
      </c>
      <c r="CD128" s="627">
        <v>0</v>
      </c>
      <c r="CE128" s="627">
        <v>0</v>
      </c>
      <c r="CF128" s="627">
        <v>0</v>
      </c>
      <c r="CG128" s="627">
        <v>0</v>
      </c>
      <c r="CH128" s="627">
        <v>0</v>
      </c>
      <c r="CI128" s="627">
        <v>49783</v>
      </c>
      <c r="CJ128" s="627">
        <v>0</v>
      </c>
      <c r="CK128" s="627">
        <v>4</v>
      </c>
      <c r="CL128" s="627">
        <v>0</v>
      </c>
      <c r="CM128" s="627">
        <v>0</v>
      </c>
      <c r="CN128" s="627">
        <v>0</v>
      </c>
      <c r="CO128" s="627">
        <v>0</v>
      </c>
      <c r="CP128" s="627">
        <v>1</v>
      </c>
      <c r="CQ128" s="627">
        <v>0</v>
      </c>
      <c r="CR128" s="627">
        <v>0.83300000000000007</v>
      </c>
      <c r="CS128" s="627">
        <v>410.52</v>
      </c>
      <c r="CT128" s="627">
        <v>0</v>
      </c>
      <c r="CU128" s="627">
        <v>0</v>
      </c>
      <c r="CV128" s="627">
        <v>0</v>
      </c>
      <c r="CW128" s="627">
        <v>0</v>
      </c>
      <c r="CX128" s="627">
        <v>0</v>
      </c>
      <c r="CY128" s="627">
        <v>0</v>
      </c>
      <c r="CZ128" s="627">
        <v>0</v>
      </c>
      <c r="DA128" s="627">
        <v>0</v>
      </c>
      <c r="DB128" s="627">
        <v>0</v>
      </c>
      <c r="DC128" s="627">
        <v>1884125</v>
      </c>
      <c r="DD128" s="627">
        <v>0</v>
      </c>
      <c r="DE128" s="627">
        <v>0</v>
      </c>
      <c r="DF128" s="627">
        <v>530530</v>
      </c>
      <c r="DG128" s="627">
        <v>530530</v>
      </c>
      <c r="DH128" s="627">
        <v>86.125</v>
      </c>
      <c r="DI128" s="627">
        <v>0</v>
      </c>
      <c r="DJ128" s="627">
        <v>0</v>
      </c>
      <c r="DK128" s="627">
        <v>0</v>
      </c>
      <c r="DL128" s="627">
        <v>3179</v>
      </c>
      <c r="DM128" s="627">
        <v>0</v>
      </c>
      <c r="DN128" s="627">
        <v>183376</v>
      </c>
      <c r="DO128" s="627">
        <v>542</v>
      </c>
      <c r="DP128" s="627">
        <v>0</v>
      </c>
      <c r="DQ128" s="627">
        <v>0</v>
      </c>
      <c r="DR128" s="627">
        <v>0</v>
      </c>
      <c r="DS128" s="627">
        <v>0</v>
      </c>
      <c r="DT128" s="627">
        <v>0</v>
      </c>
      <c r="DU128" s="627">
        <v>0</v>
      </c>
      <c r="DV128" s="627">
        <v>0</v>
      </c>
      <c r="DW128" s="627">
        <v>0</v>
      </c>
      <c r="DX128" s="627">
        <v>0</v>
      </c>
      <c r="DY128" s="627">
        <v>0</v>
      </c>
      <c r="DZ128" s="627">
        <v>0</v>
      </c>
      <c r="EA128" s="627">
        <v>0</v>
      </c>
      <c r="EB128" s="627">
        <v>0</v>
      </c>
      <c r="EC128" s="627">
        <v>0</v>
      </c>
      <c r="ED128" s="627">
        <v>18.268000000000001</v>
      </c>
      <c r="EE128" s="627">
        <v>129411</v>
      </c>
      <c r="EF128" s="627">
        <v>0</v>
      </c>
      <c r="EG128" s="627">
        <v>0</v>
      </c>
      <c r="EH128" s="627">
        <v>0</v>
      </c>
      <c r="EI128" s="627">
        <v>30184</v>
      </c>
      <c r="EJ128" s="627">
        <v>0</v>
      </c>
      <c r="EK128" s="627">
        <v>0</v>
      </c>
      <c r="EL128" s="627">
        <v>1.2250000000000001</v>
      </c>
      <c r="EM128" s="627">
        <v>0</v>
      </c>
      <c r="EN128" s="627">
        <v>0</v>
      </c>
      <c r="EO128" s="627">
        <v>0.24500000000000002</v>
      </c>
      <c r="EP128" s="627">
        <v>0</v>
      </c>
      <c r="EQ128" s="627">
        <v>0</v>
      </c>
      <c r="ER128" s="627">
        <v>1.47</v>
      </c>
      <c r="ES128" s="627">
        <v>0</v>
      </c>
      <c r="ET128" s="627">
        <v>4.9000000000000004</v>
      </c>
      <c r="EU128" s="627">
        <v>0</v>
      </c>
      <c r="EV128" s="627">
        <v>0</v>
      </c>
      <c r="EW128" s="627">
        <v>0</v>
      </c>
      <c r="EX128" s="627">
        <v>0</v>
      </c>
      <c r="EY128" s="627">
        <v>0</v>
      </c>
      <c r="EZ128" s="627">
        <v>0</v>
      </c>
      <c r="FA128" s="627">
        <v>2930806</v>
      </c>
      <c r="FB128" s="627">
        <v>0</v>
      </c>
      <c r="FC128" s="627">
        <v>3101002</v>
      </c>
      <c r="FD128" s="627">
        <v>0</v>
      </c>
      <c r="FE128" s="627">
        <v>0</v>
      </c>
      <c r="FF128" s="627">
        <v>446610</v>
      </c>
      <c r="FG128" s="627">
        <v>77347</v>
      </c>
      <c r="FH128" s="627">
        <v>7.0280999999999996E-2</v>
      </c>
      <c r="FI128" s="627">
        <v>3.1172999999999999E-2</v>
      </c>
      <c r="FJ128" s="627">
        <v>0</v>
      </c>
      <c r="FK128" s="627">
        <v>0</v>
      </c>
      <c r="FL128" s="627">
        <v>503.49700000000001</v>
      </c>
      <c r="FM128" s="627">
        <v>3674742</v>
      </c>
      <c r="FN128" s="627">
        <v>0</v>
      </c>
      <c r="FO128" s="627">
        <v>0</v>
      </c>
      <c r="FP128" s="627">
        <v>0</v>
      </c>
      <c r="FQ128" s="627">
        <v>0</v>
      </c>
      <c r="FR128" s="627">
        <v>0</v>
      </c>
      <c r="FS128" s="627">
        <v>0</v>
      </c>
      <c r="FT128" s="627">
        <v>0</v>
      </c>
      <c r="FU128" s="627">
        <v>0</v>
      </c>
      <c r="FV128" s="627">
        <v>0</v>
      </c>
      <c r="FW128" s="627">
        <v>0</v>
      </c>
      <c r="FX128" s="627">
        <v>0</v>
      </c>
      <c r="FY128" s="627">
        <v>0</v>
      </c>
      <c r="FZ128" s="627">
        <v>0</v>
      </c>
      <c r="GA128" s="627">
        <v>0</v>
      </c>
      <c r="GB128" s="627">
        <v>0</v>
      </c>
      <c r="GC128" s="627">
        <v>0</v>
      </c>
      <c r="GD128" s="627">
        <v>0</v>
      </c>
      <c r="GE128" s="627">
        <v>0</v>
      </c>
      <c r="GF128" s="627">
        <v>0</v>
      </c>
      <c r="GG128" s="627">
        <v>0</v>
      </c>
      <c r="GH128" s="627">
        <v>0</v>
      </c>
      <c r="GI128" s="627">
        <v>0</v>
      </c>
      <c r="GJ128" s="627">
        <v>0</v>
      </c>
      <c r="GK128" s="627">
        <v>0</v>
      </c>
      <c r="GL128" s="627">
        <v>0</v>
      </c>
      <c r="GM128" s="627">
        <v>0</v>
      </c>
      <c r="GN128" s="627">
        <v>0</v>
      </c>
      <c r="GO128" s="627">
        <v>0</v>
      </c>
      <c r="GP128" s="627">
        <v>0</v>
      </c>
      <c r="GQ128" s="627">
        <v>0</v>
      </c>
      <c r="GR128" s="627">
        <v>3454221</v>
      </c>
      <c r="GS128" s="627">
        <v>0</v>
      </c>
      <c r="GT128" s="627">
        <v>0</v>
      </c>
      <c r="GU128" s="627">
        <v>0</v>
      </c>
      <c r="GV128" s="627">
        <v>0</v>
      </c>
      <c r="GW128" s="627">
        <v>0</v>
      </c>
      <c r="GX128" s="627">
        <v>0</v>
      </c>
      <c r="GY128" s="627">
        <v>0</v>
      </c>
      <c r="GZ128" s="627">
        <v>0</v>
      </c>
      <c r="HA128" s="627">
        <v>0</v>
      </c>
      <c r="HB128" s="627">
        <v>0</v>
      </c>
      <c r="HC128" s="627">
        <v>361151439</v>
      </c>
      <c r="HD128" s="627">
        <v>3.9981999999999997E-2</v>
      </c>
      <c r="HE128" s="627">
        <v>49783</v>
      </c>
      <c r="HF128" s="627">
        <v>0</v>
      </c>
      <c r="HG128" s="627">
        <v>341414</v>
      </c>
      <c r="HH128" s="627">
        <v>1848</v>
      </c>
      <c r="HI128" s="627">
        <v>71218</v>
      </c>
      <c r="HJ128" s="627">
        <v>0</v>
      </c>
      <c r="HK128" s="627">
        <v>33113</v>
      </c>
      <c r="HL128" s="627">
        <v>0</v>
      </c>
      <c r="HM128" s="627">
        <v>0</v>
      </c>
      <c r="HN128" s="627">
        <v>0</v>
      </c>
      <c r="HO128" s="627">
        <v>0</v>
      </c>
      <c r="HP128" s="627">
        <v>0</v>
      </c>
      <c r="HQ128" s="627">
        <v>0</v>
      </c>
      <c r="HR128" s="627">
        <v>0</v>
      </c>
      <c r="HS128" s="627">
        <v>0</v>
      </c>
      <c r="HT128" s="627">
        <v>2930264</v>
      </c>
      <c r="HU128" s="627">
        <v>77347</v>
      </c>
      <c r="HV128" s="627">
        <v>0</v>
      </c>
      <c r="HW128" s="627">
        <v>0</v>
      </c>
      <c r="HX128" s="627">
        <v>0</v>
      </c>
      <c r="HY128" s="627">
        <v>21</v>
      </c>
      <c r="HZ128" s="627">
        <v>29</v>
      </c>
      <c r="IA128" s="627">
        <v>78</v>
      </c>
      <c r="IB128" s="627">
        <v>87</v>
      </c>
      <c r="IC128" s="627">
        <v>117</v>
      </c>
      <c r="ID128" s="627">
        <v>332</v>
      </c>
      <c r="IE128" s="627">
        <v>0</v>
      </c>
      <c r="IF128" s="627">
        <v>0</v>
      </c>
      <c r="IG128" s="627">
        <v>0</v>
      </c>
      <c r="IH128" s="627">
        <v>3</v>
      </c>
      <c r="II128" s="627">
        <v>115.614</v>
      </c>
      <c r="IJ128" s="627">
        <v>0</v>
      </c>
      <c r="IK128" s="627">
        <v>89.899000000000001</v>
      </c>
      <c r="IL128" s="627">
        <v>0</v>
      </c>
      <c r="IM128" s="627">
        <v>0</v>
      </c>
      <c r="IN128" s="627">
        <v>0</v>
      </c>
      <c r="IO128" s="627">
        <v>0</v>
      </c>
      <c r="IP128" s="627">
        <v>0</v>
      </c>
      <c r="IQ128" s="627">
        <v>0</v>
      </c>
      <c r="IR128" s="627">
        <v>89.899000000000001</v>
      </c>
      <c r="IS128" s="627">
        <v>55378</v>
      </c>
      <c r="IT128" s="627">
        <v>0</v>
      </c>
      <c r="IU128" s="627">
        <v>0</v>
      </c>
      <c r="IV128" s="627">
        <v>0</v>
      </c>
      <c r="IW128" s="627">
        <v>0</v>
      </c>
      <c r="IX128" s="627">
        <v>6160</v>
      </c>
      <c r="IY128" s="627">
        <v>0</v>
      </c>
      <c r="IZ128" s="627">
        <v>0</v>
      </c>
      <c r="JA128" s="627">
        <v>0</v>
      </c>
      <c r="JB128" s="627">
        <v>0</v>
      </c>
      <c r="JC128" s="627">
        <v>0</v>
      </c>
      <c r="JD128" s="627">
        <v>0</v>
      </c>
      <c r="JE128" s="627">
        <v>0</v>
      </c>
      <c r="JF128" s="627">
        <v>0</v>
      </c>
      <c r="JG128" s="627">
        <v>0</v>
      </c>
      <c r="JH128" s="627">
        <v>0</v>
      </c>
      <c r="JI128" s="627">
        <v>0</v>
      </c>
      <c r="JJ128" s="627">
        <v>0</v>
      </c>
      <c r="JK128" s="627">
        <v>0</v>
      </c>
      <c r="JL128" s="627">
        <v>0</v>
      </c>
      <c r="JM128" s="627">
        <v>0</v>
      </c>
      <c r="JN128" s="627">
        <v>0</v>
      </c>
      <c r="JO128" s="627">
        <v>32469</v>
      </c>
      <c r="JP128" s="627">
        <v>0</v>
      </c>
      <c r="JQ128" s="627">
        <v>0</v>
      </c>
      <c r="JR128" s="627">
        <v>0</v>
      </c>
      <c r="JS128" s="627">
        <v>0</v>
      </c>
      <c r="JT128" s="627">
        <v>0</v>
      </c>
      <c r="JU128" s="627">
        <v>0</v>
      </c>
      <c r="JV128" s="627">
        <v>0</v>
      </c>
      <c r="JW128" s="627">
        <v>0</v>
      </c>
      <c r="JX128" s="627">
        <v>0</v>
      </c>
      <c r="JY128" s="627">
        <v>0</v>
      </c>
      <c r="JZ128" s="627">
        <v>0</v>
      </c>
      <c r="KA128" s="627">
        <v>0</v>
      </c>
      <c r="KB128" s="627">
        <v>0</v>
      </c>
      <c r="KC128" s="627">
        <v>0</v>
      </c>
      <c r="KD128" s="627">
        <v>0</v>
      </c>
      <c r="KE128" s="627">
        <v>0</v>
      </c>
      <c r="KF128" s="627">
        <v>7262</v>
      </c>
      <c r="KG128" s="627">
        <v>0</v>
      </c>
      <c r="KH128" s="627">
        <v>0</v>
      </c>
      <c r="KI128" s="627">
        <v>3454221</v>
      </c>
      <c r="KJ128" s="627">
        <v>0</v>
      </c>
      <c r="KK128" s="627">
        <v>0</v>
      </c>
      <c r="KL128" s="627">
        <v>3</v>
      </c>
      <c r="KM128" s="627">
        <v>0</v>
      </c>
      <c r="KN128" s="627">
        <v>1848</v>
      </c>
      <c r="KO128" s="627">
        <v>0</v>
      </c>
      <c r="KP128" s="627">
        <v>0</v>
      </c>
      <c r="KQ128" s="627">
        <v>3454221</v>
      </c>
      <c r="KR128" s="627">
        <v>0</v>
      </c>
      <c r="KS128" s="627">
        <v>0</v>
      </c>
      <c r="KT128" s="627">
        <v>0</v>
      </c>
      <c r="KU128" s="627">
        <v>0</v>
      </c>
      <c r="KV128" s="627">
        <v>0</v>
      </c>
      <c r="KW128" s="627">
        <v>0</v>
      </c>
      <c r="KX128" s="627">
        <v>0</v>
      </c>
      <c r="KY128" s="627">
        <v>0</v>
      </c>
      <c r="KZ128" s="627">
        <v>0</v>
      </c>
      <c r="LA128" s="627">
        <v>0</v>
      </c>
      <c r="LB128" s="627">
        <v>0</v>
      </c>
      <c r="LC128" s="627">
        <v>0</v>
      </c>
      <c r="LD128" s="627">
        <v>0</v>
      </c>
      <c r="LE128" s="627">
        <v>0</v>
      </c>
      <c r="LF128" s="627">
        <v>0</v>
      </c>
    </row>
    <row r="129" spans="1:318" x14ac:dyDescent="0.25">
      <c r="A129" s="627">
        <v>42602</v>
      </c>
      <c r="B129" s="627">
        <v>227827</v>
      </c>
      <c r="D129" s="627">
        <v>9</v>
      </c>
      <c r="E129" s="627">
        <v>2024</v>
      </c>
      <c r="F129" s="627">
        <v>6160</v>
      </c>
      <c r="G129" s="627">
        <v>0</v>
      </c>
      <c r="H129" s="627">
        <v>712.95</v>
      </c>
      <c r="I129" s="627">
        <v>590.55200000000002</v>
      </c>
      <c r="J129" s="627">
        <v>590.55200000000002</v>
      </c>
      <c r="K129" s="627">
        <v>712.95</v>
      </c>
      <c r="L129" s="627">
        <v>0</v>
      </c>
      <c r="M129" s="627">
        <v>6160</v>
      </c>
      <c r="N129" s="627">
        <v>0</v>
      </c>
      <c r="O129" s="627">
        <v>0</v>
      </c>
      <c r="P129" s="627">
        <v>0</v>
      </c>
      <c r="Q129" s="627">
        <v>712.95</v>
      </c>
      <c r="R129" s="627">
        <v>0</v>
      </c>
      <c r="S129" s="627">
        <v>295792</v>
      </c>
      <c r="T129" s="627">
        <v>414.88400000000001</v>
      </c>
      <c r="U129" s="627">
        <v>0</v>
      </c>
      <c r="V129" s="627">
        <v>153503</v>
      </c>
      <c r="W129" s="627">
        <v>141.917</v>
      </c>
      <c r="X129" s="627">
        <v>87421</v>
      </c>
      <c r="Y129" s="627">
        <v>87421</v>
      </c>
      <c r="Z129" s="627">
        <v>0</v>
      </c>
      <c r="AA129" s="627">
        <v>0</v>
      </c>
      <c r="AB129" s="627">
        <v>0</v>
      </c>
      <c r="AC129" s="627">
        <v>0</v>
      </c>
      <c r="AD129" s="627">
        <v>0</v>
      </c>
      <c r="AE129" s="627" t="s">
        <v>314</v>
      </c>
      <c r="AF129" s="627">
        <v>0</v>
      </c>
      <c r="AG129" s="627">
        <v>0</v>
      </c>
      <c r="AH129" s="627">
        <v>0</v>
      </c>
      <c r="AI129" s="627">
        <v>0</v>
      </c>
      <c r="AJ129" s="627">
        <v>0</v>
      </c>
      <c r="AK129" s="627">
        <v>6160</v>
      </c>
      <c r="AL129" s="627" t="s">
        <v>651</v>
      </c>
      <c r="AM129" s="627" t="s">
        <v>366</v>
      </c>
      <c r="AN129" s="627">
        <v>0</v>
      </c>
      <c r="AO129" s="627">
        <v>0</v>
      </c>
      <c r="AP129" s="627">
        <v>0</v>
      </c>
      <c r="AQ129" s="627">
        <v>0</v>
      </c>
      <c r="AR129" s="627">
        <v>0</v>
      </c>
      <c r="AS129" s="627">
        <v>0</v>
      </c>
      <c r="AT129" s="627">
        <v>0</v>
      </c>
      <c r="AU129" s="627">
        <v>0</v>
      </c>
      <c r="AV129" s="627">
        <v>0</v>
      </c>
      <c r="AW129" s="627">
        <v>0</v>
      </c>
      <c r="AX129" s="627">
        <v>7879404</v>
      </c>
      <c r="AY129" s="627">
        <v>7879585</v>
      </c>
      <c r="AZ129" s="627">
        <v>3888504</v>
      </c>
      <c r="BA129" s="627">
        <v>295792</v>
      </c>
      <c r="BB129" s="627">
        <v>0</v>
      </c>
      <c r="BC129" s="627">
        <v>0</v>
      </c>
      <c r="BD129" s="627">
        <v>0</v>
      </c>
      <c r="BE129" s="627">
        <v>0</v>
      </c>
      <c r="BF129" s="627">
        <v>0</v>
      </c>
      <c r="BG129" s="627">
        <v>6972304</v>
      </c>
      <c r="BH129" s="627">
        <v>0</v>
      </c>
      <c r="BI129" s="627">
        <v>0</v>
      </c>
      <c r="BJ129" s="627">
        <v>0</v>
      </c>
      <c r="BK129" s="627">
        <v>12</v>
      </c>
      <c r="BL129" s="627">
        <v>0</v>
      </c>
      <c r="BM129" s="627">
        <v>0</v>
      </c>
      <c r="BN129" s="627">
        <v>0</v>
      </c>
      <c r="BO129" s="627">
        <v>0</v>
      </c>
      <c r="BP129" s="627">
        <v>0</v>
      </c>
      <c r="BQ129" s="627">
        <v>0</v>
      </c>
      <c r="BR129" s="627">
        <v>679</v>
      </c>
      <c r="BS129" s="627">
        <v>0</v>
      </c>
      <c r="BT129" s="627">
        <v>0</v>
      </c>
      <c r="BU129" s="627">
        <v>0</v>
      </c>
      <c r="BV129" s="627">
        <v>0</v>
      </c>
      <c r="BW129" s="627">
        <v>0</v>
      </c>
      <c r="BX129" s="627">
        <v>0</v>
      </c>
      <c r="BY129" s="627">
        <v>0</v>
      </c>
      <c r="BZ129" s="627">
        <v>0</v>
      </c>
      <c r="CA129" s="627">
        <v>0</v>
      </c>
      <c r="CB129" s="627">
        <v>0</v>
      </c>
      <c r="CC129" s="627">
        <v>0</v>
      </c>
      <c r="CD129" s="627">
        <v>0</v>
      </c>
      <c r="CE129" s="627">
        <v>0</v>
      </c>
      <c r="CF129" s="627">
        <v>0</v>
      </c>
      <c r="CG129" s="627">
        <v>0</v>
      </c>
      <c r="CH129" s="627">
        <v>0</v>
      </c>
      <c r="CI129" s="627">
        <v>0</v>
      </c>
      <c r="CJ129" s="627">
        <v>0</v>
      </c>
      <c r="CK129" s="627">
        <v>4</v>
      </c>
      <c r="CL129" s="627">
        <v>0</v>
      </c>
      <c r="CM129" s="627">
        <v>0</v>
      </c>
      <c r="CN129" s="627">
        <v>0</v>
      </c>
      <c r="CO129" s="627">
        <v>0</v>
      </c>
      <c r="CP129" s="627">
        <v>1</v>
      </c>
      <c r="CQ129" s="627">
        <v>1.0230000000000001</v>
      </c>
      <c r="CR129" s="627">
        <v>0</v>
      </c>
      <c r="CS129" s="627">
        <v>703.18000000000006</v>
      </c>
      <c r="CT129" s="627">
        <v>0</v>
      </c>
      <c r="CU129" s="627">
        <v>0</v>
      </c>
      <c r="CV129" s="627">
        <v>0</v>
      </c>
      <c r="CW129" s="627">
        <v>0</v>
      </c>
      <c r="CX129" s="627">
        <v>0</v>
      </c>
      <c r="CY129" s="627">
        <v>0</v>
      </c>
      <c r="CZ129" s="627">
        <v>0</v>
      </c>
      <c r="DA129" s="627">
        <v>0</v>
      </c>
      <c r="DB129" s="627">
        <v>0</v>
      </c>
      <c r="DC129" s="627">
        <v>3637800</v>
      </c>
      <c r="DD129" s="627">
        <v>0</v>
      </c>
      <c r="DE129" s="627">
        <v>0</v>
      </c>
      <c r="DF129" s="627">
        <v>1475936</v>
      </c>
      <c r="DG129" s="627">
        <v>1491123</v>
      </c>
      <c r="DH129" s="627">
        <v>239.6</v>
      </c>
      <c r="DI129" s="627">
        <v>0</v>
      </c>
      <c r="DJ129" s="627">
        <v>15187</v>
      </c>
      <c r="DK129" s="627">
        <v>0</v>
      </c>
      <c r="DL129" s="627">
        <v>2487</v>
      </c>
      <c r="DM129" s="627">
        <v>0</v>
      </c>
      <c r="DN129" s="627">
        <v>53094</v>
      </c>
      <c r="DO129" s="627">
        <v>181</v>
      </c>
      <c r="DP129" s="627">
        <v>0</v>
      </c>
      <c r="DQ129" s="627">
        <v>0</v>
      </c>
      <c r="DR129" s="627">
        <v>0</v>
      </c>
      <c r="DS129" s="627">
        <v>0</v>
      </c>
      <c r="DT129" s="627">
        <v>0</v>
      </c>
      <c r="DU129" s="627">
        <v>0</v>
      </c>
      <c r="DV129" s="627">
        <v>0</v>
      </c>
      <c r="DW129" s="627">
        <v>0</v>
      </c>
      <c r="DX129" s="627">
        <v>0</v>
      </c>
      <c r="DY129" s="627">
        <v>0</v>
      </c>
      <c r="DZ129" s="627">
        <v>0</v>
      </c>
      <c r="EA129" s="627">
        <v>0</v>
      </c>
      <c r="EB129" s="627">
        <v>0</v>
      </c>
      <c r="EC129" s="627">
        <v>0</v>
      </c>
      <c r="ED129" s="627">
        <v>4.9169999999999998</v>
      </c>
      <c r="EE129" s="627">
        <v>34832</v>
      </c>
      <c r="EF129" s="627">
        <v>0</v>
      </c>
      <c r="EG129" s="627">
        <v>0</v>
      </c>
      <c r="EH129" s="627">
        <v>0</v>
      </c>
      <c r="EI129" s="627">
        <v>18443</v>
      </c>
      <c r="EJ129" s="627">
        <v>0</v>
      </c>
      <c r="EK129" s="627">
        <v>0</v>
      </c>
      <c r="EL129" s="627">
        <v>0.998</v>
      </c>
      <c r="EM129" s="627">
        <v>0</v>
      </c>
      <c r="EN129" s="627">
        <v>0</v>
      </c>
      <c r="EO129" s="627">
        <v>0</v>
      </c>
      <c r="EP129" s="627">
        <v>0</v>
      </c>
      <c r="EQ129" s="627">
        <v>0</v>
      </c>
      <c r="ER129" s="627">
        <v>0.998</v>
      </c>
      <c r="ES129" s="627">
        <v>0</v>
      </c>
      <c r="ET129" s="627">
        <v>2.9940000000000002</v>
      </c>
      <c r="EU129" s="627">
        <v>0</v>
      </c>
      <c r="EV129" s="627">
        <v>0</v>
      </c>
      <c r="EW129" s="627">
        <v>0</v>
      </c>
      <c r="EX129" s="627">
        <v>0</v>
      </c>
      <c r="EY129" s="627">
        <v>0</v>
      </c>
      <c r="EZ129" s="627">
        <v>0</v>
      </c>
      <c r="FA129" s="627">
        <v>6701721</v>
      </c>
      <c r="FB129" s="627">
        <v>0</v>
      </c>
      <c r="FC129" s="627">
        <v>6997332</v>
      </c>
      <c r="FD129" s="627">
        <v>0</v>
      </c>
      <c r="FE129" s="627">
        <v>0</v>
      </c>
      <c r="FF129" s="627">
        <v>1003986</v>
      </c>
      <c r="FG129" s="627">
        <v>173878</v>
      </c>
      <c r="FH129" s="627">
        <v>7.0280999999999996E-2</v>
      </c>
      <c r="FI129" s="627">
        <v>3.1172999999999999E-2</v>
      </c>
      <c r="FJ129" s="627">
        <v>0</v>
      </c>
      <c r="FK129" s="627">
        <v>0</v>
      </c>
      <c r="FL129" s="627">
        <v>1131.8680000000002</v>
      </c>
      <c r="FM129" s="627">
        <v>8175196</v>
      </c>
      <c r="FN129" s="627">
        <v>0</v>
      </c>
      <c r="FO129" s="627">
        <v>0</v>
      </c>
      <c r="FP129" s="627">
        <v>1723</v>
      </c>
      <c r="FQ129" s="627">
        <v>0</v>
      </c>
      <c r="FR129" s="627">
        <v>1723</v>
      </c>
      <c r="FS129" s="627">
        <v>1723</v>
      </c>
      <c r="FT129" s="627">
        <v>0</v>
      </c>
      <c r="FU129" s="627">
        <v>0</v>
      </c>
      <c r="FV129" s="627">
        <v>0</v>
      </c>
      <c r="FW129" s="627">
        <v>0</v>
      </c>
      <c r="FX129" s="627">
        <v>0</v>
      </c>
      <c r="FY129" s="627">
        <v>0</v>
      </c>
      <c r="FZ129" s="627">
        <v>0</v>
      </c>
      <c r="GA129" s="627">
        <v>0</v>
      </c>
      <c r="GB129" s="627">
        <v>0</v>
      </c>
      <c r="GC129" s="627">
        <v>969767</v>
      </c>
      <c r="GD129" s="627">
        <v>969767</v>
      </c>
      <c r="GE129" s="627">
        <v>121.4</v>
      </c>
      <c r="GF129" s="627">
        <v>0</v>
      </c>
      <c r="GG129" s="627">
        <v>0</v>
      </c>
      <c r="GH129" s="627">
        <v>0</v>
      </c>
      <c r="GI129" s="627">
        <v>0</v>
      </c>
      <c r="GJ129" s="627">
        <v>0</v>
      </c>
      <c r="GK129" s="627">
        <v>0</v>
      </c>
      <c r="GL129" s="627">
        <v>0</v>
      </c>
      <c r="GM129" s="627">
        <v>0</v>
      </c>
      <c r="GN129" s="627">
        <v>0</v>
      </c>
      <c r="GO129" s="627">
        <v>0</v>
      </c>
      <c r="GP129" s="627">
        <v>0</v>
      </c>
      <c r="GQ129" s="627">
        <v>0</v>
      </c>
      <c r="GR129" s="627">
        <v>7879404</v>
      </c>
      <c r="GS129" s="627">
        <v>0</v>
      </c>
      <c r="GT129" s="627">
        <v>0</v>
      </c>
      <c r="GU129" s="627">
        <v>0</v>
      </c>
      <c r="GV129" s="627">
        <v>0</v>
      </c>
      <c r="GW129" s="627">
        <v>0</v>
      </c>
      <c r="GX129" s="627">
        <v>0</v>
      </c>
      <c r="GY129" s="627">
        <v>0</v>
      </c>
      <c r="GZ129" s="627">
        <v>0</v>
      </c>
      <c r="HA129" s="627">
        <v>0</v>
      </c>
      <c r="HB129" s="627">
        <v>0</v>
      </c>
      <c r="HC129" s="627">
        <v>0</v>
      </c>
      <c r="HD129" s="627">
        <v>3.9981999999999997E-2</v>
      </c>
      <c r="HE129" s="627">
        <v>0</v>
      </c>
      <c r="HF129" s="627">
        <v>0</v>
      </c>
      <c r="HG129" s="627">
        <v>650788</v>
      </c>
      <c r="HH129" s="627">
        <v>0</v>
      </c>
      <c r="HI129" s="627">
        <v>0</v>
      </c>
      <c r="HJ129" s="627">
        <v>0</v>
      </c>
      <c r="HK129" s="627">
        <v>82130</v>
      </c>
      <c r="HL129" s="627">
        <v>11489</v>
      </c>
      <c r="HM129" s="627">
        <v>11997</v>
      </c>
      <c r="HN129" s="627">
        <v>0</v>
      </c>
      <c r="HO129" s="627">
        <v>0</v>
      </c>
      <c r="HP129" s="627">
        <v>0</v>
      </c>
      <c r="HQ129" s="627">
        <v>0</v>
      </c>
      <c r="HR129" s="627">
        <v>0</v>
      </c>
      <c r="HS129" s="627">
        <v>0</v>
      </c>
      <c r="HT129" s="627">
        <v>6701540</v>
      </c>
      <c r="HU129" s="627">
        <v>173878</v>
      </c>
      <c r="HV129" s="627">
        <v>0</v>
      </c>
      <c r="HW129" s="627">
        <v>0</v>
      </c>
      <c r="HX129" s="627">
        <v>0</v>
      </c>
      <c r="HY129" s="627">
        <v>102</v>
      </c>
      <c r="HZ129" s="627">
        <v>314</v>
      </c>
      <c r="IA129" s="627">
        <v>304</v>
      </c>
      <c r="IB129" s="627">
        <v>126</v>
      </c>
      <c r="IC129" s="627">
        <v>120</v>
      </c>
      <c r="ID129" s="627">
        <v>966</v>
      </c>
      <c r="IE129" s="627">
        <v>0</v>
      </c>
      <c r="IF129" s="627">
        <v>0</v>
      </c>
      <c r="IG129" s="627">
        <v>0</v>
      </c>
      <c r="IH129" s="627">
        <v>0</v>
      </c>
      <c r="II129" s="627">
        <v>0</v>
      </c>
      <c r="IJ129" s="627">
        <v>0</v>
      </c>
      <c r="IK129" s="627">
        <v>141.917</v>
      </c>
      <c r="IL129" s="627">
        <v>0</v>
      </c>
      <c r="IM129" s="627">
        <v>0</v>
      </c>
      <c r="IN129" s="627">
        <v>0</v>
      </c>
      <c r="IO129" s="627">
        <v>0</v>
      </c>
      <c r="IP129" s="627">
        <v>0</v>
      </c>
      <c r="IQ129" s="627">
        <v>0</v>
      </c>
      <c r="IR129" s="627">
        <v>141.917</v>
      </c>
      <c r="IS129" s="627">
        <v>87421</v>
      </c>
      <c r="IT129" s="627">
        <v>0</v>
      </c>
      <c r="IU129" s="627">
        <v>0</v>
      </c>
      <c r="IV129" s="627">
        <v>0</v>
      </c>
      <c r="IW129" s="627">
        <v>0</v>
      </c>
      <c r="IX129" s="627">
        <v>6160</v>
      </c>
      <c r="IY129" s="627">
        <v>0</v>
      </c>
      <c r="IZ129" s="627">
        <v>0</v>
      </c>
      <c r="JA129" s="627">
        <v>0</v>
      </c>
      <c r="JB129" s="627">
        <v>0</v>
      </c>
      <c r="JC129" s="627">
        <v>0</v>
      </c>
      <c r="JD129" s="627">
        <v>0</v>
      </c>
      <c r="JE129" s="627">
        <v>0</v>
      </c>
      <c r="JF129" s="627">
        <v>0</v>
      </c>
      <c r="JG129" s="627">
        <v>0</v>
      </c>
      <c r="JH129" s="627">
        <v>0</v>
      </c>
      <c r="JI129" s="627">
        <v>0</v>
      </c>
      <c r="JJ129" s="627">
        <v>0</v>
      </c>
      <c r="JK129" s="627">
        <v>0</v>
      </c>
      <c r="JL129" s="627">
        <v>0</v>
      </c>
      <c r="JM129" s="627">
        <v>0</v>
      </c>
      <c r="JN129" s="627">
        <v>0</v>
      </c>
      <c r="JO129" s="627">
        <v>36711</v>
      </c>
      <c r="JP129" s="627">
        <v>121.4</v>
      </c>
      <c r="JQ129" s="627">
        <v>0</v>
      </c>
      <c r="JR129" s="627">
        <v>0</v>
      </c>
      <c r="JS129" s="627">
        <v>969767</v>
      </c>
      <c r="JT129" s="627">
        <v>0</v>
      </c>
      <c r="JU129" s="627">
        <v>0</v>
      </c>
      <c r="JV129" s="627">
        <v>0</v>
      </c>
      <c r="JW129" s="627">
        <v>0</v>
      </c>
      <c r="JX129" s="627">
        <v>0</v>
      </c>
      <c r="JY129" s="627">
        <v>0</v>
      </c>
      <c r="JZ129" s="627">
        <v>0</v>
      </c>
      <c r="KA129" s="627">
        <v>0</v>
      </c>
      <c r="KB129" s="627">
        <v>0</v>
      </c>
      <c r="KC129" s="627">
        <v>0</v>
      </c>
      <c r="KD129" s="627">
        <v>0</v>
      </c>
      <c r="KE129" s="627">
        <v>0</v>
      </c>
      <c r="KF129" s="627">
        <v>7262</v>
      </c>
      <c r="KG129" s="627">
        <v>0</v>
      </c>
      <c r="KH129" s="627">
        <v>0</v>
      </c>
      <c r="KI129" s="627">
        <v>7879404</v>
      </c>
      <c r="KJ129" s="627">
        <v>0</v>
      </c>
      <c r="KK129" s="627">
        <v>0</v>
      </c>
      <c r="KL129" s="627">
        <v>0</v>
      </c>
      <c r="KM129" s="627">
        <v>0</v>
      </c>
      <c r="KN129" s="627">
        <v>0</v>
      </c>
      <c r="KO129" s="627">
        <v>0</v>
      </c>
      <c r="KP129" s="627">
        <v>0</v>
      </c>
      <c r="KQ129" s="627">
        <v>7879404</v>
      </c>
      <c r="KR129" s="627">
        <v>0</v>
      </c>
      <c r="KS129" s="627">
        <v>0</v>
      </c>
      <c r="KT129" s="627">
        <v>0</v>
      </c>
      <c r="KU129" s="627">
        <v>0</v>
      </c>
      <c r="KV129" s="627">
        <v>0</v>
      </c>
      <c r="KW129" s="627">
        <v>0</v>
      </c>
      <c r="KX129" s="627">
        <v>0</v>
      </c>
      <c r="KY129" s="627">
        <v>0</v>
      </c>
      <c r="KZ129" s="627">
        <v>0</v>
      </c>
      <c r="LA129" s="627">
        <v>0</v>
      </c>
      <c r="LB129" s="627">
        <v>0</v>
      </c>
      <c r="LC129" s="627">
        <v>0</v>
      </c>
      <c r="LD129" s="627">
        <v>0</v>
      </c>
      <c r="LE129" s="627">
        <v>0</v>
      </c>
      <c r="LF129" s="627">
        <v>0</v>
      </c>
    </row>
    <row r="130" spans="1:318" x14ac:dyDescent="0.25">
      <c r="A130" s="627">
        <v>42602</v>
      </c>
      <c r="B130" s="627">
        <v>15828</v>
      </c>
      <c r="D130" s="627">
        <v>9</v>
      </c>
      <c r="E130" s="627">
        <v>2024</v>
      </c>
      <c r="F130" s="627">
        <v>6160</v>
      </c>
      <c r="G130" s="627">
        <v>0</v>
      </c>
      <c r="H130" s="627">
        <v>4354.1019999999999</v>
      </c>
      <c r="I130" s="627">
        <v>3894.15</v>
      </c>
      <c r="J130" s="627">
        <v>3894.15</v>
      </c>
      <c r="K130" s="627">
        <v>4354.1019999999999</v>
      </c>
      <c r="L130" s="627">
        <v>0</v>
      </c>
      <c r="M130" s="627">
        <v>6160</v>
      </c>
      <c r="N130" s="627">
        <v>0</v>
      </c>
      <c r="O130" s="627">
        <v>0</v>
      </c>
      <c r="P130" s="627">
        <v>0</v>
      </c>
      <c r="Q130" s="627">
        <v>4353.6880000000001</v>
      </c>
      <c r="R130" s="627">
        <v>0</v>
      </c>
      <c r="S130" s="627">
        <v>1806275</v>
      </c>
      <c r="T130" s="627">
        <v>414.88400000000001</v>
      </c>
      <c r="U130" s="627">
        <v>0</v>
      </c>
      <c r="V130" s="627">
        <v>937383</v>
      </c>
      <c r="W130" s="627">
        <v>1829.4340000000002</v>
      </c>
      <c r="X130" s="627">
        <v>1126931</v>
      </c>
      <c r="Y130" s="627">
        <v>1126931</v>
      </c>
      <c r="Z130" s="627">
        <v>0</v>
      </c>
      <c r="AA130" s="627">
        <v>0</v>
      </c>
      <c r="AB130" s="627">
        <v>0</v>
      </c>
      <c r="AC130" s="627">
        <v>0</v>
      </c>
      <c r="AD130" s="627">
        <v>0</v>
      </c>
      <c r="AE130" s="627" t="s">
        <v>314</v>
      </c>
      <c r="AF130" s="627">
        <v>0</v>
      </c>
      <c r="AG130" s="627">
        <v>0</v>
      </c>
      <c r="AH130" s="627">
        <v>0</v>
      </c>
      <c r="AI130" s="627">
        <v>0</v>
      </c>
      <c r="AJ130" s="627">
        <v>0</v>
      </c>
      <c r="AK130" s="627">
        <v>6160</v>
      </c>
      <c r="AL130" s="627" t="s">
        <v>651</v>
      </c>
      <c r="AM130" s="627" t="s">
        <v>762</v>
      </c>
      <c r="AN130" s="627">
        <v>0</v>
      </c>
      <c r="AO130" s="627">
        <v>0</v>
      </c>
      <c r="AP130" s="627">
        <v>0</v>
      </c>
      <c r="AQ130" s="627">
        <v>0</v>
      </c>
      <c r="AR130" s="627">
        <v>0</v>
      </c>
      <c r="AS130" s="627">
        <v>0</v>
      </c>
      <c r="AT130" s="627">
        <v>0</v>
      </c>
      <c r="AU130" s="627">
        <v>0</v>
      </c>
      <c r="AV130" s="627">
        <v>0</v>
      </c>
      <c r="AW130" s="627">
        <v>0</v>
      </c>
      <c r="AX130" s="627">
        <v>51715257</v>
      </c>
      <c r="AY130" s="627">
        <v>51031281</v>
      </c>
      <c r="AZ130" s="627">
        <v>25969909</v>
      </c>
      <c r="BA130" s="627">
        <v>1806275</v>
      </c>
      <c r="BB130" s="627">
        <v>101.917</v>
      </c>
      <c r="BC130" s="627">
        <v>92755</v>
      </c>
      <c r="BD130" s="627">
        <v>92163</v>
      </c>
      <c r="BE130" s="627">
        <v>217.70500000000001</v>
      </c>
      <c r="BF130" s="627">
        <v>591</v>
      </c>
      <c r="BG130" s="627">
        <v>45040217</v>
      </c>
      <c r="BH130" s="627">
        <v>0</v>
      </c>
      <c r="BI130" s="627">
        <v>0</v>
      </c>
      <c r="BJ130" s="627">
        <v>0</v>
      </c>
      <c r="BK130" s="627">
        <v>12</v>
      </c>
      <c r="BL130" s="627">
        <v>0</v>
      </c>
      <c r="BM130" s="627">
        <v>0</v>
      </c>
      <c r="BN130" s="627">
        <v>0</v>
      </c>
      <c r="BO130" s="627">
        <v>0</v>
      </c>
      <c r="BP130" s="627">
        <v>0</v>
      </c>
      <c r="BQ130" s="627">
        <v>0</v>
      </c>
      <c r="BR130" s="627">
        <v>170</v>
      </c>
      <c r="BS130" s="627">
        <v>0</v>
      </c>
      <c r="BT130" s="627">
        <v>0</v>
      </c>
      <c r="BU130" s="627">
        <v>0</v>
      </c>
      <c r="BV130" s="627">
        <v>0</v>
      </c>
      <c r="BW130" s="627">
        <v>0</v>
      </c>
      <c r="BX130" s="627">
        <v>0</v>
      </c>
      <c r="BY130" s="627">
        <v>0</v>
      </c>
      <c r="BZ130" s="627">
        <v>0</v>
      </c>
      <c r="CA130" s="627">
        <v>0</v>
      </c>
      <c r="CB130" s="627">
        <v>159.74200000000002</v>
      </c>
      <c r="CC130" s="627">
        <v>159742</v>
      </c>
      <c r="CD130" s="627">
        <v>0</v>
      </c>
      <c r="CE130" s="627">
        <v>0</v>
      </c>
      <c r="CF130" s="627">
        <v>0</v>
      </c>
      <c r="CG130" s="627">
        <v>0</v>
      </c>
      <c r="CH130" s="627">
        <v>0</v>
      </c>
      <c r="CI130" s="627">
        <v>696346</v>
      </c>
      <c r="CJ130" s="627">
        <v>0</v>
      </c>
      <c r="CK130" s="627">
        <v>4</v>
      </c>
      <c r="CL130" s="627">
        <v>0</v>
      </c>
      <c r="CM130" s="627">
        <v>0</v>
      </c>
      <c r="CN130" s="627">
        <v>0</v>
      </c>
      <c r="CO130" s="627">
        <v>0</v>
      </c>
      <c r="CP130" s="627">
        <v>1</v>
      </c>
      <c r="CQ130" s="627">
        <v>0</v>
      </c>
      <c r="CR130" s="627">
        <v>0</v>
      </c>
      <c r="CS130" s="627">
        <v>4343.59</v>
      </c>
      <c r="CT130" s="627">
        <v>0</v>
      </c>
      <c r="CU130" s="627">
        <v>0</v>
      </c>
      <c r="CV130" s="627">
        <v>0</v>
      </c>
      <c r="CW130" s="627">
        <v>0</v>
      </c>
      <c r="CX130" s="627">
        <v>0</v>
      </c>
      <c r="CY130" s="627">
        <v>0</v>
      </c>
      <c r="CZ130" s="627">
        <v>0</v>
      </c>
      <c r="DA130" s="627">
        <v>0</v>
      </c>
      <c r="DB130" s="627">
        <v>0</v>
      </c>
      <c r="DC130" s="627">
        <v>23987964</v>
      </c>
      <c r="DD130" s="627">
        <v>0</v>
      </c>
      <c r="DE130" s="627">
        <v>0</v>
      </c>
      <c r="DF130" s="627">
        <v>6233766</v>
      </c>
      <c r="DG130" s="627">
        <v>6233766</v>
      </c>
      <c r="DH130" s="627">
        <v>1011.975</v>
      </c>
      <c r="DI130" s="627">
        <v>0</v>
      </c>
      <c r="DJ130" s="627">
        <v>0</v>
      </c>
      <c r="DK130" s="627">
        <v>0</v>
      </c>
      <c r="DL130" s="627">
        <v>0</v>
      </c>
      <c r="DM130" s="627">
        <v>0</v>
      </c>
      <c r="DN130" s="627">
        <v>3455680</v>
      </c>
      <c r="DO130" s="627">
        <v>11778</v>
      </c>
      <c r="DP130" s="627">
        <v>0</v>
      </c>
      <c r="DQ130" s="627">
        <v>0</v>
      </c>
      <c r="DR130" s="627">
        <v>0</v>
      </c>
      <c r="DS130" s="627">
        <v>0</v>
      </c>
      <c r="DT130" s="627">
        <v>0</v>
      </c>
      <c r="DU130" s="627">
        <v>0</v>
      </c>
      <c r="DV130" s="627">
        <v>0</v>
      </c>
      <c r="DW130" s="627">
        <v>0</v>
      </c>
      <c r="DX130" s="627">
        <v>0</v>
      </c>
      <c r="DY130" s="627">
        <v>0</v>
      </c>
      <c r="DZ130" s="627">
        <v>0</v>
      </c>
      <c r="EA130" s="627">
        <v>0</v>
      </c>
      <c r="EB130" s="627">
        <v>0</v>
      </c>
      <c r="EC130" s="627">
        <v>0</v>
      </c>
      <c r="ED130" s="627">
        <v>68.427000000000007</v>
      </c>
      <c r="EE130" s="627">
        <v>484737</v>
      </c>
      <c r="EF130" s="627">
        <v>0</v>
      </c>
      <c r="EG130" s="627">
        <v>0</v>
      </c>
      <c r="EH130" s="627">
        <v>0</v>
      </c>
      <c r="EI130" s="627">
        <v>2982721</v>
      </c>
      <c r="EJ130" s="627">
        <v>0</v>
      </c>
      <c r="EK130" s="627">
        <v>0</v>
      </c>
      <c r="EL130" s="627">
        <v>116.91900000000001</v>
      </c>
      <c r="EM130" s="627">
        <v>0</v>
      </c>
      <c r="EN130" s="627">
        <v>30.332000000000001</v>
      </c>
      <c r="EO130" s="627">
        <v>8.4909999999999997</v>
      </c>
      <c r="EP130" s="627">
        <v>0</v>
      </c>
      <c r="EQ130" s="627">
        <v>0</v>
      </c>
      <c r="ER130" s="627">
        <v>155.74200000000002</v>
      </c>
      <c r="ES130" s="627">
        <v>0</v>
      </c>
      <c r="ET130" s="627">
        <v>484.20800000000003</v>
      </c>
      <c r="EU130" s="627">
        <v>0</v>
      </c>
      <c r="EV130" s="627">
        <v>0</v>
      </c>
      <c r="EW130" s="627">
        <v>0</v>
      </c>
      <c r="EX130" s="627">
        <v>0</v>
      </c>
      <c r="EY130" s="627">
        <v>0</v>
      </c>
      <c r="EZ130" s="627">
        <v>0</v>
      </c>
      <c r="FA130" s="627">
        <v>43422431</v>
      </c>
      <c r="FB130" s="627">
        <v>0</v>
      </c>
      <c r="FC130" s="627">
        <v>45216336</v>
      </c>
      <c r="FD130" s="627">
        <v>0</v>
      </c>
      <c r="FE130" s="627">
        <v>0</v>
      </c>
      <c r="FF130" s="627">
        <v>6485619</v>
      </c>
      <c r="FG130" s="627">
        <v>1123231</v>
      </c>
      <c r="FH130" s="627">
        <v>7.0280999999999996E-2</v>
      </c>
      <c r="FI130" s="627">
        <v>3.1172999999999999E-2</v>
      </c>
      <c r="FJ130" s="627">
        <v>0</v>
      </c>
      <c r="FK130" s="627">
        <v>0</v>
      </c>
      <c r="FL130" s="627">
        <v>7311.723</v>
      </c>
      <c r="FM130" s="627">
        <v>53521532</v>
      </c>
      <c r="FN130" s="627">
        <v>0</v>
      </c>
      <c r="FO130" s="627">
        <v>0</v>
      </c>
      <c r="FP130" s="627">
        <v>0</v>
      </c>
      <c r="FQ130" s="627">
        <v>0</v>
      </c>
      <c r="FR130" s="627">
        <v>0</v>
      </c>
      <c r="FS130" s="627">
        <v>0</v>
      </c>
      <c r="FT130" s="627">
        <v>0</v>
      </c>
      <c r="FU130" s="627">
        <v>0</v>
      </c>
      <c r="FV130" s="627">
        <v>1</v>
      </c>
      <c r="FW130" s="627">
        <v>0</v>
      </c>
      <c r="FX130" s="627">
        <v>0</v>
      </c>
      <c r="FY130" s="627">
        <v>0</v>
      </c>
      <c r="FZ130" s="627">
        <v>0</v>
      </c>
      <c r="GA130" s="627">
        <v>0</v>
      </c>
      <c r="GB130" s="627">
        <v>0</v>
      </c>
      <c r="GC130" s="627">
        <v>3064928</v>
      </c>
      <c r="GD130" s="627">
        <v>3064928</v>
      </c>
      <c r="GE130" s="627">
        <v>304.20999999999998</v>
      </c>
      <c r="GF130" s="627">
        <v>0</v>
      </c>
      <c r="GG130" s="627">
        <v>0</v>
      </c>
      <c r="GH130" s="627">
        <v>0</v>
      </c>
      <c r="GI130" s="627">
        <v>0</v>
      </c>
      <c r="GJ130" s="627">
        <v>0</v>
      </c>
      <c r="GK130" s="627">
        <v>0</v>
      </c>
      <c r="GL130" s="627">
        <v>0</v>
      </c>
      <c r="GM130" s="627">
        <v>0</v>
      </c>
      <c r="GN130" s="627">
        <v>0</v>
      </c>
      <c r="GO130" s="627">
        <v>0</v>
      </c>
      <c r="GP130" s="627">
        <v>0</v>
      </c>
      <c r="GQ130" s="627">
        <v>0</v>
      </c>
      <c r="GR130" s="627">
        <v>51018911</v>
      </c>
      <c r="GS130" s="627">
        <v>0</v>
      </c>
      <c r="GT130" s="627">
        <v>0</v>
      </c>
      <c r="GU130" s="627">
        <v>0</v>
      </c>
      <c r="GV130" s="627">
        <v>0</v>
      </c>
      <c r="GW130" s="627">
        <v>0</v>
      </c>
      <c r="GX130" s="627">
        <v>0</v>
      </c>
      <c r="GY130" s="627">
        <v>0</v>
      </c>
      <c r="GZ130" s="627">
        <v>0</v>
      </c>
      <c r="HA130" s="627">
        <v>0</v>
      </c>
      <c r="HB130" s="627">
        <v>0</v>
      </c>
      <c r="HC130" s="627">
        <v>361151439</v>
      </c>
      <c r="HD130" s="627">
        <v>3.9981999999999997E-2</v>
      </c>
      <c r="HE130" s="627">
        <v>696346</v>
      </c>
      <c r="HF130" s="627">
        <v>0</v>
      </c>
      <c r="HG130" s="627">
        <v>4291353</v>
      </c>
      <c r="HH130" s="627">
        <v>70224</v>
      </c>
      <c r="HI130" s="627">
        <v>813514</v>
      </c>
      <c r="HJ130" s="627">
        <v>0</v>
      </c>
      <c r="HK130" s="627">
        <v>178541</v>
      </c>
      <c r="HL130" s="627">
        <v>16585</v>
      </c>
      <c r="HM130" s="627">
        <v>12162</v>
      </c>
      <c r="HN130" s="627">
        <v>405000</v>
      </c>
      <c r="HO130" s="627">
        <v>1307783</v>
      </c>
      <c r="HP130" s="627">
        <v>0</v>
      </c>
      <c r="HQ130" s="627">
        <v>0</v>
      </c>
      <c r="HR130" s="627">
        <v>0</v>
      </c>
      <c r="HS130" s="627">
        <v>0</v>
      </c>
      <c r="HT130" s="627">
        <v>43410061</v>
      </c>
      <c r="HU130" s="627">
        <v>1123231</v>
      </c>
      <c r="HV130" s="627">
        <v>0</v>
      </c>
      <c r="HW130" s="627">
        <v>0</v>
      </c>
      <c r="HX130" s="627">
        <v>0</v>
      </c>
      <c r="HY130" s="627">
        <v>642</v>
      </c>
      <c r="HZ130" s="627">
        <v>702</v>
      </c>
      <c r="IA130" s="627">
        <v>654</v>
      </c>
      <c r="IB130" s="627">
        <v>774</v>
      </c>
      <c r="IC130" s="627">
        <v>1215</v>
      </c>
      <c r="ID130" s="627">
        <v>3987</v>
      </c>
      <c r="IE130" s="627">
        <v>0</v>
      </c>
      <c r="IF130" s="627">
        <v>0</v>
      </c>
      <c r="IG130" s="627">
        <v>0</v>
      </c>
      <c r="IH130" s="627">
        <v>114</v>
      </c>
      <c r="II130" s="627">
        <v>1320.64</v>
      </c>
      <c r="IJ130" s="627">
        <v>0</v>
      </c>
      <c r="IK130" s="627">
        <v>1829.4340000000002</v>
      </c>
      <c r="IL130" s="627">
        <v>0</v>
      </c>
      <c r="IM130" s="627">
        <v>71</v>
      </c>
      <c r="IN130" s="627">
        <v>16</v>
      </c>
      <c r="IO130" s="627">
        <v>1</v>
      </c>
      <c r="IP130" s="627">
        <v>88</v>
      </c>
      <c r="IQ130" s="627">
        <v>0</v>
      </c>
      <c r="IR130" s="627">
        <v>1829.4340000000002</v>
      </c>
      <c r="IS130" s="627">
        <v>1126931</v>
      </c>
      <c r="IT130" s="627">
        <v>0</v>
      </c>
      <c r="IU130" s="627">
        <v>355000</v>
      </c>
      <c r="IV130" s="627">
        <v>48000</v>
      </c>
      <c r="IW130" s="627">
        <v>2000</v>
      </c>
      <c r="IX130" s="627">
        <v>6160</v>
      </c>
      <c r="IY130" s="627">
        <v>0</v>
      </c>
      <c r="IZ130" s="627">
        <v>0</v>
      </c>
      <c r="JA130" s="627">
        <v>0</v>
      </c>
      <c r="JB130" s="627">
        <v>0</v>
      </c>
      <c r="JC130" s="627">
        <v>17</v>
      </c>
      <c r="JD130" s="627">
        <v>384782</v>
      </c>
      <c r="JE130" s="627">
        <v>49</v>
      </c>
      <c r="JF130" s="627">
        <v>606042</v>
      </c>
      <c r="JG130" s="627">
        <v>44</v>
      </c>
      <c r="JH130" s="627">
        <v>273459</v>
      </c>
      <c r="JI130" s="627">
        <v>43500</v>
      </c>
      <c r="JJ130" s="627">
        <v>0</v>
      </c>
      <c r="JK130" s="627">
        <v>0</v>
      </c>
      <c r="JL130" s="627">
        <v>0</v>
      </c>
      <c r="JM130" s="627">
        <v>0</v>
      </c>
      <c r="JN130" s="627">
        <v>0</v>
      </c>
      <c r="JO130" s="627">
        <v>32469</v>
      </c>
      <c r="JP130" s="627">
        <v>7.5010000000000003</v>
      </c>
      <c r="JQ130" s="627">
        <v>117.709</v>
      </c>
      <c r="JR130" s="627">
        <v>179.001</v>
      </c>
      <c r="JS130" s="627">
        <v>59919</v>
      </c>
      <c r="JT130" s="627">
        <v>1094148</v>
      </c>
      <c r="JU130" s="627">
        <v>1910861</v>
      </c>
      <c r="JV130" s="627">
        <v>93874</v>
      </c>
      <c r="JW130" s="627">
        <v>0</v>
      </c>
      <c r="JX130" s="627">
        <v>0</v>
      </c>
      <c r="JY130" s="627">
        <v>0</v>
      </c>
      <c r="JZ130" s="627">
        <v>0</v>
      </c>
      <c r="KA130" s="627">
        <v>0</v>
      </c>
      <c r="KB130" s="627">
        <v>0</v>
      </c>
      <c r="KC130" s="627">
        <v>0</v>
      </c>
      <c r="KD130" s="627">
        <v>0</v>
      </c>
      <c r="KE130" s="627">
        <v>94002</v>
      </c>
      <c r="KF130" s="627">
        <v>7262</v>
      </c>
      <c r="KG130" s="627">
        <v>0</v>
      </c>
      <c r="KH130" s="627">
        <v>0</v>
      </c>
      <c r="KI130" s="627">
        <v>51018911</v>
      </c>
      <c r="KJ130" s="627">
        <v>0</v>
      </c>
      <c r="KK130" s="627">
        <v>49</v>
      </c>
      <c r="KL130" s="627">
        <v>65</v>
      </c>
      <c r="KM130" s="627">
        <v>30184</v>
      </c>
      <c r="KN130" s="627">
        <v>40040</v>
      </c>
      <c r="KO130" s="627">
        <v>0</v>
      </c>
      <c r="KP130" s="627">
        <v>0</v>
      </c>
      <c r="KQ130" s="627">
        <v>51018911</v>
      </c>
      <c r="KR130" s="627">
        <v>0</v>
      </c>
      <c r="KS130" s="627">
        <v>0</v>
      </c>
      <c r="KT130" s="627">
        <v>0</v>
      </c>
      <c r="KU130" s="627">
        <v>0</v>
      </c>
      <c r="KV130" s="627">
        <v>0</v>
      </c>
      <c r="KW130" s="627">
        <v>0</v>
      </c>
      <c r="KX130" s="627">
        <v>0</v>
      </c>
      <c r="KY130" s="627">
        <v>0</v>
      </c>
      <c r="KZ130" s="627">
        <v>0</v>
      </c>
      <c r="LA130" s="627">
        <v>0</v>
      </c>
      <c r="LB130" s="627">
        <v>0</v>
      </c>
      <c r="LC130" s="627">
        <v>0</v>
      </c>
      <c r="LD130" s="627">
        <v>0</v>
      </c>
      <c r="LE130" s="627">
        <v>0</v>
      </c>
      <c r="LF130" s="627">
        <v>0</v>
      </c>
    </row>
    <row r="131" spans="1:318" x14ac:dyDescent="0.25">
      <c r="A131" s="627">
        <v>42602</v>
      </c>
      <c r="B131" s="627">
        <v>57828</v>
      </c>
      <c r="D131" s="627">
        <v>9</v>
      </c>
      <c r="E131" s="627">
        <v>2024</v>
      </c>
      <c r="F131" s="627">
        <v>6160</v>
      </c>
      <c r="G131" s="627">
        <v>0</v>
      </c>
      <c r="H131" s="627">
        <v>843.43299999999999</v>
      </c>
      <c r="I131" s="627">
        <v>790.41</v>
      </c>
      <c r="J131" s="627">
        <v>790.41</v>
      </c>
      <c r="K131" s="627">
        <v>843.43299999999999</v>
      </c>
      <c r="L131" s="627">
        <v>0</v>
      </c>
      <c r="M131" s="627">
        <v>6160</v>
      </c>
      <c r="N131" s="627">
        <v>0</v>
      </c>
      <c r="O131" s="627">
        <v>0</v>
      </c>
      <c r="P131" s="627">
        <v>0</v>
      </c>
      <c r="Q131" s="627">
        <v>784.48300000000006</v>
      </c>
      <c r="R131" s="627">
        <v>0</v>
      </c>
      <c r="S131" s="627">
        <v>325469</v>
      </c>
      <c r="T131" s="627">
        <v>414.88400000000001</v>
      </c>
      <c r="U131" s="627">
        <v>0</v>
      </c>
      <c r="V131" s="627">
        <v>168905</v>
      </c>
      <c r="W131" s="627">
        <v>217.13300000000001</v>
      </c>
      <c r="X131" s="627">
        <v>133754</v>
      </c>
      <c r="Y131" s="627">
        <v>133754</v>
      </c>
      <c r="Z131" s="627">
        <v>0</v>
      </c>
      <c r="AA131" s="627">
        <v>0</v>
      </c>
      <c r="AB131" s="627">
        <v>0</v>
      </c>
      <c r="AC131" s="627">
        <v>0</v>
      </c>
      <c r="AD131" s="627">
        <v>0</v>
      </c>
      <c r="AE131" s="627" t="s">
        <v>314</v>
      </c>
      <c r="AF131" s="627">
        <v>0</v>
      </c>
      <c r="AG131" s="627">
        <v>0</v>
      </c>
      <c r="AH131" s="627">
        <v>0</v>
      </c>
      <c r="AI131" s="627">
        <v>0</v>
      </c>
      <c r="AJ131" s="627">
        <v>0</v>
      </c>
      <c r="AK131" s="627">
        <v>6160</v>
      </c>
      <c r="AL131" s="627" t="s">
        <v>651</v>
      </c>
      <c r="AM131" s="627" t="s">
        <v>83</v>
      </c>
      <c r="AN131" s="627">
        <v>0</v>
      </c>
      <c r="AO131" s="627">
        <v>0</v>
      </c>
      <c r="AP131" s="627">
        <v>0</v>
      </c>
      <c r="AQ131" s="627">
        <v>0</v>
      </c>
      <c r="AR131" s="627">
        <v>0</v>
      </c>
      <c r="AS131" s="627">
        <v>0</v>
      </c>
      <c r="AT131" s="627">
        <v>0</v>
      </c>
      <c r="AU131" s="627">
        <v>0</v>
      </c>
      <c r="AV131" s="627">
        <v>0</v>
      </c>
      <c r="AW131" s="627">
        <v>-168006</v>
      </c>
      <c r="AX131" s="627">
        <v>9817699</v>
      </c>
      <c r="AY131" s="627">
        <v>9685572</v>
      </c>
      <c r="AZ131" s="627">
        <v>4670505</v>
      </c>
      <c r="BA131" s="627">
        <v>325469</v>
      </c>
      <c r="BB131" s="627">
        <v>0</v>
      </c>
      <c r="BC131" s="627">
        <v>0</v>
      </c>
      <c r="BD131" s="627">
        <v>0</v>
      </c>
      <c r="BE131" s="627">
        <v>0</v>
      </c>
      <c r="BF131" s="627">
        <v>0</v>
      </c>
      <c r="BG131" s="627">
        <v>8336469</v>
      </c>
      <c r="BH131" s="627">
        <v>0</v>
      </c>
      <c r="BI131" s="627">
        <v>0</v>
      </c>
      <c r="BJ131" s="627">
        <v>0</v>
      </c>
      <c r="BK131" s="627">
        <v>12</v>
      </c>
      <c r="BL131" s="627">
        <v>0</v>
      </c>
      <c r="BM131" s="627">
        <v>0</v>
      </c>
      <c r="BN131" s="627">
        <v>0</v>
      </c>
      <c r="BO131" s="627">
        <v>0</v>
      </c>
      <c r="BP131" s="627">
        <v>0</v>
      </c>
      <c r="BQ131" s="627">
        <v>0</v>
      </c>
      <c r="BR131" s="627">
        <v>648</v>
      </c>
      <c r="BS131" s="627">
        <v>0</v>
      </c>
      <c r="BT131" s="627">
        <v>0</v>
      </c>
      <c r="BU131" s="627">
        <v>0</v>
      </c>
      <c r="BV131" s="627">
        <v>0</v>
      </c>
      <c r="BW131" s="627">
        <v>0</v>
      </c>
      <c r="BX131" s="627">
        <v>0</v>
      </c>
      <c r="BY131" s="627">
        <v>0</v>
      </c>
      <c r="BZ131" s="627">
        <v>0</v>
      </c>
      <c r="CA131" s="627">
        <v>0</v>
      </c>
      <c r="CB131" s="627">
        <v>0</v>
      </c>
      <c r="CC131" s="627">
        <v>0</v>
      </c>
      <c r="CD131" s="627">
        <v>0</v>
      </c>
      <c r="CE131" s="627">
        <v>0</v>
      </c>
      <c r="CF131" s="627">
        <v>0</v>
      </c>
      <c r="CG131" s="627">
        <v>0</v>
      </c>
      <c r="CH131" s="627">
        <v>0</v>
      </c>
      <c r="CI131" s="627">
        <v>134889</v>
      </c>
      <c r="CJ131" s="627">
        <v>0</v>
      </c>
      <c r="CK131" s="627">
        <v>4</v>
      </c>
      <c r="CL131" s="627">
        <v>0</v>
      </c>
      <c r="CM131" s="627">
        <v>0</v>
      </c>
      <c r="CN131" s="627">
        <v>0</v>
      </c>
      <c r="CO131" s="627">
        <v>0</v>
      </c>
      <c r="CP131" s="627">
        <v>1</v>
      </c>
      <c r="CQ131" s="627">
        <v>0</v>
      </c>
      <c r="CR131" s="627">
        <v>0</v>
      </c>
      <c r="CS131" s="627">
        <v>767.72</v>
      </c>
      <c r="CT131" s="627">
        <v>0</v>
      </c>
      <c r="CU131" s="627">
        <v>0</v>
      </c>
      <c r="CV131" s="627">
        <v>0</v>
      </c>
      <c r="CW131" s="627">
        <v>0</v>
      </c>
      <c r="CX131" s="627">
        <v>0</v>
      </c>
      <c r="CY131" s="627">
        <v>0</v>
      </c>
      <c r="CZ131" s="627">
        <v>0</v>
      </c>
      <c r="DA131" s="627">
        <v>0</v>
      </c>
      <c r="DB131" s="627">
        <v>0</v>
      </c>
      <c r="DC131" s="627">
        <v>4715859</v>
      </c>
      <c r="DD131" s="627">
        <v>0</v>
      </c>
      <c r="DE131" s="627">
        <v>0</v>
      </c>
      <c r="DF131" s="627">
        <v>1119503</v>
      </c>
      <c r="DG131" s="627">
        <v>1119503</v>
      </c>
      <c r="DH131" s="627">
        <v>181.738</v>
      </c>
      <c r="DI131" s="627">
        <v>0</v>
      </c>
      <c r="DJ131" s="627">
        <v>0</v>
      </c>
      <c r="DK131" s="627">
        <v>0</v>
      </c>
      <c r="DL131" s="627">
        <v>1995</v>
      </c>
      <c r="DM131" s="627">
        <v>0</v>
      </c>
      <c r="DN131" s="627">
        <v>963422</v>
      </c>
      <c r="DO131" s="627">
        <v>2762</v>
      </c>
      <c r="DP131" s="627">
        <v>0</v>
      </c>
      <c r="DQ131" s="627">
        <v>0</v>
      </c>
      <c r="DR131" s="627">
        <v>0</v>
      </c>
      <c r="DS131" s="627">
        <v>0</v>
      </c>
      <c r="DT131" s="627">
        <v>0</v>
      </c>
      <c r="DU131" s="627">
        <v>0</v>
      </c>
      <c r="DV131" s="627">
        <v>0</v>
      </c>
      <c r="DW131" s="627">
        <v>0</v>
      </c>
      <c r="DX131" s="627">
        <v>0</v>
      </c>
      <c r="DY131" s="627">
        <v>0</v>
      </c>
      <c r="DZ131" s="627">
        <v>0</v>
      </c>
      <c r="EA131" s="627">
        <v>0</v>
      </c>
      <c r="EB131" s="627">
        <v>0</v>
      </c>
      <c r="EC131" s="627">
        <v>1.3000000000000001E-2</v>
      </c>
      <c r="ED131" s="627">
        <v>57.550000000000004</v>
      </c>
      <c r="EE131" s="627">
        <v>407684</v>
      </c>
      <c r="EF131" s="627">
        <v>0</v>
      </c>
      <c r="EG131" s="627">
        <v>0</v>
      </c>
      <c r="EH131" s="627">
        <v>0</v>
      </c>
      <c r="EI131" s="627">
        <v>405433</v>
      </c>
      <c r="EJ131" s="627">
        <v>0</v>
      </c>
      <c r="EK131" s="627">
        <v>0</v>
      </c>
      <c r="EL131" s="627">
        <v>21.661000000000001</v>
      </c>
      <c r="EM131" s="627">
        <v>0</v>
      </c>
      <c r="EN131" s="627">
        <v>0</v>
      </c>
      <c r="EO131" s="627">
        <v>0.159</v>
      </c>
      <c r="EP131" s="627">
        <v>0</v>
      </c>
      <c r="EQ131" s="627">
        <v>0</v>
      </c>
      <c r="ER131" s="627">
        <v>21.833000000000002</v>
      </c>
      <c r="ES131" s="627">
        <v>0</v>
      </c>
      <c r="ET131" s="627">
        <v>65.817000000000007</v>
      </c>
      <c r="EU131" s="627">
        <v>0</v>
      </c>
      <c r="EV131" s="627">
        <v>0</v>
      </c>
      <c r="EW131" s="627">
        <v>0</v>
      </c>
      <c r="EX131" s="627">
        <v>0</v>
      </c>
      <c r="EY131" s="627">
        <v>0</v>
      </c>
      <c r="EZ131" s="627">
        <v>0</v>
      </c>
      <c r="FA131" s="627">
        <v>8277254</v>
      </c>
      <c r="FB131" s="627">
        <v>0</v>
      </c>
      <c r="FC131" s="627">
        <v>8599961</v>
      </c>
      <c r="FD131" s="627">
        <v>0</v>
      </c>
      <c r="FE131" s="627">
        <v>0</v>
      </c>
      <c r="FF131" s="627">
        <v>1200420</v>
      </c>
      <c r="FG131" s="627">
        <v>207898</v>
      </c>
      <c r="FH131" s="627">
        <v>7.0280999999999996E-2</v>
      </c>
      <c r="FI131" s="627">
        <v>3.1172999999999999E-2</v>
      </c>
      <c r="FJ131" s="627">
        <v>0</v>
      </c>
      <c r="FK131" s="627">
        <v>0</v>
      </c>
      <c r="FL131" s="627">
        <v>1353.3230000000001</v>
      </c>
      <c r="FM131" s="627">
        <v>10143168</v>
      </c>
      <c r="FN131" s="627">
        <v>0</v>
      </c>
      <c r="FO131" s="627">
        <v>0</v>
      </c>
      <c r="FP131" s="627">
        <v>18155</v>
      </c>
      <c r="FQ131" s="627">
        <v>0</v>
      </c>
      <c r="FR131" s="627">
        <v>18155</v>
      </c>
      <c r="FS131" s="627">
        <v>18155</v>
      </c>
      <c r="FT131" s="627">
        <v>0</v>
      </c>
      <c r="FU131" s="627">
        <v>0</v>
      </c>
      <c r="FV131" s="627">
        <v>0</v>
      </c>
      <c r="FW131" s="627">
        <v>0</v>
      </c>
      <c r="FX131" s="627">
        <v>0</v>
      </c>
      <c r="FY131" s="627">
        <v>0</v>
      </c>
      <c r="FZ131" s="627">
        <v>0</v>
      </c>
      <c r="GA131" s="627">
        <v>0</v>
      </c>
      <c r="GB131" s="627">
        <v>0</v>
      </c>
      <c r="GC131" s="627">
        <v>284773</v>
      </c>
      <c r="GD131" s="627">
        <v>284773</v>
      </c>
      <c r="GE131" s="627">
        <v>31.19</v>
      </c>
      <c r="GF131" s="627">
        <v>0</v>
      </c>
      <c r="GG131" s="627">
        <v>0</v>
      </c>
      <c r="GH131" s="627">
        <v>0</v>
      </c>
      <c r="GI131" s="627">
        <v>0</v>
      </c>
      <c r="GJ131" s="627">
        <v>0</v>
      </c>
      <c r="GK131" s="627">
        <v>0</v>
      </c>
      <c r="GL131" s="627">
        <v>0</v>
      </c>
      <c r="GM131" s="627">
        <v>0</v>
      </c>
      <c r="GN131" s="627">
        <v>0</v>
      </c>
      <c r="GO131" s="627">
        <v>0</v>
      </c>
      <c r="GP131" s="627">
        <v>0</v>
      </c>
      <c r="GQ131" s="627">
        <v>0</v>
      </c>
      <c r="GR131" s="627">
        <v>9682810</v>
      </c>
      <c r="GS131" s="627">
        <v>0</v>
      </c>
      <c r="GT131" s="627">
        <v>0</v>
      </c>
      <c r="GU131" s="627">
        <v>0</v>
      </c>
      <c r="GV131" s="627">
        <v>0</v>
      </c>
      <c r="GW131" s="627">
        <v>0</v>
      </c>
      <c r="GX131" s="627">
        <v>0</v>
      </c>
      <c r="GY131" s="627">
        <v>0</v>
      </c>
      <c r="GZ131" s="627">
        <v>0</v>
      </c>
      <c r="HA131" s="627">
        <v>0</v>
      </c>
      <c r="HB131" s="627">
        <v>0</v>
      </c>
      <c r="HC131" s="627">
        <v>361151439</v>
      </c>
      <c r="HD131" s="627">
        <v>3.9981999999999997E-2</v>
      </c>
      <c r="HE131" s="627">
        <v>134889</v>
      </c>
      <c r="HF131" s="627">
        <v>0</v>
      </c>
      <c r="HG131" s="627">
        <v>871032</v>
      </c>
      <c r="HH131" s="627">
        <v>31416</v>
      </c>
      <c r="HI131" s="627">
        <v>0</v>
      </c>
      <c r="HJ131" s="627">
        <v>0</v>
      </c>
      <c r="HK131" s="627">
        <v>98434</v>
      </c>
      <c r="HL131" s="627">
        <v>11082</v>
      </c>
      <c r="HM131" s="627">
        <v>15640</v>
      </c>
      <c r="HN131" s="627">
        <v>0</v>
      </c>
      <c r="HO131" s="627">
        <v>115514</v>
      </c>
      <c r="HP131" s="627">
        <v>0</v>
      </c>
      <c r="HQ131" s="627">
        <v>221377</v>
      </c>
      <c r="HR131" s="627">
        <v>0</v>
      </c>
      <c r="HS131" s="627">
        <v>0</v>
      </c>
      <c r="HT131" s="627">
        <v>8274492</v>
      </c>
      <c r="HU131" s="627">
        <v>207898</v>
      </c>
      <c r="HV131" s="627">
        <v>0</v>
      </c>
      <c r="HW131" s="627">
        <v>0</v>
      </c>
      <c r="HX131" s="627">
        <v>0</v>
      </c>
      <c r="HY131" s="627">
        <v>147</v>
      </c>
      <c r="HZ131" s="627">
        <v>117</v>
      </c>
      <c r="IA131" s="627">
        <v>146</v>
      </c>
      <c r="IB131" s="627">
        <v>136</v>
      </c>
      <c r="IC131" s="627">
        <v>177</v>
      </c>
      <c r="ID131" s="627">
        <v>723</v>
      </c>
      <c r="IE131" s="627">
        <v>0</v>
      </c>
      <c r="IF131" s="627">
        <v>0</v>
      </c>
      <c r="IG131" s="627">
        <v>0</v>
      </c>
      <c r="IH131" s="627">
        <v>51</v>
      </c>
      <c r="II131" s="627">
        <v>0</v>
      </c>
      <c r="IJ131" s="627">
        <v>805.00800000000004</v>
      </c>
      <c r="IK131" s="627">
        <v>217.13300000000001</v>
      </c>
      <c r="IL131" s="627">
        <v>0</v>
      </c>
      <c r="IM131" s="627">
        <v>0</v>
      </c>
      <c r="IN131" s="627">
        <v>0</v>
      </c>
      <c r="IO131" s="627">
        <v>0</v>
      </c>
      <c r="IP131" s="627">
        <v>0</v>
      </c>
      <c r="IQ131" s="627">
        <v>805.00800000000004</v>
      </c>
      <c r="IR131" s="627">
        <v>217.13300000000001</v>
      </c>
      <c r="IS131" s="627">
        <v>133754</v>
      </c>
      <c r="IT131" s="627">
        <v>0</v>
      </c>
      <c r="IU131" s="627">
        <v>0</v>
      </c>
      <c r="IV131" s="627">
        <v>0</v>
      </c>
      <c r="IW131" s="627">
        <v>0</v>
      </c>
      <c r="IX131" s="627">
        <v>6160</v>
      </c>
      <c r="IY131" s="627">
        <v>0</v>
      </c>
      <c r="IZ131" s="627">
        <v>0</v>
      </c>
      <c r="JA131" s="627">
        <v>221377</v>
      </c>
      <c r="JB131" s="627">
        <v>0</v>
      </c>
      <c r="JC131" s="627">
        <v>0</v>
      </c>
      <c r="JD131" s="627">
        <v>0</v>
      </c>
      <c r="JE131" s="627">
        <v>3</v>
      </c>
      <c r="JF131" s="627">
        <v>28635</v>
      </c>
      <c r="JG131" s="627">
        <v>17</v>
      </c>
      <c r="JH131" s="627">
        <v>82879</v>
      </c>
      <c r="JI131" s="627">
        <v>4000</v>
      </c>
      <c r="JJ131" s="627">
        <v>0</v>
      </c>
      <c r="JK131" s="627">
        <v>0</v>
      </c>
      <c r="JL131" s="627">
        <v>0</v>
      </c>
      <c r="JM131" s="627">
        <v>0</v>
      </c>
      <c r="JN131" s="627">
        <v>0</v>
      </c>
      <c r="JO131" s="627">
        <v>32469</v>
      </c>
      <c r="JP131" s="627">
        <v>7.7680000000000007</v>
      </c>
      <c r="JQ131" s="627">
        <v>19.794</v>
      </c>
      <c r="JR131" s="627">
        <v>3.6280000000000001</v>
      </c>
      <c r="JS131" s="627">
        <v>62052</v>
      </c>
      <c r="JT131" s="627">
        <v>183992</v>
      </c>
      <c r="JU131" s="627">
        <v>38729</v>
      </c>
      <c r="JV131" s="627">
        <v>0</v>
      </c>
      <c r="JW131" s="627">
        <v>0</v>
      </c>
      <c r="JX131" s="627">
        <v>0</v>
      </c>
      <c r="JY131" s="627">
        <v>0</v>
      </c>
      <c r="JZ131" s="627">
        <v>0</v>
      </c>
      <c r="KA131" s="627">
        <v>0</v>
      </c>
      <c r="KB131" s="627">
        <v>0</v>
      </c>
      <c r="KC131" s="627">
        <v>0</v>
      </c>
      <c r="KD131" s="627">
        <v>0</v>
      </c>
      <c r="KE131" s="627">
        <v>0</v>
      </c>
      <c r="KF131" s="627">
        <v>7262</v>
      </c>
      <c r="KG131" s="627">
        <v>0</v>
      </c>
      <c r="KH131" s="627">
        <v>0</v>
      </c>
      <c r="KI131" s="627">
        <v>9682810</v>
      </c>
      <c r="KJ131" s="627">
        <v>0</v>
      </c>
      <c r="KK131" s="627">
        <v>13</v>
      </c>
      <c r="KL131" s="627">
        <v>38</v>
      </c>
      <c r="KM131" s="627">
        <v>8008</v>
      </c>
      <c r="KN131" s="627">
        <v>23408</v>
      </c>
      <c r="KO131" s="627">
        <v>0</v>
      </c>
      <c r="KP131" s="627">
        <v>0</v>
      </c>
      <c r="KQ131" s="627">
        <v>9682810</v>
      </c>
      <c r="KR131" s="627">
        <v>0</v>
      </c>
      <c r="KS131" s="627">
        <v>0</v>
      </c>
      <c r="KT131" s="627">
        <v>0</v>
      </c>
      <c r="KU131" s="627">
        <v>0</v>
      </c>
      <c r="KV131" s="627">
        <v>0</v>
      </c>
      <c r="KW131" s="627">
        <v>0</v>
      </c>
      <c r="KX131" s="627">
        <v>0</v>
      </c>
      <c r="KY131" s="627">
        <v>0</v>
      </c>
      <c r="KZ131" s="627">
        <v>0</v>
      </c>
      <c r="LA131" s="627">
        <v>0</v>
      </c>
      <c r="LB131" s="627">
        <v>0</v>
      </c>
      <c r="LC131" s="627">
        <v>0</v>
      </c>
      <c r="LD131" s="627">
        <v>0</v>
      </c>
      <c r="LE131" s="627">
        <v>0</v>
      </c>
      <c r="LF131" s="627">
        <v>0</v>
      </c>
    </row>
    <row r="132" spans="1:318" x14ac:dyDescent="0.25">
      <c r="A132" s="627">
        <v>42602</v>
      </c>
      <c r="B132" s="627">
        <v>101828</v>
      </c>
      <c r="D132" s="627">
        <v>9</v>
      </c>
      <c r="E132" s="627">
        <v>2024</v>
      </c>
      <c r="F132" s="627">
        <v>6160</v>
      </c>
      <c r="G132" s="627">
        <v>0</v>
      </c>
      <c r="H132" s="627">
        <v>1934.2230000000002</v>
      </c>
      <c r="I132" s="627">
        <v>1831.6210000000001</v>
      </c>
      <c r="J132" s="627">
        <v>1831.6210000000001</v>
      </c>
      <c r="K132" s="627">
        <v>1934.2230000000002</v>
      </c>
      <c r="L132" s="627">
        <v>0</v>
      </c>
      <c r="M132" s="627">
        <v>6160</v>
      </c>
      <c r="N132" s="627">
        <v>0</v>
      </c>
      <c r="O132" s="627">
        <v>0</v>
      </c>
      <c r="P132" s="627">
        <v>0</v>
      </c>
      <c r="Q132" s="627">
        <v>1904.7180000000001</v>
      </c>
      <c r="R132" s="627">
        <v>0</v>
      </c>
      <c r="S132" s="627">
        <v>790237</v>
      </c>
      <c r="T132" s="627">
        <v>414.88400000000001</v>
      </c>
      <c r="U132" s="627">
        <v>0</v>
      </c>
      <c r="V132" s="627">
        <v>410103</v>
      </c>
      <c r="W132" s="627">
        <v>753.85300000000007</v>
      </c>
      <c r="X132" s="627">
        <v>770035</v>
      </c>
      <c r="Y132" s="627">
        <v>770035</v>
      </c>
      <c r="Z132" s="627">
        <v>0</v>
      </c>
      <c r="AA132" s="627">
        <v>0</v>
      </c>
      <c r="AB132" s="627">
        <v>0</v>
      </c>
      <c r="AC132" s="627">
        <v>0</v>
      </c>
      <c r="AD132" s="627">
        <v>0</v>
      </c>
      <c r="AE132" s="627" t="s">
        <v>314</v>
      </c>
      <c r="AF132" s="627">
        <v>0</v>
      </c>
      <c r="AG132" s="627">
        <v>0</v>
      </c>
      <c r="AH132" s="627">
        <v>0</v>
      </c>
      <c r="AI132" s="627">
        <v>0</v>
      </c>
      <c r="AJ132" s="627">
        <v>0</v>
      </c>
      <c r="AK132" s="627">
        <v>6160</v>
      </c>
      <c r="AL132" s="627" t="s">
        <v>651</v>
      </c>
      <c r="AM132" s="627" t="s">
        <v>346</v>
      </c>
      <c r="AN132" s="627">
        <v>0</v>
      </c>
      <c r="AO132" s="627">
        <v>0</v>
      </c>
      <c r="AP132" s="627">
        <v>0</v>
      </c>
      <c r="AQ132" s="627">
        <v>0</v>
      </c>
      <c r="AR132" s="627">
        <v>0</v>
      </c>
      <c r="AS132" s="627">
        <v>0</v>
      </c>
      <c r="AT132" s="627">
        <v>0</v>
      </c>
      <c r="AU132" s="627">
        <v>0</v>
      </c>
      <c r="AV132" s="627">
        <v>0</v>
      </c>
      <c r="AW132" s="627">
        <v>0</v>
      </c>
      <c r="AX132" s="627">
        <v>22086462</v>
      </c>
      <c r="AY132" s="627">
        <v>21780234</v>
      </c>
      <c r="AZ132" s="627">
        <v>10941353</v>
      </c>
      <c r="BA132" s="627">
        <v>790237</v>
      </c>
      <c r="BB132" s="627">
        <v>0</v>
      </c>
      <c r="BC132" s="627">
        <v>0</v>
      </c>
      <c r="BD132" s="627">
        <v>0</v>
      </c>
      <c r="BE132" s="627">
        <v>0</v>
      </c>
      <c r="BF132" s="627">
        <v>0</v>
      </c>
      <c r="BG132" s="627">
        <v>19304052</v>
      </c>
      <c r="BH132" s="627">
        <v>0</v>
      </c>
      <c r="BI132" s="627">
        <v>0</v>
      </c>
      <c r="BJ132" s="627">
        <v>0</v>
      </c>
      <c r="BK132" s="627">
        <v>12</v>
      </c>
      <c r="BL132" s="627">
        <v>0</v>
      </c>
      <c r="BM132" s="627">
        <v>0</v>
      </c>
      <c r="BN132" s="627">
        <v>0</v>
      </c>
      <c r="BO132" s="627">
        <v>0</v>
      </c>
      <c r="BP132" s="627">
        <v>0</v>
      </c>
      <c r="BQ132" s="627">
        <v>0</v>
      </c>
      <c r="BR132" s="627">
        <v>488</v>
      </c>
      <c r="BS132" s="627">
        <v>0</v>
      </c>
      <c r="BT132" s="627">
        <v>0</v>
      </c>
      <c r="BU132" s="627">
        <v>0</v>
      </c>
      <c r="BV132" s="627">
        <v>0</v>
      </c>
      <c r="BW132" s="627">
        <v>0</v>
      </c>
      <c r="BX132" s="627">
        <v>0</v>
      </c>
      <c r="BY132" s="627">
        <v>0</v>
      </c>
      <c r="BZ132" s="627">
        <v>0</v>
      </c>
      <c r="CA132" s="627">
        <v>0</v>
      </c>
      <c r="CB132" s="627">
        <v>0</v>
      </c>
      <c r="CC132" s="627">
        <v>0</v>
      </c>
      <c r="CD132" s="627">
        <v>0</v>
      </c>
      <c r="CE132" s="627">
        <v>0</v>
      </c>
      <c r="CF132" s="627">
        <v>0</v>
      </c>
      <c r="CG132" s="627">
        <v>0</v>
      </c>
      <c r="CH132" s="627">
        <v>0</v>
      </c>
      <c r="CI132" s="627">
        <v>309338</v>
      </c>
      <c r="CJ132" s="627">
        <v>0</v>
      </c>
      <c r="CK132" s="627">
        <v>4</v>
      </c>
      <c r="CL132" s="627">
        <v>0</v>
      </c>
      <c r="CM132" s="627">
        <v>0</v>
      </c>
      <c r="CN132" s="627">
        <v>0</v>
      </c>
      <c r="CO132" s="627">
        <v>0</v>
      </c>
      <c r="CP132" s="627">
        <v>1</v>
      </c>
      <c r="CQ132" s="627">
        <v>0</v>
      </c>
      <c r="CR132" s="627">
        <v>0</v>
      </c>
      <c r="CS132" s="627">
        <v>1900.39</v>
      </c>
      <c r="CT132" s="627">
        <v>0</v>
      </c>
      <c r="CU132" s="627">
        <v>0</v>
      </c>
      <c r="CV132" s="627">
        <v>0</v>
      </c>
      <c r="CW132" s="627">
        <v>0</v>
      </c>
      <c r="CX132" s="627">
        <v>0</v>
      </c>
      <c r="CY132" s="627">
        <v>0</v>
      </c>
      <c r="CZ132" s="627">
        <v>0</v>
      </c>
      <c r="DA132" s="627">
        <v>0</v>
      </c>
      <c r="DB132" s="627">
        <v>0</v>
      </c>
      <c r="DC132" s="627">
        <v>11282785</v>
      </c>
      <c r="DD132" s="627">
        <v>0</v>
      </c>
      <c r="DE132" s="627">
        <v>0</v>
      </c>
      <c r="DF132" s="627">
        <v>3073532</v>
      </c>
      <c r="DG132" s="627">
        <v>3073532</v>
      </c>
      <c r="DH132" s="627">
        <v>498.95</v>
      </c>
      <c r="DI132" s="627">
        <v>0</v>
      </c>
      <c r="DJ132" s="627">
        <v>0</v>
      </c>
      <c r="DK132" s="627">
        <v>0</v>
      </c>
      <c r="DL132" s="627">
        <v>0</v>
      </c>
      <c r="DM132" s="627">
        <v>0</v>
      </c>
      <c r="DN132" s="627">
        <v>912455</v>
      </c>
      <c r="DO132" s="627">
        <v>3110</v>
      </c>
      <c r="DP132" s="627">
        <v>0</v>
      </c>
      <c r="DQ132" s="627">
        <v>0</v>
      </c>
      <c r="DR132" s="627">
        <v>0</v>
      </c>
      <c r="DS132" s="627">
        <v>0</v>
      </c>
      <c r="DT132" s="627">
        <v>0</v>
      </c>
      <c r="DU132" s="627">
        <v>0</v>
      </c>
      <c r="DV132" s="627">
        <v>0</v>
      </c>
      <c r="DW132" s="627">
        <v>0</v>
      </c>
      <c r="DX132" s="627">
        <v>0</v>
      </c>
      <c r="DY132" s="627">
        <v>0</v>
      </c>
      <c r="DZ132" s="627">
        <v>0</v>
      </c>
      <c r="EA132" s="627">
        <v>0</v>
      </c>
      <c r="EB132" s="627">
        <v>0</v>
      </c>
      <c r="EC132" s="627">
        <v>0</v>
      </c>
      <c r="ED132" s="627">
        <v>0.46500000000000002</v>
      </c>
      <c r="EE132" s="627">
        <v>3294</v>
      </c>
      <c r="EF132" s="627">
        <v>0</v>
      </c>
      <c r="EG132" s="627">
        <v>0</v>
      </c>
      <c r="EH132" s="627">
        <v>0</v>
      </c>
      <c r="EI132" s="627">
        <v>912271</v>
      </c>
      <c r="EJ132" s="627">
        <v>0</v>
      </c>
      <c r="EK132" s="627">
        <v>0</v>
      </c>
      <c r="EL132" s="627">
        <v>43.363</v>
      </c>
      <c r="EM132" s="627">
        <v>0</v>
      </c>
      <c r="EN132" s="627">
        <v>1.6040000000000001</v>
      </c>
      <c r="EO132" s="627">
        <v>2.6390000000000002</v>
      </c>
      <c r="EP132" s="627">
        <v>0</v>
      </c>
      <c r="EQ132" s="627">
        <v>0</v>
      </c>
      <c r="ER132" s="627">
        <v>47.606000000000002</v>
      </c>
      <c r="ES132" s="627">
        <v>0</v>
      </c>
      <c r="ET132" s="627">
        <v>148.096</v>
      </c>
      <c r="EU132" s="627">
        <v>0</v>
      </c>
      <c r="EV132" s="627">
        <v>0</v>
      </c>
      <c r="EW132" s="627">
        <v>0</v>
      </c>
      <c r="EX132" s="627">
        <v>0</v>
      </c>
      <c r="EY132" s="627">
        <v>0</v>
      </c>
      <c r="EZ132" s="627">
        <v>0</v>
      </c>
      <c r="FA132" s="627">
        <v>18519112</v>
      </c>
      <c r="FB132" s="627">
        <v>0</v>
      </c>
      <c r="FC132" s="627">
        <v>19306239</v>
      </c>
      <c r="FD132" s="627">
        <v>0</v>
      </c>
      <c r="FE132" s="627">
        <v>0</v>
      </c>
      <c r="FF132" s="627">
        <v>2779710</v>
      </c>
      <c r="FG132" s="627">
        <v>481412</v>
      </c>
      <c r="FH132" s="627">
        <v>7.0280999999999996E-2</v>
      </c>
      <c r="FI132" s="627">
        <v>3.1172999999999999E-2</v>
      </c>
      <c r="FJ132" s="627">
        <v>0</v>
      </c>
      <c r="FK132" s="627">
        <v>0</v>
      </c>
      <c r="FL132" s="627">
        <v>3133.7750000000001</v>
      </c>
      <c r="FM132" s="627">
        <v>22876699</v>
      </c>
      <c r="FN132" s="627">
        <v>0</v>
      </c>
      <c r="FO132" s="627">
        <v>0</v>
      </c>
      <c r="FP132" s="627">
        <v>0</v>
      </c>
      <c r="FQ132" s="627">
        <v>0</v>
      </c>
      <c r="FR132" s="627">
        <v>0</v>
      </c>
      <c r="FS132" s="627">
        <v>0</v>
      </c>
      <c r="FT132" s="627">
        <v>0</v>
      </c>
      <c r="FU132" s="627">
        <v>0</v>
      </c>
      <c r="FV132" s="627">
        <v>0</v>
      </c>
      <c r="FW132" s="627">
        <v>0</v>
      </c>
      <c r="FX132" s="627">
        <v>0</v>
      </c>
      <c r="FY132" s="627">
        <v>0</v>
      </c>
      <c r="FZ132" s="627">
        <v>0</v>
      </c>
      <c r="GA132" s="627">
        <v>0</v>
      </c>
      <c r="GB132" s="627">
        <v>0</v>
      </c>
      <c r="GC132" s="627">
        <v>534168</v>
      </c>
      <c r="GD132" s="627">
        <v>534168</v>
      </c>
      <c r="GE132" s="627">
        <v>54.996000000000002</v>
      </c>
      <c r="GF132" s="627">
        <v>0</v>
      </c>
      <c r="GG132" s="627">
        <v>0</v>
      </c>
      <c r="GH132" s="627">
        <v>0</v>
      </c>
      <c r="GI132" s="627">
        <v>0</v>
      </c>
      <c r="GJ132" s="627">
        <v>0</v>
      </c>
      <c r="GK132" s="627">
        <v>0</v>
      </c>
      <c r="GL132" s="627">
        <v>0</v>
      </c>
      <c r="GM132" s="627">
        <v>0</v>
      </c>
      <c r="GN132" s="627">
        <v>0</v>
      </c>
      <c r="GO132" s="627">
        <v>0</v>
      </c>
      <c r="GP132" s="627">
        <v>0</v>
      </c>
      <c r="GQ132" s="627">
        <v>0</v>
      </c>
      <c r="GR132" s="627">
        <v>21777124</v>
      </c>
      <c r="GS132" s="627">
        <v>0</v>
      </c>
      <c r="GT132" s="627">
        <v>0</v>
      </c>
      <c r="GU132" s="627">
        <v>0</v>
      </c>
      <c r="GV132" s="627">
        <v>0</v>
      </c>
      <c r="GW132" s="627">
        <v>0</v>
      </c>
      <c r="GX132" s="627">
        <v>0</v>
      </c>
      <c r="GY132" s="627">
        <v>0</v>
      </c>
      <c r="GZ132" s="627">
        <v>0</v>
      </c>
      <c r="HA132" s="627">
        <v>0</v>
      </c>
      <c r="HB132" s="627">
        <v>0</v>
      </c>
      <c r="HC132" s="627">
        <v>361151439</v>
      </c>
      <c r="HD132" s="627">
        <v>3.9981999999999997E-2</v>
      </c>
      <c r="HE132" s="627">
        <v>309338</v>
      </c>
      <c r="HF132" s="627">
        <v>0</v>
      </c>
      <c r="HG132" s="627">
        <v>2018446</v>
      </c>
      <c r="HH132" s="627">
        <v>13552</v>
      </c>
      <c r="HI132" s="627">
        <v>530627</v>
      </c>
      <c r="HJ132" s="627">
        <v>0</v>
      </c>
      <c r="HK132" s="627">
        <v>64342</v>
      </c>
      <c r="HL132" s="627">
        <v>4708</v>
      </c>
      <c r="HM132" s="627">
        <v>589</v>
      </c>
      <c r="HN132" s="627">
        <v>101000</v>
      </c>
      <c r="HO132" s="627">
        <v>0</v>
      </c>
      <c r="HP132" s="627">
        <v>0</v>
      </c>
      <c r="HQ132" s="627">
        <v>0</v>
      </c>
      <c r="HR132" s="627">
        <v>0</v>
      </c>
      <c r="HS132" s="627">
        <v>0</v>
      </c>
      <c r="HT132" s="627">
        <v>18516002</v>
      </c>
      <c r="HU132" s="627">
        <v>481412</v>
      </c>
      <c r="HV132" s="627">
        <v>0</v>
      </c>
      <c r="HW132" s="627">
        <v>0</v>
      </c>
      <c r="HX132" s="627">
        <v>0</v>
      </c>
      <c r="HY132" s="627">
        <v>33</v>
      </c>
      <c r="HZ132" s="627">
        <v>151</v>
      </c>
      <c r="IA132" s="627">
        <v>465</v>
      </c>
      <c r="IB132" s="627">
        <v>589</v>
      </c>
      <c r="IC132" s="627">
        <v>672</v>
      </c>
      <c r="ID132" s="627">
        <v>1910</v>
      </c>
      <c r="IE132" s="627">
        <v>0</v>
      </c>
      <c r="IF132" s="627">
        <v>330.803</v>
      </c>
      <c r="IG132" s="627">
        <v>0</v>
      </c>
      <c r="IH132" s="627">
        <v>22</v>
      </c>
      <c r="II132" s="627">
        <v>861.40800000000002</v>
      </c>
      <c r="IJ132" s="627">
        <v>0</v>
      </c>
      <c r="IK132" s="627">
        <v>1084.6559999999999</v>
      </c>
      <c r="IL132" s="627">
        <v>0</v>
      </c>
      <c r="IM132" s="627">
        <v>18</v>
      </c>
      <c r="IN132" s="627">
        <v>3</v>
      </c>
      <c r="IO132" s="627">
        <v>1</v>
      </c>
      <c r="IP132" s="627">
        <v>22</v>
      </c>
      <c r="IQ132" s="627">
        <v>0</v>
      </c>
      <c r="IR132" s="627">
        <v>753.85300000000007</v>
      </c>
      <c r="IS132" s="627">
        <v>464373</v>
      </c>
      <c r="IT132" s="627">
        <v>0</v>
      </c>
      <c r="IU132" s="627">
        <v>90000</v>
      </c>
      <c r="IV132" s="627">
        <v>9000</v>
      </c>
      <c r="IW132" s="627">
        <v>2000</v>
      </c>
      <c r="IX132" s="627">
        <v>6160</v>
      </c>
      <c r="IY132" s="627">
        <v>305662</v>
      </c>
      <c r="IZ132" s="627">
        <v>0</v>
      </c>
      <c r="JA132" s="627">
        <v>0</v>
      </c>
      <c r="JB132" s="627">
        <v>0</v>
      </c>
      <c r="JC132" s="627">
        <v>0</v>
      </c>
      <c r="JD132" s="627">
        <v>0</v>
      </c>
      <c r="JE132" s="627">
        <v>0</v>
      </c>
      <c r="JF132" s="627">
        <v>0</v>
      </c>
      <c r="JG132" s="627">
        <v>0</v>
      </c>
      <c r="JH132" s="627">
        <v>0</v>
      </c>
      <c r="JI132" s="627">
        <v>0</v>
      </c>
      <c r="JJ132" s="627">
        <v>0</v>
      </c>
      <c r="JK132" s="627">
        <v>0</v>
      </c>
      <c r="JL132" s="627">
        <v>0</v>
      </c>
      <c r="JM132" s="627">
        <v>0</v>
      </c>
      <c r="JN132" s="627">
        <v>0</v>
      </c>
      <c r="JO132" s="627">
        <v>32469</v>
      </c>
      <c r="JP132" s="627">
        <v>5.1350000000000007</v>
      </c>
      <c r="JQ132" s="627">
        <v>28.363000000000003</v>
      </c>
      <c r="JR132" s="627">
        <v>21.499000000000002</v>
      </c>
      <c r="JS132" s="627">
        <v>41019</v>
      </c>
      <c r="JT132" s="627">
        <v>263644</v>
      </c>
      <c r="JU132" s="627">
        <v>229505</v>
      </c>
      <c r="JV132" s="627">
        <v>0</v>
      </c>
      <c r="JW132" s="627">
        <v>0</v>
      </c>
      <c r="JX132" s="627">
        <v>0</v>
      </c>
      <c r="JY132" s="627">
        <v>0</v>
      </c>
      <c r="JZ132" s="627">
        <v>0</v>
      </c>
      <c r="KA132" s="627">
        <v>0</v>
      </c>
      <c r="KB132" s="627">
        <v>0</v>
      </c>
      <c r="KC132" s="627">
        <v>0</v>
      </c>
      <c r="KD132" s="627">
        <v>0</v>
      </c>
      <c r="KE132" s="627">
        <v>0</v>
      </c>
      <c r="KF132" s="627">
        <v>7262</v>
      </c>
      <c r="KG132" s="627">
        <v>0</v>
      </c>
      <c r="KH132" s="627">
        <v>0</v>
      </c>
      <c r="KI132" s="627">
        <v>21777124</v>
      </c>
      <c r="KJ132" s="627">
        <v>0</v>
      </c>
      <c r="KK132" s="627">
        <v>12</v>
      </c>
      <c r="KL132" s="627">
        <v>10</v>
      </c>
      <c r="KM132" s="627">
        <v>7392</v>
      </c>
      <c r="KN132" s="627">
        <v>6160</v>
      </c>
      <c r="KO132" s="627">
        <v>0</v>
      </c>
      <c r="KP132" s="627">
        <v>0</v>
      </c>
      <c r="KQ132" s="627">
        <v>21777124</v>
      </c>
      <c r="KR132" s="627">
        <v>0</v>
      </c>
      <c r="KS132" s="627">
        <v>0</v>
      </c>
      <c r="KT132" s="627">
        <v>0</v>
      </c>
      <c r="KU132" s="627">
        <v>0</v>
      </c>
      <c r="KV132" s="627">
        <v>0</v>
      </c>
      <c r="KW132" s="627">
        <v>0</v>
      </c>
      <c r="KX132" s="627">
        <v>0</v>
      </c>
      <c r="KY132" s="627">
        <v>0</v>
      </c>
      <c r="KZ132" s="627">
        <v>0</v>
      </c>
      <c r="LA132" s="627">
        <v>0</v>
      </c>
      <c r="LB132" s="627">
        <v>0</v>
      </c>
      <c r="LC132" s="627">
        <v>0</v>
      </c>
      <c r="LD132" s="627">
        <v>0</v>
      </c>
      <c r="LE132" s="627">
        <v>0</v>
      </c>
      <c r="LF132" s="627">
        <v>0</v>
      </c>
    </row>
    <row r="133" spans="1:318" x14ac:dyDescent="0.25">
      <c r="A133" s="627">
        <v>42602</v>
      </c>
      <c r="B133" s="627">
        <v>57829</v>
      </c>
      <c r="D133" s="627">
        <v>9</v>
      </c>
      <c r="E133" s="627">
        <v>2024</v>
      </c>
      <c r="F133" s="627">
        <v>6160</v>
      </c>
      <c r="G133" s="627">
        <v>0</v>
      </c>
      <c r="H133" s="627">
        <v>1469.9770000000001</v>
      </c>
      <c r="I133" s="627">
        <v>1305.117</v>
      </c>
      <c r="J133" s="627">
        <v>1305.117</v>
      </c>
      <c r="K133" s="627">
        <v>1469.9770000000001</v>
      </c>
      <c r="L133" s="627">
        <v>0</v>
      </c>
      <c r="M133" s="627">
        <v>6160</v>
      </c>
      <c r="N133" s="627">
        <v>0</v>
      </c>
      <c r="O133" s="627">
        <v>0</v>
      </c>
      <c r="P133" s="627">
        <v>0</v>
      </c>
      <c r="Q133" s="627">
        <v>1401.883</v>
      </c>
      <c r="R133" s="627">
        <v>0</v>
      </c>
      <c r="S133" s="627">
        <v>581619</v>
      </c>
      <c r="T133" s="627">
        <v>414.88400000000001</v>
      </c>
      <c r="U133" s="627">
        <v>0</v>
      </c>
      <c r="V133" s="627">
        <v>301838</v>
      </c>
      <c r="W133" s="627">
        <v>819.61300000000006</v>
      </c>
      <c r="X133" s="627">
        <v>504882</v>
      </c>
      <c r="Y133" s="627">
        <v>504882</v>
      </c>
      <c r="Z133" s="627">
        <v>0</v>
      </c>
      <c r="AA133" s="627">
        <v>0</v>
      </c>
      <c r="AB133" s="627">
        <v>0</v>
      </c>
      <c r="AC133" s="627">
        <v>0</v>
      </c>
      <c r="AD133" s="627">
        <v>0</v>
      </c>
      <c r="AE133" s="627" t="s">
        <v>314</v>
      </c>
      <c r="AF133" s="627">
        <v>0</v>
      </c>
      <c r="AG133" s="627">
        <v>0</v>
      </c>
      <c r="AH133" s="627">
        <v>0</v>
      </c>
      <c r="AI133" s="627">
        <v>0</v>
      </c>
      <c r="AJ133" s="627">
        <v>0</v>
      </c>
      <c r="AK133" s="627">
        <v>6160</v>
      </c>
      <c r="AL133" s="627" t="s">
        <v>651</v>
      </c>
      <c r="AM133" s="627" t="s">
        <v>44</v>
      </c>
      <c r="AN133" s="627">
        <v>0</v>
      </c>
      <c r="AO133" s="627">
        <v>0</v>
      </c>
      <c r="AP133" s="627">
        <v>0</v>
      </c>
      <c r="AQ133" s="627">
        <v>0</v>
      </c>
      <c r="AR133" s="627">
        <v>0</v>
      </c>
      <c r="AS133" s="627">
        <v>0</v>
      </c>
      <c r="AT133" s="627">
        <v>0</v>
      </c>
      <c r="AU133" s="627">
        <v>0</v>
      </c>
      <c r="AV133" s="627">
        <v>0</v>
      </c>
      <c r="AW133" s="627">
        <v>0</v>
      </c>
      <c r="AX133" s="627">
        <v>18088010</v>
      </c>
      <c r="AY133" s="627">
        <v>17858553</v>
      </c>
      <c r="AZ133" s="627">
        <v>8873120</v>
      </c>
      <c r="BA133" s="627">
        <v>581619</v>
      </c>
      <c r="BB133" s="627">
        <v>82.332999999999998</v>
      </c>
      <c r="BC133" s="627">
        <v>31103</v>
      </c>
      <c r="BD133" s="627">
        <v>30904</v>
      </c>
      <c r="BE133" s="627">
        <v>73</v>
      </c>
      <c r="BF133" s="627">
        <v>198</v>
      </c>
      <c r="BG133" s="627">
        <v>15767956</v>
      </c>
      <c r="BH133" s="627">
        <v>0</v>
      </c>
      <c r="BI133" s="627">
        <v>0</v>
      </c>
      <c r="BJ133" s="627">
        <v>0</v>
      </c>
      <c r="BK133" s="627">
        <v>12</v>
      </c>
      <c r="BL133" s="627">
        <v>0</v>
      </c>
      <c r="BM133" s="627">
        <v>0</v>
      </c>
      <c r="BN133" s="627">
        <v>0</v>
      </c>
      <c r="BO133" s="627">
        <v>0</v>
      </c>
      <c r="BP133" s="627">
        <v>0</v>
      </c>
      <c r="BQ133" s="627">
        <v>0</v>
      </c>
      <c r="BR133" s="627">
        <v>569</v>
      </c>
      <c r="BS133" s="627">
        <v>0</v>
      </c>
      <c r="BT133" s="627">
        <v>0</v>
      </c>
      <c r="BU133" s="627">
        <v>0</v>
      </c>
      <c r="BV133" s="627">
        <v>0</v>
      </c>
      <c r="BW133" s="627">
        <v>0</v>
      </c>
      <c r="BX133" s="627">
        <v>0</v>
      </c>
      <c r="BY133" s="627">
        <v>0</v>
      </c>
      <c r="BZ133" s="627">
        <v>0</v>
      </c>
      <c r="CA133" s="627">
        <v>0</v>
      </c>
      <c r="CB133" s="627">
        <v>0</v>
      </c>
      <c r="CC133" s="627">
        <v>0</v>
      </c>
      <c r="CD133" s="627">
        <v>0</v>
      </c>
      <c r="CE133" s="627">
        <v>0</v>
      </c>
      <c r="CF133" s="627">
        <v>0</v>
      </c>
      <c r="CG133" s="627">
        <v>0</v>
      </c>
      <c r="CH133" s="627">
        <v>0</v>
      </c>
      <c r="CI133" s="627">
        <v>235091</v>
      </c>
      <c r="CJ133" s="627">
        <v>0</v>
      </c>
      <c r="CK133" s="627">
        <v>4</v>
      </c>
      <c r="CL133" s="627">
        <v>0</v>
      </c>
      <c r="CM133" s="627">
        <v>0</v>
      </c>
      <c r="CN133" s="627">
        <v>0</v>
      </c>
      <c r="CO133" s="627">
        <v>0</v>
      </c>
      <c r="CP133" s="627">
        <v>1</v>
      </c>
      <c r="CQ133" s="627">
        <v>0</v>
      </c>
      <c r="CR133" s="627">
        <v>10.083</v>
      </c>
      <c r="CS133" s="627">
        <v>1400.47</v>
      </c>
      <c r="CT133" s="627">
        <v>0</v>
      </c>
      <c r="CU133" s="627">
        <v>0</v>
      </c>
      <c r="CV133" s="627">
        <v>0</v>
      </c>
      <c r="CW133" s="627">
        <v>0</v>
      </c>
      <c r="CX133" s="627">
        <v>0</v>
      </c>
      <c r="CY133" s="627">
        <v>0</v>
      </c>
      <c r="CZ133" s="627">
        <v>0</v>
      </c>
      <c r="DA133" s="627">
        <v>0</v>
      </c>
      <c r="DB133" s="627">
        <v>0</v>
      </c>
      <c r="DC133" s="627">
        <v>8039521</v>
      </c>
      <c r="DD133" s="627">
        <v>0</v>
      </c>
      <c r="DE133" s="627">
        <v>0</v>
      </c>
      <c r="DF133" s="627">
        <v>2543695</v>
      </c>
      <c r="DG133" s="627">
        <v>2543695</v>
      </c>
      <c r="DH133" s="627">
        <v>412.93800000000005</v>
      </c>
      <c r="DI133" s="627">
        <v>0</v>
      </c>
      <c r="DJ133" s="627">
        <v>0</v>
      </c>
      <c r="DK133" s="627">
        <v>0</v>
      </c>
      <c r="DL133" s="627">
        <v>727</v>
      </c>
      <c r="DM133" s="627">
        <v>0</v>
      </c>
      <c r="DN133" s="627">
        <v>1594590</v>
      </c>
      <c r="DO133" s="627">
        <v>5435</v>
      </c>
      <c r="DP133" s="627">
        <v>0</v>
      </c>
      <c r="DQ133" s="627">
        <v>0</v>
      </c>
      <c r="DR133" s="627">
        <v>0</v>
      </c>
      <c r="DS133" s="627">
        <v>0</v>
      </c>
      <c r="DT133" s="627">
        <v>0</v>
      </c>
      <c r="DU133" s="627">
        <v>0</v>
      </c>
      <c r="DV133" s="627">
        <v>0</v>
      </c>
      <c r="DW133" s="627">
        <v>0</v>
      </c>
      <c r="DX133" s="627">
        <v>0</v>
      </c>
      <c r="DY133" s="627">
        <v>0</v>
      </c>
      <c r="DZ133" s="627">
        <v>0</v>
      </c>
      <c r="EA133" s="627">
        <v>0</v>
      </c>
      <c r="EB133" s="627">
        <v>4.2000000000000003E-2</v>
      </c>
      <c r="EC133" s="627">
        <v>0</v>
      </c>
      <c r="ED133" s="627">
        <v>71.798000000000002</v>
      </c>
      <c r="EE133" s="627">
        <v>508617</v>
      </c>
      <c r="EF133" s="627">
        <v>0</v>
      </c>
      <c r="EG133" s="627">
        <v>0</v>
      </c>
      <c r="EH133" s="627">
        <v>0</v>
      </c>
      <c r="EI133" s="627">
        <v>1091408</v>
      </c>
      <c r="EJ133" s="627">
        <v>0</v>
      </c>
      <c r="EK133" s="627">
        <v>0</v>
      </c>
      <c r="EL133" s="627">
        <v>32.710999999999999</v>
      </c>
      <c r="EM133" s="627">
        <v>6.2E-2</v>
      </c>
      <c r="EN133" s="627">
        <v>16.914999999999999</v>
      </c>
      <c r="EO133" s="627">
        <v>4.5910000000000002</v>
      </c>
      <c r="EP133" s="627">
        <v>0</v>
      </c>
      <c r="EQ133" s="627">
        <v>0</v>
      </c>
      <c r="ER133" s="627">
        <v>56.491</v>
      </c>
      <c r="ES133" s="627">
        <v>2.2320000000000002</v>
      </c>
      <c r="ET133" s="627">
        <v>177.17700000000002</v>
      </c>
      <c r="EU133" s="627">
        <v>0</v>
      </c>
      <c r="EV133" s="627">
        <v>0</v>
      </c>
      <c r="EW133" s="627">
        <v>0</v>
      </c>
      <c r="EX133" s="627">
        <v>0</v>
      </c>
      <c r="EY133" s="627">
        <v>0</v>
      </c>
      <c r="EZ133" s="627">
        <v>0</v>
      </c>
      <c r="FA133" s="627">
        <v>15194800</v>
      </c>
      <c r="FB133" s="627">
        <v>0</v>
      </c>
      <c r="FC133" s="627">
        <v>15770785</v>
      </c>
      <c r="FD133" s="627">
        <v>0</v>
      </c>
      <c r="FE133" s="627">
        <v>0</v>
      </c>
      <c r="FF133" s="627">
        <v>2270525</v>
      </c>
      <c r="FG133" s="627">
        <v>393228</v>
      </c>
      <c r="FH133" s="627">
        <v>7.0280999999999996E-2</v>
      </c>
      <c r="FI133" s="627">
        <v>3.1172999999999999E-2</v>
      </c>
      <c r="FJ133" s="627">
        <v>0</v>
      </c>
      <c r="FK133" s="627">
        <v>0</v>
      </c>
      <c r="FL133" s="627">
        <v>2559.7330000000002</v>
      </c>
      <c r="FM133" s="627">
        <v>18669629</v>
      </c>
      <c r="FN133" s="627">
        <v>0</v>
      </c>
      <c r="FO133" s="627">
        <v>0</v>
      </c>
      <c r="FP133" s="627">
        <v>0</v>
      </c>
      <c r="FQ133" s="627">
        <v>0</v>
      </c>
      <c r="FR133" s="627">
        <v>0</v>
      </c>
      <c r="FS133" s="627">
        <v>0</v>
      </c>
      <c r="FT133" s="627">
        <v>0</v>
      </c>
      <c r="FU133" s="627">
        <v>0</v>
      </c>
      <c r="FV133" s="627">
        <v>0</v>
      </c>
      <c r="FW133" s="627">
        <v>0</v>
      </c>
      <c r="FX133" s="627">
        <v>0</v>
      </c>
      <c r="FY133" s="627">
        <v>0</v>
      </c>
      <c r="FZ133" s="627">
        <v>0</v>
      </c>
      <c r="GA133" s="627">
        <v>0</v>
      </c>
      <c r="GB133" s="627">
        <v>0</v>
      </c>
      <c r="GC133" s="627">
        <v>1102798</v>
      </c>
      <c r="GD133" s="627">
        <v>1102798</v>
      </c>
      <c r="GE133" s="627">
        <v>108.369</v>
      </c>
      <c r="GF133" s="627">
        <v>0</v>
      </c>
      <c r="GG133" s="627">
        <v>0</v>
      </c>
      <c r="GH133" s="627">
        <v>0</v>
      </c>
      <c r="GI133" s="627">
        <v>0</v>
      </c>
      <c r="GJ133" s="627">
        <v>0</v>
      </c>
      <c r="GK133" s="627">
        <v>0</v>
      </c>
      <c r="GL133" s="627">
        <v>0</v>
      </c>
      <c r="GM133" s="627">
        <v>0</v>
      </c>
      <c r="GN133" s="627">
        <v>0</v>
      </c>
      <c r="GO133" s="627">
        <v>0</v>
      </c>
      <c r="GP133" s="627">
        <v>0</v>
      </c>
      <c r="GQ133" s="627">
        <v>0</v>
      </c>
      <c r="GR133" s="627">
        <v>17852919</v>
      </c>
      <c r="GS133" s="627">
        <v>0</v>
      </c>
      <c r="GT133" s="627">
        <v>0</v>
      </c>
      <c r="GU133" s="627">
        <v>0</v>
      </c>
      <c r="GV133" s="627">
        <v>0</v>
      </c>
      <c r="GW133" s="627">
        <v>0</v>
      </c>
      <c r="GX133" s="627">
        <v>0</v>
      </c>
      <c r="GY133" s="627">
        <v>0</v>
      </c>
      <c r="GZ133" s="627">
        <v>0</v>
      </c>
      <c r="HA133" s="627">
        <v>0</v>
      </c>
      <c r="HB133" s="627">
        <v>0</v>
      </c>
      <c r="HC133" s="627">
        <v>361151439</v>
      </c>
      <c r="HD133" s="627">
        <v>3.9981999999999997E-2</v>
      </c>
      <c r="HE133" s="627">
        <v>235091</v>
      </c>
      <c r="HF133" s="627">
        <v>0</v>
      </c>
      <c r="HG133" s="627">
        <v>1438239</v>
      </c>
      <c r="HH133" s="627">
        <v>21560</v>
      </c>
      <c r="HI133" s="627">
        <v>361010</v>
      </c>
      <c r="HJ133" s="627">
        <v>0</v>
      </c>
      <c r="HK133" s="627">
        <v>44700</v>
      </c>
      <c r="HL133" s="627">
        <v>4893</v>
      </c>
      <c r="HM133" s="627">
        <v>3570</v>
      </c>
      <c r="HN133" s="627">
        <v>38000</v>
      </c>
      <c r="HO133" s="627">
        <v>42423</v>
      </c>
      <c r="HP133" s="627">
        <v>0</v>
      </c>
      <c r="HQ133" s="627">
        <v>0</v>
      </c>
      <c r="HR133" s="627">
        <v>0</v>
      </c>
      <c r="HS133" s="627">
        <v>0</v>
      </c>
      <c r="HT133" s="627">
        <v>15189166</v>
      </c>
      <c r="HU133" s="627">
        <v>393228</v>
      </c>
      <c r="HV133" s="627">
        <v>0</v>
      </c>
      <c r="HW133" s="627">
        <v>0</v>
      </c>
      <c r="HX133" s="627">
        <v>0</v>
      </c>
      <c r="HY133" s="627">
        <v>20</v>
      </c>
      <c r="HZ133" s="627">
        <v>38</v>
      </c>
      <c r="IA133" s="627">
        <v>722</v>
      </c>
      <c r="IB133" s="627">
        <v>505</v>
      </c>
      <c r="IC133" s="627">
        <v>314</v>
      </c>
      <c r="ID133" s="627">
        <v>1599</v>
      </c>
      <c r="IE133" s="627">
        <v>0</v>
      </c>
      <c r="IF133" s="627">
        <v>0</v>
      </c>
      <c r="IG133" s="627">
        <v>0</v>
      </c>
      <c r="IH133" s="627">
        <v>35</v>
      </c>
      <c r="II133" s="627">
        <v>586.05500000000006</v>
      </c>
      <c r="IJ133" s="627">
        <v>0</v>
      </c>
      <c r="IK133" s="627">
        <v>819.61300000000006</v>
      </c>
      <c r="IL133" s="627">
        <v>0</v>
      </c>
      <c r="IM133" s="627">
        <v>7</v>
      </c>
      <c r="IN133" s="627">
        <v>1</v>
      </c>
      <c r="IO133" s="627">
        <v>0</v>
      </c>
      <c r="IP133" s="627">
        <v>8</v>
      </c>
      <c r="IQ133" s="627">
        <v>0</v>
      </c>
      <c r="IR133" s="627">
        <v>819.61300000000006</v>
      </c>
      <c r="IS133" s="627">
        <v>504882</v>
      </c>
      <c r="IT133" s="627">
        <v>0</v>
      </c>
      <c r="IU133" s="627">
        <v>35000</v>
      </c>
      <c r="IV133" s="627">
        <v>3000</v>
      </c>
      <c r="IW133" s="627">
        <v>0</v>
      </c>
      <c r="IX133" s="627">
        <v>6160</v>
      </c>
      <c r="IY133" s="627">
        <v>0</v>
      </c>
      <c r="IZ133" s="627">
        <v>0</v>
      </c>
      <c r="JA133" s="627">
        <v>0</v>
      </c>
      <c r="JB133" s="627">
        <v>0</v>
      </c>
      <c r="JC133" s="627">
        <v>0</v>
      </c>
      <c r="JD133" s="627">
        <v>0</v>
      </c>
      <c r="JE133" s="627">
        <v>1</v>
      </c>
      <c r="JF133" s="627">
        <v>13297</v>
      </c>
      <c r="JG133" s="627">
        <v>4</v>
      </c>
      <c r="JH133" s="627">
        <v>26626</v>
      </c>
      <c r="JI133" s="627">
        <v>2500</v>
      </c>
      <c r="JJ133" s="627">
        <v>0</v>
      </c>
      <c r="JK133" s="627">
        <v>0</v>
      </c>
      <c r="JL133" s="627">
        <v>0</v>
      </c>
      <c r="JM133" s="627">
        <v>0</v>
      </c>
      <c r="JN133" s="627">
        <v>0</v>
      </c>
      <c r="JO133" s="627">
        <v>32469</v>
      </c>
      <c r="JP133" s="627">
        <v>0</v>
      </c>
      <c r="JQ133" s="627">
        <v>39.177</v>
      </c>
      <c r="JR133" s="627">
        <v>69.192000000000007</v>
      </c>
      <c r="JS133" s="627">
        <v>0</v>
      </c>
      <c r="JT133" s="627">
        <v>364164</v>
      </c>
      <c r="JU133" s="627">
        <v>738634</v>
      </c>
      <c r="JV133" s="627">
        <v>31478</v>
      </c>
      <c r="JW133" s="627">
        <v>0</v>
      </c>
      <c r="JX133" s="627">
        <v>0</v>
      </c>
      <c r="JY133" s="627">
        <v>0</v>
      </c>
      <c r="JZ133" s="627">
        <v>0</v>
      </c>
      <c r="KA133" s="627">
        <v>0</v>
      </c>
      <c r="KB133" s="627">
        <v>0</v>
      </c>
      <c r="KC133" s="627">
        <v>0</v>
      </c>
      <c r="KD133" s="627">
        <v>0</v>
      </c>
      <c r="KE133" s="627">
        <v>31478</v>
      </c>
      <c r="KF133" s="627">
        <v>7262</v>
      </c>
      <c r="KG133" s="627">
        <v>0</v>
      </c>
      <c r="KH133" s="627">
        <v>0</v>
      </c>
      <c r="KI133" s="627">
        <v>17852919</v>
      </c>
      <c r="KJ133" s="627">
        <v>0</v>
      </c>
      <c r="KK133" s="627">
        <v>23</v>
      </c>
      <c r="KL133" s="627">
        <v>12</v>
      </c>
      <c r="KM133" s="627">
        <v>14168</v>
      </c>
      <c r="KN133" s="627">
        <v>7392</v>
      </c>
      <c r="KO133" s="627">
        <v>0</v>
      </c>
      <c r="KP133" s="627">
        <v>0</v>
      </c>
      <c r="KQ133" s="627">
        <v>17852919</v>
      </c>
      <c r="KR133" s="627">
        <v>0</v>
      </c>
      <c r="KS133" s="627">
        <v>0</v>
      </c>
      <c r="KT133" s="627">
        <v>0</v>
      </c>
      <c r="KU133" s="627">
        <v>0</v>
      </c>
      <c r="KV133" s="627">
        <v>0</v>
      </c>
      <c r="KW133" s="627">
        <v>0</v>
      </c>
      <c r="KX133" s="627">
        <v>0</v>
      </c>
      <c r="KY133" s="627">
        <v>0</v>
      </c>
      <c r="KZ133" s="627">
        <v>0</v>
      </c>
      <c r="LA133" s="627">
        <v>0</v>
      </c>
      <c r="LB133" s="627">
        <v>0</v>
      </c>
      <c r="LC133" s="627">
        <v>0</v>
      </c>
      <c r="LD133" s="627">
        <v>0</v>
      </c>
      <c r="LE133" s="627">
        <v>0</v>
      </c>
      <c r="LF133" s="627">
        <v>0</v>
      </c>
    </row>
    <row r="134" spans="1:318" x14ac:dyDescent="0.25">
      <c r="A134" s="627">
        <v>42602</v>
      </c>
      <c r="B134" s="627">
        <v>227829</v>
      </c>
      <c r="D134" s="627">
        <v>9</v>
      </c>
      <c r="E134" s="627">
        <v>2024</v>
      </c>
      <c r="F134" s="627">
        <v>6160</v>
      </c>
      <c r="G134" s="627">
        <v>0</v>
      </c>
      <c r="H134" s="627">
        <v>2999.7220000000002</v>
      </c>
      <c r="I134" s="627">
        <v>2905.8180000000002</v>
      </c>
      <c r="J134" s="627">
        <v>2905.8180000000002</v>
      </c>
      <c r="K134" s="627">
        <v>2999.7220000000002</v>
      </c>
      <c r="L134" s="627">
        <v>0</v>
      </c>
      <c r="M134" s="627">
        <v>6160</v>
      </c>
      <c r="N134" s="627">
        <v>0</v>
      </c>
      <c r="O134" s="627">
        <v>0</v>
      </c>
      <c r="P134" s="627">
        <v>0</v>
      </c>
      <c r="Q134" s="627">
        <v>2057.0880000000002</v>
      </c>
      <c r="R134" s="627">
        <v>0</v>
      </c>
      <c r="S134" s="627">
        <v>853453</v>
      </c>
      <c r="T134" s="627">
        <v>414.88400000000001</v>
      </c>
      <c r="U134" s="627">
        <v>0</v>
      </c>
      <c r="V134" s="627">
        <v>442907</v>
      </c>
      <c r="W134" s="627">
        <v>218.68300000000002</v>
      </c>
      <c r="X134" s="627">
        <v>134709</v>
      </c>
      <c r="Y134" s="627">
        <v>134709</v>
      </c>
      <c r="Z134" s="627">
        <v>0</v>
      </c>
      <c r="AA134" s="627">
        <v>0</v>
      </c>
      <c r="AB134" s="627">
        <v>0</v>
      </c>
      <c r="AC134" s="627">
        <v>0</v>
      </c>
      <c r="AD134" s="627">
        <v>0</v>
      </c>
      <c r="AE134" s="627" t="s">
        <v>314</v>
      </c>
      <c r="AF134" s="627">
        <v>0</v>
      </c>
      <c r="AG134" s="627">
        <v>0</v>
      </c>
      <c r="AH134" s="627">
        <v>0</v>
      </c>
      <c r="AI134" s="627">
        <v>0</v>
      </c>
      <c r="AJ134" s="627">
        <v>0</v>
      </c>
      <c r="AK134" s="627">
        <v>6160</v>
      </c>
      <c r="AL134" s="627" t="s">
        <v>651</v>
      </c>
      <c r="AM134" s="627" t="s">
        <v>445</v>
      </c>
      <c r="AN134" s="627">
        <v>0</v>
      </c>
      <c r="AO134" s="627">
        <v>0</v>
      </c>
      <c r="AP134" s="627">
        <v>0</v>
      </c>
      <c r="AQ134" s="627">
        <v>0</v>
      </c>
      <c r="AR134" s="627">
        <v>0</v>
      </c>
      <c r="AS134" s="627">
        <v>0</v>
      </c>
      <c r="AT134" s="627">
        <v>0</v>
      </c>
      <c r="AU134" s="627">
        <v>0</v>
      </c>
      <c r="AV134" s="627">
        <v>0</v>
      </c>
      <c r="AW134" s="627">
        <v>-1196682</v>
      </c>
      <c r="AX134" s="627">
        <v>29099300</v>
      </c>
      <c r="AY134" s="627">
        <v>28626378</v>
      </c>
      <c r="AZ134" s="627">
        <v>14161600</v>
      </c>
      <c r="BA134" s="627">
        <v>853453</v>
      </c>
      <c r="BB134" s="627">
        <v>0</v>
      </c>
      <c r="BC134" s="627">
        <v>0</v>
      </c>
      <c r="BD134" s="627">
        <v>0</v>
      </c>
      <c r="BE134" s="627">
        <v>0</v>
      </c>
      <c r="BF134" s="627">
        <v>0</v>
      </c>
      <c r="BG134" s="627">
        <v>24737953</v>
      </c>
      <c r="BH134" s="627">
        <v>0</v>
      </c>
      <c r="BI134" s="627">
        <v>0</v>
      </c>
      <c r="BJ134" s="627">
        <v>0</v>
      </c>
      <c r="BK134" s="627">
        <v>12</v>
      </c>
      <c r="BL134" s="627">
        <v>0</v>
      </c>
      <c r="BM134" s="627">
        <v>0</v>
      </c>
      <c r="BN134" s="627">
        <v>0</v>
      </c>
      <c r="BO134" s="627">
        <v>0</v>
      </c>
      <c r="BP134" s="627">
        <v>0</v>
      </c>
      <c r="BQ134" s="627">
        <v>0</v>
      </c>
      <c r="BR134" s="627">
        <v>323</v>
      </c>
      <c r="BS134" s="627">
        <v>0</v>
      </c>
      <c r="BT134" s="627">
        <v>0</v>
      </c>
      <c r="BU134" s="627">
        <v>0</v>
      </c>
      <c r="BV134" s="627">
        <v>0</v>
      </c>
      <c r="BW134" s="627">
        <v>0</v>
      </c>
      <c r="BX134" s="627">
        <v>0</v>
      </c>
      <c r="BY134" s="627">
        <v>0</v>
      </c>
      <c r="BZ134" s="627">
        <v>0</v>
      </c>
      <c r="CA134" s="627">
        <v>0</v>
      </c>
      <c r="CB134" s="627">
        <v>561.66500000000008</v>
      </c>
      <c r="CC134" s="627">
        <v>561665</v>
      </c>
      <c r="CD134" s="627">
        <v>0</v>
      </c>
      <c r="CE134" s="627">
        <v>0</v>
      </c>
      <c r="CF134" s="627">
        <v>0</v>
      </c>
      <c r="CG134" s="627">
        <v>0</v>
      </c>
      <c r="CH134" s="627">
        <v>0</v>
      </c>
      <c r="CI134" s="627">
        <v>479741</v>
      </c>
      <c r="CJ134" s="627">
        <v>0</v>
      </c>
      <c r="CK134" s="627">
        <v>5</v>
      </c>
      <c r="CL134" s="627">
        <v>0</v>
      </c>
      <c r="CM134" s="627">
        <v>0</v>
      </c>
      <c r="CN134" s="627">
        <v>0</v>
      </c>
      <c r="CO134" s="627">
        <v>0</v>
      </c>
      <c r="CP134" s="627">
        <v>1</v>
      </c>
      <c r="CQ134" s="627">
        <v>0</v>
      </c>
      <c r="CR134" s="627">
        <v>0</v>
      </c>
      <c r="CS134" s="627">
        <v>1907.89</v>
      </c>
      <c r="CT134" s="627">
        <v>0</v>
      </c>
      <c r="CU134" s="627">
        <v>0</v>
      </c>
      <c r="CV134" s="627">
        <v>0</v>
      </c>
      <c r="CW134" s="627">
        <v>0</v>
      </c>
      <c r="CX134" s="627">
        <v>0</v>
      </c>
      <c r="CY134" s="627">
        <v>0</v>
      </c>
      <c r="CZ134" s="627">
        <v>0</v>
      </c>
      <c r="DA134" s="627">
        <v>0</v>
      </c>
      <c r="DB134" s="627">
        <v>0</v>
      </c>
      <c r="DC134" s="627">
        <v>17899839</v>
      </c>
      <c r="DD134" s="627">
        <v>0</v>
      </c>
      <c r="DE134" s="627">
        <v>0</v>
      </c>
      <c r="DF134" s="627">
        <v>1112881</v>
      </c>
      <c r="DG134" s="627">
        <v>1112881</v>
      </c>
      <c r="DH134" s="627">
        <v>180.66300000000001</v>
      </c>
      <c r="DI134" s="627">
        <v>0</v>
      </c>
      <c r="DJ134" s="627">
        <v>0</v>
      </c>
      <c r="DK134" s="627">
        <v>0</v>
      </c>
      <c r="DL134" s="627">
        <v>0</v>
      </c>
      <c r="DM134" s="627">
        <v>0</v>
      </c>
      <c r="DN134" s="627">
        <v>2000670</v>
      </c>
      <c r="DO134" s="627">
        <v>6819</v>
      </c>
      <c r="DP134" s="627">
        <v>0</v>
      </c>
      <c r="DQ134" s="627">
        <v>0</v>
      </c>
      <c r="DR134" s="627">
        <v>0</v>
      </c>
      <c r="DS134" s="627">
        <v>0</v>
      </c>
      <c r="DT134" s="627">
        <v>0</v>
      </c>
      <c r="DU134" s="627">
        <v>0</v>
      </c>
      <c r="DV134" s="627">
        <v>0</v>
      </c>
      <c r="DW134" s="627">
        <v>0</v>
      </c>
      <c r="DX134" s="627">
        <v>0</v>
      </c>
      <c r="DY134" s="627">
        <v>0</v>
      </c>
      <c r="DZ134" s="627">
        <v>0</v>
      </c>
      <c r="EA134" s="627">
        <v>0</v>
      </c>
      <c r="EB134" s="627">
        <v>0</v>
      </c>
      <c r="EC134" s="627">
        <v>0</v>
      </c>
      <c r="ED134" s="627">
        <v>29.733000000000001</v>
      </c>
      <c r="EE134" s="627">
        <v>210629</v>
      </c>
      <c r="EF134" s="627">
        <v>0</v>
      </c>
      <c r="EG134" s="627">
        <v>0</v>
      </c>
      <c r="EH134" s="627">
        <v>0</v>
      </c>
      <c r="EI134" s="627">
        <v>1796860</v>
      </c>
      <c r="EJ134" s="627">
        <v>0</v>
      </c>
      <c r="EK134" s="627">
        <v>0</v>
      </c>
      <c r="EL134" s="627">
        <v>86.121000000000009</v>
      </c>
      <c r="EM134" s="627">
        <v>0</v>
      </c>
      <c r="EN134" s="627">
        <v>2.79</v>
      </c>
      <c r="EO134" s="627">
        <v>4.9930000000000003</v>
      </c>
      <c r="EP134" s="627">
        <v>0</v>
      </c>
      <c r="EQ134" s="627">
        <v>0</v>
      </c>
      <c r="ER134" s="627">
        <v>93.904000000000011</v>
      </c>
      <c r="ES134" s="627">
        <v>0</v>
      </c>
      <c r="ET134" s="627">
        <v>291.69800000000004</v>
      </c>
      <c r="EU134" s="627">
        <v>0</v>
      </c>
      <c r="EV134" s="627">
        <v>0</v>
      </c>
      <c r="EW134" s="627">
        <v>0</v>
      </c>
      <c r="EX134" s="627">
        <v>0</v>
      </c>
      <c r="EY134" s="627">
        <v>0</v>
      </c>
      <c r="EZ134" s="627">
        <v>0</v>
      </c>
      <c r="FA134" s="627">
        <v>24447283</v>
      </c>
      <c r="FB134" s="627">
        <v>0</v>
      </c>
      <c r="FC134" s="627">
        <v>25293917</v>
      </c>
      <c r="FD134" s="627">
        <v>0</v>
      </c>
      <c r="FE134" s="627">
        <v>0</v>
      </c>
      <c r="FF134" s="627">
        <v>3562170</v>
      </c>
      <c r="FG134" s="627">
        <v>616925</v>
      </c>
      <c r="FH134" s="627">
        <v>7.0280999999999996E-2</v>
      </c>
      <c r="FI134" s="627">
        <v>3.1172999999999999E-2</v>
      </c>
      <c r="FJ134" s="627">
        <v>0</v>
      </c>
      <c r="FK134" s="627">
        <v>0</v>
      </c>
      <c r="FL134" s="627">
        <v>4015.9010000000003</v>
      </c>
      <c r="FM134" s="627">
        <v>29952753</v>
      </c>
      <c r="FN134" s="627">
        <v>0</v>
      </c>
      <c r="FO134" s="627">
        <v>0</v>
      </c>
      <c r="FP134" s="627">
        <v>0</v>
      </c>
      <c r="FQ134" s="627">
        <v>0</v>
      </c>
      <c r="FR134" s="627">
        <v>0</v>
      </c>
      <c r="FS134" s="627">
        <v>0</v>
      </c>
      <c r="FT134" s="627">
        <v>0</v>
      </c>
      <c r="FU134" s="627">
        <v>0</v>
      </c>
      <c r="FV134" s="627">
        <v>0</v>
      </c>
      <c r="FW134" s="627">
        <v>0</v>
      </c>
      <c r="FX134" s="627">
        <v>0</v>
      </c>
      <c r="FY134" s="627">
        <v>0</v>
      </c>
      <c r="FZ134" s="627">
        <v>0</v>
      </c>
      <c r="GA134" s="627">
        <v>0</v>
      </c>
      <c r="GB134" s="627">
        <v>0</v>
      </c>
      <c r="GC134" s="627">
        <v>0</v>
      </c>
      <c r="GD134" s="627">
        <v>0</v>
      </c>
      <c r="GE134" s="627">
        <v>0</v>
      </c>
      <c r="GF134" s="627">
        <v>0</v>
      </c>
      <c r="GG134" s="627">
        <v>0</v>
      </c>
      <c r="GH134" s="627">
        <v>0</v>
      </c>
      <c r="GI134" s="627">
        <v>0</v>
      </c>
      <c r="GJ134" s="627">
        <v>0</v>
      </c>
      <c r="GK134" s="627">
        <v>0</v>
      </c>
      <c r="GL134" s="627">
        <v>0</v>
      </c>
      <c r="GM134" s="627">
        <v>0</v>
      </c>
      <c r="GN134" s="627">
        <v>0</v>
      </c>
      <c r="GO134" s="627">
        <v>0</v>
      </c>
      <c r="GP134" s="627">
        <v>0</v>
      </c>
      <c r="GQ134" s="627">
        <v>0</v>
      </c>
      <c r="GR134" s="627">
        <v>28619559</v>
      </c>
      <c r="GS134" s="627">
        <v>0</v>
      </c>
      <c r="GT134" s="627">
        <v>0</v>
      </c>
      <c r="GU134" s="627">
        <v>0</v>
      </c>
      <c r="GV134" s="627">
        <v>0</v>
      </c>
      <c r="GW134" s="627">
        <v>0</v>
      </c>
      <c r="GX134" s="627">
        <v>0</v>
      </c>
      <c r="GY134" s="627">
        <v>0</v>
      </c>
      <c r="GZ134" s="627">
        <v>0</v>
      </c>
      <c r="HA134" s="627">
        <v>0</v>
      </c>
      <c r="HB134" s="627">
        <v>0</v>
      </c>
      <c r="HC134" s="627">
        <v>361151439</v>
      </c>
      <c r="HD134" s="627">
        <v>3.9981999999999997E-2</v>
      </c>
      <c r="HE134" s="627">
        <v>479741</v>
      </c>
      <c r="HF134" s="627">
        <v>0</v>
      </c>
      <c r="HG134" s="627">
        <v>3202211</v>
      </c>
      <c r="HH134" s="627">
        <v>31416</v>
      </c>
      <c r="HI134" s="627">
        <v>274411</v>
      </c>
      <c r="HJ134" s="627">
        <v>0</v>
      </c>
      <c r="HK134" s="627">
        <v>74997</v>
      </c>
      <c r="HL134" s="627">
        <v>1008</v>
      </c>
      <c r="HM134" s="627">
        <v>110</v>
      </c>
      <c r="HN134" s="627">
        <v>0</v>
      </c>
      <c r="HO134" s="627">
        <v>0</v>
      </c>
      <c r="HP134" s="627">
        <v>0</v>
      </c>
      <c r="HQ134" s="627">
        <v>0</v>
      </c>
      <c r="HR134" s="627">
        <v>0</v>
      </c>
      <c r="HS134" s="627">
        <v>0</v>
      </c>
      <c r="HT134" s="627">
        <v>24440464</v>
      </c>
      <c r="HU134" s="627">
        <v>616925</v>
      </c>
      <c r="HV134" s="627">
        <v>0</v>
      </c>
      <c r="HW134" s="627">
        <v>0</v>
      </c>
      <c r="HX134" s="627">
        <v>0</v>
      </c>
      <c r="HY134" s="627">
        <v>269</v>
      </c>
      <c r="HZ134" s="627">
        <v>266</v>
      </c>
      <c r="IA134" s="627">
        <v>126</v>
      </c>
      <c r="IB134" s="627">
        <v>53</v>
      </c>
      <c r="IC134" s="627">
        <v>42</v>
      </c>
      <c r="ID134" s="627">
        <v>756</v>
      </c>
      <c r="IE134" s="627">
        <v>0</v>
      </c>
      <c r="IF134" s="627">
        <v>0</v>
      </c>
      <c r="IG134" s="627">
        <v>0</v>
      </c>
      <c r="IH134" s="627">
        <v>51</v>
      </c>
      <c r="II134" s="627">
        <v>445.47300000000001</v>
      </c>
      <c r="IJ134" s="627">
        <v>0</v>
      </c>
      <c r="IK134" s="627">
        <v>218.68300000000002</v>
      </c>
      <c r="IL134" s="627">
        <v>0</v>
      </c>
      <c r="IM134" s="627">
        <v>0</v>
      </c>
      <c r="IN134" s="627">
        <v>0</v>
      </c>
      <c r="IO134" s="627">
        <v>0</v>
      </c>
      <c r="IP134" s="627">
        <v>0</v>
      </c>
      <c r="IQ134" s="627">
        <v>0</v>
      </c>
      <c r="IR134" s="627">
        <v>218.68300000000002</v>
      </c>
      <c r="IS134" s="627">
        <v>134709</v>
      </c>
      <c r="IT134" s="627">
        <v>0</v>
      </c>
      <c r="IU134" s="627">
        <v>0</v>
      </c>
      <c r="IV134" s="627">
        <v>0</v>
      </c>
      <c r="IW134" s="627">
        <v>0</v>
      </c>
      <c r="IX134" s="627">
        <v>6160</v>
      </c>
      <c r="IY134" s="627">
        <v>0</v>
      </c>
      <c r="IZ134" s="627">
        <v>0</v>
      </c>
      <c r="JA134" s="627">
        <v>0</v>
      </c>
      <c r="JB134" s="627">
        <v>0</v>
      </c>
      <c r="JC134" s="627">
        <v>0</v>
      </c>
      <c r="JD134" s="627">
        <v>0</v>
      </c>
      <c r="JE134" s="627">
        <v>0</v>
      </c>
      <c r="JF134" s="627">
        <v>0</v>
      </c>
      <c r="JG134" s="627">
        <v>0</v>
      </c>
      <c r="JH134" s="627">
        <v>0</v>
      </c>
      <c r="JI134" s="627">
        <v>0</v>
      </c>
      <c r="JJ134" s="627">
        <v>0</v>
      </c>
      <c r="JK134" s="627">
        <v>0</v>
      </c>
      <c r="JL134" s="627">
        <v>0</v>
      </c>
      <c r="JM134" s="627">
        <v>0</v>
      </c>
      <c r="JN134" s="627">
        <v>0</v>
      </c>
      <c r="JO134" s="627">
        <v>32469</v>
      </c>
      <c r="JP134" s="627">
        <v>0</v>
      </c>
      <c r="JQ134" s="627">
        <v>0</v>
      </c>
      <c r="JR134" s="627">
        <v>0</v>
      </c>
      <c r="JS134" s="627">
        <v>0</v>
      </c>
      <c r="JT134" s="627">
        <v>0</v>
      </c>
      <c r="JU134" s="627">
        <v>0</v>
      </c>
      <c r="JV134" s="627">
        <v>0</v>
      </c>
      <c r="JW134" s="627">
        <v>0</v>
      </c>
      <c r="JX134" s="627">
        <v>0</v>
      </c>
      <c r="JY134" s="627">
        <v>0</v>
      </c>
      <c r="JZ134" s="627">
        <v>0</v>
      </c>
      <c r="KA134" s="627">
        <v>0</v>
      </c>
      <c r="KB134" s="627">
        <v>0</v>
      </c>
      <c r="KC134" s="627">
        <v>0</v>
      </c>
      <c r="KD134" s="627">
        <v>0</v>
      </c>
      <c r="KE134" s="627">
        <v>0</v>
      </c>
      <c r="KF134" s="627">
        <v>7262</v>
      </c>
      <c r="KG134" s="627">
        <v>0</v>
      </c>
      <c r="KH134" s="627">
        <v>0</v>
      </c>
      <c r="KI134" s="627">
        <v>28619559</v>
      </c>
      <c r="KJ134" s="627">
        <v>0</v>
      </c>
      <c r="KK134" s="627">
        <v>31</v>
      </c>
      <c r="KL134" s="627">
        <v>20</v>
      </c>
      <c r="KM134" s="627">
        <v>19096</v>
      </c>
      <c r="KN134" s="627">
        <v>12320</v>
      </c>
      <c r="KO134" s="627">
        <v>0</v>
      </c>
      <c r="KP134" s="627">
        <v>0</v>
      </c>
      <c r="KQ134" s="627">
        <v>28619559</v>
      </c>
      <c r="KR134" s="627">
        <v>0</v>
      </c>
      <c r="KS134" s="627">
        <v>0</v>
      </c>
      <c r="KT134" s="627">
        <v>0</v>
      </c>
      <c r="KU134" s="627">
        <v>0</v>
      </c>
      <c r="KV134" s="627">
        <v>0</v>
      </c>
      <c r="KW134" s="627">
        <v>0</v>
      </c>
      <c r="KX134" s="627">
        <v>0</v>
      </c>
      <c r="KY134" s="627">
        <v>0</v>
      </c>
      <c r="KZ134" s="627">
        <v>0</v>
      </c>
      <c r="LA134" s="627">
        <v>0</v>
      </c>
      <c r="LB134" s="627">
        <v>0</v>
      </c>
      <c r="LC134" s="627">
        <v>0</v>
      </c>
      <c r="LD134" s="627">
        <v>0</v>
      </c>
      <c r="LE134" s="627">
        <v>0</v>
      </c>
      <c r="LF134" s="627">
        <v>0</v>
      </c>
    </row>
    <row r="135" spans="1:318" x14ac:dyDescent="0.25">
      <c r="A135" s="627">
        <v>42602</v>
      </c>
      <c r="B135" s="627">
        <v>15830</v>
      </c>
      <c r="D135" s="627">
        <v>9</v>
      </c>
      <c r="E135" s="627">
        <v>2024</v>
      </c>
      <c r="F135" s="627">
        <v>6160</v>
      </c>
      <c r="G135" s="627">
        <v>0</v>
      </c>
      <c r="H135" s="627">
        <v>2500.1730000000002</v>
      </c>
      <c r="I135" s="627">
        <v>2268.1469999999999</v>
      </c>
      <c r="J135" s="627">
        <v>2268.1469999999999</v>
      </c>
      <c r="K135" s="627">
        <v>2500.1730000000002</v>
      </c>
      <c r="L135" s="627">
        <v>0</v>
      </c>
      <c r="M135" s="627">
        <v>6160</v>
      </c>
      <c r="N135" s="627">
        <v>0</v>
      </c>
      <c r="O135" s="627">
        <v>0</v>
      </c>
      <c r="P135" s="627">
        <v>0</v>
      </c>
      <c r="Q135" s="627">
        <v>2745.3830000000003</v>
      </c>
      <c r="R135" s="627">
        <v>0</v>
      </c>
      <c r="S135" s="627">
        <v>1139015</v>
      </c>
      <c r="T135" s="627">
        <v>414.88400000000001</v>
      </c>
      <c r="U135" s="627">
        <v>0</v>
      </c>
      <c r="V135" s="627">
        <v>591102</v>
      </c>
      <c r="W135" s="627">
        <v>195.26500000000001</v>
      </c>
      <c r="X135" s="627">
        <v>123360</v>
      </c>
      <c r="Y135" s="627">
        <v>123360</v>
      </c>
      <c r="Z135" s="627">
        <v>0</v>
      </c>
      <c r="AA135" s="627">
        <v>0</v>
      </c>
      <c r="AB135" s="627">
        <v>0</v>
      </c>
      <c r="AC135" s="627">
        <v>0</v>
      </c>
      <c r="AD135" s="627">
        <v>0</v>
      </c>
      <c r="AE135" s="627" t="s">
        <v>314</v>
      </c>
      <c r="AF135" s="627">
        <v>0</v>
      </c>
      <c r="AG135" s="627">
        <v>0</v>
      </c>
      <c r="AH135" s="627">
        <v>0</v>
      </c>
      <c r="AI135" s="627">
        <v>0</v>
      </c>
      <c r="AJ135" s="627">
        <v>0</v>
      </c>
      <c r="AK135" s="627">
        <v>6160</v>
      </c>
      <c r="AL135" s="627" t="s">
        <v>651</v>
      </c>
      <c r="AM135" s="627" t="s">
        <v>1058</v>
      </c>
      <c r="AN135" s="627">
        <v>0</v>
      </c>
      <c r="AO135" s="627">
        <v>0</v>
      </c>
      <c r="AP135" s="627">
        <v>0</v>
      </c>
      <c r="AQ135" s="627">
        <v>0</v>
      </c>
      <c r="AR135" s="627">
        <v>0</v>
      </c>
      <c r="AS135" s="627">
        <v>0</v>
      </c>
      <c r="AT135" s="627">
        <v>0</v>
      </c>
      <c r="AU135" s="627">
        <v>0</v>
      </c>
      <c r="AV135" s="627">
        <v>0</v>
      </c>
      <c r="AW135" s="627">
        <v>0</v>
      </c>
      <c r="AX135" s="627">
        <v>28143483</v>
      </c>
      <c r="AY135" s="627">
        <v>27754037</v>
      </c>
      <c r="AZ135" s="627">
        <v>14568502</v>
      </c>
      <c r="BA135" s="627">
        <v>1139015</v>
      </c>
      <c r="BB135" s="627">
        <v>0</v>
      </c>
      <c r="BC135" s="627">
        <v>53257</v>
      </c>
      <c r="BD135" s="627">
        <v>52918</v>
      </c>
      <c r="BE135" s="627">
        <v>125</v>
      </c>
      <c r="BF135" s="627">
        <v>340</v>
      </c>
      <c r="BG135" s="627">
        <v>24706112</v>
      </c>
      <c r="BH135" s="627">
        <v>0</v>
      </c>
      <c r="BI135" s="627">
        <v>0</v>
      </c>
      <c r="BJ135" s="627">
        <v>0</v>
      </c>
      <c r="BK135" s="627">
        <v>12</v>
      </c>
      <c r="BL135" s="627">
        <v>0</v>
      </c>
      <c r="BM135" s="627">
        <v>0</v>
      </c>
      <c r="BN135" s="627">
        <v>0</v>
      </c>
      <c r="BO135" s="627">
        <v>0</v>
      </c>
      <c r="BP135" s="627">
        <v>0</v>
      </c>
      <c r="BQ135" s="627">
        <v>0</v>
      </c>
      <c r="BR135" s="627">
        <v>421</v>
      </c>
      <c r="BS135" s="627">
        <v>0</v>
      </c>
      <c r="BT135" s="627">
        <v>0</v>
      </c>
      <c r="BU135" s="627">
        <v>0</v>
      </c>
      <c r="BV135" s="627">
        <v>0</v>
      </c>
      <c r="BW135" s="627">
        <v>0</v>
      </c>
      <c r="BX135" s="627">
        <v>0</v>
      </c>
      <c r="BY135" s="627">
        <v>0</v>
      </c>
      <c r="BZ135" s="627">
        <v>0</v>
      </c>
      <c r="CA135" s="627">
        <v>0</v>
      </c>
      <c r="CB135" s="627">
        <v>0</v>
      </c>
      <c r="CC135" s="627">
        <v>0</v>
      </c>
      <c r="CD135" s="627">
        <v>0</v>
      </c>
      <c r="CE135" s="627">
        <v>0</v>
      </c>
      <c r="CF135" s="627">
        <v>0</v>
      </c>
      <c r="CG135" s="627">
        <v>0</v>
      </c>
      <c r="CH135" s="627">
        <v>0</v>
      </c>
      <c r="CI135" s="627">
        <v>399849</v>
      </c>
      <c r="CJ135" s="627">
        <v>0</v>
      </c>
      <c r="CK135" s="627">
        <v>4</v>
      </c>
      <c r="CL135" s="627">
        <v>0</v>
      </c>
      <c r="CM135" s="627">
        <v>0</v>
      </c>
      <c r="CN135" s="627">
        <v>0</v>
      </c>
      <c r="CO135" s="627">
        <v>0</v>
      </c>
      <c r="CP135" s="627">
        <v>1</v>
      </c>
      <c r="CQ135" s="627">
        <v>0</v>
      </c>
      <c r="CR135" s="627">
        <v>0</v>
      </c>
      <c r="CS135" s="627">
        <v>2733.59</v>
      </c>
      <c r="CT135" s="627">
        <v>0</v>
      </c>
      <c r="CU135" s="627">
        <v>0</v>
      </c>
      <c r="CV135" s="627">
        <v>0</v>
      </c>
      <c r="CW135" s="627">
        <v>0</v>
      </c>
      <c r="CX135" s="627">
        <v>0</v>
      </c>
      <c r="CY135" s="627">
        <v>0</v>
      </c>
      <c r="CZ135" s="627">
        <v>0</v>
      </c>
      <c r="DA135" s="627">
        <v>0</v>
      </c>
      <c r="DB135" s="627">
        <v>0</v>
      </c>
      <c r="DC135" s="627">
        <v>13825609</v>
      </c>
      <c r="DD135" s="627">
        <v>0</v>
      </c>
      <c r="DE135" s="627">
        <v>0</v>
      </c>
      <c r="DF135" s="627">
        <v>3299604</v>
      </c>
      <c r="DG135" s="627">
        <v>3299604</v>
      </c>
      <c r="DH135" s="627">
        <v>535.65</v>
      </c>
      <c r="DI135" s="627">
        <v>0</v>
      </c>
      <c r="DJ135" s="627">
        <v>0</v>
      </c>
      <c r="DK135" s="627">
        <v>0</v>
      </c>
      <c r="DL135" s="627">
        <v>0</v>
      </c>
      <c r="DM135" s="627">
        <v>0</v>
      </c>
      <c r="DN135" s="627">
        <v>3098799</v>
      </c>
      <c r="DO135" s="627">
        <v>10064</v>
      </c>
      <c r="DP135" s="627">
        <v>0</v>
      </c>
      <c r="DQ135" s="627">
        <v>0</v>
      </c>
      <c r="DR135" s="627">
        <v>0</v>
      </c>
      <c r="DS135" s="627">
        <v>0</v>
      </c>
      <c r="DT135" s="627">
        <v>0</v>
      </c>
      <c r="DU135" s="627">
        <v>0</v>
      </c>
      <c r="DV135" s="627">
        <v>0</v>
      </c>
      <c r="DW135" s="627">
        <v>0</v>
      </c>
      <c r="DX135" s="627">
        <v>0</v>
      </c>
      <c r="DY135" s="627">
        <v>0</v>
      </c>
      <c r="DZ135" s="627">
        <v>0</v>
      </c>
      <c r="EA135" s="627">
        <v>0</v>
      </c>
      <c r="EB135" s="627">
        <v>7.400000000000001E-2</v>
      </c>
      <c r="EC135" s="627">
        <v>0</v>
      </c>
      <c r="ED135" s="627">
        <v>141.977</v>
      </c>
      <c r="EE135" s="627">
        <v>1005765</v>
      </c>
      <c r="EF135" s="627">
        <v>0</v>
      </c>
      <c r="EG135" s="627">
        <v>0</v>
      </c>
      <c r="EH135" s="627">
        <v>0</v>
      </c>
      <c r="EI135" s="627">
        <v>1956921</v>
      </c>
      <c r="EJ135" s="627">
        <v>0</v>
      </c>
      <c r="EK135" s="627">
        <v>0</v>
      </c>
      <c r="EL135" s="627">
        <v>76.26100000000001</v>
      </c>
      <c r="EM135" s="627">
        <v>0.23500000000000001</v>
      </c>
      <c r="EN135" s="627">
        <v>16.792999999999999</v>
      </c>
      <c r="EO135" s="627">
        <v>7.63</v>
      </c>
      <c r="EP135" s="627">
        <v>0</v>
      </c>
      <c r="EQ135" s="627">
        <v>0</v>
      </c>
      <c r="ER135" s="627">
        <v>100.75800000000001</v>
      </c>
      <c r="ES135" s="627">
        <v>0</v>
      </c>
      <c r="ET135" s="627">
        <v>317.68200000000002</v>
      </c>
      <c r="EU135" s="627">
        <v>0</v>
      </c>
      <c r="EV135" s="627">
        <v>0</v>
      </c>
      <c r="EW135" s="627">
        <v>0</v>
      </c>
      <c r="EX135" s="627">
        <v>0</v>
      </c>
      <c r="EY135" s="627">
        <v>0</v>
      </c>
      <c r="EZ135" s="627">
        <v>0</v>
      </c>
      <c r="FA135" s="627">
        <v>23580320</v>
      </c>
      <c r="FB135" s="627">
        <v>0</v>
      </c>
      <c r="FC135" s="627">
        <v>24708932</v>
      </c>
      <c r="FD135" s="627">
        <v>0</v>
      </c>
      <c r="FE135" s="627">
        <v>0</v>
      </c>
      <c r="FF135" s="627">
        <v>3557586</v>
      </c>
      <c r="FG135" s="627">
        <v>616131</v>
      </c>
      <c r="FH135" s="627">
        <v>7.0280999999999996E-2</v>
      </c>
      <c r="FI135" s="627">
        <v>3.1172999999999999E-2</v>
      </c>
      <c r="FJ135" s="627">
        <v>0</v>
      </c>
      <c r="FK135" s="627">
        <v>0</v>
      </c>
      <c r="FL135" s="627">
        <v>4010.7330000000002</v>
      </c>
      <c r="FM135" s="627">
        <v>29282498</v>
      </c>
      <c r="FN135" s="627">
        <v>0</v>
      </c>
      <c r="FO135" s="627">
        <v>0</v>
      </c>
      <c r="FP135" s="627">
        <v>0</v>
      </c>
      <c r="FQ135" s="627">
        <v>0</v>
      </c>
      <c r="FR135" s="627">
        <v>0</v>
      </c>
      <c r="FS135" s="627">
        <v>0</v>
      </c>
      <c r="FT135" s="627">
        <v>0</v>
      </c>
      <c r="FU135" s="627">
        <v>0</v>
      </c>
      <c r="FV135" s="627">
        <v>0</v>
      </c>
      <c r="FW135" s="627">
        <v>0</v>
      </c>
      <c r="FX135" s="627">
        <v>0</v>
      </c>
      <c r="FY135" s="627">
        <v>0</v>
      </c>
      <c r="FZ135" s="627">
        <v>0</v>
      </c>
      <c r="GA135" s="627">
        <v>0</v>
      </c>
      <c r="GB135" s="627">
        <v>0</v>
      </c>
      <c r="GC135" s="627">
        <v>1284343</v>
      </c>
      <c r="GD135" s="627">
        <v>1284343</v>
      </c>
      <c r="GE135" s="627">
        <v>131.268</v>
      </c>
      <c r="GF135" s="627">
        <v>0</v>
      </c>
      <c r="GG135" s="627">
        <v>0</v>
      </c>
      <c r="GH135" s="627">
        <v>0</v>
      </c>
      <c r="GI135" s="627">
        <v>0</v>
      </c>
      <c r="GJ135" s="627">
        <v>0</v>
      </c>
      <c r="GK135" s="627">
        <v>0</v>
      </c>
      <c r="GL135" s="627">
        <v>0</v>
      </c>
      <c r="GM135" s="627">
        <v>0</v>
      </c>
      <c r="GN135" s="627">
        <v>0</v>
      </c>
      <c r="GO135" s="627">
        <v>0</v>
      </c>
      <c r="GP135" s="627">
        <v>0</v>
      </c>
      <c r="GQ135" s="627">
        <v>0</v>
      </c>
      <c r="GR135" s="627">
        <v>27743634</v>
      </c>
      <c r="GS135" s="627">
        <v>0</v>
      </c>
      <c r="GT135" s="627">
        <v>0</v>
      </c>
      <c r="GU135" s="627">
        <v>0</v>
      </c>
      <c r="GV135" s="627">
        <v>0</v>
      </c>
      <c r="GW135" s="627">
        <v>0</v>
      </c>
      <c r="GX135" s="627">
        <v>0</v>
      </c>
      <c r="GY135" s="627">
        <v>0</v>
      </c>
      <c r="GZ135" s="627">
        <v>0</v>
      </c>
      <c r="HA135" s="627">
        <v>0</v>
      </c>
      <c r="HB135" s="627">
        <v>0</v>
      </c>
      <c r="HC135" s="627">
        <v>361151439</v>
      </c>
      <c r="HD135" s="627">
        <v>3.9981999999999997E-2</v>
      </c>
      <c r="HE135" s="627">
        <v>399849</v>
      </c>
      <c r="HF135" s="627">
        <v>0</v>
      </c>
      <c r="HG135" s="627">
        <v>2499498</v>
      </c>
      <c r="HH135" s="627">
        <v>16632</v>
      </c>
      <c r="HI135" s="627">
        <v>400944</v>
      </c>
      <c r="HJ135" s="627">
        <v>0</v>
      </c>
      <c r="HK135" s="627">
        <v>85002</v>
      </c>
      <c r="HL135" s="627">
        <v>7234</v>
      </c>
      <c r="HM135" s="627">
        <v>5989</v>
      </c>
      <c r="HN135" s="627">
        <v>9000</v>
      </c>
      <c r="HO135" s="627">
        <v>0</v>
      </c>
      <c r="HP135" s="627">
        <v>0</v>
      </c>
      <c r="HQ135" s="627">
        <v>0</v>
      </c>
      <c r="HR135" s="627">
        <v>0</v>
      </c>
      <c r="HS135" s="627">
        <v>0</v>
      </c>
      <c r="HT135" s="627">
        <v>23569917</v>
      </c>
      <c r="HU135" s="627">
        <v>616131</v>
      </c>
      <c r="HV135" s="627">
        <v>0</v>
      </c>
      <c r="HW135" s="627">
        <v>0</v>
      </c>
      <c r="HX135" s="627">
        <v>0</v>
      </c>
      <c r="HY135" s="627">
        <v>287</v>
      </c>
      <c r="HZ135" s="627">
        <v>442</v>
      </c>
      <c r="IA135" s="627">
        <v>409</v>
      </c>
      <c r="IB135" s="627">
        <v>540</v>
      </c>
      <c r="IC135" s="627">
        <v>444</v>
      </c>
      <c r="ID135" s="627">
        <v>2122</v>
      </c>
      <c r="IE135" s="627">
        <v>0</v>
      </c>
      <c r="IF135" s="627">
        <v>0.53500000000000003</v>
      </c>
      <c r="IG135" s="627">
        <v>8.3849999999999998</v>
      </c>
      <c r="IH135" s="627">
        <v>27</v>
      </c>
      <c r="II135" s="627">
        <v>650.88300000000004</v>
      </c>
      <c r="IJ135" s="627">
        <v>0</v>
      </c>
      <c r="IK135" s="627">
        <v>204.185</v>
      </c>
      <c r="IL135" s="627">
        <v>0</v>
      </c>
      <c r="IM135" s="627">
        <v>1</v>
      </c>
      <c r="IN135" s="627">
        <v>0</v>
      </c>
      <c r="IO135" s="627">
        <v>2</v>
      </c>
      <c r="IP135" s="627">
        <v>3</v>
      </c>
      <c r="IQ135" s="627">
        <v>0</v>
      </c>
      <c r="IR135" s="627">
        <v>195.26500000000001</v>
      </c>
      <c r="IS135" s="627">
        <v>120283</v>
      </c>
      <c r="IT135" s="627">
        <v>0</v>
      </c>
      <c r="IU135" s="627">
        <v>5000</v>
      </c>
      <c r="IV135" s="627">
        <v>0</v>
      </c>
      <c r="IW135" s="627">
        <v>4000</v>
      </c>
      <c r="IX135" s="627">
        <v>6160</v>
      </c>
      <c r="IY135" s="627">
        <v>494</v>
      </c>
      <c r="IZ135" s="627">
        <v>2583</v>
      </c>
      <c r="JA135" s="627">
        <v>0</v>
      </c>
      <c r="JB135" s="627">
        <v>0</v>
      </c>
      <c r="JC135" s="627">
        <v>0</v>
      </c>
      <c r="JD135" s="627">
        <v>0</v>
      </c>
      <c r="JE135" s="627">
        <v>0</v>
      </c>
      <c r="JF135" s="627">
        <v>0</v>
      </c>
      <c r="JG135" s="627">
        <v>0</v>
      </c>
      <c r="JH135" s="627">
        <v>0</v>
      </c>
      <c r="JI135" s="627">
        <v>0</v>
      </c>
      <c r="JJ135" s="627">
        <v>0</v>
      </c>
      <c r="JK135" s="627">
        <v>0</v>
      </c>
      <c r="JL135" s="627">
        <v>0</v>
      </c>
      <c r="JM135" s="627">
        <v>0</v>
      </c>
      <c r="JN135" s="627">
        <v>0</v>
      </c>
      <c r="JO135" s="627">
        <v>32469</v>
      </c>
      <c r="JP135" s="627">
        <v>0</v>
      </c>
      <c r="JQ135" s="627">
        <v>84.768000000000001</v>
      </c>
      <c r="JR135" s="627">
        <v>46.5</v>
      </c>
      <c r="JS135" s="627">
        <v>0</v>
      </c>
      <c r="JT135" s="627">
        <v>787949</v>
      </c>
      <c r="JU135" s="627">
        <v>496394</v>
      </c>
      <c r="JV135" s="627">
        <v>53900</v>
      </c>
      <c r="JW135" s="627">
        <v>0</v>
      </c>
      <c r="JX135" s="627">
        <v>0</v>
      </c>
      <c r="JY135" s="627">
        <v>0</v>
      </c>
      <c r="JZ135" s="627">
        <v>0</v>
      </c>
      <c r="KA135" s="627">
        <v>0</v>
      </c>
      <c r="KB135" s="627">
        <v>0</v>
      </c>
      <c r="KC135" s="627">
        <v>0</v>
      </c>
      <c r="KD135" s="627">
        <v>0</v>
      </c>
      <c r="KE135" s="627">
        <v>53900</v>
      </c>
      <c r="KF135" s="627">
        <v>7262</v>
      </c>
      <c r="KG135" s="627">
        <v>0</v>
      </c>
      <c r="KH135" s="627">
        <v>0</v>
      </c>
      <c r="KI135" s="627">
        <v>27743634</v>
      </c>
      <c r="KJ135" s="627">
        <v>0</v>
      </c>
      <c r="KK135" s="627">
        <v>16</v>
      </c>
      <c r="KL135" s="627">
        <v>11</v>
      </c>
      <c r="KM135" s="627">
        <v>9856</v>
      </c>
      <c r="KN135" s="627">
        <v>6776</v>
      </c>
      <c r="KO135" s="627">
        <v>0</v>
      </c>
      <c r="KP135" s="627">
        <v>0</v>
      </c>
      <c r="KQ135" s="627">
        <v>27743634</v>
      </c>
      <c r="KR135" s="627">
        <v>0</v>
      </c>
      <c r="KS135" s="627">
        <v>0</v>
      </c>
      <c r="KT135" s="627">
        <v>0</v>
      </c>
      <c r="KU135" s="627">
        <v>0</v>
      </c>
      <c r="KV135" s="627">
        <v>0</v>
      </c>
      <c r="KW135" s="627">
        <v>0</v>
      </c>
      <c r="KX135" s="627">
        <v>0</v>
      </c>
      <c r="KY135" s="627">
        <v>0</v>
      </c>
      <c r="KZ135" s="627">
        <v>0</v>
      </c>
      <c r="LA135" s="627">
        <v>0</v>
      </c>
      <c r="LB135" s="627">
        <v>0</v>
      </c>
      <c r="LC135" s="627">
        <v>0</v>
      </c>
      <c r="LD135" s="627">
        <v>0</v>
      </c>
      <c r="LE135" s="627">
        <v>0</v>
      </c>
      <c r="LF135" s="627">
        <v>0</v>
      </c>
    </row>
    <row r="136" spans="1:318" x14ac:dyDescent="0.25">
      <c r="A136" s="627">
        <v>42602</v>
      </c>
      <c r="B136" s="627">
        <v>57830</v>
      </c>
      <c r="D136" s="627">
        <v>9</v>
      </c>
      <c r="E136" s="627">
        <v>2024</v>
      </c>
      <c r="F136" s="627">
        <v>6160</v>
      </c>
      <c r="G136" s="627">
        <v>0</v>
      </c>
      <c r="H136" s="627">
        <v>1146.2570000000001</v>
      </c>
      <c r="I136" s="627">
        <v>1024.442</v>
      </c>
      <c r="J136" s="627">
        <v>1024.442</v>
      </c>
      <c r="K136" s="627">
        <v>1146.2570000000001</v>
      </c>
      <c r="L136" s="627">
        <v>0</v>
      </c>
      <c r="M136" s="627">
        <v>6160</v>
      </c>
      <c r="N136" s="627">
        <v>0</v>
      </c>
      <c r="O136" s="627">
        <v>0</v>
      </c>
      <c r="P136" s="627">
        <v>0</v>
      </c>
      <c r="Q136" s="627">
        <v>1154.1000000000001</v>
      </c>
      <c r="R136" s="627">
        <v>0</v>
      </c>
      <c r="S136" s="627">
        <v>478818</v>
      </c>
      <c r="T136" s="627">
        <v>414.88400000000001</v>
      </c>
      <c r="U136" s="627">
        <v>0</v>
      </c>
      <c r="V136" s="627">
        <v>248487</v>
      </c>
      <c r="W136" s="627">
        <v>664.03500000000008</v>
      </c>
      <c r="X136" s="627">
        <v>409046</v>
      </c>
      <c r="Y136" s="627">
        <v>409046</v>
      </c>
      <c r="Z136" s="627">
        <v>0</v>
      </c>
      <c r="AA136" s="627">
        <v>0</v>
      </c>
      <c r="AB136" s="627">
        <v>0</v>
      </c>
      <c r="AC136" s="627">
        <v>0</v>
      </c>
      <c r="AD136" s="627">
        <v>0</v>
      </c>
      <c r="AE136" s="627" t="s">
        <v>314</v>
      </c>
      <c r="AF136" s="627">
        <v>0</v>
      </c>
      <c r="AG136" s="627">
        <v>0</v>
      </c>
      <c r="AH136" s="627">
        <v>0</v>
      </c>
      <c r="AI136" s="627">
        <v>0</v>
      </c>
      <c r="AJ136" s="627">
        <v>0</v>
      </c>
      <c r="AK136" s="627">
        <v>6160</v>
      </c>
      <c r="AL136" s="627" t="s">
        <v>651</v>
      </c>
      <c r="AM136" s="627" t="s">
        <v>45</v>
      </c>
      <c r="AN136" s="627">
        <v>0</v>
      </c>
      <c r="AO136" s="627">
        <v>0</v>
      </c>
      <c r="AP136" s="627">
        <v>0</v>
      </c>
      <c r="AQ136" s="627">
        <v>0</v>
      </c>
      <c r="AR136" s="627">
        <v>0</v>
      </c>
      <c r="AS136" s="627">
        <v>0</v>
      </c>
      <c r="AT136" s="627">
        <v>0</v>
      </c>
      <c r="AU136" s="627">
        <v>0</v>
      </c>
      <c r="AV136" s="627">
        <v>0</v>
      </c>
      <c r="AW136" s="627">
        <v>0</v>
      </c>
      <c r="AX136" s="627">
        <v>13944690</v>
      </c>
      <c r="AY136" s="627">
        <v>13765106</v>
      </c>
      <c r="AZ136" s="627">
        <v>6873949</v>
      </c>
      <c r="BA136" s="627">
        <v>478818</v>
      </c>
      <c r="BB136" s="627">
        <v>85.417000000000002</v>
      </c>
      <c r="BC136" s="627">
        <v>21729</v>
      </c>
      <c r="BD136" s="627">
        <v>21590</v>
      </c>
      <c r="BE136" s="627">
        <v>51</v>
      </c>
      <c r="BF136" s="627">
        <v>139</v>
      </c>
      <c r="BG136" s="627">
        <v>12179406</v>
      </c>
      <c r="BH136" s="627">
        <v>0</v>
      </c>
      <c r="BI136" s="627">
        <v>0</v>
      </c>
      <c r="BJ136" s="627">
        <v>0</v>
      </c>
      <c r="BK136" s="627">
        <v>12</v>
      </c>
      <c r="BL136" s="627">
        <v>0</v>
      </c>
      <c r="BM136" s="627">
        <v>0</v>
      </c>
      <c r="BN136" s="627">
        <v>0</v>
      </c>
      <c r="BO136" s="627">
        <v>0</v>
      </c>
      <c r="BP136" s="627">
        <v>0</v>
      </c>
      <c r="BQ136" s="627">
        <v>0</v>
      </c>
      <c r="BR136" s="627">
        <v>612</v>
      </c>
      <c r="BS136" s="627">
        <v>0</v>
      </c>
      <c r="BT136" s="627">
        <v>0</v>
      </c>
      <c r="BU136" s="627">
        <v>0</v>
      </c>
      <c r="BV136" s="627">
        <v>0</v>
      </c>
      <c r="BW136" s="627">
        <v>0</v>
      </c>
      <c r="BX136" s="627">
        <v>0</v>
      </c>
      <c r="BY136" s="627">
        <v>0</v>
      </c>
      <c r="BZ136" s="627">
        <v>0</v>
      </c>
      <c r="CA136" s="627">
        <v>0</v>
      </c>
      <c r="CB136" s="627">
        <v>0</v>
      </c>
      <c r="CC136" s="627">
        <v>0</v>
      </c>
      <c r="CD136" s="627">
        <v>0</v>
      </c>
      <c r="CE136" s="627">
        <v>0</v>
      </c>
      <c r="CF136" s="627">
        <v>0</v>
      </c>
      <c r="CG136" s="627">
        <v>0</v>
      </c>
      <c r="CH136" s="627">
        <v>0</v>
      </c>
      <c r="CI136" s="627">
        <v>183319</v>
      </c>
      <c r="CJ136" s="627">
        <v>0</v>
      </c>
      <c r="CK136" s="627">
        <v>4</v>
      </c>
      <c r="CL136" s="627">
        <v>0</v>
      </c>
      <c r="CM136" s="627">
        <v>0</v>
      </c>
      <c r="CN136" s="627">
        <v>0</v>
      </c>
      <c r="CO136" s="627">
        <v>0</v>
      </c>
      <c r="CP136" s="627">
        <v>1</v>
      </c>
      <c r="CQ136" s="627">
        <v>0</v>
      </c>
      <c r="CR136" s="627">
        <v>9.5830000000000002</v>
      </c>
      <c r="CS136" s="627">
        <v>1153.42</v>
      </c>
      <c r="CT136" s="627">
        <v>0</v>
      </c>
      <c r="CU136" s="627">
        <v>0</v>
      </c>
      <c r="CV136" s="627">
        <v>0</v>
      </c>
      <c r="CW136" s="627">
        <v>0</v>
      </c>
      <c r="CX136" s="627">
        <v>0</v>
      </c>
      <c r="CY136" s="627">
        <v>0</v>
      </c>
      <c r="CZ136" s="627">
        <v>0</v>
      </c>
      <c r="DA136" s="627">
        <v>0</v>
      </c>
      <c r="DB136" s="627">
        <v>0</v>
      </c>
      <c r="DC136" s="627">
        <v>6310563</v>
      </c>
      <c r="DD136" s="627">
        <v>0</v>
      </c>
      <c r="DE136" s="627">
        <v>0</v>
      </c>
      <c r="DF136" s="627">
        <v>1976128</v>
      </c>
      <c r="DG136" s="627">
        <v>1976128</v>
      </c>
      <c r="DH136" s="627">
        <v>320.8</v>
      </c>
      <c r="DI136" s="627">
        <v>0</v>
      </c>
      <c r="DJ136" s="627">
        <v>0</v>
      </c>
      <c r="DK136" s="627">
        <v>0</v>
      </c>
      <c r="DL136" s="627">
        <v>1418</v>
      </c>
      <c r="DM136" s="627">
        <v>0</v>
      </c>
      <c r="DN136" s="627">
        <v>1055029</v>
      </c>
      <c r="DO136" s="627">
        <v>3596</v>
      </c>
      <c r="DP136" s="627">
        <v>0</v>
      </c>
      <c r="DQ136" s="627">
        <v>0</v>
      </c>
      <c r="DR136" s="627">
        <v>0</v>
      </c>
      <c r="DS136" s="627">
        <v>0</v>
      </c>
      <c r="DT136" s="627">
        <v>0</v>
      </c>
      <c r="DU136" s="627">
        <v>0</v>
      </c>
      <c r="DV136" s="627">
        <v>0</v>
      </c>
      <c r="DW136" s="627">
        <v>0</v>
      </c>
      <c r="DX136" s="627">
        <v>0</v>
      </c>
      <c r="DY136" s="627">
        <v>0</v>
      </c>
      <c r="DZ136" s="627">
        <v>0</v>
      </c>
      <c r="EA136" s="627">
        <v>0</v>
      </c>
      <c r="EB136" s="627">
        <v>0</v>
      </c>
      <c r="EC136" s="627">
        <v>0</v>
      </c>
      <c r="ED136" s="627">
        <v>57.845000000000006</v>
      </c>
      <c r="EE136" s="627">
        <v>409774</v>
      </c>
      <c r="EF136" s="627">
        <v>0</v>
      </c>
      <c r="EG136" s="627">
        <v>0</v>
      </c>
      <c r="EH136" s="627">
        <v>0</v>
      </c>
      <c r="EI136" s="627">
        <v>648851</v>
      </c>
      <c r="EJ136" s="627">
        <v>0</v>
      </c>
      <c r="EK136" s="627">
        <v>0</v>
      </c>
      <c r="EL136" s="627">
        <v>23.636000000000003</v>
      </c>
      <c r="EM136" s="627">
        <v>0</v>
      </c>
      <c r="EN136" s="627">
        <v>6.7700000000000005</v>
      </c>
      <c r="EO136" s="627">
        <v>2.823</v>
      </c>
      <c r="EP136" s="627">
        <v>0</v>
      </c>
      <c r="EQ136" s="627">
        <v>0</v>
      </c>
      <c r="ER136" s="627">
        <v>33.228999999999999</v>
      </c>
      <c r="ES136" s="627">
        <v>0</v>
      </c>
      <c r="ET136" s="627">
        <v>105.333</v>
      </c>
      <c r="EU136" s="627">
        <v>0</v>
      </c>
      <c r="EV136" s="627">
        <v>0</v>
      </c>
      <c r="EW136" s="627">
        <v>0</v>
      </c>
      <c r="EX136" s="627">
        <v>0</v>
      </c>
      <c r="EY136" s="627">
        <v>0</v>
      </c>
      <c r="EZ136" s="627">
        <v>0</v>
      </c>
      <c r="FA136" s="627">
        <v>11707583</v>
      </c>
      <c r="FB136" s="627">
        <v>0</v>
      </c>
      <c r="FC136" s="627">
        <v>12182666</v>
      </c>
      <c r="FD136" s="627">
        <v>0</v>
      </c>
      <c r="FE136" s="627">
        <v>0</v>
      </c>
      <c r="FF136" s="627">
        <v>1753788</v>
      </c>
      <c r="FG136" s="627">
        <v>303735</v>
      </c>
      <c r="FH136" s="627">
        <v>7.0280999999999996E-2</v>
      </c>
      <c r="FI136" s="627">
        <v>3.1172999999999999E-2</v>
      </c>
      <c r="FJ136" s="627">
        <v>0</v>
      </c>
      <c r="FK136" s="627">
        <v>0</v>
      </c>
      <c r="FL136" s="627">
        <v>1977.1760000000002</v>
      </c>
      <c r="FM136" s="627">
        <v>14423508</v>
      </c>
      <c r="FN136" s="627">
        <v>0</v>
      </c>
      <c r="FO136" s="627">
        <v>0</v>
      </c>
      <c r="FP136" s="627">
        <v>0</v>
      </c>
      <c r="FQ136" s="627">
        <v>0</v>
      </c>
      <c r="FR136" s="627">
        <v>0</v>
      </c>
      <c r="FS136" s="627">
        <v>0</v>
      </c>
      <c r="FT136" s="627">
        <v>0</v>
      </c>
      <c r="FU136" s="627">
        <v>0</v>
      </c>
      <c r="FV136" s="627">
        <v>0</v>
      </c>
      <c r="FW136" s="627">
        <v>0</v>
      </c>
      <c r="FX136" s="627">
        <v>0</v>
      </c>
      <c r="FY136" s="627">
        <v>0</v>
      </c>
      <c r="FZ136" s="627">
        <v>0</v>
      </c>
      <c r="GA136" s="627">
        <v>0</v>
      </c>
      <c r="GB136" s="627">
        <v>0</v>
      </c>
      <c r="GC136" s="627">
        <v>894609</v>
      </c>
      <c r="GD136" s="627">
        <v>894609</v>
      </c>
      <c r="GE136" s="627">
        <v>88.585999999999999</v>
      </c>
      <c r="GF136" s="627">
        <v>0</v>
      </c>
      <c r="GG136" s="627">
        <v>0</v>
      </c>
      <c r="GH136" s="627">
        <v>0</v>
      </c>
      <c r="GI136" s="627">
        <v>0</v>
      </c>
      <c r="GJ136" s="627">
        <v>0</v>
      </c>
      <c r="GK136" s="627">
        <v>0</v>
      </c>
      <c r="GL136" s="627">
        <v>0</v>
      </c>
      <c r="GM136" s="627">
        <v>0</v>
      </c>
      <c r="GN136" s="627">
        <v>0</v>
      </c>
      <c r="GO136" s="627">
        <v>0</v>
      </c>
      <c r="GP136" s="627">
        <v>0</v>
      </c>
      <c r="GQ136" s="627">
        <v>0</v>
      </c>
      <c r="GR136" s="627">
        <v>13761371</v>
      </c>
      <c r="GS136" s="627">
        <v>0</v>
      </c>
      <c r="GT136" s="627">
        <v>0</v>
      </c>
      <c r="GU136" s="627">
        <v>0</v>
      </c>
      <c r="GV136" s="627">
        <v>0</v>
      </c>
      <c r="GW136" s="627">
        <v>0</v>
      </c>
      <c r="GX136" s="627">
        <v>0</v>
      </c>
      <c r="GY136" s="627">
        <v>0</v>
      </c>
      <c r="GZ136" s="627">
        <v>0</v>
      </c>
      <c r="HA136" s="627">
        <v>0</v>
      </c>
      <c r="HB136" s="627">
        <v>0</v>
      </c>
      <c r="HC136" s="627">
        <v>361151439</v>
      </c>
      <c r="HD136" s="627">
        <v>3.9981999999999997E-2</v>
      </c>
      <c r="HE136" s="627">
        <v>183319</v>
      </c>
      <c r="HF136" s="627">
        <v>0</v>
      </c>
      <c r="HG136" s="627">
        <v>1128935</v>
      </c>
      <c r="HH136" s="627">
        <v>15400</v>
      </c>
      <c r="HI136" s="627">
        <v>301420</v>
      </c>
      <c r="HJ136" s="627">
        <v>0</v>
      </c>
      <c r="HK136" s="627">
        <v>41463</v>
      </c>
      <c r="HL136" s="627">
        <v>4033</v>
      </c>
      <c r="HM136" s="627">
        <v>2962</v>
      </c>
      <c r="HN136" s="627">
        <v>0</v>
      </c>
      <c r="HO136" s="627">
        <v>21488</v>
      </c>
      <c r="HP136" s="627">
        <v>0</v>
      </c>
      <c r="HQ136" s="627">
        <v>0</v>
      </c>
      <c r="HR136" s="627">
        <v>0</v>
      </c>
      <c r="HS136" s="627">
        <v>0</v>
      </c>
      <c r="HT136" s="627">
        <v>11703848</v>
      </c>
      <c r="HU136" s="627">
        <v>303735</v>
      </c>
      <c r="HV136" s="627">
        <v>0</v>
      </c>
      <c r="HW136" s="627">
        <v>0</v>
      </c>
      <c r="HX136" s="627">
        <v>0</v>
      </c>
      <c r="HY136" s="627">
        <v>10</v>
      </c>
      <c r="HZ136" s="627">
        <v>45</v>
      </c>
      <c r="IA136" s="627">
        <v>378</v>
      </c>
      <c r="IB136" s="627">
        <v>487</v>
      </c>
      <c r="IC136" s="627">
        <v>311</v>
      </c>
      <c r="ID136" s="627">
        <v>1231</v>
      </c>
      <c r="IE136" s="627">
        <v>0</v>
      </c>
      <c r="IF136" s="627">
        <v>0</v>
      </c>
      <c r="IG136" s="627">
        <v>0</v>
      </c>
      <c r="IH136" s="627">
        <v>25</v>
      </c>
      <c r="II136" s="627">
        <v>489.31800000000004</v>
      </c>
      <c r="IJ136" s="627">
        <v>0</v>
      </c>
      <c r="IK136" s="627">
        <v>664.03500000000008</v>
      </c>
      <c r="IL136" s="627">
        <v>0</v>
      </c>
      <c r="IM136" s="627">
        <v>0</v>
      </c>
      <c r="IN136" s="627">
        <v>0</v>
      </c>
      <c r="IO136" s="627">
        <v>0</v>
      </c>
      <c r="IP136" s="627">
        <v>0</v>
      </c>
      <c r="IQ136" s="627">
        <v>0</v>
      </c>
      <c r="IR136" s="627">
        <v>664.03500000000008</v>
      </c>
      <c r="IS136" s="627">
        <v>409046</v>
      </c>
      <c r="IT136" s="627">
        <v>0</v>
      </c>
      <c r="IU136" s="627">
        <v>0</v>
      </c>
      <c r="IV136" s="627">
        <v>0</v>
      </c>
      <c r="IW136" s="627">
        <v>0</v>
      </c>
      <c r="IX136" s="627">
        <v>6160</v>
      </c>
      <c r="IY136" s="627">
        <v>0</v>
      </c>
      <c r="IZ136" s="627">
        <v>0</v>
      </c>
      <c r="JA136" s="627">
        <v>0</v>
      </c>
      <c r="JB136" s="627">
        <v>0</v>
      </c>
      <c r="JC136" s="627">
        <v>0</v>
      </c>
      <c r="JD136" s="627">
        <v>0</v>
      </c>
      <c r="JE136" s="627">
        <v>1</v>
      </c>
      <c r="JF136" s="627">
        <v>13826</v>
      </c>
      <c r="JG136" s="627">
        <v>1</v>
      </c>
      <c r="JH136" s="627">
        <v>7162</v>
      </c>
      <c r="JI136" s="627">
        <v>500</v>
      </c>
      <c r="JJ136" s="627">
        <v>0</v>
      </c>
      <c r="JK136" s="627">
        <v>0</v>
      </c>
      <c r="JL136" s="627">
        <v>0</v>
      </c>
      <c r="JM136" s="627">
        <v>0</v>
      </c>
      <c r="JN136" s="627">
        <v>0</v>
      </c>
      <c r="JO136" s="627">
        <v>32469</v>
      </c>
      <c r="JP136" s="627">
        <v>0</v>
      </c>
      <c r="JQ136" s="627">
        <v>37.005000000000003</v>
      </c>
      <c r="JR136" s="627">
        <v>51.581000000000003</v>
      </c>
      <c r="JS136" s="627">
        <v>0</v>
      </c>
      <c r="JT136" s="627">
        <v>343975</v>
      </c>
      <c r="JU136" s="627">
        <v>550634</v>
      </c>
      <c r="JV136" s="627">
        <v>21991</v>
      </c>
      <c r="JW136" s="627">
        <v>0</v>
      </c>
      <c r="JX136" s="627">
        <v>0</v>
      </c>
      <c r="JY136" s="627">
        <v>0</v>
      </c>
      <c r="JZ136" s="627">
        <v>0</v>
      </c>
      <c r="KA136" s="627">
        <v>0</v>
      </c>
      <c r="KB136" s="627">
        <v>0</v>
      </c>
      <c r="KC136" s="627">
        <v>0</v>
      </c>
      <c r="KD136" s="627">
        <v>0</v>
      </c>
      <c r="KE136" s="627">
        <v>21991</v>
      </c>
      <c r="KF136" s="627">
        <v>7262</v>
      </c>
      <c r="KG136" s="627">
        <v>0</v>
      </c>
      <c r="KH136" s="627">
        <v>0</v>
      </c>
      <c r="KI136" s="627">
        <v>13761371</v>
      </c>
      <c r="KJ136" s="627">
        <v>0</v>
      </c>
      <c r="KK136" s="627">
        <v>15</v>
      </c>
      <c r="KL136" s="627">
        <v>10</v>
      </c>
      <c r="KM136" s="627">
        <v>9240</v>
      </c>
      <c r="KN136" s="627">
        <v>6160</v>
      </c>
      <c r="KO136" s="627">
        <v>0</v>
      </c>
      <c r="KP136" s="627">
        <v>0</v>
      </c>
      <c r="KQ136" s="627">
        <v>13761371</v>
      </c>
      <c r="KR136" s="627">
        <v>0</v>
      </c>
      <c r="KS136" s="627">
        <v>0</v>
      </c>
      <c r="KT136" s="627">
        <v>0</v>
      </c>
      <c r="KU136" s="627">
        <v>0</v>
      </c>
      <c r="KV136" s="627">
        <v>0</v>
      </c>
      <c r="KW136" s="627">
        <v>0</v>
      </c>
      <c r="KX136" s="627">
        <v>0</v>
      </c>
      <c r="KY136" s="627">
        <v>0</v>
      </c>
      <c r="KZ136" s="627">
        <v>0</v>
      </c>
      <c r="LA136" s="627">
        <v>0</v>
      </c>
      <c r="LB136" s="627">
        <v>0</v>
      </c>
      <c r="LC136" s="627">
        <v>0</v>
      </c>
      <c r="LD136" s="627">
        <v>0</v>
      </c>
      <c r="LE136" s="627">
        <v>0</v>
      </c>
      <c r="LF136" s="627">
        <v>0</v>
      </c>
    </row>
    <row r="137" spans="1:318" x14ac:dyDescent="0.25">
      <c r="A137" s="627">
        <v>42602</v>
      </c>
      <c r="B137" s="627">
        <v>15831</v>
      </c>
      <c r="D137" s="627">
        <v>9</v>
      </c>
      <c r="E137" s="627">
        <v>2024</v>
      </c>
      <c r="F137" s="627">
        <v>6160</v>
      </c>
      <c r="G137" s="627">
        <v>0</v>
      </c>
      <c r="H137" s="627">
        <v>5397.9690000000001</v>
      </c>
      <c r="I137" s="627">
        <v>4976.3060000000005</v>
      </c>
      <c r="J137" s="627">
        <v>4976.3060000000005</v>
      </c>
      <c r="K137" s="627">
        <v>5397.9690000000001</v>
      </c>
      <c r="L137" s="627">
        <v>0</v>
      </c>
      <c r="M137" s="627">
        <v>6160</v>
      </c>
      <c r="N137" s="627">
        <v>0</v>
      </c>
      <c r="O137" s="627">
        <v>0</v>
      </c>
      <c r="P137" s="627">
        <v>0</v>
      </c>
      <c r="Q137" s="627">
        <v>5024.4080000000004</v>
      </c>
      <c r="R137" s="627">
        <v>0</v>
      </c>
      <c r="S137" s="627">
        <v>2084546</v>
      </c>
      <c r="T137" s="627">
        <v>414.88400000000001</v>
      </c>
      <c r="U137" s="627">
        <v>0</v>
      </c>
      <c r="V137" s="627">
        <v>1081795</v>
      </c>
      <c r="W137" s="627">
        <v>884.49800000000005</v>
      </c>
      <c r="X137" s="627">
        <v>544851</v>
      </c>
      <c r="Y137" s="627">
        <v>544851</v>
      </c>
      <c r="Z137" s="627">
        <v>0</v>
      </c>
      <c r="AA137" s="627">
        <v>0</v>
      </c>
      <c r="AB137" s="627">
        <v>0</v>
      </c>
      <c r="AC137" s="627">
        <v>0</v>
      </c>
      <c r="AD137" s="627">
        <v>0</v>
      </c>
      <c r="AE137" s="627" t="s">
        <v>314</v>
      </c>
      <c r="AF137" s="627">
        <v>0</v>
      </c>
      <c r="AG137" s="627">
        <v>0</v>
      </c>
      <c r="AH137" s="627">
        <v>0</v>
      </c>
      <c r="AI137" s="627">
        <v>0</v>
      </c>
      <c r="AJ137" s="627">
        <v>0</v>
      </c>
      <c r="AK137" s="627">
        <v>6160</v>
      </c>
      <c r="AL137" s="627" t="s">
        <v>651</v>
      </c>
      <c r="AM137" s="627" t="s">
        <v>316</v>
      </c>
      <c r="AN137" s="627">
        <v>0</v>
      </c>
      <c r="AO137" s="627">
        <v>0</v>
      </c>
      <c r="AP137" s="627">
        <v>0</v>
      </c>
      <c r="AQ137" s="627">
        <v>0</v>
      </c>
      <c r="AR137" s="627">
        <v>0</v>
      </c>
      <c r="AS137" s="627">
        <v>0</v>
      </c>
      <c r="AT137" s="627">
        <v>0</v>
      </c>
      <c r="AU137" s="627">
        <v>0</v>
      </c>
      <c r="AV137" s="627">
        <v>0</v>
      </c>
      <c r="AW137" s="627">
        <v>0</v>
      </c>
      <c r="AX137" s="627">
        <v>59828591</v>
      </c>
      <c r="AY137" s="627">
        <v>58984061</v>
      </c>
      <c r="AZ137" s="627">
        <v>29677129</v>
      </c>
      <c r="BA137" s="627">
        <v>2084546</v>
      </c>
      <c r="BB137" s="627">
        <v>70.917000000000002</v>
      </c>
      <c r="BC137" s="627">
        <v>114992</v>
      </c>
      <c r="BD137" s="627">
        <v>114259</v>
      </c>
      <c r="BE137" s="627">
        <v>269.89800000000002</v>
      </c>
      <c r="BF137" s="627">
        <v>733</v>
      </c>
      <c r="BG137" s="627">
        <v>52237684</v>
      </c>
      <c r="BH137" s="627">
        <v>0</v>
      </c>
      <c r="BI137" s="627">
        <v>0</v>
      </c>
      <c r="BJ137" s="627">
        <v>0</v>
      </c>
      <c r="BK137" s="627">
        <v>12</v>
      </c>
      <c r="BL137" s="627">
        <v>0</v>
      </c>
      <c r="BM137" s="627">
        <v>0</v>
      </c>
      <c r="BN137" s="627">
        <v>0</v>
      </c>
      <c r="BO137" s="627">
        <v>0</v>
      </c>
      <c r="BP137" s="627">
        <v>0</v>
      </c>
      <c r="BQ137" s="627">
        <v>0</v>
      </c>
      <c r="BR137" s="627">
        <v>4</v>
      </c>
      <c r="BS137" s="627">
        <v>0</v>
      </c>
      <c r="BT137" s="627">
        <v>0</v>
      </c>
      <c r="BU137" s="627">
        <v>0</v>
      </c>
      <c r="BV137" s="627">
        <v>0</v>
      </c>
      <c r="BW137" s="627">
        <v>0</v>
      </c>
      <c r="BX137" s="627">
        <v>0</v>
      </c>
      <c r="BY137" s="627">
        <v>0</v>
      </c>
      <c r="BZ137" s="627">
        <v>0</v>
      </c>
      <c r="CA137" s="627">
        <v>0</v>
      </c>
      <c r="CB137" s="627">
        <v>0</v>
      </c>
      <c r="CC137" s="627">
        <v>0</v>
      </c>
      <c r="CD137" s="627">
        <v>0</v>
      </c>
      <c r="CE137" s="627">
        <v>0</v>
      </c>
      <c r="CF137" s="627">
        <v>0</v>
      </c>
      <c r="CG137" s="627">
        <v>0</v>
      </c>
      <c r="CH137" s="627">
        <v>0</v>
      </c>
      <c r="CI137" s="627">
        <v>863290</v>
      </c>
      <c r="CJ137" s="627">
        <v>0</v>
      </c>
      <c r="CK137" s="627">
        <v>4</v>
      </c>
      <c r="CL137" s="627">
        <v>0</v>
      </c>
      <c r="CM137" s="627">
        <v>0</v>
      </c>
      <c r="CN137" s="627">
        <v>0</v>
      </c>
      <c r="CO137" s="627">
        <v>0</v>
      </c>
      <c r="CP137" s="627">
        <v>1</v>
      </c>
      <c r="CQ137" s="627">
        <v>0</v>
      </c>
      <c r="CR137" s="627">
        <v>0</v>
      </c>
      <c r="CS137" s="627">
        <v>5110.5550000000003</v>
      </c>
      <c r="CT137" s="627">
        <v>0</v>
      </c>
      <c r="CU137" s="627">
        <v>0</v>
      </c>
      <c r="CV137" s="627">
        <v>0</v>
      </c>
      <c r="CW137" s="627">
        <v>0</v>
      </c>
      <c r="CX137" s="627">
        <v>0</v>
      </c>
      <c r="CY137" s="627">
        <v>0</v>
      </c>
      <c r="CZ137" s="627">
        <v>0</v>
      </c>
      <c r="DA137" s="627">
        <v>0</v>
      </c>
      <c r="DB137" s="627">
        <v>0</v>
      </c>
      <c r="DC137" s="627">
        <v>30654045</v>
      </c>
      <c r="DD137" s="627">
        <v>0</v>
      </c>
      <c r="DE137" s="627">
        <v>0</v>
      </c>
      <c r="DF137" s="627">
        <v>6083847</v>
      </c>
      <c r="DG137" s="627">
        <v>6083847</v>
      </c>
      <c r="DH137" s="627">
        <v>987.63800000000003</v>
      </c>
      <c r="DI137" s="627">
        <v>0</v>
      </c>
      <c r="DJ137" s="627">
        <v>0</v>
      </c>
      <c r="DK137" s="627">
        <v>0</v>
      </c>
      <c r="DL137" s="627">
        <v>0</v>
      </c>
      <c r="DM137" s="627">
        <v>0</v>
      </c>
      <c r="DN137" s="627">
        <v>5289159</v>
      </c>
      <c r="DO137" s="627">
        <v>18027</v>
      </c>
      <c r="DP137" s="627">
        <v>0</v>
      </c>
      <c r="DQ137" s="627">
        <v>0</v>
      </c>
      <c r="DR137" s="627">
        <v>0</v>
      </c>
      <c r="DS137" s="627">
        <v>0</v>
      </c>
      <c r="DT137" s="627">
        <v>0</v>
      </c>
      <c r="DU137" s="627">
        <v>0</v>
      </c>
      <c r="DV137" s="627">
        <v>0</v>
      </c>
      <c r="DW137" s="627">
        <v>0</v>
      </c>
      <c r="DX137" s="627">
        <v>0</v>
      </c>
      <c r="DY137" s="627">
        <v>0</v>
      </c>
      <c r="DZ137" s="627">
        <v>0</v>
      </c>
      <c r="EA137" s="627">
        <v>0</v>
      </c>
      <c r="EB137" s="627">
        <v>0</v>
      </c>
      <c r="EC137" s="627">
        <v>0</v>
      </c>
      <c r="ED137" s="627">
        <v>182.982</v>
      </c>
      <c r="EE137" s="627">
        <v>1296244</v>
      </c>
      <c r="EF137" s="627">
        <v>0</v>
      </c>
      <c r="EG137" s="627">
        <v>0</v>
      </c>
      <c r="EH137" s="627">
        <v>0</v>
      </c>
      <c r="EI137" s="627">
        <v>4010942</v>
      </c>
      <c r="EJ137" s="627">
        <v>0</v>
      </c>
      <c r="EK137" s="627">
        <v>0</v>
      </c>
      <c r="EL137" s="627">
        <v>164.72900000000001</v>
      </c>
      <c r="EM137" s="627">
        <v>0</v>
      </c>
      <c r="EN137" s="627">
        <v>27.415000000000003</v>
      </c>
      <c r="EO137" s="627">
        <v>14.939</v>
      </c>
      <c r="EP137" s="627">
        <v>0</v>
      </c>
      <c r="EQ137" s="627">
        <v>0</v>
      </c>
      <c r="ER137" s="627">
        <v>207.083</v>
      </c>
      <c r="ES137" s="627">
        <v>0</v>
      </c>
      <c r="ET137" s="627">
        <v>651.12700000000007</v>
      </c>
      <c r="EU137" s="627">
        <v>0</v>
      </c>
      <c r="EV137" s="627">
        <v>0</v>
      </c>
      <c r="EW137" s="627">
        <v>0</v>
      </c>
      <c r="EX137" s="627">
        <v>0</v>
      </c>
      <c r="EY137" s="627">
        <v>0</v>
      </c>
      <c r="EZ137" s="627">
        <v>0</v>
      </c>
      <c r="FA137" s="627">
        <v>50159309</v>
      </c>
      <c r="FB137" s="627">
        <v>0</v>
      </c>
      <c r="FC137" s="627">
        <v>52225095</v>
      </c>
      <c r="FD137" s="627">
        <v>0</v>
      </c>
      <c r="FE137" s="627">
        <v>0</v>
      </c>
      <c r="FF137" s="627">
        <v>7522028</v>
      </c>
      <c r="FG137" s="627">
        <v>1302724</v>
      </c>
      <c r="FH137" s="627">
        <v>7.0280999999999996E-2</v>
      </c>
      <c r="FI137" s="627">
        <v>3.1172999999999999E-2</v>
      </c>
      <c r="FJ137" s="627">
        <v>0</v>
      </c>
      <c r="FK137" s="627">
        <v>0</v>
      </c>
      <c r="FL137" s="627">
        <v>8480.1440000000002</v>
      </c>
      <c r="FM137" s="627">
        <v>61913137</v>
      </c>
      <c r="FN137" s="627">
        <v>0</v>
      </c>
      <c r="FO137" s="627">
        <v>0</v>
      </c>
      <c r="FP137" s="627">
        <v>0</v>
      </c>
      <c r="FQ137" s="627">
        <v>0</v>
      </c>
      <c r="FR137" s="627">
        <v>0</v>
      </c>
      <c r="FS137" s="627">
        <v>0</v>
      </c>
      <c r="FT137" s="627">
        <v>0</v>
      </c>
      <c r="FU137" s="627">
        <v>0</v>
      </c>
      <c r="FV137" s="627">
        <v>0</v>
      </c>
      <c r="FW137" s="627">
        <v>0</v>
      </c>
      <c r="FX137" s="627">
        <v>0</v>
      </c>
      <c r="FY137" s="627">
        <v>0</v>
      </c>
      <c r="FZ137" s="627">
        <v>0</v>
      </c>
      <c r="GA137" s="627">
        <v>0</v>
      </c>
      <c r="GB137" s="627">
        <v>0</v>
      </c>
      <c r="GC137" s="627">
        <v>1868308</v>
      </c>
      <c r="GD137" s="627">
        <v>1868308</v>
      </c>
      <c r="GE137" s="627">
        <v>214.58</v>
      </c>
      <c r="GF137" s="627">
        <v>0</v>
      </c>
      <c r="GG137" s="627">
        <v>0</v>
      </c>
      <c r="GH137" s="627">
        <v>0</v>
      </c>
      <c r="GI137" s="627">
        <v>0</v>
      </c>
      <c r="GJ137" s="627">
        <v>0</v>
      </c>
      <c r="GK137" s="627">
        <v>0</v>
      </c>
      <c r="GL137" s="627">
        <v>0</v>
      </c>
      <c r="GM137" s="627">
        <v>0</v>
      </c>
      <c r="GN137" s="627">
        <v>0</v>
      </c>
      <c r="GO137" s="627">
        <v>0</v>
      </c>
      <c r="GP137" s="627">
        <v>0</v>
      </c>
      <c r="GQ137" s="627">
        <v>0</v>
      </c>
      <c r="GR137" s="627">
        <v>58965301</v>
      </c>
      <c r="GS137" s="627">
        <v>0</v>
      </c>
      <c r="GT137" s="627">
        <v>0</v>
      </c>
      <c r="GU137" s="627">
        <v>0</v>
      </c>
      <c r="GV137" s="627">
        <v>0</v>
      </c>
      <c r="GW137" s="627">
        <v>0</v>
      </c>
      <c r="GX137" s="627">
        <v>0</v>
      </c>
      <c r="GY137" s="627">
        <v>0</v>
      </c>
      <c r="GZ137" s="627">
        <v>0</v>
      </c>
      <c r="HA137" s="627">
        <v>0</v>
      </c>
      <c r="HB137" s="627">
        <v>0</v>
      </c>
      <c r="HC137" s="627">
        <v>361151439</v>
      </c>
      <c r="HD137" s="627">
        <v>3.9981999999999997E-2</v>
      </c>
      <c r="HE137" s="627">
        <v>863290</v>
      </c>
      <c r="HF137" s="627">
        <v>0</v>
      </c>
      <c r="HG137" s="627">
        <v>5483889</v>
      </c>
      <c r="HH137" s="627">
        <v>64064</v>
      </c>
      <c r="HI137" s="627">
        <v>1279532</v>
      </c>
      <c r="HJ137" s="627">
        <v>0</v>
      </c>
      <c r="HK137" s="627">
        <v>158980</v>
      </c>
      <c r="HL137" s="627">
        <v>3117</v>
      </c>
      <c r="HM137" s="627">
        <v>3054</v>
      </c>
      <c r="HN137" s="627">
        <v>44000</v>
      </c>
      <c r="HO137" s="627">
        <v>633990</v>
      </c>
      <c r="HP137" s="627">
        <v>0</v>
      </c>
      <c r="HQ137" s="627">
        <v>0</v>
      </c>
      <c r="HR137" s="627">
        <v>0</v>
      </c>
      <c r="HS137" s="627">
        <v>0</v>
      </c>
      <c r="HT137" s="627">
        <v>50140549</v>
      </c>
      <c r="HU137" s="627">
        <v>1302724</v>
      </c>
      <c r="HV137" s="627">
        <v>0</v>
      </c>
      <c r="HW137" s="627">
        <v>0</v>
      </c>
      <c r="HX137" s="627">
        <v>0</v>
      </c>
      <c r="HY137" s="627">
        <v>1115</v>
      </c>
      <c r="HZ137" s="627">
        <v>838</v>
      </c>
      <c r="IA137" s="627">
        <v>651</v>
      </c>
      <c r="IB137" s="627">
        <v>823</v>
      </c>
      <c r="IC137" s="627">
        <v>578</v>
      </c>
      <c r="ID137" s="627">
        <v>4005</v>
      </c>
      <c r="IE137" s="627">
        <v>0</v>
      </c>
      <c r="IF137" s="627">
        <v>0</v>
      </c>
      <c r="IG137" s="627">
        <v>0</v>
      </c>
      <c r="IH137" s="627">
        <v>104</v>
      </c>
      <c r="II137" s="627">
        <v>2077.1620000000003</v>
      </c>
      <c r="IJ137" s="627">
        <v>0</v>
      </c>
      <c r="IK137" s="627">
        <v>884.49800000000005</v>
      </c>
      <c r="IL137" s="627">
        <v>0</v>
      </c>
      <c r="IM137" s="627">
        <v>4</v>
      </c>
      <c r="IN137" s="627">
        <v>6</v>
      </c>
      <c r="IO137" s="627">
        <v>3</v>
      </c>
      <c r="IP137" s="627">
        <v>13</v>
      </c>
      <c r="IQ137" s="627">
        <v>0</v>
      </c>
      <c r="IR137" s="627">
        <v>884.49800000000005</v>
      </c>
      <c r="IS137" s="627">
        <v>544851</v>
      </c>
      <c r="IT137" s="627">
        <v>0</v>
      </c>
      <c r="IU137" s="627">
        <v>20000</v>
      </c>
      <c r="IV137" s="627">
        <v>18000</v>
      </c>
      <c r="IW137" s="627">
        <v>6000</v>
      </c>
      <c r="IX137" s="627">
        <v>6160</v>
      </c>
      <c r="IY137" s="627">
        <v>0</v>
      </c>
      <c r="IZ137" s="627">
        <v>0</v>
      </c>
      <c r="JA137" s="627">
        <v>0</v>
      </c>
      <c r="JB137" s="627">
        <v>0</v>
      </c>
      <c r="JC137" s="627">
        <v>15</v>
      </c>
      <c r="JD137" s="627">
        <v>279803</v>
      </c>
      <c r="JE137" s="627">
        <v>27</v>
      </c>
      <c r="JF137" s="627">
        <v>261771</v>
      </c>
      <c r="JG137" s="627">
        <v>12</v>
      </c>
      <c r="JH137" s="627">
        <v>66416</v>
      </c>
      <c r="JI137" s="627">
        <v>26000</v>
      </c>
      <c r="JJ137" s="627">
        <v>0</v>
      </c>
      <c r="JK137" s="627">
        <v>0</v>
      </c>
      <c r="JL137" s="627">
        <v>0</v>
      </c>
      <c r="JM137" s="627">
        <v>0</v>
      </c>
      <c r="JN137" s="627">
        <v>0</v>
      </c>
      <c r="JO137" s="627">
        <v>32469</v>
      </c>
      <c r="JP137" s="627">
        <v>133.69300000000001</v>
      </c>
      <c r="JQ137" s="627">
        <v>45.76</v>
      </c>
      <c r="JR137" s="627">
        <v>35.127000000000002</v>
      </c>
      <c r="JS137" s="627">
        <v>1067966</v>
      </c>
      <c r="JT137" s="627">
        <v>425356</v>
      </c>
      <c r="JU137" s="627">
        <v>374986</v>
      </c>
      <c r="JV137" s="627">
        <v>116380</v>
      </c>
      <c r="JW137" s="627">
        <v>0</v>
      </c>
      <c r="JX137" s="627">
        <v>0</v>
      </c>
      <c r="JY137" s="627">
        <v>0</v>
      </c>
      <c r="JZ137" s="627">
        <v>0</v>
      </c>
      <c r="KA137" s="627">
        <v>0</v>
      </c>
      <c r="KB137" s="627">
        <v>0</v>
      </c>
      <c r="KC137" s="627">
        <v>0</v>
      </c>
      <c r="KD137" s="627">
        <v>0</v>
      </c>
      <c r="KE137" s="627">
        <v>116424</v>
      </c>
      <c r="KF137" s="627">
        <v>7262</v>
      </c>
      <c r="KG137" s="627">
        <v>0</v>
      </c>
      <c r="KH137" s="627">
        <v>0</v>
      </c>
      <c r="KI137" s="627">
        <v>58965301</v>
      </c>
      <c r="KJ137" s="627">
        <v>0</v>
      </c>
      <c r="KK137" s="627">
        <v>80</v>
      </c>
      <c r="KL137" s="627">
        <v>24</v>
      </c>
      <c r="KM137" s="627">
        <v>49280</v>
      </c>
      <c r="KN137" s="627">
        <v>14784</v>
      </c>
      <c r="KO137" s="627">
        <v>0</v>
      </c>
      <c r="KP137" s="627">
        <v>0</v>
      </c>
      <c r="KQ137" s="627">
        <v>58965301</v>
      </c>
      <c r="KR137" s="627">
        <v>0</v>
      </c>
      <c r="KS137" s="627">
        <v>0</v>
      </c>
      <c r="KT137" s="627">
        <v>0</v>
      </c>
      <c r="KU137" s="627">
        <v>0</v>
      </c>
      <c r="KV137" s="627">
        <v>0</v>
      </c>
      <c r="KW137" s="627">
        <v>0</v>
      </c>
      <c r="KX137" s="627">
        <v>0</v>
      </c>
      <c r="KY137" s="627">
        <v>0</v>
      </c>
      <c r="KZ137" s="627">
        <v>0</v>
      </c>
      <c r="LA137" s="627">
        <v>0</v>
      </c>
      <c r="LB137" s="627">
        <v>0</v>
      </c>
      <c r="LC137" s="627">
        <v>0</v>
      </c>
      <c r="LD137" s="627">
        <v>0</v>
      </c>
      <c r="LE137" s="627">
        <v>0</v>
      </c>
      <c r="LF137" s="627">
        <v>0</v>
      </c>
    </row>
    <row r="138" spans="1:318" x14ac:dyDescent="0.25">
      <c r="A138" s="627">
        <v>42602</v>
      </c>
      <c r="B138" s="627">
        <v>57831</v>
      </c>
      <c r="D138" s="627">
        <v>9</v>
      </c>
      <c r="E138" s="627">
        <v>2024</v>
      </c>
      <c r="F138" s="627">
        <v>6160</v>
      </c>
      <c r="G138" s="627">
        <v>0</v>
      </c>
      <c r="H138" s="627">
        <v>496.01500000000004</v>
      </c>
      <c r="I138" s="627">
        <v>471.03500000000003</v>
      </c>
      <c r="J138" s="627">
        <v>471.03500000000003</v>
      </c>
      <c r="K138" s="627">
        <v>496.01500000000004</v>
      </c>
      <c r="L138" s="627">
        <v>0</v>
      </c>
      <c r="M138" s="627">
        <v>6160</v>
      </c>
      <c r="N138" s="627">
        <v>0</v>
      </c>
      <c r="O138" s="627">
        <v>0</v>
      </c>
      <c r="P138" s="627">
        <v>0</v>
      </c>
      <c r="Q138" s="627">
        <v>489.98700000000002</v>
      </c>
      <c r="R138" s="627">
        <v>0</v>
      </c>
      <c r="S138" s="627">
        <v>203288</v>
      </c>
      <c r="T138" s="627">
        <v>414.88400000000001</v>
      </c>
      <c r="U138" s="627">
        <v>0</v>
      </c>
      <c r="V138" s="627">
        <v>105496</v>
      </c>
      <c r="W138" s="627">
        <v>0</v>
      </c>
      <c r="X138" s="627">
        <v>0</v>
      </c>
      <c r="Y138" s="627">
        <v>0</v>
      </c>
      <c r="Z138" s="627">
        <v>0</v>
      </c>
      <c r="AA138" s="627">
        <v>0</v>
      </c>
      <c r="AB138" s="627">
        <v>0</v>
      </c>
      <c r="AC138" s="627">
        <v>0</v>
      </c>
      <c r="AD138" s="627">
        <v>0</v>
      </c>
      <c r="AE138" s="627" t="s">
        <v>314</v>
      </c>
      <c r="AF138" s="627">
        <v>0</v>
      </c>
      <c r="AG138" s="627">
        <v>0</v>
      </c>
      <c r="AH138" s="627">
        <v>0</v>
      </c>
      <c r="AI138" s="627">
        <v>0</v>
      </c>
      <c r="AJ138" s="627">
        <v>0</v>
      </c>
      <c r="AK138" s="627">
        <v>6160</v>
      </c>
      <c r="AL138" s="627" t="s">
        <v>651</v>
      </c>
      <c r="AM138" s="627" t="s">
        <v>46</v>
      </c>
      <c r="AN138" s="627">
        <v>0</v>
      </c>
      <c r="AO138" s="627">
        <v>0</v>
      </c>
      <c r="AP138" s="627">
        <v>0</v>
      </c>
      <c r="AQ138" s="627">
        <v>0</v>
      </c>
      <c r="AR138" s="627">
        <v>0</v>
      </c>
      <c r="AS138" s="627">
        <v>0</v>
      </c>
      <c r="AT138" s="627">
        <v>0</v>
      </c>
      <c r="AU138" s="627">
        <v>0</v>
      </c>
      <c r="AV138" s="627">
        <v>0</v>
      </c>
      <c r="AW138" s="627">
        <v>0</v>
      </c>
      <c r="AX138" s="627">
        <v>5659770</v>
      </c>
      <c r="AY138" s="627">
        <v>5580842</v>
      </c>
      <c r="AZ138" s="627">
        <v>2789180</v>
      </c>
      <c r="BA138" s="627">
        <v>203288</v>
      </c>
      <c r="BB138" s="627">
        <v>34.082999999999998</v>
      </c>
      <c r="BC138" s="627">
        <v>0</v>
      </c>
      <c r="BD138" s="627">
        <v>0</v>
      </c>
      <c r="BE138" s="627">
        <v>0</v>
      </c>
      <c r="BF138" s="627">
        <v>0</v>
      </c>
      <c r="BG138" s="627">
        <v>4909241</v>
      </c>
      <c r="BH138" s="627">
        <v>0</v>
      </c>
      <c r="BI138" s="627">
        <v>0</v>
      </c>
      <c r="BJ138" s="627">
        <v>0</v>
      </c>
      <c r="BK138" s="627">
        <v>12</v>
      </c>
      <c r="BL138" s="627">
        <v>0</v>
      </c>
      <c r="BM138" s="627">
        <v>0</v>
      </c>
      <c r="BN138" s="627">
        <v>0</v>
      </c>
      <c r="BO138" s="627">
        <v>0</v>
      </c>
      <c r="BP138" s="627">
        <v>0</v>
      </c>
      <c r="BQ138" s="627">
        <v>0</v>
      </c>
      <c r="BR138" s="627">
        <v>697</v>
      </c>
      <c r="BS138" s="627">
        <v>0</v>
      </c>
      <c r="BT138" s="627">
        <v>0</v>
      </c>
      <c r="BU138" s="627">
        <v>0</v>
      </c>
      <c r="BV138" s="627">
        <v>0</v>
      </c>
      <c r="BW138" s="627">
        <v>0</v>
      </c>
      <c r="BX138" s="627">
        <v>0</v>
      </c>
      <c r="BY138" s="627">
        <v>0</v>
      </c>
      <c r="BZ138" s="627">
        <v>0</v>
      </c>
      <c r="CA138" s="627">
        <v>0</v>
      </c>
      <c r="CB138" s="627">
        <v>0</v>
      </c>
      <c r="CC138" s="627">
        <v>0</v>
      </c>
      <c r="CD138" s="627">
        <v>0</v>
      </c>
      <c r="CE138" s="627">
        <v>0</v>
      </c>
      <c r="CF138" s="627">
        <v>0</v>
      </c>
      <c r="CG138" s="627">
        <v>0</v>
      </c>
      <c r="CH138" s="627">
        <v>0</v>
      </c>
      <c r="CI138" s="627">
        <v>79327</v>
      </c>
      <c r="CJ138" s="627">
        <v>0</v>
      </c>
      <c r="CK138" s="627">
        <v>4</v>
      </c>
      <c r="CL138" s="627">
        <v>0</v>
      </c>
      <c r="CM138" s="627">
        <v>0</v>
      </c>
      <c r="CN138" s="627">
        <v>0</v>
      </c>
      <c r="CO138" s="627">
        <v>0</v>
      </c>
      <c r="CP138" s="627">
        <v>1</v>
      </c>
      <c r="CQ138" s="627">
        <v>0</v>
      </c>
      <c r="CR138" s="627">
        <v>0.66700000000000004</v>
      </c>
      <c r="CS138" s="627">
        <v>484.79</v>
      </c>
      <c r="CT138" s="627">
        <v>0</v>
      </c>
      <c r="CU138" s="627">
        <v>0</v>
      </c>
      <c r="CV138" s="627">
        <v>0</v>
      </c>
      <c r="CW138" s="627">
        <v>0</v>
      </c>
      <c r="CX138" s="627">
        <v>0</v>
      </c>
      <c r="CY138" s="627">
        <v>0</v>
      </c>
      <c r="CZ138" s="627">
        <v>0</v>
      </c>
      <c r="DA138" s="627">
        <v>0</v>
      </c>
      <c r="DB138" s="627">
        <v>0</v>
      </c>
      <c r="DC138" s="627">
        <v>2789889</v>
      </c>
      <c r="DD138" s="627">
        <v>0</v>
      </c>
      <c r="DE138" s="627">
        <v>0</v>
      </c>
      <c r="DF138" s="627">
        <v>979055</v>
      </c>
      <c r="DG138" s="627">
        <v>979055</v>
      </c>
      <c r="DH138" s="627">
        <v>158.93800000000002</v>
      </c>
      <c r="DI138" s="627">
        <v>0</v>
      </c>
      <c r="DJ138" s="627">
        <v>0</v>
      </c>
      <c r="DK138" s="627">
        <v>0</v>
      </c>
      <c r="DL138" s="627">
        <v>2782</v>
      </c>
      <c r="DM138" s="627">
        <v>0</v>
      </c>
      <c r="DN138" s="627">
        <v>228699</v>
      </c>
      <c r="DO138" s="627">
        <v>399</v>
      </c>
      <c r="DP138" s="627">
        <v>0</v>
      </c>
      <c r="DQ138" s="627">
        <v>0</v>
      </c>
      <c r="DR138" s="627">
        <v>0</v>
      </c>
      <c r="DS138" s="627">
        <v>0</v>
      </c>
      <c r="DT138" s="627">
        <v>0</v>
      </c>
      <c r="DU138" s="627">
        <v>0</v>
      </c>
      <c r="DV138" s="627">
        <v>0</v>
      </c>
      <c r="DW138" s="627">
        <v>0</v>
      </c>
      <c r="DX138" s="627">
        <v>0</v>
      </c>
      <c r="DY138" s="627">
        <v>0</v>
      </c>
      <c r="DZ138" s="627">
        <v>0</v>
      </c>
      <c r="EA138" s="627">
        <v>0</v>
      </c>
      <c r="EB138" s="627">
        <v>0</v>
      </c>
      <c r="EC138" s="627">
        <v>0</v>
      </c>
      <c r="ED138" s="627">
        <v>15.335000000000001</v>
      </c>
      <c r="EE138" s="627">
        <v>108633</v>
      </c>
      <c r="EF138" s="627">
        <v>0</v>
      </c>
      <c r="EG138" s="627">
        <v>0</v>
      </c>
      <c r="EH138" s="627">
        <v>0</v>
      </c>
      <c r="EI138" s="627">
        <v>8778</v>
      </c>
      <c r="EJ138" s="627">
        <v>0</v>
      </c>
      <c r="EK138" s="627">
        <v>0</v>
      </c>
      <c r="EL138" s="627">
        <v>0</v>
      </c>
      <c r="EM138" s="627">
        <v>0</v>
      </c>
      <c r="EN138" s="627">
        <v>0</v>
      </c>
      <c r="EO138" s="627">
        <v>0.28500000000000003</v>
      </c>
      <c r="EP138" s="627">
        <v>0</v>
      </c>
      <c r="EQ138" s="627">
        <v>0</v>
      </c>
      <c r="ER138" s="627">
        <v>0.28500000000000003</v>
      </c>
      <c r="ES138" s="627">
        <v>0</v>
      </c>
      <c r="ET138" s="627">
        <v>1.425</v>
      </c>
      <c r="EU138" s="627">
        <v>0</v>
      </c>
      <c r="EV138" s="627">
        <v>0</v>
      </c>
      <c r="EW138" s="627">
        <v>0</v>
      </c>
      <c r="EX138" s="627">
        <v>0</v>
      </c>
      <c r="EY138" s="627">
        <v>0</v>
      </c>
      <c r="EZ138" s="627">
        <v>0</v>
      </c>
      <c r="FA138" s="627">
        <v>4751501</v>
      </c>
      <c r="FB138" s="627">
        <v>0</v>
      </c>
      <c r="FC138" s="627">
        <v>4954390</v>
      </c>
      <c r="FD138" s="627">
        <v>0</v>
      </c>
      <c r="FE138" s="627">
        <v>0</v>
      </c>
      <c r="FF138" s="627">
        <v>706912</v>
      </c>
      <c r="FG138" s="627">
        <v>122429</v>
      </c>
      <c r="FH138" s="627">
        <v>7.0280999999999996E-2</v>
      </c>
      <c r="FI138" s="627">
        <v>3.1172999999999999E-2</v>
      </c>
      <c r="FJ138" s="627">
        <v>0</v>
      </c>
      <c r="FK138" s="627">
        <v>0</v>
      </c>
      <c r="FL138" s="627">
        <v>796.95500000000004</v>
      </c>
      <c r="FM138" s="627">
        <v>5863058</v>
      </c>
      <c r="FN138" s="627">
        <v>0</v>
      </c>
      <c r="FO138" s="627">
        <v>0</v>
      </c>
      <c r="FP138" s="627">
        <v>42696</v>
      </c>
      <c r="FQ138" s="627">
        <v>0</v>
      </c>
      <c r="FR138" s="627">
        <v>42696</v>
      </c>
      <c r="FS138" s="627">
        <v>42696</v>
      </c>
      <c r="FT138" s="627">
        <v>0</v>
      </c>
      <c r="FU138" s="627">
        <v>0</v>
      </c>
      <c r="FV138" s="627">
        <v>0</v>
      </c>
      <c r="FW138" s="627">
        <v>0</v>
      </c>
      <c r="FX138" s="627">
        <v>0</v>
      </c>
      <c r="FY138" s="627">
        <v>0</v>
      </c>
      <c r="FZ138" s="627">
        <v>0</v>
      </c>
      <c r="GA138" s="627">
        <v>0</v>
      </c>
      <c r="GB138" s="627">
        <v>0</v>
      </c>
      <c r="GC138" s="627">
        <v>243579</v>
      </c>
      <c r="GD138" s="627">
        <v>243579</v>
      </c>
      <c r="GE138" s="627">
        <v>24.695</v>
      </c>
      <c r="GF138" s="627">
        <v>0</v>
      </c>
      <c r="GG138" s="627">
        <v>0</v>
      </c>
      <c r="GH138" s="627">
        <v>0</v>
      </c>
      <c r="GI138" s="627">
        <v>0</v>
      </c>
      <c r="GJ138" s="627">
        <v>0</v>
      </c>
      <c r="GK138" s="627">
        <v>0</v>
      </c>
      <c r="GL138" s="627">
        <v>0</v>
      </c>
      <c r="GM138" s="627">
        <v>0</v>
      </c>
      <c r="GN138" s="627">
        <v>0</v>
      </c>
      <c r="GO138" s="627">
        <v>0</v>
      </c>
      <c r="GP138" s="627">
        <v>0</v>
      </c>
      <c r="GQ138" s="627">
        <v>0</v>
      </c>
      <c r="GR138" s="627">
        <v>5580443</v>
      </c>
      <c r="GS138" s="627">
        <v>0</v>
      </c>
      <c r="GT138" s="627">
        <v>0</v>
      </c>
      <c r="GU138" s="627">
        <v>0</v>
      </c>
      <c r="GV138" s="627">
        <v>0</v>
      </c>
      <c r="GW138" s="627">
        <v>0</v>
      </c>
      <c r="GX138" s="627">
        <v>0</v>
      </c>
      <c r="GY138" s="627">
        <v>0</v>
      </c>
      <c r="GZ138" s="627">
        <v>0</v>
      </c>
      <c r="HA138" s="627">
        <v>0</v>
      </c>
      <c r="HB138" s="627">
        <v>0</v>
      </c>
      <c r="HC138" s="627">
        <v>361151439</v>
      </c>
      <c r="HD138" s="627">
        <v>3.9981999999999997E-2</v>
      </c>
      <c r="HE138" s="627">
        <v>79327</v>
      </c>
      <c r="HF138" s="627">
        <v>0</v>
      </c>
      <c r="HG138" s="627">
        <v>519081</v>
      </c>
      <c r="HH138" s="627">
        <v>616</v>
      </c>
      <c r="HI138" s="627">
        <v>112963</v>
      </c>
      <c r="HJ138" s="627">
        <v>0</v>
      </c>
      <c r="HK138" s="627">
        <v>34960</v>
      </c>
      <c r="HL138" s="627">
        <v>1711</v>
      </c>
      <c r="HM138" s="627">
        <v>1141</v>
      </c>
      <c r="HN138" s="627">
        <v>0</v>
      </c>
      <c r="HO138" s="627">
        <v>0</v>
      </c>
      <c r="HP138" s="627">
        <v>0</v>
      </c>
      <c r="HQ138" s="627">
        <v>0</v>
      </c>
      <c r="HR138" s="627">
        <v>0</v>
      </c>
      <c r="HS138" s="627">
        <v>0</v>
      </c>
      <c r="HT138" s="627">
        <v>4751102</v>
      </c>
      <c r="HU138" s="627">
        <v>122429</v>
      </c>
      <c r="HV138" s="627">
        <v>0</v>
      </c>
      <c r="HW138" s="627">
        <v>0</v>
      </c>
      <c r="HX138" s="627">
        <v>0</v>
      </c>
      <c r="HY138" s="627">
        <v>23</v>
      </c>
      <c r="HZ138" s="627">
        <v>69</v>
      </c>
      <c r="IA138" s="627">
        <v>63</v>
      </c>
      <c r="IB138" s="627">
        <v>192</v>
      </c>
      <c r="IC138" s="627">
        <v>259</v>
      </c>
      <c r="ID138" s="627">
        <v>606</v>
      </c>
      <c r="IE138" s="627">
        <v>0</v>
      </c>
      <c r="IF138" s="627">
        <v>0</v>
      </c>
      <c r="IG138" s="627">
        <v>0</v>
      </c>
      <c r="IH138" s="627">
        <v>1</v>
      </c>
      <c r="II138" s="627">
        <v>183.38200000000001</v>
      </c>
      <c r="IJ138" s="627">
        <v>0</v>
      </c>
      <c r="IK138" s="627">
        <v>0</v>
      </c>
      <c r="IL138" s="627">
        <v>0</v>
      </c>
      <c r="IM138" s="627">
        <v>0</v>
      </c>
      <c r="IN138" s="627">
        <v>0</v>
      </c>
      <c r="IO138" s="627">
        <v>0</v>
      </c>
      <c r="IP138" s="627">
        <v>0</v>
      </c>
      <c r="IQ138" s="627">
        <v>0</v>
      </c>
      <c r="IR138" s="627">
        <v>0</v>
      </c>
      <c r="IS138" s="627">
        <v>0</v>
      </c>
      <c r="IT138" s="627">
        <v>0</v>
      </c>
      <c r="IU138" s="627">
        <v>0</v>
      </c>
      <c r="IV138" s="627">
        <v>0</v>
      </c>
      <c r="IW138" s="627">
        <v>0</v>
      </c>
      <c r="IX138" s="627">
        <v>6160</v>
      </c>
      <c r="IY138" s="627">
        <v>0</v>
      </c>
      <c r="IZ138" s="627">
        <v>0</v>
      </c>
      <c r="JA138" s="627">
        <v>0</v>
      </c>
      <c r="JB138" s="627">
        <v>0</v>
      </c>
      <c r="JC138" s="627">
        <v>0</v>
      </c>
      <c r="JD138" s="627">
        <v>0</v>
      </c>
      <c r="JE138" s="627">
        <v>0</v>
      </c>
      <c r="JF138" s="627">
        <v>0</v>
      </c>
      <c r="JG138" s="627">
        <v>0</v>
      </c>
      <c r="JH138" s="627">
        <v>0</v>
      </c>
      <c r="JI138" s="627">
        <v>0</v>
      </c>
      <c r="JJ138" s="627">
        <v>0</v>
      </c>
      <c r="JK138" s="627">
        <v>0</v>
      </c>
      <c r="JL138" s="627">
        <v>0</v>
      </c>
      <c r="JM138" s="627">
        <v>0</v>
      </c>
      <c r="JN138" s="627">
        <v>0</v>
      </c>
      <c r="JO138" s="627">
        <v>32469</v>
      </c>
      <c r="JP138" s="627">
        <v>0</v>
      </c>
      <c r="JQ138" s="627">
        <v>14.527000000000001</v>
      </c>
      <c r="JR138" s="627">
        <v>10.168000000000001</v>
      </c>
      <c r="JS138" s="627">
        <v>0</v>
      </c>
      <c r="JT138" s="627">
        <v>135034</v>
      </c>
      <c r="JU138" s="627">
        <v>108545</v>
      </c>
      <c r="JV138" s="627">
        <v>0</v>
      </c>
      <c r="JW138" s="627">
        <v>0</v>
      </c>
      <c r="JX138" s="627">
        <v>0</v>
      </c>
      <c r="JY138" s="627">
        <v>0</v>
      </c>
      <c r="JZ138" s="627">
        <v>0</v>
      </c>
      <c r="KA138" s="627">
        <v>0</v>
      </c>
      <c r="KB138" s="627">
        <v>0</v>
      </c>
      <c r="KC138" s="627">
        <v>0</v>
      </c>
      <c r="KD138" s="627">
        <v>0</v>
      </c>
      <c r="KE138" s="627">
        <v>0</v>
      </c>
      <c r="KF138" s="627">
        <v>7262</v>
      </c>
      <c r="KG138" s="627">
        <v>0</v>
      </c>
      <c r="KH138" s="627">
        <v>0</v>
      </c>
      <c r="KI138" s="627">
        <v>5580443</v>
      </c>
      <c r="KJ138" s="627">
        <v>0</v>
      </c>
      <c r="KK138" s="627">
        <v>1</v>
      </c>
      <c r="KL138" s="627">
        <v>0</v>
      </c>
      <c r="KM138" s="627">
        <v>616</v>
      </c>
      <c r="KN138" s="627">
        <v>0</v>
      </c>
      <c r="KO138" s="627">
        <v>0</v>
      </c>
      <c r="KP138" s="627">
        <v>0</v>
      </c>
      <c r="KQ138" s="627">
        <v>5580443</v>
      </c>
      <c r="KR138" s="627">
        <v>0</v>
      </c>
      <c r="KS138" s="627">
        <v>0</v>
      </c>
      <c r="KT138" s="627">
        <v>0</v>
      </c>
      <c r="KU138" s="627">
        <v>0</v>
      </c>
      <c r="KV138" s="627">
        <v>0</v>
      </c>
      <c r="KW138" s="627">
        <v>0</v>
      </c>
      <c r="KX138" s="627">
        <v>0</v>
      </c>
      <c r="KY138" s="627">
        <v>0</v>
      </c>
      <c r="KZ138" s="627">
        <v>0</v>
      </c>
      <c r="LA138" s="627">
        <v>0</v>
      </c>
      <c r="LB138" s="627">
        <v>0</v>
      </c>
      <c r="LC138" s="627">
        <v>0</v>
      </c>
      <c r="LD138" s="627">
        <v>0</v>
      </c>
      <c r="LE138" s="627">
        <v>0</v>
      </c>
      <c r="LF138" s="627">
        <v>0</v>
      </c>
    </row>
    <row r="139" spans="1:318" x14ac:dyDescent="0.25">
      <c r="A139" s="627">
        <v>42602</v>
      </c>
      <c r="B139" s="627">
        <v>15833</v>
      </c>
      <c r="D139" s="627">
        <v>9</v>
      </c>
      <c r="E139" s="627">
        <v>2024</v>
      </c>
      <c r="F139" s="627">
        <v>6160</v>
      </c>
      <c r="G139" s="627">
        <v>0</v>
      </c>
      <c r="H139" s="627">
        <v>63.135000000000005</v>
      </c>
      <c r="I139" s="627">
        <v>60.568000000000005</v>
      </c>
      <c r="J139" s="627">
        <v>60.568000000000005</v>
      </c>
      <c r="K139" s="627">
        <v>63.135000000000005</v>
      </c>
      <c r="L139" s="627">
        <v>0</v>
      </c>
      <c r="M139" s="627">
        <v>6160</v>
      </c>
      <c r="N139" s="627">
        <v>0</v>
      </c>
      <c r="O139" s="627">
        <v>0</v>
      </c>
      <c r="P139" s="627">
        <v>0</v>
      </c>
      <c r="Q139" s="627">
        <v>64.400000000000006</v>
      </c>
      <c r="R139" s="627">
        <v>0</v>
      </c>
      <c r="S139" s="627">
        <v>26719</v>
      </c>
      <c r="T139" s="627">
        <v>414.88400000000001</v>
      </c>
      <c r="U139" s="627">
        <v>0</v>
      </c>
      <c r="V139" s="627">
        <v>13866</v>
      </c>
      <c r="W139" s="627">
        <v>0</v>
      </c>
      <c r="X139" s="627">
        <v>0</v>
      </c>
      <c r="Y139" s="627">
        <v>0</v>
      </c>
      <c r="Z139" s="627">
        <v>0</v>
      </c>
      <c r="AA139" s="627">
        <v>0</v>
      </c>
      <c r="AB139" s="627">
        <v>0</v>
      </c>
      <c r="AC139" s="627">
        <v>0</v>
      </c>
      <c r="AD139" s="627">
        <v>0</v>
      </c>
      <c r="AE139" s="627" t="s">
        <v>314</v>
      </c>
      <c r="AF139" s="627">
        <v>0</v>
      </c>
      <c r="AG139" s="627">
        <v>0</v>
      </c>
      <c r="AH139" s="627">
        <v>0</v>
      </c>
      <c r="AI139" s="627">
        <v>0</v>
      </c>
      <c r="AJ139" s="627">
        <v>0</v>
      </c>
      <c r="AK139" s="627">
        <v>6160</v>
      </c>
      <c r="AL139" s="627" t="s">
        <v>651</v>
      </c>
      <c r="AM139" s="627" t="s">
        <v>94</v>
      </c>
      <c r="AN139" s="627">
        <v>0</v>
      </c>
      <c r="AO139" s="627">
        <v>0</v>
      </c>
      <c r="AP139" s="627">
        <v>0</v>
      </c>
      <c r="AQ139" s="627">
        <v>0</v>
      </c>
      <c r="AR139" s="627">
        <v>0</v>
      </c>
      <c r="AS139" s="627">
        <v>0</v>
      </c>
      <c r="AT139" s="627">
        <v>0</v>
      </c>
      <c r="AU139" s="627">
        <v>0</v>
      </c>
      <c r="AV139" s="627">
        <v>0</v>
      </c>
      <c r="AW139" s="627">
        <v>0</v>
      </c>
      <c r="AX139" s="627">
        <v>681257</v>
      </c>
      <c r="AY139" s="627">
        <v>671434</v>
      </c>
      <c r="AZ139" s="627">
        <v>351265</v>
      </c>
      <c r="BA139" s="627">
        <v>26719</v>
      </c>
      <c r="BB139" s="627">
        <v>0</v>
      </c>
      <c r="BC139" s="627">
        <v>0</v>
      </c>
      <c r="BD139" s="627">
        <v>0</v>
      </c>
      <c r="BE139" s="627">
        <v>0</v>
      </c>
      <c r="BF139" s="627">
        <v>0</v>
      </c>
      <c r="BG139" s="627">
        <v>593917</v>
      </c>
      <c r="BH139" s="627">
        <v>0</v>
      </c>
      <c r="BI139" s="627">
        <v>0</v>
      </c>
      <c r="BJ139" s="627">
        <v>0</v>
      </c>
      <c r="BK139" s="627">
        <v>12</v>
      </c>
      <c r="BL139" s="627">
        <v>0</v>
      </c>
      <c r="BM139" s="627">
        <v>0</v>
      </c>
      <c r="BN139" s="627">
        <v>0</v>
      </c>
      <c r="BO139" s="627">
        <v>0</v>
      </c>
      <c r="BP139" s="627">
        <v>0</v>
      </c>
      <c r="BQ139" s="627">
        <v>0</v>
      </c>
      <c r="BR139" s="627">
        <v>761</v>
      </c>
      <c r="BS139" s="627">
        <v>0</v>
      </c>
      <c r="BT139" s="627">
        <v>0</v>
      </c>
      <c r="BU139" s="627">
        <v>0</v>
      </c>
      <c r="BV139" s="627">
        <v>0</v>
      </c>
      <c r="BW139" s="627">
        <v>0</v>
      </c>
      <c r="BX139" s="627">
        <v>0</v>
      </c>
      <c r="BY139" s="627">
        <v>0</v>
      </c>
      <c r="BZ139" s="627">
        <v>0</v>
      </c>
      <c r="CA139" s="627">
        <v>0</v>
      </c>
      <c r="CB139" s="627">
        <v>0</v>
      </c>
      <c r="CC139" s="627">
        <v>0</v>
      </c>
      <c r="CD139" s="627">
        <v>0</v>
      </c>
      <c r="CE139" s="627">
        <v>0</v>
      </c>
      <c r="CF139" s="627">
        <v>0</v>
      </c>
      <c r="CG139" s="627">
        <v>0</v>
      </c>
      <c r="CH139" s="627">
        <v>0</v>
      </c>
      <c r="CI139" s="627">
        <v>10097</v>
      </c>
      <c r="CJ139" s="627">
        <v>0</v>
      </c>
      <c r="CK139" s="627">
        <v>4</v>
      </c>
      <c r="CL139" s="627">
        <v>0</v>
      </c>
      <c r="CM139" s="627">
        <v>0</v>
      </c>
      <c r="CN139" s="627">
        <v>0</v>
      </c>
      <c r="CO139" s="627">
        <v>0</v>
      </c>
      <c r="CP139" s="627">
        <v>1</v>
      </c>
      <c r="CQ139" s="627">
        <v>0</v>
      </c>
      <c r="CR139" s="627">
        <v>0</v>
      </c>
      <c r="CS139" s="627">
        <v>64.710000000000008</v>
      </c>
      <c r="CT139" s="627">
        <v>0</v>
      </c>
      <c r="CU139" s="627">
        <v>0</v>
      </c>
      <c r="CV139" s="627">
        <v>0</v>
      </c>
      <c r="CW139" s="627">
        <v>0</v>
      </c>
      <c r="CX139" s="627">
        <v>0</v>
      </c>
      <c r="CY139" s="627">
        <v>0</v>
      </c>
      <c r="CZ139" s="627">
        <v>0</v>
      </c>
      <c r="DA139" s="627">
        <v>0</v>
      </c>
      <c r="DB139" s="627">
        <v>0</v>
      </c>
      <c r="DC139" s="627">
        <v>371767</v>
      </c>
      <c r="DD139" s="627">
        <v>0</v>
      </c>
      <c r="DE139" s="627">
        <v>0</v>
      </c>
      <c r="DF139" s="627">
        <v>52899</v>
      </c>
      <c r="DG139" s="627">
        <v>52899</v>
      </c>
      <c r="DH139" s="627">
        <v>8.588000000000001</v>
      </c>
      <c r="DI139" s="627">
        <v>0</v>
      </c>
      <c r="DJ139" s="627">
        <v>0</v>
      </c>
      <c r="DK139" s="627">
        <v>0</v>
      </c>
      <c r="DL139" s="627">
        <v>3793</v>
      </c>
      <c r="DM139" s="627">
        <v>0</v>
      </c>
      <c r="DN139" s="627">
        <v>81600</v>
      </c>
      <c r="DO139" s="627">
        <v>274</v>
      </c>
      <c r="DP139" s="627">
        <v>0</v>
      </c>
      <c r="DQ139" s="627">
        <v>0</v>
      </c>
      <c r="DR139" s="627">
        <v>0</v>
      </c>
      <c r="DS139" s="627">
        <v>0</v>
      </c>
      <c r="DT139" s="627">
        <v>0</v>
      </c>
      <c r="DU139" s="627">
        <v>0</v>
      </c>
      <c r="DV139" s="627">
        <v>0</v>
      </c>
      <c r="DW139" s="627">
        <v>0</v>
      </c>
      <c r="DX139" s="627">
        <v>0</v>
      </c>
      <c r="DY139" s="627">
        <v>0</v>
      </c>
      <c r="DZ139" s="627">
        <v>0</v>
      </c>
      <c r="EA139" s="627">
        <v>0</v>
      </c>
      <c r="EB139" s="627">
        <v>0</v>
      </c>
      <c r="EC139" s="627">
        <v>0</v>
      </c>
      <c r="ED139" s="627">
        <v>4.6070000000000002</v>
      </c>
      <c r="EE139" s="627">
        <v>32636</v>
      </c>
      <c r="EF139" s="627">
        <v>0</v>
      </c>
      <c r="EG139" s="627">
        <v>0</v>
      </c>
      <c r="EH139" s="627">
        <v>0</v>
      </c>
      <c r="EI139" s="627">
        <v>47906</v>
      </c>
      <c r="EJ139" s="627">
        <v>0</v>
      </c>
      <c r="EK139" s="627">
        <v>0</v>
      </c>
      <c r="EL139" s="627">
        <v>2.5289999999999999</v>
      </c>
      <c r="EM139" s="627">
        <v>0</v>
      </c>
      <c r="EN139" s="627">
        <v>0</v>
      </c>
      <c r="EO139" s="627">
        <v>3.7999999999999999E-2</v>
      </c>
      <c r="EP139" s="627">
        <v>0</v>
      </c>
      <c r="EQ139" s="627">
        <v>0</v>
      </c>
      <c r="ER139" s="627">
        <v>2.5670000000000002</v>
      </c>
      <c r="ES139" s="627">
        <v>0</v>
      </c>
      <c r="ET139" s="627">
        <v>7.7770000000000001</v>
      </c>
      <c r="EU139" s="627">
        <v>0</v>
      </c>
      <c r="EV139" s="627">
        <v>0</v>
      </c>
      <c r="EW139" s="627">
        <v>0</v>
      </c>
      <c r="EX139" s="627">
        <v>0</v>
      </c>
      <c r="EY139" s="627">
        <v>0</v>
      </c>
      <c r="EZ139" s="627">
        <v>0</v>
      </c>
      <c r="FA139" s="627">
        <v>571101</v>
      </c>
      <c r="FB139" s="627">
        <v>0</v>
      </c>
      <c r="FC139" s="627">
        <v>597546</v>
      </c>
      <c r="FD139" s="627">
        <v>0</v>
      </c>
      <c r="FE139" s="627">
        <v>0</v>
      </c>
      <c r="FF139" s="627">
        <v>85522</v>
      </c>
      <c r="FG139" s="627">
        <v>14811</v>
      </c>
      <c r="FH139" s="627">
        <v>7.0280999999999996E-2</v>
      </c>
      <c r="FI139" s="627">
        <v>3.1172999999999999E-2</v>
      </c>
      <c r="FJ139" s="627">
        <v>0</v>
      </c>
      <c r="FK139" s="627">
        <v>0</v>
      </c>
      <c r="FL139" s="627">
        <v>96.415000000000006</v>
      </c>
      <c r="FM139" s="627">
        <v>707976</v>
      </c>
      <c r="FN139" s="627">
        <v>0</v>
      </c>
      <c r="FO139" s="627">
        <v>0</v>
      </c>
      <c r="FP139" s="627">
        <v>1900</v>
      </c>
      <c r="FQ139" s="627">
        <v>0</v>
      </c>
      <c r="FR139" s="627">
        <v>1900</v>
      </c>
      <c r="FS139" s="627">
        <v>1900</v>
      </c>
      <c r="FT139" s="627">
        <v>0</v>
      </c>
      <c r="FU139" s="627">
        <v>0</v>
      </c>
      <c r="FV139" s="627">
        <v>0</v>
      </c>
      <c r="FW139" s="627">
        <v>0</v>
      </c>
      <c r="FX139" s="627">
        <v>0</v>
      </c>
      <c r="FY139" s="627">
        <v>0</v>
      </c>
      <c r="FZ139" s="627">
        <v>0</v>
      </c>
      <c r="GA139" s="627">
        <v>0</v>
      </c>
      <c r="GB139" s="627">
        <v>0</v>
      </c>
      <c r="GC139" s="627">
        <v>0</v>
      </c>
      <c r="GD139" s="627">
        <v>0</v>
      </c>
      <c r="GE139" s="627">
        <v>0</v>
      </c>
      <c r="GF139" s="627">
        <v>0</v>
      </c>
      <c r="GG139" s="627">
        <v>0</v>
      </c>
      <c r="GH139" s="627">
        <v>0</v>
      </c>
      <c r="GI139" s="627">
        <v>0</v>
      </c>
      <c r="GJ139" s="627">
        <v>0</v>
      </c>
      <c r="GK139" s="627">
        <v>0</v>
      </c>
      <c r="GL139" s="627">
        <v>0</v>
      </c>
      <c r="GM139" s="627">
        <v>0</v>
      </c>
      <c r="GN139" s="627">
        <v>0</v>
      </c>
      <c r="GO139" s="627">
        <v>0</v>
      </c>
      <c r="GP139" s="627">
        <v>0</v>
      </c>
      <c r="GQ139" s="627">
        <v>0</v>
      </c>
      <c r="GR139" s="627">
        <v>671160</v>
      </c>
      <c r="GS139" s="627">
        <v>0</v>
      </c>
      <c r="GT139" s="627">
        <v>0</v>
      </c>
      <c r="GU139" s="627">
        <v>0</v>
      </c>
      <c r="GV139" s="627">
        <v>0</v>
      </c>
      <c r="GW139" s="627">
        <v>0</v>
      </c>
      <c r="GX139" s="627">
        <v>0</v>
      </c>
      <c r="GY139" s="627">
        <v>0</v>
      </c>
      <c r="GZ139" s="627">
        <v>0</v>
      </c>
      <c r="HA139" s="627">
        <v>0</v>
      </c>
      <c r="HB139" s="627">
        <v>0</v>
      </c>
      <c r="HC139" s="627">
        <v>361151439</v>
      </c>
      <c r="HD139" s="627">
        <v>3.9981999999999997E-2</v>
      </c>
      <c r="HE139" s="627">
        <v>10097</v>
      </c>
      <c r="HF139" s="627">
        <v>0</v>
      </c>
      <c r="HG139" s="627">
        <v>66746</v>
      </c>
      <c r="HH139" s="627">
        <v>0</v>
      </c>
      <c r="HI139" s="627">
        <v>0</v>
      </c>
      <c r="HJ139" s="627">
        <v>0</v>
      </c>
      <c r="HK139" s="627">
        <v>15631</v>
      </c>
      <c r="HL139" s="627">
        <v>1249</v>
      </c>
      <c r="HM139" s="627">
        <v>754</v>
      </c>
      <c r="HN139" s="627">
        <v>5000</v>
      </c>
      <c r="HO139" s="627">
        <v>0</v>
      </c>
      <c r="HP139" s="627">
        <v>0</v>
      </c>
      <c r="HQ139" s="627">
        <v>0</v>
      </c>
      <c r="HR139" s="627">
        <v>0</v>
      </c>
      <c r="HS139" s="627">
        <v>0</v>
      </c>
      <c r="HT139" s="627">
        <v>570827</v>
      </c>
      <c r="HU139" s="627">
        <v>14811</v>
      </c>
      <c r="HV139" s="627">
        <v>0</v>
      </c>
      <c r="HW139" s="627">
        <v>0</v>
      </c>
      <c r="HX139" s="627">
        <v>0</v>
      </c>
      <c r="HY139" s="627">
        <v>5</v>
      </c>
      <c r="HZ139" s="627">
        <v>6</v>
      </c>
      <c r="IA139" s="627">
        <v>10</v>
      </c>
      <c r="IB139" s="627">
        <v>3</v>
      </c>
      <c r="IC139" s="627">
        <v>10</v>
      </c>
      <c r="ID139" s="627">
        <v>34</v>
      </c>
      <c r="IE139" s="627">
        <v>0</v>
      </c>
      <c r="IF139" s="627">
        <v>0</v>
      </c>
      <c r="IG139" s="627">
        <v>0</v>
      </c>
      <c r="IH139" s="627">
        <v>0</v>
      </c>
      <c r="II139" s="627">
        <v>0</v>
      </c>
      <c r="IJ139" s="627">
        <v>0</v>
      </c>
      <c r="IK139" s="627">
        <v>0</v>
      </c>
      <c r="IL139" s="627">
        <v>0</v>
      </c>
      <c r="IM139" s="627">
        <v>1</v>
      </c>
      <c r="IN139" s="627">
        <v>0</v>
      </c>
      <c r="IO139" s="627">
        <v>0</v>
      </c>
      <c r="IP139" s="627">
        <v>1</v>
      </c>
      <c r="IQ139" s="627">
        <v>0</v>
      </c>
      <c r="IR139" s="627">
        <v>0</v>
      </c>
      <c r="IS139" s="627">
        <v>0</v>
      </c>
      <c r="IT139" s="627">
        <v>0</v>
      </c>
      <c r="IU139" s="627">
        <v>5000</v>
      </c>
      <c r="IV139" s="627">
        <v>0</v>
      </c>
      <c r="IW139" s="627">
        <v>0</v>
      </c>
      <c r="IX139" s="627">
        <v>6160</v>
      </c>
      <c r="IY139" s="627">
        <v>0</v>
      </c>
      <c r="IZ139" s="627">
        <v>0</v>
      </c>
      <c r="JA139" s="627">
        <v>0</v>
      </c>
      <c r="JB139" s="627">
        <v>0</v>
      </c>
      <c r="JC139" s="627">
        <v>0</v>
      </c>
      <c r="JD139" s="627">
        <v>0</v>
      </c>
      <c r="JE139" s="627">
        <v>0</v>
      </c>
      <c r="JF139" s="627">
        <v>0</v>
      </c>
      <c r="JG139" s="627">
        <v>0</v>
      </c>
      <c r="JH139" s="627">
        <v>0</v>
      </c>
      <c r="JI139" s="627">
        <v>0</v>
      </c>
      <c r="JJ139" s="627">
        <v>0</v>
      </c>
      <c r="JK139" s="627">
        <v>0</v>
      </c>
      <c r="JL139" s="627">
        <v>0</v>
      </c>
      <c r="JM139" s="627">
        <v>0</v>
      </c>
      <c r="JN139" s="627">
        <v>0</v>
      </c>
      <c r="JO139" s="627">
        <v>32469</v>
      </c>
      <c r="JP139" s="627">
        <v>0</v>
      </c>
      <c r="JQ139" s="627">
        <v>0</v>
      </c>
      <c r="JR139" s="627">
        <v>0</v>
      </c>
      <c r="JS139" s="627">
        <v>0</v>
      </c>
      <c r="JT139" s="627">
        <v>0</v>
      </c>
      <c r="JU139" s="627">
        <v>0</v>
      </c>
      <c r="JV139" s="627">
        <v>0</v>
      </c>
      <c r="JW139" s="627">
        <v>0</v>
      </c>
      <c r="JX139" s="627">
        <v>0</v>
      </c>
      <c r="JY139" s="627">
        <v>0</v>
      </c>
      <c r="JZ139" s="627">
        <v>0</v>
      </c>
      <c r="KA139" s="627">
        <v>0</v>
      </c>
      <c r="KB139" s="627">
        <v>0</v>
      </c>
      <c r="KC139" s="627">
        <v>0</v>
      </c>
      <c r="KD139" s="627">
        <v>0</v>
      </c>
      <c r="KE139" s="627">
        <v>0</v>
      </c>
      <c r="KF139" s="627">
        <v>7262</v>
      </c>
      <c r="KG139" s="627">
        <v>0</v>
      </c>
      <c r="KH139" s="627">
        <v>0</v>
      </c>
      <c r="KI139" s="627">
        <v>671160</v>
      </c>
      <c r="KJ139" s="627">
        <v>0</v>
      </c>
      <c r="KK139" s="627">
        <v>0</v>
      </c>
      <c r="KL139" s="627">
        <v>0</v>
      </c>
      <c r="KM139" s="627">
        <v>0</v>
      </c>
      <c r="KN139" s="627">
        <v>0</v>
      </c>
      <c r="KO139" s="627">
        <v>0</v>
      </c>
      <c r="KP139" s="627">
        <v>0</v>
      </c>
      <c r="KQ139" s="627">
        <v>671160</v>
      </c>
      <c r="KR139" s="627">
        <v>0</v>
      </c>
      <c r="KS139" s="627">
        <v>0</v>
      </c>
      <c r="KT139" s="627">
        <v>0</v>
      </c>
      <c r="KU139" s="627">
        <v>0</v>
      </c>
      <c r="KV139" s="627">
        <v>0</v>
      </c>
      <c r="KW139" s="627">
        <v>0</v>
      </c>
      <c r="KX139" s="627">
        <v>0</v>
      </c>
      <c r="KY139" s="627">
        <v>0</v>
      </c>
      <c r="KZ139" s="627">
        <v>0</v>
      </c>
      <c r="LA139" s="627">
        <v>0</v>
      </c>
      <c r="LB139" s="627">
        <v>0</v>
      </c>
      <c r="LC139" s="627">
        <v>0</v>
      </c>
      <c r="LD139" s="627">
        <v>0</v>
      </c>
      <c r="LE139" s="627">
        <v>0</v>
      </c>
      <c r="LF139" s="627">
        <v>0</v>
      </c>
    </row>
    <row r="140" spans="1:318" x14ac:dyDescent="0.25">
      <c r="A140" s="627">
        <v>42602</v>
      </c>
      <c r="B140" s="627">
        <v>57833</v>
      </c>
      <c r="D140" s="627">
        <v>9</v>
      </c>
      <c r="E140" s="627">
        <v>2024</v>
      </c>
      <c r="F140" s="627">
        <v>6160</v>
      </c>
      <c r="G140" s="627">
        <v>0</v>
      </c>
      <c r="H140" s="627">
        <v>350.363</v>
      </c>
      <c r="I140" s="627">
        <v>339.53000000000003</v>
      </c>
      <c r="J140" s="627">
        <v>339.53000000000003</v>
      </c>
      <c r="K140" s="627">
        <v>350.363</v>
      </c>
      <c r="L140" s="627">
        <v>0</v>
      </c>
      <c r="M140" s="627">
        <v>6160</v>
      </c>
      <c r="N140" s="627">
        <v>0</v>
      </c>
      <c r="O140" s="627">
        <v>0</v>
      </c>
      <c r="P140" s="627">
        <v>0</v>
      </c>
      <c r="Q140" s="627">
        <v>370.68299999999999</v>
      </c>
      <c r="R140" s="627">
        <v>0</v>
      </c>
      <c r="S140" s="627">
        <v>153790</v>
      </c>
      <c r="T140" s="627">
        <v>414.88400000000001</v>
      </c>
      <c r="U140" s="627">
        <v>0</v>
      </c>
      <c r="V140" s="627">
        <v>79811</v>
      </c>
      <c r="W140" s="627">
        <v>24.03</v>
      </c>
      <c r="X140" s="627">
        <v>14802</v>
      </c>
      <c r="Y140" s="627">
        <v>14802</v>
      </c>
      <c r="Z140" s="627">
        <v>0</v>
      </c>
      <c r="AA140" s="627">
        <v>0</v>
      </c>
      <c r="AB140" s="627">
        <v>0</v>
      </c>
      <c r="AC140" s="627">
        <v>0</v>
      </c>
      <c r="AD140" s="627">
        <v>0</v>
      </c>
      <c r="AE140" s="627" t="s">
        <v>314</v>
      </c>
      <c r="AF140" s="627">
        <v>0</v>
      </c>
      <c r="AG140" s="627">
        <v>0</v>
      </c>
      <c r="AH140" s="627">
        <v>0</v>
      </c>
      <c r="AI140" s="627">
        <v>0</v>
      </c>
      <c r="AJ140" s="627">
        <v>0</v>
      </c>
      <c r="AK140" s="627">
        <v>6160</v>
      </c>
      <c r="AL140" s="627" t="s">
        <v>651</v>
      </c>
      <c r="AM140" s="627" t="s">
        <v>47</v>
      </c>
      <c r="AN140" s="627">
        <v>0</v>
      </c>
      <c r="AO140" s="627">
        <v>0</v>
      </c>
      <c r="AP140" s="627">
        <v>0</v>
      </c>
      <c r="AQ140" s="627">
        <v>0</v>
      </c>
      <c r="AR140" s="627">
        <v>0</v>
      </c>
      <c r="AS140" s="627">
        <v>0</v>
      </c>
      <c r="AT140" s="627">
        <v>0</v>
      </c>
      <c r="AU140" s="627">
        <v>0</v>
      </c>
      <c r="AV140" s="627">
        <v>0</v>
      </c>
      <c r="AW140" s="627">
        <v>-6183</v>
      </c>
      <c r="AX140" s="627">
        <v>3744099</v>
      </c>
      <c r="AY140" s="627">
        <v>3688836</v>
      </c>
      <c r="AZ140" s="627">
        <v>1899190</v>
      </c>
      <c r="BA140" s="627">
        <v>153790</v>
      </c>
      <c r="BB140" s="627">
        <v>16</v>
      </c>
      <c r="BC140" s="627">
        <v>2130</v>
      </c>
      <c r="BD140" s="627">
        <v>2117</v>
      </c>
      <c r="BE140" s="627">
        <v>5</v>
      </c>
      <c r="BF140" s="627">
        <v>14</v>
      </c>
      <c r="BG140" s="627">
        <v>3287289</v>
      </c>
      <c r="BH140" s="627">
        <v>0</v>
      </c>
      <c r="BI140" s="627">
        <v>0</v>
      </c>
      <c r="BJ140" s="627">
        <v>0</v>
      </c>
      <c r="BK140" s="627">
        <v>12</v>
      </c>
      <c r="BL140" s="627">
        <v>0</v>
      </c>
      <c r="BM140" s="627">
        <v>0</v>
      </c>
      <c r="BN140" s="627">
        <v>0</v>
      </c>
      <c r="BO140" s="627">
        <v>0</v>
      </c>
      <c r="BP140" s="627">
        <v>0</v>
      </c>
      <c r="BQ140" s="627">
        <v>0</v>
      </c>
      <c r="BR140" s="627">
        <v>718</v>
      </c>
      <c r="BS140" s="627">
        <v>0</v>
      </c>
      <c r="BT140" s="627">
        <v>0</v>
      </c>
      <c r="BU140" s="627">
        <v>0</v>
      </c>
      <c r="BV140" s="627">
        <v>0</v>
      </c>
      <c r="BW140" s="627">
        <v>0</v>
      </c>
      <c r="BX140" s="627">
        <v>0</v>
      </c>
      <c r="BY140" s="627">
        <v>0</v>
      </c>
      <c r="BZ140" s="627">
        <v>0</v>
      </c>
      <c r="CA140" s="627">
        <v>0</v>
      </c>
      <c r="CB140" s="627">
        <v>0</v>
      </c>
      <c r="CC140" s="627">
        <v>0</v>
      </c>
      <c r="CD140" s="627">
        <v>0</v>
      </c>
      <c r="CE140" s="627">
        <v>0</v>
      </c>
      <c r="CF140" s="627">
        <v>0</v>
      </c>
      <c r="CG140" s="627">
        <v>0</v>
      </c>
      <c r="CH140" s="627">
        <v>0</v>
      </c>
      <c r="CI140" s="627">
        <v>56033</v>
      </c>
      <c r="CJ140" s="627">
        <v>0</v>
      </c>
      <c r="CK140" s="627">
        <v>4</v>
      </c>
      <c r="CL140" s="627">
        <v>0</v>
      </c>
      <c r="CM140" s="627">
        <v>0</v>
      </c>
      <c r="CN140" s="627">
        <v>0</v>
      </c>
      <c r="CO140" s="627">
        <v>0</v>
      </c>
      <c r="CP140" s="627">
        <v>1</v>
      </c>
      <c r="CQ140" s="627">
        <v>0</v>
      </c>
      <c r="CR140" s="627">
        <v>0</v>
      </c>
      <c r="CS140" s="627">
        <v>369.98</v>
      </c>
      <c r="CT140" s="627">
        <v>0</v>
      </c>
      <c r="CU140" s="627">
        <v>0</v>
      </c>
      <c r="CV140" s="627">
        <v>0</v>
      </c>
      <c r="CW140" s="627">
        <v>0</v>
      </c>
      <c r="CX140" s="627">
        <v>0</v>
      </c>
      <c r="CY140" s="627">
        <v>0</v>
      </c>
      <c r="CZ140" s="627">
        <v>0</v>
      </c>
      <c r="DA140" s="627">
        <v>0</v>
      </c>
      <c r="DB140" s="627">
        <v>0</v>
      </c>
      <c r="DC140" s="627">
        <v>1899172</v>
      </c>
      <c r="DD140" s="627">
        <v>0</v>
      </c>
      <c r="DE140" s="627">
        <v>0</v>
      </c>
      <c r="DF140" s="627">
        <v>408023</v>
      </c>
      <c r="DG140" s="627">
        <v>408023</v>
      </c>
      <c r="DH140" s="627">
        <v>66.238</v>
      </c>
      <c r="DI140" s="627">
        <v>0</v>
      </c>
      <c r="DJ140" s="627">
        <v>0</v>
      </c>
      <c r="DK140" s="627">
        <v>0</v>
      </c>
      <c r="DL140" s="627">
        <v>3106</v>
      </c>
      <c r="DM140" s="627">
        <v>0</v>
      </c>
      <c r="DN140" s="627">
        <v>414485</v>
      </c>
      <c r="DO140" s="627">
        <v>757</v>
      </c>
      <c r="DP140" s="627">
        <v>0</v>
      </c>
      <c r="DQ140" s="627">
        <v>0</v>
      </c>
      <c r="DR140" s="627">
        <v>0</v>
      </c>
      <c r="DS140" s="627">
        <v>0</v>
      </c>
      <c r="DT140" s="627">
        <v>0</v>
      </c>
      <c r="DU140" s="627">
        <v>0</v>
      </c>
      <c r="DV140" s="627">
        <v>0</v>
      </c>
      <c r="DW140" s="627">
        <v>0</v>
      </c>
      <c r="DX140" s="627">
        <v>0</v>
      </c>
      <c r="DY140" s="627">
        <v>0</v>
      </c>
      <c r="DZ140" s="627">
        <v>0</v>
      </c>
      <c r="EA140" s="627">
        <v>0</v>
      </c>
      <c r="EB140" s="627">
        <v>0</v>
      </c>
      <c r="EC140" s="627">
        <v>0</v>
      </c>
      <c r="ED140" s="627">
        <v>2.4500000000000002</v>
      </c>
      <c r="EE140" s="627">
        <v>17356</v>
      </c>
      <c r="EF140" s="627">
        <v>0</v>
      </c>
      <c r="EG140" s="627">
        <v>0</v>
      </c>
      <c r="EH140" s="627">
        <v>0</v>
      </c>
      <c r="EI140" s="627">
        <v>205553</v>
      </c>
      <c r="EJ140" s="627">
        <v>0</v>
      </c>
      <c r="EK140" s="627">
        <v>0</v>
      </c>
      <c r="EL140" s="627">
        <v>10.398</v>
      </c>
      <c r="EM140" s="627">
        <v>0</v>
      </c>
      <c r="EN140" s="627">
        <v>0</v>
      </c>
      <c r="EO140" s="627">
        <v>0.435</v>
      </c>
      <c r="EP140" s="627">
        <v>0</v>
      </c>
      <c r="EQ140" s="627">
        <v>0</v>
      </c>
      <c r="ER140" s="627">
        <v>10.833</v>
      </c>
      <c r="ES140" s="627">
        <v>0</v>
      </c>
      <c r="ET140" s="627">
        <v>33.369</v>
      </c>
      <c r="EU140" s="627">
        <v>0</v>
      </c>
      <c r="EV140" s="627">
        <v>0</v>
      </c>
      <c r="EW140" s="627">
        <v>0</v>
      </c>
      <c r="EX140" s="627">
        <v>0</v>
      </c>
      <c r="EY140" s="627">
        <v>0</v>
      </c>
      <c r="EZ140" s="627">
        <v>0</v>
      </c>
      <c r="FA140" s="627">
        <v>3133499</v>
      </c>
      <c r="FB140" s="627">
        <v>0</v>
      </c>
      <c r="FC140" s="627">
        <v>3286519</v>
      </c>
      <c r="FD140" s="627">
        <v>0</v>
      </c>
      <c r="FE140" s="627">
        <v>0</v>
      </c>
      <c r="FF140" s="627">
        <v>473357</v>
      </c>
      <c r="FG140" s="627">
        <v>81980</v>
      </c>
      <c r="FH140" s="627">
        <v>7.0280999999999996E-2</v>
      </c>
      <c r="FI140" s="627">
        <v>3.1172999999999999E-2</v>
      </c>
      <c r="FJ140" s="627">
        <v>0</v>
      </c>
      <c r="FK140" s="627">
        <v>0</v>
      </c>
      <c r="FL140" s="627">
        <v>533.65100000000007</v>
      </c>
      <c r="FM140" s="627">
        <v>3897889</v>
      </c>
      <c r="FN140" s="627">
        <v>0</v>
      </c>
      <c r="FO140" s="627">
        <v>0</v>
      </c>
      <c r="FP140" s="627">
        <v>0</v>
      </c>
      <c r="FQ140" s="627">
        <v>0</v>
      </c>
      <c r="FR140" s="627">
        <v>0</v>
      </c>
      <c r="FS140" s="627">
        <v>0</v>
      </c>
      <c r="FT140" s="627">
        <v>0</v>
      </c>
      <c r="FU140" s="627">
        <v>0</v>
      </c>
      <c r="FV140" s="627">
        <v>0</v>
      </c>
      <c r="FW140" s="627">
        <v>0</v>
      </c>
      <c r="FX140" s="627">
        <v>0</v>
      </c>
      <c r="FY140" s="627">
        <v>0</v>
      </c>
      <c r="FZ140" s="627">
        <v>0</v>
      </c>
      <c r="GA140" s="627">
        <v>0</v>
      </c>
      <c r="GB140" s="627">
        <v>0</v>
      </c>
      <c r="GC140" s="627">
        <v>0</v>
      </c>
      <c r="GD140" s="627">
        <v>0</v>
      </c>
      <c r="GE140" s="627">
        <v>0</v>
      </c>
      <c r="GF140" s="627">
        <v>0</v>
      </c>
      <c r="GG140" s="627">
        <v>0</v>
      </c>
      <c r="GH140" s="627">
        <v>0</v>
      </c>
      <c r="GI140" s="627">
        <v>0</v>
      </c>
      <c r="GJ140" s="627">
        <v>0</v>
      </c>
      <c r="GK140" s="627">
        <v>0</v>
      </c>
      <c r="GL140" s="627">
        <v>0</v>
      </c>
      <c r="GM140" s="627">
        <v>0</v>
      </c>
      <c r="GN140" s="627">
        <v>0</v>
      </c>
      <c r="GO140" s="627">
        <v>0</v>
      </c>
      <c r="GP140" s="627">
        <v>0</v>
      </c>
      <c r="GQ140" s="627">
        <v>0</v>
      </c>
      <c r="GR140" s="627">
        <v>3688066</v>
      </c>
      <c r="GS140" s="627">
        <v>0</v>
      </c>
      <c r="GT140" s="627">
        <v>0</v>
      </c>
      <c r="GU140" s="627">
        <v>0</v>
      </c>
      <c r="GV140" s="627">
        <v>0</v>
      </c>
      <c r="GW140" s="627">
        <v>0</v>
      </c>
      <c r="GX140" s="627">
        <v>0</v>
      </c>
      <c r="GY140" s="627">
        <v>0</v>
      </c>
      <c r="GZ140" s="627">
        <v>0</v>
      </c>
      <c r="HA140" s="627">
        <v>0</v>
      </c>
      <c r="HB140" s="627">
        <v>0</v>
      </c>
      <c r="HC140" s="627">
        <v>361151439</v>
      </c>
      <c r="HD140" s="627">
        <v>3.9981999999999997E-2</v>
      </c>
      <c r="HE140" s="627">
        <v>56033</v>
      </c>
      <c r="HF140" s="627">
        <v>0</v>
      </c>
      <c r="HG140" s="627">
        <v>374162</v>
      </c>
      <c r="HH140" s="627">
        <v>23408</v>
      </c>
      <c r="HI140" s="627">
        <v>101846</v>
      </c>
      <c r="HJ140" s="627">
        <v>0</v>
      </c>
      <c r="HK140" s="627">
        <v>48504</v>
      </c>
      <c r="HL140" s="627">
        <v>0</v>
      </c>
      <c r="HM140" s="627">
        <v>0</v>
      </c>
      <c r="HN140" s="627">
        <v>0</v>
      </c>
      <c r="HO140" s="627">
        <v>0</v>
      </c>
      <c r="HP140" s="627">
        <v>0</v>
      </c>
      <c r="HQ140" s="627">
        <v>0</v>
      </c>
      <c r="HR140" s="627">
        <v>0</v>
      </c>
      <c r="HS140" s="627">
        <v>0</v>
      </c>
      <c r="HT140" s="627">
        <v>3132729</v>
      </c>
      <c r="HU140" s="627">
        <v>81980</v>
      </c>
      <c r="HV140" s="627">
        <v>0</v>
      </c>
      <c r="HW140" s="627">
        <v>0</v>
      </c>
      <c r="HX140" s="627">
        <v>0</v>
      </c>
      <c r="HY140" s="627">
        <v>126</v>
      </c>
      <c r="HZ140" s="627">
        <v>58</v>
      </c>
      <c r="IA140" s="627">
        <v>43</v>
      </c>
      <c r="IB140" s="627">
        <v>31</v>
      </c>
      <c r="IC140" s="627">
        <v>19</v>
      </c>
      <c r="ID140" s="627">
        <v>277</v>
      </c>
      <c r="IE140" s="627">
        <v>0</v>
      </c>
      <c r="IF140" s="627">
        <v>0</v>
      </c>
      <c r="IG140" s="627">
        <v>0</v>
      </c>
      <c r="IH140" s="627">
        <v>38</v>
      </c>
      <c r="II140" s="627">
        <v>165.33500000000001</v>
      </c>
      <c r="IJ140" s="627">
        <v>0</v>
      </c>
      <c r="IK140" s="627">
        <v>24.03</v>
      </c>
      <c r="IL140" s="627">
        <v>0</v>
      </c>
      <c r="IM140" s="627">
        <v>0</v>
      </c>
      <c r="IN140" s="627">
        <v>0</v>
      </c>
      <c r="IO140" s="627">
        <v>0</v>
      </c>
      <c r="IP140" s="627">
        <v>0</v>
      </c>
      <c r="IQ140" s="627">
        <v>0</v>
      </c>
      <c r="IR140" s="627">
        <v>24.03</v>
      </c>
      <c r="IS140" s="627">
        <v>14802</v>
      </c>
      <c r="IT140" s="627">
        <v>0</v>
      </c>
      <c r="IU140" s="627">
        <v>0</v>
      </c>
      <c r="IV140" s="627">
        <v>0</v>
      </c>
      <c r="IW140" s="627">
        <v>0</v>
      </c>
      <c r="IX140" s="627">
        <v>6160</v>
      </c>
      <c r="IY140" s="627">
        <v>0</v>
      </c>
      <c r="IZ140" s="627">
        <v>0</v>
      </c>
      <c r="JA140" s="627">
        <v>0</v>
      </c>
      <c r="JB140" s="627">
        <v>0</v>
      </c>
      <c r="JC140" s="627">
        <v>0</v>
      </c>
      <c r="JD140" s="627">
        <v>0</v>
      </c>
      <c r="JE140" s="627">
        <v>0</v>
      </c>
      <c r="JF140" s="627">
        <v>0</v>
      </c>
      <c r="JG140" s="627">
        <v>0</v>
      </c>
      <c r="JH140" s="627">
        <v>0</v>
      </c>
      <c r="JI140" s="627">
        <v>0</v>
      </c>
      <c r="JJ140" s="627">
        <v>0</v>
      </c>
      <c r="JK140" s="627">
        <v>0</v>
      </c>
      <c r="JL140" s="627">
        <v>0</v>
      </c>
      <c r="JM140" s="627">
        <v>0</v>
      </c>
      <c r="JN140" s="627">
        <v>0</v>
      </c>
      <c r="JO140" s="627">
        <v>32469</v>
      </c>
      <c r="JP140" s="627">
        <v>0</v>
      </c>
      <c r="JQ140" s="627">
        <v>0</v>
      </c>
      <c r="JR140" s="627">
        <v>0</v>
      </c>
      <c r="JS140" s="627">
        <v>0</v>
      </c>
      <c r="JT140" s="627">
        <v>0</v>
      </c>
      <c r="JU140" s="627">
        <v>0</v>
      </c>
      <c r="JV140" s="627">
        <v>2156</v>
      </c>
      <c r="JW140" s="627">
        <v>0</v>
      </c>
      <c r="JX140" s="627">
        <v>0</v>
      </c>
      <c r="JY140" s="627">
        <v>0</v>
      </c>
      <c r="JZ140" s="627">
        <v>0</v>
      </c>
      <c r="KA140" s="627">
        <v>0</v>
      </c>
      <c r="KB140" s="627">
        <v>0</v>
      </c>
      <c r="KC140" s="627">
        <v>0</v>
      </c>
      <c r="KD140" s="627">
        <v>0</v>
      </c>
      <c r="KE140" s="627">
        <v>2156</v>
      </c>
      <c r="KF140" s="627">
        <v>7262</v>
      </c>
      <c r="KG140" s="627">
        <v>0</v>
      </c>
      <c r="KH140" s="627">
        <v>0</v>
      </c>
      <c r="KI140" s="627">
        <v>3688066</v>
      </c>
      <c r="KJ140" s="627">
        <v>0</v>
      </c>
      <c r="KK140" s="627">
        <v>13</v>
      </c>
      <c r="KL140" s="627">
        <v>25</v>
      </c>
      <c r="KM140" s="627">
        <v>8008</v>
      </c>
      <c r="KN140" s="627">
        <v>15400</v>
      </c>
      <c r="KO140" s="627">
        <v>0</v>
      </c>
      <c r="KP140" s="627">
        <v>0</v>
      </c>
      <c r="KQ140" s="627">
        <v>3688066</v>
      </c>
      <c r="KR140" s="627">
        <v>0</v>
      </c>
      <c r="KS140" s="627">
        <v>0</v>
      </c>
      <c r="KT140" s="627">
        <v>0</v>
      </c>
      <c r="KU140" s="627">
        <v>0</v>
      </c>
      <c r="KV140" s="627">
        <v>0</v>
      </c>
      <c r="KW140" s="627">
        <v>0</v>
      </c>
      <c r="KX140" s="627">
        <v>0</v>
      </c>
      <c r="KY140" s="627">
        <v>0</v>
      </c>
      <c r="KZ140" s="627">
        <v>0</v>
      </c>
      <c r="LA140" s="627">
        <v>0</v>
      </c>
      <c r="LB140" s="627">
        <v>0</v>
      </c>
      <c r="LC140" s="627">
        <v>0</v>
      </c>
      <c r="LD140" s="627">
        <v>0</v>
      </c>
      <c r="LE140" s="627">
        <v>0</v>
      </c>
      <c r="LF140" s="627">
        <v>0</v>
      </c>
    </row>
    <row r="141" spans="1:318" x14ac:dyDescent="0.25">
      <c r="A141" s="627">
        <v>42602</v>
      </c>
      <c r="B141" s="627">
        <v>15834</v>
      </c>
      <c r="D141" s="627">
        <v>9</v>
      </c>
      <c r="E141" s="627">
        <v>2024</v>
      </c>
      <c r="F141" s="627">
        <v>6160</v>
      </c>
      <c r="G141" s="627">
        <v>0</v>
      </c>
      <c r="H141" s="627">
        <v>5901.8650000000007</v>
      </c>
      <c r="I141" s="627">
        <v>5849.527</v>
      </c>
      <c r="J141" s="627">
        <v>5849.527</v>
      </c>
      <c r="K141" s="627">
        <v>5901.8650000000007</v>
      </c>
      <c r="L141" s="627">
        <v>0</v>
      </c>
      <c r="M141" s="627">
        <v>6160</v>
      </c>
      <c r="N141" s="627">
        <v>0</v>
      </c>
      <c r="O141" s="627">
        <v>0</v>
      </c>
      <c r="P141" s="627">
        <v>0</v>
      </c>
      <c r="Q141" s="627">
        <v>4668.6930000000002</v>
      </c>
      <c r="R141" s="627">
        <v>0</v>
      </c>
      <c r="S141" s="627">
        <v>1936966</v>
      </c>
      <c r="T141" s="627">
        <v>414.88400000000001</v>
      </c>
      <c r="U141" s="627">
        <v>0</v>
      </c>
      <c r="V141" s="627">
        <v>1005208</v>
      </c>
      <c r="W141" s="627">
        <v>797.65800000000002</v>
      </c>
      <c r="X141" s="627">
        <v>491357</v>
      </c>
      <c r="Y141" s="627">
        <v>491357</v>
      </c>
      <c r="Z141" s="627">
        <v>0</v>
      </c>
      <c r="AA141" s="627">
        <v>0</v>
      </c>
      <c r="AB141" s="627">
        <v>0</v>
      </c>
      <c r="AC141" s="627">
        <v>0</v>
      </c>
      <c r="AD141" s="627">
        <v>0</v>
      </c>
      <c r="AE141" s="627" t="s">
        <v>314</v>
      </c>
      <c r="AF141" s="627">
        <v>0</v>
      </c>
      <c r="AG141" s="627">
        <v>0</v>
      </c>
      <c r="AH141" s="627">
        <v>0</v>
      </c>
      <c r="AI141" s="627">
        <v>0</v>
      </c>
      <c r="AJ141" s="627">
        <v>0</v>
      </c>
      <c r="AK141" s="627">
        <v>6160</v>
      </c>
      <c r="AL141" s="627" t="s">
        <v>651</v>
      </c>
      <c r="AM141" s="627" t="s">
        <v>317</v>
      </c>
      <c r="AN141" s="627">
        <v>0</v>
      </c>
      <c r="AO141" s="627">
        <v>0</v>
      </c>
      <c r="AP141" s="627">
        <v>0</v>
      </c>
      <c r="AQ141" s="627">
        <v>0</v>
      </c>
      <c r="AR141" s="627">
        <v>0</v>
      </c>
      <c r="AS141" s="627">
        <v>0</v>
      </c>
      <c r="AT141" s="627">
        <v>0</v>
      </c>
      <c r="AU141" s="627">
        <v>0</v>
      </c>
      <c r="AV141" s="627">
        <v>0</v>
      </c>
      <c r="AW141" s="627">
        <v>0</v>
      </c>
      <c r="AX141" s="627">
        <v>53234350</v>
      </c>
      <c r="AY141" s="627">
        <v>52295069</v>
      </c>
      <c r="AZ141" s="627">
        <v>26307699</v>
      </c>
      <c r="BA141" s="627">
        <v>1936966</v>
      </c>
      <c r="BB141" s="627">
        <v>0</v>
      </c>
      <c r="BC141" s="627">
        <v>0</v>
      </c>
      <c r="BD141" s="627">
        <v>0</v>
      </c>
      <c r="BE141" s="627">
        <v>0</v>
      </c>
      <c r="BF141" s="627">
        <v>0</v>
      </c>
      <c r="BG141" s="627">
        <v>45436542</v>
      </c>
      <c r="BH141" s="627">
        <v>0</v>
      </c>
      <c r="BI141" s="627">
        <v>0</v>
      </c>
      <c r="BJ141" s="627">
        <v>0</v>
      </c>
      <c r="BK141" s="627">
        <v>12</v>
      </c>
      <c r="BL141" s="627">
        <v>0</v>
      </c>
      <c r="BM141" s="627">
        <v>0</v>
      </c>
      <c r="BN141" s="627">
        <v>0</v>
      </c>
      <c r="BO141" s="627">
        <v>0</v>
      </c>
      <c r="BP141" s="627">
        <v>0</v>
      </c>
      <c r="BQ141" s="627">
        <v>0</v>
      </c>
      <c r="BR141" s="627">
        <v>0</v>
      </c>
      <c r="BS141" s="627">
        <v>0</v>
      </c>
      <c r="BT141" s="627">
        <v>0</v>
      </c>
      <c r="BU141" s="627">
        <v>0</v>
      </c>
      <c r="BV141" s="627">
        <v>0</v>
      </c>
      <c r="BW141" s="627">
        <v>0</v>
      </c>
      <c r="BX141" s="627">
        <v>0</v>
      </c>
      <c r="BY141" s="627">
        <v>0</v>
      </c>
      <c r="BZ141" s="627">
        <v>0</v>
      </c>
      <c r="CA141" s="627">
        <v>0</v>
      </c>
      <c r="CB141" s="627">
        <v>1114.048</v>
      </c>
      <c r="CC141" s="627">
        <v>1114048</v>
      </c>
      <c r="CD141" s="627">
        <v>0</v>
      </c>
      <c r="CE141" s="627">
        <v>0</v>
      </c>
      <c r="CF141" s="627">
        <v>0</v>
      </c>
      <c r="CG141" s="627">
        <v>0</v>
      </c>
      <c r="CH141" s="627">
        <v>0</v>
      </c>
      <c r="CI141" s="627">
        <v>943877</v>
      </c>
      <c r="CJ141" s="627">
        <v>0</v>
      </c>
      <c r="CK141" s="627">
        <v>4</v>
      </c>
      <c r="CL141" s="627">
        <v>0</v>
      </c>
      <c r="CM141" s="627">
        <v>0</v>
      </c>
      <c r="CN141" s="627">
        <v>0</v>
      </c>
      <c r="CO141" s="627">
        <v>0</v>
      </c>
      <c r="CP141" s="627">
        <v>1</v>
      </c>
      <c r="CQ141" s="627">
        <v>0</v>
      </c>
      <c r="CR141" s="627">
        <v>0</v>
      </c>
      <c r="CS141" s="627">
        <v>4645.17</v>
      </c>
      <c r="CT141" s="627">
        <v>0</v>
      </c>
      <c r="CU141" s="627">
        <v>0</v>
      </c>
      <c r="CV141" s="627">
        <v>0</v>
      </c>
      <c r="CW141" s="627">
        <v>0</v>
      </c>
      <c r="CX141" s="627">
        <v>0</v>
      </c>
      <c r="CY141" s="627">
        <v>0</v>
      </c>
      <c r="CZ141" s="627">
        <v>0</v>
      </c>
      <c r="DA141" s="627">
        <v>0</v>
      </c>
      <c r="DB141" s="627">
        <v>0</v>
      </c>
      <c r="DC141" s="627">
        <v>36033086</v>
      </c>
      <c r="DD141" s="627">
        <v>0</v>
      </c>
      <c r="DE141" s="627">
        <v>0</v>
      </c>
      <c r="DF141" s="627">
        <v>316701</v>
      </c>
      <c r="DG141" s="627">
        <v>316701</v>
      </c>
      <c r="DH141" s="627">
        <v>51.413000000000004</v>
      </c>
      <c r="DI141" s="627">
        <v>0</v>
      </c>
      <c r="DJ141" s="627">
        <v>0</v>
      </c>
      <c r="DK141" s="627">
        <v>0</v>
      </c>
      <c r="DL141" s="627">
        <v>0</v>
      </c>
      <c r="DM141" s="627">
        <v>0</v>
      </c>
      <c r="DN141" s="627">
        <v>1348448</v>
      </c>
      <c r="DO141" s="627">
        <v>4596</v>
      </c>
      <c r="DP141" s="627">
        <v>0</v>
      </c>
      <c r="DQ141" s="627">
        <v>0</v>
      </c>
      <c r="DR141" s="627">
        <v>0</v>
      </c>
      <c r="DS141" s="627">
        <v>0</v>
      </c>
      <c r="DT141" s="627">
        <v>0</v>
      </c>
      <c r="DU141" s="627">
        <v>0</v>
      </c>
      <c r="DV141" s="627">
        <v>0</v>
      </c>
      <c r="DW141" s="627">
        <v>0</v>
      </c>
      <c r="DX141" s="627">
        <v>0</v>
      </c>
      <c r="DY141" s="627">
        <v>0</v>
      </c>
      <c r="DZ141" s="627">
        <v>0</v>
      </c>
      <c r="EA141" s="627">
        <v>0</v>
      </c>
      <c r="EB141" s="627">
        <v>0</v>
      </c>
      <c r="EC141" s="627">
        <v>0</v>
      </c>
      <c r="ED141" s="627">
        <v>44.087000000000003</v>
      </c>
      <c r="EE141" s="627">
        <v>312312</v>
      </c>
      <c r="EF141" s="627">
        <v>0</v>
      </c>
      <c r="EG141" s="627">
        <v>0</v>
      </c>
      <c r="EH141" s="627">
        <v>0</v>
      </c>
      <c r="EI141" s="627">
        <v>1040732</v>
      </c>
      <c r="EJ141" s="627">
        <v>0</v>
      </c>
      <c r="EK141" s="627">
        <v>0</v>
      </c>
      <c r="EL141" s="627">
        <v>41.972000000000001</v>
      </c>
      <c r="EM141" s="627">
        <v>0</v>
      </c>
      <c r="EN141" s="627">
        <v>4.3980000000000006</v>
      </c>
      <c r="EO141" s="627">
        <v>5.968</v>
      </c>
      <c r="EP141" s="627">
        <v>0</v>
      </c>
      <c r="EQ141" s="627">
        <v>0</v>
      </c>
      <c r="ER141" s="627">
        <v>52.338000000000001</v>
      </c>
      <c r="ES141" s="627">
        <v>0</v>
      </c>
      <c r="ET141" s="627">
        <v>168.95000000000002</v>
      </c>
      <c r="EU141" s="627">
        <v>0</v>
      </c>
      <c r="EV141" s="627">
        <v>0</v>
      </c>
      <c r="EW141" s="627">
        <v>0</v>
      </c>
      <c r="EX141" s="627">
        <v>0</v>
      </c>
      <c r="EY141" s="627">
        <v>0</v>
      </c>
      <c r="EZ141" s="627">
        <v>0</v>
      </c>
      <c r="FA141" s="627">
        <v>44619265</v>
      </c>
      <c r="FB141" s="627">
        <v>0</v>
      </c>
      <c r="FC141" s="627">
        <v>46551635</v>
      </c>
      <c r="FD141" s="627">
        <v>0</v>
      </c>
      <c r="FE141" s="627">
        <v>0</v>
      </c>
      <c r="FF141" s="627">
        <v>6542689</v>
      </c>
      <c r="FG141" s="627">
        <v>1133115</v>
      </c>
      <c r="FH141" s="627">
        <v>7.0280999999999996E-2</v>
      </c>
      <c r="FI141" s="627">
        <v>3.1172999999999999E-2</v>
      </c>
      <c r="FJ141" s="627">
        <v>0</v>
      </c>
      <c r="FK141" s="627">
        <v>0</v>
      </c>
      <c r="FL141" s="627">
        <v>7376.0620000000008</v>
      </c>
      <c r="FM141" s="627">
        <v>55171316</v>
      </c>
      <c r="FN141" s="627">
        <v>0</v>
      </c>
      <c r="FO141" s="627">
        <v>0</v>
      </c>
      <c r="FP141" s="627">
        <v>0</v>
      </c>
      <c r="FQ141" s="627">
        <v>0</v>
      </c>
      <c r="FR141" s="627">
        <v>0</v>
      </c>
      <c r="FS141" s="627">
        <v>0</v>
      </c>
      <c r="FT141" s="627">
        <v>0</v>
      </c>
      <c r="FU141" s="627">
        <v>0</v>
      </c>
      <c r="FV141" s="627">
        <v>0</v>
      </c>
      <c r="FW141" s="627">
        <v>0</v>
      </c>
      <c r="FX141" s="627">
        <v>0</v>
      </c>
      <c r="FY141" s="627">
        <v>0</v>
      </c>
      <c r="FZ141" s="627">
        <v>0</v>
      </c>
      <c r="GA141" s="627">
        <v>0</v>
      </c>
      <c r="GB141" s="627">
        <v>0</v>
      </c>
      <c r="GC141" s="627">
        <v>0</v>
      </c>
      <c r="GD141" s="627">
        <v>0</v>
      </c>
      <c r="GE141" s="627">
        <v>0</v>
      </c>
      <c r="GF141" s="627">
        <v>0</v>
      </c>
      <c r="GG141" s="627">
        <v>0</v>
      </c>
      <c r="GH141" s="627">
        <v>0</v>
      </c>
      <c r="GI141" s="627">
        <v>0</v>
      </c>
      <c r="GJ141" s="627">
        <v>0</v>
      </c>
      <c r="GK141" s="627">
        <v>0</v>
      </c>
      <c r="GL141" s="627">
        <v>0</v>
      </c>
      <c r="GM141" s="627">
        <v>0</v>
      </c>
      <c r="GN141" s="627">
        <v>0</v>
      </c>
      <c r="GO141" s="627">
        <v>0</v>
      </c>
      <c r="GP141" s="627">
        <v>0</v>
      </c>
      <c r="GQ141" s="627">
        <v>0</v>
      </c>
      <c r="GR141" s="627">
        <v>52290473</v>
      </c>
      <c r="GS141" s="627">
        <v>0</v>
      </c>
      <c r="GT141" s="627">
        <v>0</v>
      </c>
      <c r="GU141" s="627">
        <v>0</v>
      </c>
      <c r="GV141" s="627">
        <v>0</v>
      </c>
      <c r="GW141" s="627">
        <v>0</v>
      </c>
      <c r="GX141" s="627">
        <v>0</v>
      </c>
      <c r="GY141" s="627">
        <v>0</v>
      </c>
      <c r="GZ141" s="627">
        <v>0</v>
      </c>
      <c r="HA141" s="627">
        <v>0</v>
      </c>
      <c r="HB141" s="627">
        <v>0</v>
      </c>
      <c r="HC141" s="627">
        <v>361151439</v>
      </c>
      <c r="HD141" s="627">
        <v>3.9981999999999997E-2</v>
      </c>
      <c r="HE141" s="627">
        <v>943877</v>
      </c>
      <c r="HF141" s="627">
        <v>0</v>
      </c>
      <c r="HG141" s="627">
        <v>6446179</v>
      </c>
      <c r="HH141" s="627">
        <v>16632</v>
      </c>
      <c r="HI141" s="627">
        <v>350524</v>
      </c>
      <c r="HJ141" s="627">
        <v>0</v>
      </c>
      <c r="HK141" s="627">
        <v>239019</v>
      </c>
      <c r="HL141" s="627">
        <v>3746</v>
      </c>
      <c r="HM141" s="627">
        <v>1895</v>
      </c>
      <c r="HN141" s="627">
        <v>190000</v>
      </c>
      <c r="HO141" s="627">
        <v>0</v>
      </c>
      <c r="HP141" s="627">
        <v>0</v>
      </c>
      <c r="HQ141" s="627">
        <v>0</v>
      </c>
      <c r="HR141" s="627">
        <v>0</v>
      </c>
      <c r="HS141" s="627">
        <v>0</v>
      </c>
      <c r="HT141" s="627">
        <v>44614669</v>
      </c>
      <c r="HU141" s="627">
        <v>1133115</v>
      </c>
      <c r="HV141" s="627">
        <v>0</v>
      </c>
      <c r="HW141" s="627">
        <v>0</v>
      </c>
      <c r="HX141" s="627">
        <v>0</v>
      </c>
      <c r="HY141" s="627">
        <v>73</v>
      </c>
      <c r="HZ141" s="627">
        <v>48</v>
      </c>
      <c r="IA141" s="627">
        <v>40</v>
      </c>
      <c r="IB141" s="627">
        <v>35</v>
      </c>
      <c r="IC141" s="627">
        <v>16</v>
      </c>
      <c r="ID141" s="627">
        <v>212</v>
      </c>
      <c r="IE141" s="627">
        <v>0</v>
      </c>
      <c r="IF141" s="627">
        <v>0</v>
      </c>
      <c r="IG141" s="627">
        <v>0</v>
      </c>
      <c r="IH141" s="627">
        <v>27</v>
      </c>
      <c r="II141" s="627">
        <v>569.03200000000004</v>
      </c>
      <c r="IJ141" s="627">
        <v>0</v>
      </c>
      <c r="IK141" s="627">
        <v>797.65800000000002</v>
      </c>
      <c r="IL141" s="627">
        <v>0</v>
      </c>
      <c r="IM141" s="627">
        <v>5</v>
      </c>
      <c r="IN141" s="627">
        <v>55</v>
      </c>
      <c r="IO141" s="627">
        <v>0</v>
      </c>
      <c r="IP141" s="627">
        <v>60</v>
      </c>
      <c r="IQ141" s="627">
        <v>0</v>
      </c>
      <c r="IR141" s="627">
        <v>797.65800000000002</v>
      </c>
      <c r="IS141" s="627">
        <v>491357</v>
      </c>
      <c r="IT141" s="627">
        <v>0</v>
      </c>
      <c r="IU141" s="627">
        <v>25000</v>
      </c>
      <c r="IV141" s="627">
        <v>165000</v>
      </c>
      <c r="IW141" s="627">
        <v>0</v>
      </c>
      <c r="IX141" s="627">
        <v>6160</v>
      </c>
      <c r="IY141" s="627">
        <v>0</v>
      </c>
      <c r="IZ141" s="627">
        <v>0</v>
      </c>
      <c r="JA141" s="627">
        <v>0</v>
      </c>
      <c r="JB141" s="627">
        <v>0</v>
      </c>
      <c r="JC141" s="627">
        <v>0</v>
      </c>
      <c r="JD141" s="627">
        <v>0</v>
      </c>
      <c r="JE141" s="627">
        <v>0</v>
      </c>
      <c r="JF141" s="627">
        <v>0</v>
      </c>
      <c r="JG141" s="627">
        <v>0</v>
      </c>
      <c r="JH141" s="627">
        <v>0</v>
      </c>
      <c r="JI141" s="627">
        <v>0</v>
      </c>
      <c r="JJ141" s="627">
        <v>0</v>
      </c>
      <c r="JK141" s="627">
        <v>0</v>
      </c>
      <c r="JL141" s="627">
        <v>0</v>
      </c>
      <c r="JM141" s="627">
        <v>0</v>
      </c>
      <c r="JN141" s="627">
        <v>0</v>
      </c>
      <c r="JO141" s="627">
        <v>32469</v>
      </c>
      <c r="JP141" s="627">
        <v>0</v>
      </c>
      <c r="JQ141" s="627">
        <v>0</v>
      </c>
      <c r="JR141" s="627">
        <v>0</v>
      </c>
      <c r="JS141" s="627">
        <v>0</v>
      </c>
      <c r="JT141" s="627">
        <v>0</v>
      </c>
      <c r="JU141" s="627">
        <v>0</v>
      </c>
      <c r="JV141" s="627">
        <v>0</v>
      </c>
      <c r="JW141" s="627">
        <v>0</v>
      </c>
      <c r="JX141" s="627">
        <v>0</v>
      </c>
      <c r="JY141" s="627">
        <v>0</v>
      </c>
      <c r="JZ141" s="627">
        <v>0</v>
      </c>
      <c r="KA141" s="627">
        <v>0</v>
      </c>
      <c r="KB141" s="627">
        <v>0</v>
      </c>
      <c r="KC141" s="627">
        <v>0</v>
      </c>
      <c r="KD141" s="627">
        <v>0</v>
      </c>
      <c r="KE141" s="627">
        <v>0</v>
      </c>
      <c r="KF141" s="627">
        <v>7262</v>
      </c>
      <c r="KG141" s="627">
        <v>0</v>
      </c>
      <c r="KH141" s="627">
        <v>0</v>
      </c>
      <c r="KI141" s="627">
        <v>52290473</v>
      </c>
      <c r="KJ141" s="627">
        <v>0</v>
      </c>
      <c r="KK141" s="627">
        <v>17</v>
      </c>
      <c r="KL141" s="627">
        <v>10</v>
      </c>
      <c r="KM141" s="627">
        <v>10472</v>
      </c>
      <c r="KN141" s="627">
        <v>6160</v>
      </c>
      <c r="KO141" s="627">
        <v>0</v>
      </c>
      <c r="KP141" s="627">
        <v>0</v>
      </c>
      <c r="KQ141" s="627">
        <v>52290473</v>
      </c>
      <c r="KR141" s="627">
        <v>0</v>
      </c>
      <c r="KS141" s="627">
        <v>0</v>
      </c>
      <c r="KT141" s="627">
        <v>0</v>
      </c>
      <c r="KU141" s="627">
        <v>0</v>
      </c>
      <c r="KV141" s="627">
        <v>0</v>
      </c>
      <c r="KW141" s="627">
        <v>0</v>
      </c>
      <c r="KX141" s="627">
        <v>0</v>
      </c>
      <c r="KY141" s="627">
        <v>0</v>
      </c>
      <c r="KZ141" s="627">
        <v>0</v>
      </c>
      <c r="LA141" s="627">
        <v>0</v>
      </c>
      <c r="LB141" s="627">
        <v>0</v>
      </c>
      <c r="LC141" s="627">
        <v>0</v>
      </c>
      <c r="LD141" s="627">
        <v>0</v>
      </c>
      <c r="LE141" s="627">
        <v>0</v>
      </c>
      <c r="LF141" s="627">
        <v>0</v>
      </c>
    </row>
    <row r="142" spans="1:318" x14ac:dyDescent="0.25">
      <c r="A142" s="627">
        <v>42602</v>
      </c>
      <c r="B142" s="627">
        <v>57834</v>
      </c>
      <c r="D142" s="627">
        <v>9</v>
      </c>
      <c r="E142" s="627">
        <v>2024</v>
      </c>
      <c r="F142" s="627">
        <v>6160</v>
      </c>
      <c r="G142" s="627">
        <v>0</v>
      </c>
      <c r="H142" s="627">
        <v>479.23700000000002</v>
      </c>
      <c r="I142" s="627">
        <v>392.92</v>
      </c>
      <c r="J142" s="627">
        <v>392.92</v>
      </c>
      <c r="K142" s="627">
        <v>479.23700000000002</v>
      </c>
      <c r="L142" s="627">
        <v>0</v>
      </c>
      <c r="M142" s="627">
        <v>6160</v>
      </c>
      <c r="N142" s="627">
        <v>0</v>
      </c>
      <c r="O142" s="627">
        <v>0</v>
      </c>
      <c r="P142" s="627">
        <v>0</v>
      </c>
      <c r="Q142" s="627">
        <v>438.73</v>
      </c>
      <c r="R142" s="627">
        <v>0</v>
      </c>
      <c r="S142" s="627">
        <v>182022</v>
      </c>
      <c r="T142" s="627">
        <v>414.88400000000001</v>
      </c>
      <c r="U142" s="627">
        <v>0</v>
      </c>
      <c r="V142" s="627">
        <v>94462</v>
      </c>
      <c r="W142" s="627">
        <v>73.111000000000004</v>
      </c>
      <c r="X142" s="627">
        <v>45036</v>
      </c>
      <c r="Y142" s="627">
        <v>45036</v>
      </c>
      <c r="Z142" s="627">
        <v>0</v>
      </c>
      <c r="AA142" s="627">
        <v>0</v>
      </c>
      <c r="AB142" s="627">
        <v>0</v>
      </c>
      <c r="AC142" s="627">
        <v>0</v>
      </c>
      <c r="AD142" s="627">
        <v>0</v>
      </c>
      <c r="AE142" s="627" t="s">
        <v>314</v>
      </c>
      <c r="AF142" s="627">
        <v>0</v>
      </c>
      <c r="AG142" s="627">
        <v>0</v>
      </c>
      <c r="AH142" s="627">
        <v>0</v>
      </c>
      <c r="AI142" s="627">
        <v>0</v>
      </c>
      <c r="AJ142" s="627">
        <v>0</v>
      </c>
      <c r="AK142" s="627">
        <v>6160</v>
      </c>
      <c r="AL142" s="627" t="s">
        <v>651</v>
      </c>
      <c r="AM142" s="627" t="s">
        <v>327</v>
      </c>
      <c r="AN142" s="627">
        <v>0</v>
      </c>
      <c r="AO142" s="627">
        <v>0</v>
      </c>
      <c r="AP142" s="627">
        <v>0</v>
      </c>
      <c r="AQ142" s="627">
        <v>0</v>
      </c>
      <c r="AR142" s="627">
        <v>0</v>
      </c>
      <c r="AS142" s="627">
        <v>0</v>
      </c>
      <c r="AT142" s="627">
        <v>0</v>
      </c>
      <c r="AU142" s="627">
        <v>0</v>
      </c>
      <c r="AV142" s="627">
        <v>0</v>
      </c>
      <c r="AW142" s="627">
        <v>0</v>
      </c>
      <c r="AX142" s="627">
        <v>6002940</v>
      </c>
      <c r="AY142" s="627">
        <v>5927944</v>
      </c>
      <c r="AZ142" s="627">
        <v>2866135</v>
      </c>
      <c r="BA142" s="627">
        <v>182022</v>
      </c>
      <c r="BB142" s="627">
        <v>22.333000000000002</v>
      </c>
      <c r="BC142" s="627">
        <v>0</v>
      </c>
      <c r="BD142" s="627">
        <v>0</v>
      </c>
      <c r="BE142" s="627">
        <v>0</v>
      </c>
      <c r="BF142" s="627">
        <v>0</v>
      </c>
      <c r="BG142" s="627">
        <v>5072564</v>
      </c>
      <c r="BH142" s="627">
        <v>0</v>
      </c>
      <c r="BI142" s="627">
        <v>0</v>
      </c>
      <c r="BJ142" s="627">
        <v>0</v>
      </c>
      <c r="BK142" s="627">
        <v>12</v>
      </c>
      <c r="BL142" s="627">
        <v>0</v>
      </c>
      <c r="BM142" s="627">
        <v>0</v>
      </c>
      <c r="BN142" s="627">
        <v>0</v>
      </c>
      <c r="BO142" s="627">
        <v>0</v>
      </c>
      <c r="BP142" s="627">
        <v>0</v>
      </c>
      <c r="BQ142" s="627">
        <v>0</v>
      </c>
      <c r="BR142" s="627">
        <v>709</v>
      </c>
      <c r="BS142" s="627">
        <v>0</v>
      </c>
      <c r="BT142" s="627">
        <v>0</v>
      </c>
      <c r="BU142" s="627">
        <v>0</v>
      </c>
      <c r="BV142" s="627">
        <v>0</v>
      </c>
      <c r="BW142" s="627">
        <v>0</v>
      </c>
      <c r="BX142" s="627">
        <v>0</v>
      </c>
      <c r="BY142" s="627">
        <v>0</v>
      </c>
      <c r="BZ142" s="627">
        <v>0</v>
      </c>
      <c r="CA142" s="627">
        <v>0</v>
      </c>
      <c r="CB142" s="627">
        <v>0</v>
      </c>
      <c r="CC142" s="627">
        <v>0</v>
      </c>
      <c r="CD142" s="627">
        <v>0</v>
      </c>
      <c r="CE142" s="627">
        <v>0</v>
      </c>
      <c r="CF142" s="627">
        <v>0</v>
      </c>
      <c r="CG142" s="627">
        <v>0</v>
      </c>
      <c r="CH142" s="627">
        <v>0</v>
      </c>
      <c r="CI142" s="627">
        <v>76644</v>
      </c>
      <c r="CJ142" s="627">
        <v>0</v>
      </c>
      <c r="CK142" s="627">
        <v>4</v>
      </c>
      <c r="CL142" s="627">
        <v>0</v>
      </c>
      <c r="CM142" s="627">
        <v>0</v>
      </c>
      <c r="CN142" s="627">
        <v>0</v>
      </c>
      <c r="CO142" s="627">
        <v>0</v>
      </c>
      <c r="CP142" s="627">
        <v>1</v>
      </c>
      <c r="CQ142" s="627">
        <v>0</v>
      </c>
      <c r="CR142" s="627">
        <v>1</v>
      </c>
      <c r="CS142" s="627">
        <v>451.6</v>
      </c>
      <c r="CT142" s="627">
        <v>0</v>
      </c>
      <c r="CU142" s="627">
        <v>0</v>
      </c>
      <c r="CV142" s="627">
        <v>0</v>
      </c>
      <c r="CW142" s="627">
        <v>0</v>
      </c>
      <c r="CX142" s="627">
        <v>0</v>
      </c>
      <c r="CY142" s="627">
        <v>0</v>
      </c>
      <c r="CZ142" s="627">
        <v>0</v>
      </c>
      <c r="DA142" s="627">
        <v>0</v>
      </c>
      <c r="DB142" s="627">
        <v>0</v>
      </c>
      <c r="DC142" s="627">
        <v>2420387</v>
      </c>
      <c r="DD142" s="627">
        <v>0</v>
      </c>
      <c r="DE142" s="627">
        <v>0</v>
      </c>
      <c r="DF142" s="627">
        <v>805574</v>
      </c>
      <c r="DG142" s="627">
        <v>805574</v>
      </c>
      <c r="DH142" s="627">
        <v>130.77500000000001</v>
      </c>
      <c r="DI142" s="627">
        <v>0</v>
      </c>
      <c r="DJ142" s="627">
        <v>0</v>
      </c>
      <c r="DK142" s="627">
        <v>0</v>
      </c>
      <c r="DL142" s="627">
        <v>2974</v>
      </c>
      <c r="DM142" s="627">
        <v>0</v>
      </c>
      <c r="DN142" s="627">
        <v>483547</v>
      </c>
      <c r="DO142" s="627">
        <v>1648</v>
      </c>
      <c r="DP142" s="627">
        <v>0</v>
      </c>
      <c r="DQ142" s="627">
        <v>0</v>
      </c>
      <c r="DR142" s="627">
        <v>0</v>
      </c>
      <c r="DS142" s="627">
        <v>0</v>
      </c>
      <c r="DT142" s="627">
        <v>0</v>
      </c>
      <c r="DU142" s="627">
        <v>0</v>
      </c>
      <c r="DV142" s="627">
        <v>0</v>
      </c>
      <c r="DW142" s="627">
        <v>0</v>
      </c>
      <c r="DX142" s="627">
        <v>0</v>
      </c>
      <c r="DY142" s="627">
        <v>0</v>
      </c>
      <c r="DZ142" s="627">
        <v>0</v>
      </c>
      <c r="EA142" s="627">
        <v>0</v>
      </c>
      <c r="EB142" s="627">
        <v>0</v>
      </c>
      <c r="EC142" s="627">
        <v>0</v>
      </c>
      <c r="ED142" s="627">
        <v>53.523000000000003</v>
      </c>
      <c r="EE142" s="627">
        <v>379157</v>
      </c>
      <c r="EF142" s="627">
        <v>0</v>
      </c>
      <c r="EG142" s="627">
        <v>0</v>
      </c>
      <c r="EH142" s="627">
        <v>0</v>
      </c>
      <c r="EI142" s="627">
        <v>106038</v>
      </c>
      <c r="EJ142" s="627">
        <v>0</v>
      </c>
      <c r="EK142" s="627">
        <v>0</v>
      </c>
      <c r="EL142" s="627">
        <v>5.2830000000000004</v>
      </c>
      <c r="EM142" s="627">
        <v>0</v>
      </c>
      <c r="EN142" s="627">
        <v>0</v>
      </c>
      <c r="EO142" s="627">
        <v>0.27300000000000002</v>
      </c>
      <c r="EP142" s="627">
        <v>0</v>
      </c>
      <c r="EQ142" s="627">
        <v>0</v>
      </c>
      <c r="ER142" s="627">
        <v>5.556</v>
      </c>
      <c r="ES142" s="627">
        <v>0</v>
      </c>
      <c r="ET142" s="627">
        <v>17.214000000000002</v>
      </c>
      <c r="EU142" s="627">
        <v>0</v>
      </c>
      <c r="EV142" s="627">
        <v>0</v>
      </c>
      <c r="EW142" s="627">
        <v>0</v>
      </c>
      <c r="EX142" s="627">
        <v>0</v>
      </c>
      <c r="EY142" s="627">
        <v>0</v>
      </c>
      <c r="EZ142" s="627">
        <v>0</v>
      </c>
      <c r="FA142" s="627">
        <v>5071012</v>
      </c>
      <c r="FB142" s="627">
        <v>0</v>
      </c>
      <c r="FC142" s="627">
        <v>5251386</v>
      </c>
      <c r="FD142" s="627">
        <v>0</v>
      </c>
      <c r="FE142" s="627">
        <v>0</v>
      </c>
      <c r="FF142" s="627">
        <v>730430</v>
      </c>
      <c r="FG142" s="627">
        <v>126502</v>
      </c>
      <c r="FH142" s="627">
        <v>7.0280999999999996E-2</v>
      </c>
      <c r="FI142" s="627">
        <v>3.1172999999999999E-2</v>
      </c>
      <c r="FJ142" s="627">
        <v>0</v>
      </c>
      <c r="FK142" s="627">
        <v>0</v>
      </c>
      <c r="FL142" s="627">
        <v>823.46800000000007</v>
      </c>
      <c r="FM142" s="627">
        <v>6184962</v>
      </c>
      <c r="FN142" s="627">
        <v>0</v>
      </c>
      <c r="FO142" s="627">
        <v>0</v>
      </c>
      <c r="FP142" s="627">
        <v>26400</v>
      </c>
      <c r="FQ142" s="627">
        <v>0</v>
      </c>
      <c r="FR142" s="627">
        <v>26400</v>
      </c>
      <c r="FS142" s="627">
        <v>26400</v>
      </c>
      <c r="FT142" s="627">
        <v>0</v>
      </c>
      <c r="FU142" s="627">
        <v>0</v>
      </c>
      <c r="FV142" s="627">
        <v>0</v>
      </c>
      <c r="FW142" s="627">
        <v>0</v>
      </c>
      <c r="FX142" s="627">
        <v>0</v>
      </c>
      <c r="FY142" s="627">
        <v>0</v>
      </c>
      <c r="FZ142" s="627">
        <v>0</v>
      </c>
      <c r="GA142" s="627">
        <v>0</v>
      </c>
      <c r="GB142" s="627">
        <v>0</v>
      </c>
      <c r="GC142" s="627">
        <v>758937</v>
      </c>
      <c r="GD142" s="627">
        <v>758937</v>
      </c>
      <c r="GE142" s="627">
        <v>80.76100000000001</v>
      </c>
      <c r="GF142" s="627">
        <v>0</v>
      </c>
      <c r="GG142" s="627">
        <v>0</v>
      </c>
      <c r="GH142" s="627">
        <v>0</v>
      </c>
      <c r="GI142" s="627">
        <v>0</v>
      </c>
      <c r="GJ142" s="627">
        <v>0</v>
      </c>
      <c r="GK142" s="627">
        <v>0</v>
      </c>
      <c r="GL142" s="627">
        <v>0</v>
      </c>
      <c r="GM142" s="627">
        <v>0</v>
      </c>
      <c r="GN142" s="627">
        <v>0</v>
      </c>
      <c r="GO142" s="627">
        <v>0</v>
      </c>
      <c r="GP142" s="627">
        <v>0</v>
      </c>
      <c r="GQ142" s="627">
        <v>0</v>
      </c>
      <c r="GR142" s="627">
        <v>5926296</v>
      </c>
      <c r="GS142" s="627">
        <v>0</v>
      </c>
      <c r="GT142" s="627">
        <v>0</v>
      </c>
      <c r="GU142" s="627">
        <v>0</v>
      </c>
      <c r="GV142" s="627">
        <v>0</v>
      </c>
      <c r="GW142" s="627">
        <v>0</v>
      </c>
      <c r="GX142" s="627">
        <v>0</v>
      </c>
      <c r="GY142" s="627">
        <v>0</v>
      </c>
      <c r="GZ142" s="627">
        <v>0</v>
      </c>
      <c r="HA142" s="627">
        <v>0</v>
      </c>
      <c r="HB142" s="627">
        <v>0</v>
      </c>
      <c r="HC142" s="627">
        <v>361151439</v>
      </c>
      <c r="HD142" s="627">
        <v>3.9981999999999997E-2</v>
      </c>
      <c r="HE142" s="627">
        <v>76644</v>
      </c>
      <c r="HF142" s="627">
        <v>0</v>
      </c>
      <c r="HG142" s="627">
        <v>432998</v>
      </c>
      <c r="HH142" s="627">
        <v>616</v>
      </c>
      <c r="HI142" s="627">
        <v>0</v>
      </c>
      <c r="HJ142" s="627">
        <v>0</v>
      </c>
      <c r="HK142" s="627">
        <v>49792</v>
      </c>
      <c r="HL142" s="627">
        <v>8177</v>
      </c>
      <c r="HM142" s="627">
        <v>8933</v>
      </c>
      <c r="HN142" s="627">
        <v>0</v>
      </c>
      <c r="HO142" s="627">
        <v>74029</v>
      </c>
      <c r="HP142" s="627">
        <v>0</v>
      </c>
      <c r="HQ142" s="627">
        <v>136960</v>
      </c>
      <c r="HR142" s="627">
        <v>0</v>
      </c>
      <c r="HS142" s="627">
        <v>0</v>
      </c>
      <c r="HT142" s="627">
        <v>5069364</v>
      </c>
      <c r="HU142" s="627">
        <v>126502</v>
      </c>
      <c r="HV142" s="627">
        <v>0</v>
      </c>
      <c r="HW142" s="627">
        <v>0</v>
      </c>
      <c r="HX142" s="627">
        <v>0</v>
      </c>
      <c r="HY142" s="627">
        <v>80</v>
      </c>
      <c r="HZ142" s="627">
        <v>72</v>
      </c>
      <c r="IA142" s="627">
        <v>66</v>
      </c>
      <c r="IB142" s="627">
        <v>112</v>
      </c>
      <c r="IC142" s="627">
        <v>181</v>
      </c>
      <c r="ID142" s="627">
        <v>511</v>
      </c>
      <c r="IE142" s="627">
        <v>0</v>
      </c>
      <c r="IF142" s="627">
        <v>0</v>
      </c>
      <c r="IG142" s="627">
        <v>0</v>
      </c>
      <c r="IH142" s="627">
        <v>1</v>
      </c>
      <c r="II142" s="627">
        <v>0</v>
      </c>
      <c r="IJ142" s="627">
        <v>498.03500000000003</v>
      </c>
      <c r="IK142" s="627">
        <v>73.111000000000004</v>
      </c>
      <c r="IL142" s="627">
        <v>0</v>
      </c>
      <c r="IM142" s="627">
        <v>0</v>
      </c>
      <c r="IN142" s="627">
        <v>0</v>
      </c>
      <c r="IO142" s="627">
        <v>0</v>
      </c>
      <c r="IP142" s="627">
        <v>0</v>
      </c>
      <c r="IQ142" s="627">
        <v>498.03500000000003</v>
      </c>
      <c r="IR142" s="627">
        <v>73.111000000000004</v>
      </c>
      <c r="IS142" s="627">
        <v>45036</v>
      </c>
      <c r="IT142" s="627">
        <v>0</v>
      </c>
      <c r="IU142" s="627">
        <v>0</v>
      </c>
      <c r="IV142" s="627">
        <v>0</v>
      </c>
      <c r="IW142" s="627">
        <v>0</v>
      </c>
      <c r="IX142" s="627">
        <v>6160</v>
      </c>
      <c r="IY142" s="627">
        <v>0</v>
      </c>
      <c r="IZ142" s="627">
        <v>0</v>
      </c>
      <c r="JA142" s="627">
        <v>136960</v>
      </c>
      <c r="JB142" s="627">
        <v>0</v>
      </c>
      <c r="JC142" s="627">
        <v>2</v>
      </c>
      <c r="JD142" s="627">
        <v>42402</v>
      </c>
      <c r="JE142" s="627">
        <v>2</v>
      </c>
      <c r="JF142" s="627">
        <v>20579</v>
      </c>
      <c r="JG142" s="627">
        <v>2</v>
      </c>
      <c r="JH142" s="627">
        <v>10048</v>
      </c>
      <c r="JI142" s="627">
        <v>1000</v>
      </c>
      <c r="JJ142" s="627">
        <v>0</v>
      </c>
      <c r="JK142" s="627">
        <v>0</v>
      </c>
      <c r="JL142" s="627">
        <v>0</v>
      </c>
      <c r="JM142" s="627">
        <v>0</v>
      </c>
      <c r="JN142" s="627">
        <v>0</v>
      </c>
      <c r="JO142" s="627">
        <v>32469</v>
      </c>
      <c r="JP142" s="627">
        <v>6.9620000000000006</v>
      </c>
      <c r="JQ142" s="627">
        <v>61.236000000000004</v>
      </c>
      <c r="JR142" s="627">
        <v>12.563000000000001</v>
      </c>
      <c r="JS142" s="627">
        <v>55614</v>
      </c>
      <c r="JT142" s="627">
        <v>569211</v>
      </c>
      <c r="JU142" s="627">
        <v>134112</v>
      </c>
      <c r="JV142" s="627">
        <v>0</v>
      </c>
      <c r="JW142" s="627">
        <v>0</v>
      </c>
      <c r="JX142" s="627">
        <v>0</v>
      </c>
      <c r="JY142" s="627">
        <v>0</v>
      </c>
      <c r="JZ142" s="627">
        <v>0</v>
      </c>
      <c r="KA142" s="627">
        <v>0</v>
      </c>
      <c r="KB142" s="627">
        <v>0</v>
      </c>
      <c r="KC142" s="627">
        <v>0</v>
      </c>
      <c r="KD142" s="627">
        <v>0</v>
      </c>
      <c r="KE142" s="627">
        <v>0</v>
      </c>
      <c r="KF142" s="627">
        <v>7262</v>
      </c>
      <c r="KG142" s="627">
        <v>0</v>
      </c>
      <c r="KH142" s="627">
        <v>0</v>
      </c>
      <c r="KI142" s="627">
        <v>5926296</v>
      </c>
      <c r="KJ142" s="627">
        <v>0</v>
      </c>
      <c r="KK142" s="627">
        <v>0</v>
      </c>
      <c r="KL142" s="627">
        <v>1</v>
      </c>
      <c r="KM142" s="627">
        <v>0</v>
      </c>
      <c r="KN142" s="627">
        <v>616</v>
      </c>
      <c r="KO142" s="627">
        <v>0</v>
      </c>
      <c r="KP142" s="627">
        <v>0</v>
      </c>
      <c r="KQ142" s="627">
        <v>5926296</v>
      </c>
      <c r="KR142" s="627">
        <v>0</v>
      </c>
      <c r="KS142" s="627">
        <v>0</v>
      </c>
      <c r="KT142" s="627">
        <v>0</v>
      </c>
      <c r="KU142" s="627">
        <v>0</v>
      </c>
      <c r="KV142" s="627">
        <v>0</v>
      </c>
      <c r="KW142" s="627">
        <v>0</v>
      </c>
      <c r="KX142" s="627">
        <v>0</v>
      </c>
      <c r="KY142" s="627">
        <v>0</v>
      </c>
      <c r="KZ142" s="627">
        <v>0</v>
      </c>
      <c r="LA142" s="627">
        <v>0</v>
      </c>
      <c r="LB142" s="627">
        <v>0</v>
      </c>
      <c r="LC142" s="627">
        <v>0</v>
      </c>
      <c r="LD142" s="627">
        <v>0</v>
      </c>
      <c r="LE142" s="627">
        <v>0</v>
      </c>
      <c r="LF142" s="627">
        <v>0</v>
      </c>
    </row>
    <row r="143" spans="1:318" x14ac:dyDescent="0.25">
      <c r="A143" s="627">
        <v>42602</v>
      </c>
      <c r="B143" s="627">
        <v>15835</v>
      </c>
      <c r="D143" s="627">
        <v>9</v>
      </c>
      <c r="E143" s="627">
        <v>2024</v>
      </c>
      <c r="F143" s="627">
        <v>6160</v>
      </c>
      <c r="G143" s="627">
        <v>0</v>
      </c>
      <c r="H143" s="627">
        <v>11289.227000000001</v>
      </c>
      <c r="I143" s="627">
        <v>10880.870999999999</v>
      </c>
      <c r="J143" s="627">
        <v>10880.870999999999</v>
      </c>
      <c r="K143" s="627">
        <v>11289.227000000001</v>
      </c>
      <c r="L143" s="627">
        <v>0</v>
      </c>
      <c r="M143" s="627">
        <v>6160</v>
      </c>
      <c r="N143" s="627">
        <v>0</v>
      </c>
      <c r="O143" s="627">
        <v>0</v>
      </c>
      <c r="P143" s="627">
        <v>0</v>
      </c>
      <c r="Q143" s="627">
        <v>9405.8630000000012</v>
      </c>
      <c r="R143" s="627">
        <v>0</v>
      </c>
      <c r="S143" s="627">
        <v>3902342</v>
      </c>
      <c r="T143" s="627">
        <v>414.88400000000001</v>
      </c>
      <c r="U143" s="627">
        <v>0</v>
      </c>
      <c r="V143" s="627">
        <v>2025156</v>
      </c>
      <c r="W143" s="627">
        <v>1143.9080000000001</v>
      </c>
      <c r="X143" s="627">
        <v>704647</v>
      </c>
      <c r="Y143" s="627">
        <v>704647</v>
      </c>
      <c r="Z143" s="627">
        <v>0</v>
      </c>
      <c r="AA143" s="627">
        <v>0</v>
      </c>
      <c r="AB143" s="627">
        <v>0</v>
      </c>
      <c r="AC143" s="627">
        <v>0</v>
      </c>
      <c r="AD143" s="627">
        <v>0</v>
      </c>
      <c r="AE143" s="627" t="s">
        <v>314</v>
      </c>
      <c r="AF143" s="627">
        <v>0</v>
      </c>
      <c r="AG143" s="627">
        <v>0</v>
      </c>
      <c r="AH143" s="627">
        <v>0</v>
      </c>
      <c r="AI143" s="627">
        <v>0</v>
      </c>
      <c r="AJ143" s="627">
        <v>0</v>
      </c>
      <c r="AK143" s="627">
        <v>6160</v>
      </c>
      <c r="AL143" s="627" t="s">
        <v>651</v>
      </c>
      <c r="AM143" s="627" t="s">
        <v>318</v>
      </c>
      <c r="AN143" s="627">
        <v>0</v>
      </c>
      <c r="AO143" s="627">
        <v>0</v>
      </c>
      <c r="AP143" s="627">
        <v>0</v>
      </c>
      <c r="AQ143" s="627">
        <v>0</v>
      </c>
      <c r="AR143" s="627">
        <v>0</v>
      </c>
      <c r="AS143" s="627">
        <v>0</v>
      </c>
      <c r="AT143" s="627">
        <v>0</v>
      </c>
      <c r="AU143" s="627">
        <v>0</v>
      </c>
      <c r="AV143" s="627">
        <v>0</v>
      </c>
      <c r="AW143" s="627">
        <v>0</v>
      </c>
      <c r="AX143" s="627">
        <v>110058959</v>
      </c>
      <c r="AY143" s="627">
        <v>108282529</v>
      </c>
      <c r="AZ143" s="627">
        <v>53104934</v>
      </c>
      <c r="BA143" s="627">
        <v>3902342</v>
      </c>
      <c r="BB143" s="627">
        <v>0</v>
      </c>
      <c r="BC143" s="627">
        <v>0</v>
      </c>
      <c r="BD143" s="627">
        <v>0</v>
      </c>
      <c r="BE143" s="627">
        <v>0</v>
      </c>
      <c r="BF143" s="627">
        <v>0</v>
      </c>
      <c r="BG143" s="627">
        <v>95215453</v>
      </c>
      <c r="BH143" s="627">
        <v>0</v>
      </c>
      <c r="BI143" s="627">
        <v>0</v>
      </c>
      <c r="BJ143" s="627">
        <v>0</v>
      </c>
      <c r="BK143" s="627">
        <v>12</v>
      </c>
      <c r="BL143" s="627">
        <v>0</v>
      </c>
      <c r="BM143" s="627">
        <v>0</v>
      </c>
      <c r="BN143" s="627">
        <v>0</v>
      </c>
      <c r="BO143" s="627">
        <v>0</v>
      </c>
      <c r="BP143" s="627">
        <v>0</v>
      </c>
      <c r="BQ143" s="627">
        <v>0</v>
      </c>
      <c r="BR143" s="627">
        <v>0</v>
      </c>
      <c r="BS143" s="627">
        <v>0</v>
      </c>
      <c r="BT143" s="627">
        <v>0</v>
      </c>
      <c r="BU143" s="627">
        <v>0</v>
      </c>
      <c r="BV143" s="627">
        <v>0</v>
      </c>
      <c r="BW143" s="627">
        <v>0</v>
      </c>
      <c r="BX143" s="627">
        <v>0</v>
      </c>
      <c r="BY143" s="627">
        <v>0</v>
      </c>
      <c r="BZ143" s="627">
        <v>0</v>
      </c>
      <c r="CA143" s="627">
        <v>0</v>
      </c>
      <c r="CB143" s="627">
        <v>873.72500000000002</v>
      </c>
      <c r="CC143" s="627">
        <v>873725</v>
      </c>
      <c r="CD143" s="627">
        <v>0</v>
      </c>
      <c r="CE143" s="627">
        <v>0</v>
      </c>
      <c r="CF143" s="627">
        <v>0</v>
      </c>
      <c r="CG143" s="627">
        <v>0</v>
      </c>
      <c r="CH143" s="627">
        <v>0</v>
      </c>
      <c r="CI143" s="627">
        <v>1805471</v>
      </c>
      <c r="CJ143" s="627">
        <v>0</v>
      </c>
      <c r="CK143" s="627">
        <v>4</v>
      </c>
      <c r="CL143" s="627">
        <v>0</v>
      </c>
      <c r="CM143" s="627">
        <v>0</v>
      </c>
      <c r="CN143" s="627">
        <v>0</v>
      </c>
      <c r="CO143" s="627">
        <v>0</v>
      </c>
      <c r="CP143" s="627">
        <v>1</v>
      </c>
      <c r="CQ143" s="627">
        <v>0</v>
      </c>
      <c r="CR143" s="627">
        <v>0</v>
      </c>
      <c r="CS143" s="627">
        <v>9478.94</v>
      </c>
      <c r="CT143" s="627">
        <v>0</v>
      </c>
      <c r="CU143" s="627">
        <v>0</v>
      </c>
      <c r="CV143" s="627">
        <v>0</v>
      </c>
      <c r="CW143" s="627">
        <v>0</v>
      </c>
      <c r="CX143" s="627">
        <v>0</v>
      </c>
      <c r="CY143" s="627">
        <v>0</v>
      </c>
      <c r="CZ143" s="627">
        <v>0</v>
      </c>
      <c r="DA143" s="627">
        <v>0</v>
      </c>
      <c r="DB143" s="627">
        <v>0</v>
      </c>
      <c r="DC143" s="627">
        <v>67026165</v>
      </c>
      <c r="DD143" s="627">
        <v>0</v>
      </c>
      <c r="DE143" s="627">
        <v>0</v>
      </c>
      <c r="DF143" s="627">
        <v>4899587</v>
      </c>
      <c r="DG143" s="627">
        <v>4899587</v>
      </c>
      <c r="DH143" s="627">
        <v>795.38800000000003</v>
      </c>
      <c r="DI143" s="627">
        <v>0</v>
      </c>
      <c r="DJ143" s="627">
        <v>0</v>
      </c>
      <c r="DK143" s="627">
        <v>0</v>
      </c>
      <c r="DL143" s="627">
        <v>0</v>
      </c>
      <c r="DM143" s="627">
        <v>0</v>
      </c>
      <c r="DN143" s="627">
        <v>8520561</v>
      </c>
      <c r="DO143" s="627">
        <v>29041</v>
      </c>
      <c r="DP143" s="627">
        <v>0</v>
      </c>
      <c r="DQ143" s="627">
        <v>0</v>
      </c>
      <c r="DR143" s="627">
        <v>0</v>
      </c>
      <c r="DS143" s="627">
        <v>0</v>
      </c>
      <c r="DT143" s="627">
        <v>0</v>
      </c>
      <c r="DU143" s="627">
        <v>0</v>
      </c>
      <c r="DV143" s="627">
        <v>0</v>
      </c>
      <c r="DW143" s="627">
        <v>0</v>
      </c>
      <c r="DX143" s="627">
        <v>0</v>
      </c>
      <c r="DY143" s="627">
        <v>0</v>
      </c>
      <c r="DZ143" s="627">
        <v>0</v>
      </c>
      <c r="EA143" s="627">
        <v>0</v>
      </c>
      <c r="EB143" s="627">
        <v>0</v>
      </c>
      <c r="EC143" s="627">
        <v>0</v>
      </c>
      <c r="ED143" s="627">
        <v>157.917</v>
      </c>
      <c r="EE143" s="627">
        <v>1118684</v>
      </c>
      <c r="EF143" s="627">
        <v>0</v>
      </c>
      <c r="EG143" s="627">
        <v>0</v>
      </c>
      <c r="EH143" s="627">
        <v>0</v>
      </c>
      <c r="EI143" s="627">
        <v>7430918</v>
      </c>
      <c r="EJ143" s="627">
        <v>0</v>
      </c>
      <c r="EK143" s="627">
        <v>0</v>
      </c>
      <c r="EL143" s="627">
        <v>305.89300000000003</v>
      </c>
      <c r="EM143" s="627">
        <v>0</v>
      </c>
      <c r="EN143" s="627">
        <v>53.427</v>
      </c>
      <c r="EO143" s="627">
        <v>25.27</v>
      </c>
      <c r="EP143" s="627">
        <v>0</v>
      </c>
      <c r="EQ143" s="627">
        <v>0</v>
      </c>
      <c r="ER143" s="627">
        <v>385.46300000000002</v>
      </c>
      <c r="ES143" s="627">
        <v>0.873</v>
      </c>
      <c r="ET143" s="627">
        <v>1206.318</v>
      </c>
      <c r="EU143" s="627">
        <v>0</v>
      </c>
      <c r="EV143" s="627">
        <v>0</v>
      </c>
      <c r="EW143" s="627">
        <v>0</v>
      </c>
      <c r="EX143" s="627">
        <v>0</v>
      </c>
      <c r="EY143" s="627">
        <v>0</v>
      </c>
      <c r="EZ143" s="627">
        <v>0</v>
      </c>
      <c r="FA143" s="627">
        <v>92197346</v>
      </c>
      <c r="FB143" s="627">
        <v>0</v>
      </c>
      <c r="FC143" s="627">
        <v>96070647</v>
      </c>
      <c r="FD143" s="627">
        <v>0</v>
      </c>
      <c r="FE143" s="627">
        <v>0</v>
      </c>
      <c r="FF143" s="627">
        <v>13710662</v>
      </c>
      <c r="FG143" s="627">
        <v>2374521</v>
      </c>
      <c r="FH143" s="627">
        <v>7.0280999999999996E-2</v>
      </c>
      <c r="FI143" s="627">
        <v>3.1172999999999999E-2</v>
      </c>
      <c r="FJ143" s="627">
        <v>0</v>
      </c>
      <c r="FK143" s="627">
        <v>0</v>
      </c>
      <c r="FL143" s="627">
        <v>15457.054</v>
      </c>
      <c r="FM143" s="627">
        <v>113961301</v>
      </c>
      <c r="FN143" s="627">
        <v>0</v>
      </c>
      <c r="FO143" s="627">
        <v>0</v>
      </c>
      <c r="FP143" s="627">
        <v>0</v>
      </c>
      <c r="FQ143" s="627">
        <v>0</v>
      </c>
      <c r="FR143" s="627">
        <v>0</v>
      </c>
      <c r="FS143" s="627">
        <v>0</v>
      </c>
      <c r="FT143" s="627">
        <v>0</v>
      </c>
      <c r="FU143" s="627">
        <v>0</v>
      </c>
      <c r="FV143" s="627">
        <v>0</v>
      </c>
      <c r="FW143" s="627">
        <v>0</v>
      </c>
      <c r="FX143" s="627">
        <v>0</v>
      </c>
      <c r="FY143" s="627">
        <v>0</v>
      </c>
      <c r="FZ143" s="627">
        <v>0</v>
      </c>
      <c r="GA143" s="627">
        <v>0</v>
      </c>
      <c r="GB143" s="627">
        <v>0</v>
      </c>
      <c r="GC143" s="627">
        <v>212833</v>
      </c>
      <c r="GD143" s="627">
        <v>212833</v>
      </c>
      <c r="GE143" s="627">
        <v>22.893000000000001</v>
      </c>
      <c r="GF143" s="627">
        <v>0</v>
      </c>
      <c r="GG143" s="627">
        <v>0</v>
      </c>
      <c r="GH143" s="627">
        <v>0</v>
      </c>
      <c r="GI143" s="627">
        <v>0</v>
      </c>
      <c r="GJ143" s="627">
        <v>0</v>
      </c>
      <c r="GK143" s="627">
        <v>0</v>
      </c>
      <c r="GL143" s="627">
        <v>0</v>
      </c>
      <c r="GM143" s="627">
        <v>0</v>
      </c>
      <c r="GN143" s="627">
        <v>0</v>
      </c>
      <c r="GO143" s="627">
        <v>0</v>
      </c>
      <c r="GP143" s="627">
        <v>0</v>
      </c>
      <c r="GQ143" s="627">
        <v>0</v>
      </c>
      <c r="GR143" s="627">
        <v>108253488</v>
      </c>
      <c r="GS143" s="627">
        <v>0</v>
      </c>
      <c r="GT143" s="627">
        <v>0</v>
      </c>
      <c r="GU143" s="627">
        <v>0</v>
      </c>
      <c r="GV143" s="627">
        <v>0</v>
      </c>
      <c r="GW143" s="627">
        <v>0</v>
      </c>
      <c r="GX143" s="627">
        <v>0</v>
      </c>
      <c r="GY143" s="627">
        <v>0</v>
      </c>
      <c r="GZ143" s="627">
        <v>0</v>
      </c>
      <c r="HA143" s="627">
        <v>0</v>
      </c>
      <c r="HB143" s="627">
        <v>0</v>
      </c>
      <c r="HC143" s="627">
        <v>361151439</v>
      </c>
      <c r="HD143" s="627">
        <v>3.9981999999999997E-2</v>
      </c>
      <c r="HE143" s="627">
        <v>1805471</v>
      </c>
      <c r="HF143" s="627">
        <v>0</v>
      </c>
      <c r="HG143" s="627">
        <v>11990720</v>
      </c>
      <c r="HH143" s="627">
        <v>210672</v>
      </c>
      <c r="HI143" s="627">
        <v>1173787</v>
      </c>
      <c r="HJ143" s="627">
        <v>0</v>
      </c>
      <c r="HK143" s="627">
        <v>292892</v>
      </c>
      <c r="HL143" s="627">
        <v>9259</v>
      </c>
      <c r="HM143" s="627">
        <v>1251</v>
      </c>
      <c r="HN143" s="627">
        <v>145000</v>
      </c>
      <c r="HO143" s="627">
        <v>9548</v>
      </c>
      <c r="HP143" s="627">
        <v>0</v>
      </c>
      <c r="HQ143" s="627">
        <v>0</v>
      </c>
      <c r="HR143" s="627">
        <v>0</v>
      </c>
      <c r="HS143" s="627">
        <v>0</v>
      </c>
      <c r="HT143" s="627">
        <v>92168305</v>
      </c>
      <c r="HU143" s="627">
        <v>2374521</v>
      </c>
      <c r="HV143" s="627">
        <v>0</v>
      </c>
      <c r="HW143" s="627">
        <v>0</v>
      </c>
      <c r="HX143" s="627">
        <v>0</v>
      </c>
      <c r="HY143" s="627">
        <v>1209</v>
      </c>
      <c r="HZ143" s="627">
        <v>965</v>
      </c>
      <c r="IA143" s="627">
        <v>496</v>
      </c>
      <c r="IB143" s="627">
        <v>422</v>
      </c>
      <c r="IC143" s="627">
        <v>216</v>
      </c>
      <c r="ID143" s="627">
        <v>3308</v>
      </c>
      <c r="IE143" s="627">
        <v>0</v>
      </c>
      <c r="IF143" s="627">
        <v>0</v>
      </c>
      <c r="IG143" s="627">
        <v>0</v>
      </c>
      <c r="IH143" s="627">
        <v>342</v>
      </c>
      <c r="II143" s="627">
        <v>1905.498</v>
      </c>
      <c r="IJ143" s="627">
        <v>0</v>
      </c>
      <c r="IK143" s="627">
        <v>1143.9080000000001</v>
      </c>
      <c r="IL143" s="627">
        <v>0</v>
      </c>
      <c r="IM143" s="627">
        <v>7</v>
      </c>
      <c r="IN143" s="627">
        <v>36</v>
      </c>
      <c r="IO143" s="627">
        <v>1</v>
      </c>
      <c r="IP143" s="627">
        <v>44</v>
      </c>
      <c r="IQ143" s="627">
        <v>0</v>
      </c>
      <c r="IR143" s="627">
        <v>1143.9080000000001</v>
      </c>
      <c r="IS143" s="627">
        <v>704647</v>
      </c>
      <c r="IT143" s="627">
        <v>0</v>
      </c>
      <c r="IU143" s="627">
        <v>35000</v>
      </c>
      <c r="IV143" s="627">
        <v>108000</v>
      </c>
      <c r="IW143" s="627">
        <v>2000</v>
      </c>
      <c r="IX143" s="627">
        <v>6160</v>
      </c>
      <c r="IY143" s="627">
        <v>0</v>
      </c>
      <c r="IZ143" s="627">
        <v>0</v>
      </c>
      <c r="JA143" s="627">
        <v>0</v>
      </c>
      <c r="JB143" s="627">
        <v>0</v>
      </c>
      <c r="JC143" s="627">
        <v>0</v>
      </c>
      <c r="JD143" s="627">
        <v>0</v>
      </c>
      <c r="JE143" s="627">
        <v>1</v>
      </c>
      <c r="JF143" s="627">
        <v>6513</v>
      </c>
      <c r="JG143" s="627">
        <v>1</v>
      </c>
      <c r="JH143" s="627">
        <v>3035</v>
      </c>
      <c r="JI143" s="627">
        <v>0</v>
      </c>
      <c r="JJ143" s="627">
        <v>0</v>
      </c>
      <c r="JK143" s="627">
        <v>0</v>
      </c>
      <c r="JL143" s="627">
        <v>0</v>
      </c>
      <c r="JM143" s="627">
        <v>0</v>
      </c>
      <c r="JN143" s="627">
        <v>0</v>
      </c>
      <c r="JO143" s="627">
        <v>32469</v>
      </c>
      <c r="JP143" s="627">
        <v>11.743</v>
      </c>
      <c r="JQ143" s="627">
        <v>0</v>
      </c>
      <c r="JR143" s="627">
        <v>11.15</v>
      </c>
      <c r="JS143" s="627">
        <v>93805</v>
      </c>
      <c r="JT143" s="627">
        <v>0</v>
      </c>
      <c r="JU143" s="627">
        <v>119028</v>
      </c>
      <c r="JV143" s="627">
        <v>0</v>
      </c>
      <c r="JW143" s="627">
        <v>0</v>
      </c>
      <c r="JX143" s="627">
        <v>0</v>
      </c>
      <c r="JY143" s="627">
        <v>0</v>
      </c>
      <c r="JZ143" s="627">
        <v>0</v>
      </c>
      <c r="KA143" s="627">
        <v>0</v>
      </c>
      <c r="KB143" s="627">
        <v>0</v>
      </c>
      <c r="KC143" s="627">
        <v>0</v>
      </c>
      <c r="KD143" s="627">
        <v>0</v>
      </c>
      <c r="KE143" s="627">
        <v>0</v>
      </c>
      <c r="KF143" s="627">
        <v>7262</v>
      </c>
      <c r="KG143" s="627">
        <v>0</v>
      </c>
      <c r="KH143" s="627">
        <v>0</v>
      </c>
      <c r="KI143" s="627">
        <v>108253488</v>
      </c>
      <c r="KJ143" s="627">
        <v>0</v>
      </c>
      <c r="KK143" s="627">
        <v>311</v>
      </c>
      <c r="KL143" s="627">
        <v>31</v>
      </c>
      <c r="KM143" s="627">
        <v>191576</v>
      </c>
      <c r="KN143" s="627">
        <v>19096</v>
      </c>
      <c r="KO143" s="627">
        <v>0</v>
      </c>
      <c r="KP143" s="627">
        <v>0</v>
      </c>
      <c r="KQ143" s="627">
        <v>108253488</v>
      </c>
      <c r="KR143" s="627">
        <v>0</v>
      </c>
      <c r="KS143" s="627">
        <v>0</v>
      </c>
      <c r="KT143" s="627">
        <v>0</v>
      </c>
      <c r="KU143" s="627">
        <v>0</v>
      </c>
      <c r="KV143" s="627">
        <v>0</v>
      </c>
      <c r="KW143" s="627">
        <v>0</v>
      </c>
      <c r="KX143" s="627">
        <v>0</v>
      </c>
      <c r="KY143" s="627">
        <v>0</v>
      </c>
      <c r="KZ143" s="627">
        <v>0</v>
      </c>
      <c r="LA143" s="627">
        <v>0</v>
      </c>
      <c r="LB143" s="627">
        <v>0</v>
      </c>
      <c r="LC143" s="627">
        <v>0</v>
      </c>
      <c r="LD143" s="627">
        <v>0</v>
      </c>
      <c r="LE143" s="627">
        <v>0</v>
      </c>
      <c r="LF143" s="627">
        <v>0</v>
      </c>
    </row>
    <row r="144" spans="1:318" x14ac:dyDescent="0.25">
      <c r="A144" s="627">
        <v>42602</v>
      </c>
      <c r="B144" s="627">
        <v>57835</v>
      </c>
      <c r="D144" s="627">
        <v>9</v>
      </c>
      <c r="E144" s="627">
        <v>2024</v>
      </c>
      <c r="F144" s="627">
        <v>6160</v>
      </c>
      <c r="G144" s="627">
        <v>0</v>
      </c>
      <c r="H144" s="627">
        <v>1167.8330000000001</v>
      </c>
      <c r="I144" s="627">
        <v>1136.5060000000001</v>
      </c>
      <c r="J144" s="627">
        <v>1136.5060000000001</v>
      </c>
      <c r="K144" s="627">
        <v>1167.8330000000001</v>
      </c>
      <c r="L144" s="627">
        <v>0</v>
      </c>
      <c r="M144" s="627">
        <v>6160</v>
      </c>
      <c r="N144" s="627">
        <v>0</v>
      </c>
      <c r="O144" s="627">
        <v>0</v>
      </c>
      <c r="P144" s="627">
        <v>0</v>
      </c>
      <c r="Q144" s="627">
        <v>1261.702</v>
      </c>
      <c r="R144" s="627">
        <v>0</v>
      </c>
      <c r="S144" s="627">
        <v>523460</v>
      </c>
      <c r="T144" s="627">
        <v>414.88400000000001</v>
      </c>
      <c r="U144" s="627">
        <v>0</v>
      </c>
      <c r="V144" s="627">
        <v>271655</v>
      </c>
      <c r="W144" s="627">
        <v>582.38</v>
      </c>
      <c r="X144" s="627">
        <v>359652</v>
      </c>
      <c r="Y144" s="627">
        <v>359652</v>
      </c>
      <c r="Z144" s="627">
        <v>0</v>
      </c>
      <c r="AA144" s="627">
        <v>0</v>
      </c>
      <c r="AB144" s="627">
        <v>0</v>
      </c>
      <c r="AC144" s="627">
        <v>0</v>
      </c>
      <c r="AD144" s="627">
        <v>0</v>
      </c>
      <c r="AE144" s="627" t="s">
        <v>314</v>
      </c>
      <c r="AF144" s="627">
        <v>0</v>
      </c>
      <c r="AG144" s="627">
        <v>0</v>
      </c>
      <c r="AH144" s="627">
        <v>0</v>
      </c>
      <c r="AI144" s="627">
        <v>0</v>
      </c>
      <c r="AJ144" s="627">
        <v>0</v>
      </c>
      <c r="AK144" s="627">
        <v>6160</v>
      </c>
      <c r="AL144" s="627" t="s">
        <v>651</v>
      </c>
      <c r="AM144" s="627" t="s">
        <v>48</v>
      </c>
      <c r="AN144" s="627">
        <v>0</v>
      </c>
      <c r="AO144" s="627">
        <v>0</v>
      </c>
      <c r="AP144" s="627">
        <v>0</v>
      </c>
      <c r="AQ144" s="627">
        <v>0</v>
      </c>
      <c r="AR144" s="627">
        <v>0</v>
      </c>
      <c r="AS144" s="627">
        <v>0</v>
      </c>
      <c r="AT144" s="627">
        <v>0</v>
      </c>
      <c r="AU144" s="627">
        <v>0</v>
      </c>
      <c r="AV144" s="627">
        <v>0</v>
      </c>
      <c r="AW144" s="627">
        <v>-12725</v>
      </c>
      <c r="AX144" s="627">
        <v>13740703</v>
      </c>
      <c r="AY144" s="627">
        <v>13556438</v>
      </c>
      <c r="AZ144" s="627">
        <v>7082444</v>
      </c>
      <c r="BA144" s="627">
        <v>523460</v>
      </c>
      <c r="BB144" s="627">
        <v>0</v>
      </c>
      <c r="BC144" s="627">
        <v>2130</v>
      </c>
      <c r="BD144" s="627">
        <v>2117</v>
      </c>
      <c r="BE144" s="627">
        <v>5</v>
      </c>
      <c r="BF144" s="627">
        <v>14</v>
      </c>
      <c r="BG144" s="627">
        <v>12042930</v>
      </c>
      <c r="BH144" s="627">
        <v>0</v>
      </c>
      <c r="BI144" s="627">
        <v>0</v>
      </c>
      <c r="BJ144" s="627">
        <v>0</v>
      </c>
      <c r="BK144" s="627">
        <v>12</v>
      </c>
      <c r="BL144" s="627">
        <v>0</v>
      </c>
      <c r="BM144" s="627">
        <v>0</v>
      </c>
      <c r="BN144" s="627">
        <v>0</v>
      </c>
      <c r="BO144" s="627">
        <v>0</v>
      </c>
      <c r="BP144" s="627">
        <v>0</v>
      </c>
      <c r="BQ144" s="627">
        <v>0</v>
      </c>
      <c r="BR144" s="627">
        <v>595</v>
      </c>
      <c r="BS144" s="627">
        <v>0</v>
      </c>
      <c r="BT144" s="627">
        <v>0</v>
      </c>
      <c r="BU144" s="627">
        <v>0</v>
      </c>
      <c r="BV144" s="627">
        <v>0</v>
      </c>
      <c r="BW144" s="627">
        <v>0</v>
      </c>
      <c r="BX144" s="627">
        <v>0</v>
      </c>
      <c r="BY144" s="627">
        <v>0</v>
      </c>
      <c r="BZ144" s="627">
        <v>0</v>
      </c>
      <c r="CA144" s="627">
        <v>0</v>
      </c>
      <c r="CB144" s="627">
        <v>0</v>
      </c>
      <c r="CC144" s="627">
        <v>0</v>
      </c>
      <c r="CD144" s="627">
        <v>0</v>
      </c>
      <c r="CE144" s="627">
        <v>0</v>
      </c>
      <c r="CF144" s="627">
        <v>0</v>
      </c>
      <c r="CG144" s="627">
        <v>0</v>
      </c>
      <c r="CH144" s="627">
        <v>0</v>
      </c>
      <c r="CI144" s="627">
        <v>186770</v>
      </c>
      <c r="CJ144" s="627">
        <v>0</v>
      </c>
      <c r="CK144" s="627">
        <v>4</v>
      </c>
      <c r="CL144" s="627">
        <v>0</v>
      </c>
      <c r="CM144" s="627">
        <v>0</v>
      </c>
      <c r="CN144" s="627">
        <v>0</v>
      </c>
      <c r="CO144" s="627">
        <v>0</v>
      </c>
      <c r="CP144" s="627">
        <v>1</v>
      </c>
      <c r="CQ144" s="627">
        <v>0</v>
      </c>
      <c r="CR144" s="627">
        <v>0</v>
      </c>
      <c r="CS144" s="627">
        <v>1259.73</v>
      </c>
      <c r="CT144" s="627">
        <v>0</v>
      </c>
      <c r="CU144" s="627">
        <v>0</v>
      </c>
      <c r="CV144" s="627">
        <v>0</v>
      </c>
      <c r="CW144" s="627">
        <v>0</v>
      </c>
      <c r="CX144" s="627">
        <v>0</v>
      </c>
      <c r="CY144" s="627">
        <v>0</v>
      </c>
      <c r="CZ144" s="627">
        <v>0</v>
      </c>
      <c r="DA144" s="627">
        <v>0</v>
      </c>
      <c r="DB144" s="627">
        <v>0</v>
      </c>
      <c r="DC144" s="627">
        <v>7000877</v>
      </c>
      <c r="DD144" s="627">
        <v>0</v>
      </c>
      <c r="DE144" s="627">
        <v>0</v>
      </c>
      <c r="DF144" s="627">
        <v>2108183</v>
      </c>
      <c r="DG144" s="627">
        <v>2108183</v>
      </c>
      <c r="DH144" s="627">
        <v>342.238</v>
      </c>
      <c r="DI144" s="627">
        <v>0</v>
      </c>
      <c r="DJ144" s="627">
        <v>0</v>
      </c>
      <c r="DK144" s="627">
        <v>0</v>
      </c>
      <c r="DL144" s="627">
        <v>1142</v>
      </c>
      <c r="DM144" s="627">
        <v>0</v>
      </c>
      <c r="DN144" s="627">
        <v>731138</v>
      </c>
      <c r="DO144" s="627">
        <v>2492</v>
      </c>
      <c r="DP144" s="627">
        <v>0</v>
      </c>
      <c r="DQ144" s="627">
        <v>0</v>
      </c>
      <c r="DR144" s="627">
        <v>0</v>
      </c>
      <c r="DS144" s="627">
        <v>0</v>
      </c>
      <c r="DT144" s="627">
        <v>0</v>
      </c>
      <c r="DU144" s="627">
        <v>0</v>
      </c>
      <c r="DV144" s="627">
        <v>0</v>
      </c>
      <c r="DW144" s="627">
        <v>0</v>
      </c>
      <c r="DX144" s="627">
        <v>0</v>
      </c>
      <c r="DY144" s="627">
        <v>0</v>
      </c>
      <c r="DZ144" s="627">
        <v>0</v>
      </c>
      <c r="EA144" s="627">
        <v>0</v>
      </c>
      <c r="EB144" s="627">
        <v>0</v>
      </c>
      <c r="EC144" s="627">
        <v>0</v>
      </c>
      <c r="ED144" s="627">
        <v>22.425000000000001</v>
      </c>
      <c r="EE144" s="627">
        <v>158859</v>
      </c>
      <c r="EF144" s="627">
        <v>0</v>
      </c>
      <c r="EG144" s="627">
        <v>0</v>
      </c>
      <c r="EH144" s="627">
        <v>0</v>
      </c>
      <c r="EI144" s="627">
        <v>574771</v>
      </c>
      <c r="EJ144" s="627">
        <v>0</v>
      </c>
      <c r="EK144" s="627">
        <v>0</v>
      </c>
      <c r="EL144" s="627">
        <v>25.631</v>
      </c>
      <c r="EM144" s="627">
        <v>0</v>
      </c>
      <c r="EN144" s="627">
        <v>2.0380000000000003</v>
      </c>
      <c r="EO144" s="627">
        <v>2.06</v>
      </c>
      <c r="EP144" s="627">
        <v>0</v>
      </c>
      <c r="EQ144" s="627">
        <v>0</v>
      </c>
      <c r="ER144" s="627">
        <v>29.729000000000003</v>
      </c>
      <c r="ES144" s="627">
        <v>0</v>
      </c>
      <c r="ET144" s="627">
        <v>93.307000000000002</v>
      </c>
      <c r="EU144" s="627">
        <v>0</v>
      </c>
      <c r="EV144" s="627">
        <v>0</v>
      </c>
      <c r="EW144" s="627">
        <v>0</v>
      </c>
      <c r="EX144" s="627">
        <v>0</v>
      </c>
      <c r="EY144" s="627">
        <v>0</v>
      </c>
      <c r="EZ144" s="627">
        <v>0</v>
      </c>
      <c r="FA144" s="627">
        <v>11521971</v>
      </c>
      <c r="FB144" s="627">
        <v>0</v>
      </c>
      <c r="FC144" s="627">
        <v>12042926</v>
      </c>
      <c r="FD144" s="627">
        <v>0</v>
      </c>
      <c r="FE144" s="627">
        <v>0</v>
      </c>
      <c r="FF144" s="627">
        <v>1734136</v>
      </c>
      <c r="FG144" s="627">
        <v>300331</v>
      </c>
      <c r="FH144" s="627">
        <v>7.0280999999999996E-2</v>
      </c>
      <c r="FI144" s="627">
        <v>3.1172999999999999E-2</v>
      </c>
      <c r="FJ144" s="627">
        <v>0</v>
      </c>
      <c r="FK144" s="627">
        <v>0</v>
      </c>
      <c r="FL144" s="627">
        <v>1955.0210000000002</v>
      </c>
      <c r="FM144" s="627">
        <v>14264163</v>
      </c>
      <c r="FN144" s="627">
        <v>0</v>
      </c>
      <c r="FO144" s="627">
        <v>0</v>
      </c>
      <c r="FP144" s="627">
        <v>0</v>
      </c>
      <c r="FQ144" s="627">
        <v>0</v>
      </c>
      <c r="FR144" s="627">
        <v>0</v>
      </c>
      <c r="FS144" s="627">
        <v>0</v>
      </c>
      <c r="FT144" s="627">
        <v>0</v>
      </c>
      <c r="FU144" s="627">
        <v>0</v>
      </c>
      <c r="FV144" s="627">
        <v>0</v>
      </c>
      <c r="FW144" s="627">
        <v>0</v>
      </c>
      <c r="FX144" s="627">
        <v>0</v>
      </c>
      <c r="FY144" s="627">
        <v>0</v>
      </c>
      <c r="FZ144" s="627">
        <v>0</v>
      </c>
      <c r="GA144" s="627">
        <v>0</v>
      </c>
      <c r="GB144" s="627">
        <v>0</v>
      </c>
      <c r="GC144" s="627">
        <v>15042</v>
      </c>
      <c r="GD144" s="627">
        <v>15042</v>
      </c>
      <c r="GE144" s="627">
        <v>1.5980000000000001</v>
      </c>
      <c r="GF144" s="627">
        <v>0</v>
      </c>
      <c r="GG144" s="627">
        <v>0</v>
      </c>
      <c r="GH144" s="627">
        <v>0</v>
      </c>
      <c r="GI144" s="627">
        <v>0</v>
      </c>
      <c r="GJ144" s="627">
        <v>0</v>
      </c>
      <c r="GK144" s="627">
        <v>0</v>
      </c>
      <c r="GL144" s="627">
        <v>0</v>
      </c>
      <c r="GM144" s="627">
        <v>0</v>
      </c>
      <c r="GN144" s="627">
        <v>0</v>
      </c>
      <c r="GO144" s="627">
        <v>0</v>
      </c>
      <c r="GP144" s="627">
        <v>0</v>
      </c>
      <c r="GQ144" s="627">
        <v>0</v>
      </c>
      <c r="GR144" s="627">
        <v>13553933</v>
      </c>
      <c r="GS144" s="627">
        <v>0</v>
      </c>
      <c r="GT144" s="627">
        <v>0</v>
      </c>
      <c r="GU144" s="627">
        <v>0</v>
      </c>
      <c r="GV144" s="627">
        <v>0</v>
      </c>
      <c r="GW144" s="627">
        <v>0</v>
      </c>
      <c r="GX144" s="627">
        <v>0</v>
      </c>
      <c r="GY144" s="627">
        <v>0</v>
      </c>
      <c r="GZ144" s="627">
        <v>0</v>
      </c>
      <c r="HA144" s="627">
        <v>0</v>
      </c>
      <c r="HB144" s="627">
        <v>0</v>
      </c>
      <c r="HC144" s="627">
        <v>361151439</v>
      </c>
      <c r="HD144" s="627">
        <v>3.9981999999999997E-2</v>
      </c>
      <c r="HE144" s="627">
        <v>186770</v>
      </c>
      <c r="HF144" s="627">
        <v>0</v>
      </c>
      <c r="HG144" s="627">
        <v>1252430</v>
      </c>
      <c r="HH144" s="627">
        <v>3080</v>
      </c>
      <c r="HI144" s="627">
        <v>466228</v>
      </c>
      <c r="HJ144" s="627">
        <v>0</v>
      </c>
      <c r="HK144" s="627">
        <v>101678</v>
      </c>
      <c r="HL144" s="627">
        <v>1471</v>
      </c>
      <c r="HM144" s="627">
        <v>1030</v>
      </c>
      <c r="HN144" s="627">
        <v>0</v>
      </c>
      <c r="HO144" s="627">
        <v>0</v>
      </c>
      <c r="HP144" s="627">
        <v>0</v>
      </c>
      <c r="HQ144" s="627">
        <v>0</v>
      </c>
      <c r="HR144" s="627">
        <v>0</v>
      </c>
      <c r="HS144" s="627">
        <v>0</v>
      </c>
      <c r="HT144" s="627">
        <v>11519466</v>
      </c>
      <c r="HU144" s="627">
        <v>300331</v>
      </c>
      <c r="HV144" s="627">
        <v>0</v>
      </c>
      <c r="HW144" s="627">
        <v>0</v>
      </c>
      <c r="HX144" s="627">
        <v>0</v>
      </c>
      <c r="HY144" s="627">
        <v>91</v>
      </c>
      <c r="HZ144" s="627">
        <v>202</v>
      </c>
      <c r="IA144" s="627">
        <v>307</v>
      </c>
      <c r="IB144" s="627">
        <v>407</v>
      </c>
      <c r="IC144" s="627">
        <v>328</v>
      </c>
      <c r="ID144" s="627">
        <v>1335</v>
      </c>
      <c r="IE144" s="627">
        <v>0</v>
      </c>
      <c r="IF144" s="627">
        <v>0.98</v>
      </c>
      <c r="IG144" s="627">
        <v>0</v>
      </c>
      <c r="IH144" s="627">
        <v>5</v>
      </c>
      <c r="II144" s="627">
        <v>756.86300000000006</v>
      </c>
      <c r="IJ144" s="627">
        <v>0</v>
      </c>
      <c r="IK144" s="627">
        <v>583.36</v>
      </c>
      <c r="IL144" s="627">
        <v>0</v>
      </c>
      <c r="IM144" s="627">
        <v>0</v>
      </c>
      <c r="IN144" s="627">
        <v>0</v>
      </c>
      <c r="IO144" s="627">
        <v>0</v>
      </c>
      <c r="IP144" s="627">
        <v>0</v>
      </c>
      <c r="IQ144" s="627">
        <v>0</v>
      </c>
      <c r="IR144" s="627">
        <v>582.38</v>
      </c>
      <c r="IS144" s="627">
        <v>358746</v>
      </c>
      <c r="IT144" s="627">
        <v>0</v>
      </c>
      <c r="IU144" s="627">
        <v>0</v>
      </c>
      <c r="IV144" s="627">
        <v>0</v>
      </c>
      <c r="IW144" s="627">
        <v>0</v>
      </c>
      <c r="IX144" s="627">
        <v>6160</v>
      </c>
      <c r="IY144" s="627">
        <v>906</v>
      </c>
      <c r="IZ144" s="627">
        <v>0</v>
      </c>
      <c r="JA144" s="627">
        <v>0</v>
      </c>
      <c r="JB144" s="627">
        <v>0</v>
      </c>
      <c r="JC144" s="627">
        <v>0</v>
      </c>
      <c r="JD144" s="627">
        <v>0</v>
      </c>
      <c r="JE144" s="627">
        <v>0</v>
      </c>
      <c r="JF144" s="627">
        <v>0</v>
      </c>
      <c r="JG144" s="627">
        <v>0</v>
      </c>
      <c r="JH144" s="627">
        <v>0</v>
      </c>
      <c r="JI144" s="627">
        <v>0</v>
      </c>
      <c r="JJ144" s="627">
        <v>0</v>
      </c>
      <c r="JK144" s="627">
        <v>0</v>
      </c>
      <c r="JL144" s="627">
        <v>0</v>
      </c>
      <c r="JM144" s="627">
        <v>0</v>
      </c>
      <c r="JN144" s="627">
        <v>0</v>
      </c>
      <c r="JO144" s="627">
        <v>32469</v>
      </c>
      <c r="JP144" s="627">
        <v>0</v>
      </c>
      <c r="JQ144" s="627">
        <v>1.462</v>
      </c>
      <c r="JR144" s="627">
        <v>0.13600000000000001</v>
      </c>
      <c r="JS144" s="627">
        <v>0</v>
      </c>
      <c r="JT144" s="627">
        <v>13590</v>
      </c>
      <c r="JU144" s="627">
        <v>1452</v>
      </c>
      <c r="JV144" s="627">
        <v>2156</v>
      </c>
      <c r="JW144" s="627">
        <v>0</v>
      </c>
      <c r="JX144" s="627">
        <v>0</v>
      </c>
      <c r="JY144" s="627">
        <v>0</v>
      </c>
      <c r="JZ144" s="627">
        <v>0</v>
      </c>
      <c r="KA144" s="627">
        <v>0</v>
      </c>
      <c r="KB144" s="627">
        <v>0</v>
      </c>
      <c r="KC144" s="627">
        <v>0</v>
      </c>
      <c r="KD144" s="627">
        <v>0</v>
      </c>
      <c r="KE144" s="627">
        <v>2156</v>
      </c>
      <c r="KF144" s="627">
        <v>7262</v>
      </c>
      <c r="KG144" s="627">
        <v>0</v>
      </c>
      <c r="KH144" s="627">
        <v>0</v>
      </c>
      <c r="KI144" s="627">
        <v>13553933</v>
      </c>
      <c r="KJ144" s="627">
        <v>0</v>
      </c>
      <c r="KK144" s="627">
        <v>5</v>
      </c>
      <c r="KL144" s="627">
        <v>0</v>
      </c>
      <c r="KM144" s="627">
        <v>3080</v>
      </c>
      <c r="KN144" s="627">
        <v>0</v>
      </c>
      <c r="KO144" s="627">
        <v>0</v>
      </c>
      <c r="KP144" s="627">
        <v>0</v>
      </c>
      <c r="KQ144" s="627">
        <v>13553933</v>
      </c>
      <c r="KR144" s="627">
        <v>0</v>
      </c>
      <c r="KS144" s="627">
        <v>0</v>
      </c>
      <c r="KT144" s="627">
        <v>0</v>
      </c>
      <c r="KU144" s="627">
        <v>0</v>
      </c>
      <c r="KV144" s="627">
        <v>0</v>
      </c>
      <c r="KW144" s="627">
        <v>0</v>
      </c>
      <c r="KX144" s="627">
        <v>0</v>
      </c>
      <c r="KY144" s="627">
        <v>0</v>
      </c>
      <c r="KZ144" s="627">
        <v>0</v>
      </c>
      <c r="LA144" s="627">
        <v>0</v>
      </c>
      <c r="LB144" s="627">
        <v>0</v>
      </c>
      <c r="LC144" s="627">
        <v>0</v>
      </c>
      <c r="LD144" s="627">
        <v>0</v>
      </c>
      <c r="LE144" s="627">
        <v>0</v>
      </c>
      <c r="LF144" s="627">
        <v>0</v>
      </c>
    </row>
    <row r="145" spans="1:318" x14ac:dyDescent="0.25">
      <c r="A145" s="627">
        <v>42602</v>
      </c>
      <c r="B145" s="627">
        <v>15836</v>
      </c>
      <c r="D145" s="627">
        <v>9</v>
      </c>
      <c r="E145" s="627">
        <v>2024</v>
      </c>
      <c r="F145" s="627">
        <v>6160</v>
      </c>
      <c r="G145" s="627">
        <v>0</v>
      </c>
      <c r="H145" s="627">
        <v>465.55700000000002</v>
      </c>
      <c r="I145" s="627">
        <v>452.79600000000005</v>
      </c>
      <c r="J145" s="627">
        <v>452.79600000000005</v>
      </c>
      <c r="K145" s="627">
        <v>465.55700000000002</v>
      </c>
      <c r="L145" s="627">
        <v>0</v>
      </c>
      <c r="M145" s="627">
        <v>6160</v>
      </c>
      <c r="N145" s="627">
        <v>0</v>
      </c>
      <c r="O145" s="627">
        <v>0</v>
      </c>
      <c r="P145" s="627">
        <v>0</v>
      </c>
      <c r="Q145" s="627">
        <v>452.25700000000001</v>
      </c>
      <c r="R145" s="627">
        <v>0</v>
      </c>
      <c r="S145" s="627">
        <v>187634</v>
      </c>
      <c r="T145" s="627">
        <v>414.88400000000001</v>
      </c>
      <c r="U145" s="627">
        <v>0</v>
      </c>
      <c r="V145" s="627">
        <v>97375</v>
      </c>
      <c r="W145" s="627">
        <v>45.815000000000005</v>
      </c>
      <c r="X145" s="627">
        <v>28222</v>
      </c>
      <c r="Y145" s="627">
        <v>28222</v>
      </c>
      <c r="Z145" s="627">
        <v>0</v>
      </c>
      <c r="AA145" s="627">
        <v>0</v>
      </c>
      <c r="AB145" s="627">
        <v>0</v>
      </c>
      <c r="AC145" s="627">
        <v>0</v>
      </c>
      <c r="AD145" s="627">
        <v>0</v>
      </c>
      <c r="AE145" s="627" t="s">
        <v>314</v>
      </c>
      <c r="AF145" s="627">
        <v>0</v>
      </c>
      <c r="AG145" s="627">
        <v>0</v>
      </c>
      <c r="AH145" s="627">
        <v>0</v>
      </c>
      <c r="AI145" s="627">
        <v>0</v>
      </c>
      <c r="AJ145" s="627">
        <v>0</v>
      </c>
      <c r="AK145" s="627">
        <v>6160</v>
      </c>
      <c r="AL145" s="627" t="s">
        <v>651</v>
      </c>
      <c r="AM145" s="627" t="s">
        <v>319</v>
      </c>
      <c r="AN145" s="627">
        <v>0</v>
      </c>
      <c r="AO145" s="627">
        <v>0</v>
      </c>
      <c r="AP145" s="627">
        <v>0</v>
      </c>
      <c r="AQ145" s="627">
        <v>0</v>
      </c>
      <c r="AR145" s="627">
        <v>0</v>
      </c>
      <c r="AS145" s="627">
        <v>0</v>
      </c>
      <c r="AT145" s="627">
        <v>0</v>
      </c>
      <c r="AU145" s="627">
        <v>0</v>
      </c>
      <c r="AV145" s="627">
        <v>0</v>
      </c>
      <c r="AW145" s="627">
        <v>0</v>
      </c>
      <c r="AX145" s="627">
        <v>4267559</v>
      </c>
      <c r="AY145" s="627">
        <v>4193985</v>
      </c>
      <c r="AZ145" s="627">
        <v>2141544</v>
      </c>
      <c r="BA145" s="627">
        <v>187634</v>
      </c>
      <c r="BB145" s="627">
        <v>0</v>
      </c>
      <c r="BC145" s="627">
        <v>0</v>
      </c>
      <c r="BD145" s="627">
        <v>0</v>
      </c>
      <c r="BE145" s="627">
        <v>0</v>
      </c>
      <c r="BF145" s="627">
        <v>0</v>
      </c>
      <c r="BG145" s="627">
        <v>3748387</v>
      </c>
      <c r="BH145" s="627">
        <v>0</v>
      </c>
      <c r="BI145" s="627">
        <v>0</v>
      </c>
      <c r="BJ145" s="627">
        <v>0</v>
      </c>
      <c r="BK145" s="627">
        <v>12</v>
      </c>
      <c r="BL145" s="627">
        <v>0</v>
      </c>
      <c r="BM145" s="627">
        <v>0</v>
      </c>
      <c r="BN145" s="627">
        <v>0</v>
      </c>
      <c r="BO145" s="627">
        <v>0</v>
      </c>
      <c r="BP145" s="627">
        <v>0</v>
      </c>
      <c r="BQ145" s="627">
        <v>0</v>
      </c>
      <c r="BR145" s="627">
        <v>700</v>
      </c>
      <c r="BS145" s="627">
        <v>0</v>
      </c>
      <c r="BT145" s="627">
        <v>0</v>
      </c>
      <c r="BU145" s="627">
        <v>0</v>
      </c>
      <c r="BV145" s="627">
        <v>0</v>
      </c>
      <c r="BW145" s="627">
        <v>0</v>
      </c>
      <c r="BX145" s="627">
        <v>0</v>
      </c>
      <c r="BY145" s="627">
        <v>0</v>
      </c>
      <c r="BZ145" s="627">
        <v>0</v>
      </c>
      <c r="CA145" s="627">
        <v>0</v>
      </c>
      <c r="CB145" s="627">
        <v>0</v>
      </c>
      <c r="CC145" s="627">
        <v>0</v>
      </c>
      <c r="CD145" s="627">
        <v>0</v>
      </c>
      <c r="CE145" s="627">
        <v>0</v>
      </c>
      <c r="CF145" s="627">
        <v>0</v>
      </c>
      <c r="CG145" s="627">
        <v>0</v>
      </c>
      <c r="CH145" s="627">
        <v>0</v>
      </c>
      <c r="CI145" s="627">
        <v>74456</v>
      </c>
      <c r="CJ145" s="627">
        <v>0</v>
      </c>
      <c r="CK145" s="627">
        <v>4</v>
      </c>
      <c r="CL145" s="627">
        <v>0</v>
      </c>
      <c r="CM145" s="627">
        <v>0</v>
      </c>
      <c r="CN145" s="627">
        <v>0</v>
      </c>
      <c r="CO145" s="627">
        <v>0</v>
      </c>
      <c r="CP145" s="627">
        <v>1</v>
      </c>
      <c r="CQ145" s="627">
        <v>0</v>
      </c>
      <c r="CR145" s="627">
        <v>0</v>
      </c>
      <c r="CS145" s="627">
        <v>452.40000000000003</v>
      </c>
      <c r="CT145" s="627">
        <v>0</v>
      </c>
      <c r="CU145" s="627">
        <v>0</v>
      </c>
      <c r="CV145" s="627">
        <v>0</v>
      </c>
      <c r="CW145" s="627">
        <v>0</v>
      </c>
      <c r="CX145" s="627">
        <v>0</v>
      </c>
      <c r="CY145" s="627">
        <v>0</v>
      </c>
      <c r="CZ145" s="627">
        <v>0</v>
      </c>
      <c r="DA145" s="627">
        <v>0</v>
      </c>
      <c r="DB145" s="627">
        <v>0</v>
      </c>
      <c r="DC145" s="627">
        <v>2789223</v>
      </c>
      <c r="DD145" s="627">
        <v>0</v>
      </c>
      <c r="DE145" s="627">
        <v>0</v>
      </c>
      <c r="DF145" s="627">
        <v>112959</v>
      </c>
      <c r="DG145" s="627">
        <v>112959</v>
      </c>
      <c r="DH145" s="627">
        <v>18.338000000000001</v>
      </c>
      <c r="DI145" s="627">
        <v>0</v>
      </c>
      <c r="DJ145" s="627">
        <v>0</v>
      </c>
      <c r="DK145" s="627">
        <v>0</v>
      </c>
      <c r="DL145" s="627">
        <v>2827</v>
      </c>
      <c r="DM145" s="627">
        <v>0</v>
      </c>
      <c r="DN145" s="627">
        <v>258823</v>
      </c>
      <c r="DO145" s="627">
        <v>882</v>
      </c>
      <c r="DP145" s="627">
        <v>0</v>
      </c>
      <c r="DQ145" s="627">
        <v>0</v>
      </c>
      <c r="DR145" s="627">
        <v>0</v>
      </c>
      <c r="DS145" s="627">
        <v>0</v>
      </c>
      <c r="DT145" s="627">
        <v>0</v>
      </c>
      <c r="DU145" s="627">
        <v>0</v>
      </c>
      <c r="DV145" s="627">
        <v>0</v>
      </c>
      <c r="DW145" s="627">
        <v>0</v>
      </c>
      <c r="DX145" s="627">
        <v>0</v>
      </c>
      <c r="DY145" s="627">
        <v>0</v>
      </c>
      <c r="DZ145" s="627">
        <v>0</v>
      </c>
      <c r="EA145" s="627">
        <v>0</v>
      </c>
      <c r="EB145" s="627">
        <v>0</v>
      </c>
      <c r="EC145" s="627">
        <v>0</v>
      </c>
      <c r="ED145" s="627">
        <v>2.206</v>
      </c>
      <c r="EE145" s="627">
        <v>15627</v>
      </c>
      <c r="EF145" s="627">
        <v>0</v>
      </c>
      <c r="EG145" s="627">
        <v>0</v>
      </c>
      <c r="EH145" s="627">
        <v>0</v>
      </c>
      <c r="EI145" s="627">
        <v>244078</v>
      </c>
      <c r="EJ145" s="627">
        <v>0</v>
      </c>
      <c r="EK145" s="627">
        <v>0</v>
      </c>
      <c r="EL145" s="627">
        <v>11.456000000000001</v>
      </c>
      <c r="EM145" s="627">
        <v>0</v>
      </c>
      <c r="EN145" s="627">
        <v>0.63500000000000001</v>
      </c>
      <c r="EO145" s="627">
        <v>0.67</v>
      </c>
      <c r="EP145" s="627">
        <v>0</v>
      </c>
      <c r="EQ145" s="627">
        <v>0</v>
      </c>
      <c r="ER145" s="627">
        <v>12.761000000000001</v>
      </c>
      <c r="ES145" s="627">
        <v>0</v>
      </c>
      <c r="ET145" s="627">
        <v>39.623000000000005</v>
      </c>
      <c r="EU145" s="627">
        <v>0</v>
      </c>
      <c r="EV145" s="627">
        <v>0</v>
      </c>
      <c r="EW145" s="627">
        <v>0</v>
      </c>
      <c r="EX145" s="627">
        <v>0</v>
      </c>
      <c r="EY145" s="627">
        <v>0</v>
      </c>
      <c r="EZ145" s="627">
        <v>0</v>
      </c>
      <c r="FA145" s="627">
        <v>3560753</v>
      </c>
      <c r="FB145" s="627">
        <v>0</v>
      </c>
      <c r="FC145" s="627">
        <v>3747505</v>
      </c>
      <c r="FD145" s="627">
        <v>0</v>
      </c>
      <c r="FE145" s="627">
        <v>0</v>
      </c>
      <c r="FF145" s="627">
        <v>539753</v>
      </c>
      <c r="FG145" s="627">
        <v>93479</v>
      </c>
      <c r="FH145" s="627">
        <v>7.0280999999999996E-2</v>
      </c>
      <c r="FI145" s="627">
        <v>3.1172999999999999E-2</v>
      </c>
      <c r="FJ145" s="627">
        <v>0</v>
      </c>
      <c r="FK145" s="627">
        <v>0</v>
      </c>
      <c r="FL145" s="627">
        <v>608.50400000000002</v>
      </c>
      <c r="FM145" s="627">
        <v>4455193</v>
      </c>
      <c r="FN145" s="627">
        <v>0</v>
      </c>
      <c r="FO145" s="627">
        <v>0</v>
      </c>
      <c r="FP145" s="627">
        <v>0</v>
      </c>
      <c r="FQ145" s="627">
        <v>0</v>
      </c>
      <c r="FR145" s="627">
        <v>0</v>
      </c>
      <c r="FS145" s="627">
        <v>0</v>
      </c>
      <c r="FT145" s="627">
        <v>0</v>
      </c>
      <c r="FU145" s="627">
        <v>0</v>
      </c>
      <c r="FV145" s="627">
        <v>0</v>
      </c>
      <c r="FW145" s="627">
        <v>0</v>
      </c>
      <c r="FX145" s="627">
        <v>0</v>
      </c>
      <c r="FY145" s="627">
        <v>0</v>
      </c>
      <c r="FZ145" s="627">
        <v>0</v>
      </c>
      <c r="GA145" s="627">
        <v>0</v>
      </c>
      <c r="GB145" s="627">
        <v>0</v>
      </c>
      <c r="GC145" s="627">
        <v>0</v>
      </c>
      <c r="GD145" s="627">
        <v>0</v>
      </c>
      <c r="GE145" s="627">
        <v>0</v>
      </c>
      <c r="GF145" s="627">
        <v>0</v>
      </c>
      <c r="GG145" s="627">
        <v>0</v>
      </c>
      <c r="GH145" s="627">
        <v>0</v>
      </c>
      <c r="GI145" s="627">
        <v>0</v>
      </c>
      <c r="GJ145" s="627">
        <v>0</v>
      </c>
      <c r="GK145" s="627">
        <v>0</v>
      </c>
      <c r="GL145" s="627">
        <v>0</v>
      </c>
      <c r="GM145" s="627">
        <v>0</v>
      </c>
      <c r="GN145" s="627">
        <v>0</v>
      </c>
      <c r="GO145" s="627">
        <v>0</v>
      </c>
      <c r="GP145" s="627">
        <v>0</v>
      </c>
      <c r="GQ145" s="627">
        <v>0</v>
      </c>
      <c r="GR145" s="627">
        <v>4193103</v>
      </c>
      <c r="GS145" s="627">
        <v>0</v>
      </c>
      <c r="GT145" s="627">
        <v>0</v>
      </c>
      <c r="GU145" s="627">
        <v>0</v>
      </c>
      <c r="GV145" s="627">
        <v>0</v>
      </c>
      <c r="GW145" s="627">
        <v>0</v>
      </c>
      <c r="GX145" s="627">
        <v>0</v>
      </c>
      <c r="GY145" s="627">
        <v>0</v>
      </c>
      <c r="GZ145" s="627">
        <v>0</v>
      </c>
      <c r="HA145" s="627">
        <v>0</v>
      </c>
      <c r="HB145" s="627">
        <v>0</v>
      </c>
      <c r="HC145" s="627">
        <v>361151439</v>
      </c>
      <c r="HD145" s="627">
        <v>3.9981999999999997E-2</v>
      </c>
      <c r="HE145" s="627">
        <v>74456</v>
      </c>
      <c r="HF145" s="627">
        <v>0</v>
      </c>
      <c r="HG145" s="627">
        <v>498981</v>
      </c>
      <c r="HH145" s="627">
        <v>8008</v>
      </c>
      <c r="HI145" s="627">
        <v>31633</v>
      </c>
      <c r="HJ145" s="627">
        <v>0</v>
      </c>
      <c r="HK145" s="627">
        <v>19656</v>
      </c>
      <c r="HL145" s="627">
        <v>0</v>
      </c>
      <c r="HM145" s="627">
        <v>0</v>
      </c>
      <c r="HN145" s="627">
        <v>0</v>
      </c>
      <c r="HO145" s="627">
        <v>0</v>
      </c>
      <c r="HP145" s="627">
        <v>0</v>
      </c>
      <c r="HQ145" s="627">
        <v>0</v>
      </c>
      <c r="HR145" s="627">
        <v>0</v>
      </c>
      <c r="HS145" s="627">
        <v>0</v>
      </c>
      <c r="HT145" s="627">
        <v>3559871</v>
      </c>
      <c r="HU145" s="627">
        <v>93479</v>
      </c>
      <c r="HV145" s="627">
        <v>0</v>
      </c>
      <c r="HW145" s="627">
        <v>0</v>
      </c>
      <c r="HX145" s="627">
        <v>0</v>
      </c>
      <c r="HY145" s="627">
        <v>29</v>
      </c>
      <c r="HZ145" s="627">
        <v>16</v>
      </c>
      <c r="IA145" s="627">
        <v>15</v>
      </c>
      <c r="IB145" s="627">
        <v>11</v>
      </c>
      <c r="IC145" s="627">
        <v>5</v>
      </c>
      <c r="ID145" s="627">
        <v>76</v>
      </c>
      <c r="IE145" s="627">
        <v>0</v>
      </c>
      <c r="IF145" s="627">
        <v>0</v>
      </c>
      <c r="IG145" s="627">
        <v>0</v>
      </c>
      <c r="IH145" s="627">
        <v>13</v>
      </c>
      <c r="II145" s="627">
        <v>51.353000000000002</v>
      </c>
      <c r="IJ145" s="627">
        <v>0</v>
      </c>
      <c r="IK145" s="627">
        <v>45.815000000000005</v>
      </c>
      <c r="IL145" s="627">
        <v>0</v>
      </c>
      <c r="IM145" s="627">
        <v>0</v>
      </c>
      <c r="IN145" s="627">
        <v>0</v>
      </c>
      <c r="IO145" s="627">
        <v>0</v>
      </c>
      <c r="IP145" s="627">
        <v>0</v>
      </c>
      <c r="IQ145" s="627">
        <v>0</v>
      </c>
      <c r="IR145" s="627">
        <v>45.815000000000005</v>
      </c>
      <c r="IS145" s="627">
        <v>28222</v>
      </c>
      <c r="IT145" s="627">
        <v>0</v>
      </c>
      <c r="IU145" s="627">
        <v>0</v>
      </c>
      <c r="IV145" s="627">
        <v>0</v>
      </c>
      <c r="IW145" s="627">
        <v>0</v>
      </c>
      <c r="IX145" s="627">
        <v>6160</v>
      </c>
      <c r="IY145" s="627">
        <v>0</v>
      </c>
      <c r="IZ145" s="627">
        <v>0</v>
      </c>
      <c r="JA145" s="627">
        <v>0</v>
      </c>
      <c r="JB145" s="627">
        <v>0</v>
      </c>
      <c r="JC145" s="627">
        <v>0</v>
      </c>
      <c r="JD145" s="627">
        <v>0</v>
      </c>
      <c r="JE145" s="627">
        <v>0</v>
      </c>
      <c r="JF145" s="627">
        <v>0</v>
      </c>
      <c r="JG145" s="627">
        <v>0</v>
      </c>
      <c r="JH145" s="627">
        <v>0</v>
      </c>
      <c r="JI145" s="627">
        <v>0</v>
      </c>
      <c r="JJ145" s="627">
        <v>0</v>
      </c>
      <c r="JK145" s="627">
        <v>0</v>
      </c>
      <c r="JL145" s="627">
        <v>0</v>
      </c>
      <c r="JM145" s="627">
        <v>0</v>
      </c>
      <c r="JN145" s="627">
        <v>0</v>
      </c>
      <c r="JO145" s="627">
        <v>32469</v>
      </c>
      <c r="JP145" s="627">
        <v>0</v>
      </c>
      <c r="JQ145" s="627">
        <v>0</v>
      </c>
      <c r="JR145" s="627">
        <v>0</v>
      </c>
      <c r="JS145" s="627">
        <v>0</v>
      </c>
      <c r="JT145" s="627">
        <v>0</v>
      </c>
      <c r="JU145" s="627">
        <v>0</v>
      </c>
      <c r="JV145" s="627">
        <v>0</v>
      </c>
      <c r="JW145" s="627">
        <v>0</v>
      </c>
      <c r="JX145" s="627">
        <v>0</v>
      </c>
      <c r="JY145" s="627">
        <v>0</v>
      </c>
      <c r="JZ145" s="627">
        <v>0</v>
      </c>
      <c r="KA145" s="627">
        <v>0</v>
      </c>
      <c r="KB145" s="627">
        <v>0</v>
      </c>
      <c r="KC145" s="627">
        <v>0</v>
      </c>
      <c r="KD145" s="627">
        <v>0</v>
      </c>
      <c r="KE145" s="627">
        <v>0</v>
      </c>
      <c r="KF145" s="627">
        <v>7262</v>
      </c>
      <c r="KG145" s="627">
        <v>0</v>
      </c>
      <c r="KH145" s="627">
        <v>0</v>
      </c>
      <c r="KI145" s="627">
        <v>4193103</v>
      </c>
      <c r="KJ145" s="627">
        <v>0</v>
      </c>
      <c r="KK145" s="627">
        <v>5</v>
      </c>
      <c r="KL145" s="627">
        <v>8</v>
      </c>
      <c r="KM145" s="627">
        <v>3080</v>
      </c>
      <c r="KN145" s="627">
        <v>4928</v>
      </c>
      <c r="KO145" s="627">
        <v>0</v>
      </c>
      <c r="KP145" s="627">
        <v>0</v>
      </c>
      <c r="KQ145" s="627">
        <v>4193103</v>
      </c>
      <c r="KR145" s="627">
        <v>0</v>
      </c>
      <c r="KS145" s="627">
        <v>0</v>
      </c>
      <c r="KT145" s="627">
        <v>0</v>
      </c>
      <c r="KU145" s="627">
        <v>0</v>
      </c>
      <c r="KV145" s="627">
        <v>0</v>
      </c>
      <c r="KW145" s="627">
        <v>0</v>
      </c>
      <c r="KX145" s="627">
        <v>0</v>
      </c>
      <c r="KY145" s="627">
        <v>0</v>
      </c>
      <c r="KZ145" s="627">
        <v>0</v>
      </c>
      <c r="LA145" s="627">
        <v>0</v>
      </c>
      <c r="LB145" s="627">
        <v>0</v>
      </c>
      <c r="LC145" s="627">
        <v>0</v>
      </c>
      <c r="LD145" s="627">
        <v>0</v>
      </c>
      <c r="LE145" s="627">
        <v>0</v>
      </c>
      <c r="LF145" s="627">
        <v>0</v>
      </c>
    </row>
    <row r="146" spans="1:318" x14ac:dyDescent="0.25">
      <c r="A146" s="627">
        <v>42602</v>
      </c>
      <c r="B146" s="627">
        <v>57836</v>
      </c>
      <c r="D146" s="627">
        <v>9</v>
      </c>
      <c r="E146" s="627">
        <v>2024</v>
      </c>
      <c r="F146" s="627">
        <v>6160</v>
      </c>
      <c r="G146" s="627">
        <v>0</v>
      </c>
      <c r="H146" s="627">
        <v>316.61</v>
      </c>
      <c r="I146" s="627">
        <v>305.90500000000003</v>
      </c>
      <c r="J146" s="627">
        <v>305.90500000000003</v>
      </c>
      <c r="K146" s="627">
        <v>316.61</v>
      </c>
      <c r="L146" s="627">
        <v>0</v>
      </c>
      <c r="M146" s="627">
        <v>6160</v>
      </c>
      <c r="N146" s="627">
        <v>0</v>
      </c>
      <c r="O146" s="627">
        <v>0</v>
      </c>
      <c r="P146" s="627">
        <v>0</v>
      </c>
      <c r="Q146" s="627">
        <v>310.45800000000003</v>
      </c>
      <c r="R146" s="627">
        <v>0</v>
      </c>
      <c r="S146" s="627">
        <v>128804</v>
      </c>
      <c r="T146" s="627">
        <v>414.88400000000001</v>
      </c>
      <c r="U146" s="627">
        <v>0</v>
      </c>
      <c r="V146" s="627">
        <v>66845</v>
      </c>
      <c r="W146" s="627">
        <v>0</v>
      </c>
      <c r="X146" s="627">
        <v>0</v>
      </c>
      <c r="Y146" s="627">
        <v>0</v>
      </c>
      <c r="Z146" s="627">
        <v>0</v>
      </c>
      <c r="AA146" s="627">
        <v>0</v>
      </c>
      <c r="AB146" s="627">
        <v>0</v>
      </c>
      <c r="AC146" s="627">
        <v>0</v>
      </c>
      <c r="AD146" s="627">
        <v>0</v>
      </c>
      <c r="AE146" s="627" t="s">
        <v>314</v>
      </c>
      <c r="AF146" s="627">
        <v>0</v>
      </c>
      <c r="AG146" s="627">
        <v>0</v>
      </c>
      <c r="AH146" s="627">
        <v>0</v>
      </c>
      <c r="AI146" s="627">
        <v>0</v>
      </c>
      <c r="AJ146" s="627">
        <v>0</v>
      </c>
      <c r="AK146" s="627">
        <v>6160</v>
      </c>
      <c r="AL146" s="627" t="s">
        <v>651</v>
      </c>
      <c r="AM146" s="627" t="s">
        <v>24</v>
      </c>
      <c r="AN146" s="627">
        <v>0</v>
      </c>
      <c r="AO146" s="627">
        <v>0</v>
      </c>
      <c r="AP146" s="627">
        <v>0</v>
      </c>
      <c r="AQ146" s="627">
        <v>0</v>
      </c>
      <c r="AR146" s="627">
        <v>0</v>
      </c>
      <c r="AS146" s="627">
        <v>0</v>
      </c>
      <c r="AT146" s="627">
        <v>0</v>
      </c>
      <c r="AU146" s="627">
        <v>0</v>
      </c>
      <c r="AV146" s="627">
        <v>0</v>
      </c>
      <c r="AW146" s="627">
        <v>0</v>
      </c>
      <c r="AX146" s="627">
        <v>3456162</v>
      </c>
      <c r="AY146" s="627">
        <v>3406534</v>
      </c>
      <c r="AZ146" s="627">
        <v>1763842</v>
      </c>
      <c r="BA146" s="627">
        <v>128804</v>
      </c>
      <c r="BB146" s="627">
        <v>14.083</v>
      </c>
      <c r="BC146" s="627">
        <v>6745</v>
      </c>
      <c r="BD146" s="627">
        <v>6702</v>
      </c>
      <c r="BE146" s="627">
        <v>15.831000000000001</v>
      </c>
      <c r="BF146" s="627">
        <v>43</v>
      </c>
      <c r="BG146" s="627">
        <v>3024410</v>
      </c>
      <c r="BH146" s="627">
        <v>0</v>
      </c>
      <c r="BI146" s="627">
        <v>0</v>
      </c>
      <c r="BJ146" s="627">
        <v>0</v>
      </c>
      <c r="BK146" s="627">
        <v>12</v>
      </c>
      <c r="BL146" s="627">
        <v>0</v>
      </c>
      <c r="BM146" s="627">
        <v>0</v>
      </c>
      <c r="BN146" s="627">
        <v>0</v>
      </c>
      <c r="BO146" s="627">
        <v>0</v>
      </c>
      <c r="BP146" s="627">
        <v>0</v>
      </c>
      <c r="BQ146" s="627">
        <v>0</v>
      </c>
      <c r="BR146" s="627">
        <v>723</v>
      </c>
      <c r="BS146" s="627">
        <v>0</v>
      </c>
      <c r="BT146" s="627">
        <v>0</v>
      </c>
      <c r="BU146" s="627">
        <v>0</v>
      </c>
      <c r="BV146" s="627">
        <v>0</v>
      </c>
      <c r="BW146" s="627">
        <v>0</v>
      </c>
      <c r="BX146" s="627">
        <v>0</v>
      </c>
      <c r="BY146" s="627">
        <v>0</v>
      </c>
      <c r="BZ146" s="627">
        <v>0</v>
      </c>
      <c r="CA146" s="627">
        <v>0</v>
      </c>
      <c r="CB146" s="627">
        <v>0</v>
      </c>
      <c r="CC146" s="627">
        <v>0</v>
      </c>
      <c r="CD146" s="627">
        <v>0</v>
      </c>
      <c r="CE146" s="627">
        <v>0</v>
      </c>
      <c r="CF146" s="627">
        <v>0</v>
      </c>
      <c r="CG146" s="627">
        <v>0</v>
      </c>
      <c r="CH146" s="627">
        <v>0</v>
      </c>
      <c r="CI146" s="627">
        <v>50635</v>
      </c>
      <c r="CJ146" s="627">
        <v>0</v>
      </c>
      <c r="CK146" s="627">
        <v>4</v>
      </c>
      <c r="CL146" s="627">
        <v>0</v>
      </c>
      <c r="CM146" s="627">
        <v>0</v>
      </c>
      <c r="CN146" s="627">
        <v>0</v>
      </c>
      <c r="CO146" s="627">
        <v>0</v>
      </c>
      <c r="CP146" s="627">
        <v>1</v>
      </c>
      <c r="CQ146" s="627">
        <v>0</v>
      </c>
      <c r="CR146" s="627">
        <v>0</v>
      </c>
      <c r="CS146" s="627">
        <v>309.89</v>
      </c>
      <c r="CT146" s="627">
        <v>0</v>
      </c>
      <c r="CU146" s="627">
        <v>0</v>
      </c>
      <c r="CV146" s="627">
        <v>0</v>
      </c>
      <c r="CW146" s="627">
        <v>0</v>
      </c>
      <c r="CX146" s="627">
        <v>0</v>
      </c>
      <c r="CY146" s="627">
        <v>0</v>
      </c>
      <c r="CZ146" s="627">
        <v>0</v>
      </c>
      <c r="DA146" s="627">
        <v>0</v>
      </c>
      <c r="DB146" s="627">
        <v>0</v>
      </c>
      <c r="DC146" s="627">
        <v>1884375</v>
      </c>
      <c r="DD146" s="627">
        <v>0</v>
      </c>
      <c r="DE146" s="627">
        <v>0</v>
      </c>
      <c r="DF146" s="627">
        <v>410872</v>
      </c>
      <c r="DG146" s="627">
        <v>410872</v>
      </c>
      <c r="DH146" s="627">
        <v>66.7</v>
      </c>
      <c r="DI146" s="627">
        <v>0</v>
      </c>
      <c r="DJ146" s="627">
        <v>0</v>
      </c>
      <c r="DK146" s="627">
        <v>0</v>
      </c>
      <c r="DL146" s="627">
        <v>3189</v>
      </c>
      <c r="DM146" s="627">
        <v>0</v>
      </c>
      <c r="DN146" s="627">
        <v>282849</v>
      </c>
      <c r="DO146" s="627">
        <v>964</v>
      </c>
      <c r="DP146" s="627">
        <v>0</v>
      </c>
      <c r="DQ146" s="627">
        <v>0</v>
      </c>
      <c r="DR146" s="627">
        <v>0</v>
      </c>
      <c r="DS146" s="627">
        <v>0</v>
      </c>
      <c r="DT146" s="627">
        <v>0</v>
      </c>
      <c r="DU146" s="627">
        <v>0</v>
      </c>
      <c r="DV146" s="627">
        <v>0</v>
      </c>
      <c r="DW146" s="627">
        <v>0</v>
      </c>
      <c r="DX146" s="627">
        <v>0</v>
      </c>
      <c r="DY146" s="627">
        <v>0</v>
      </c>
      <c r="DZ146" s="627">
        <v>0</v>
      </c>
      <c r="EA146" s="627">
        <v>0</v>
      </c>
      <c r="EB146" s="627">
        <v>0</v>
      </c>
      <c r="EC146" s="627">
        <v>0</v>
      </c>
      <c r="ED146" s="627">
        <v>11.277000000000001</v>
      </c>
      <c r="EE146" s="627">
        <v>79886</v>
      </c>
      <c r="EF146" s="627">
        <v>0</v>
      </c>
      <c r="EG146" s="627">
        <v>0</v>
      </c>
      <c r="EH146" s="627">
        <v>0</v>
      </c>
      <c r="EI146" s="627">
        <v>203927</v>
      </c>
      <c r="EJ146" s="627">
        <v>0</v>
      </c>
      <c r="EK146" s="627">
        <v>0</v>
      </c>
      <c r="EL146" s="627">
        <v>9.73</v>
      </c>
      <c r="EM146" s="627">
        <v>0</v>
      </c>
      <c r="EN146" s="627">
        <v>0.48</v>
      </c>
      <c r="EO146" s="627">
        <v>0.49500000000000005</v>
      </c>
      <c r="EP146" s="627">
        <v>0</v>
      </c>
      <c r="EQ146" s="627">
        <v>0</v>
      </c>
      <c r="ER146" s="627">
        <v>10.705</v>
      </c>
      <c r="ES146" s="627">
        <v>0</v>
      </c>
      <c r="ET146" s="627">
        <v>33.105000000000004</v>
      </c>
      <c r="EU146" s="627">
        <v>0</v>
      </c>
      <c r="EV146" s="627">
        <v>0</v>
      </c>
      <c r="EW146" s="627">
        <v>0</v>
      </c>
      <c r="EX146" s="627">
        <v>0</v>
      </c>
      <c r="EY146" s="627">
        <v>0</v>
      </c>
      <c r="EZ146" s="627">
        <v>0</v>
      </c>
      <c r="FA146" s="627">
        <v>2895606</v>
      </c>
      <c r="FB146" s="627">
        <v>0</v>
      </c>
      <c r="FC146" s="627">
        <v>3023403</v>
      </c>
      <c r="FD146" s="627">
        <v>0</v>
      </c>
      <c r="FE146" s="627">
        <v>0</v>
      </c>
      <c r="FF146" s="627">
        <v>435504</v>
      </c>
      <c r="FG146" s="627">
        <v>75424</v>
      </c>
      <c r="FH146" s="627">
        <v>7.0280999999999996E-2</v>
      </c>
      <c r="FI146" s="627">
        <v>3.1172999999999999E-2</v>
      </c>
      <c r="FJ146" s="627">
        <v>0</v>
      </c>
      <c r="FK146" s="627">
        <v>0</v>
      </c>
      <c r="FL146" s="627">
        <v>490.976</v>
      </c>
      <c r="FM146" s="627">
        <v>3584966</v>
      </c>
      <c r="FN146" s="627">
        <v>0</v>
      </c>
      <c r="FO146" s="627">
        <v>0</v>
      </c>
      <c r="FP146" s="627">
        <v>0</v>
      </c>
      <c r="FQ146" s="627">
        <v>0</v>
      </c>
      <c r="FR146" s="627">
        <v>0</v>
      </c>
      <c r="FS146" s="627">
        <v>0</v>
      </c>
      <c r="FT146" s="627">
        <v>0</v>
      </c>
      <c r="FU146" s="627">
        <v>0</v>
      </c>
      <c r="FV146" s="627">
        <v>0</v>
      </c>
      <c r="FW146" s="627">
        <v>0</v>
      </c>
      <c r="FX146" s="627">
        <v>0</v>
      </c>
      <c r="FY146" s="627">
        <v>0</v>
      </c>
      <c r="FZ146" s="627">
        <v>0</v>
      </c>
      <c r="GA146" s="627">
        <v>0</v>
      </c>
      <c r="GB146" s="627">
        <v>0</v>
      </c>
      <c r="GC146" s="627">
        <v>0</v>
      </c>
      <c r="GD146" s="627">
        <v>0</v>
      </c>
      <c r="GE146" s="627">
        <v>0</v>
      </c>
      <c r="GF146" s="627">
        <v>0</v>
      </c>
      <c r="GG146" s="627">
        <v>0</v>
      </c>
      <c r="GH146" s="627">
        <v>0</v>
      </c>
      <c r="GI146" s="627">
        <v>0</v>
      </c>
      <c r="GJ146" s="627">
        <v>0</v>
      </c>
      <c r="GK146" s="627">
        <v>0</v>
      </c>
      <c r="GL146" s="627">
        <v>0</v>
      </c>
      <c r="GM146" s="627">
        <v>0</v>
      </c>
      <c r="GN146" s="627">
        <v>0</v>
      </c>
      <c r="GO146" s="627">
        <v>0</v>
      </c>
      <c r="GP146" s="627">
        <v>0</v>
      </c>
      <c r="GQ146" s="627">
        <v>0</v>
      </c>
      <c r="GR146" s="627">
        <v>3405527</v>
      </c>
      <c r="GS146" s="627">
        <v>0</v>
      </c>
      <c r="GT146" s="627">
        <v>0</v>
      </c>
      <c r="GU146" s="627">
        <v>0</v>
      </c>
      <c r="GV146" s="627">
        <v>0</v>
      </c>
      <c r="GW146" s="627">
        <v>0</v>
      </c>
      <c r="GX146" s="627">
        <v>0</v>
      </c>
      <c r="GY146" s="627">
        <v>0</v>
      </c>
      <c r="GZ146" s="627">
        <v>0</v>
      </c>
      <c r="HA146" s="627">
        <v>0</v>
      </c>
      <c r="HB146" s="627">
        <v>0</v>
      </c>
      <c r="HC146" s="627">
        <v>361151439</v>
      </c>
      <c r="HD146" s="627">
        <v>3.9981999999999997E-2</v>
      </c>
      <c r="HE146" s="627">
        <v>50635</v>
      </c>
      <c r="HF146" s="627">
        <v>0</v>
      </c>
      <c r="HG146" s="627">
        <v>337107</v>
      </c>
      <c r="HH146" s="627">
        <v>3696</v>
      </c>
      <c r="HI146" s="627">
        <v>50535</v>
      </c>
      <c r="HJ146" s="627">
        <v>0</v>
      </c>
      <c r="HK146" s="627">
        <v>33166</v>
      </c>
      <c r="HL146" s="627">
        <v>0</v>
      </c>
      <c r="HM146" s="627">
        <v>0</v>
      </c>
      <c r="HN146" s="627">
        <v>0</v>
      </c>
      <c r="HO146" s="627">
        <v>14101</v>
      </c>
      <c r="HP146" s="627">
        <v>0</v>
      </c>
      <c r="HQ146" s="627">
        <v>0</v>
      </c>
      <c r="HR146" s="627">
        <v>0</v>
      </c>
      <c r="HS146" s="627">
        <v>0</v>
      </c>
      <c r="HT146" s="627">
        <v>2894599</v>
      </c>
      <c r="HU146" s="627">
        <v>75424</v>
      </c>
      <c r="HV146" s="627">
        <v>0</v>
      </c>
      <c r="HW146" s="627">
        <v>0</v>
      </c>
      <c r="HX146" s="627">
        <v>0</v>
      </c>
      <c r="HY146" s="627">
        <v>23</v>
      </c>
      <c r="HZ146" s="627">
        <v>29</v>
      </c>
      <c r="IA146" s="627">
        <v>35</v>
      </c>
      <c r="IB146" s="627">
        <v>69</v>
      </c>
      <c r="IC146" s="627">
        <v>101</v>
      </c>
      <c r="ID146" s="627">
        <v>257</v>
      </c>
      <c r="IE146" s="627">
        <v>0</v>
      </c>
      <c r="IF146" s="627">
        <v>0</v>
      </c>
      <c r="IG146" s="627">
        <v>0</v>
      </c>
      <c r="IH146" s="627">
        <v>6</v>
      </c>
      <c r="II146" s="627">
        <v>82.038000000000011</v>
      </c>
      <c r="IJ146" s="627">
        <v>0</v>
      </c>
      <c r="IK146" s="627">
        <v>0</v>
      </c>
      <c r="IL146" s="627">
        <v>0</v>
      </c>
      <c r="IM146" s="627">
        <v>0</v>
      </c>
      <c r="IN146" s="627">
        <v>0</v>
      </c>
      <c r="IO146" s="627">
        <v>0</v>
      </c>
      <c r="IP146" s="627">
        <v>0</v>
      </c>
      <c r="IQ146" s="627">
        <v>0</v>
      </c>
      <c r="IR146" s="627">
        <v>0</v>
      </c>
      <c r="IS146" s="627">
        <v>0</v>
      </c>
      <c r="IT146" s="627">
        <v>0</v>
      </c>
      <c r="IU146" s="627">
        <v>0</v>
      </c>
      <c r="IV146" s="627">
        <v>0</v>
      </c>
      <c r="IW146" s="627">
        <v>0</v>
      </c>
      <c r="IX146" s="627">
        <v>6160</v>
      </c>
      <c r="IY146" s="627">
        <v>0</v>
      </c>
      <c r="IZ146" s="627">
        <v>0</v>
      </c>
      <c r="JA146" s="627">
        <v>0</v>
      </c>
      <c r="JB146" s="627">
        <v>0</v>
      </c>
      <c r="JC146" s="627">
        <v>0</v>
      </c>
      <c r="JD146" s="627">
        <v>0</v>
      </c>
      <c r="JE146" s="627">
        <v>1</v>
      </c>
      <c r="JF146" s="627">
        <v>14101</v>
      </c>
      <c r="JG146" s="627">
        <v>0</v>
      </c>
      <c r="JH146" s="627">
        <v>0</v>
      </c>
      <c r="JI146" s="627">
        <v>0</v>
      </c>
      <c r="JJ146" s="627">
        <v>0</v>
      </c>
      <c r="JK146" s="627">
        <v>0</v>
      </c>
      <c r="JL146" s="627">
        <v>0</v>
      </c>
      <c r="JM146" s="627">
        <v>0</v>
      </c>
      <c r="JN146" s="627">
        <v>0</v>
      </c>
      <c r="JO146" s="627">
        <v>32469</v>
      </c>
      <c r="JP146" s="627">
        <v>0</v>
      </c>
      <c r="JQ146" s="627">
        <v>0</v>
      </c>
      <c r="JR146" s="627">
        <v>0</v>
      </c>
      <c r="JS146" s="627">
        <v>0</v>
      </c>
      <c r="JT146" s="627">
        <v>0</v>
      </c>
      <c r="JU146" s="627">
        <v>0</v>
      </c>
      <c r="JV146" s="627">
        <v>6826</v>
      </c>
      <c r="JW146" s="627">
        <v>0</v>
      </c>
      <c r="JX146" s="627">
        <v>0</v>
      </c>
      <c r="JY146" s="627">
        <v>0</v>
      </c>
      <c r="JZ146" s="627">
        <v>0</v>
      </c>
      <c r="KA146" s="627">
        <v>0</v>
      </c>
      <c r="KB146" s="627">
        <v>0</v>
      </c>
      <c r="KC146" s="627">
        <v>0</v>
      </c>
      <c r="KD146" s="627">
        <v>0</v>
      </c>
      <c r="KE146" s="627">
        <v>6899</v>
      </c>
      <c r="KF146" s="627">
        <v>7262</v>
      </c>
      <c r="KG146" s="627">
        <v>0</v>
      </c>
      <c r="KH146" s="627">
        <v>0</v>
      </c>
      <c r="KI146" s="627">
        <v>3405527</v>
      </c>
      <c r="KJ146" s="627">
        <v>0</v>
      </c>
      <c r="KK146" s="627">
        <v>1</v>
      </c>
      <c r="KL146" s="627">
        <v>5</v>
      </c>
      <c r="KM146" s="627">
        <v>616</v>
      </c>
      <c r="KN146" s="627">
        <v>3080</v>
      </c>
      <c r="KO146" s="627">
        <v>0</v>
      </c>
      <c r="KP146" s="627">
        <v>0</v>
      </c>
      <c r="KQ146" s="627">
        <v>3405527</v>
      </c>
      <c r="KR146" s="627">
        <v>0</v>
      </c>
      <c r="KS146" s="627">
        <v>0</v>
      </c>
      <c r="KT146" s="627">
        <v>0</v>
      </c>
      <c r="KU146" s="627">
        <v>0</v>
      </c>
      <c r="KV146" s="627">
        <v>0</v>
      </c>
      <c r="KW146" s="627">
        <v>0</v>
      </c>
      <c r="KX146" s="627">
        <v>0</v>
      </c>
      <c r="KY146" s="627">
        <v>0</v>
      </c>
      <c r="KZ146" s="627">
        <v>0</v>
      </c>
      <c r="LA146" s="627">
        <v>0</v>
      </c>
      <c r="LB146" s="627">
        <v>0</v>
      </c>
      <c r="LC146" s="627">
        <v>0</v>
      </c>
      <c r="LD146" s="627">
        <v>0</v>
      </c>
      <c r="LE146" s="627">
        <v>0</v>
      </c>
      <c r="LF146" s="627">
        <v>0</v>
      </c>
    </row>
    <row r="147" spans="1:318" x14ac:dyDescent="0.25">
      <c r="A147" s="627">
        <v>42602</v>
      </c>
      <c r="B147" s="627">
        <v>101837</v>
      </c>
      <c r="D147" s="627">
        <v>9</v>
      </c>
      <c r="E147" s="627">
        <v>2024</v>
      </c>
      <c r="F147" s="627">
        <v>6160</v>
      </c>
      <c r="G147" s="627">
        <v>0</v>
      </c>
      <c r="H147" s="627">
        <v>312.803</v>
      </c>
      <c r="I147" s="627">
        <v>264.02300000000002</v>
      </c>
      <c r="J147" s="627">
        <v>264.02300000000002</v>
      </c>
      <c r="K147" s="627">
        <v>312.803</v>
      </c>
      <c r="L147" s="627">
        <v>0</v>
      </c>
      <c r="M147" s="627">
        <v>6160</v>
      </c>
      <c r="N147" s="627">
        <v>0</v>
      </c>
      <c r="O147" s="627">
        <v>0</v>
      </c>
      <c r="P147" s="627">
        <v>0</v>
      </c>
      <c r="Q147" s="627">
        <v>304.495</v>
      </c>
      <c r="R147" s="627">
        <v>0</v>
      </c>
      <c r="S147" s="627">
        <v>126330</v>
      </c>
      <c r="T147" s="627">
        <v>414.88400000000001</v>
      </c>
      <c r="U147" s="627">
        <v>0</v>
      </c>
      <c r="V147" s="627">
        <v>65559</v>
      </c>
      <c r="W147" s="627">
        <v>37.677</v>
      </c>
      <c r="X147" s="627">
        <v>23209</v>
      </c>
      <c r="Y147" s="627">
        <v>23209</v>
      </c>
      <c r="Z147" s="627">
        <v>0</v>
      </c>
      <c r="AA147" s="627">
        <v>0</v>
      </c>
      <c r="AB147" s="627">
        <v>0</v>
      </c>
      <c r="AC147" s="627">
        <v>0</v>
      </c>
      <c r="AD147" s="627">
        <v>0</v>
      </c>
      <c r="AE147" s="627" t="s">
        <v>314</v>
      </c>
      <c r="AF147" s="627">
        <v>0</v>
      </c>
      <c r="AG147" s="627">
        <v>0</v>
      </c>
      <c r="AH147" s="627">
        <v>0</v>
      </c>
      <c r="AI147" s="627">
        <v>0</v>
      </c>
      <c r="AJ147" s="627">
        <v>0</v>
      </c>
      <c r="AK147" s="627">
        <v>6160</v>
      </c>
      <c r="AL147" s="627" t="s">
        <v>651</v>
      </c>
      <c r="AM147" s="627" t="s">
        <v>12</v>
      </c>
      <c r="AN147" s="627">
        <v>0</v>
      </c>
      <c r="AO147" s="627">
        <v>0</v>
      </c>
      <c r="AP147" s="627">
        <v>0</v>
      </c>
      <c r="AQ147" s="627">
        <v>0</v>
      </c>
      <c r="AR147" s="627">
        <v>0</v>
      </c>
      <c r="AS147" s="627">
        <v>0</v>
      </c>
      <c r="AT147" s="627">
        <v>0</v>
      </c>
      <c r="AU147" s="627">
        <v>0</v>
      </c>
      <c r="AV147" s="627">
        <v>0</v>
      </c>
      <c r="AW147" s="627">
        <v>-24464</v>
      </c>
      <c r="AX147" s="627">
        <v>3300164</v>
      </c>
      <c r="AY147" s="627">
        <v>3250866</v>
      </c>
      <c r="AZ147" s="627">
        <v>1634284</v>
      </c>
      <c r="BA147" s="627">
        <v>126330</v>
      </c>
      <c r="BB147" s="627">
        <v>4</v>
      </c>
      <c r="BC147" s="627">
        <v>0</v>
      </c>
      <c r="BD147" s="627">
        <v>0</v>
      </c>
      <c r="BE147" s="627">
        <v>0</v>
      </c>
      <c r="BF147" s="627">
        <v>0</v>
      </c>
      <c r="BG147" s="627">
        <v>2861361</v>
      </c>
      <c r="BH147" s="627">
        <v>0</v>
      </c>
      <c r="BI147" s="627">
        <v>0</v>
      </c>
      <c r="BJ147" s="627">
        <v>0</v>
      </c>
      <c r="BK147" s="627">
        <v>12</v>
      </c>
      <c r="BL147" s="627">
        <v>0</v>
      </c>
      <c r="BM147" s="627">
        <v>0</v>
      </c>
      <c r="BN147" s="627">
        <v>0</v>
      </c>
      <c r="BO147" s="627">
        <v>0</v>
      </c>
      <c r="BP147" s="627">
        <v>0</v>
      </c>
      <c r="BQ147" s="627">
        <v>0</v>
      </c>
      <c r="BR147" s="627">
        <v>729</v>
      </c>
      <c r="BS147" s="627">
        <v>0</v>
      </c>
      <c r="BT147" s="627">
        <v>0</v>
      </c>
      <c r="BU147" s="627">
        <v>0</v>
      </c>
      <c r="BV147" s="627">
        <v>0</v>
      </c>
      <c r="BW147" s="627">
        <v>0</v>
      </c>
      <c r="BX147" s="627">
        <v>0</v>
      </c>
      <c r="BY147" s="627">
        <v>0</v>
      </c>
      <c r="BZ147" s="627">
        <v>0</v>
      </c>
      <c r="CA147" s="627">
        <v>0</v>
      </c>
      <c r="CB147" s="627">
        <v>0</v>
      </c>
      <c r="CC147" s="627">
        <v>0</v>
      </c>
      <c r="CD147" s="627">
        <v>0</v>
      </c>
      <c r="CE147" s="627">
        <v>0</v>
      </c>
      <c r="CF147" s="627">
        <v>0</v>
      </c>
      <c r="CG147" s="627">
        <v>0</v>
      </c>
      <c r="CH147" s="627">
        <v>0</v>
      </c>
      <c r="CI147" s="627">
        <v>50026</v>
      </c>
      <c r="CJ147" s="627">
        <v>0</v>
      </c>
      <c r="CK147" s="627">
        <v>4</v>
      </c>
      <c r="CL147" s="627">
        <v>0</v>
      </c>
      <c r="CM147" s="627">
        <v>0</v>
      </c>
      <c r="CN147" s="627">
        <v>0</v>
      </c>
      <c r="CO147" s="627">
        <v>0</v>
      </c>
      <c r="CP147" s="627">
        <v>1</v>
      </c>
      <c r="CQ147" s="627">
        <v>0</v>
      </c>
      <c r="CR147" s="627">
        <v>0</v>
      </c>
      <c r="CS147" s="627">
        <v>304.14</v>
      </c>
      <c r="CT147" s="627">
        <v>0</v>
      </c>
      <c r="CU147" s="627">
        <v>0</v>
      </c>
      <c r="CV147" s="627">
        <v>0</v>
      </c>
      <c r="CW147" s="627">
        <v>0</v>
      </c>
      <c r="CX147" s="627">
        <v>0</v>
      </c>
      <c r="CY147" s="627">
        <v>0</v>
      </c>
      <c r="CZ147" s="627">
        <v>0</v>
      </c>
      <c r="DA147" s="627">
        <v>0</v>
      </c>
      <c r="DB147" s="627">
        <v>0</v>
      </c>
      <c r="DC147" s="627">
        <v>1626382</v>
      </c>
      <c r="DD147" s="627">
        <v>0</v>
      </c>
      <c r="DE147" s="627">
        <v>0</v>
      </c>
      <c r="DF147" s="627">
        <v>198814</v>
      </c>
      <c r="DG147" s="627">
        <v>198814</v>
      </c>
      <c r="DH147" s="627">
        <v>32.274999999999999</v>
      </c>
      <c r="DI147" s="627">
        <v>0</v>
      </c>
      <c r="DJ147" s="627">
        <v>0</v>
      </c>
      <c r="DK147" s="627">
        <v>0</v>
      </c>
      <c r="DL147" s="627">
        <v>3292</v>
      </c>
      <c r="DM147" s="627">
        <v>0</v>
      </c>
      <c r="DN147" s="627">
        <v>213505</v>
      </c>
      <c r="DO147" s="627">
        <v>728</v>
      </c>
      <c r="DP147" s="627">
        <v>0</v>
      </c>
      <c r="DQ147" s="627">
        <v>0</v>
      </c>
      <c r="DR147" s="627">
        <v>0</v>
      </c>
      <c r="DS147" s="627">
        <v>0</v>
      </c>
      <c r="DT147" s="627">
        <v>0</v>
      </c>
      <c r="DU147" s="627">
        <v>0</v>
      </c>
      <c r="DV147" s="627">
        <v>0</v>
      </c>
      <c r="DW147" s="627">
        <v>0</v>
      </c>
      <c r="DX147" s="627">
        <v>0</v>
      </c>
      <c r="DY147" s="627">
        <v>0</v>
      </c>
      <c r="DZ147" s="627">
        <v>0</v>
      </c>
      <c r="EA147" s="627">
        <v>0</v>
      </c>
      <c r="EB147" s="627">
        <v>0</v>
      </c>
      <c r="EC147" s="627">
        <v>0</v>
      </c>
      <c r="ED147" s="627">
        <v>29.733000000000001</v>
      </c>
      <c r="EE147" s="627">
        <v>210629</v>
      </c>
      <c r="EF147" s="627">
        <v>0</v>
      </c>
      <c r="EG147" s="627">
        <v>0</v>
      </c>
      <c r="EH147" s="627">
        <v>0</v>
      </c>
      <c r="EI147" s="627">
        <v>3604</v>
      </c>
      <c r="EJ147" s="627">
        <v>0</v>
      </c>
      <c r="EK147" s="627">
        <v>0</v>
      </c>
      <c r="EL147" s="627">
        <v>0</v>
      </c>
      <c r="EM147" s="627">
        <v>0</v>
      </c>
      <c r="EN147" s="627">
        <v>0</v>
      </c>
      <c r="EO147" s="627">
        <v>0.11700000000000001</v>
      </c>
      <c r="EP147" s="627">
        <v>0</v>
      </c>
      <c r="EQ147" s="627">
        <v>0</v>
      </c>
      <c r="ER147" s="627">
        <v>0.11700000000000001</v>
      </c>
      <c r="ES147" s="627">
        <v>0</v>
      </c>
      <c r="ET147" s="627">
        <v>0.58500000000000008</v>
      </c>
      <c r="EU147" s="627">
        <v>0</v>
      </c>
      <c r="EV147" s="627">
        <v>0</v>
      </c>
      <c r="EW147" s="627">
        <v>0</v>
      </c>
      <c r="EX147" s="627">
        <v>0</v>
      </c>
      <c r="EY147" s="627">
        <v>0</v>
      </c>
      <c r="EZ147" s="627">
        <v>0</v>
      </c>
      <c r="FA147" s="627">
        <v>2767483</v>
      </c>
      <c r="FB147" s="627">
        <v>0</v>
      </c>
      <c r="FC147" s="627">
        <v>2893085</v>
      </c>
      <c r="FD147" s="627">
        <v>0</v>
      </c>
      <c r="FE147" s="627">
        <v>0</v>
      </c>
      <c r="FF147" s="627">
        <v>412025</v>
      </c>
      <c r="FG147" s="627">
        <v>71358</v>
      </c>
      <c r="FH147" s="627">
        <v>7.0280999999999996E-2</v>
      </c>
      <c r="FI147" s="627">
        <v>3.1172999999999999E-2</v>
      </c>
      <c r="FJ147" s="627">
        <v>0</v>
      </c>
      <c r="FK147" s="627">
        <v>0</v>
      </c>
      <c r="FL147" s="627">
        <v>464.50700000000001</v>
      </c>
      <c r="FM147" s="627">
        <v>3426494</v>
      </c>
      <c r="FN147" s="627">
        <v>0</v>
      </c>
      <c r="FO147" s="627">
        <v>0</v>
      </c>
      <c r="FP147" s="627">
        <v>28908</v>
      </c>
      <c r="FQ147" s="627">
        <v>0</v>
      </c>
      <c r="FR147" s="627">
        <v>28908</v>
      </c>
      <c r="FS147" s="627">
        <v>28908</v>
      </c>
      <c r="FT147" s="627">
        <v>0</v>
      </c>
      <c r="FU147" s="627">
        <v>0</v>
      </c>
      <c r="FV147" s="627">
        <v>0</v>
      </c>
      <c r="FW147" s="627">
        <v>0</v>
      </c>
      <c r="FX147" s="627">
        <v>0</v>
      </c>
      <c r="FY147" s="627">
        <v>0</v>
      </c>
      <c r="FZ147" s="627">
        <v>0</v>
      </c>
      <c r="GA147" s="627">
        <v>0</v>
      </c>
      <c r="GB147" s="627">
        <v>0</v>
      </c>
      <c r="GC147" s="627">
        <v>459098</v>
      </c>
      <c r="GD147" s="627">
        <v>459098</v>
      </c>
      <c r="GE147" s="627">
        <v>48.663000000000004</v>
      </c>
      <c r="GF147" s="627">
        <v>0</v>
      </c>
      <c r="GG147" s="627">
        <v>0</v>
      </c>
      <c r="GH147" s="627">
        <v>0</v>
      </c>
      <c r="GI147" s="627">
        <v>0</v>
      </c>
      <c r="GJ147" s="627">
        <v>0</v>
      </c>
      <c r="GK147" s="627">
        <v>0</v>
      </c>
      <c r="GL147" s="627">
        <v>0</v>
      </c>
      <c r="GM147" s="627">
        <v>0</v>
      </c>
      <c r="GN147" s="627">
        <v>0</v>
      </c>
      <c r="GO147" s="627">
        <v>0</v>
      </c>
      <c r="GP147" s="627">
        <v>0</v>
      </c>
      <c r="GQ147" s="627">
        <v>0</v>
      </c>
      <c r="GR147" s="627">
        <v>3250138</v>
      </c>
      <c r="GS147" s="627">
        <v>0</v>
      </c>
      <c r="GT147" s="627">
        <v>0</v>
      </c>
      <c r="GU147" s="627">
        <v>0</v>
      </c>
      <c r="GV147" s="627">
        <v>0</v>
      </c>
      <c r="GW147" s="627">
        <v>0</v>
      </c>
      <c r="GX147" s="627">
        <v>0</v>
      </c>
      <c r="GY147" s="627">
        <v>0</v>
      </c>
      <c r="GZ147" s="627">
        <v>0</v>
      </c>
      <c r="HA147" s="627">
        <v>0</v>
      </c>
      <c r="HB147" s="627">
        <v>0</v>
      </c>
      <c r="HC147" s="627">
        <v>361151439</v>
      </c>
      <c r="HD147" s="627">
        <v>3.9981999999999997E-2</v>
      </c>
      <c r="HE147" s="627">
        <v>50026</v>
      </c>
      <c r="HF147" s="627">
        <v>0</v>
      </c>
      <c r="HG147" s="627">
        <v>290953</v>
      </c>
      <c r="HH147" s="627">
        <v>5544</v>
      </c>
      <c r="HI147" s="627">
        <v>0</v>
      </c>
      <c r="HJ147" s="627">
        <v>0</v>
      </c>
      <c r="HK147" s="627">
        <v>33128</v>
      </c>
      <c r="HL147" s="627">
        <v>2118</v>
      </c>
      <c r="HM147" s="627">
        <v>1426</v>
      </c>
      <c r="HN147" s="627">
        <v>10000</v>
      </c>
      <c r="HO147" s="627">
        <v>0</v>
      </c>
      <c r="HP147" s="627">
        <v>0</v>
      </c>
      <c r="HQ147" s="627">
        <v>0</v>
      </c>
      <c r="HR147" s="627">
        <v>0</v>
      </c>
      <c r="HS147" s="627">
        <v>0</v>
      </c>
      <c r="HT147" s="627">
        <v>2766755</v>
      </c>
      <c r="HU147" s="627">
        <v>71358</v>
      </c>
      <c r="HV147" s="627">
        <v>0</v>
      </c>
      <c r="HW147" s="627">
        <v>0</v>
      </c>
      <c r="HX147" s="627">
        <v>0</v>
      </c>
      <c r="HY147" s="627">
        <v>58</v>
      </c>
      <c r="HZ147" s="627">
        <v>29</v>
      </c>
      <c r="IA147" s="627">
        <v>43</v>
      </c>
      <c r="IB147" s="627">
        <v>5</v>
      </c>
      <c r="IC147" s="627">
        <v>1</v>
      </c>
      <c r="ID147" s="627">
        <v>136</v>
      </c>
      <c r="IE147" s="627">
        <v>0</v>
      </c>
      <c r="IF147" s="627">
        <v>0</v>
      </c>
      <c r="IG147" s="627">
        <v>0</v>
      </c>
      <c r="IH147" s="627">
        <v>9</v>
      </c>
      <c r="II147" s="627">
        <v>0</v>
      </c>
      <c r="IJ147" s="627">
        <v>0</v>
      </c>
      <c r="IK147" s="627">
        <v>37.677</v>
      </c>
      <c r="IL147" s="627">
        <v>0</v>
      </c>
      <c r="IM147" s="627">
        <v>2</v>
      </c>
      <c r="IN147" s="627">
        <v>0</v>
      </c>
      <c r="IO147" s="627">
        <v>0</v>
      </c>
      <c r="IP147" s="627">
        <v>2</v>
      </c>
      <c r="IQ147" s="627">
        <v>0</v>
      </c>
      <c r="IR147" s="627">
        <v>37.677</v>
      </c>
      <c r="IS147" s="627">
        <v>23209</v>
      </c>
      <c r="IT147" s="627">
        <v>0</v>
      </c>
      <c r="IU147" s="627">
        <v>10000</v>
      </c>
      <c r="IV147" s="627">
        <v>0</v>
      </c>
      <c r="IW147" s="627">
        <v>0</v>
      </c>
      <c r="IX147" s="627">
        <v>6160</v>
      </c>
      <c r="IY147" s="627">
        <v>0</v>
      </c>
      <c r="IZ147" s="627">
        <v>0</v>
      </c>
      <c r="JA147" s="627">
        <v>0</v>
      </c>
      <c r="JB147" s="627">
        <v>0</v>
      </c>
      <c r="JC147" s="627">
        <v>0</v>
      </c>
      <c r="JD147" s="627">
        <v>0</v>
      </c>
      <c r="JE147" s="627">
        <v>0</v>
      </c>
      <c r="JF147" s="627">
        <v>0</v>
      </c>
      <c r="JG147" s="627">
        <v>0</v>
      </c>
      <c r="JH147" s="627">
        <v>0</v>
      </c>
      <c r="JI147" s="627">
        <v>0</v>
      </c>
      <c r="JJ147" s="627">
        <v>0</v>
      </c>
      <c r="JK147" s="627">
        <v>0</v>
      </c>
      <c r="JL147" s="627">
        <v>0</v>
      </c>
      <c r="JM147" s="627">
        <v>0</v>
      </c>
      <c r="JN147" s="627">
        <v>0</v>
      </c>
      <c r="JO147" s="627">
        <v>32469</v>
      </c>
      <c r="JP147" s="627">
        <v>9.9380000000000006</v>
      </c>
      <c r="JQ147" s="627">
        <v>24.412000000000003</v>
      </c>
      <c r="JR147" s="627">
        <v>14.313000000000001</v>
      </c>
      <c r="JS147" s="627">
        <v>79387</v>
      </c>
      <c r="JT147" s="627">
        <v>226918</v>
      </c>
      <c r="JU147" s="627">
        <v>152793</v>
      </c>
      <c r="JV147" s="627">
        <v>0</v>
      </c>
      <c r="JW147" s="627">
        <v>0</v>
      </c>
      <c r="JX147" s="627">
        <v>0</v>
      </c>
      <c r="JY147" s="627">
        <v>0</v>
      </c>
      <c r="JZ147" s="627">
        <v>0</v>
      </c>
      <c r="KA147" s="627">
        <v>0</v>
      </c>
      <c r="KB147" s="627">
        <v>0</v>
      </c>
      <c r="KC147" s="627">
        <v>0</v>
      </c>
      <c r="KD147" s="627">
        <v>0</v>
      </c>
      <c r="KE147" s="627">
        <v>0</v>
      </c>
      <c r="KF147" s="627">
        <v>7262</v>
      </c>
      <c r="KG147" s="627">
        <v>0</v>
      </c>
      <c r="KH147" s="627">
        <v>0</v>
      </c>
      <c r="KI147" s="627">
        <v>3250138</v>
      </c>
      <c r="KJ147" s="627">
        <v>0</v>
      </c>
      <c r="KK147" s="627">
        <v>7</v>
      </c>
      <c r="KL147" s="627">
        <v>2</v>
      </c>
      <c r="KM147" s="627">
        <v>4312</v>
      </c>
      <c r="KN147" s="627">
        <v>1232</v>
      </c>
      <c r="KO147" s="627">
        <v>0</v>
      </c>
      <c r="KP147" s="627">
        <v>0</v>
      </c>
      <c r="KQ147" s="627">
        <v>3250138</v>
      </c>
      <c r="KR147" s="627">
        <v>0</v>
      </c>
      <c r="KS147" s="627">
        <v>0</v>
      </c>
      <c r="KT147" s="627">
        <v>0</v>
      </c>
      <c r="KU147" s="627">
        <v>0</v>
      </c>
      <c r="KV147" s="627">
        <v>0</v>
      </c>
      <c r="KW147" s="627">
        <v>0</v>
      </c>
      <c r="KX147" s="627">
        <v>0</v>
      </c>
      <c r="KY147" s="627">
        <v>0</v>
      </c>
      <c r="KZ147" s="627">
        <v>0</v>
      </c>
      <c r="LA147" s="627">
        <v>0</v>
      </c>
      <c r="LB147" s="627">
        <v>0</v>
      </c>
      <c r="LC147" s="627">
        <v>0</v>
      </c>
      <c r="LD147" s="627">
        <v>0</v>
      </c>
      <c r="LE147" s="627">
        <v>0</v>
      </c>
      <c r="LF147" s="627">
        <v>0</v>
      </c>
    </row>
    <row r="148" spans="1:318" x14ac:dyDescent="0.25">
      <c r="A148" s="627">
        <v>42602</v>
      </c>
      <c r="B148" s="627">
        <v>15838</v>
      </c>
      <c r="D148" s="627">
        <v>9</v>
      </c>
      <c r="E148" s="627">
        <v>2024</v>
      </c>
      <c r="F148" s="627">
        <v>6160</v>
      </c>
      <c r="G148" s="627">
        <v>0</v>
      </c>
      <c r="H148" s="627">
        <v>3064.6980000000003</v>
      </c>
      <c r="I148" s="627">
        <v>3005.6170000000002</v>
      </c>
      <c r="J148" s="627">
        <v>3005.6170000000002</v>
      </c>
      <c r="K148" s="627">
        <v>3064.6980000000003</v>
      </c>
      <c r="L148" s="627">
        <v>0</v>
      </c>
      <c r="M148" s="627">
        <v>6160</v>
      </c>
      <c r="N148" s="627">
        <v>0</v>
      </c>
      <c r="O148" s="627">
        <v>0</v>
      </c>
      <c r="P148" s="627">
        <v>0</v>
      </c>
      <c r="Q148" s="627">
        <v>2387.192</v>
      </c>
      <c r="R148" s="627">
        <v>0</v>
      </c>
      <c r="S148" s="627">
        <v>990408</v>
      </c>
      <c r="T148" s="627">
        <v>414.88400000000001</v>
      </c>
      <c r="U148" s="627">
        <v>0</v>
      </c>
      <c r="V148" s="627">
        <v>513981</v>
      </c>
      <c r="W148" s="627">
        <v>487.65700000000004</v>
      </c>
      <c r="X148" s="627">
        <v>300397</v>
      </c>
      <c r="Y148" s="627">
        <v>300397</v>
      </c>
      <c r="Z148" s="627">
        <v>0</v>
      </c>
      <c r="AA148" s="627">
        <v>0</v>
      </c>
      <c r="AB148" s="627">
        <v>0</v>
      </c>
      <c r="AC148" s="627">
        <v>0</v>
      </c>
      <c r="AD148" s="627">
        <v>0</v>
      </c>
      <c r="AE148" s="627" t="s">
        <v>314</v>
      </c>
      <c r="AF148" s="627">
        <v>0</v>
      </c>
      <c r="AG148" s="627">
        <v>0</v>
      </c>
      <c r="AH148" s="627">
        <v>0</v>
      </c>
      <c r="AI148" s="627">
        <v>0</v>
      </c>
      <c r="AJ148" s="627">
        <v>0</v>
      </c>
      <c r="AK148" s="627">
        <v>6160</v>
      </c>
      <c r="AL148" s="627" t="s">
        <v>651</v>
      </c>
      <c r="AM148" s="627" t="s">
        <v>700</v>
      </c>
      <c r="AN148" s="627">
        <v>0</v>
      </c>
      <c r="AO148" s="627">
        <v>0</v>
      </c>
      <c r="AP148" s="627">
        <v>0</v>
      </c>
      <c r="AQ148" s="627">
        <v>0</v>
      </c>
      <c r="AR148" s="627">
        <v>0</v>
      </c>
      <c r="AS148" s="627">
        <v>0</v>
      </c>
      <c r="AT148" s="627">
        <v>0</v>
      </c>
      <c r="AU148" s="627">
        <v>0</v>
      </c>
      <c r="AV148" s="627">
        <v>0</v>
      </c>
      <c r="AW148" s="627">
        <v>0</v>
      </c>
      <c r="AX148" s="627">
        <v>35793318</v>
      </c>
      <c r="AY148" s="627">
        <v>35312684</v>
      </c>
      <c r="AZ148" s="627">
        <v>21246565</v>
      </c>
      <c r="BA148" s="627">
        <v>990408</v>
      </c>
      <c r="BB148" s="627">
        <v>0</v>
      </c>
      <c r="BC148" s="627">
        <v>0</v>
      </c>
      <c r="BD148" s="627">
        <v>0</v>
      </c>
      <c r="BE148" s="627">
        <v>0</v>
      </c>
      <c r="BF148" s="627">
        <v>0</v>
      </c>
      <c r="BG148" s="627">
        <v>29892624</v>
      </c>
      <c r="BH148" s="627">
        <v>0</v>
      </c>
      <c r="BI148" s="627">
        <v>0</v>
      </c>
      <c r="BJ148" s="627">
        <v>0</v>
      </c>
      <c r="BK148" s="627">
        <v>12</v>
      </c>
      <c r="BL148" s="627">
        <v>0</v>
      </c>
      <c r="BM148" s="627">
        <v>0</v>
      </c>
      <c r="BN148" s="627">
        <v>0</v>
      </c>
      <c r="BO148" s="627">
        <v>0</v>
      </c>
      <c r="BP148" s="627">
        <v>0</v>
      </c>
      <c r="BQ148" s="627">
        <v>0</v>
      </c>
      <c r="BR148" s="627">
        <v>307</v>
      </c>
      <c r="BS148" s="627">
        <v>0</v>
      </c>
      <c r="BT148" s="627">
        <v>0</v>
      </c>
      <c r="BU148" s="627">
        <v>0</v>
      </c>
      <c r="BV148" s="627">
        <v>0</v>
      </c>
      <c r="BW148" s="627">
        <v>0</v>
      </c>
      <c r="BX148" s="627">
        <v>0</v>
      </c>
      <c r="BY148" s="627">
        <v>0</v>
      </c>
      <c r="BZ148" s="627">
        <v>0</v>
      </c>
      <c r="CA148" s="627">
        <v>0</v>
      </c>
      <c r="CB148" s="627">
        <v>820.89</v>
      </c>
      <c r="CC148" s="627">
        <v>820890</v>
      </c>
      <c r="CD148" s="627">
        <v>0</v>
      </c>
      <c r="CE148" s="627">
        <v>0</v>
      </c>
      <c r="CF148" s="627">
        <v>0</v>
      </c>
      <c r="CG148" s="627">
        <v>0</v>
      </c>
      <c r="CH148" s="627">
        <v>0</v>
      </c>
      <c r="CI148" s="627">
        <v>490133</v>
      </c>
      <c r="CJ148" s="627">
        <v>0</v>
      </c>
      <c r="CK148" s="627">
        <v>5</v>
      </c>
      <c r="CL148" s="627">
        <v>0</v>
      </c>
      <c r="CM148" s="627">
        <v>0</v>
      </c>
      <c r="CN148" s="627">
        <v>0</v>
      </c>
      <c r="CO148" s="627">
        <v>0</v>
      </c>
      <c r="CP148" s="627">
        <v>1</v>
      </c>
      <c r="CQ148" s="627">
        <v>0</v>
      </c>
      <c r="CR148" s="627">
        <v>0</v>
      </c>
      <c r="CS148" s="627">
        <v>2383.893</v>
      </c>
      <c r="CT148" s="627">
        <v>0</v>
      </c>
      <c r="CU148" s="627">
        <v>0</v>
      </c>
      <c r="CV148" s="627">
        <v>0</v>
      </c>
      <c r="CW148" s="627">
        <v>0</v>
      </c>
      <c r="CX148" s="627">
        <v>0</v>
      </c>
      <c r="CY148" s="627">
        <v>0</v>
      </c>
      <c r="CZ148" s="627">
        <v>0</v>
      </c>
      <c r="DA148" s="627">
        <v>0</v>
      </c>
      <c r="DB148" s="627">
        <v>0</v>
      </c>
      <c r="DC148" s="627">
        <v>18514601</v>
      </c>
      <c r="DD148" s="627">
        <v>0</v>
      </c>
      <c r="DE148" s="627">
        <v>0</v>
      </c>
      <c r="DF148" s="627">
        <v>4137903</v>
      </c>
      <c r="DG148" s="627">
        <v>4137903</v>
      </c>
      <c r="DH148" s="627">
        <v>671.73800000000006</v>
      </c>
      <c r="DI148" s="627">
        <v>0</v>
      </c>
      <c r="DJ148" s="627">
        <v>0</v>
      </c>
      <c r="DK148" s="627">
        <v>0</v>
      </c>
      <c r="DL148" s="627">
        <v>0</v>
      </c>
      <c r="DM148" s="627">
        <v>0</v>
      </c>
      <c r="DN148" s="627">
        <v>2786880</v>
      </c>
      <c r="DO148" s="627">
        <v>9499</v>
      </c>
      <c r="DP148" s="627">
        <v>0</v>
      </c>
      <c r="DQ148" s="627">
        <v>0</v>
      </c>
      <c r="DR148" s="627">
        <v>0</v>
      </c>
      <c r="DS148" s="627">
        <v>0</v>
      </c>
      <c r="DT148" s="627">
        <v>0</v>
      </c>
      <c r="DU148" s="627">
        <v>0</v>
      </c>
      <c r="DV148" s="627">
        <v>0</v>
      </c>
      <c r="DW148" s="627">
        <v>0</v>
      </c>
      <c r="DX148" s="627">
        <v>0</v>
      </c>
      <c r="DY148" s="627">
        <v>0</v>
      </c>
      <c r="DZ148" s="627">
        <v>0</v>
      </c>
      <c r="EA148" s="627">
        <v>0</v>
      </c>
      <c r="EB148" s="627">
        <v>0.13700000000000001</v>
      </c>
      <c r="EC148" s="627">
        <v>0</v>
      </c>
      <c r="ED148" s="627">
        <v>240.50500000000002</v>
      </c>
      <c r="EE148" s="627">
        <v>1703737</v>
      </c>
      <c r="EF148" s="627">
        <v>0</v>
      </c>
      <c r="EG148" s="627">
        <v>0</v>
      </c>
      <c r="EH148" s="627">
        <v>0</v>
      </c>
      <c r="EI148" s="627">
        <v>1092642</v>
      </c>
      <c r="EJ148" s="627">
        <v>0</v>
      </c>
      <c r="EK148" s="627">
        <v>0</v>
      </c>
      <c r="EL148" s="627">
        <v>13.127000000000001</v>
      </c>
      <c r="EM148" s="627">
        <v>7.2000000000000008E-2</v>
      </c>
      <c r="EN148" s="627">
        <v>32.127000000000002</v>
      </c>
      <c r="EO148" s="627">
        <v>8.1859999999999999</v>
      </c>
      <c r="EP148" s="627">
        <v>0</v>
      </c>
      <c r="EQ148" s="627">
        <v>0</v>
      </c>
      <c r="ER148" s="627">
        <v>53.577000000000005</v>
      </c>
      <c r="ES148" s="627">
        <v>0</v>
      </c>
      <c r="ET148" s="627">
        <v>177.37700000000001</v>
      </c>
      <c r="EU148" s="627">
        <v>0</v>
      </c>
      <c r="EV148" s="627">
        <v>0</v>
      </c>
      <c r="EW148" s="627">
        <v>0</v>
      </c>
      <c r="EX148" s="627">
        <v>0</v>
      </c>
      <c r="EY148" s="627">
        <v>0</v>
      </c>
      <c r="EZ148" s="627">
        <v>0</v>
      </c>
      <c r="FA148" s="627">
        <v>30262786</v>
      </c>
      <c r="FB148" s="627">
        <v>0</v>
      </c>
      <c r="FC148" s="627">
        <v>31243695</v>
      </c>
      <c r="FD148" s="627">
        <v>0</v>
      </c>
      <c r="FE148" s="627">
        <v>0</v>
      </c>
      <c r="FF148" s="627">
        <v>4304424</v>
      </c>
      <c r="FG148" s="627">
        <v>745474</v>
      </c>
      <c r="FH148" s="627">
        <v>7.0280999999999996E-2</v>
      </c>
      <c r="FI148" s="627">
        <v>3.1172999999999999E-2</v>
      </c>
      <c r="FJ148" s="627">
        <v>0</v>
      </c>
      <c r="FK148" s="627">
        <v>0</v>
      </c>
      <c r="FL148" s="627">
        <v>4852.6990000000005</v>
      </c>
      <c r="FM148" s="627">
        <v>36783726</v>
      </c>
      <c r="FN148" s="627">
        <v>0</v>
      </c>
      <c r="FO148" s="627">
        <v>0</v>
      </c>
      <c r="FP148" s="627">
        <v>339950</v>
      </c>
      <c r="FQ148" s="627">
        <v>193517</v>
      </c>
      <c r="FR148" s="627">
        <v>533467</v>
      </c>
      <c r="FS148" s="627">
        <v>339950</v>
      </c>
      <c r="FT148" s="627">
        <v>0</v>
      </c>
      <c r="FU148" s="627">
        <v>0</v>
      </c>
      <c r="FV148" s="627">
        <v>0</v>
      </c>
      <c r="FW148" s="627">
        <v>0</v>
      </c>
      <c r="FX148" s="627">
        <v>0</v>
      </c>
      <c r="FY148" s="627">
        <v>0</v>
      </c>
      <c r="FZ148" s="627">
        <v>0</v>
      </c>
      <c r="GA148" s="627">
        <v>0</v>
      </c>
      <c r="GB148" s="627">
        <v>0</v>
      </c>
      <c r="GC148" s="627">
        <v>51162</v>
      </c>
      <c r="GD148" s="627">
        <v>51162</v>
      </c>
      <c r="GE148" s="627">
        <v>5.5040000000000004</v>
      </c>
      <c r="GF148" s="627">
        <v>0</v>
      </c>
      <c r="GG148" s="627">
        <v>0</v>
      </c>
      <c r="GH148" s="627">
        <v>0</v>
      </c>
      <c r="GI148" s="627">
        <v>0</v>
      </c>
      <c r="GJ148" s="627">
        <v>0</v>
      </c>
      <c r="GK148" s="627">
        <v>0</v>
      </c>
      <c r="GL148" s="627">
        <v>0</v>
      </c>
      <c r="GM148" s="627">
        <v>0</v>
      </c>
      <c r="GN148" s="627">
        <v>0</v>
      </c>
      <c r="GO148" s="627">
        <v>0</v>
      </c>
      <c r="GP148" s="627">
        <v>0</v>
      </c>
      <c r="GQ148" s="627">
        <v>0</v>
      </c>
      <c r="GR148" s="627">
        <v>35303185</v>
      </c>
      <c r="GS148" s="627">
        <v>0</v>
      </c>
      <c r="GT148" s="627">
        <v>0</v>
      </c>
      <c r="GU148" s="627">
        <v>0</v>
      </c>
      <c r="GV148" s="627">
        <v>0</v>
      </c>
      <c r="GW148" s="627">
        <v>0</v>
      </c>
      <c r="GX148" s="627">
        <v>0</v>
      </c>
      <c r="GY148" s="627">
        <v>0</v>
      </c>
      <c r="GZ148" s="627">
        <v>0</v>
      </c>
      <c r="HA148" s="627">
        <v>0</v>
      </c>
      <c r="HB148" s="627">
        <v>0</v>
      </c>
      <c r="HC148" s="627">
        <v>361151439</v>
      </c>
      <c r="HD148" s="627">
        <v>3.9981999999999997E-2</v>
      </c>
      <c r="HE148" s="627">
        <v>490133</v>
      </c>
      <c r="HF148" s="627">
        <v>0</v>
      </c>
      <c r="HG148" s="627">
        <v>3312190</v>
      </c>
      <c r="HH148" s="627">
        <v>63448</v>
      </c>
      <c r="HI148" s="627">
        <v>580897</v>
      </c>
      <c r="HJ148" s="627">
        <v>0</v>
      </c>
      <c r="HK148" s="627">
        <v>135647</v>
      </c>
      <c r="HL148" s="627">
        <v>3931</v>
      </c>
      <c r="HM148" s="627">
        <v>2282</v>
      </c>
      <c r="HN148" s="627">
        <v>0</v>
      </c>
      <c r="HO148" s="627">
        <v>0</v>
      </c>
      <c r="HP148" s="627">
        <v>0</v>
      </c>
      <c r="HQ148" s="627">
        <v>0</v>
      </c>
      <c r="HR148" s="627">
        <v>0</v>
      </c>
      <c r="HS148" s="627">
        <v>0</v>
      </c>
      <c r="HT148" s="627">
        <v>30253287</v>
      </c>
      <c r="HU148" s="627">
        <v>745474</v>
      </c>
      <c r="HV148" s="627">
        <v>0</v>
      </c>
      <c r="HW148" s="627">
        <v>0</v>
      </c>
      <c r="HX148" s="627">
        <v>0</v>
      </c>
      <c r="HY148" s="627">
        <v>407</v>
      </c>
      <c r="HZ148" s="627">
        <v>363</v>
      </c>
      <c r="IA148" s="627">
        <v>341</v>
      </c>
      <c r="IB148" s="627">
        <v>414</v>
      </c>
      <c r="IC148" s="627">
        <v>1091</v>
      </c>
      <c r="ID148" s="627">
        <v>2616</v>
      </c>
      <c r="IE148" s="627">
        <v>0</v>
      </c>
      <c r="IF148" s="627">
        <v>0</v>
      </c>
      <c r="IG148" s="627">
        <v>0</v>
      </c>
      <c r="IH148" s="627">
        <v>103</v>
      </c>
      <c r="II148" s="627">
        <v>943.0150000000001</v>
      </c>
      <c r="IJ148" s="627">
        <v>0</v>
      </c>
      <c r="IK148" s="627">
        <v>487.65700000000004</v>
      </c>
      <c r="IL148" s="627">
        <v>0</v>
      </c>
      <c r="IM148" s="627">
        <v>0</v>
      </c>
      <c r="IN148" s="627">
        <v>0</v>
      </c>
      <c r="IO148" s="627">
        <v>0</v>
      </c>
      <c r="IP148" s="627">
        <v>0</v>
      </c>
      <c r="IQ148" s="627">
        <v>0</v>
      </c>
      <c r="IR148" s="627">
        <v>487.65700000000004</v>
      </c>
      <c r="IS148" s="627">
        <v>300397</v>
      </c>
      <c r="IT148" s="627">
        <v>0</v>
      </c>
      <c r="IU148" s="627">
        <v>0</v>
      </c>
      <c r="IV148" s="627">
        <v>0</v>
      </c>
      <c r="IW148" s="627">
        <v>0</v>
      </c>
      <c r="IX148" s="627">
        <v>6160</v>
      </c>
      <c r="IY148" s="627">
        <v>0</v>
      </c>
      <c r="IZ148" s="627">
        <v>0</v>
      </c>
      <c r="JA148" s="627">
        <v>0</v>
      </c>
      <c r="JB148" s="627">
        <v>0</v>
      </c>
      <c r="JC148" s="627">
        <v>0</v>
      </c>
      <c r="JD148" s="627">
        <v>0</v>
      </c>
      <c r="JE148" s="627">
        <v>0</v>
      </c>
      <c r="JF148" s="627">
        <v>0</v>
      </c>
      <c r="JG148" s="627">
        <v>0</v>
      </c>
      <c r="JH148" s="627">
        <v>0</v>
      </c>
      <c r="JI148" s="627">
        <v>0</v>
      </c>
      <c r="JJ148" s="627">
        <v>0</v>
      </c>
      <c r="JK148" s="627">
        <v>0</v>
      </c>
      <c r="JL148" s="627">
        <v>0</v>
      </c>
      <c r="JM148" s="627">
        <v>0</v>
      </c>
      <c r="JN148" s="627">
        <v>0</v>
      </c>
      <c r="JO148" s="627">
        <v>32469</v>
      </c>
      <c r="JP148" s="627">
        <v>0</v>
      </c>
      <c r="JQ148" s="627">
        <v>5.5040000000000004</v>
      </c>
      <c r="JR148" s="627">
        <v>0</v>
      </c>
      <c r="JS148" s="627">
        <v>0</v>
      </c>
      <c r="JT148" s="627">
        <v>51162</v>
      </c>
      <c r="JU148" s="627">
        <v>0</v>
      </c>
      <c r="JV148" s="627">
        <v>0</v>
      </c>
      <c r="JW148" s="627">
        <v>0</v>
      </c>
      <c r="JX148" s="627">
        <v>0</v>
      </c>
      <c r="JY148" s="627">
        <v>0</v>
      </c>
      <c r="JZ148" s="627">
        <v>0</v>
      </c>
      <c r="KA148" s="627">
        <v>0</v>
      </c>
      <c r="KB148" s="627">
        <v>0</v>
      </c>
      <c r="KC148" s="627">
        <v>0</v>
      </c>
      <c r="KD148" s="627">
        <v>0</v>
      </c>
      <c r="KE148" s="627">
        <v>0</v>
      </c>
      <c r="KF148" s="627">
        <v>7262</v>
      </c>
      <c r="KG148" s="627">
        <v>0</v>
      </c>
      <c r="KH148" s="627">
        <v>0</v>
      </c>
      <c r="KI148" s="627">
        <v>35303185</v>
      </c>
      <c r="KJ148" s="627">
        <v>0</v>
      </c>
      <c r="KK148" s="627">
        <v>23</v>
      </c>
      <c r="KL148" s="627">
        <v>80</v>
      </c>
      <c r="KM148" s="627">
        <v>14168</v>
      </c>
      <c r="KN148" s="627">
        <v>49280</v>
      </c>
      <c r="KO148" s="627">
        <v>0</v>
      </c>
      <c r="KP148" s="627">
        <v>0</v>
      </c>
      <c r="KQ148" s="627">
        <v>35303185</v>
      </c>
      <c r="KR148" s="627">
        <v>0</v>
      </c>
      <c r="KS148" s="627">
        <v>0</v>
      </c>
      <c r="KT148" s="627">
        <v>0</v>
      </c>
      <c r="KU148" s="627">
        <v>0</v>
      </c>
      <c r="KV148" s="627">
        <v>0</v>
      </c>
      <c r="KW148" s="627">
        <v>0</v>
      </c>
      <c r="KX148" s="627">
        <v>0</v>
      </c>
      <c r="KY148" s="627">
        <v>0</v>
      </c>
      <c r="KZ148" s="627">
        <v>0</v>
      </c>
      <c r="LA148" s="627">
        <v>0</v>
      </c>
      <c r="LB148" s="627">
        <v>0</v>
      </c>
      <c r="LC148" s="627">
        <v>0</v>
      </c>
      <c r="LD148" s="627">
        <v>0</v>
      </c>
      <c r="LE148" s="627">
        <v>0</v>
      </c>
      <c r="LF148" s="627">
        <v>0</v>
      </c>
    </row>
    <row r="149" spans="1:318" x14ac:dyDescent="0.25">
      <c r="A149" s="627">
        <v>42602</v>
      </c>
      <c r="B149" s="627">
        <v>101838</v>
      </c>
      <c r="D149" s="627">
        <v>9</v>
      </c>
      <c r="E149" s="627">
        <v>2024</v>
      </c>
      <c r="F149" s="627">
        <v>6160</v>
      </c>
      <c r="G149" s="627">
        <v>0</v>
      </c>
      <c r="H149" s="627">
        <v>1512.4730000000002</v>
      </c>
      <c r="I149" s="627">
        <v>1424.932</v>
      </c>
      <c r="J149" s="627">
        <v>1424.932</v>
      </c>
      <c r="K149" s="627">
        <v>1512.4730000000002</v>
      </c>
      <c r="L149" s="627">
        <v>0</v>
      </c>
      <c r="M149" s="627">
        <v>6160</v>
      </c>
      <c r="N149" s="627">
        <v>0</v>
      </c>
      <c r="O149" s="627">
        <v>0</v>
      </c>
      <c r="P149" s="627">
        <v>0</v>
      </c>
      <c r="Q149" s="627">
        <v>1486.3420000000001</v>
      </c>
      <c r="R149" s="627">
        <v>0</v>
      </c>
      <c r="S149" s="627">
        <v>616660</v>
      </c>
      <c r="T149" s="627">
        <v>414.88400000000001</v>
      </c>
      <c r="U149" s="627">
        <v>0</v>
      </c>
      <c r="V149" s="627">
        <v>320022</v>
      </c>
      <c r="W149" s="627">
        <v>1165.8520000000001</v>
      </c>
      <c r="X149" s="627">
        <v>718165</v>
      </c>
      <c r="Y149" s="627">
        <v>718165</v>
      </c>
      <c r="Z149" s="627">
        <v>0</v>
      </c>
      <c r="AA149" s="627">
        <v>0</v>
      </c>
      <c r="AB149" s="627">
        <v>0</v>
      </c>
      <c r="AC149" s="627">
        <v>0</v>
      </c>
      <c r="AD149" s="627">
        <v>0</v>
      </c>
      <c r="AE149" s="627" t="s">
        <v>314</v>
      </c>
      <c r="AF149" s="627">
        <v>0</v>
      </c>
      <c r="AG149" s="627">
        <v>0</v>
      </c>
      <c r="AH149" s="627">
        <v>0</v>
      </c>
      <c r="AI149" s="627">
        <v>0</v>
      </c>
      <c r="AJ149" s="627">
        <v>0</v>
      </c>
      <c r="AK149" s="627">
        <v>6160</v>
      </c>
      <c r="AL149" s="627" t="s">
        <v>651</v>
      </c>
      <c r="AM149" s="627" t="s">
        <v>1059</v>
      </c>
      <c r="AN149" s="627">
        <v>0</v>
      </c>
      <c r="AO149" s="627">
        <v>0</v>
      </c>
      <c r="AP149" s="627">
        <v>0</v>
      </c>
      <c r="AQ149" s="627">
        <v>0</v>
      </c>
      <c r="AR149" s="627">
        <v>0</v>
      </c>
      <c r="AS149" s="627">
        <v>0</v>
      </c>
      <c r="AT149" s="627">
        <v>0</v>
      </c>
      <c r="AU149" s="627">
        <v>0</v>
      </c>
      <c r="AV149" s="627">
        <v>0</v>
      </c>
      <c r="AW149" s="627">
        <v>-1815</v>
      </c>
      <c r="AX149" s="627">
        <v>18553485</v>
      </c>
      <c r="AY149" s="627">
        <v>18317036</v>
      </c>
      <c r="AZ149" s="627">
        <v>9209046</v>
      </c>
      <c r="BA149" s="627">
        <v>616660</v>
      </c>
      <c r="BB149" s="627">
        <v>0</v>
      </c>
      <c r="BC149" s="627">
        <v>31954</v>
      </c>
      <c r="BD149" s="627">
        <v>31751</v>
      </c>
      <c r="BE149" s="627">
        <v>75</v>
      </c>
      <c r="BF149" s="627">
        <v>204</v>
      </c>
      <c r="BG149" s="627">
        <v>16079826</v>
      </c>
      <c r="BH149" s="627">
        <v>0</v>
      </c>
      <c r="BI149" s="627">
        <v>0</v>
      </c>
      <c r="BJ149" s="627">
        <v>0</v>
      </c>
      <c r="BK149" s="627">
        <v>12</v>
      </c>
      <c r="BL149" s="627">
        <v>0</v>
      </c>
      <c r="BM149" s="627">
        <v>0</v>
      </c>
      <c r="BN149" s="627">
        <v>0</v>
      </c>
      <c r="BO149" s="627">
        <v>0</v>
      </c>
      <c r="BP149" s="627">
        <v>0</v>
      </c>
      <c r="BQ149" s="627">
        <v>0</v>
      </c>
      <c r="BR149" s="627">
        <v>551</v>
      </c>
      <c r="BS149" s="627">
        <v>0</v>
      </c>
      <c r="BT149" s="627">
        <v>0</v>
      </c>
      <c r="BU149" s="627">
        <v>0</v>
      </c>
      <c r="BV149" s="627">
        <v>0</v>
      </c>
      <c r="BW149" s="627">
        <v>0</v>
      </c>
      <c r="BX149" s="627">
        <v>0</v>
      </c>
      <c r="BY149" s="627">
        <v>0</v>
      </c>
      <c r="BZ149" s="627">
        <v>0</v>
      </c>
      <c r="CA149" s="627">
        <v>0</v>
      </c>
      <c r="CB149" s="627">
        <v>0</v>
      </c>
      <c r="CC149" s="627">
        <v>0</v>
      </c>
      <c r="CD149" s="627">
        <v>0</v>
      </c>
      <c r="CE149" s="627">
        <v>0</v>
      </c>
      <c r="CF149" s="627">
        <v>0</v>
      </c>
      <c r="CG149" s="627">
        <v>0</v>
      </c>
      <c r="CH149" s="627">
        <v>0</v>
      </c>
      <c r="CI149" s="627">
        <v>241888</v>
      </c>
      <c r="CJ149" s="627">
        <v>0</v>
      </c>
      <c r="CK149" s="627">
        <v>4</v>
      </c>
      <c r="CL149" s="627">
        <v>0</v>
      </c>
      <c r="CM149" s="627">
        <v>0</v>
      </c>
      <c r="CN149" s="627">
        <v>0</v>
      </c>
      <c r="CO149" s="627">
        <v>0</v>
      </c>
      <c r="CP149" s="627">
        <v>1</v>
      </c>
      <c r="CQ149" s="627">
        <v>0</v>
      </c>
      <c r="CR149" s="627">
        <v>0</v>
      </c>
      <c r="CS149" s="627">
        <v>1483.52</v>
      </c>
      <c r="CT149" s="627">
        <v>0</v>
      </c>
      <c r="CU149" s="627">
        <v>0</v>
      </c>
      <c r="CV149" s="627">
        <v>0</v>
      </c>
      <c r="CW149" s="627">
        <v>0</v>
      </c>
      <c r="CX149" s="627">
        <v>0</v>
      </c>
      <c r="CY149" s="627">
        <v>0</v>
      </c>
      <c r="CZ149" s="627">
        <v>0</v>
      </c>
      <c r="DA149" s="627">
        <v>0</v>
      </c>
      <c r="DB149" s="627">
        <v>0</v>
      </c>
      <c r="DC149" s="627">
        <v>8518051</v>
      </c>
      <c r="DD149" s="627">
        <v>0</v>
      </c>
      <c r="DE149" s="627">
        <v>0</v>
      </c>
      <c r="DF149" s="627">
        <v>2495801</v>
      </c>
      <c r="DG149" s="627">
        <v>2497033</v>
      </c>
      <c r="DH149" s="627">
        <v>405.16300000000001</v>
      </c>
      <c r="DI149" s="627">
        <v>0</v>
      </c>
      <c r="DJ149" s="627">
        <v>0</v>
      </c>
      <c r="DK149" s="627">
        <v>0</v>
      </c>
      <c r="DL149" s="627">
        <v>431</v>
      </c>
      <c r="DM149" s="627">
        <v>0</v>
      </c>
      <c r="DN149" s="627">
        <v>1795528</v>
      </c>
      <c r="DO149" s="627">
        <v>5235</v>
      </c>
      <c r="DP149" s="627">
        <v>0</v>
      </c>
      <c r="DQ149" s="627">
        <v>0</v>
      </c>
      <c r="DR149" s="627">
        <v>0</v>
      </c>
      <c r="DS149" s="627">
        <v>0</v>
      </c>
      <c r="DT149" s="627">
        <v>0</v>
      </c>
      <c r="DU149" s="627">
        <v>0</v>
      </c>
      <c r="DV149" s="627">
        <v>0</v>
      </c>
      <c r="DW149" s="627">
        <v>0</v>
      </c>
      <c r="DX149" s="627">
        <v>0</v>
      </c>
      <c r="DY149" s="627">
        <v>0</v>
      </c>
      <c r="DZ149" s="627">
        <v>0</v>
      </c>
      <c r="EA149" s="627">
        <v>0</v>
      </c>
      <c r="EB149" s="627">
        <v>0</v>
      </c>
      <c r="EC149" s="627">
        <v>0</v>
      </c>
      <c r="ED149" s="627">
        <v>34.928000000000004</v>
      </c>
      <c r="EE149" s="627">
        <v>247430</v>
      </c>
      <c r="EF149" s="627">
        <v>0</v>
      </c>
      <c r="EG149" s="627">
        <v>0</v>
      </c>
      <c r="EH149" s="627">
        <v>0</v>
      </c>
      <c r="EI149" s="627">
        <v>856369</v>
      </c>
      <c r="EJ149" s="627">
        <v>437434</v>
      </c>
      <c r="EK149" s="627">
        <v>17.753</v>
      </c>
      <c r="EL149" s="627">
        <v>42.539000000000001</v>
      </c>
      <c r="EM149" s="627">
        <v>0</v>
      </c>
      <c r="EN149" s="627">
        <v>0.46800000000000003</v>
      </c>
      <c r="EO149" s="627">
        <v>2</v>
      </c>
      <c r="EP149" s="627">
        <v>0</v>
      </c>
      <c r="EQ149" s="627">
        <v>0</v>
      </c>
      <c r="ER149" s="627">
        <v>62.76</v>
      </c>
      <c r="ES149" s="627">
        <v>0</v>
      </c>
      <c r="ET149" s="627">
        <v>139.02100000000002</v>
      </c>
      <c r="EU149" s="627">
        <v>0</v>
      </c>
      <c r="EV149" s="627">
        <v>0</v>
      </c>
      <c r="EW149" s="627">
        <v>0</v>
      </c>
      <c r="EX149" s="627">
        <v>0</v>
      </c>
      <c r="EY149" s="627">
        <v>0</v>
      </c>
      <c r="EZ149" s="627">
        <v>0</v>
      </c>
      <c r="FA149" s="627">
        <v>15600598</v>
      </c>
      <c r="FB149" s="627">
        <v>0</v>
      </c>
      <c r="FC149" s="627">
        <v>16211819</v>
      </c>
      <c r="FD149" s="627">
        <v>0</v>
      </c>
      <c r="FE149" s="627">
        <v>0</v>
      </c>
      <c r="FF149" s="627">
        <v>2315433</v>
      </c>
      <c r="FG149" s="627">
        <v>401005</v>
      </c>
      <c r="FH149" s="627">
        <v>7.0280999999999996E-2</v>
      </c>
      <c r="FI149" s="627">
        <v>3.1172999999999999E-2</v>
      </c>
      <c r="FJ149" s="627">
        <v>0</v>
      </c>
      <c r="FK149" s="627">
        <v>0</v>
      </c>
      <c r="FL149" s="627">
        <v>2610.3610000000003</v>
      </c>
      <c r="FM149" s="627">
        <v>19170145</v>
      </c>
      <c r="FN149" s="627">
        <v>0</v>
      </c>
      <c r="FO149" s="627">
        <v>0</v>
      </c>
      <c r="FP149" s="627">
        <v>61608</v>
      </c>
      <c r="FQ149" s="627">
        <v>0</v>
      </c>
      <c r="FR149" s="627">
        <v>61608</v>
      </c>
      <c r="FS149" s="627">
        <v>61608</v>
      </c>
      <c r="FT149" s="627">
        <v>0</v>
      </c>
      <c r="FU149" s="627">
        <v>0</v>
      </c>
      <c r="FV149" s="627">
        <v>0</v>
      </c>
      <c r="FW149" s="627">
        <v>0</v>
      </c>
      <c r="FX149" s="627">
        <v>0</v>
      </c>
      <c r="FY149" s="627">
        <v>0</v>
      </c>
      <c r="FZ149" s="627">
        <v>0</v>
      </c>
      <c r="GA149" s="627">
        <v>0</v>
      </c>
      <c r="GB149" s="627">
        <v>0</v>
      </c>
      <c r="GC149" s="627">
        <v>235375</v>
      </c>
      <c r="GD149" s="627">
        <v>235375</v>
      </c>
      <c r="GE149" s="627">
        <v>24.781000000000002</v>
      </c>
      <c r="GF149" s="627">
        <v>0</v>
      </c>
      <c r="GG149" s="627">
        <v>0</v>
      </c>
      <c r="GH149" s="627">
        <v>0</v>
      </c>
      <c r="GI149" s="627">
        <v>0</v>
      </c>
      <c r="GJ149" s="627">
        <v>0</v>
      </c>
      <c r="GK149" s="627">
        <v>0</v>
      </c>
      <c r="GL149" s="627">
        <v>0</v>
      </c>
      <c r="GM149" s="627">
        <v>0</v>
      </c>
      <c r="GN149" s="627">
        <v>0</v>
      </c>
      <c r="GO149" s="627">
        <v>0</v>
      </c>
      <c r="GP149" s="627">
        <v>0</v>
      </c>
      <c r="GQ149" s="627">
        <v>0</v>
      </c>
      <c r="GR149" s="627">
        <v>18311597</v>
      </c>
      <c r="GS149" s="627">
        <v>0</v>
      </c>
      <c r="GT149" s="627">
        <v>0</v>
      </c>
      <c r="GU149" s="627">
        <v>0</v>
      </c>
      <c r="GV149" s="627">
        <v>0</v>
      </c>
      <c r="GW149" s="627">
        <v>0</v>
      </c>
      <c r="GX149" s="627">
        <v>0</v>
      </c>
      <c r="GY149" s="627">
        <v>0</v>
      </c>
      <c r="GZ149" s="627">
        <v>0</v>
      </c>
      <c r="HA149" s="627">
        <v>0</v>
      </c>
      <c r="HB149" s="627">
        <v>0</v>
      </c>
      <c r="HC149" s="627">
        <v>361151439</v>
      </c>
      <c r="HD149" s="627">
        <v>3.9981999999999997E-2</v>
      </c>
      <c r="HE149" s="627">
        <v>241888</v>
      </c>
      <c r="HF149" s="627">
        <v>0</v>
      </c>
      <c r="HG149" s="627">
        <v>1570275</v>
      </c>
      <c r="HH149" s="627">
        <v>2464</v>
      </c>
      <c r="HI149" s="627">
        <v>551121</v>
      </c>
      <c r="HJ149" s="627">
        <v>0</v>
      </c>
      <c r="HK149" s="627">
        <v>90125</v>
      </c>
      <c r="HL149" s="627">
        <v>5245</v>
      </c>
      <c r="HM149" s="627">
        <v>4204</v>
      </c>
      <c r="HN149" s="627">
        <v>2000</v>
      </c>
      <c r="HO149" s="627">
        <v>0</v>
      </c>
      <c r="HP149" s="627">
        <v>62500</v>
      </c>
      <c r="HQ149" s="627">
        <v>46526</v>
      </c>
      <c r="HR149" s="627">
        <v>0</v>
      </c>
      <c r="HS149" s="627">
        <v>0</v>
      </c>
      <c r="HT149" s="627">
        <v>15595159</v>
      </c>
      <c r="HU149" s="627">
        <v>401005</v>
      </c>
      <c r="HV149" s="627">
        <v>0</v>
      </c>
      <c r="HW149" s="627">
        <v>0</v>
      </c>
      <c r="HX149" s="627">
        <v>0</v>
      </c>
      <c r="HY149" s="627">
        <v>77</v>
      </c>
      <c r="HZ149" s="627">
        <v>74</v>
      </c>
      <c r="IA149" s="627">
        <v>89</v>
      </c>
      <c r="IB149" s="627">
        <v>209</v>
      </c>
      <c r="IC149" s="627">
        <v>1066</v>
      </c>
      <c r="ID149" s="627">
        <v>1515</v>
      </c>
      <c r="IE149" s="627">
        <v>1</v>
      </c>
      <c r="IF149" s="627">
        <v>0</v>
      </c>
      <c r="IG149" s="627">
        <v>0</v>
      </c>
      <c r="IH149" s="627">
        <v>4</v>
      </c>
      <c r="II149" s="627">
        <v>894.67700000000002</v>
      </c>
      <c r="IJ149" s="627">
        <v>169.184</v>
      </c>
      <c r="IK149" s="627">
        <v>1165.8520000000001</v>
      </c>
      <c r="IL149" s="627">
        <v>72.177000000000007</v>
      </c>
      <c r="IM149" s="627">
        <v>0</v>
      </c>
      <c r="IN149" s="627">
        <v>0</v>
      </c>
      <c r="IO149" s="627">
        <v>1</v>
      </c>
      <c r="IP149" s="627">
        <v>1</v>
      </c>
      <c r="IQ149" s="627">
        <v>241.36100000000002</v>
      </c>
      <c r="IR149" s="627">
        <v>1165.8520000000001</v>
      </c>
      <c r="IS149" s="627">
        <v>718165</v>
      </c>
      <c r="IT149" s="627">
        <v>19849</v>
      </c>
      <c r="IU149" s="627">
        <v>0</v>
      </c>
      <c r="IV149" s="627">
        <v>0</v>
      </c>
      <c r="IW149" s="627">
        <v>2000</v>
      </c>
      <c r="IX149" s="627">
        <v>6160</v>
      </c>
      <c r="IY149" s="627">
        <v>0</v>
      </c>
      <c r="IZ149" s="627">
        <v>0</v>
      </c>
      <c r="JA149" s="627">
        <v>66374</v>
      </c>
      <c r="JB149" s="627">
        <v>1232</v>
      </c>
      <c r="JC149" s="627">
        <v>0</v>
      </c>
      <c r="JD149" s="627">
        <v>0</v>
      </c>
      <c r="JE149" s="627">
        <v>0</v>
      </c>
      <c r="JF149" s="627">
        <v>0</v>
      </c>
      <c r="JG149" s="627">
        <v>0</v>
      </c>
      <c r="JH149" s="627">
        <v>0</v>
      </c>
      <c r="JI149" s="627">
        <v>0</v>
      </c>
      <c r="JJ149" s="627">
        <v>0</v>
      </c>
      <c r="JK149" s="627">
        <v>0</v>
      </c>
      <c r="JL149" s="627">
        <v>0</v>
      </c>
      <c r="JM149" s="627">
        <v>0</v>
      </c>
      <c r="JN149" s="627">
        <v>0</v>
      </c>
      <c r="JO149" s="627">
        <v>32469</v>
      </c>
      <c r="JP149" s="627">
        <v>0.11700000000000001</v>
      </c>
      <c r="JQ149" s="627">
        <v>20.91</v>
      </c>
      <c r="JR149" s="627">
        <v>3.754</v>
      </c>
      <c r="JS149" s="627">
        <v>935</v>
      </c>
      <c r="JT149" s="627">
        <v>194366</v>
      </c>
      <c r="JU149" s="627">
        <v>40074</v>
      </c>
      <c r="JV149" s="627">
        <v>32340</v>
      </c>
      <c r="JW149" s="627">
        <v>0</v>
      </c>
      <c r="JX149" s="627">
        <v>0</v>
      </c>
      <c r="JY149" s="627">
        <v>0</v>
      </c>
      <c r="JZ149" s="627">
        <v>0</v>
      </c>
      <c r="KA149" s="627">
        <v>0</v>
      </c>
      <c r="KB149" s="627">
        <v>0</v>
      </c>
      <c r="KC149" s="627">
        <v>0</v>
      </c>
      <c r="KD149" s="627">
        <v>0</v>
      </c>
      <c r="KE149" s="627">
        <v>32340</v>
      </c>
      <c r="KF149" s="627">
        <v>7262</v>
      </c>
      <c r="KG149" s="627">
        <v>0</v>
      </c>
      <c r="KH149" s="627">
        <v>0</v>
      </c>
      <c r="KI149" s="627">
        <v>18311597</v>
      </c>
      <c r="KJ149" s="627">
        <v>0</v>
      </c>
      <c r="KK149" s="627">
        <v>3</v>
      </c>
      <c r="KL149" s="627">
        <v>1</v>
      </c>
      <c r="KM149" s="627">
        <v>1848</v>
      </c>
      <c r="KN149" s="627">
        <v>616</v>
      </c>
      <c r="KO149" s="627">
        <v>0</v>
      </c>
      <c r="KP149" s="627">
        <v>0</v>
      </c>
      <c r="KQ149" s="627">
        <v>18311597</v>
      </c>
      <c r="KR149" s="627">
        <v>0</v>
      </c>
      <c r="KS149" s="627">
        <v>0</v>
      </c>
      <c r="KT149" s="627">
        <v>0</v>
      </c>
      <c r="KU149" s="627">
        <v>0</v>
      </c>
      <c r="KV149" s="627">
        <v>0</v>
      </c>
      <c r="KW149" s="627">
        <v>0</v>
      </c>
      <c r="KX149" s="627">
        <v>0</v>
      </c>
      <c r="KY149" s="627">
        <v>0</v>
      </c>
      <c r="KZ149" s="627">
        <v>0</v>
      </c>
      <c r="LA149" s="627">
        <v>0</v>
      </c>
      <c r="LB149" s="627">
        <v>0</v>
      </c>
      <c r="LC149" s="627">
        <v>0</v>
      </c>
      <c r="LD149" s="627">
        <v>0</v>
      </c>
      <c r="LE149" s="627">
        <v>0</v>
      </c>
      <c r="LF149" s="627">
        <v>0</v>
      </c>
    </row>
    <row r="150" spans="1:318" x14ac:dyDescent="0.25">
      <c r="A150" s="627">
        <v>42602</v>
      </c>
      <c r="B150" s="627">
        <v>15839</v>
      </c>
      <c r="D150" s="627">
        <v>9</v>
      </c>
      <c r="E150" s="627">
        <v>2024</v>
      </c>
      <c r="F150" s="627">
        <v>6160</v>
      </c>
      <c r="G150" s="627">
        <v>0</v>
      </c>
      <c r="H150" s="627">
        <v>371.048</v>
      </c>
      <c r="I150" s="627">
        <v>337.22399999999999</v>
      </c>
      <c r="J150" s="627">
        <v>337.22399999999999</v>
      </c>
      <c r="K150" s="627">
        <v>371.048</v>
      </c>
      <c r="L150" s="627">
        <v>0</v>
      </c>
      <c r="M150" s="627">
        <v>6160</v>
      </c>
      <c r="N150" s="627">
        <v>0</v>
      </c>
      <c r="O150" s="627">
        <v>0</v>
      </c>
      <c r="P150" s="627">
        <v>0</v>
      </c>
      <c r="Q150" s="627">
        <v>284.62</v>
      </c>
      <c r="R150" s="627">
        <v>0</v>
      </c>
      <c r="S150" s="627">
        <v>118084</v>
      </c>
      <c r="T150" s="627">
        <v>414.88400000000001</v>
      </c>
      <c r="U150" s="627">
        <v>0</v>
      </c>
      <c r="V150" s="627">
        <v>61282</v>
      </c>
      <c r="W150" s="627">
        <v>17.585000000000001</v>
      </c>
      <c r="X150" s="627">
        <v>10832</v>
      </c>
      <c r="Y150" s="627">
        <v>10832</v>
      </c>
      <c r="Z150" s="627">
        <v>0</v>
      </c>
      <c r="AA150" s="627">
        <v>0</v>
      </c>
      <c r="AB150" s="627">
        <v>0</v>
      </c>
      <c r="AC150" s="627">
        <v>0</v>
      </c>
      <c r="AD150" s="627">
        <v>0</v>
      </c>
      <c r="AE150" s="627" t="s">
        <v>314</v>
      </c>
      <c r="AF150" s="627">
        <v>0</v>
      </c>
      <c r="AG150" s="627">
        <v>0</v>
      </c>
      <c r="AH150" s="627">
        <v>0</v>
      </c>
      <c r="AI150" s="627">
        <v>0</v>
      </c>
      <c r="AJ150" s="627">
        <v>0</v>
      </c>
      <c r="AK150" s="627">
        <v>6160</v>
      </c>
      <c r="AL150" s="627" t="s">
        <v>651</v>
      </c>
      <c r="AM150" s="627" t="s">
        <v>455</v>
      </c>
      <c r="AN150" s="627">
        <v>0</v>
      </c>
      <c r="AO150" s="627">
        <v>0</v>
      </c>
      <c r="AP150" s="627">
        <v>0</v>
      </c>
      <c r="AQ150" s="627">
        <v>0</v>
      </c>
      <c r="AR150" s="627">
        <v>0</v>
      </c>
      <c r="AS150" s="627">
        <v>0</v>
      </c>
      <c r="AT150" s="627">
        <v>0</v>
      </c>
      <c r="AU150" s="627">
        <v>0</v>
      </c>
      <c r="AV150" s="627">
        <v>0</v>
      </c>
      <c r="AW150" s="627">
        <v>1</v>
      </c>
      <c r="AX150" s="627">
        <v>4627695</v>
      </c>
      <c r="AY150" s="627">
        <v>4630113</v>
      </c>
      <c r="AZ150" s="627">
        <v>2361393</v>
      </c>
      <c r="BA150" s="627">
        <v>118084</v>
      </c>
      <c r="BB150" s="627">
        <v>0</v>
      </c>
      <c r="BC150" s="627">
        <v>3835</v>
      </c>
      <c r="BD150" s="627">
        <v>3810</v>
      </c>
      <c r="BE150" s="627">
        <v>9</v>
      </c>
      <c r="BF150" s="627">
        <v>24</v>
      </c>
      <c r="BG150" s="627">
        <v>4037045</v>
      </c>
      <c r="BH150" s="627">
        <v>0</v>
      </c>
      <c r="BI150" s="627">
        <v>0</v>
      </c>
      <c r="BJ150" s="627">
        <v>0</v>
      </c>
      <c r="BK150" s="627">
        <v>12</v>
      </c>
      <c r="BL150" s="627">
        <v>0</v>
      </c>
      <c r="BM150" s="627">
        <v>0</v>
      </c>
      <c r="BN150" s="627">
        <v>0</v>
      </c>
      <c r="BO150" s="627">
        <v>0</v>
      </c>
      <c r="BP150" s="627">
        <v>0</v>
      </c>
      <c r="BQ150" s="627">
        <v>0</v>
      </c>
      <c r="BR150" s="627">
        <v>718</v>
      </c>
      <c r="BS150" s="627">
        <v>0</v>
      </c>
      <c r="BT150" s="627">
        <v>0</v>
      </c>
      <c r="BU150" s="627">
        <v>0</v>
      </c>
      <c r="BV150" s="627">
        <v>0</v>
      </c>
      <c r="BW150" s="627">
        <v>0</v>
      </c>
      <c r="BX150" s="627">
        <v>0</v>
      </c>
      <c r="BY150" s="627">
        <v>0</v>
      </c>
      <c r="BZ150" s="627">
        <v>0</v>
      </c>
      <c r="CA150" s="627">
        <v>0</v>
      </c>
      <c r="CB150" s="627">
        <v>0</v>
      </c>
      <c r="CC150" s="627">
        <v>0</v>
      </c>
      <c r="CD150" s="627">
        <v>0</v>
      </c>
      <c r="CE150" s="627">
        <v>0</v>
      </c>
      <c r="CF150" s="627">
        <v>0</v>
      </c>
      <c r="CG150" s="627">
        <v>0</v>
      </c>
      <c r="CH150" s="627">
        <v>0</v>
      </c>
      <c r="CI150" s="627">
        <v>0</v>
      </c>
      <c r="CJ150" s="627">
        <v>0</v>
      </c>
      <c r="CK150" s="627">
        <v>4</v>
      </c>
      <c r="CL150" s="627">
        <v>0</v>
      </c>
      <c r="CM150" s="627">
        <v>0</v>
      </c>
      <c r="CN150" s="627">
        <v>0</v>
      </c>
      <c r="CO150" s="627">
        <v>0</v>
      </c>
      <c r="CP150" s="627">
        <v>1</v>
      </c>
      <c r="CQ150" s="627">
        <v>0</v>
      </c>
      <c r="CR150" s="627">
        <v>0</v>
      </c>
      <c r="CS150" s="627">
        <v>284.7</v>
      </c>
      <c r="CT150" s="627">
        <v>0</v>
      </c>
      <c r="CU150" s="627">
        <v>0</v>
      </c>
      <c r="CV150" s="627">
        <v>0</v>
      </c>
      <c r="CW150" s="627">
        <v>0</v>
      </c>
      <c r="CX150" s="627">
        <v>0</v>
      </c>
      <c r="CY150" s="627">
        <v>0</v>
      </c>
      <c r="CZ150" s="627">
        <v>0</v>
      </c>
      <c r="DA150" s="627">
        <v>0</v>
      </c>
      <c r="DB150" s="627">
        <v>0</v>
      </c>
      <c r="DC150" s="627">
        <v>2077300</v>
      </c>
      <c r="DD150" s="627">
        <v>0</v>
      </c>
      <c r="DE150" s="627">
        <v>0</v>
      </c>
      <c r="DF150" s="627">
        <v>382459</v>
      </c>
      <c r="DG150" s="627">
        <v>382459</v>
      </c>
      <c r="DH150" s="627">
        <v>62.088000000000001</v>
      </c>
      <c r="DI150" s="627">
        <v>0</v>
      </c>
      <c r="DJ150" s="627">
        <v>0</v>
      </c>
      <c r="DK150" s="627">
        <v>0</v>
      </c>
      <c r="DL150" s="627">
        <v>3111</v>
      </c>
      <c r="DM150" s="627">
        <v>0</v>
      </c>
      <c r="DN150" s="627">
        <v>702197</v>
      </c>
      <c r="DO150" s="627">
        <v>2393</v>
      </c>
      <c r="DP150" s="627">
        <v>0</v>
      </c>
      <c r="DQ150" s="627">
        <v>0</v>
      </c>
      <c r="DR150" s="627">
        <v>0</v>
      </c>
      <c r="DS150" s="627">
        <v>0</v>
      </c>
      <c r="DT150" s="627">
        <v>0</v>
      </c>
      <c r="DU150" s="627">
        <v>0</v>
      </c>
      <c r="DV150" s="627">
        <v>0</v>
      </c>
      <c r="DW150" s="627">
        <v>0</v>
      </c>
      <c r="DX150" s="627">
        <v>0</v>
      </c>
      <c r="DY150" s="627">
        <v>0</v>
      </c>
      <c r="DZ150" s="627">
        <v>0</v>
      </c>
      <c r="EA150" s="627">
        <v>0</v>
      </c>
      <c r="EB150" s="627">
        <v>0</v>
      </c>
      <c r="EC150" s="627">
        <v>0</v>
      </c>
      <c r="ED150" s="627">
        <v>7.9630000000000001</v>
      </c>
      <c r="EE150" s="627">
        <v>56410</v>
      </c>
      <c r="EF150" s="627">
        <v>0</v>
      </c>
      <c r="EG150" s="627">
        <v>0</v>
      </c>
      <c r="EH150" s="627">
        <v>0</v>
      </c>
      <c r="EI150" s="627">
        <v>648180</v>
      </c>
      <c r="EJ150" s="627">
        <v>0</v>
      </c>
      <c r="EK150" s="627">
        <v>0</v>
      </c>
      <c r="EL150" s="627">
        <v>29.893000000000001</v>
      </c>
      <c r="EM150" s="627">
        <v>0.38700000000000001</v>
      </c>
      <c r="EN150" s="627">
        <v>2.0550000000000002</v>
      </c>
      <c r="EO150" s="627">
        <v>1.8760000000000001</v>
      </c>
      <c r="EP150" s="627">
        <v>0</v>
      </c>
      <c r="EQ150" s="627">
        <v>0</v>
      </c>
      <c r="ER150" s="627">
        <v>33.824000000000005</v>
      </c>
      <c r="ES150" s="627">
        <v>0</v>
      </c>
      <c r="ET150" s="627">
        <v>105.224</v>
      </c>
      <c r="EU150" s="627">
        <v>0</v>
      </c>
      <c r="EV150" s="627">
        <v>0</v>
      </c>
      <c r="EW150" s="627">
        <v>0</v>
      </c>
      <c r="EX150" s="627">
        <v>0</v>
      </c>
      <c r="EY150" s="627">
        <v>0</v>
      </c>
      <c r="EZ150" s="627">
        <v>0</v>
      </c>
      <c r="FA150" s="627">
        <v>3948117</v>
      </c>
      <c r="FB150" s="627">
        <v>0</v>
      </c>
      <c r="FC150" s="627">
        <v>4063783</v>
      </c>
      <c r="FD150" s="627">
        <v>0</v>
      </c>
      <c r="FE150" s="627">
        <v>0</v>
      </c>
      <c r="FF150" s="627">
        <v>581319</v>
      </c>
      <c r="FG150" s="627">
        <v>100677</v>
      </c>
      <c r="FH150" s="627">
        <v>7.0280999999999996E-2</v>
      </c>
      <c r="FI150" s="627">
        <v>3.1172999999999999E-2</v>
      </c>
      <c r="FJ150" s="627">
        <v>0</v>
      </c>
      <c r="FK150" s="627">
        <v>0</v>
      </c>
      <c r="FL150" s="627">
        <v>655.36400000000003</v>
      </c>
      <c r="FM150" s="627">
        <v>4745779</v>
      </c>
      <c r="FN150" s="627">
        <v>0</v>
      </c>
      <c r="FO150" s="627">
        <v>0</v>
      </c>
      <c r="FP150" s="627">
        <v>29156</v>
      </c>
      <c r="FQ150" s="627">
        <v>0</v>
      </c>
      <c r="FR150" s="627">
        <v>29156</v>
      </c>
      <c r="FS150" s="627">
        <v>29156</v>
      </c>
      <c r="FT150" s="627">
        <v>0</v>
      </c>
      <c r="FU150" s="627">
        <v>0</v>
      </c>
      <c r="FV150" s="627">
        <v>0</v>
      </c>
      <c r="FW150" s="627">
        <v>0</v>
      </c>
      <c r="FX150" s="627">
        <v>0</v>
      </c>
      <c r="FY150" s="627">
        <v>0</v>
      </c>
      <c r="FZ150" s="627">
        <v>0</v>
      </c>
      <c r="GA150" s="627">
        <v>0</v>
      </c>
      <c r="GB150" s="627">
        <v>0</v>
      </c>
      <c r="GC150" s="627">
        <v>0</v>
      </c>
      <c r="GD150" s="627">
        <v>0</v>
      </c>
      <c r="GE150" s="627">
        <v>0</v>
      </c>
      <c r="GF150" s="627">
        <v>0</v>
      </c>
      <c r="GG150" s="627">
        <v>0</v>
      </c>
      <c r="GH150" s="627">
        <v>0</v>
      </c>
      <c r="GI150" s="627">
        <v>0</v>
      </c>
      <c r="GJ150" s="627">
        <v>0</v>
      </c>
      <c r="GK150" s="627">
        <v>0</v>
      </c>
      <c r="GL150" s="627">
        <v>0</v>
      </c>
      <c r="GM150" s="627">
        <v>0</v>
      </c>
      <c r="GN150" s="627">
        <v>0</v>
      </c>
      <c r="GO150" s="627">
        <v>0</v>
      </c>
      <c r="GP150" s="627">
        <v>0</v>
      </c>
      <c r="GQ150" s="627">
        <v>0</v>
      </c>
      <c r="GR150" s="627">
        <v>4627695</v>
      </c>
      <c r="GS150" s="627">
        <v>0</v>
      </c>
      <c r="GT150" s="627">
        <v>0</v>
      </c>
      <c r="GU150" s="627">
        <v>0</v>
      </c>
      <c r="GV150" s="627">
        <v>0</v>
      </c>
      <c r="GW150" s="627">
        <v>0</v>
      </c>
      <c r="GX150" s="627">
        <v>0</v>
      </c>
      <c r="GY150" s="627">
        <v>0</v>
      </c>
      <c r="GZ150" s="627">
        <v>0</v>
      </c>
      <c r="HA150" s="627">
        <v>0</v>
      </c>
      <c r="HB150" s="627">
        <v>0</v>
      </c>
      <c r="HC150" s="627">
        <v>0</v>
      </c>
      <c r="HD150" s="627">
        <v>3.9981999999999997E-2</v>
      </c>
      <c r="HE150" s="627">
        <v>0</v>
      </c>
      <c r="HF150" s="627">
        <v>0</v>
      </c>
      <c r="HG150" s="627">
        <v>371621</v>
      </c>
      <c r="HH150" s="627">
        <v>15400</v>
      </c>
      <c r="HI150" s="627">
        <v>112611</v>
      </c>
      <c r="HJ150" s="627">
        <v>0</v>
      </c>
      <c r="HK150" s="627">
        <v>18710</v>
      </c>
      <c r="HL150" s="627">
        <v>0</v>
      </c>
      <c r="HM150" s="627">
        <v>0</v>
      </c>
      <c r="HN150" s="627">
        <v>0</v>
      </c>
      <c r="HO150" s="627">
        <v>339687</v>
      </c>
      <c r="HP150" s="627">
        <v>0</v>
      </c>
      <c r="HQ150" s="627">
        <v>0</v>
      </c>
      <c r="HR150" s="627">
        <v>0</v>
      </c>
      <c r="HS150" s="627">
        <v>0</v>
      </c>
      <c r="HT150" s="627">
        <v>3945699</v>
      </c>
      <c r="HU150" s="627">
        <v>100677</v>
      </c>
      <c r="HV150" s="627">
        <v>0</v>
      </c>
      <c r="HW150" s="627">
        <v>0</v>
      </c>
      <c r="HX150" s="627">
        <v>0</v>
      </c>
      <c r="HY150" s="627">
        <v>11</v>
      </c>
      <c r="HZ150" s="627">
        <v>25</v>
      </c>
      <c r="IA150" s="627">
        <v>22</v>
      </c>
      <c r="IB150" s="627">
        <v>40</v>
      </c>
      <c r="IC150" s="627">
        <v>137</v>
      </c>
      <c r="ID150" s="627">
        <v>235</v>
      </c>
      <c r="IE150" s="627">
        <v>0</v>
      </c>
      <c r="IF150" s="627">
        <v>0</v>
      </c>
      <c r="IG150" s="627">
        <v>0</v>
      </c>
      <c r="IH150" s="627">
        <v>25</v>
      </c>
      <c r="II150" s="627">
        <v>182.81</v>
      </c>
      <c r="IJ150" s="627">
        <v>0</v>
      </c>
      <c r="IK150" s="627">
        <v>17.585000000000001</v>
      </c>
      <c r="IL150" s="627">
        <v>0</v>
      </c>
      <c r="IM150" s="627">
        <v>0</v>
      </c>
      <c r="IN150" s="627">
        <v>0</v>
      </c>
      <c r="IO150" s="627">
        <v>0</v>
      </c>
      <c r="IP150" s="627">
        <v>0</v>
      </c>
      <c r="IQ150" s="627">
        <v>0</v>
      </c>
      <c r="IR150" s="627">
        <v>17.585000000000001</v>
      </c>
      <c r="IS150" s="627">
        <v>10832</v>
      </c>
      <c r="IT150" s="627">
        <v>0</v>
      </c>
      <c r="IU150" s="627">
        <v>0</v>
      </c>
      <c r="IV150" s="627">
        <v>0</v>
      </c>
      <c r="IW150" s="627">
        <v>0</v>
      </c>
      <c r="IX150" s="627">
        <v>6160</v>
      </c>
      <c r="IY150" s="627">
        <v>0</v>
      </c>
      <c r="IZ150" s="627">
        <v>0</v>
      </c>
      <c r="JA150" s="627">
        <v>0</v>
      </c>
      <c r="JB150" s="627">
        <v>0</v>
      </c>
      <c r="JC150" s="627">
        <v>10</v>
      </c>
      <c r="JD150" s="627">
        <v>222720</v>
      </c>
      <c r="JE150" s="627">
        <v>9</v>
      </c>
      <c r="JF150" s="627">
        <v>109467</v>
      </c>
      <c r="JG150" s="627">
        <v>0</v>
      </c>
      <c r="JH150" s="627">
        <v>0</v>
      </c>
      <c r="JI150" s="627">
        <v>7500</v>
      </c>
      <c r="JJ150" s="627">
        <v>0</v>
      </c>
      <c r="JK150" s="627">
        <v>0</v>
      </c>
      <c r="JL150" s="627">
        <v>0</v>
      </c>
      <c r="JM150" s="627">
        <v>0</v>
      </c>
      <c r="JN150" s="627">
        <v>0</v>
      </c>
      <c r="JO150" s="627">
        <v>29136</v>
      </c>
      <c r="JP150" s="627">
        <v>0</v>
      </c>
      <c r="JQ150" s="627">
        <v>0</v>
      </c>
      <c r="JR150" s="627">
        <v>0</v>
      </c>
      <c r="JS150" s="627">
        <v>0</v>
      </c>
      <c r="JT150" s="627">
        <v>0</v>
      </c>
      <c r="JU150" s="627">
        <v>0</v>
      </c>
      <c r="JV150" s="627">
        <v>3881</v>
      </c>
      <c r="JW150" s="627">
        <v>0</v>
      </c>
      <c r="JX150" s="627">
        <v>0</v>
      </c>
      <c r="JY150" s="627">
        <v>0</v>
      </c>
      <c r="JZ150" s="627">
        <v>0</v>
      </c>
      <c r="KA150" s="627">
        <v>0</v>
      </c>
      <c r="KB150" s="627">
        <v>0</v>
      </c>
      <c r="KC150" s="627">
        <v>0</v>
      </c>
      <c r="KD150" s="627">
        <v>0</v>
      </c>
      <c r="KE150" s="627">
        <v>3881</v>
      </c>
      <c r="KF150" s="627">
        <v>7262</v>
      </c>
      <c r="KG150" s="627">
        <v>0</v>
      </c>
      <c r="KH150" s="627">
        <v>0</v>
      </c>
      <c r="KI150" s="627">
        <v>4627695</v>
      </c>
      <c r="KJ150" s="627">
        <v>0</v>
      </c>
      <c r="KK150" s="627">
        <v>21</v>
      </c>
      <c r="KL150" s="627">
        <v>4</v>
      </c>
      <c r="KM150" s="627">
        <v>12936</v>
      </c>
      <c r="KN150" s="627">
        <v>2464</v>
      </c>
      <c r="KO150" s="627">
        <v>0</v>
      </c>
      <c r="KP150" s="627">
        <v>0</v>
      </c>
      <c r="KQ150" s="627">
        <v>4627695</v>
      </c>
      <c r="KR150" s="627">
        <v>0</v>
      </c>
      <c r="KS150" s="627">
        <v>0</v>
      </c>
      <c r="KT150" s="627">
        <v>0</v>
      </c>
      <c r="KU150" s="627">
        <v>0</v>
      </c>
      <c r="KV150" s="627">
        <v>0</v>
      </c>
      <c r="KW150" s="627">
        <v>0</v>
      </c>
      <c r="KX150" s="627">
        <v>0</v>
      </c>
      <c r="KY150" s="627">
        <v>0</v>
      </c>
      <c r="KZ150" s="627">
        <v>0</v>
      </c>
      <c r="LA150" s="627">
        <v>0</v>
      </c>
      <c r="LB150" s="627">
        <v>0</v>
      </c>
      <c r="LC150" s="627">
        <v>0</v>
      </c>
      <c r="LD150" s="627">
        <v>0</v>
      </c>
      <c r="LE150" s="627">
        <v>0</v>
      </c>
      <c r="LF150" s="627">
        <v>0</v>
      </c>
    </row>
    <row r="151" spans="1:318" x14ac:dyDescent="0.25">
      <c r="A151" s="627">
        <v>42602</v>
      </c>
      <c r="B151" s="627">
        <v>57839</v>
      </c>
      <c r="D151" s="627">
        <v>9</v>
      </c>
      <c r="E151" s="627">
        <v>2024</v>
      </c>
      <c r="F151" s="627">
        <v>6160</v>
      </c>
      <c r="G151" s="627">
        <v>0</v>
      </c>
      <c r="H151" s="627">
        <v>876.61800000000005</v>
      </c>
      <c r="I151" s="627">
        <v>863.63700000000006</v>
      </c>
      <c r="J151" s="627">
        <v>863.63700000000006</v>
      </c>
      <c r="K151" s="627">
        <v>876.61800000000005</v>
      </c>
      <c r="L151" s="627">
        <v>0</v>
      </c>
      <c r="M151" s="627">
        <v>6160</v>
      </c>
      <c r="N151" s="627">
        <v>0</v>
      </c>
      <c r="O151" s="627">
        <v>0</v>
      </c>
      <c r="P151" s="627">
        <v>0</v>
      </c>
      <c r="Q151" s="627">
        <v>857.92200000000003</v>
      </c>
      <c r="R151" s="627">
        <v>0</v>
      </c>
      <c r="S151" s="627">
        <v>355938</v>
      </c>
      <c r="T151" s="627">
        <v>414.88400000000001</v>
      </c>
      <c r="U151" s="627">
        <v>0</v>
      </c>
      <c r="V151" s="627">
        <v>184718</v>
      </c>
      <c r="W151" s="627">
        <v>621.10700000000008</v>
      </c>
      <c r="X151" s="627">
        <v>382602</v>
      </c>
      <c r="Y151" s="627">
        <v>382602</v>
      </c>
      <c r="Z151" s="627">
        <v>0</v>
      </c>
      <c r="AA151" s="627">
        <v>0</v>
      </c>
      <c r="AB151" s="627">
        <v>0</v>
      </c>
      <c r="AC151" s="627">
        <v>0</v>
      </c>
      <c r="AD151" s="627">
        <v>0</v>
      </c>
      <c r="AE151" s="627" t="s">
        <v>314</v>
      </c>
      <c r="AF151" s="627">
        <v>0</v>
      </c>
      <c r="AG151" s="627">
        <v>0</v>
      </c>
      <c r="AH151" s="627">
        <v>0</v>
      </c>
      <c r="AI151" s="627">
        <v>0</v>
      </c>
      <c r="AJ151" s="627">
        <v>0</v>
      </c>
      <c r="AK151" s="627">
        <v>6160</v>
      </c>
      <c r="AL151" s="627" t="s">
        <v>651</v>
      </c>
      <c r="AM151" s="627" t="s">
        <v>58</v>
      </c>
      <c r="AN151" s="627">
        <v>0</v>
      </c>
      <c r="AO151" s="627">
        <v>0</v>
      </c>
      <c r="AP151" s="627">
        <v>0</v>
      </c>
      <c r="AQ151" s="627">
        <v>0</v>
      </c>
      <c r="AR151" s="627">
        <v>0</v>
      </c>
      <c r="AS151" s="627">
        <v>0</v>
      </c>
      <c r="AT151" s="627">
        <v>0</v>
      </c>
      <c r="AU151" s="627">
        <v>0</v>
      </c>
      <c r="AV151" s="627">
        <v>0</v>
      </c>
      <c r="AW151" s="627">
        <v>0</v>
      </c>
      <c r="AX151" s="627">
        <v>10803234</v>
      </c>
      <c r="AY151" s="627">
        <v>10666113</v>
      </c>
      <c r="AZ151" s="627">
        <v>5315853</v>
      </c>
      <c r="BA151" s="627">
        <v>355938</v>
      </c>
      <c r="BB151" s="627">
        <v>0</v>
      </c>
      <c r="BC151" s="627">
        <v>12782</v>
      </c>
      <c r="BD151" s="627">
        <v>12700</v>
      </c>
      <c r="BE151" s="627">
        <v>30</v>
      </c>
      <c r="BF151" s="627">
        <v>81</v>
      </c>
      <c r="BG151" s="627">
        <v>9429142</v>
      </c>
      <c r="BH151" s="627">
        <v>0</v>
      </c>
      <c r="BI151" s="627">
        <v>0</v>
      </c>
      <c r="BJ151" s="627">
        <v>0</v>
      </c>
      <c r="BK151" s="627">
        <v>12</v>
      </c>
      <c r="BL151" s="627">
        <v>0</v>
      </c>
      <c r="BM151" s="627">
        <v>0</v>
      </c>
      <c r="BN151" s="627">
        <v>0</v>
      </c>
      <c r="BO151" s="627">
        <v>0</v>
      </c>
      <c r="BP151" s="627">
        <v>0</v>
      </c>
      <c r="BQ151" s="627">
        <v>0</v>
      </c>
      <c r="BR151" s="627">
        <v>637</v>
      </c>
      <c r="BS151" s="627">
        <v>0</v>
      </c>
      <c r="BT151" s="627">
        <v>0</v>
      </c>
      <c r="BU151" s="627">
        <v>0</v>
      </c>
      <c r="BV151" s="627">
        <v>0</v>
      </c>
      <c r="BW151" s="627">
        <v>0</v>
      </c>
      <c r="BX151" s="627">
        <v>0</v>
      </c>
      <c r="BY151" s="627">
        <v>0</v>
      </c>
      <c r="BZ151" s="627">
        <v>0</v>
      </c>
      <c r="CA151" s="627">
        <v>0</v>
      </c>
      <c r="CB151" s="627">
        <v>0</v>
      </c>
      <c r="CC151" s="627">
        <v>0</v>
      </c>
      <c r="CD151" s="627">
        <v>0</v>
      </c>
      <c r="CE151" s="627">
        <v>0</v>
      </c>
      <c r="CF151" s="627">
        <v>0</v>
      </c>
      <c r="CG151" s="627">
        <v>0</v>
      </c>
      <c r="CH151" s="627">
        <v>0</v>
      </c>
      <c r="CI151" s="627">
        <v>140196</v>
      </c>
      <c r="CJ151" s="627">
        <v>0</v>
      </c>
      <c r="CK151" s="627">
        <v>4</v>
      </c>
      <c r="CL151" s="627">
        <v>0</v>
      </c>
      <c r="CM151" s="627">
        <v>0</v>
      </c>
      <c r="CN151" s="627">
        <v>0</v>
      </c>
      <c r="CO151" s="627">
        <v>0</v>
      </c>
      <c r="CP151" s="627">
        <v>1</v>
      </c>
      <c r="CQ151" s="627">
        <v>0</v>
      </c>
      <c r="CR151" s="627">
        <v>0</v>
      </c>
      <c r="CS151" s="627">
        <v>858.14</v>
      </c>
      <c r="CT151" s="627">
        <v>0</v>
      </c>
      <c r="CU151" s="627">
        <v>0</v>
      </c>
      <c r="CV151" s="627">
        <v>0</v>
      </c>
      <c r="CW151" s="627">
        <v>0</v>
      </c>
      <c r="CX151" s="627">
        <v>0</v>
      </c>
      <c r="CY151" s="627">
        <v>0</v>
      </c>
      <c r="CZ151" s="627">
        <v>0</v>
      </c>
      <c r="DA151" s="627">
        <v>0</v>
      </c>
      <c r="DB151" s="627">
        <v>0</v>
      </c>
      <c r="DC151" s="627">
        <v>5320004</v>
      </c>
      <c r="DD151" s="627">
        <v>0</v>
      </c>
      <c r="DE151" s="627">
        <v>0</v>
      </c>
      <c r="DF151" s="627">
        <v>1451681</v>
      </c>
      <c r="DG151" s="627">
        <v>1451681</v>
      </c>
      <c r="DH151" s="627">
        <v>235.66300000000001</v>
      </c>
      <c r="DI151" s="627">
        <v>0</v>
      </c>
      <c r="DJ151" s="627">
        <v>0</v>
      </c>
      <c r="DK151" s="627">
        <v>0</v>
      </c>
      <c r="DL151" s="627">
        <v>1814</v>
      </c>
      <c r="DM151" s="627">
        <v>0</v>
      </c>
      <c r="DN151" s="627">
        <v>878322</v>
      </c>
      <c r="DO151" s="627">
        <v>2994</v>
      </c>
      <c r="DP151" s="627">
        <v>0</v>
      </c>
      <c r="DQ151" s="627">
        <v>0</v>
      </c>
      <c r="DR151" s="627">
        <v>0</v>
      </c>
      <c r="DS151" s="627">
        <v>0</v>
      </c>
      <c r="DT151" s="627">
        <v>0</v>
      </c>
      <c r="DU151" s="627">
        <v>0</v>
      </c>
      <c r="DV151" s="627">
        <v>0</v>
      </c>
      <c r="DW151" s="627">
        <v>0</v>
      </c>
      <c r="DX151" s="627">
        <v>0</v>
      </c>
      <c r="DY151" s="627">
        <v>0</v>
      </c>
      <c r="DZ151" s="627">
        <v>0</v>
      </c>
      <c r="EA151" s="627">
        <v>0</v>
      </c>
      <c r="EB151" s="627">
        <v>0</v>
      </c>
      <c r="EC151" s="627">
        <v>0</v>
      </c>
      <c r="ED151" s="627">
        <v>84.012</v>
      </c>
      <c r="EE151" s="627">
        <v>595141</v>
      </c>
      <c r="EF151" s="627">
        <v>0</v>
      </c>
      <c r="EG151" s="627">
        <v>0</v>
      </c>
      <c r="EH151" s="627">
        <v>0</v>
      </c>
      <c r="EI151" s="627">
        <v>286175</v>
      </c>
      <c r="EJ151" s="627">
        <v>0</v>
      </c>
      <c r="EK151" s="627">
        <v>0</v>
      </c>
      <c r="EL151" s="627">
        <v>9.2240000000000002</v>
      </c>
      <c r="EM151" s="627">
        <v>0</v>
      </c>
      <c r="EN151" s="627">
        <v>0</v>
      </c>
      <c r="EO151" s="627">
        <v>3.7570000000000001</v>
      </c>
      <c r="EP151" s="627">
        <v>0</v>
      </c>
      <c r="EQ151" s="627">
        <v>0</v>
      </c>
      <c r="ER151" s="627">
        <v>12.981</v>
      </c>
      <c r="ES151" s="627">
        <v>0</v>
      </c>
      <c r="ET151" s="627">
        <v>46.457000000000001</v>
      </c>
      <c r="EU151" s="627">
        <v>0</v>
      </c>
      <c r="EV151" s="627">
        <v>0</v>
      </c>
      <c r="EW151" s="627">
        <v>0</v>
      </c>
      <c r="EX151" s="627">
        <v>0</v>
      </c>
      <c r="EY151" s="627">
        <v>0</v>
      </c>
      <c r="EZ151" s="627">
        <v>0</v>
      </c>
      <c r="FA151" s="627">
        <v>9073204</v>
      </c>
      <c r="FB151" s="627">
        <v>0</v>
      </c>
      <c r="FC151" s="627">
        <v>9426067</v>
      </c>
      <c r="FD151" s="627">
        <v>0</v>
      </c>
      <c r="FE151" s="627">
        <v>0</v>
      </c>
      <c r="FF151" s="627">
        <v>1357761</v>
      </c>
      <c r="FG151" s="627">
        <v>235148</v>
      </c>
      <c r="FH151" s="627">
        <v>7.0280999999999996E-2</v>
      </c>
      <c r="FI151" s="627">
        <v>3.1172999999999999E-2</v>
      </c>
      <c r="FJ151" s="627">
        <v>0</v>
      </c>
      <c r="FK151" s="627">
        <v>0</v>
      </c>
      <c r="FL151" s="627">
        <v>1530.7050000000002</v>
      </c>
      <c r="FM151" s="627">
        <v>11159172</v>
      </c>
      <c r="FN151" s="627">
        <v>0</v>
      </c>
      <c r="FO151" s="627">
        <v>0</v>
      </c>
      <c r="FP151" s="627">
        <v>0</v>
      </c>
      <c r="FQ151" s="627">
        <v>0</v>
      </c>
      <c r="FR151" s="627">
        <v>0</v>
      </c>
      <c r="FS151" s="627">
        <v>0</v>
      </c>
      <c r="FT151" s="627">
        <v>0</v>
      </c>
      <c r="FU151" s="627">
        <v>0</v>
      </c>
      <c r="FV151" s="627">
        <v>0</v>
      </c>
      <c r="FW151" s="627">
        <v>0</v>
      </c>
      <c r="FX151" s="627">
        <v>0</v>
      </c>
      <c r="FY151" s="627">
        <v>0</v>
      </c>
      <c r="FZ151" s="627">
        <v>0</v>
      </c>
      <c r="GA151" s="627">
        <v>0</v>
      </c>
      <c r="GB151" s="627">
        <v>0</v>
      </c>
      <c r="GC151" s="627">
        <v>0</v>
      </c>
      <c r="GD151" s="627">
        <v>0</v>
      </c>
      <c r="GE151" s="627">
        <v>0</v>
      </c>
      <c r="GF151" s="627">
        <v>0</v>
      </c>
      <c r="GG151" s="627">
        <v>0</v>
      </c>
      <c r="GH151" s="627">
        <v>0</v>
      </c>
      <c r="GI151" s="627">
        <v>0</v>
      </c>
      <c r="GJ151" s="627">
        <v>0</v>
      </c>
      <c r="GK151" s="627">
        <v>0</v>
      </c>
      <c r="GL151" s="627">
        <v>0</v>
      </c>
      <c r="GM151" s="627">
        <v>0</v>
      </c>
      <c r="GN151" s="627">
        <v>0</v>
      </c>
      <c r="GO151" s="627">
        <v>0</v>
      </c>
      <c r="GP151" s="627">
        <v>0</v>
      </c>
      <c r="GQ151" s="627">
        <v>0</v>
      </c>
      <c r="GR151" s="627">
        <v>10663038</v>
      </c>
      <c r="GS151" s="627">
        <v>0</v>
      </c>
      <c r="GT151" s="627">
        <v>0</v>
      </c>
      <c r="GU151" s="627">
        <v>0</v>
      </c>
      <c r="GV151" s="627">
        <v>0</v>
      </c>
      <c r="GW151" s="627">
        <v>0</v>
      </c>
      <c r="GX151" s="627">
        <v>0</v>
      </c>
      <c r="GY151" s="627">
        <v>0</v>
      </c>
      <c r="GZ151" s="627">
        <v>0</v>
      </c>
      <c r="HA151" s="627">
        <v>0</v>
      </c>
      <c r="HB151" s="627">
        <v>0</v>
      </c>
      <c r="HC151" s="627">
        <v>361151439</v>
      </c>
      <c r="HD151" s="627">
        <v>3.9981999999999997E-2</v>
      </c>
      <c r="HE151" s="627">
        <v>140196</v>
      </c>
      <c r="HF151" s="627">
        <v>0</v>
      </c>
      <c r="HG151" s="627">
        <v>951728</v>
      </c>
      <c r="HH151" s="627">
        <v>1232</v>
      </c>
      <c r="HI151" s="627">
        <v>332702</v>
      </c>
      <c r="HJ151" s="627">
        <v>0</v>
      </c>
      <c r="HK151" s="627">
        <v>38766</v>
      </c>
      <c r="HL151" s="627">
        <v>0</v>
      </c>
      <c r="HM151" s="627">
        <v>0</v>
      </c>
      <c r="HN151" s="627">
        <v>0</v>
      </c>
      <c r="HO151" s="627">
        <v>56329</v>
      </c>
      <c r="HP151" s="627">
        <v>0</v>
      </c>
      <c r="HQ151" s="627">
        <v>0</v>
      </c>
      <c r="HR151" s="627">
        <v>0</v>
      </c>
      <c r="HS151" s="627">
        <v>0</v>
      </c>
      <c r="HT151" s="627">
        <v>9070129</v>
      </c>
      <c r="HU151" s="627">
        <v>235148</v>
      </c>
      <c r="HV151" s="627">
        <v>0</v>
      </c>
      <c r="HW151" s="627">
        <v>0</v>
      </c>
      <c r="HX151" s="627">
        <v>0</v>
      </c>
      <c r="HY151" s="627">
        <v>15</v>
      </c>
      <c r="HZ151" s="627">
        <v>92</v>
      </c>
      <c r="IA151" s="627">
        <v>182</v>
      </c>
      <c r="IB151" s="627">
        <v>247</v>
      </c>
      <c r="IC151" s="627">
        <v>364</v>
      </c>
      <c r="ID151" s="627">
        <v>900</v>
      </c>
      <c r="IE151" s="627">
        <v>0</v>
      </c>
      <c r="IF151" s="627">
        <v>0</v>
      </c>
      <c r="IG151" s="627">
        <v>0</v>
      </c>
      <c r="IH151" s="627">
        <v>2</v>
      </c>
      <c r="II151" s="627">
        <v>540.1</v>
      </c>
      <c r="IJ151" s="627">
        <v>0</v>
      </c>
      <c r="IK151" s="627">
        <v>621.10700000000008</v>
      </c>
      <c r="IL151" s="627">
        <v>0</v>
      </c>
      <c r="IM151" s="627">
        <v>0</v>
      </c>
      <c r="IN151" s="627">
        <v>0</v>
      </c>
      <c r="IO151" s="627">
        <v>0</v>
      </c>
      <c r="IP151" s="627">
        <v>0</v>
      </c>
      <c r="IQ151" s="627">
        <v>0</v>
      </c>
      <c r="IR151" s="627">
        <v>621.10700000000008</v>
      </c>
      <c r="IS151" s="627">
        <v>382602</v>
      </c>
      <c r="IT151" s="627">
        <v>0</v>
      </c>
      <c r="IU151" s="627">
        <v>0</v>
      </c>
      <c r="IV151" s="627">
        <v>0</v>
      </c>
      <c r="IW151" s="627">
        <v>0</v>
      </c>
      <c r="IX151" s="627">
        <v>6160</v>
      </c>
      <c r="IY151" s="627">
        <v>0</v>
      </c>
      <c r="IZ151" s="627">
        <v>0</v>
      </c>
      <c r="JA151" s="627">
        <v>0</v>
      </c>
      <c r="JB151" s="627">
        <v>0</v>
      </c>
      <c r="JC151" s="627">
        <v>0</v>
      </c>
      <c r="JD151" s="627">
        <v>0</v>
      </c>
      <c r="JE151" s="627">
        <v>2</v>
      </c>
      <c r="JF151" s="627">
        <v>26915</v>
      </c>
      <c r="JG151" s="627">
        <v>4</v>
      </c>
      <c r="JH151" s="627">
        <v>26914</v>
      </c>
      <c r="JI151" s="627">
        <v>2500</v>
      </c>
      <c r="JJ151" s="627">
        <v>0</v>
      </c>
      <c r="JK151" s="627">
        <v>0</v>
      </c>
      <c r="JL151" s="627">
        <v>0</v>
      </c>
      <c r="JM151" s="627">
        <v>0</v>
      </c>
      <c r="JN151" s="627">
        <v>0</v>
      </c>
      <c r="JO151" s="627">
        <v>32469</v>
      </c>
      <c r="JP151" s="627">
        <v>0</v>
      </c>
      <c r="JQ151" s="627">
        <v>0</v>
      </c>
      <c r="JR151" s="627">
        <v>0</v>
      </c>
      <c r="JS151" s="627">
        <v>0</v>
      </c>
      <c r="JT151" s="627">
        <v>0</v>
      </c>
      <c r="JU151" s="627">
        <v>0</v>
      </c>
      <c r="JV151" s="627">
        <v>12936</v>
      </c>
      <c r="JW151" s="627">
        <v>0</v>
      </c>
      <c r="JX151" s="627">
        <v>0</v>
      </c>
      <c r="JY151" s="627">
        <v>0</v>
      </c>
      <c r="JZ151" s="627">
        <v>0</v>
      </c>
      <c r="KA151" s="627">
        <v>0</v>
      </c>
      <c r="KB151" s="627">
        <v>0</v>
      </c>
      <c r="KC151" s="627">
        <v>0</v>
      </c>
      <c r="KD151" s="627">
        <v>0</v>
      </c>
      <c r="KE151" s="627">
        <v>12936</v>
      </c>
      <c r="KF151" s="627">
        <v>7262</v>
      </c>
      <c r="KG151" s="627">
        <v>0</v>
      </c>
      <c r="KH151" s="627">
        <v>0</v>
      </c>
      <c r="KI151" s="627">
        <v>10663038</v>
      </c>
      <c r="KJ151" s="627">
        <v>0</v>
      </c>
      <c r="KK151" s="627">
        <v>1</v>
      </c>
      <c r="KL151" s="627">
        <v>1</v>
      </c>
      <c r="KM151" s="627">
        <v>616</v>
      </c>
      <c r="KN151" s="627">
        <v>616</v>
      </c>
      <c r="KO151" s="627">
        <v>0</v>
      </c>
      <c r="KP151" s="627">
        <v>0</v>
      </c>
      <c r="KQ151" s="627">
        <v>10663038</v>
      </c>
      <c r="KR151" s="627">
        <v>0</v>
      </c>
      <c r="KS151" s="627">
        <v>0</v>
      </c>
      <c r="KT151" s="627">
        <v>0</v>
      </c>
      <c r="KU151" s="627">
        <v>0</v>
      </c>
      <c r="KV151" s="627">
        <v>0</v>
      </c>
      <c r="KW151" s="627">
        <v>0</v>
      </c>
      <c r="KX151" s="627">
        <v>0</v>
      </c>
      <c r="KY151" s="627">
        <v>0</v>
      </c>
      <c r="KZ151" s="627">
        <v>0</v>
      </c>
      <c r="LA151" s="627">
        <v>0</v>
      </c>
      <c r="LB151" s="627">
        <v>0</v>
      </c>
      <c r="LC151" s="627">
        <v>0</v>
      </c>
      <c r="LD151" s="627">
        <v>0</v>
      </c>
      <c r="LE151" s="627">
        <v>0</v>
      </c>
      <c r="LF151" s="627">
        <v>0</v>
      </c>
    </row>
    <row r="152" spans="1:318" x14ac:dyDescent="0.25">
      <c r="A152" s="627">
        <v>42602</v>
      </c>
      <c r="B152" s="627">
        <v>15840</v>
      </c>
      <c r="D152" s="627">
        <v>9</v>
      </c>
      <c r="E152" s="627">
        <v>2024</v>
      </c>
      <c r="F152" s="627">
        <v>6160</v>
      </c>
      <c r="G152" s="627">
        <v>0</v>
      </c>
      <c r="H152" s="627">
        <v>139.15</v>
      </c>
      <c r="I152" s="627">
        <v>122.753</v>
      </c>
      <c r="J152" s="627">
        <v>122.753</v>
      </c>
      <c r="K152" s="627">
        <v>139.15</v>
      </c>
      <c r="L152" s="627">
        <v>0</v>
      </c>
      <c r="M152" s="627">
        <v>6160</v>
      </c>
      <c r="N152" s="627">
        <v>0</v>
      </c>
      <c r="O152" s="627">
        <v>0</v>
      </c>
      <c r="P152" s="627">
        <v>0</v>
      </c>
      <c r="Q152" s="627">
        <v>150.78300000000002</v>
      </c>
      <c r="R152" s="627">
        <v>0</v>
      </c>
      <c r="S152" s="627">
        <v>62557</v>
      </c>
      <c r="T152" s="627">
        <v>414.88400000000001</v>
      </c>
      <c r="U152" s="627">
        <v>0</v>
      </c>
      <c r="V152" s="627">
        <v>32465</v>
      </c>
      <c r="W152" s="627">
        <v>1.788</v>
      </c>
      <c r="X152" s="627">
        <v>1101</v>
      </c>
      <c r="Y152" s="627">
        <v>1101</v>
      </c>
      <c r="Z152" s="627">
        <v>0</v>
      </c>
      <c r="AA152" s="627">
        <v>0</v>
      </c>
      <c r="AB152" s="627">
        <v>0</v>
      </c>
      <c r="AC152" s="627">
        <v>0</v>
      </c>
      <c r="AD152" s="627">
        <v>0</v>
      </c>
      <c r="AE152" s="627" t="s">
        <v>314</v>
      </c>
      <c r="AF152" s="627">
        <v>0</v>
      </c>
      <c r="AG152" s="627">
        <v>0</v>
      </c>
      <c r="AH152" s="627">
        <v>0</v>
      </c>
      <c r="AI152" s="627">
        <v>0</v>
      </c>
      <c r="AJ152" s="627">
        <v>0</v>
      </c>
      <c r="AK152" s="627">
        <v>6160</v>
      </c>
      <c r="AL152" s="627" t="s">
        <v>651</v>
      </c>
      <c r="AM152" s="627" t="s">
        <v>701</v>
      </c>
      <c r="AN152" s="627">
        <v>0</v>
      </c>
      <c r="AO152" s="627">
        <v>0</v>
      </c>
      <c r="AP152" s="627">
        <v>0</v>
      </c>
      <c r="AQ152" s="627">
        <v>0</v>
      </c>
      <c r="AR152" s="627">
        <v>0</v>
      </c>
      <c r="AS152" s="627">
        <v>0</v>
      </c>
      <c r="AT152" s="627">
        <v>0</v>
      </c>
      <c r="AU152" s="627">
        <v>0</v>
      </c>
      <c r="AV152" s="627">
        <v>0</v>
      </c>
      <c r="AW152" s="627">
        <v>0</v>
      </c>
      <c r="AX152" s="627">
        <v>1572591</v>
      </c>
      <c r="AY152" s="627">
        <v>1551057</v>
      </c>
      <c r="AZ152" s="627">
        <v>768290</v>
      </c>
      <c r="BA152" s="627">
        <v>62557</v>
      </c>
      <c r="BB152" s="627">
        <v>0</v>
      </c>
      <c r="BC152" s="627">
        <v>0</v>
      </c>
      <c r="BD152" s="627">
        <v>0</v>
      </c>
      <c r="BE152" s="627">
        <v>0</v>
      </c>
      <c r="BF152" s="627">
        <v>0</v>
      </c>
      <c r="BG152" s="627">
        <v>1380360</v>
      </c>
      <c r="BH152" s="627">
        <v>0</v>
      </c>
      <c r="BI152" s="627">
        <v>0</v>
      </c>
      <c r="BJ152" s="627">
        <v>0</v>
      </c>
      <c r="BK152" s="627">
        <v>12</v>
      </c>
      <c r="BL152" s="627">
        <v>0</v>
      </c>
      <c r="BM152" s="627">
        <v>0</v>
      </c>
      <c r="BN152" s="627">
        <v>0</v>
      </c>
      <c r="BO152" s="627">
        <v>0</v>
      </c>
      <c r="BP152" s="627">
        <v>0</v>
      </c>
      <c r="BQ152" s="627">
        <v>0</v>
      </c>
      <c r="BR152" s="627">
        <v>751</v>
      </c>
      <c r="BS152" s="627">
        <v>0</v>
      </c>
      <c r="BT152" s="627">
        <v>0</v>
      </c>
      <c r="BU152" s="627">
        <v>0</v>
      </c>
      <c r="BV152" s="627">
        <v>0</v>
      </c>
      <c r="BW152" s="627">
        <v>0</v>
      </c>
      <c r="BX152" s="627">
        <v>0</v>
      </c>
      <c r="BY152" s="627">
        <v>0</v>
      </c>
      <c r="BZ152" s="627">
        <v>0</v>
      </c>
      <c r="CA152" s="627">
        <v>0</v>
      </c>
      <c r="CB152" s="627">
        <v>0</v>
      </c>
      <c r="CC152" s="627">
        <v>0</v>
      </c>
      <c r="CD152" s="627">
        <v>0</v>
      </c>
      <c r="CE152" s="627">
        <v>0</v>
      </c>
      <c r="CF152" s="627">
        <v>0</v>
      </c>
      <c r="CG152" s="627">
        <v>0</v>
      </c>
      <c r="CH152" s="627">
        <v>0</v>
      </c>
      <c r="CI152" s="627">
        <v>22254</v>
      </c>
      <c r="CJ152" s="627">
        <v>0</v>
      </c>
      <c r="CK152" s="627">
        <v>4</v>
      </c>
      <c r="CL152" s="627">
        <v>0</v>
      </c>
      <c r="CM152" s="627">
        <v>0</v>
      </c>
      <c r="CN152" s="627">
        <v>0</v>
      </c>
      <c r="CO152" s="627">
        <v>0</v>
      </c>
      <c r="CP152" s="627">
        <v>1</v>
      </c>
      <c r="CQ152" s="627">
        <v>0</v>
      </c>
      <c r="CR152" s="627">
        <v>0</v>
      </c>
      <c r="CS152" s="627">
        <v>150.79</v>
      </c>
      <c r="CT152" s="627">
        <v>0</v>
      </c>
      <c r="CU152" s="627">
        <v>0</v>
      </c>
      <c r="CV152" s="627">
        <v>0</v>
      </c>
      <c r="CW152" s="627">
        <v>0</v>
      </c>
      <c r="CX152" s="627">
        <v>0</v>
      </c>
      <c r="CY152" s="627">
        <v>0</v>
      </c>
      <c r="CZ152" s="627">
        <v>0</v>
      </c>
      <c r="DA152" s="627">
        <v>0</v>
      </c>
      <c r="DB152" s="627">
        <v>0</v>
      </c>
      <c r="DC152" s="627">
        <v>756158</v>
      </c>
      <c r="DD152" s="627">
        <v>0</v>
      </c>
      <c r="DE152" s="627">
        <v>0</v>
      </c>
      <c r="DF152" s="627">
        <v>159621</v>
      </c>
      <c r="DG152" s="627">
        <v>159621</v>
      </c>
      <c r="DH152" s="627">
        <v>25.913</v>
      </c>
      <c r="DI152" s="627">
        <v>0</v>
      </c>
      <c r="DJ152" s="627">
        <v>0</v>
      </c>
      <c r="DK152" s="627">
        <v>0</v>
      </c>
      <c r="DL152" s="627">
        <v>3640</v>
      </c>
      <c r="DM152" s="627">
        <v>0</v>
      </c>
      <c r="DN152" s="627">
        <v>211368</v>
      </c>
      <c r="DO152" s="627">
        <v>720</v>
      </c>
      <c r="DP152" s="627">
        <v>0</v>
      </c>
      <c r="DQ152" s="627">
        <v>0</v>
      </c>
      <c r="DR152" s="627">
        <v>0</v>
      </c>
      <c r="DS152" s="627">
        <v>0</v>
      </c>
      <c r="DT152" s="627">
        <v>0</v>
      </c>
      <c r="DU152" s="627">
        <v>0</v>
      </c>
      <c r="DV152" s="627">
        <v>0</v>
      </c>
      <c r="DW152" s="627">
        <v>0</v>
      </c>
      <c r="DX152" s="627">
        <v>0</v>
      </c>
      <c r="DY152" s="627">
        <v>0</v>
      </c>
      <c r="DZ152" s="627">
        <v>0</v>
      </c>
      <c r="EA152" s="627">
        <v>0</v>
      </c>
      <c r="EB152" s="627">
        <v>0</v>
      </c>
      <c r="EC152" s="627">
        <v>0</v>
      </c>
      <c r="ED152" s="627">
        <v>14.613000000000001</v>
      </c>
      <c r="EE152" s="627">
        <v>103518</v>
      </c>
      <c r="EF152" s="627">
        <v>0</v>
      </c>
      <c r="EG152" s="627">
        <v>0</v>
      </c>
      <c r="EH152" s="627">
        <v>0</v>
      </c>
      <c r="EI152" s="627">
        <v>108570</v>
      </c>
      <c r="EJ152" s="627">
        <v>0</v>
      </c>
      <c r="EK152" s="627">
        <v>0</v>
      </c>
      <c r="EL152" s="627">
        <v>4.0289999999999999</v>
      </c>
      <c r="EM152" s="627">
        <v>0</v>
      </c>
      <c r="EN152" s="627">
        <v>1.8460000000000001</v>
      </c>
      <c r="EO152" s="627">
        <v>0</v>
      </c>
      <c r="EP152" s="627">
        <v>0</v>
      </c>
      <c r="EQ152" s="627">
        <v>0</v>
      </c>
      <c r="ER152" s="627">
        <v>5.875</v>
      </c>
      <c r="ES152" s="627">
        <v>0</v>
      </c>
      <c r="ET152" s="627">
        <v>17.625</v>
      </c>
      <c r="EU152" s="627">
        <v>0</v>
      </c>
      <c r="EV152" s="627">
        <v>0</v>
      </c>
      <c r="EW152" s="627">
        <v>0</v>
      </c>
      <c r="EX152" s="627">
        <v>0</v>
      </c>
      <c r="EY152" s="627">
        <v>0</v>
      </c>
      <c r="EZ152" s="627">
        <v>0</v>
      </c>
      <c r="FA152" s="627">
        <v>1317867</v>
      </c>
      <c r="FB152" s="627">
        <v>0</v>
      </c>
      <c r="FC152" s="627">
        <v>1379704</v>
      </c>
      <c r="FD152" s="627">
        <v>0</v>
      </c>
      <c r="FE152" s="627">
        <v>0</v>
      </c>
      <c r="FF152" s="627">
        <v>198766</v>
      </c>
      <c r="FG152" s="627">
        <v>34424</v>
      </c>
      <c r="FH152" s="627">
        <v>7.0280999999999996E-2</v>
      </c>
      <c r="FI152" s="627">
        <v>3.1172999999999999E-2</v>
      </c>
      <c r="FJ152" s="627">
        <v>0</v>
      </c>
      <c r="FK152" s="627">
        <v>0</v>
      </c>
      <c r="FL152" s="627">
        <v>224.084</v>
      </c>
      <c r="FM152" s="627">
        <v>1635148</v>
      </c>
      <c r="FN152" s="627">
        <v>0</v>
      </c>
      <c r="FO152" s="627">
        <v>0</v>
      </c>
      <c r="FP152" s="627">
        <v>0</v>
      </c>
      <c r="FQ152" s="627">
        <v>0</v>
      </c>
      <c r="FR152" s="627">
        <v>0</v>
      </c>
      <c r="FS152" s="627">
        <v>0</v>
      </c>
      <c r="FT152" s="627">
        <v>0</v>
      </c>
      <c r="FU152" s="627">
        <v>0</v>
      </c>
      <c r="FV152" s="627">
        <v>0</v>
      </c>
      <c r="FW152" s="627">
        <v>0</v>
      </c>
      <c r="FX152" s="627">
        <v>0</v>
      </c>
      <c r="FY152" s="627">
        <v>0</v>
      </c>
      <c r="FZ152" s="627">
        <v>0</v>
      </c>
      <c r="GA152" s="627">
        <v>0</v>
      </c>
      <c r="GB152" s="627">
        <v>0</v>
      </c>
      <c r="GC152" s="627">
        <v>96646</v>
      </c>
      <c r="GD152" s="627">
        <v>96646</v>
      </c>
      <c r="GE152" s="627">
        <v>10.522</v>
      </c>
      <c r="GF152" s="627">
        <v>0</v>
      </c>
      <c r="GG152" s="627">
        <v>0</v>
      </c>
      <c r="GH152" s="627">
        <v>0</v>
      </c>
      <c r="GI152" s="627">
        <v>0</v>
      </c>
      <c r="GJ152" s="627">
        <v>0</v>
      </c>
      <c r="GK152" s="627">
        <v>0</v>
      </c>
      <c r="GL152" s="627">
        <v>0</v>
      </c>
      <c r="GM152" s="627">
        <v>0</v>
      </c>
      <c r="GN152" s="627">
        <v>0</v>
      </c>
      <c r="GO152" s="627">
        <v>0</v>
      </c>
      <c r="GP152" s="627">
        <v>0</v>
      </c>
      <c r="GQ152" s="627">
        <v>0</v>
      </c>
      <c r="GR152" s="627">
        <v>1550337</v>
      </c>
      <c r="GS152" s="627">
        <v>0</v>
      </c>
      <c r="GT152" s="627">
        <v>0</v>
      </c>
      <c r="GU152" s="627">
        <v>0</v>
      </c>
      <c r="GV152" s="627">
        <v>0</v>
      </c>
      <c r="GW152" s="627">
        <v>0</v>
      </c>
      <c r="GX152" s="627">
        <v>0</v>
      </c>
      <c r="GY152" s="627">
        <v>0</v>
      </c>
      <c r="GZ152" s="627">
        <v>0</v>
      </c>
      <c r="HA152" s="627">
        <v>0</v>
      </c>
      <c r="HB152" s="627">
        <v>0</v>
      </c>
      <c r="HC152" s="627">
        <v>361151439</v>
      </c>
      <c r="HD152" s="627">
        <v>3.9981999999999997E-2</v>
      </c>
      <c r="HE152" s="627">
        <v>22254</v>
      </c>
      <c r="HF152" s="627">
        <v>0</v>
      </c>
      <c r="HG152" s="627">
        <v>135274</v>
      </c>
      <c r="HH152" s="627">
        <v>3080</v>
      </c>
      <c r="HI152" s="627">
        <v>0</v>
      </c>
      <c r="HJ152" s="627">
        <v>0</v>
      </c>
      <c r="HK152" s="627">
        <v>16392</v>
      </c>
      <c r="HL152" s="627">
        <v>0</v>
      </c>
      <c r="HM152" s="627">
        <v>64</v>
      </c>
      <c r="HN152" s="627">
        <v>0</v>
      </c>
      <c r="HO152" s="627">
        <v>0</v>
      </c>
      <c r="HP152" s="627">
        <v>0</v>
      </c>
      <c r="HQ152" s="627">
        <v>0</v>
      </c>
      <c r="HR152" s="627">
        <v>0</v>
      </c>
      <c r="HS152" s="627">
        <v>0</v>
      </c>
      <c r="HT152" s="627">
        <v>1317147</v>
      </c>
      <c r="HU152" s="627">
        <v>34424</v>
      </c>
      <c r="HV152" s="627">
        <v>0</v>
      </c>
      <c r="HW152" s="627">
        <v>0</v>
      </c>
      <c r="HX152" s="627">
        <v>0</v>
      </c>
      <c r="HY152" s="627">
        <v>3</v>
      </c>
      <c r="HZ152" s="627">
        <v>23</v>
      </c>
      <c r="IA152" s="627">
        <v>18</v>
      </c>
      <c r="IB152" s="627">
        <v>32</v>
      </c>
      <c r="IC152" s="627">
        <v>25</v>
      </c>
      <c r="ID152" s="627">
        <v>101</v>
      </c>
      <c r="IE152" s="627">
        <v>0</v>
      </c>
      <c r="IF152" s="627">
        <v>0</v>
      </c>
      <c r="IG152" s="627">
        <v>0</v>
      </c>
      <c r="IH152" s="627">
        <v>5</v>
      </c>
      <c r="II152" s="627">
        <v>0</v>
      </c>
      <c r="IJ152" s="627">
        <v>0</v>
      </c>
      <c r="IK152" s="627">
        <v>1.788</v>
      </c>
      <c r="IL152" s="627">
        <v>0</v>
      </c>
      <c r="IM152" s="627">
        <v>0</v>
      </c>
      <c r="IN152" s="627">
        <v>0</v>
      </c>
      <c r="IO152" s="627">
        <v>0</v>
      </c>
      <c r="IP152" s="627">
        <v>0</v>
      </c>
      <c r="IQ152" s="627">
        <v>0</v>
      </c>
      <c r="IR152" s="627">
        <v>1.788</v>
      </c>
      <c r="IS152" s="627">
        <v>1101</v>
      </c>
      <c r="IT152" s="627">
        <v>0</v>
      </c>
      <c r="IU152" s="627">
        <v>0</v>
      </c>
      <c r="IV152" s="627">
        <v>0</v>
      </c>
      <c r="IW152" s="627">
        <v>0</v>
      </c>
      <c r="IX152" s="627">
        <v>6160</v>
      </c>
      <c r="IY152" s="627">
        <v>0</v>
      </c>
      <c r="IZ152" s="627">
        <v>0</v>
      </c>
      <c r="JA152" s="627">
        <v>0</v>
      </c>
      <c r="JB152" s="627">
        <v>0</v>
      </c>
      <c r="JC152" s="627">
        <v>0</v>
      </c>
      <c r="JD152" s="627">
        <v>0</v>
      </c>
      <c r="JE152" s="627">
        <v>0</v>
      </c>
      <c r="JF152" s="627">
        <v>0</v>
      </c>
      <c r="JG152" s="627">
        <v>0</v>
      </c>
      <c r="JH152" s="627">
        <v>0</v>
      </c>
      <c r="JI152" s="627">
        <v>0</v>
      </c>
      <c r="JJ152" s="627">
        <v>0</v>
      </c>
      <c r="JK152" s="627">
        <v>0</v>
      </c>
      <c r="JL152" s="627">
        <v>0</v>
      </c>
      <c r="JM152" s="627">
        <v>0</v>
      </c>
      <c r="JN152" s="627">
        <v>0</v>
      </c>
      <c r="JO152" s="627">
        <v>0</v>
      </c>
      <c r="JP152" s="627">
        <v>2.2800000000000002</v>
      </c>
      <c r="JQ152" s="627">
        <v>6.9220000000000006</v>
      </c>
      <c r="JR152" s="627">
        <v>1.32</v>
      </c>
      <c r="JS152" s="627">
        <v>18213</v>
      </c>
      <c r="JT152" s="627">
        <v>64342</v>
      </c>
      <c r="JU152" s="627">
        <v>14091</v>
      </c>
      <c r="JV152" s="627">
        <v>0</v>
      </c>
      <c r="JW152" s="627">
        <v>0</v>
      </c>
      <c r="JX152" s="627">
        <v>0</v>
      </c>
      <c r="JY152" s="627">
        <v>0</v>
      </c>
      <c r="JZ152" s="627">
        <v>0</v>
      </c>
      <c r="KA152" s="627">
        <v>0</v>
      </c>
      <c r="KB152" s="627">
        <v>0</v>
      </c>
      <c r="KC152" s="627">
        <v>0</v>
      </c>
      <c r="KD152" s="627">
        <v>0</v>
      </c>
      <c r="KE152" s="627">
        <v>0</v>
      </c>
      <c r="KF152" s="627">
        <v>7262</v>
      </c>
      <c r="KG152" s="627">
        <v>0</v>
      </c>
      <c r="KH152" s="627">
        <v>0</v>
      </c>
      <c r="KI152" s="627">
        <v>1550337</v>
      </c>
      <c r="KJ152" s="627">
        <v>0</v>
      </c>
      <c r="KK152" s="627">
        <v>3</v>
      </c>
      <c r="KL152" s="627">
        <v>2</v>
      </c>
      <c r="KM152" s="627">
        <v>1848</v>
      </c>
      <c r="KN152" s="627">
        <v>1232</v>
      </c>
      <c r="KO152" s="627">
        <v>0</v>
      </c>
      <c r="KP152" s="627">
        <v>0</v>
      </c>
      <c r="KQ152" s="627">
        <v>1550337</v>
      </c>
      <c r="KR152" s="627">
        <v>0</v>
      </c>
      <c r="KS152" s="627">
        <v>0</v>
      </c>
      <c r="KT152" s="627">
        <v>0</v>
      </c>
      <c r="KU152" s="627">
        <v>0</v>
      </c>
      <c r="KV152" s="627">
        <v>0</v>
      </c>
      <c r="KW152" s="627">
        <v>0</v>
      </c>
      <c r="KX152" s="627">
        <v>0</v>
      </c>
      <c r="KY152" s="627">
        <v>0</v>
      </c>
      <c r="KZ152" s="627">
        <v>0</v>
      </c>
      <c r="LA152" s="627">
        <v>0</v>
      </c>
      <c r="LB152" s="627">
        <v>0</v>
      </c>
      <c r="LC152" s="627">
        <v>0</v>
      </c>
      <c r="LD152" s="627">
        <v>0</v>
      </c>
      <c r="LE152" s="627">
        <v>0</v>
      </c>
      <c r="LF152" s="627">
        <v>0</v>
      </c>
    </row>
    <row r="153" spans="1:318" x14ac:dyDescent="0.25">
      <c r="A153" s="627">
        <v>42602</v>
      </c>
      <c r="B153" s="627">
        <v>57840</v>
      </c>
      <c r="D153" s="627">
        <v>9</v>
      </c>
      <c r="E153" s="627">
        <v>2024</v>
      </c>
      <c r="F153" s="627">
        <v>6160</v>
      </c>
      <c r="G153" s="627">
        <v>0</v>
      </c>
      <c r="H153" s="627">
        <v>264.512</v>
      </c>
      <c r="I153" s="627">
        <v>205.392</v>
      </c>
      <c r="J153" s="627">
        <v>205.392</v>
      </c>
      <c r="K153" s="627">
        <v>264.512</v>
      </c>
      <c r="L153" s="627">
        <v>0</v>
      </c>
      <c r="M153" s="627">
        <v>6160</v>
      </c>
      <c r="N153" s="627">
        <v>0</v>
      </c>
      <c r="O153" s="627">
        <v>0</v>
      </c>
      <c r="P153" s="627">
        <v>0</v>
      </c>
      <c r="Q153" s="627">
        <v>256.55200000000002</v>
      </c>
      <c r="R153" s="627">
        <v>0</v>
      </c>
      <c r="S153" s="627">
        <v>106439</v>
      </c>
      <c r="T153" s="627">
        <v>414.88400000000001</v>
      </c>
      <c r="U153" s="627">
        <v>0</v>
      </c>
      <c r="V153" s="627">
        <v>55238</v>
      </c>
      <c r="W153" s="627">
        <v>18.96</v>
      </c>
      <c r="X153" s="627">
        <v>11679</v>
      </c>
      <c r="Y153" s="627">
        <v>11679</v>
      </c>
      <c r="Z153" s="627">
        <v>0</v>
      </c>
      <c r="AA153" s="627">
        <v>0</v>
      </c>
      <c r="AB153" s="627">
        <v>0</v>
      </c>
      <c r="AC153" s="627">
        <v>0</v>
      </c>
      <c r="AD153" s="627">
        <v>0</v>
      </c>
      <c r="AE153" s="627" t="s">
        <v>314</v>
      </c>
      <c r="AF153" s="627">
        <v>0</v>
      </c>
      <c r="AG153" s="627">
        <v>0</v>
      </c>
      <c r="AH153" s="627">
        <v>0</v>
      </c>
      <c r="AI153" s="627">
        <v>0</v>
      </c>
      <c r="AJ153" s="627">
        <v>0</v>
      </c>
      <c r="AK153" s="627">
        <v>6160</v>
      </c>
      <c r="AL153" s="627" t="s">
        <v>651</v>
      </c>
      <c r="AM153" s="627" t="s">
        <v>328</v>
      </c>
      <c r="AN153" s="627">
        <v>0</v>
      </c>
      <c r="AO153" s="627">
        <v>0</v>
      </c>
      <c r="AP153" s="627">
        <v>0</v>
      </c>
      <c r="AQ153" s="627">
        <v>0</v>
      </c>
      <c r="AR153" s="627">
        <v>0</v>
      </c>
      <c r="AS153" s="627">
        <v>0</v>
      </c>
      <c r="AT153" s="627">
        <v>0</v>
      </c>
      <c r="AU153" s="627">
        <v>0</v>
      </c>
      <c r="AV153" s="627">
        <v>0</v>
      </c>
      <c r="AW153" s="627">
        <v>0</v>
      </c>
      <c r="AX153" s="627">
        <v>3121665</v>
      </c>
      <c r="AY153" s="627">
        <v>3079394</v>
      </c>
      <c r="AZ153" s="627">
        <v>1574900</v>
      </c>
      <c r="BA153" s="627">
        <v>106439</v>
      </c>
      <c r="BB153" s="627">
        <v>0</v>
      </c>
      <c r="BC153" s="627">
        <v>0</v>
      </c>
      <c r="BD153" s="627">
        <v>0</v>
      </c>
      <c r="BE153" s="627">
        <v>0</v>
      </c>
      <c r="BF153" s="627">
        <v>0</v>
      </c>
      <c r="BG153" s="627">
        <v>2722810</v>
      </c>
      <c r="BH153" s="627">
        <v>0</v>
      </c>
      <c r="BI153" s="627">
        <v>0</v>
      </c>
      <c r="BJ153" s="627">
        <v>0</v>
      </c>
      <c r="BK153" s="627">
        <v>12</v>
      </c>
      <c r="BL153" s="627">
        <v>0</v>
      </c>
      <c r="BM153" s="627">
        <v>0</v>
      </c>
      <c r="BN153" s="627">
        <v>0</v>
      </c>
      <c r="BO153" s="627">
        <v>0</v>
      </c>
      <c r="BP153" s="627">
        <v>0</v>
      </c>
      <c r="BQ153" s="627">
        <v>0</v>
      </c>
      <c r="BR153" s="627">
        <v>738</v>
      </c>
      <c r="BS153" s="627">
        <v>0</v>
      </c>
      <c r="BT153" s="627">
        <v>0</v>
      </c>
      <c r="BU153" s="627">
        <v>0</v>
      </c>
      <c r="BV153" s="627">
        <v>0</v>
      </c>
      <c r="BW153" s="627">
        <v>0</v>
      </c>
      <c r="BX153" s="627">
        <v>0</v>
      </c>
      <c r="BY153" s="627">
        <v>0</v>
      </c>
      <c r="BZ153" s="627">
        <v>0</v>
      </c>
      <c r="CA153" s="627">
        <v>0</v>
      </c>
      <c r="CB153" s="627">
        <v>0</v>
      </c>
      <c r="CC153" s="627">
        <v>0</v>
      </c>
      <c r="CD153" s="627">
        <v>0</v>
      </c>
      <c r="CE153" s="627">
        <v>0</v>
      </c>
      <c r="CF153" s="627">
        <v>0</v>
      </c>
      <c r="CG153" s="627">
        <v>0</v>
      </c>
      <c r="CH153" s="627">
        <v>0</v>
      </c>
      <c r="CI153" s="627">
        <v>42303</v>
      </c>
      <c r="CJ153" s="627">
        <v>0</v>
      </c>
      <c r="CK153" s="627">
        <v>4</v>
      </c>
      <c r="CL153" s="627">
        <v>0</v>
      </c>
      <c r="CM153" s="627">
        <v>0</v>
      </c>
      <c r="CN153" s="627">
        <v>0</v>
      </c>
      <c r="CO153" s="627">
        <v>0</v>
      </c>
      <c r="CP153" s="627">
        <v>1</v>
      </c>
      <c r="CQ153" s="627">
        <v>0</v>
      </c>
      <c r="CR153" s="627">
        <v>0</v>
      </c>
      <c r="CS153" s="627">
        <v>257.04000000000002</v>
      </c>
      <c r="CT153" s="627">
        <v>0</v>
      </c>
      <c r="CU153" s="627">
        <v>0</v>
      </c>
      <c r="CV153" s="627">
        <v>0</v>
      </c>
      <c r="CW153" s="627">
        <v>0</v>
      </c>
      <c r="CX153" s="627">
        <v>0</v>
      </c>
      <c r="CY153" s="627">
        <v>0</v>
      </c>
      <c r="CZ153" s="627">
        <v>0</v>
      </c>
      <c r="DA153" s="627">
        <v>0</v>
      </c>
      <c r="DB153" s="627">
        <v>0</v>
      </c>
      <c r="DC153" s="627">
        <v>1265215</v>
      </c>
      <c r="DD153" s="627">
        <v>0</v>
      </c>
      <c r="DE153" s="627">
        <v>0</v>
      </c>
      <c r="DF153" s="627">
        <v>55517</v>
      </c>
      <c r="DG153" s="627">
        <v>55517</v>
      </c>
      <c r="DH153" s="627">
        <v>9.0129999999999999</v>
      </c>
      <c r="DI153" s="627">
        <v>0</v>
      </c>
      <c r="DJ153" s="627">
        <v>0</v>
      </c>
      <c r="DK153" s="627">
        <v>0</v>
      </c>
      <c r="DL153" s="627">
        <v>3436</v>
      </c>
      <c r="DM153" s="627">
        <v>0</v>
      </c>
      <c r="DN153" s="627">
        <v>9269</v>
      </c>
      <c r="DO153" s="627">
        <v>32</v>
      </c>
      <c r="DP153" s="627">
        <v>0</v>
      </c>
      <c r="DQ153" s="627">
        <v>0</v>
      </c>
      <c r="DR153" s="627">
        <v>0</v>
      </c>
      <c r="DS153" s="627">
        <v>0</v>
      </c>
      <c r="DT153" s="627">
        <v>0</v>
      </c>
      <c r="DU153" s="627">
        <v>0</v>
      </c>
      <c r="DV153" s="627">
        <v>0</v>
      </c>
      <c r="DW153" s="627">
        <v>0</v>
      </c>
      <c r="DX153" s="627">
        <v>0</v>
      </c>
      <c r="DY153" s="627">
        <v>0</v>
      </c>
      <c r="DZ153" s="627">
        <v>0</v>
      </c>
      <c r="EA153" s="627">
        <v>0</v>
      </c>
      <c r="EB153" s="627">
        <v>0</v>
      </c>
      <c r="EC153" s="627">
        <v>0</v>
      </c>
      <c r="ED153" s="627">
        <v>1.3130000000000002</v>
      </c>
      <c r="EE153" s="627">
        <v>9301</v>
      </c>
      <c r="EF153" s="627">
        <v>0</v>
      </c>
      <c r="EG153" s="627">
        <v>0</v>
      </c>
      <c r="EH153" s="627">
        <v>0</v>
      </c>
      <c r="EI153" s="627">
        <v>0</v>
      </c>
      <c r="EJ153" s="627">
        <v>0</v>
      </c>
      <c r="EK153" s="627">
        <v>0</v>
      </c>
      <c r="EL153" s="627">
        <v>0</v>
      </c>
      <c r="EM153" s="627">
        <v>0</v>
      </c>
      <c r="EN153" s="627">
        <v>0</v>
      </c>
      <c r="EO153" s="627">
        <v>0</v>
      </c>
      <c r="EP153" s="627">
        <v>0</v>
      </c>
      <c r="EQ153" s="627">
        <v>0</v>
      </c>
      <c r="ER153" s="627">
        <v>0</v>
      </c>
      <c r="ES153" s="627">
        <v>0</v>
      </c>
      <c r="ET153" s="627">
        <v>0</v>
      </c>
      <c r="EU153" s="627">
        <v>0</v>
      </c>
      <c r="EV153" s="627">
        <v>0</v>
      </c>
      <c r="EW153" s="627">
        <v>0</v>
      </c>
      <c r="EX153" s="627">
        <v>0</v>
      </c>
      <c r="EY153" s="627">
        <v>0</v>
      </c>
      <c r="EZ153" s="627">
        <v>0</v>
      </c>
      <c r="FA153" s="627">
        <v>2619416</v>
      </c>
      <c r="FB153" s="627">
        <v>0</v>
      </c>
      <c r="FC153" s="627">
        <v>2725823</v>
      </c>
      <c r="FD153" s="627">
        <v>0</v>
      </c>
      <c r="FE153" s="627">
        <v>0</v>
      </c>
      <c r="FF153" s="627">
        <v>392075</v>
      </c>
      <c r="FG153" s="627">
        <v>67903</v>
      </c>
      <c r="FH153" s="627">
        <v>7.0280999999999996E-2</v>
      </c>
      <c r="FI153" s="627">
        <v>3.1172999999999999E-2</v>
      </c>
      <c r="FJ153" s="627">
        <v>0</v>
      </c>
      <c r="FK153" s="627">
        <v>0</v>
      </c>
      <c r="FL153" s="627">
        <v>442.01500000000004</v>
      </c>
      <c r="FM153" s="627">
        <v>3228104</v>
      </c>
      <c r="FN153" s="627">
        <v>0</v>
      </c>
      <c r="FO153" s="627">
        <v>0</v>
      </c>
      <c r="FP153" s="627">
        <v>0</v>
      </c>
      <c r="FQ153" s="627">
        <v>0</v>
      </c>
      <c r="FR153" s="627">
        <v>0</v>
      </c>
      <c r="FS153" s="627">
        <v>0</v>
      </c>
      <c r="FT153" s="627">
        <v>0</v>
      </c>
      <c r="FU153" s="627">
        <v>0</v>
      </c>
      <c r="FV153" s="627">
        <v>0</v>
      </c>
      <c r="FW153" s="627">
        <v>0</v>
      </c>
      <c r="FX153" s="627">
        <v>0</v>
      </c>
      <c r="FY153" s="627">
        <v>0</v>
      </c>
      <c r="FZ153" s="627">
        <v>0</v>
      </c>
      <c r="GA153" s="627">
        <v>0</v>
      </c>
      <c r="GB153" s="627">
        <v>0</v>
      </c>
      <c r="GC153" s="627">
        <v>610111</v>
      </c>
      <c r="GD153" s="627">
        <v>610111</v>
      </c>
      <c r="GE153" s="627">
        <v>59.120000000000005</v>
      </c>
      <c r="GF153" s="627">
        <v>0</v>
      </c>
      <c r="GG153" s="627">
        <v>0</v>
      </c>
      <c r="GH153" s="627">
        <v>0</v>
      </c>
      <c r="GI153" s="627">
        <v>0</v>
      </c>
      <c r="GJ153" s="627">
        <v>0</v>
      </c>
      <c r="GK153" s="627">
        <v>0</v>
      </c>
      <c r="GL153" s="627">
        <v>0</v>
      </c>
      <c r="GM153" s="627">
        <v>0</v>
      </c>
      <c r="GN153" s="627">
        <v>0</v>
      </c>
      <c r="GO153" s="627">
        <v>0</v>
      </c>
      <c r="GP153" s="627">
        <v>0</v>
      </c>
      <c r="GQ153" s="627">
        <v>0</v>
      </c>
      <c r="GR153" s="627">
        <v>3079362</v>
      </c>
      <c r="GS153" s="627">
        <v>0</v>
      </c>
      <c r="GT153" s="627">
        <v>0</v>
      </c>
      <c r="GU153" s="627">
        <v>0</v>
      </c>
      <c r="GV153" s="627">
        <v>0</v>
      </c>
      <c r="GW153" s="627">
        <v>0</v>
      </c>
      <c r="GX153" s="627">
        <v>0</v>
      </c>
      <c r="GY153" s="627">
        <v>0</v>
      </c>
      <c r="GZ153" s="627">
        <v>0</v>
      </c>
      <c r="HA153" s="627">
        <v>0</v>
      </c>
      <c r="HB153" s="627">
        <v>0</v>
      </c>
      <c r="HC153" s="627">
        <v>361151439</v>
      </c>
      <c r="HD153" s="627">
        <v>3.9981999999999997E-2</v>
      </c>
      <c r="HE153" s="627">
        <v>42303</v>
      </c>
      <c r="HF153" s="627">
        <v>0</v>
      </c>
      <c r="HG153" s="627">
        <v>226342</v>
      </c>
      <c r="HH153" s="627">
        <v>0</v>
      </c>
      <c r="HI153" s="627">
        <v>0</v>
      </c>
      <c r="HJ153" s="627">
        <v>0</v>
      </c>
      <c r="HK153" s="627">
        <v>17645</v>
      </c>
      <c r="HL153" s="627">
        <v>0</v>
      </c>
      <c r="HM153" s="627">
        <v>3045</v>
      </c>
      <c r="HN153" s="627">
        <v>527000</v>
      </c>
      <c r="HO153" s="627">
        <v>0</v>
      </c>
      <c r="HP153" s="627">
        <v>0</v>
      </c>
      <c r="HQ153" s="627">
        <v>0</v>
      </c>
      <c r="HR153" s="627">
        <v>0</v>
      </c>
      <c r="HS153" s="627">
        <v>0</v>
      </c>
      <c r="HT153" s="627">
        <v>2619384</v>
      </c>
      <c r="HU153" s="627">
        <v>67903</v>
      </c>
      <c r="HV153" s="627">
        <v>0</v>
      </c>
      <c r="HW153" s="627">
        <v>0</v>
      </c>
      <c r="HX153" s="627">
        <v>0</v>
      </c>
      <c r="HY153" s="627">
        <v>16</v>
      </c>
      <c r="HZ153" s="627">
        <v>4</v>
      </c>
      <c r="IA153" s="627">
        <v>7</v>
      </c>
      <c r="IB153" s="627">
        <v>3</v>
      </c>
      <c r="IC153" s="627">
        <v>7</v>
      </c>
      <c r="ID153" s="627">
        <v>37</v>
      </c>
      <c r="IE153" s="627">
        <v>0</v>
      </c>
      <c r="IF153" s="627">
        <v>0</v>
      </c>
      <c r="IG153" s="627">
        <v>0</v>
      </c>
      <c r="IH153" s="627">
        <v>0</v>
      </c>
      <c r="II153" s="627">
        <v>0</v>
      </c>
      <c r="IJ153" s="627">
        <v>0</v>
      </c>
      <c r="IK153" s="627">
        <v>18.96</v>
      </c>
      <c r="IL153" s="627">
        <v>0</v>
      </c>
      <c r="IM153" s="627">
        <v>28</v>
      </c>
      <c r="IN153" s="627">
        <v>129</v>
      </c>
      <c r="IO153" s="627">
        <v>0</v>
      </c>
      <c r="IP153" s="627">
        <v>157</v>
      </c>
      <c r="IQ153" s="627">
        <v>0</v>
      </c>
      <c r="IR153" s="627">
        <v>18.96</v>
      </c>
      <c r="IS153" s="627">
        <v>11679</v>
      </c>
      <c r="IT153" s="627">
        <v>0</v>
      </c>
      <c r="IU153" s="627">
        <v>140000</v>
      </c>
      <c r="IV153" s="627">
        <v>387000</v>
      </c>
      <c r="IW153" s="627">
        <v>0</v>
      </c>
      <c r="IX153" s="627">
        <v>6160</v>
      </c>
      <c r="IY153" s="627">
        <v>0</v>
      </c>
      <c r="IZ153" s="627">
        <v>0</v>
      </c>
      <c r="JA153" s="627">
        <v>0</v>
      </c>
      <c r="JB153" s="627">
        <v>0</v>
      </c>
      <c r="JC153" s="627">
        <v>0</v>
      </c>
      <c r="JD153" s="627">
        <v>0</v>
      </c>
      <c r="JE153" s="627">
        <v>0</v>
      </c>
      <c r="JF153" s="627">
        <v>0</v>
      </c>
      <c r="JG153" s="627">
        <v>0</v>
      </c>
      <c r="JH153" s="627">
        <v>0</v>
      </c>
      <c r="JI153" s="627">
        <v>0</v>
      </c>
      <c r="JJ153" s="627">
        <v>0</v>
      </c>
      <c r="JK153" s="627">
        <v>0</v>
      </c>
      <c r="JL153" s="627">
        <v>0</v>
      </c>
      <c r="JM153" s="627">
        <v>0</v>
      </c>
      <c r="JN153" s="627">
        <v>0</v>
      </c>
      <c r="JO153" s="627">
        <v>32469</v>
      </c>
      <c r="JP153" s="627">
        <v>3.2230000000000003</v>
      </c>
      <c r="JQ153" s="627">
        <v>8.9380000000000006</v>
      </c>
      <c r="JR153" s="627">
        <v>46.958000000000006</v>
      </c>
      <c r="JS153" s="627">
        <v>25746</v>
      </c>
      <c r="JT153" s="627">
        <v>83082</v>
      </c>
      <c r="JU153" s="627">
        <v>501283</v>
      </c>
      <c r="JV153" s="627">
        <v>0</v>
      </c>
      <c r="JW153" s="627">
        <v>0</v>
      </c>
      <c r="JX153" s="627">
        <v>0</v>
      </c>
      <c r="JY153" s="627">
        <v>0</v>
      </c>
      <c r="JZ153" s="627">
        <v>0</v>
      </c>
      <c r="KA153" s="627">
        <v>0</v>
      </c>
      <c r="KB153" s="627">
        <v>0</v>
      </c>
      <c r="KC153" s="627">
        <v>0</v>
      </c>
      <c r="KD153" s="627">
        <v>0</v>
      </c>
      <c r="KE153" s="627">
        <v>0</v>
      </c>
      <c r="KF153" s="627">
        <v>7262</v>
      </c>
      <c r="KG153" s="627">
        <v>0</v>
      </c>
      <c r="KH153" s="627">
        <v>0</v>
      </c>
      <c r="KI153" s="627">
        <v>3079362</v>
      </c>
      <c r="KJ153" s="627">
        <v>0</v>
      </c>
      <c r="KK153" s="627">
        <v>0</v>
      </c>
      <c r="KL153" s="627">
        <v>0</v>
      </c>
      <c r="KM153" s="627">
        <v>0</v>
      </c>
      <c r="KN153" s="627">
        <v>0</v>
      </c>
      <c r="KO153" s="627">
        <v>0</v>
      </c>
      <c r="KP153" s="627">
        <v>0</v>
      </c>
      <c r="KQ153" s="627">
        <v>3079362</v>
      </c>
      <c r="KR153" s="627">
        <v>0</v>
      </c>
      <c r="KS153" s="627">
        <v>0</v>
      </c>
      <c r="KT153" s="627">
        <v>0</v>
      </c>
      <c r="KU153" s="627">
        <v>0</v>
      </c>
      <c r="KV153" s="627">
        <v>0</v>
      </c>
      <c r="KW153" s="627">
        <v>0</v>
      </c>
      <c r="KX153" s="627">
        <v>0</v>
      </c>
      <c r="KY153" s="627">
        <v>0</v>
      </c>
      <c r="KZ153" s="627">
        <v>0</v>
      </c>
      <c r="LA153" s="627">
        <v>0</v>
      </c>
      <c r="LB153" s="627">
        <v>0</v>
      </c>
      <c r="LC153" s="627">
        <v>0</v>
      </c>
      <c r="LD153" s="627">
        <v>0</v>
      </c>
      <c r="LE153" s="627">
        <v>0</v>
      </c>
      <c r="LF153" s="627">
        <v>0</v>
      </c>
    </row>
    <row r="154" spans="1:318" x14ac:dyDescent="0.25">
      <c r="A154" s="627">
        <v>42602</v>
      </c>
      <c r="B154" s="627">
        <v>101840</v>
      </c>
      <c r="D154" s="627">
        <v>9</v>
      </c>
      <c r="E154" s="627">
        <v>2024</v>
      </c>
      <c r="F154" s="627">
        <v>6160</v>
      </c>
      <c r="G154" s="627">
        <v>0</v>
      </c>
      <c r="H154" s="627">
        <v>300.233</v>
      </c>
      <c r="I154" s="627">
        <v>292.95999999999998</v>
      </c>
      <c r="J154" s="627">
        <v>292.95999999999998</v>
      </c>
      <c r="K154" s="627">
        <v>300.233</v>
      </c>
      <c r="L154" s="627">
        <v>0</v>
      </c>
      <c r="M154" s="627">
        <v>6160</v>
      </c>
      <c r="N154" s="627">
        <v>0</v>
      </c>
      <c r="O154" s="627">
        <v>0</v>
      </c>
      <c r="P154" s="627">
        <v>0</v>
      </c>
      <c r="Q154" s="627">
        <v>337.11700000000002</v>
      </c>
      <c r="R154" s="627">
        <v>0</v>
      </c>
      <c r="S154" s="627">
        <v>139864</v>
      </c>
      <c r="T154" s="627">
        <v>414.88400000000001</v>
      </c>
      <c r="U154" s="627">
        <v>0</v>
      </c>
      <c r="V154" s="627">
        <v>72583</v>
      </c>
      <c r="W154" s="627">
        <v>9.5500000000000007</v>
      </c>
      <c r="X154" s="627">
        <v>5883</v>
      </c>
      <c r="Y154" s="627">
        <v>5883</v>
      </c>
      <c r="Z154" s="627">
        <v>0</v>
      </c>
      <c r="AA154" s="627">
        <v>0</v>
      </c>
      <c r="AB154" s="627">
        <v>0</v>
      </c>
      <c r="AC154" s="627">
        <v>0</v>
      </c>
      <c r="AD154" s="627">
        <v>0</v>
      </c>
      <c r="AE154" s="627" t="s">
        <v>314</v>
      </c>
      <c r="AF154" s="627">
        <v>0</v>
      </c>
      <c r="AG154" s="627">
        <v>0</v>
      </c>
      <c r="AH154" s="627">
        <v>0</v>
      </c>
      <c r="AI154" s="627">
        <v>0</v>
      </c>
      <c r="AJ154" s="627">
        <v>0</v>
      </c>
      <c r="AK154" s="627">
        <v>6160</v>
      </c>
      <c r="AL154" s="627" t="s">
        <v>651</v>
      </c>
      <c r="AM154" s="627" t="s">
        <v>29</v>
      </c>
      <c r="AN154" s="627">
        <v>0</v>
      </c>
      <c r="AO154" s="627">
        <v>0</v>
      </c>
      <c r="AP154" s="627">
        <v>0</v>
      </c>
      <c r="AQ154" s="627">
        <v>0</v>
      </c>
      <c r="AR154" s="627">
        <v>0</v>
      </c>
      <c r="AS154" s="627">
        <v>0</v>
      </c>
      <c r="AT154" s="627">
        <v>0</v>
      </c>
      <c r="AU154" s="627">
        <v>0</v>
      </c>
      <c r="AV154" s="627">
        <v>0</v>
      </c>
      <c r="AW154" s="627">
        <v>0</v>
      </c>
      <c r="AX154" s="627">
        <v>3532156</v>
      </c>
      <c r="AY154" s="627">
        <v>3484685</v>
      </c>
      <c r="AZ154" s="627">
        <v>1839656</v>
      </c>
      <c r="BA154" s="627">
        <v>139864</v>
      </c>
      <c r="BB154" s="627">
        <v>26.583000000000002</v>
      </c>
      <c r="BC154" s="627">
        <v>3409</v>
      </c>
      <c r="BD154" s="627">
        <v>3387</v>
      </c>
      <c r="BE154" s="627">
        <v>8</v>
      </c>
      <c r="BF154" s="627">
        <v>22</v>
      </c>
      <c r="BG154" s="627">
        <v>3100729</v>
      </c>
      <c r="BH154" s="627">
        <v>0</v>
      </c>
      <c r="BI154" s="627">
        <v>0</v>
      </c>
      <c r="BJ154" s="627">
        <v>0</v>
      </c>
      <c r="BK154" s="627">
        <v>12</v>
      </c>
      <c r="BL154" s="627">
        <v>0</v>
      </c>
      <c r="BM154" s="627">
        <v>0</v>
      </c>
      <c r="BN154" s="627">
        <v>0</v>
      </c>
      <c r="BO154" s="627">
        <v>0</v>
      </c>
      <c r="BP154" s="627">
        <v>0</v>
      </c>
      <c r="BQ154" s="627">
        <v>0</v>
      </c>
      <c r="BR154" s="627">
        <v>725</v>
      </c>
      <c r="BS154" s="627">
        <v>0</v>
      </c>
      <c r="BT154" s="627">
        <v>0</v>
      </c>
      <c r="BU154" s="627">
        <v>0</v>
      </c>
      <c r="BV154" s="627">
        <v>0</v>
      </c>
      <c r="BW154" s="627">
        <v>0</v>
      </c>
      <c r="BX154" s="627">
        <v>0</v>
      </c>
      <c r="BY154" s="627">
        <v>0</v>
      </c>
      <c r="BZ154" s="627">
        <v>0</v>
      </c>
      <c r="CA154" s="627">
        <v>0</v>
      </c>
      <c r="CB154" s="627">
        <v>0</v>
      </c>
      <c r="CC154" s="627">
        <v>0</v>
      </c>
      <c r="CD154" s="627">
        <v>0</v>
      </c>
      <c r="CE154" s="627">
        <v>0</v>
      </c>
      <c r="CF154" s="627">
        <v>0</v>
      </c>
      <c r="CG154" s="627">
        <v>0</v>
      </c>
      <c r="CH154" s="627">
        <v>0</v>
      </c>
      <c r="CI154" s="627">
        <v>48016</v>
      </c>
      <c r="CJ154" s="627">
        <v>0</v>
      </c>
      <c r="CK154" s="627">
        <v>4</v>
      </c>
      <c r="CL154" s="627">
        <v>0</v>
      </c>
      <c r="CM154" s="627">
        <v>0</v>
      </c>
      <c r="CN154" s="627">
        <v>0</v>
      </c>
      <c r="CO154" s="627">
        <v>0</v>
      </c>
      <c r="CP154" s="627">
        <v>1</v>
      </c>
      <c r="CQ154" s="627">
        <v>0</v>
      </c>
      <c r="CR154" s="627">
        <v>0</v>
      </c>
      <c r="CS154" s="627">
        <v>335.75</v>
      </c>
      <c r="CT154" s="627">
        <v>0</v>
      </c>
      <c r="CU154" s="627">
        <v>0</v>
      </c>
      <c r="CV154" s="627">
        <v>0</v>
      </c>
      <c r="CW154" s="627">
        <v>0</v>
      </c>
      <c r="CX154" s="627">
        <v>0</v>
      </c>
      <c r="CY154" s="627">
        <v>0</v>
      </c>
      <c r="CZ154" s="627">
        <v>0</v>
      </c>
      <c r="DA154" s="627">
        <v>0</v>
      </c>
      <c r="DB154" s="627">
        <v>0</v>
      </c>
      <c r="DC154" s="627">
        <v>1804634</v>
      </c>
      <c r="DD154" s="627">
        <v>0</v>
      </c>
      <c r="DE154" s="627">
        <v>0</v>
      </c>
      <c r="DF154" s="627">
        <v>667590</v>
      </c>
      <c r="DG154" s="627">
        <v>667590</v>
      </c>
      <c r="DH154" s="627">
        <v>108.375</v>
      </c>
      <c r="DI154" s="627">
        <v>0</v>
      </c>
      <c r="DJ154" s="627">
        <v>0</v>
      </c>
      <c r="DK154" s="627">
        <v>0</v>
      </c>
      <c r="DL154" s="627">
        <v>3221</v>
      </c>
      <c r="DM154" s="627">
        <v>0</v>
      </c>
      <c r="DN154" s="627">
        <v>153575</v>
      </c>
      <c r="DO154" s="627">
        <v>523</v>
      </c>
      <c r="DP154" s="627">
        <v>0</v>
      </c>
      <c r="DQ154" s="627">
        <v>0</v>
      </c>
      <c r="DR154" s="627">
        <v>0</v>
      </c>
      <c r="DS154" s="627">
        <v>0</v>
      </c>
      <c r="DT154" s="627">
        <v>0</v>
      </c>
      <c r="DU154" s="627">
        <v>0</v>
      </c>
      <c r="DV154" s="627">
        <v>0</v>
      </c>
      <c r="DW154" s="627">
        <v>0</v>
      </c>
      <c r="DX154" s="627">
        <v>0</v>
      </c>
      <c r="DY154" s="627">
        <v>0</v>
      </c>
      <c r="DZ154" s="627">
        <v>0</v>
      </c>
      <c r="EA154" s="627">
        <v>0</v>
      </c>
      <c r="EB154" s="627">
        <v>0</v>
      </c>
      <c r="EC154" s="627">
        <v>0</v>
      </c>
      <c r="ED154" s="627">
        <v>1.5920000000000001</v>
      </c>
      <c r="EE154" s="627">
        <v>11278</v>
      </c>
      <c r="EF154" s="627">
        <v>0</v>
      </c>
      <c r="EG154" s="627">
        <v>0</v>
      </c>
      <c r="EH154" s="627">
        <v>0</v>
      </c>
      <c r="EI154" s="627">
        <v>142820</v>
      </c>
      <c r="EJ154" s="627">
        <v>0</v>
      </c>
      <c r="EK154" s="627">
        <v>0</v>
      </c>
      <c r="EL154" s="627">
        <v>6.59</v>
      </c>
      <c r="EM154" s="627">
        <v>0</v>
      </c>
      <c r="EN154" s="627">
        <v>0</v>
      </c>
      <c r="EO154" s="627">
        <v>0.68300000000000005</v>
      </c>
      <c r="EP154" s="627">
        <v>0</v>
      </c>
      <c r="EQ154" s="627">
        <v>0</v>
      </c>
      <c r="ER154" s="627">
        <v>7.2730000000000006</v>
      </c>
      <c r="ES154" s="627">
        <v>0</v>
      </c>
      <c r="ET154" s="627">
        <v>23.185000000000002</v>
      </c>
      <c r="EU154" s="627">
        <v>0</v>
      </c>
      <c r="EV154" s="627">
        <v>0</v>
      </c>
      <c r="EW154" s="627">
        <v>0</v>
      </c>
      <c r="EX154" s="627">
        <v>0</v>
      </c>
      <c r="EY154" s="627">
        <v>0</v>
      </c>
      <c r="EZ154" s="627">
        <v>0</v>
      </c>
      <c r="FA154" s="627">
        <v>2960865</v>
      </c>
      <c r="FB154" s="627">
        <v>0</v>
      </c>
      <c r="FC154" s="627">
        <v>3100184</v>
      </c>
      <c r="FD154" s="627">
        <v>0</v>
      </c>
      <c r="FE154" s="627">
        <v>0</v>
      </c>
      <c r="FF154" s="627">
        <v>446493</v>
      </c>
      <c r="FG154" s="627">
        <v>77327</v>
      </c>
      <c r="FH154" s="627">
        <v>7.0280999999999996E-2</v>
      </c>
      <c r="FI154" s="627">
        <v>3.1172999999999999E-2</v>
      </c>
      <c r="FJ154" s="627">
        <v>0</v>
      </c>
      <c r="FK154" s="627">
        <v>0</v>
      </c>
      <c r="FL154" s="627">
        <v>503.36500000000001</v>
      </c>
      <c r="FM154" s="627">
        <v>3672020</v>
      </c>
      <c r="FN154" s="627">
        <v>0</v>
      </c>
      <c r="FO154" s="627">
        <v>0</v>
      </c>
      <c r="FP154" s="627">
        <v>0</v>
      </c>
      <c r="FQ154" s="627">
        <v>0</v>
      </c>
      <c r="FR154" s="627">
        <v>0</v>
      </c>
      <c r="FS154" s="627">
        <v>0</v>
      </c>
      <c r="FT154" s="627">
        <v>0</v>
      </c>
      <c r="FU154" s="627">
        <v>0</v>
      </c>
      <c r="FV154" s="627">
        <v>0</v>
      </c>
      <c r="FW154" s="627">
        <v>0</v>
      </c>
      <c r="FX154" s="627">
        <v>0</v>
      </c>
      <c r="FY154" s="627">
        <v>0</v>
      </c>
      <c r="FZ154" s="627">
        <v>0</v>
      </c>
      <c r="GA154" s="627">
        <v>0</v>
      </c>
      <c r="GB154" s="627">
        <v>0</v>
      </c>
      <c r="GC154" s="627">
        <v>0</v>
      </c>
      <c r="GD154" s="627">
        <v>0</v>
      </c>
      <c r="GE154" s="627">
        <v>0</v>
      </c>
      <c r="GF154" s="627">
        <v>0</v>
      </c>
      <c r="GG154" s="627">
        <v>0</v>
      </c>
      <c r="GH154" s="627">
        <v>0</v>
      </c>
      <c r="GI154" s="627">
        <v>0</v>
      </c>
      <c r="GJ154" s="627">
        <v>0</v>
      </c>
      <c r="GK154" s="627">
        <v>0</v>
      </c>
      <c r="GL154" s="627">
        <v>0</v>
      </c>
      <c r="GM154" s="627">
        <v>0</v>
      </c>
      <c r="GN154" s="627">
        <v>0</v>
      </c>
      <c r="GO154" s="627">
        <v>0</v>
      </c>
      <c r="GP154" s="627">
        <v>0</v>
      </c>
      <c r="GQ154" s="627">
        <v>0</v>
      </c>
      <c r="GR154" s="627">
        <v>3484140</v>
      </c>
      <c r="GS154" s="627">
        <v>0</v>
      </c>
      <c r="GT154" s="627">
        <v>0</v>
      </c>
      <c r="GU154" s="627">
        <v>0</v>
      </c>
      <c r="GV154" s="627">
        <v>0</v>
      </c>
      <c r="GW154" s="627">
        <v>0</v>
      </c>
      <c r="GX154" s="627">
        <v>0</v>
      </c>
      <c r="GY154" s="627">
        <v>0</v>
      </c>
      <c r="GZ154" s="627">
        <v>0</v>
      </c>
      <c r="HA154" s="627">
        <v>0</v>
      </c>
      <c r="HB154" s="627">
        <v>0</v>
      </c>
      <c r="HC154" s="627">
        <v>361151439</v>
      </c>
      <c r="HD154" s="627">
        <v>3.9981999999999997E-2</v>
      </c>
      <c r="HE154" s="627">
        <v>48016</v>
      </c>
      <c r="HF154" s="627">
        <v>0</v>
      </c>
      <c r="HG154" s="627">
        <v>322842</v>
      </c>
      <c r="HH154" s="627">
        <v>0</v>
      </c>
      <c r="HI154" s="627">
        <v>94271</v>
      </c>
      <c r="HJ154" s="627">
        <v>0</v>
      </c>
      <c r="HK154" s="627">
        <v>48002</v>
      </c>
      <c r="HL154" s="627">
        <v>0</v>
      </c>
      <c r="HM154" s="627">
        <v>0</v>
      </c>
      <c r="HN154" s="627">
        <v>0</v>
      </c>
      <c r="HO154" s="627">
        <v>0</v>
      </c>
      <c r="HP154" s="627">
        <v>0</v>
      </c>
      <c r="HQ154" s="627">
        <v>0</v>
      </c>
      <c r="HR154" s="627">
        <v>0</v>
      </c>
      <c r="HS154" s="627">
        <v>0</v>
      </c>
      <c r="HT154" s="627">
        <v>2960320</v>
      </c>
      <c r="HU154" s="627">
        <v>77327</v>
      </c>
      <c r="HV154" s="627">
        <v>0</v>
      </c>
      <c r="HW154" s="627">
        <v>0</v>
      </c>
      <c r="HX154" s="627">
        <v>0</v>
      </c>
      <c r="HY154" s="627">
        <v>28</v>
      </c>
      <c r="HZ154" s="627">
        <v>66</v>
      </c>
      <c r="IA154" s="627">
        <v>56</v>
      </c>
      <c r="IB154" s="627">
        <v>82</v>
      </c>
      <c r="IC154" s="627">
        <v>185</v>
      </c>
      <c r="ID154" s="627">
        <v>417</v>
      </c>
      <c r="IE154" s="627">
        <v>0</v>
      </c>
      <c r="IF154" s="627">
        <v>0</v>
      </c>
      <c r="IG154" s="627">
        <v>0</v>
      </c>
      <c r="IH154" s="627">
        <v>0</v>
      </c>
      <c r="II154" s="627">
        <v>153.03800000000001</v>
      </c>
      <c r="IJ154" s="627">
        <v>0</v>
      </c>
      <c r="IK154" s="627">
        <v>9.5500000000000007</v>
      </c>
      <c r="IL154" s="627">
        <v>0</v>
      </c>
      <c r="IM154" s="627">
        <v>0</v>
      </c>
      <c r="IN154" s="627">
        <v>0</v>
      </c>
      <c r="IO154" s="627">
        <v>0</v>
      </c>
      <c r="IP154" s="627">
        <v>0</v>
      </c>
      <c r="IQ154" s="627">
        <v>0</v>
      </c>
      <c r="IR154" s="627">
        <v>9.5500000000000007</v>
      </c>
      <c r="IS154" s="627">
        <v>5883</v>
      </c>
      <c r="IT154" s="627">
        <v>0</v>
      </c>
      <c r="IU154" s="627">
        <v>0</v>
      </c>
      <c r="IV154" s="627">
        <v>0</v>
      </c>
      <c r="IW154" s="627">
        <v>0</v>
      </c>
      <c r="IX154" s="627">
        <v>6160</v>
      </c>
      <c r="IY154" s="627">
        <v>0</v>
      </c>
      <c r="IZ154" s="627">
        <v>0</v>
      </c>
      <c r="JA154" s="627">
        <v>0</v>
      </c>
      <c r="JB154" s="627">
        <v>0</v>
      </c>
      <c r="JC154" s="627">
        <v>0</v>
      </c>
      <c r="JD154" s="627">
        <v>0</v>
      </c>
      <c r="JE154" s="627">
        <v>0</v>
      </c>
      <c r="JF154" s="627">
        <v>0</v>
      </c>
      <c r="JG154" s="627">
        <v>0</v>
      </c>
      <c r="JH154" s="627">
        <v>0</v>
      </c>
      <c r="JI154" s="627">
        <v>0</v>
      </c>
      <c r="JJ154" s="627">
        <v>0</v>
      </c>
      <c r="JK154" s="627">
        <v>0</v>
      </c>
      <c r="JL154" s="627">
        <v>0</v>
      </c>
      <c r="JM154" s="627">
        <v>0</v>
      </c>
      <c r="JN154" s="627">
        <v>0</v>
      </c>
      <c r="JO154" s="627">
        <v>32469</v>
      </c>
      <c r="JP154" s="627">
        <v>0</v>
      </c>
      <c r="JQ154" s="627">
        <v>0</v>
      </c>
      <c r="JR154" s="627">
        <v>0</v>
      </c>
      <c r="JS154" s="627">
        <v>0</v>
      </c>
      <c r="JT154" s="627">
        <v>0</v>
      </c>
      <c r="JU154" s="627">
        <v>0</v>
      </c>
      <c r="JV154" s="627">
        <v>3450</v>
      </c>
      <c r="JW154" s="627">
        <v>0</v>
      </c>
      <c r="JX154" s="627">
        <v>0</v>
      </c>
      <c r="JY154" s="627">
        <v>0</v>
      </c>
      <c r="JZ154" s="627">
        <v>0</v>
      </c>
      <c r="KA154" s="627">
        <v>0</v>
      </c>
      <c r="KB154" s="627">
        <v>0</v>
      </c>
      <c r="KC154" s="627">
        <v>0</v>
      </c>
      <c r="KD154" s="627">
        <v>0</v>
      </c>
      <c r="KE154" s="627">
        <v>3450</v>
      </c>
      <c r="KF154" s="627">
        <v>7262</v>
      </c>
      <c r="KG154" s="627">
        <v>0</v>
      </c>
      <c r="KH154" s="627">
        <v>0</v>
      </c>
      <c r="KI154" s="627">
        <v>3484140</v>
      </c>
      <c r="KJ154" s="627">
        <v>0</v>
      </c>
      <c r="KK154" s="627">
        <v>0</v>
      </c>
      <c r="KL154" s="627">
        <v>0</v>
      </c>
      <c r="KM154" s="627">
        <v>0</v>
      </c>
      <c r="KN154" s="627">
        <v>0</v>
      </c>
      <c r="KO154" s="627">
        <v>0</v>
      </c>
      <c r="KP154" s="627">
        <v>0</v>
      </c>
      <c r="KQ154" s="627">
        <v>3484140</v>
      </c>
      <c r="KR154" s="627">
        <v>0</v>
      </c>
      <c r="KS154" s="627">
        <v>0</v>
      </c>
      <c r="KT154" s="627">
        <v>0</v>
      </c>
      <c r="KU154" s="627">
        <v>0</v>
      </c>
      <c r="KV154" s="627">
        <v>0</v>
      </c>
      <c r="KW154" s="627">
        <v>0</v>
      </c>
      <c r="KX154" s="627">
        <v>0</v>
      </c>
      <c r="KY154" s="627">
        <v>0</v>
      </c>
      <c r="KZ154" s="627">
        <v>0</v>
      </c>
      <c r="LA154" s="627">
        <v>0</v>
      </c>
      <c r="LB154" s="627">
        <v>0</v>
      </c>
      <c r="LC154" s="627">
        <v>0</v>
      </c>
      <c r="LD154" s="627">
        <v>0</v>
      </c>
      <c r="LE154" s="627">
        <v>0</v>
      </c>
      <c r="LF154" s="627">
        <v>0</v>
      </c>
    </row>
    <row r="155" spans="1:318" x14ac:dyDescent="0.25">
      <c r="A155" s="627">
        <v>42602</v>
      </c>
      <c r="B155" s="627">
        <v>15841</v>
      </c>
      <c r="D155" s="627">
        <v>9</v>
      </c>
      <c r="E155" s="627">
        <v>2024</v>
      </c>
      <c r="F155" s="627">
        <v>6160</v>
      </c>
      <c r="G155" s="627">
        <v>0</v>
      </c>
      <c r="H155" s="627">
        <v>532.43000000000006</v>
      </c>
      <c r="I155" s="627">
        <v>496.73600000000005</v>
      </c>
      <c r="J155" s="627">
        <v>496.73600000000005</v>
      </c>
      <c r="K155" s="627">
        <v>532.43000000000006</v>
      </c>
      <c r="L155" s="627">
        <v>0</v>
      </c>
      <c r="M155" s="627">
        <v>6160</v>
      </c>
      <c r="N155" s="627">
        <v>0</v>
      </c>
      <c r="O155" s="627">
        <v>0</v>
      </c>
      <c r="P155" s="627">
        <v>0</v>
      </c>
      <c r="Q155" s="627">
        <v>538.31700000000001</v>
      </c>
      <c r="R155" s="627">
        <v>0</v>
      </c>
      <c r="S155" s="627">
        <v>223339</v>
      </c>
      <c r="T155" s="627">
        <v>414.88400000000001</v>
      </c>
      <c r="U155" s="627">
        <v>0</v>
      </c>
      <c r="V155" s="627">
        <v>115904</v>
      </c>
      <c r="W155" s="627">
        <v>12.617000000000001</v>
      </c>
      <c r="X155" s="627">
        <v>7772</v>
      </c>
      <c r="Y155" s="627">
        <v>7772</v>
      </c>
      <c r="Z155" s="627">
        <v>0</v>
      </c>
      <c r="AA155" s="627">
        <v>0</v>
      </c>
      <c r="AB155" s="627">
        <v>0</v>
      </c>
      <c r="AC155" s="627">
        <v>0</v>
      </c>
      <c r="AD155" s="627">
        <v>0</v>
      </c>
      <c r="AE155" s="627" t="s">
        <v>314</v>
      </c>
      <c r="AF155" s="627">
        <v>0</v>
      </c>
      <c r="AG155" s="627">
        <v>0</v>
      </c>
      <c r="AH155" s="627">
        <v>0</v>
      </c>
      <c r="AI155" s="627">
        <v>0</v>
      </c>
      <c r="AJ155" s="627">
        <v>0</v>
      </c>
      <c r="AK155" s="627">
        <v>6160</v>
      </c>
      <c r="AL155" s="627" t="s">
        <v>651</v>
      </c>
      <c r="AM155" s="627" t="s">
        <v>538</v>
      </c>
      <c r="AN155" s="627">
        <v>0</v>
      </c>
      <c r="AO155" s="627">
        <v>0</v>
      </c>
      <c r="AP155" s="627">
        <v>0</v>
      </c>
      <c r="AQ155" s="627">
        <v>0</v>
      </c>
      <c r="AR155" s="627">
        <v>0</v>
      </c>
      <c r="AS155" s="627">
        <v>0</v>
      </c>
      <c r="AT155" s="627">
        <v>0</v>
      </c>
      <c r="AU155" s="627">
        <v>0</v>
      </c>
      <c r="AV155" s="627">
        <v>0</v>
      </c>
      <c r="AW155" s="627">
        <v>0</v>
      </c>
      <c r="AX155" s="627">
        <v>5941194</v>
      </c>
      <c r="AY155" s="627">
        <v>5943896</v>
      </c>
      <c r="AZ155" s="627">
        <v>3975262</v>
      </c>
      <c r="BA155" s="627">
        <v>223339</v>
      </c>
      <c r="BB155" s="627">
        <v>0</v>
      </c>
      <c r="BC155" s="627">
        <v>0</v>
      </c>
      <c r="BD155" s="627">
        <v>0</v>
      </c>
      <c r="BE155" s="627">
        <v>0</v>
      </c>
      <c r="BF155" s="627">
        <v>0</v>
      </c>
      <c r="BG155" s="627">
        <v>5275945</v>
      </c>
      <c r="BH155" s="627">
        <v>0</v>
      </c>
      <c r="BI155" s="627">
        <v>0</v>
      </c>
      <c r="BJ155" s="627">
        <v>0</v>
      </c>
      <c r="BK155" s="627">
        <v>12</v>
      </c>
      <c r="BL155" s="627">
        <v>0</v>
      </c>
      <c r="BM155" s="627">
        <v>0</v>
      </c>
      <c r="BN155" s="627">
        <v>0</v>
      </c>
      <c r="BO155" s="627">
        <v>0</v>
      </c>
      <c r="BP155" s="627">
        <v>0</v>
      </c>
      <c r="BQ155" s="627">
        <v>0</v>
      </c>
      <c r="BR155" s="627">
        <v>694</v>
      </c>
      <c r="BS155" s="627">
        <v>0</v>
      </c>
      <c r="BT155" s="627">
        <v>0</v>
      </c>
      <c r="BU155" s="627">
        <v>0</v>
      </c>
      <c r="BV155" s="627">
        <v>0</v>
      </c>
      <c r="BW155" s="627">
        <v>0</v>
      </c>
      <c r="BX155" s="627">
        <v>0</v>
      </c>
      <c r="BY155" s="627">
        <v>0</v>
      </c>
      <c r="BZ155" s="627">
        <v>0</v>
      </c>
      <c r="CA155" s="627">
        <v>0</v>
      </c>
      <c r="CB155" s="627">
        <v>0</v>
      </c>
      <c r="CC155" s="627">
        <v>0</v>
      </c>
      <c r="CD155" s="627">
        <v>0</v>
      </c>
      <c r="CE155" s="627">
        <v>0</v>
      </c>
      <c r="CF155" s="627">
        <v>0</v>
      </c>
      <c r="CG155" s="627">
        <v>0</v>
      </c>
      <c r="CH155" s="627">
        <v>0</v>
      </c>
      <c r="CI155" s="627">
        <v>0</v>
      </c>
      <c r="CJ155" s="627">
        <v>0</v>
      </c>
      <c r="CK155" s="627">
        <v>5</v>
      </c>
      <c r="CL155" s="627">
        <v>0</v>
      </c>
      <c r="CM155" s="627">
        <v>0</v>
      </c>
      <c r="CN155" s="627">
        <v>0</v>
      </c>
      <c r="CO155" s="627">
        <v>0</v>
      </c>
      <c r="CP155" s="627">
        <v>1</v>
      </c>
      <c r="CQ155" s="627">
        <v>0</v>
      </c>
      <c r="CR155" s="627">
        <v>0</v>
      </c>
      <c r="CS155" s="627">
        <v>540.27800000000002</v>
      </c>
      <c r="CT155" s="627">
        <v>0</v>
      </c>
      <c r="CU155" s="627">
        <v>0</v>
      </c>
      <c r="CV155" s="627">
        <v>0</v>
      </c>
      <c r="CW155" s="627">
        <v>0</v>
      </c>
      <c r="CX155" s="627">
        <v>0</v>
      </c>
      <c r="CY155" s="627">
        <v>0</v>
      </c>
      <c r="CZ155" s="627">
        <v>0</v>
      </c>
      <c r="DA155" s="627">
        <v>0</v>
      </c>
      <c r="DB155" s="627">
        <v>0</v>
      </c>
      <c r="DC155" s="627">
        <v>3059894</v>
      </c>
      <c r="DD155" s="627">
        <v>0</v>
      </c>
      <c r="DE155" s="627">
        <v>0</v>
      </c>
      <c r="DF155" s="627">
        <v>658966</v>
      </c>
      <c r="DG155" s="627">
        <v>658966</v>
      </c>
      <c r="DH155" s="627">
        <v>106.97500000000001</v>
      </c>
      <c r="DI155" s="627">
        <v>0</v>
      </c>
      <c r="DJ155" s="627">
        <v>0</v>
      </c>
      <c r="DK155" s="627">
        <v>0</v>
      </c>
      <c r="DL155" s="627">
        <v>2718</v>
      </c>
      <c r="DM155" s="627">
        <v>0</v>
      </c>
      <c r="DN155" s="627">
        <v>792766</v>
      </c>
      <c r="DO155" s="627">
        <v>2702</v>
      </c>
      <c r="DP155" s="627">
        <v>0</v>
      </c>
      <c r="DQ155" s="627">
        <v>0</v>
      </c>
      <c r="DR155" s="627">
        <v>0</v>
      </c>
      <c r="DS155" s="627">
        <v>0</v>
      </c>
      <c r="DT155" s="627">
        <v>0</v>
      </c>
      <c r="DU155" s="627">
        <v>0</v>
      </c>
      <c r="DV155" s="627">
        <v>0</v>
      </c>
      <c r="DW155" s="627">
        <v>0</v>
      </c>
      <c r="DX155" s="627">
        <v>0</v>
      </c>
      <c r="DY155" s="627">
        <v>0</v>
      </c>
      <c r="DZ155" s="627">
        <v>0</v>
      </c>
      <c r="EA155" s="627">
        <v>0</v>
      </c>
      <c r="EB155" s="627">
        <v>0</v>
      </c>
      <c r="EC155" s="627">
        <v>0</v>
      </c>
      <c r="ED155" s="627">
        <v>17.143000000000001</v>
      </c>
      <c r="EE155" s="627">
        <v>121441</v>
      </c>
      <c r="EF155" s="627">
        <v>0</v>
      </c>
      <c r="EG155" s="627">
        <v>0</v>
      </c>
      <c r="EH155" s="627">
        <v>0</v>
      </c>
      <c r="EI155" s="627">
        <v>674027</v>
      </c>
      <c r="EJ155" s="627">
        <v>0</v>
      </c>
      <c r="EK155" s="627">
        <v>0</v>
      </c>
      <c r="EL155" s="627">
        <v>29.224</v>
      </c>
      <c r="EM155" s="627">
        <v>7.400000000000001E-2</v>
      </c>
      <c r="EN155" s="627">
        <v>5.3010000000000002</v>
      </c>
      <c r="EO155" s="627">
        <v>1.169</v>
      </c>
      <c r="EP155" s="627">
        <v>0</v>
      </c>
      <c r="EQ155" s="627">
        <v>0</v>
      </c>
      <c r="ER155" s="627">
        <v>35.694000000000003</v>
      </c>
      <c r="ES155" s="627">
        <v>0</v>
      </c>
      <c r="ET155" s="627">
        <v>109.42</v>
      </c>
      <c r="EU155" s="627">
        <v>0</v>
      </c>
      <c r="EV155" s="627">
        <v>0</v>
      </c>
      <c r="EW155" s="627">
        <v>0</v>
      </c>
      <c r="EX155" s="627">
        <v>0</v>
      </c>
      <c r="EY155" s="627">
        <v>0</v>
      </c>
      <c r="EZ155" s="627">
        <v>0</v>
      </c>
      <c r="FA155" s="627">
        <v>5052606</v>
      </c>
      <c r="FB155" s="627">
        <v>0</v>
      </c>
      <c r="FC155" s="627">
        <v>5273243</v>
      </c>
      <c r="FD155" s="627">
        <v>0</v>
      </c>
      <c r="FE155" s="627">
        <v>0</v>
      </c>
      <c r="FF155" s="627">
        <v>759716</v>
      </c>
      <c r="FG155" s="627">
        <v>131574</v>
      </c>
      <c r="FH155" s="627">
        <v>7.0280999999999996E-2</v>
      </c>
      <c r="FI155" s="627">
        <v>3.1172999999999999E-2</v>
      </c>
      <c r="FJ155" s="627">
        <v>0</v>
      </c>
      <c r="FK155" s="627">
        <v>0</v>
      </c>
      <c r="FL155" s="627">
        <v>856.48500000000001</v>
      </c>
      <c r="FM155" s="627">
        <v>6164533</v>
      </c>
      <c r="FN155" s="627">
        <v>0</v>
      </c>
      <c r="FO155" s="627">
        <v>0</v>
      </c>
      <c r="FP155" s="627">
        <v>0</v>
      </c>
      <c r="FQ155" s="627">
        <v>0</v>
      </c>
      <c r="FR155" s="627">
        <v>0</v>
      </c>
      <c r="FS155" s="627">
        <v>0</v>
      </c>
      <c r="FT155" s="627">
        <v>0</v>
      </c>
      <c r="FU155" s="627">
        <v>0</v>
      </c>
      <c r="FV155" s="627">
        <v>0</v>
      </c>
      <c r="FW155" s="627">
        <v>0</v>
      </c>
      <c r="FX155" s="627">
        <v>0</v>
      </c>
      <c r="FY155" s="627">
        <v>0</v>
      </c>
      <c r="FZ155" s="627">
        <v>0</v>
      </c>
      <c r="GA155" s="627">
        <v>0</v>
      </c>
      <c r="GB155" s="627">
        <v>0</v>
      </c>
      <c r="GC155" s="627">
        <v>0</v>
      </c>
      <c r="GD155" s="627">
        <v>0</v>
      </c>
      <c r="GE155" s="627">
        <v>0</v>
      </c>
      <c r="GF155" s="627">
        <v>0</v>
      </c>
      <c r="GG155" s="627">
        <v>0</v>
      </c>
      <c r="GH155" s="627">
        <v>0</v>
      </c>
      <c r="GI155" s="627">
        <v>0</v>
      </c>
      <c r="GJ155" s="627">
        <v>0</v>
      </c>
      <c r="GK155" s="627">
        <v>0</v>
      </c>
      <c r="GL155" s="627">
        <v>0</v>
      </c>
      <c r="GM155" s="627">
        <v>0</v>
      </c>
      <c r="GN155" s="627">
        <v>0</v>
      </c>
      <c r="GO155" s="627">
        <v>0</v>
      </c>
      <c r="GP155" s="627">
        <v>0</v>
      </c>
      <c r="GQ155" s="627">
        <v>0</v>
      </c>
      <c r="GR155" s="627">
        <v>5941194</v>
      </c>
      <c r="GS155" s="627">
        <v>0</v>
      </c>
      <c r="GT155" s="627">
        <v>0</v>
      </c>
      <c r="GU155" s="627">
        <v>0</v>
      </c>
      <c r="GV155" s="627">
        <v>0</v>
      </c>
      <c r="GW155" s="627">
        <v>0</v>
      </c>
      <c r="GX155" s="627">
        <v>0</v>
      </c>
      <c r="GY155" s="627">
        <v>0</v>
      </c>
      <c r="GZ155" s="627">
        <v>0</v>
      </c>
      <c r="HA155" s="627">
        <v>0</v>
      </c>
      <c r="HB155" s="627">
        <v>0</v>
      </c>
      <c r="HC155" s="627">
        <v>0</v>
      </c>
      <c r="HD155" s="627">
        <v>3.9981999999999997E-2</v>
      </c>
      <c r="HE155" s="627">
        <v>0</v>
      </c>
      <c r="HF155" s="627">
        <v>0</v>
      </c>
      <c r="HG155" s="627">
        <v>547403</v>
      </c>
      <c r="HH155" s="627">
        <v>15400</v>
      </c>
      <c r="HI155" s="627">
        <v>170718</v>
      </c>
      <c r="HJ155" s="627">
        <v>0</v>
      </c>
      <c r="HK155" s="627">
        <v>20324</v>
      </c>
      <c r="HL155" s="627">
        <v>0</v>
      </c>
      <c r="HM155" s="627">
        <v>0</v>
      </c>
      <c r="HN155" s="627">
        <v>0</v>
      </c>
      <c r="HO155" s="627">
        <v>0</v>
      </c>
      <c r="HP155" s="627">
        <v>0</v>
      </c>
      <c r="HQ155" s="627">
        <v>0</v>
      </c>
      <c r="HR155" s="627">
        <v>0</v>
      </c>
      <c r="HS155" s="627">
        <v>0</v>
      </c>
      <c r="HT155" s="627">
        <v>5049904</v>
      </c>
      <c r="HU155" s="627">
        <v>131574</v>
      </c>
      <c r="HV155" s="627">
        <v>0</v>
      </c>
      <c r="HW155" s="627">
        <v>0</v>
      </c>
      <c r="HX155" s="627">
        <v>0</v>
      </c>
      <c r="HY155" s="627">
        <v>71</v>
      </c>
      <c r="HZ155" s="627">
        <v>62</v>
      </c>
      <c r="IA155" s="627">
        <v>94</v>
      </c>
      <c r="IB155" s="627">
        <v>112</v>
      </c>
      <c r="IC155" s="627">
        <v>85</v>
      </c>
      <c r="ID155" s="627">
        <v>424</v>
      </c>
      <c r="IE155" s="627">
        <v>0</v>
      </c>
      <c r="IF155" s="627">
        <v>0</v>
      </c>
      <c r="IG155" s="627">
        <v>0</v>
      </c>
      <c r="IH155" s="627">
        <v>25</v>
      </c>
      <c r="II155" s="627">
        <v>277.14</v>
      </c>
      <c r="IJ155" s="627">
        <v>0</v>
      </c>
      <c r="IK155" s="627">
        <v>12.617000000000001</v>
      </c>
      <c r="IL155" s="627">
        <v>0</v>
      </c>
      <c r="IM155" s="627">
        <v>0</v>
      </c>
      <c r="IN155" s="627">
        <v>0</v>
      </c>
      <c r="IO155" s="627">
        <v>0</v>
      </c>
      <c r="IP155" s="627">
        <v>0</v>
      </c>
      <c r="IQ155" s="627">
        <v>0</v>
      </c>
      <c r="IR155" s="627">
        <v>12.617000000000001</v>
      </c>
      <c r="IS155" s="627">
        <v>7772</v>
      </c>
      <c r="IT155" s="627">
        <v>0</v>
      </c>
      <c r="IU155" s="627">
        <v>0</v>
      </c>
      <c r="IV155" s="627">
        <v>0</v>
      </c>
      <c r="IW155" s="627">
        <v>0</v>
      </c>
      <c r="IX155" s="627">
        <v>6160</v>
      </c>
      <c r="IY155" s="627">
        <v>0</v>
      </c>
      <c r="IZ155" s="627">
        <v>0</v>
      </c>
      <c r="JA155" s="627">
        <v>0</v>
      </c>
      <c r="JB155" s="627">
        <v>0</v>
      </c>
      <c r="JC155" s="627">
        <v>0</v>
      </c>
      <c r="JD155" s="627">
        <v>0</v>
      </c>
      <c r="JE155" s="627">
        <v>0</v>
      </c>
      <c r="JF155" s="627">
        <v>0</v>
      </c>
      <c r="JG155" s="627">
        <v>0</v>
      </c>
      <c r="JH155" s="627">
        <v>0</v>
      </c>
      <c r="JI155" s="627">
        <v>0</v>
      </c>
      <c r="JJ155" s="627">
        <v>0</v>
      </c>
      <c r="JK155" s="627">
        <v>0</v>
      </c>
      <c r="JL155" s="627">
        <v>0</v>
      </c>
      <c r="JM155" s="627">
        <v>0</v>
      </c>
      <c r="JN155" s="627">
        <v>0</v>
      </c>
      <c r="JO155" s="627">
        <v>0</v>
      </c>
      <c r="JP155" s="627">
        <v>0</v>
      </c>
      <c r="JQ155" s="627">
        <v>0</v>
      </c>
      <c r="JR155" s="627">
        <v>0</v>
      </c>
      <c r="JS155" s="627">
        <v>0</v>
      </c>
      <c r="JT155" s="627">
        <v>0</v>
      </c>
      <c r="JU155" s="627">
        <v>0</v>
      </c>
      <c r="JV155" s="627">
        <v>0</v>
      </c>
      <c r="JW155" s="627">
        <v>0</v>
      </c>
      <c r="JX155" s="627">
        <v>0</v>
      </c>
      <c r="JY155" s="627">
        <v>0</v>
      </c>
      <c r="JZ155" s="627">
        <v>0</v>
      </c>
      <c r="KA155" s="627">
        <v>0</v>
      </c>
      <c r="KB155" s="627">
        <v>0</v>
      </c>
      <c r="KC155" s="627">
        <v>0</v>
      </c>
      <c r="KD155" s="627">
        <v>0</v>
      </c>
      <c r="KE155" s="627">
        <v>0</v>
      </c>
      <c r="KF155" s="627">
        <v>7262</v>
      </c>
      <c r="KG155" s="627">
        <v>0</v>
      </c>
      <c r="KH155" s="627">
        <v>0</v>
      </c>
      <c r="KI155" s="627">
        <v>5941194</v>
      </c>
      <c r="KJ155" s="627">
        <v>0</v>
      </c>
      <c r="KK155" s="627">
        <v>20</v>
      </c>
      <c r="KL155" s="627">
        <v>5</v>
      </c>
      <c r="KM155" s="627">
        <v>12320</v>
      </c>
      <c r="KN155" s="627">
        <v>3080</v>
      </c>
      <c r="KO155" s="627">
        <v>0</v>
      </c>
      <c r="KP155" s="627">
        <v>0</v>
      </c>
      <c r="KQ155" s="627">
        <v>5941194</v>
      </c>
      <c r="KR155" s="627">
        <v>0</v>
      </c>
      <c r="KS155" s="627">
        <v>0</v>
      </c>
      <c r="KT155" s="627">
        <v>0</v>
      </c>
      <c r="KU155" s="627">
        <v>0</v>
      </c>
      <c r="KV155" s="627">
        <v>0</v>
      </c>
      <c r="KW155" s="627">
        <v>0</v>
      </c>
      <c r="KX155" s="627">
        <v>0</v>
      </c>
      <c r="KY155" s="627">
        <v>0</v>
      </c>
      <c r="KZ155" s="627">
        <v>0</v>
      </c>
      <c r="LA155" s="627">
        <v>0</v>
      </c>
      <c r="LB155" s="627">
        <v>0</v>
      </c>
      <c r="LC155" s="627">
        <v>0</v>
      </c>
      <c r="LD155" s="627">
        <v>0</v>
      </c>
      <c r="LE155" s="627">
        <v>0</v>
      </c>
      <c r="LF155" s="627">
        <v>0</v>
      </c>
    </row>
    <row r="156" spans="1:318" x14ac:dyDescent="0.25">
      <c r="A156" s="627">
        <v>42602</v>
      </c>
      <c r="B156" s="627">
        <v>57841</v>
      </c>
      <c r="D156" s="627">
        <v>9</v>
      </c>
      <c r="E156" s="627">
        <v>2024</v>
      </c>
      <c r="F156" s="627">
        <v>6160</v>
      </c>
      <c r="G156" s="627">
        <v>0</v>
      </c>
      <c r="H156" s="627">
        <v>1031.117</v>
      </c>
      <c r="I156" s="627">
        <v>1016.754</v>
      </c>
      <c r="J156" s="627">
        <v>1016.754</v>
      </c>
      <c r="K156" s="627">
        <v>1031.117</v>
      </c>
      <c r="L156" s="627">
        <v>0</v>
      </c>
      <c r="M156" s="627">
        <v>6160</v>
      </c>
      <c r="N156" s="627">
        <v>0</v>
      </c>
      <c r="O156" s="627">
        <v>0</v>
      </c>
      <c r="P156" s="627">
        <v>0</v>
      </c>
      <c r="Q156" s="627">
        <v>1031.817</v>
      </c>
      <c r="R156" s="627">
        <v>0</v>
      </c>
      <c r="S156" s="627">
        <v>428084</v>
      </c>
      <c r="T156" s="627">
        <v>414.88400000000001</v>
      </c>
      <c r="U156" s="627">
        <v>0</v>
      </c>
      <c r="V156" s="627">
        <v>222158</v>
      </c>
      <c r="W156" s="627">
        <v>385.767</v>
      </c>
      <c r="X156" s="627">
        <v>449700</v>
      </c>
      <c r="Y156" s="627">
        <v>449700</v>
      </c>
      <c r="Z156" s="627">
        <v>0</v>
      </c>
      <c r="AA156" s="627">
        <v>0</v>
      </c>
      <c r="AB156" s="627">
        <v>0</v>
      </c>
      <c r="AC156" s="627">
        <v>0</v>
      </c>
      <c r="AD156" s="627">
        <v>0</v>
      </c>
      <c r="AE156" s="627" t="s">
        <v>314</v>
      </c>
      <c r="AF156" s="627">
        <v>0</v>
      </c>
      <c r="AG156" s="627">
        <v>0</v>
      </c>
      <c r="AH156" s="627">
        <v>0</v>
      </c>
      <c r="AI156" s="627">
        <v>0</v>
      </c>
      <c r="AJ156" s="627">
        <v>0</v>
      </c>
      <c r="AK156" s="627">
        <v>6160</v>
      </c>
      <c r="AL156" s="627" t="s">
        <v>651</v>
      </c>
      <c r="AM156" s="627" t="s">
        <v>329</v>
      </c>
      <c r="AN156" s="627">
        <v>0</v>
      </c>
      <c r="AO156" s="627">
        <v>0</v>
      </c>
      <c r="AP156" s="627">
        <v>0</v>
      </c>
      <c r="AQ156" s="627">
        <v>0</v>
      </c>
      <c r="AR156" s="627">
        <v>0</v>
      </c>
      <c r="AS156" s="627">
        <v>0</v>
      </c>
      <c r="AT156" s="627">
        <v>0</v>
      </c>
      <c r="AU156" s="627">
        <v>0</v>
      </c>
      <c r="AV156" s="627">
        <v>0</v>
      </c>
      <c r="AW156" s="627">
        <v>0</v>
      </c>
      <c r="AX156" s="627">
        <v>12389602</v>
      </c>
      <c r="AY156" s="627">
        <v>12226738</v>
      </c>
      <c r="AZ156" s="627">
        <v>6315891</v>
      </c>
      <c r="BA156" s="627">
        <v>428084</v>
      </c>
      <c r="BB156" s="627">
        <v>0</v>
      </c>
      <c r="BC156" s="627">
        <v>0</v>
      </c>
      <c r="BD156" s="627">
        <v>0</v>
      </c>
      <c r="BE156" s="627">
        <v>0</v>
      </c>
      <c r="BF156" s="627">
        <v>0</v>
      </c>
      <c r="BG156" s="627">
        <v>10825945</v>
      </c>
      <c r="BH156" s="627">
        <v>0</v>
      </c>
      <c r="BI156" s="627">
        <v>0</v>
      </c>
      <c r="BJ156" s="627">
        <v>0</v>
      </c>
      <c r="BK156" s="627">
        <v>12</v>
      </c>
      <c r="BL156" s="627">
        <v>0</v>
      </c>
      <c r="BM156" s="627">
        <v>0</v>
      </c>
      <c r="BN156" s="627">
        <v>0</v>
      </c>
      <c r="BO156" s="627">
        <v>0</v>
      </c>
      <c r="BP156" s="627">
        <v>0</v>
      </c>
      <c r="BQ156" s="627">
        <v>0</v>
      </c>
      <c r="BR156" s="627">
        <v>613</v>
      </c>
      <c r="BS156" s="627">
        <v>0</v>
      </c>
      <c r="BT156" s="627">
        <v>0</v>
      </c>
      <c r="BU156" s="627">
        <v>0</v>
      </c>
      <c r="BV156" s="627">
        <v>0</v>
      </c>
      <c r="BW156" s="627">
        <v>0</v>
      </c>
      <c r="BX156" s="627">
        <v>0</v>
      </c>
      <c r="BY156" s="627">
        <v>0</v>
      </c>
      <c r="BZ156" s="627">
        <v>0</v>
      </c>
      <c r="CA156" s="627">
        <v>0</v>
      </c>
      <c r="CB156" s="627">
        <v>0</v>
      </c>
      <c r="CC156" s="627">
        <v>0</v>
      </c>
      <c r="CD156" s="627">
        <v>0</v>
      </c>
      <c r="CE156" s="627">
        <v>0</v>
      </c>
      <c r="CF156" s="627">
        <v>0</v>
      </c>
      <c r="CG156" s="627">
        <v>0</v>
      </c>
      <c r="CH156" s="627">
        <v>0</v>
      </c>
      <c r="CI156" s="627">
        <v>164905</v>
      </c>
      <c r="CJ156" s="627">
        <v>0</v>
      </c>
      <c r="CK156" s="627">
        <v>4</v>
      </c>
      <c r="CL156" s="627">
        <v>0</v>
      </c>
      <c r="CM156" s="627">
        <v>0</v>
      </c>
      <c r="CN156" s="627">
        <v>0</v>
      </c>
      <c r="CO156" s="627">
        <v>0</v>
      </c>
      <c r="CP156" s="627">
        <v>1</v>
      </c>
      <c r="CQ156" s="627">
        <v>0</v>
      </c>
      <c r="CR156" s="627">
        <v>0</v>
      </c>
      <c r="CS156" s="627">
        <v>1041.2240000000002</v>
      </c>
      <c r="CT156" s="627">
        <v>0</v>
      </c>
      <c r="CU156" s="627">
        <v>0</v>
      </c>
      <c r="CV156" s="627">
        <v>0</v>
      </c>
      <c r="CW156" s="627">
        <v>0</v>
      </c>
      <c r="CX156" s="627">
        <v>0</v>
      </c>
      <c r="CY156" s="627">
        <v>0</v>
      </c>
      <c r="CZ156" s="627">
        <v>0</v>
      </c>
      <c r="DA156" s="627">
        <v>0</v>
      </c>
      <c r="DB156" s="627">
        <v>0</v>
      </c>
      <c r="DC156" s="627">
        <v>6263205</v>
      </c>
      <c r="DD156" s="627">
        <v>0</v>
      </c>
      <c r="DE156" s="627">
        <v>0</v>
      </c>
      <c r="DF156" s="627">
        <v>1805804</v>
      </c>
      <c r="DG156" s="627">
        <v>1805804</v>
      </c>
      <c r="DH156" s="627">
        <v>293.15000000000003</v>
      </c>
      <c r="DI156" s="627">
        <v>0</v>
      </c>
      <c r="DJ156" s="627">
        <v>0</v>
      </c>
      <c r="DK156" s="627">
        <v>0</v>
      </c>
      <c r="DL156" s="627">
        <v>1437</v>
      </c>
      <c r="DM156" s="627">
        <v>0</v>
      </c>
      <c r="DN156" s="627">
        <v>598790</v>
      </c>
      <c r="DO156" s="627">
        <v>2041</v>
      </c>
      <c r="DP156" s="627">
        <v>0</v>
      </c>
      <c r="DQ156" s="627">
        <v>0</v>
      </c>
      <c r="DR156" s="627">
        <v>0</v>
      </c>
      <c r="DS156" s="627">
        <v>0</v>
      </c>
      <c r="DT156" s="627">
        <v>0</v>
      </c>
      <c r="DU156" s="627">
        <v>0</v>
      </c>
      <c r="DV156" s="627">
        <v>0</v>
      </c>
      <c r="DW156" s="627">
        <v>0</v>
      </c>
      <c r="DX156" s="627">
        <v>0</v>
      </c>
      <c r="DY156" s="627">
        <v>0</v>
      </c>
      <c r="DZ156" s="627">
        <v>0</v>
      </c>
      <c r="EA156" s="627">
        <v>0</v>
      </c>
      <c r="EB156" s="627">
        <v>0</v>
      </c>
      <c r="EC156" s="627">
        <v>0</v>
      </c>
      <c r="ED156" s="627">
        <v>42.550000000000004</v>
      </c>
      <c r="EE156" s="627">
        <v>301424</v>
      </c>
      <c r="EF156" s="627">
        <v>0</v>
      </c>
      <c r="EG156" s="627">
        <v>0</v>
      </c>
      <c r="EH156" s="627">
        <v>0</v>
      </c>
      <c r="EI156" s="627">
        <v>299407</v>
      </c>
      <c r="EJ156" s="627">
        <v>0</v>
      </c>
      <c r="EK156" s="627">
        <v>0</v>
      </c>
      <c r="EL156" s="627">
        <v>11.605</v>
      </c>
      <c r="EM156" s="627">
        <v>0</v>
      </c>
      <c r="EN156" s="627">
        <v>0</v>
      </c>
      <c r="EO156" s="627">
        <v>2.758</v>
      </c>
      <c r="EP156" s="627">
        <v>0</v>
      </c>
      <c r="EQ156" s="627">
        <v>0</v>
      </c>
      <c r="ER156" s="627">
        <v>14.363000000000001</v>
      </c>
      <c r="ES156" s="627">
        <v>0</v>
      </c>
      <c r="ET156" s="627">
        <v>48.605000000000004</v>
      </c>
      <c r="EU156" s="627">
        <v>0</v>
      </c>
      <c r="EV156" s="627">
        <v>0</v>
      </c>
      <c r="EW156" s="627">
        <v>0</v>
      </c>
      <c r="EX156" s="627">
        <v>0</v>
      </c>
      <c r="EY156" s="627">
        <v>0</v>
      </c>
      <c r="EZ156" s="627">
        <v>0</v>
      </c>
      <c r="FA156" s="627">
        <v>10397861</v>
      </c>
      <c r="FB156" s="627">
        <v>0</v>
      </c>
      <c r="FC156" s="627">
        <v>10823904</v>
      </c>
      <c r="FD156" s="627">
        <v>0</v>
      </c>
      <c r="FE156" s="627">
        <v>0</v>
      </c>
      <c r="FF156" s="627">
        <v>1558895</v>
      </c>
      <c r="FG156" s="627">
        <v>269982</v>
      </c>
      <c r="FH156" s="627">
        <v>7.0280999999999996E-2</v>
      </c>
      <c r="FI156" s="627">
        <v>3.1172999999999999E-2</v>
      </c>
      <c r="FJ156" s="627">
        <v>0</v>
      </c>
      <c r="FK156" s="627">
        <v>0</v>
      </c>
      <c r="FL156" s="627">
        <v>1757.4590000000001</v>
      </c>
      <c r="FM156" s="627">
        <v>12817686</v>
      </c>
      <c r="FN156" s="627">
        <v>0</v>
      </c>
      <c r="FO156" s="627">
        <v>0</v>
      </c>
      <c r="FP156" s="627">
        <v>0</v>
      </c>
      <c r="FQ156" s="627">
        <v>0</v>
      </c>
      <c r="FR156" s="627">
        <v>0</v>
      </c>
      <c r="FS156" s="627">
        <v>0</v>
      </c>
      <c r="FT156" s="627">
        <v>0</v>
      </c>
      <c r="FU156" s="627">
        <v>0</v>
      </c>
      <c r="FV156" s="627">
        <v>0</v>
      </c>
      <c r="FW156" s="627">
        <v>0</v>
      </c>
      <c r="FX156" s="627">
        <v>0</v>
      </c>
      <c r="FY156" s="627">
        <v>0</v>
      </c>
      <c r="FZ156" s="627">
        <v>0</v>
      </c>
      <c r="GA156" s="627">
        <v>0</v>
      </c>
      <c r="GB156" s="627">
        <v>0</v>
      </c>
      <c r="GC156" s="627">
        <v>0</v>
      </c>
      <c r="GD156" s="627">
        <v>0</v>
      </c>
      <c r="GE156" s="627">
        <v>0</v>
      </c>
      <c r="GF156" s="627">
        <v>0</v>
      </c>
      <c r="GG156" s="627">
        <v>0</v>
      </c>
      <c r="GH156" s="627">
        <v>0</v>
      </c>
      <c r="GI156" s="627">
        <v>0</v>
      </c>
      <c r="GJ156" s="627">
        <v>0</v>
      </c>
      <c r="GK156" s="627">
        <v>0</v>
      </c>
      <c r="GL156" s="627">
        <v>0</v>
      </c>
      <c r="GM156" s="627">
        <v>0</v>
      </c>
      <c r="GN156" s="627">
        <v>0</v>
      </c>
      <c r="GO156" s="627">
        <v>0</v>
      </c>
      <c r="GP156" s="627">
        <v>0</v>
      </c>
      <c r="GQ156" s="627">
        <v>0</v>
      </c>
      <c r="GR156" s="627">
        <v>12224697</v>
      </c>
      <c r="GS156" s="627">
        <v>0</v>
      </c>
      <c r="GT156" s="627">
        <v>0</v>
      </c>
      <c r="GU156" s="627">
        <v>0</v>
      </c>
      <c r="GV156" s="627">
        <v>0</v>
      </c>
      <c r="GW156" s="627">
        <v>0</v>
      </c>
      <c r="GX156" s="627">
        <v>0</v>
      </c>
      <c r="GY156" s="627">
        <v>0</v>
      </c>
      <c r="GZ156" s="627">
        <v>0</v>
      </c>
      <c r="HA156" s="627">
        <v>0</v>
      </c>
      <c r="HB156" s="627">
        <v>0</v>
      </c>
      <c r="HC156" s="627">
        <v>361151439</v>
      </c>
      <c r="HD156" s="627">
        <v>3.9981999999999997E-2</v>
      </c>
      <c r="HE156" s="627">
        <v>164905</v>
      </c>
      <c r="HF156" s="627">
        <v>0</v>
      </c>
      <c r="HG156" s="627">
        <v>1120463</v>
      </c>
      <c r="HH156" s="627">
        <v>27720</v>
      </c>
      <c r="HI156" s="627">
        <v>438428</v>
      </c>
      <c r="HJ156" s="627">
        <v>0</v>
      </c>
      <c r="HK156" s="627">
        <v>40311</v>
      </c>
      <c r="HL156" s="627">
        <v>0</v>
      </c>
      <c r="HM156" s="627">
        <v>0</v>
      </c>
      <c r="HN156" s="627">
        <v>0</v>
      </c>
      <c r="HO156" s="627">
        <v>79483</v>
      </c>
      <c r="HP156" s="627">
        <v>0</v>
      </c>
      <c r="HQ156" s="627">
        <v>0</v>
      </c>
      <c r="HR156" s="627">
        <v>0</v>
      </c>
      <c r="HS156" s="627">
        <v>0</v>
      </c>
      <c r="HT156" s="627">
        <v>10395820</v>
      </c>
      <c r="HU156" s="627">
        <v>269982</v>
      </c>
      <c r="HV156" s="627">
        <v>0</v>
      </c>
      <c r="HW156" s="627">
        <v>0</v>
      </c>
      <c r="HX156" s="627">
        <v>0</v>
      </c>
      <c r="HY156" s="627">
        <v>73</v>
      </c>
      <c r="HZ156" s="627">
        <v>94</v>
      </c>
      <c r="IA156" s="627">
        <v>264</v>
      </c>
      <c r="IB156" s="627">
        <v>284</v>
      </c>
      <c r="IC156" s="627">
        <v>414</v>
      </c>
      <c r="ID156" s="627">
        <v>1129</v>
      </c>
      <c r="IE156" s="627">
        <v>0</v>
      </c>
      <c r="IF156" s="627">
        <v>205.733</v>
      </c>
      <c r="IG156" s="627">
        <v>71.332999999999998</v>
      </c>
      <c r="IH156" s="627">
        <v>45</v>
      </c>
      <c r="II156" s="627">
        <v>711.73300000000006</v>
      </c>
      <c r="IJ156" s="627">
        <v>0</v>
      </c>
      <c r="IK156" s="627">
        <v>662.83300000000008</v>
      </c>
      <c r="IL156" s="627">
        <v>0</v>
      </c>
      <c r="IM156" s="627">
        <v>0</v>
      </c>
      <c r="IN156" s="627">
        <v>0</v>
      </c>
      <c r="IO156" s="627">
        <v>0</v>
      </c>
      <c r="IP156" s="627">
        <v>0</v>
      </c>
      <c r="IQ156" s="627">
        <v>0</v>
      </c>
      <c r="IR156" s="627">
        <v>385.767</v>
      </c>
      <c r="IS156" s="627">
        <v>237632</v>
      </c>
      <c r="IT156" s="627">
        <v>0</v>
      </c>
      <c r="IU156" s="627">
        <v>0</v>
      </c>
      <c r="IV156" s="627">
        <v>0</v>
      </c>
      <c r="IW156" s="627">
        <v>0</v>
      </c>
      <c r="IX156" s="627">
        <v>6160</v>
      </c>
      <c r="IY156" s="627">
        <v>190097</v>
      </c>
      <c r="IZ156" s="627">
        <v>21971</v>
      </c>
      <c r="JA156" s="627">
        <v>0</v>
      </c>
      <c r="JB156" s="627">
        <v>0</v>
      </c>
      <c r="JC156" s="627">
        <v>0</v>
      </c>
      <c r="JD156" s="627">
        <v>0</v>
      </c>
      <c r="JE156" s="627">
        <v>2</v>
      </c>
      <c r="JF156" s="627">
        <v>27830</v>
      </c>
      <c r="JG156" s="627">
        <v>7</v>
      </c>
      <c r="JH156" s="627">
        <v>48153</v>
      </c>
      <c r="JI156" s="627">
        <v>3500</v>
      </c>
      <c r="JJ156" s="627">
        <v>0</v>
      </c>
      <c r="JK156" s="627">
        <v>0</v>
      </c>
      <c r="JL156" s="627">
        <v>0</v>
      </c>
      <c r="JM156" s="627">
        <v>0</v>
      </c>
      <c r="JN156" s="627">
        <v>0</v>
      </c>
      <c r="JO156" s="627">
        <v>32469</v>
      </c>
      <c r="JP156" s="627">
        <v>0</v>
      </c>
      <c r="JQ156" s="627">
        <v>0</v>
      </c>
      <c r="JR156" s="627">
        <v>0</v>
      </c>
      <c r="JS156" s="627">
        <v>0</v>
      </c>
      <c r="JT156" s="627">
        <v>0</v>
      </c>
      <c r="JU156" s="627">
        <v>0</v>
      </c>
      <c r="JV156" s="627">
        <v>0</v>
      </c>
      <c r="JW156" s="627">
        <v>0</v>
      </c>
      <c r="JX156" s="627">
        <v>0</v>
      </c>
      <c r="JY156" s="627">
        <v>0</v>
      </c>
      <c r="JZ156" s="627">
        <v>0</v>
      </c>
      <c r="KA156" s="627">
        <v>0</v>
      </c>
      <c r="KB156" s="627">
        <v>0</v>
      </c>
      <c r="KC156" s="627">
        <v>0</v>
      </c>
      <c r="KD156" s="627">
        <v>0</v>
      </c>
      <c r="KE156" s="627">
        <v>0</v>
      </c>
      <c r="KF156" s="627">
        <v>7262</v>
      </c>
      <c r="KG156" s="627">
        <v>0</v>
      </c>
      <c r="KH156" s="627">
        <v>0</v>
      </c>
      <c r="KI156" s="627">
        <v>12224697</v>
      </c>
      <c r="KJ156" s="627">
        <v>0</v>
      </c>
      <c r="KK156" s="627">
        <v>38</v>
      </c>
      <c r="KL156" s="627">
        <v>7</v>
      </c>
      <c r="KM156" s="627">
        <v>23408</v>
      </c>
      <c r="KN156" s="627">
        <v>4312</v>
      </c>
      <c r="KO156" s="627">
        <v>0</v>
      </c>
      <c r="KP156" s="627">
        <v>0</v>
      </c>
      <c r="KQ156" s="627">
        <v>12224697</v>
      </c>
      <c r="KR156" s="627">
        <v>0</v>
      </c>
      <c r="KS156" s="627">
        <v>0</v>
      </c>
      <c r="KT156" s="627">
        <v>0</v>
      </c>
      <c r="KU156" s="627">
        <v>0</v>
      </c>
      <c r="KV156" s="627">
        <v>0</v>
      </c>
      <c r="KW156" s="627">
        <v>0</v>
      </c>
      <c r="KX156" s="627">
        <v>0</v>
      </c>
      <c r="KY156" s="627">
        <v>0</v>
      </c>
      <c r="KZ156" s="627">
        <v>0</v>
      </c>
      <c r="LA156" s="627">
        <v>0</v>
      </c>
      <c r="LB156" s="627">
        <v>0</v>
      </c>
      <c r="LC156" s="627">
        <v>0</v>
      </c>
      <c r="LD156" s="627">
        <v>0</v>
      </c>
      <c r="LE156" s="627">
        <v>0</v>
      </c>
      <c r="LF156" s="627">
        <v>0</v>
      </c>
    </row>
    <row r="157" spans="1:318" x14ac:dyDescent="0.25">
      <c r="A157" s="627">
        <v>42602</v>
      </c>
      <c r="B157" s="627">
        <v>15842</v>
      </c>
      <c r="D157" s="627">
        <v>9</v>
      </c>
      <c r="E157" s="627">
        <v>2024</v>
      </c>
      <c r="F157" s="627">
        <v>6160</v>
      </c>
      <c r="G157" s="627">
        <v>0</v>
      </c>
      <c r="H157" s="627">
        <v>318.31</v>
      </c>
      <c r="I157" s="627">
        <v>308.78399999999999</v>
      </c>
      <c r="J157" s="627">
        <v>308.78399999999999</v>
      </c>
      <c r="K157" s="627">
        <v>318.31</v>
      </c>
      <c r="L157" s="627">
        <v>0</v>
      </c>
      <c r="M157" s="627">
        <v>6160</v>
      </c>
      <c r="N157" s="627">
        <v>0</v>
      </c>
      <c r="O157" s="627">
        <v>0</v>
      </c>
      <c r="P157" s="627">
        <v>0</v>
      </c>
      <c r="Q157" s="627">
        <v>181.84300000000002</v>
      </c>
      <c r="R157" s="627">
        <v>0</v>
      </c>
      <c r="S157" s="627">
        <v>75444</v>
      </c>
      <c r="T157" s="627">
        <v>414.88400000000001</v>
      </c>
      <c r="U157" s="627">
        <v>0</v>
      </c>
      <c r="V157" s="627">
        <v>39152</v>
      </c>
      <c r="W157" s="627">
        <v>34.517000000000003</v>
      </c>
      <c r="X157" s="627">
        <v>21262</v>
      </c>
      <c r="Y157" s="627">
        <v>21262</v>
      </c>
      <c r="Z157" s="627">
        <v>0</v>
      </c>
      <c r="AA157" s="627">
        <v>0</v>
      </c>
      <c r="AB157" s="627">
        <v>0</v>
      </c>
      <c r="AC157" s="627">
        <v>0</v>
      </c>
      <c r="AD157" s="627">
        <v>0</v>
      </c>
      <c r="AE157" s="627" t="s">
        <v>314</v>
      </c>
      <c r="AF157" s="627">
        <v>0</v>
      </c>
      <c r="AG157" s="627">
        <v>0</v>
      </c>
      <c r="AH157" s="627">
        <v>0</v>
      </c>
      <c r="AI157" s="627">
        <v>0</v>
      </c>
      <c r="AJ157" s="627">
        <v>0</v>
      </c>
      <c r="AK157" s="627">
        <v>6160</v>
      </c>
      <c r="AL157" s="627" t="s">
        <v>651</v>
      </c>
      <c r="AM157" s="627" t="s">
        <v>702</v>
      </c>
      <c r="AN157" s="627">
        <v>0</v>
      </c>
      <c r="AO157" s="627">
        <v>0</v>
      </c>
      <c r="AP157" s="627">
        <v>0</v>
      </c>
      <c r="AQ157" s="627">
        <v>0</v>
      </c>
      <c r="AR157" s="627">
        <v>0</v>
      </c>
      <c r="AS157" s="627">
        <v>0</v>
      </c>
      <c r="AT157" s="627">
        <v>0</v>
      </c>
      <c r="AU157" s="627">
        <v>0</v>
      </c>
      <c r="AV157" s="627">
        <v>0</v>
      </c>
      <c r="AW157" s="627">
        <v>-10725</v>
      </c>
      <c r="AX157" s="627">
        <v>3713867</v>
      </c>
      <c r="AY157" s="627">
        <v>3715073</v>
      </c>
      <c r="AZ157" s="627">
        <v>2048354</v>
      </c>
      <c r="BA157" s="627">
        <v>75444</v>
      </c>
      <c r="BB157" s="627">
        <v>0</v>
      </c>
      <c r="BC157" s="627">
        <v>1279</v>
      </c>
      <c r="BD157" s="627">
        <v>1270</v>
      </c>
      <c r="BE157" s="627">
        <v>3</v>
      </c>
      <c r="BF157" s="627">
        <v>8</v>
      </c>
      <c r="BG157" s="627">
        <v>3242711</v>
      </c>
      <c r="BH157" s="627">
        <v>0</v>
      </c>
      <c r="BI157" s="627">
        <v>0</v>
      </c>
      <c r="BJ157" s="627">
        <v>0</v>
      </c>
      <c r="BK157" s="627">
        <v>12</v>
      </c>
      <c r="BL157" s="627">
        <v>0</v>
      </c>
      <c r="BM157" s="627">
        <v>0</v>
      </c>
      <c r="BN157" s="627">
        <v>0</v>
      </c>
      <c r="BO157" s="627">
        <v>0</v>
      </c>
      <c r="BP157" s="627">
        <v>0</v>
      </c>
      <c r="BQ157" s="627">
        <v>0</v>
      </c>
      <c r="BR157" s="627">
        <v>722</v>
      </c>
      <c r="BS157" s="627">
        <v>0</v>
      </c>
      <c r="BT157" s="627">
        <v>0</v>
      </c>
      <c r="BU157" s="627">
        <v>0</v>
      </c>
      <c r="BV157" s="627">
        <v>0</v>
      </c>
      <c r="BW157" s="627">
        <v>0</v>
      </c>
      <c r="BX157" s="627">
        <v>0</v>
      </c>
      <c r="BY157" s="627">
        <v>0</v>
      </c>
      <c r="BZ157" s="627">
        <v>0</v>
      </c>
      <c r="CA157" s="627">
        <v>0</v>
      </c>
      <c r="CB157" s="627">
        <v>0</v>
      </c>
      <c r="CC157" s="627">
        <v>0</v>
      </c>
      <c r="CD157" s="627">
        <v>0</v>
      </c>
      <c r="CE157" s="627">
        <v>0</v>
      </c>
      <c r="CF157" s="627">
        <v>0</v>
      </c>
      <c r="CG157" s="627">
        <v>0</v>
      </c>
      <c r="CH157" s="627">
        <v>0</v>
      </c>
      <c r="CI157" s="627">
        <v>0</v>
      </c>
      <c r="CJ157" s="627">
        <v>0</v>
      </c>
      <c r="CK157" s="627">
        <v>5</v>
      </c>
      <c r="CL157" s="627">
        <v>0</v>
      </c>
      <c r="CM157" s="627">
        <v>0</v>
      </c>
      <c r="CN157" s="627">
        <v>0</v>
      </c>
      <c r="CO157" s="627">
        <v>0</v>
      </c>
      <c r="CP157" s="627">
        <v>1</v>
      </c>
      <c r="CQ157" s="627">
        <v>0</v>
      </c>
      <c r="CR157" s="627">
        <v>0</v>
      </c>
      <c r="CS157" s="627">
        <v>187.15100000000001</v>
      </c>
      <c r="CT157" s="627">
        <v>0</v>
      </c>
      <c r="CU157" s="627">
        <v>0</v>
      </c>
      <c r="CV157" s="627">
        <v>0</v>
      </c>
      <c r="CW157" s="627">
        <v>0</v>
      </c>
      <c r="CX157" s="627">
        <v>0</v>
      </c>
      <c r="CY157" s="627">
        <v>0</v>
      </c>
      <c r="CZ157" s="627">
        <v>0</v>
      </c>
      <c r="DA157" s="627">
        <v>0</v>
      </c>
      <c r="DB157" s="627">
        <v>0</v>
      </c>
      <c r="DC157" s="627">
        <v>1902109</v>
      </c>
      <c r="DD157" s="627">
        <v>0</v>
      </c>
      <c r="DE157" s="627">
        <v>0</v>
      </c>
      <c r="DF157" s="627">
        <v>496804</v>
      </c>
      <c r="DG157" s="627">
        <v>496804</v>
      </c>
      <c r="DH157" s="627">
        <v>80.650000000000006</v>
      </c>
      <c r="DI157" s="627">
        <v>0</v>
      </c>
      <c r="DJ157" s="627">
        <v>0</v>
      </c>
      <c r="DK157" s="627">
        <v>0</v>
      </c>
      <c r="DL157" s="627">
        <v>3182</v>
      </c>
      <c r="DM157" s="627">
        <v>0</v>
      </c>
      <c r="DN157" s="627">
        <v>351250</v>
      </c>
      <c r="DO157" s="627">
        <v>1197</v>
      </c>
      <c r="DP157" s="627">
        <v>0</v>
      </c>
      <c r="DQ157" s="627">
        <v>0</v>
      </c>
      <c r="DR157" s="627">
        <v>0</v>
      </c>
      <c r="DS157" s="627">
        <v>0</v>
      </c>
      <c r="DT157" s="627">
        <v>0</v>
      </c>
      <c r="DU157" s="627">
        <v>0</v>
      </c>
      <c r="DV157" s="627">
        <v>0</v>
      </c>
      <c r="DW157" s="627">
        <v>0</v>
      </c>
      <c r="DX157" s="627">
        <v>0</v>
      </c>
      <c r="DY157" s="627">
        <v>0</v>
      </c>
      <c r="DZ157" s="627">
        <v>0</v>
      </c>
      <c r="EA157" s="627">
        <v>0</v>
      </c>
      <c r="EB157" s="627">
        <v>0</v>
      </c>
      <c r="EC157" s="627">
        <v>0</v>
      </c>
      <c r="ED157" s="627">
        <v>23.016999999999999</v>
      </c>
      <c r="EE157" s="627">
        <v>163052</v>
      </c>
      <c r="EF157" s="627">
        <v>0</v>
      </c>
      <c r="EG157" s="627">
        <v>0</v>
      </c>
      <c r="EH157" s="627">
        <v>0</v>
      </c>
      <c r="EI157" s="627">
        <v>189395</v>
      </c>
      <c r="EJ157" s="627">
        <v>0</v>
      </c>
      <c r="EK157" s="627">
        <v>0</v>
      </c>
      <c r="EL157" s="627">
        <v>7.9750000000000005</v>
      </c>
      <c r="EM157" s="627">
        <v>0</v>
      </c>
      <c r="EN157" s="627">
        <v>0.46700000000000003</v>
      </c>
      <c r="EO157" s="627">
        <v>1.0840000000000001</v>
      </c>
      <c r="EP157" s="627">
        <v>0</v>
      </c>
      <c r="EQ157" s="627">
        <v>0</v>
      </c>
      <c r="ER157" s="627">
        <v>9.5259999999999998</v>
      </c>
      <c r="ES157" s="627">
        <v>0</v>
      </c>
      <c r="ET157" s="627">
        <v>30.746000000000002</v>
      </c>
      <c r="EU157" s="627">
        <v>0</v>
      </c>
      <c r="EV157" s="627">
        <v>0</v>
      </c>
      <c r="EW157" s="627">
        <v>0</v>
      </c>
      <c r="EX157" s="627">
        <v>0</v>
      </c>
      <c r="EY157" s="627">
        <v>0</v>
      </c>
      <c r="EZ157" s="627">
        <v>0</v>
      </c>
      <c r="FA157" s="627">
        <v>3167267</v>
      </c>
      <c r="FB157" s="627">
        <v>0</v>
      </c>
      <c r="FC157" s="627">
        <v>3241505</v>
      </c>
      <c r="FD157" s="627">
        <v>0</v>
      </c>
      <c r="FE157" s="627">
        <v>0</v>
      </c>
      <c r="FF157" s="627">
        <v>466938</v>
      </c>
      <c r="FG157" s="627">
        <v>80868</v>
      </c>
      <c r="FH157" s="627">
        <v>7.0280999999999996E-2</v>
      </c>
      <c r="FI157" s="627">
        <v>3.1172999999999999E-2</v>
      </c>
      <c r="FJ157" s="627">
        <v>0</v>
      </c>
      <c r="FK157" s="627">
        <v>0</v>
      </c>
      <c r="FL157" s="627">
        <v>526.41399999999999</v>
      </c>
      <c r="FM157" s="627">
        <v>3789311</v>
      </c>
      <c r="FN157" s="627">
        <v>0</v>
      </c>
      <c r="FO157" s="627">
        <v>0</v>
      </c>
      <c r="FP157" s="627">
        <v>0</v>
      </c>
      <c r="FQ157" s="627">
        <v>0</v>
      </c>
      <c r="FR157" s="627">
        <v>0</v>
      </c>
      <c r="FS157" s="627">
        <v>0</v>
      </c>
      <c r="FT157" s="627">
        <v>0</v>
      </c>
      <c r="FU157" s="627">
        <v>0</v>
      </c>
      <c r="FV157" s="627">
        <v>0</v>
      </c>
      <c r="FW157" s="627">
        <v>0</v>
      </c>
      <c r="FX157" s="627">
        <v>0</v>
      </c>
      <c r="FY157" s="627">
        <v>0</v>
      </c>
      <c r="FZ157" s="627">
        <v>0</v>
      </c>
      <c r="GA157" s="627">
        <v>0</v>
      </c>
      <c r="GB157" s="627">
        <v>0</v>
      </c>
      <c r="GC157" s="627">
        <v>0</v>
      </c>
      <c r="GD157" s="627">
        <v>0</v>
      </c>
      <c r="GE157" s="627">
        <v>0</v>
      </c>
      <c r="GF157" s="627">
        <v>0</v>
      </c>
      <c r="GG157" s="627">
        <v>0</v>
      </c>
      <c r="GH157" s="627">
        <v>0</v>
      </c>
      <c r="GI157" s="627">
        <v>0</v>
      </c>
      <c r="GJ157" s="627">
        <v>0</v>
      </c>
      <c r="GK157" s="627">
        <v>0</v>
      </c>
      <c r="GL157" s="627">
        <v>0</v>
      </c>
      <c r="GM157" s="627">
        <v>0</v>
      </c>
      <c r="GN157" s="627">
        <v>0</v>
      </c>
      <c r="GO157" s="627">
        <v>0</v>
      </c>
      <c r="GP157" s="627">
        <v>0</v>
      </c>
      <c r="GQ157" s="627">
        <v>0</v>
      </c>
      <c r="GR157" s="627">
        <v>3713867</v>
      </c>
      <c r="GS157" s="627">
        <v>0</v>
      </c>
      <c r="GT157" s="627">
        <v>0</v>
      </c>
      <c r="GU157" s="627">
        <v>0</v>
      </c>
      <c r="GV157" s="627">
        <v>0</v>
      </c>
      <c r="GW157" s="627">
        <v>0</v>
      </c>
      <c r="GX157" s="627">
        <v>0</v>
      </c>
      <c r="GY157" s="627">
        <v>0</v>
      </c>
      <c r="GZ157" s="627">
        <v>0</v>
      </c>
      <c r="HA157" s="627">
        <v>0</v>
      </c>
      <c r="HB157" s="627">
        <v>0</v>
      </c>
      <c r="HC157" s="627">
        <v>0</v>
      </c>
      <c r="HD157" s="627">
        <v>3.9981999999999997E-2</v>
      </c>
      <c r="HE157" s="627">
        <v>0</v>
      </c>
      <c r="HF157" s="627">
        <v>0</v>
      </c>
      <c r="HG157" s="627">
        <v>340280</v>
      </c>
      <c r="HH157" s="627">
        <v>2464</v>
      </c>
      <c r="HI157" s="627">
        <v>107883</v>
      </c>
      <c r="HJ157" s="627">
        <v>0</v>
      </c>
      <c r="HK157" s="627">
        <v>18183</v>
      </c>
      <c r="HL157" s="627">
        <v>0</v>
      </c>
      <c r="HM157" s="627">
        <v>0</v>
      </c>
      <c r="HN157" s="627">
        <v>0</v>
      </c>
      <c r="HO157" s="627">
        <v>0</v>
      </c>
      <c r="HP157" s="627">
        <v>0</v>
      </c>
      <c r="HQ157" s="627">
        <v>0</v>
      </c>
      <c r="HR157" s="627">
        <v>0</v>
      </c>
      <c r="HS157" s="627">
        <v>0</v>
      </c>
      <c r="HT157" s="627">
        <v>3166061</v>
      </c>
      <c r="HU157" s="627">
        <v>80868</v>
      </c>
      <c r="HV157" s="627">
        <v>0</v>
      </c>
      <c r="HW157" s="627">
        <v>0</v>
      </c>
      <c r="HX157" s="627">
        <v>0</v>
      </c>
      <c r="HY157" s="627">
        <v>13</v>
      </c>
      <c r="HZ157" s="627">
        <v>48</v>
      </c>
      <c r="IA157" s="627">
        <v>32</v>
      </c>
      <c r="IB157" s="627">
        <v>86</v>
      </c>
      <c r="IC157" s="627">
        <v>130</v>
      </c>
      <c r="ID157" s="627">
        <v>309</v>
      </c>
      <c r="IE157" s="627">
        <v>0</v>
      </c>
      <c r="IF157" s="627">
        <v>0</v>
      </c>
      <c r="IG157" s="627">
        <v>0</v>
      </c>
      <c r="IH157" s="627">
        <v>4</v>
      </c>
      <c r="II157" s="627">
        <v>175.13500000000002</v>
      </c>
      <c r="IJ157" s="627">
        <v>0</v>
      </c>
      <c r="IK157" s="627">
        <v>34.517000000000003</v>
      </c>
      <c r="IL157" s="627">
        <v>0</v>
      </c>
      <c r="IM157" s="627">
        <v>0</v>
      </c>
      <c r="IN157" s="627">
        <v>0</v>
      </c>
      <c r="IO157" s="627">
        <v>0</v>
      </c>
      <c r="IP157" s="627">
        <v>0</v>
      </c>
      <c r="IQ157" s="627">
        <v>0</v>
      </c>
      <c r="IR157" s="627">
        <v>34.517000000000003</v>
      </c>
      <c r="IS157" s="627">
        <v>21262</v>
      </c>
      <c r="IT157" s="627">
        <v>0</v>
      </c>
      <c r="IU157" s="627">
        <v>0</v>
      </c>
      <c r="IV157" s="627">
        <v>0</v>
      </c>
      <c r="IW157" s="627">
        <v>0</v>
      </c>
      <c r="IX157" s="627">
        <v>6160</v>
      </c>
      <c r="IY157" s="627">
        <v>0</v>
      </c>
      <c r="IZ157" s="627">
        <v>0</v>
      </c>
      <c r="JA157" s="627">
        <v>0</v>
      </c>
      <c r="JB157" s="627">
        <v>0</v>
      </c>
      <c r="JC157" s="627">
        <v>0</v>
      </c>
      <c r="JD157" s="627">
        <v>0</v>
      </c>
      <c r="JE157" s="627">
        <v>0</v>
      </c>
      <c r="JF157" s="627">
        <v>0</v>
      </c>
      <c r="JG157" s="627">
        <v>0</v>
      </c>
      <c r="JH157" s="627">
        <v>0</v>
      </c>
      <c r="JI157" s="627">
        <v>0</v>
      </c>
      <c r="JJ157" s="627">
        <v>0</v>
      </c>
      <c r="JK157" s="627">
        <v>0</v>
      </c>
      <c r="JL157" s="627">
        <v>0</v>
      </c>
      <c r="JM157" s="627">
        <v>0</v>
      </c>
      <c r="JN157" s="627">
        <v>0</v>
      </c>
      <c r="JO157" s="627">
        <v>0</v>
      </c>
      <c r="JP157" s="627">
        <v>0</v>
      </c>
      <c r="JQ157" s="627">
        <v>0</v>
      </c>
      <c r="JR157" s="627">
        <v>0</v>
      </c>
      <c r="JS157" s="627">
        <v>0</v>
      </c>
      <c r="JT157" s="627">
        <v>0</v>
      </c>
      <c r="JU157" s="627">
        <v>0</v>
      </c>
      <c r="JV157" s="627">
        <v>1294</v>
      </c>
      <c r="JW157" s="627">
        <v>0</v>
      </c>
      <c r="JX157" s="627">
        <v>0</v>
      </c>
      <c r="JY157" s="627">
        <v>0</v>
      </c>
      <c r="JZ157" s="627">
        <v>0</v>
      </c>
      <c r="KA157" s="627">
        <v>0</v>
      </c>
      <c r="KB157" s="627">
        <v>0</v>
      </c>
      <c r="KC157" s="627">
        <v>0</v>
      </c>
      <c r="KD157" s="627">
        <v>0</v>
      </c>
      <c r="KE157" s="627">
        <v>1294</v>
      </c>
      <c r="KF157" s="627">
        <v>7262</v>
      </c>
      <c r="KG157" s="627">
        <v>0</v>
      </c>
      <c r="KH157" s="627">
        <v>0</v>
      </c>
      <c r="KI157" s="627">
        <v>3713867</v>
      </c>
      <c r="KJ157" s="627">
        <v>0</v>
      </c>
      <c r="KK157" s="627">
        <v>0</v>
      </c>
      <c r="KL157" s="627">
        <v>4</v>
      </c>
      <c r="KM157" s="627">
        <v>0</v>
      </c>
      <c r="KN157" s="627">
        <v>2464</v>
      </c>
      <c r="KO157" s="627">
        <v>0</v>
      </c>
      <c r="KP157" s="627">
        <v>0</v>
      </c>
      <c r="KQ157" s="627">
        <v>3713867</v>
      </c>
      <c r="KR157" s="627">
        <v>0</v>
      </c>
      <c r="KS157" s="627">
        <v>0</v>
      </c>
      <c r="KT157" s="627">
        <v>0</v>
      </c>
      <c r="KU157" s="627">
        <v>0</v>
      </c>
      <c r="KV157" s="627">
        <v>0</v>
      </c>
      <c r="KW157" s="627">
        <v>0</v>
      </c>
      <c r="KX157" s="627">
        <v>0</v>
      </c>
      <c r="KY157" s="627">
        <v>0</v>
      </c>
      <c r="KZ157" s="627">
        <v>0</v>
      </c>
      <c r="LA157" s="627">
        <v>0</v>
      </c>
      <c r="LB157" s="627">
        <v>0</v>
      </c>
      <c r="LC157" s="627">
        <v>0</v>
      </c>
      <c r="LD157" s="627">
        <v>0</v>
      </c>
      <c r="LE157" s="627">
        <v>0</v>
      </c>
      <c r="LF157" s="627">
        <v>0</v>
      </c>
    </row>
    <row r="158" spans="1:318" x14ac:dyDescent="0.25">
      <c r="A158" s="627">
        <v>42602</v>
      </c>
      <c r="B158" s="627">
        <v>101842</v>
      </c>
      <c r="D158" s="627">
        <v>9</v>
      </c>
      <c r="E158" s="627">
        <v>2024</v>
      </c>
      <c r="F158" s="627">
        <v>6160</v>
      </c>
      <c r="G158" s="627">
        <v>0</v>
      </c>
      <c r="H158" s="627">
        <v>48.307000000000002</v>
      </c>
      <c r="I158" s="627">
        <v>25.391999999999999</v>
      </c>
      <c r="J158" s="627">
        <v>25.391999999999999</v>
      </c>
      <c r="K158" s="627">
        <v>48.307000000000002</v>
      </c>
      <c r="L158" s="627">
        <v>0</v>
      </c>
      <c r="M158" s="627">
        <v>6160</v>
      </c>
      <c r="N158" s="627">
        <v>0</v>
      </c>
      <c r="O158" s="627">
        <v>0</v>
      </c>
      <c r="P158" s="627">
        <v>0</v>
      </c>
      <c r="Q158" s="627">
        <v>48.893000000000001</v>
      </c>
      <c r="R158" s="627">
        <v>0</v>
      </c>
      <c r="S158" s="627">
        <v>20285</v>
      </c>
      <c r="T158" s="627">
        <v>414.88400000000001</v>
      </c>
      <c r="U158" s="627">
        <v>0</v>
      </c>
      <c r="V158" s="627">
        <v>10527</v>
      </c>
      <c r="W158" s="627">
        <v>17.727</v>
      </c>
      <c r="X158" s="627">
        <v>10920</v>
      </c>
      <c r="Y158" s="627">
        <v>10920</v>
      </c>
      <c r="Z158" s="627">
        <v>0</v>
      </c>
      <c r="AA158" s="627">
        <v>0</v>
      </c>
      <c r="AB158" s="627">
        <v>0</v>
      </c>
      <c r="AC158" s="627">
        <v>0</v>
      </c>
      <c r="AD158" s="627">
        <v>0</v>
      </c>
      <c r="AE158" s="627" t="s">
        <v>314</v>
      </c>
      <c r="AF158" s="627">
        <v>0</v>
      </c>
      <c r="AG158" s="627">
        <v>0</v>
      </c>
      <c r="AH158" s="627">
        <v>0</v>
      </c>
      <c r="AI158" s="627">
        <v>0</v>
      </c>
      <c r="AJ158" s="627">
        <v>0</v>
      </c>
      <c r="AK158" s="627">
        <v>6160</v>
      </c>
      <c r="AL158" s="627" t="s">
        <v>651</v>
      </c>
      <c r="AM158" s="627" t="s">
        <v>30</v>
      </c>
      <c r="AN158" s="627">
        <v>0</v>
      </c>
      <c r="AO158" s="627">
        <v>0</v>
      </c>
      <c r="AP158" s="627">
        <v>0</v>
      </c>
      <c r="AQ158" s="627">
        <v>0</v>
      </c>
      <c r="AR158" s="627">
        <v>0</v>
      </c>
      <c r="AS158" s="627">
        <v>0</v>
      </c>
      <c r="AT158" s="627">
        <v>0</v>
      </c>
      <c r="AU158" s="627">
        <v>0</v>
      </c>
      <c r="AV158" s="627">
        <v>0</v>
      </c>
      <c r="AW158" s="627">
        <v>0</v>
      </c>
      <c r="AX158" s="627">
        <v>550634</v>
      </c>
      <c r="AY158" s="627">
        <v>543012</v>
      </c>
      <c r="AZ158" s="627">
        <v>285095</v>
      </c>
      <c r="BA158" s="627">
        <v>20285</v>
      </c>
      <c r="BB158" s="627">
        <v>3.8330000000000002</v>
      </c>
      <c r="BC158" s="627">
        <v>0</v>
      </c>
      <c r="BD158" s="627">
        <v>0</v>
      </c>
      <c r="BE158" s="627">
        <v>0</v>
      </c>
      <c r="BF158" s="627">
        <v>0</v>
      </c>
      <c r="BG158" s="627">
        <v>481344</v>
      </c>
      <c r="BH158" s="627">
        <v>0</v>
      </c>
      <c r="BI158" s="627">
        <v>0</v>
      </c>
      <c r="BJ158" s="627">
        <v>0</v>
      </c>
      <c r="BK158" s="627">
        <v>12</v>
      </c>
      <c r="BL158" s="627">
        <v>0</v>
      </c>
      <c r="BM158" s="627">
        <v>0</v>
      </c>
      <c r="BN158" s="627">
        <v>0</v>
      </c>
      <c r="BO158" s="627">
        <v>0</v>
      </c>
      <c r="BP158" s="627">
        <v>0</v>
      </c>
      <c r="BQ158" s="627">
        <v>0</v>
      </c>
      <c r="BR158" s="627">
        <v>766</v>
      </c>
      <c r="BS158" s="627">
        <v>0</v>
      </c>
      <c r="BT158" s="627">
        <v>0</v>
      </c>
      <c r="BU158" s="627">
        <v>0</v>
      </c>
      <c r="BV158" s="627">
        <v>0</v>
      </c>
      <c r="BW158" s="627">
        <v>0</v>
      </c>
      <c r="BX158" s="627">
        <v>0</v>
      </c>
      <c r="BY158" s="627">
        <v>0</v>
      </c>
      <c r="BZ158" s="627">
        <v>0</v>
      </c>
      <c r="CA158" s="627">
        <v>0</v>
      </c>
      <c r="CB158" s="627">
        <v>0</v>
      </c>
      <c r="CC158" s="627">
        <v>0</v>
      </c>
      <c r="CD158" s="627">
        <v>0</v>
      </c>
      <c r="CE158" s="627">
        <v>0</v>
      </c>
      <c r="CF158" s="627">
        <v>0</v>
      </c>
      <c r="CG158" s="627">
        <v>0</v>
      </c>
      <c r="CH158" s="627">
        <v>0</v>
      </c>
      <c r="CI158" s="627">
        <v>7726</v>
      </c>
      <c r="CJ158" s="627">
        <v>0</v>
      </c>
      <c r="CK158" s="627">
        <v>4</v>
      </c>
      <c r="CL158" s="627">
        <v>0</v>
      </c>
      <c r="CM158" s="627">
        <v>0</v>
      </c>
      <c r="CN158" s="627">
        <v>0</v>
      </c>
      <c r="CO158" s="627">
        <v>0</v>
      </c>
      <c r="CP158" s="627">
        <v>1</v>
      </c>
      <c r="CQ158" s="627">
        <v>0</v>
      </c>
      <c r="CR158" s="627">
        <v>8.3000000000000004E-2</v>
      </c>
      <c r="CS158" s="627">
        <v>49.22</v>
      </c>
      <c r="CT158" s="627">
        <v>0</v>
      </c>
      <c r="CU158" s="627">
        <v>0</v>
      </c>
      <c r="CV158" s="627">
        <v>0</v>
      </c>
      <c r="CW158" s="627">
        <v>0</v>
      </c>
      <c r="CX158" s="627">
        <v>0</v>
      </c>
      <c r="CY158" s="627">
        <v>0</v>
      </c>
      <c r="CZ158" s="627">
        <v>0</v>
      </c>
      <c r="DA158" s="627">
        <v>0</v>
      </c>
      <c r="DB158" s="627">
        <v>0</v>
      </c>
      <c r="DC158" s="627">
        <v>156415</v>
      </c>
      <c r="DD158" s="627">
        <v>0</v>
      </c>
      <c r="DE158" s="627">
        <v>0</v>
      </c>
      <c r="DF158" s="627">
        <v>29414</v>
      </c>
      <c r="DG158" s="627">
        <v>29414</v>
      </c>
      <c r="DH158" s="627">
        <v>4.7750000000000004</v>
      </c>
      <c r="DI158" s="627">
        <v>0</v>
      </c>
      <c r="DJ158" s="627">
        <v>0</v>
      </c>
      <c r="DK158" s="627">
        <v>0</v>
      </c>
      <c r="DL158" s="627">
        <v>3880</v>
      </c>
      <c r="DM158" s="627">
        <v>0</v>
      </c>
      <c r="DN158" s="627">
        <v>30389</v>
      </c>
      <c r="DO158" s="627">
        <v>104</v>
      </c>
      <c r="DP158" s="627">
        <v>0</v>
      </c>
      <c r="DQ158" s="627">
        <v>0</v>
      </c>
      <c r="DR158" s="627">
        <v>0</v>
      </c>
      <c r="DS158" s="627">
        <v>0</v>
      </c>
      <c r="DT158" s="627">
        <v>0</v>
      </c>
      <c r="DU158" s="627">
        <v>0</v>
      </c>
      <c r="DV158" s="627">
        <v>0</v>
      </c>
      <c r="DW158" s="627">
        <v>0</v>
      </c>
      <c r="DX158" s="627">
        <v>0</v>
      </c>
      <c r="DY158" s="627">
        <v>0</v>
      </c>
      <c r="DZ158" s="627">
        <v>0</v>
      </c>
      <c r="EA158" s="627">
        <v>0</v>
      </c>
      <c r="EB158" s="627">
        <v>0</v>
      </c>
      <c r="EC158" s="627">
        <v>0</v>
      </c>
      <c r="ED158" s="627">
        <v>4.0670000000000002</v>
      </c>
      <c r="EE158" s="627">
        <v>28811</v>
      </c>
      <c r="EF158" s="627">
        <v>0</v>
      </c>
      <c r="EG158" s="627">
        <v>0</v>
      </c>
      <c r="EH158" s="627">
        <v>0</v>
      </c>
      <c r="EI158" s="627">
        <v>1682</v>
      </c>
      <c r="EJ158" s="627">
        <v>0</v>
      </c>
      <c r="EK158" s="627">
        <v>0</v>
      </c>
      <c r="EL158" s="627">
        <v>9.0999999999999998E-2</v>
      </c>
      <c r="EM158" s="627">
        <v>0</v>
      </c>
      <c r="EN158" s="627">
        <v>0</v>
      </c>
      <c r="EO158" s="627">
        <v>0</v>
      </c>
      <c r="EP158" s="627">
        <v>0</v>
      </c>
      <c r="EQ158" s="627">
        <v>0</v>
      </c>
      <c r="ER158" s="627">
        <v>9.0999999999999998E-2</v>
      </c>
      <c r="ES158" s="627">
        <v>0</v>
      </c>
      <c r="ET158" s="627">
        <v>0.27300000000000002</v>
      </c>
      <c r="EU158" s="627">
        <v>0</v>
      </c>
      <c r="EV158" s="627">
        <v>0</v>
      </c>
      <c r="EW158" s="627">
        <v>0</v>
      </c>
      <c r="EX158" s="627">
        <v>0</v>
      </c>
      <c r="EY158" s="627">
        <v>0</v>
      </c>
      <c r="EZ158" s="627">
        <v>0</v>
      </c>
      <c r="FA158" s="627">
        <v>461697</v>
      </c>
      <c r="FB158" s="627">
        <v>0</v>
      </c>
      <c r="FC158" s="627">
        <v>481878</v>
      </c>
      <c r="FD158" s="627">
        <v>0</v>
      </c>
      <c r="FE158" s="627">
        <v>0</v>
      </c>
      <c r="FF158" s="627">
        <v>69311</v>
      </c>
      <c r="FG158" s="627">
        <v>12004</v>
      </c>
      <c r="FH158" s="627">
        <v>7.0280999999999996E-2</v>
      </c>
      <c r="FI158" s="627">
        <v>3.1172999999999999E-2</v>
      </c>
      <c r="FJ158" s="627">
        <v>0</v>
      </c>
      <c r="FK158" s="627">
        <v>0</v>
      </c>
      <c r="FL158" s="627">
        <v>78.14</v>
      </c>
      <c r="FM158" s="627">
        <v>570919</v>
      </c>
      <c r="FN158" s="627">
        <v>0</v>
      </c>
      <c r="FO158" s="627">
        <v>0</v>
      </c>
      <c r="FP158" s="627">
        <v>0</v>
      </c>
      <c r="FQ158" s="627">
        <v>0</v>
      </c>
      <c r="FR158" s="627">
        <v>0</v>
      </c>
      <c r="FS158" s="627">
        <v>0</v>
      </c>
      <c r="FT158" s="627">
        <v>0</v>
      </c>
      <c r="FU158" s="627">
        <v>0</v>
      </c>
      <c r="FV158" s="627">
        <v>0</v>
      </c>
      <c r="FW158" s="627">
        <v>0</v>
      </c>
      <c r="FX158" s="627">
        <v>0</v>
      </c>
      <c r="FY158" s="627">
        <v>0</v>
      </c>
      <c r="FZ158" s="627">
        <v>0</v>
      </c>
      <c r="GA158" s="627">
        <v>0</v>
      </c>
      <c r="GB158" s="627">
        <v>0</v>
      </c>
      <c r="GC158" s="627">
        <v>208789</v>
      </c>
      <c r="GD158" s="627">
        <v>208789</v>
      </c>
      <c r="GE158" s="627">
        <v>22.824000000000002</v>
      </c>
      <c r="GF158" s="627">
        <v>0</v>
      </c>
      <c r="GG158" s="627">
        <v>0</v>
      </c>
      <c r="GH158" s="627">
        <v>0</v>
      </c>
      <c r="GI158" s="627">
        <v>0</v>
      </c>
      <c r="GJ158" s="627">
        <v>0</v>
      </c>
      <c r="GK158" s="627">
        <v>0</v>
      </c>
      <c r="GL158" s="627">
        <v>0</v>
      </c>
      <c r="GM158" s="627">
        <v>0</v>
      </c>
      <c r="GN158" s="627">
        <v>0</v>
      </c>
      <c r="GO158" s="627">
        <v>0</v>
      </c>
      <c r="GP158" s="627">
        <v>0</v>
      </c>
      <c r="GQ158" s="627">
        <v>0</v>
      </c>
      <c r="GR158" s="627">
        <v>542908</v>
      </c>
      <c r="GS158" s="627">
        <v>0</v>
      </c>
      <c r="GT158" s="627">
        <v>0</v>
      </c>
      <c r="GU158" s="627">
        <v>0</v>
      </c>
      <c r="GV158" s="627">
        <v>0</v>
      </c>
      <c r="GW158" s="627">
        <v>0</v>
      </c>
      <c r="GX158" s="627">
        <v>0</v>
      </c>
      <c r="GY158" s="627">
        <v>0</v>
      </c>
      <c r="GZ158" s="627">
        <v>0</v>
      </c>
      <c r="HA158" s="627">
        <v>0</v>
      </c>
      <c r="HB158" s="627">
        <v>0</v>
      </c>
      <c r="HC158" s="627">
        <v>361151439</v>
      </c>
      <c r="HD158" s="627">
        <v>3.9981999999999997E-2</v>
      </c>
      <c r="HE158" s="627">
        <v>7726</v>
      </c>
      <c r="HF158" s="627">
        <v>0</v>
      </c>
      <c r="HG158" s="627">
        <v>27982</v>
      </c>
      <c r="HH158" s="627">
        <v>1232</v>
      </c>
      <c r="HI158" s="627">
        <v>616</v>
      </c>
      <c r="HJ158" s="627">
        <v>0</v>
      </c>
      <c r="HK158" s="627">
        <v>15483</v>
      </c>
      <c r="HL158" s="627">
        <v>463</v>
      </c>
      <c r="HM158" s="627">
        <v>175</v>
      </c>
      <c r="HN158" s="627">
        <v>0</v>
      </c>
      <c r="HO158" s="627">
        <v>0</v>
      </c>
      <c r="HP158" s="627">
        <v>0</v>
      </c>
      <c r="HQ158" s="627">
        <v>0</v>
      </c>
      <c r="HR158" s="627">
        <v>0</v>
      </c>
      <c r="HS158" s="627">
        <v>0</v>
      </c>
      <c r="HT158" s="627">
        <v>461593</v>
      </c>
      <c r="HU158" s="627">
        <v>12004</v>
      </c>
      <c r="HV158" s="627">
        <v>0</v>
      </c>
      <c r="HW158" s="627">
        <v>0</v>
      </c>
      <c r="HX158" s="627">
        <v>0</v>
      </c>
      <c r="HY158" s="627">
        <v>10</v>
      </c>
      <c r="HZ158" s="627">
        <v>4</v>
      </c>
      <c r="IA158" s="627">
        <v>0</v>
      </c>
      <c r="IB158" s="627">
        <v>6</v>
      </c>
      <c r="IC158" s="627">
        <v>0</v>
      </c>
      <c r="ID158" s="627">
        <v>20</v>
      </c>
      <c r="IE158" s="627">
        <v>0</v>
      </c>
      <c r="IF158" s="627">
        <v>0</v>
      </c>
      <c r="IG158" s="627">
        <v>0</v>
      </c>
      <c r="IH158" s="627">
        <v>2</v>
      </c>
      <c r="II158" s="627">
        <v>1</v>
      </c>
      <c r="IJ158" s="627">
        <v>0</v>
      </c>
      <c r="IK158" s="627">
        <v>17.727</v>
      </c>
      <c r="IL158" s="627">
        <v>0</v>
      </c>
      <c r="IM158" s="627">
        <v>0</v>
      </c>
      <c r="IN158" s="627">
        <v>0</v>
      </c>
      <c r="IO158" s="627">
        <v>0</v>
      </c>
      <c r="IP158" s="627">
        <v>0</v>
      </c>
      <c r="IQ158" s="627">
        <v>0</v>
      </c>
      <c r="IR158" s="627">
        <v>17.727</v>
      </c>
      <c r="IS158" s="627">
        <v>10920</v>
      </c>
      <c r="IT158" s="627">
        <v>0</v>
      </c>
      <c r="IU158" s="627">
        <v>0</v>
      </c>
      <c r="IV158" s="627">
        <v>0</v>
      </c>
      <c r="IW158" s="627">
        <v>0</v>
      </c>
      <c r="IX158" s="627">
        <v>6160</v>
      </c>
      <c r="IY158" s="627">
        <v>0</v>
      </c>
      <c r="IZ158" s="627">
        <v>0</v>
      </c>
      <c r="JA158" s="627">
        <v>0</v>
      </c>
      <c r="JB158" s="627">
        <v>0</v>
      </c>
      <c r="JC158" s="627">
        <v>0</v>
      </c>
      <c r="JD158" s="627">
        <v>0</v>
      </c>
      <c r="JE158" s="627">
        <v>0</v>
      </c>
      <c r="JF158" s="627">
        <v>0</v>
      </c>
      <c r="JG158" s="627">
        <v>0</v>
      </c>
      <c r="JH158" s="627">
        <v>0</v>
      </c>
      <c r="JI158" s="627">
        <v>0</v>
      </c>
      <c r="JJ158" s="627">
        <v>0</v>
      </c>
      <c r="JK158" s="627">
        <v>0</v>
      </c>
      <c r="JL158" s="627">
        <v>0</v>
      </c>
      <c r="JM158" s="627">
        <v>0</v>
      </c>
      <c r="JN158" s="627">
        <v>0</v>
      </c>
      <c r="JO158" s="627">
        <v>32469</v>
      </c>
      <c r="JP158" s="627">
        <v>4.24</v>
      </c>
      <c r="JQ158" s="627">
        <v>17.016000000000002</v>
      </c>
      <c r="JR158" s="627">
        <v>1.5690000000000002</v>
      </c>
      <c r="JS158" s="627">
        <v>33870</v>
      </c>
      <c r="JT158" s="627">
        <v>158170</v>
      </c>
      <c r="JU158" s="627">
        <v>16749</v>
      </c>
      <c r="JV158" s="627">
        <v>0</v>
      </c>
      <c r="JW158" s="627">
        <v>0</v>
      </c>
      <c r="JX158" s="627">
        <v>0</v>
      </c>
      <c r="JY158" s="627">
        <v>0</v>
      </c>
      <c r="JZ158" s="627">
        <v>0</v>
      </c>
      <c r="KA158" s="627">
        <v>0</v>
      </c>
      <c r="KB158" s="627">
        <v>0</v>
      </c>
      <c r="KC158" s="627">
        <v>0</v>
      </c>
      <c r="KD158" s="627">
        <v>0</v>
      </c>
      <c r="KE158" s="627">
        <v>0</v>
      </c>
      <c r="KF158" s="627">
        <v>7262</v>
      </c>
      <c r="KG158" s="627">
        <v>0</v>
      </c>
      <c r="KH158" s="627">
        <v>0</v>
      </c>
      <c r="KI158" s="627">
        <v>542908</v>
      </c>
      <c r="KJ158" s="627">
        <v>0</v>
      </c>
      <c r="KK158" s="627">
        <v>1</v>
      </c>
      <c r="KL158" s="627">
        <v>1</v>
      </c>
      <c r="KM158" s="627">
        <v>616</v>
      </c>
      <c r="KN158" s="627">
        <v>616</v>
      </c>
      <c r="KO158" s="627">
        <v>0</v>
      </c>
      <c r="KP158" s="627">
        <v>0</v>
      </c>
      <c r="KQ158" s="627">
        <v>542908</v>
      </c>
      <c r="KR158" s="627">
        <v>0</v>
      </c>
      <c r="KS158" s="627">
        <v>0</v>
      </c>
      <c r="KT158" s="627">
        <v>0</v>
      </c>
      <c r="KU158" s="627">
        <v>0</v>
      </c>
      <c r="KV158" s="627">
        <v>0</v>
      </c>
      <c r="KW158" s="627">
        <v>0</v>
      </c>
      <c r="KX158" s="627">
        <v>0</v>
      </c>
      <c r="KY158" s="627">
        <v>0</v>
      </c>
      <c r="KZ158" s="627">
        <v>0</v>
      </c>
      <c r="LA158" s="627">
        <v>0</v>
      </c>
      <c r="LB158" s="627">
        <v>0</v>
      </c>
      <c r="LC158" s="627">
        <v>0</v>
      </c>
      <c r="LD158" s="627">
        <v>0</v>
      </c>
      <c r="LE158" s="627">
        <v>0</v>
      </c>
      <c r="LF158" s="627">
        <v>0</v>
      </c>
    </row>
    <row r="159" spans="1:318" x14ac:dyDescent="0.25">
      <c r="A159" s="627">
        <v>42602</v>
      </c>
      <c r="B159" s="627">
        <v>15843</v>
      </c>
      <c r="D159" s="627">
        <v>9</v>
      </c>
      <c r="E159" s="627">
        <v>2024</v>
      </c>
      <c r="F159" s="627">
        <v>6160</v>
      </c>
      <c r="G159" s="627">
        <v>0</v>
      </c>
      <c r="H159" s="627">
        <v>112.03500000000001</v>
      </c>
      <c r="I159" s="627">
        <v>105.83800000000001</v>
      </c>
      <c r="J159" s="627">
        <v>105.83800000000001</v>
      </c>
      <c r="K159" s="627">
        <v>112.03500000000001</v>
      </c>
      <c r="L159" s="627">
        <v>0</v>
      </c>
      <c r="M159" s="627">
        <v>6160</v>
      </c>
      <c r="N159" s="627">
        <v>0</v>
      </c>
      <c r="O159" s="627">
        <v>0</v>
      </c>
      <c r="P159" s="627">
        <v>0</v>
      </c>
      <c r="Q159" s="627">
        <v>70.781999999999996</v>
      </c>
      <c r="R159" s="627">
        <v>0</v>
      </c>
      <c r="S159" s="627">
        <v>29366</v>
      </c>
      <c r="T159" s="627">
        <v>414.88400000000001</v>
      </c>
      <c r="U159" s="627">
        <v>0</v>
      </c>
      <c r="V159" s="627">
        <v>15240</v>
      </c>
      <c r="W159" s="627">
        <v>14.357000000000001</v>
      </c>
      <c r="X159" s="627">
        <v>8844</v>
      </c>
      <c r="Y159" s="627">
        <v>8844</v>
      </c>
      <c r="Z159" s="627">
        <v>0</v>
      </c>
      <c r="AA159" s="627">
        <v>0</v>
      </c>
      <c r="AB159" s="627">
        <v>0</v>
      </c>
      <c r="AC159" s="627">
        <v>0</v>
      </c>
      <c r="AD159" s="627">
        <v>0</v>
      </c>
      <c r="AE159" s="627" t="s">
        <v>314</v>
      </c>
      <c r="AF159" s="627">
        <v>0</v>
      </c>
      <c r="AG159" s="627">
        <v>0</v>
      </c>
      <c r="AH159" s="627">
        <v>0</v>
      </c>
      <c r="AI159" s="627">
        <v>0</v>
      </c>
      <c r="AJ159" s="627">
        <v>0</v>
      </c>
      <c r="AK159" s="627">
        <v>6160</v>
      </c>
      <c r="AL159" s="627" t="s">
        <v>651</v>
      </c>
      <c r="AM159" s="627" t="s">
        <v>703</v>
      </c>
      <c r="AN159" s="627">
        <v>0</v>
      </c>
      <c r="AO159" s="627">
        <v>0</v>
      </c>
      <c r="AP159" s="627">
        <v>0</v>
      </c>
      <c r="AQ159" s="627">
        <v>0</v>
      </c>
      <c r="AR159" s="627">
        <v>0</v>
      </c>
      <c r="AS159" s="627">
        <v>0</v>
      </c>
      <c r="AT159" s="627">
        <v>0</v>
      </c>
      <c r="AU159" s="627">
        <v>0</v>
      </c>
      <c r="AV159" s="627">
        <v>0</v>
      </c>
      <c r="AW159" s="627">
        <v>-167387</v>
      </c>
      <c r="AX159" s="627">
        <v>1356006</v>
      </c>
      <c r="AY159" s="627">
        <v>1356448</v>
      </c>
      <c r="AZ159" s="627">
        <v>661228</v>
      </c>
      <c r="BA159" s="627">
        <v>29366</v>
      </c>
      <c r="BB159" s="627">
        <v>0</v>
      </c>
      <c r="BC159" s="627">
        <v>0</v>
      </c>
      <c r="BD159" s="627">
        <v>0</v>
      </c>
      <c r="BE159" s="627">
        <v>0</v>
      </c>
      <c r="BF159" s="627">
        <v>0</v>
      </c>
      <c r="BG159" s="627">
        <v>1185536</v>
      </c>
      <c r="BH159" s="627">
        <v>0</v>
      </c>
      <c r="BI159" s="627">
        <v>0</v>
      </c>
      <c r="BJ159" s="627">
        <v>0</v>
      </c>
      <c r="BK159" s="627">
        <v>12</v>
      </c>
      <c r="BL159" s="627">
        <v>0</v>
      </c>
      <c r="BM159" s="627">
        <v>0</v>
      </c>
      <c r="BN159" s="627">
        <v>0</v>
      </c>
      <c r="BO159" s="627">
        <v>0</v>
      </c>
      <c r="BP159" s="627">
        <v>0</v>
      </c>
      <c r="BQ159" s="627">
        <v>0</v>
      </c>
      <c r="BR159" s="627">
        <v>754</v>
      </c>
      <c r="BS159" s="627">
        <v>0</v>
      </c>
      <c r="BT159" s="627">
        <v>0</v>
      </c>
      <c r="BU159" s="627">
        <v>0</v>
      </c>
      <c r="BV159" s="627">
        <v>0</v>
      </c>
      <c r="BW159" s="627">
        <v>0</v>
      </c>
      <c r="BX159" s="627">
        <v>0</v>
      </c>
      <c r="BY159" s="627">
        <v>0</v>
      </c>
      <c r="BZ159" s="627">
        <v>0</v>
      </c>
      <c r="CA159" s="627">
        <v>0</v>
      </c>
      <c r="CB159" s="627">
        <v>0</v>
      </c>
      <c r="CC159" s="627">
        <v>0</v>
      </c>
      <c r="CD159" s="627">
        <v>0</v>
      </c>
      <c r="CE159" s="627">
        <v>0</v>
      </c>
      <c r="CF159" s="627">
        <v>0</v>
      </c>
      <c r="CG159" s="627">
        <v>0</v>
      </c>
      <c r="CH159" s="627">
        <v>0</v>
      </c>
      <c r="CI159" s="627">
        <v>0</v>
      </c>
      <c r="CJ159" s="627">
        <v>0</v>
      </c>
      <c r="CK159" s="627">
        <v>5</v>
      </c>
      <c r="CL159" s="627">
        <v>0</v>
      </c>
      <c r="CM159" s="627">
        <v>0</v>
      </c>
      <c r="CN159" s="627">
        <v>0</v>
      </c>
      <c r="CO159" s="627">
        <v>0</v>
      </c>
      <c r="CP159" s="627">
        <v>1</v>
      </c>
      <c r="CQ159" s="627">
        <v>0</v>
      </c>
      <c r="CR159" s="627">
        <v>0</v>
      </c>
      <c r="CS159" s="627">
        <v>70.55</v>
      </c>
      <c r="CT159" s="627">
        <v>0</v>
      </c>
      <c r="CU159" s="627">
        <v>0</v>
      </c>
      <c r="CV159" s="627">
        <v>0</v>
      </c>
      <c r="CW159" s="627">
        <v>0</v>
      </c>
      <c r="CX159" s="627">
        <v>0</v>
      </c>
      <c r="CY159" s="627">
        <v>0</v>
      </c>
      <c r="CZ159" s="627">
        <v>0</v>
      </c>
      <c r="DA159" s="627">
        <v>0</v>
      </c>
      <c r="DB159" s="627">
        <v>0</v>
      </c>
      <c r="DC159" s="627">
        <v>651962</v>
      </c>
      <c r="DD159" s="627">
        <v>0</v>
      </c>
      <c r="DE159" s="627">
        <v>0</v>
      </c>
      <c r="DF159" s="627">
        <v>204666</v>
      </c>
      <c r="DG159" s="627">
        <v>204666</v>
      </c>
      <c r="DH159" s="627">
        <v>33.225000000000001</v>
      </c>
      <c r="DI159" s="627">
        <v>0</v>
      </c>
      <c r="DJ159" s="627">
        <v>0</v>
      </c>
      <c r="DK159" s="627">
        <v>0</v>
      </c>
      <c r="DL159" s="627">
        <v>3682</v>
      </c>
      <c r="DM159" s="627">
        <v>0</v>
      </c>
      <c r="DN159" s="627">
        <v>129765</v>
      </c>
      <c r="DO159" s="627">
        <v>442</v>
      </c>
      <c r="DP159" s="627">
        <v>0</v>
      </c>
      <c r="DQ159" s="627">
        <v>0</v>
      </c>
      <c r="DR159" s="627">
        <v>0</v>
      </c>
      <c r="DS159" s="627">
        <v>0</v>
      </c>
      <c r="DT159" s="627">
        <v>0</v>
      </c>
      <c r="DU159" s="627">
        <v>0</v>
      </c>
      <c r="DV159" s="627">
        <v>0</v>
      </c>
      <c r="DW159" s="627">
        <v>0</v>
      </c>
      <c r="DX159" s="627">
        <v>0</v>
      </c>
      <c r="DY159" s="627">
        <v>0</v>
      </c>
      <c r="DZ159" s="627">
        <v>0</v>
      </c>
      <c r="EA159" s="627">
        <v>0</v>
      </c>
      <c r="EB159" s="627">
        <v>0</v>
      </c>
      <c r="EC159" s="627">
        <v>0</v>
      </c>
      <c r="ED159" s="627">
        <v>0.91700000000000004</v>
      </c>
      <c r="EE159" s="627">
        <v>6496</v>
      </c>
      <c r="EF159" s="627">
        <v>0</v>
      </c>
      <c r="EG159" s="627">
        <v>0</v>
      </c>
      <c r="EH159" s="627">
        <v>0</v>
      </c>
      <c r="EI159" s="627">
        <v>123711</v>
      </c>
      <c r="EJ159" s="627">
        <v>0</v>
      </c>
      <c r="EK159" s="627">
        <v>0</v>
      </c>
      <c r="EL159" s="627">
        <v>5.016</v>
      </c>
      <c r="EM159" s="627">
        <v>0</v>
      </c>
      <c r="EN159" s="627">
        <v>0.435</v>
      </c>
      <c r="EO159" s="627">
        <v>0.746</v>
      </c>
      <c r="EP159" s="627">
        <v>0</v>
      </c>
      <c r="EQ159" s="627">
        <v>0</v>
      </c>
      <c r="ER159" s="627">
        <v>6.1970000000000001</v>
      </c>
      <c r="ES159" s="627">
        <v>0</v>
      </c>
      <c r="ET159" s="627">
        <v>20.083000000000002</v>
      </c>
      <c r="EU159" s="627">
        <v>0</v>
      </c>
      <c r="EV159" s="627">
        <v>0</v>
      </c>
      <c r="EW159" s="627">
        <v>0</v>
      </c>
      <c r="EX159" s="627">
        <v>0</v>
      </c>
      <c r="EY159" s="627">
        <v>0</v>
      </c>
      <c r="EZ159" s="627">
        <v>0</v>
      </c>
      <c r="FA159" s="627">
        <v>1156170</v>
      </c>
      <c r="FB159" s="627">
        <v>0</v>
      </c>
      <c r="FC159" s="627">
        <v>1185094</v>
      </c>
      <c r="FD159" s="627">
        <v>0</v>
      </c>
      <c r="FE159" s="627">
        <v>0</v>
      </c>
      <c r="FF159" s="627">
        <v>170713</v>
      </c>
      <c r="FG159" s="627">
        <v>29565</v>
      </c>
      <c r="FH159" s="627">
        <v>7.0280999999999996E-2</v>
      </c>
      <c r="FI159" s="627">
        <v>3.1172999999999999E-2</v>
      </c>
      <c r="FJ159" s="627">
        <v>0</v>
      </c>
      <c r="FK159" s="627">
        <v>0</v>
      </c>
      <c r="FL159" s="627">
        <v>192.45700000000002</v>
      </c>
      <c r="FM159" s="627">
        <v>1385372</v>
      </c>
      <c r="FN159" s="627">
        <v>0</v>
      </c>
      <c r="FO159" s="627">
        <v>0</v>
      </c>
      <c r="FP159" s="627">
        <v>0</v>
      </c>
      <c r="FQ159" s="627">
        <v>0</v>
      </c>
      <c r="FR159" s="627">
        <v>0</v>
      </c>
      <c r="FS159" s="627">
        <v>0</v>
      </c>
      <c r="FT159" s="627">
        <v>0</v>
      </c>
      <c r="FU159" s="627">
        <v>0</v>
      </c>
      <c r="FV159" s="627">
        <v>0</v>
      </c>
      <c r="FW159" s="627">
        <v>0</v>
      </c>
      <c r="FX159" s="627">
        <v>0</v>
      </c>
      <c r="FY159" s="627">
        <v>0</v>
      </c>
      <c r="FZ159" s="627">
        <v>0</v>
      </c>
      <c r="GA159" s="627">
        <v>0</v>
      </c>
      <c r="GB159" s="627">
        <v>0</v>
      </c>
      <c r="GC159" s="627">
        <v>0</v>
      </c>
      <c r="GD159" s="627">
        <v>0</v>
      </c>
      <c r="GE159" s="627">
        <v>0</v>
      </c>
      <c r="GF159" s="627">
        <v>0</v>
      </c>
      <c r="GG159" s="627">
        <v>0</v>
      </c>
      <c r="GH159" s="627">
        <v>0</v>
      </c>
      <c r="GI159" s="627">
        <v>0</v>
      </c>
      <c r="GJ159" s="627">
        <v>0</v>
      </c>
      <c r="GK159" s="627">
        <v>0</v>
      </c>
      <c r="GL159" s="627">
        <v>0</v>
      </c>
      <c r="GM159" s="627">
        <v>0</v>
      </c>
      <c r="GN159" s="627">
        <v>0</v>
      </c>
      <c r="GO159" s="627">
        <v>0</v>
      </c>
      <c r="GP159" s="627">
        <v>0</v>
      </c>
      <c r="GQ159" s="627">
        <v>0</v>
      </c>
      <c r="GR159" s="627">
        <v>1356006</v>
      </c>
      <c r="GS159" s="627">
        <v>0</v>
      </c>
      <c r="GT159" s="627">
        <v>0</v>
      </c>
      <c r="GU159" s="627">
        <v>0</v>
      </c>
      <c r="GV159" s="627">
        <v>0</v>
      </c>
      <c r="GW159" s="627">
        <v>0</v>
      </c>
      <c r="GX159" s="627">
        <v>0</v>
      </c>
      <c r="GY159" s="627">
        <v>0</v>
      </c>
      <c r="GZ159" s="627">
        <v>0</v>
      </c>
      <c r="HA159" s="627">
        <v>0</v>
      </c>
      <c r="HB159" s="627">
        <v>0</v>
      </c>
      <c r="HC159" s="627">
        <v>0</v>
      </c>
      <c r="HD159" s="627">
        <v>3.9981999999999997E-2</v>
      </c>
      <c r="HE159" s="627">
        <v>0</v>
      </c>
      <c r="HF159" s="627">
        <v>0</v>
      </c>
      <c r="HG159" s="627">
        <v>116633</v>
      </c>
      <c r="HH159" s="627">
        <v>0</v>
      </c>
      <c r="HI159" s="627">
        <v>57104</v>
      </c>
      <c r="HJ159" s="627">
        <v>0</v>
      </c>
      <c r="HK159" s="627">
        <v>16120</v>
      </c>
      <c r="HL159" s="627">
        <v>0</v>
      </c>
      <c r="HM159" s="627">
        <v>0</v>
      </c>
      <c r="HN159" s="627">
        <v>0</v>
      </c>
      <c r="HO159" s="627">
        <v>0</v>
      </c>
      <c r="HP159" s="627">
        <v>0</v>
      </c>
      <c r="HQ159" s="627">
        <v>0</v>
      </c>
      <c r="HR159" s="627">
        <v>0</v>
      </c>
      <c r="HS159" s="627">
        <v>0</v>
      </c>
      <c r="HT159" s="627">
        <v>1155728</v>
      </c>
      <c r="HU159" s="627">
        <v>29565</v>
      </c>
      <c r="HV159" s="627">
        <v>0</v>
      </c>
      <c r="HW159" s="627">
        <v>0</v>
      </c>
      <c r="HX159" s="627">
        <v>0</v>
      </c>
      <c r="HY159" s="627">
        <v>8</v>
      </c>
      <c r="HZ159" s="627">
        <v>11</v>
      </c>
      <c r="IA159" s="627">
        <v>24</v>
      </c>
      <c r="IB159" s="627">
        <v>23</v>
      </c>
      <c r="IC159" s="627">
        <v>61</v>
      </c>
      <c r="ID159" s="627">
        <v>127</v>
      </c>
      <c r="IE159" s="627">
        <v>0</v>
      </c>
      <c r="IF159" s="627">
        <v>0</v>
      </c>
      <c r="IG159" s="627">
        <v>0</v>
      </c>
      <c r="IH159" s="627">
        <v>0</v>
      </c>
      <c r="II159" s="627">
        <v>92.701999999999998</v>
      </c>
      <c r="IJ159" s="627">
        <v>0</v>
      </c>
      <c r="IK159" s="627">
        <v>14.357000000000001</v>
      </c>
      <c r="IL159" s="627">
        <v>0</v>
      </c>
      <c r="IM159" s="627">
        <v>0</v>
      </c>
      <c r="IN159" s="627">
        <v>0</v>
      </c>
      <c r="IO159" s="627">
        <v>0</v>
      </c>
      <c r="IP159" s="627">
        <v>0</v>
      </c>
      <c r="IQ159" s="627">
        <v>0</v>
      </c>
      <c r="IR159" s="627">
        <v>14.357000000000001</v>
      </c>
      <c r="IS159" s="627">
        <v>8844</v>
      </c>
      <c r="IT159" s="627">
        <v>0</v>
      </c>
      <c r="IU159" s="627">
        <v>0</v>
      </c>
      <c r="IV159" s="627">
        <v>0</v>
      </c>
      <c r="IW159" s="627">
        <v>0</v>
      </c>
      <c r="IX159" s="627">
        <v>6160</v>
      </c>
      <c r="IY159" s="627">
        <v>0</v>
      </c>
      <c r="IZ159" s="627">
        <v>0</v>
      </c>
      <c r="JA159" s="627">
        <v>0</v>
      </c>
      <c r="JB159" s="627">
        <v>0</v>
      </c>
      <c r="JC159" s="627">
        <v>0</v>
      </c>
      <c r="JD159" s="627">
        <v>0</v>
      </c>
      <c r="JE159" s="627">
        <v>0</v>
      </c>
      <c r="JF159" s="627">
        <v>0</v>
      </c>
      <c r="JG159" s="627">
        <v>0</v>
      </c>
      <c r="JH159" s="627">
        <v>0</v>
      </c>
      <c r="JI159" s="627">
        <v>0</v>
      </c>
      <c r="JJ159" s="627">
        <v>0</v>
      </c>
      <c r="JK159" s="627">
        <v>0</v>
      </c>
      <c r="JL159" s="627">
        <v>0</v>
      </c>
      <c r="JM159" s="627">
        <v>0</v>
      </c>
      <c r="JN159" s="627">
        <v>0</v>
      </c>
      <c r="JO159" s="627">
        <v>0</v>
      </c>
      <c r="JP159" s="627">
        <v>0</v>
      </c>
      <c r="JQ159" s="627">
        <v>0</v>
      </c>
      <c r="JR159" s="627">
        <v>0</v>
      </c>
      <c r="JS159" s="627">
        <v>0</v>
      </c>
      <c r="JT159" s="627">
        <v>0</v>
      </c>
      <c r="JU159" s="627">
        <v>0</v>
      </c>
      <c r="JV159" s="627">
        <v>0</v>
      </c>
      <c r="JW159" s="627">
        <v>0</v>
      </c>
      <c r="JX159" s="627">
        <v>0</v>
      </c>
      <c r="JY159" s="627">
        <v>0</v>
      </c>
      <c r="JZ159" s="627">
        <v>0</v>
      </c>
      <c r="KA159" s="627">
        <v>0</v>
      </c>
      <c r="KB159" s="627">
        <v>0</v>
      </c>
      <c r="KC159" s="627">
        <v>0</v>
      </c>
      <c r="KD159" s="627">
        <v>0</v>
      </c>
      <c r="KE159" s="627">
        <v>0</v>
      </c>
      <c r="KF159" s="627">
        <v>7262</v>
      </c>
      <c r="KG159" s="627">
        <v>0</v>
      </c>
      <c r="KH159" s="627">
        <v>0</v>
      </c>
      <c r="KI159" s="627">
        <v>1356006</v>
      </c>
      <c r="KJ159" s="627">
        <v>0</v>
      </c>
      <c r="KK159" s="627">
        <v>0</v>
      </c>
      <c r="KL159" s="627">
        <v>0</v>
      </c>
      <c r="KM159" s="627">
        <v>0</v>
      </c>
      <c r="KN159" s="627">
        <v>0</v>
      </c>
      <c r="KO159" s="627">
        <v>0</v>
      </c>
      <c r="KP159" s="627">
        <v>0</v>
      </c>
      <c r="KQ159" s="627">
        <v>1356006</v>
      </c>
      <c r="KR159" s="627">
        <v>0</v>
      </c>
      <c r="KS159" s="627">
        <v>0</v>
      </c>
      <c r="KT159" s="627">
        <v>0</v>
      </c>
      <c r="KU159" s="627">
        <v>0</v>
      </c>
      <c r="KV159" s="627">
        <v>0</v>
      </c>
      <c r="KW159" s="627">
        <v>0</v>
      </c>
      <c r="KX159" s="627">
        <v>0</v>
      </c>
      <c r="KY159" s="627">
        <v>0</v>
      </c>
      <c r="KZ159" s="627">
        <v>0</v>
      </c>
      <c r="LA159" s="627">
        <v>0</v>
      </c>
      <c r="LB159" s="627">
        <v>0</v>
      </c>
      <c r="LC159" s="627">
        <v>0</v>
      </c>
      <c r="LD159" s="627">
        <v>0</v>
      </c>
      <c r="LE159" s="627">
        <v>0</v>
      </c>
      <c r="LF159" s="627">
        <v>0</v>
      </c>
    </row>
    <row r="160" spans="1:318" x14ac:dyDescent="0.25">
      <c r="A160" s="627">
        <v>42602</v>
      </c>
      <c r="B160" s="627">
        <v>15844</v>
      </c>
      <c r="D160" s="627">
        <v>9</v>
      </c>
      <c r="E160" s="627">
        <v>2024</v>
      </c>
      <c r="F160" s="627">
        <v>6160</v>
      </c>
      <c r="G160" s="627">
        <v>0</v>
      </c>
      <c r="H160" s="627">
        <v>158.14500000000001</v>
      </c>
      <c r="I160" s="627">
        <v>157.245</v>
      </c>
      <c r="J160" s="627">
        <v>157.245</v>
      </c>
      <c r="K160" s="627">
        <v>158.14500000000001</v>
      </c>
      <c r="L160" s="627">
        <v>0</v>
      </c>
      <c r="M160" s="627">
        <v>6160</v>
      </c>
      <c r="N160" s="627">
        <v>0</v>
      </c>
      <c r="O160" s="627">
        <v>0</v>
      </c>
      <c r="P160" s="627">
        <v>0</v>
      </c>
      <c r="Q160" s="627">
        <v>84.048000000000002</v>
      </c>
      <c r="R160" s="627">
        <v>0</v>
      </c>
      <c r="S160" s="627">
        <v>34870</v>
      </c>
      <c r="T160" s="627">
        <v>414.88400000000001</v>
      </c>
      <c r="U160" s="627">
        <v>0</v>
      </c>
      <c r="V160" s="627">
        <v>18097</v>
      </c>
      <c r="W160" s="627">
        <v>0</v>
      </c>
      <c r="X160" s="627">
        <v>0</v>
      </c>
      <c r="Y160" s="627">
        <v>0</v>
      </c>
      <c r="Z160" s="627">
        <v>0</v>
      </c>
      <c r="AA160" s="627">
        <v>0</v>
      </c>
      <c r="AB160" s="627">
        <v>0</v>
      </c>
      <c r="AC160" s="627">
        <v>0</v>
      </c>
      <c r="AD160" s="627">
        <v>0</v>
      </c>
      <c r="AE160" s="627" t="s">
        <v>314</v>
      </c>
      <c r="AF160" s="627">
        <v>0</v>
      </c>
      <c r="AG160" s="627">
        <v>0</v>
      </c>
      <c r="AH160" s="627">
        <v>0</v>
      </c>
      <c r="AI160" s="627">
        <v>0</v>
      </c>
      <c r="AJ160" s="627">
        <v>0</v>
      </c>
      <c r="AK160" s="627">
        <v>6160</v>
      </c>
      <c r="AL160" s="627" t="s">
        <v>651</v>
      </c>
      <c r="AM160" s="627" t="s">
        <v>808</v>
      </c>
      <c r="AN160" s="627">
        <v>0</v>
      </c>
      <c r="AO160" s="627">
        <v>0</v>
      </c>
      <c r="AP160" s="627">
        <v>0</v>
      </c>
      <c r="AQ160" s="627">
        <v>0</v>
      </c>
      <c r="AR160" s="627">
        <v>0</v>
      </c>
      <c r="AS160" s="627">
        <v>0</v>
      </c>
      <c r="AT160" s="627">
        <v>0</v>
      </c>
      <c r="AU160" s="627">
        <v>0</v>
      </c>
      <c r="AV160" s="627">
        <v>0</v>
      </c>
      <c r="AW160" s="627">
        <v>0</v>
      </c>
      <c r="AX160" s="627">
        <v>1808256</v>
      </c>
      <c r="AY160" s="627">
        <v>1808390</v>
      </c>
      <c r="AZ160" s="627">
        <v>788961</v>
      </c>
      <c r="BA160" s="627">
        <v>34870</v>
      </c>
      <c r="BB160" s="627">
        <v>0</v>
      </c>
      <c r="BC160" s="627">
        <v>0</v>
      </c>
      <c r="BD160" s="627">
        <v>0</v>
      </c>
      <c r="BE160" s="627">
        <v>0</v>
      </c>
      <c r="BF160" s="627">
        <v>0</v>
      </c>
      <c r="BG160" s="627">
        <v>1475531</v>
      </c>
      <c r="BH160" s="627">
        <v>0</v>
      </c>
      <c r="BI160" s="627">
        <v>0</v>
      </c>
      <c r="BJ160" s="627">
        <v>0</v>
      </c>
      <c r="BK160" s="627">
        <v>12</v>
      </c>
      <c r="BL160" s="627">
        <v>0</v>
      </c>
      <c r="BM160" s="627">
        <v>0</v>
      </c>
      <c r="BN160" s="627">
        <v>0</v>
      </c>
      <c r="BO160" s="627">
        <v>0</v>
      </c>
      <c r="BP160" s="627">
        <v>0</v>
      </c>
      <c r="BQ160" s="627">
        <v>0</v>
      </c>
      <c r="BR160" s="627">
        <v>746</v>
      </c>
      <c r="BS160" s="627">
        <v>0</v>
      </c>
      <c r="BT160" s="627">
        <v>0</v>
      </c>
      <c r="BU160" s="627">
        <v>0</v>
      </c>
      <c r="BV160" s="627">
        <v>0</v>
      </c>
      <c r="BW160" s="627">
        <v>0</v>
      </c>
      <c r="BX160" s="627">
        <v>0</v>
      </c>
      <c r="BY160" s="627">
        <v>0</v>
      </c>
      <c r="BZ160" s="627">
        <v>0</v>
      </c>
      <c r="CA160" s="627">
        <v>0</v>
      </c>
      <c r="CB160" s="627">
        <v>88.978999999999999</v>
      </c>
      <c r="CC160" s="627">
        <v>88979</v>
      </c>
      <c r="CD160" s="627">
        <v>0</v>
      </c>
      <c r="CE160" s="627">
        <v>0</v>
      </c>
      <c r="CF160" s="627">
        <v>0</v>
      </c>
      <c r="CG160" s="627">
        <v>0</v>
      </c>
      <c r="CH160" s="627">
        <v>0</v>
      </c>
      <c r="CI160" s="627">
        <v>0</v>
      </c>
      <c r="CJ160" s="627">
        <v>0</v>
      </c>
      <c r="CK160" s="627">
        <v>4</v>
      </c>
      <c r="CL160" s="627">
        <v>0</v>
      </c>
      <c r="CM160" s="627">
        <v>0</v>
      </c>
      <c r="CN160" s="627">
        <v>0</v>
      </c>
      <c r="CO160" s="627">
        <v>0</v>
      </c>
      <c r="CP160" s="627">
        <v>1</v>
      </c>
      <c r="CQ160" s="627">
        <v>0</v>
      </c>
      <c r="CR160" s="627">
        <v>0</v>
      </c>
      <c r="CS160" s="627">
        <v>88.26</v>
      </c>
      <c r="CT160" s="627">
        <v>0</v>
      </c>
      <c r="CU160" s="627">
        <v>0</v>
      </c>
      <c r="CV160" s="627">
        <v>0</v>
      </c>
      <c r="CW160" s="627">
        <v>0</v>
      </c>
      <c r="CX160" s="627">
        <v>0</v>
      </c>
      <c r="CY160" s="627">
        <v>0</v>
      </c>
      <c r="CZ160" s="627">
        <v>0</v>
      </c>
      <c r="DA160" s="627">
        <v>0</v>
      </c>
      <c r="DB160" s="627">
        <v>0</v>
      </c>
      <c r="DC160" s="627">
        <v>968629</v>
      </c>
      <c r="DD160" s="627">
        <v>0</v>
      </c>
      <c r="DE160" s="627">
        <v>0</v>
      </c>
      <c r="DF160" s="627">
        <v>230076</v>
      </c>
      <c r="DG160" s="627">
        <v>230076</v>
      </c>
      <c r="DH160" s="627">
        <v>37.35</v>
      </c>
      <c r="DI160" s="627">
        <v>0</v>
      </c>
      <c r="DJ160" s="627">
        <v>0</v>
      </c>
      <c r="DK160" s="627">
        <v>0</v>
      </c>
      <c r="DL160" s="627">
        <v>3555</v>
      </c>
      <c r="DM160" s="627">
        <v>0</v>
      </c>
      <c r="DN160" s="627">
        <v>39333</v>
      </c>
      <c r="DO160" s="627">
        <v>134</v>
      </c>
      <c r="DP160" s="627">
        <v>0</v>
      </c>
      <c r="DQ160" s="627">
        <v>0</v>
      </c>
      <c r="DR160" s="627">
        <v>0</v>
      </c>
      <c r="DS160" s="627">
        <v>0</v>
      </c>
      <c r="DT160" s="627">
        <v>0</v>
      </c>
      <c r="DU160" s="627">
        <v>0</v>
      </c>
      <c r="DV160" s="627">
        <v>0</v>
      </c>
      <c r="DW160" s="627">
        <v>0</v>
      </c>
      <c r="DX160" s="627">
        <v>0</v>
      </c>
      <c r="DY160" s="627">
        <v>0</v>
      </c>
      <c r="DZ160" s="627">
        <v>0</v>
      </c>
      <c r="EA160" s="627">
        <v>0</v>
      </c>
      <c r="EB160" s="627">
        <v>0</v>
      </c>
      <c r="EC160" s="627">
        <v>0</v>
      </c>
      <c r="ED160" s="627">
        <v>3.133</v>
      </c>
      <c r="EE160" s="627">
        <v>22194</v>
      </c>
      <c r="EF160" s="627">
        <v>0</v>
      </c>
      <c r="EG160" s="627">
        <v>0</v>
      </c>
      <c r="EH160" s="627">
        <v>0</v>
      </c>
      <c r="EI160" s="627">
        <v>17273</v>
      </c>
      <c r="EJ160" s="627">
        <v>0</v>
      </c>
      <c r="EK160" s="627">
        <v>0</v>
      </c>
      <c r="EL160" s="627">
        <v>0.84800000000000009</v>
      </c>
      <c r="EM160" s="627">
        <v>0</v>
      </c>
      <c r="EN160" s="627">
        <v>0</v>
      </c>
      <c r="EO160" s="627">
        <v>5.2000000000000005E-2</v>
      </c>
      <c r="EP160" s="627">
        <v>0</v>
      </c>
      <c r="EQ160" s="627">
        <v>0</v>
      </c>
      <c r="ER160" s="627">
        <v>0.9</v>
      </c>
      <c r="ES160" s="627">
        <v>0</v>
      </c>
      <c r="ET160" s="627">
        <v>2.8040000000000003</v>
      </c>
      <c r="EU160" s="627">
        <v>0</v>
      </c>
      <c r="EV160" s="627">
        <v>0</v>
      </c>
      <c r="EW160" s="627">
        <v>0</v>
      </c>
      <c r="EX160" s="627">
        <v>0</v>
      </c>
      <c r="EY160" s="627">
        <v>0</v>
      </c>
      <c r="EZ160" s="627">
        <v>0</v>
      </c>
      <c r="FA160" s="627">
        <v>1559122</v>
      </c>
      <c r="FB160" s="627">
        <v>0</v>
      </c>
      <c r="FC160" s="627">
        <v>1593858</v>
      </c>
      <c r="FD160" s="627">
        <v>0</v>
      </c>
      <c r="FE160" s="627">
        <v>0</v>
      </c>
      <c r="FF160" s="627">
        <v>212471</v>
      </c>
      <c r="FG160" s="627">
        <v>36797</v>
      </c>
      <c r="FH160" s="627">
        <v>7.0280999999999996E-2</v>
      </c>
      <c r="FI160" s="627">
        <v>3.1172999999999999E-2</v>
      </c>
      <c r="FJ160" s="627">
        <v>0</v>
      </c>
      <c r="FK160" s="627">
        <v>0</v>
      </c>
      <c r="FL160" s="627">
        <v>239.53400000000002</v>
      </c>
      <c r="FM160" s="627">
        <v>1843126</v>
      </c>
      <c r="FN160" s="627">
        <v>0</v>
      </c>
      <c r="FO160" s="627">
        <v>0</v>
      </c>
      <c r="FP160" s="627">
        <v>29482</v>
      </c>
      <c r="FQ160" s="627">
        <v>0</v>
      </c>
      <c r="FR160" s="627">
        <v>29482</v>
      </c>
      <c r="FS160" s="627">
        <v>29482</v>
      </c>
      <c r="FT160" s="627">
        <v>0</v>
      </c>
      <c r="FU160" s="627">
        <v>0</v>
      </c>
      <c r="FV160" s="627">
        <v>0</v>
      </c>
      <c r="FW160" s="627">
        <v>0</v>
      </c>
      <c r="FX160" s="627">
        <v>0</v>
      </c>
      <c r="FY160" s="627">
        <v>0</v>
      </c>
      <c r="FZ160" s="627">
        <v>0</v>
      </c>
      <c r="GA160" s="627">
        <v>0</v>
      </c>
      <c r="GB160" s="627">
        <v>0</v>
      </c>
      <c r="GC160" s="627">
        <v>0</v>
      </c>
      <c r="GD160" s="627">
        <v>0</v>
      </c>
      <c r="GE160" s="627">
        <v>0</v>
      </c>
      <c r="GF160" s="627">
        <v>0</v>
      </c>
      <c r="GG160" s="627">
        <v>0</v>
      </c>
      <c r="GH160" s="627">
        <v>0</v>
      </c>
      <c r="GI160" s="627">
        <v>0</v>
      </c>
      <c r="GJ160" s="627">
        <v>0</v>
      </c>
      <c r="GK160" s="627">
        <v>0</v>
      </c>
      <c r="GL160" s="627">
        <v>0</v>
      </c>
      <c r="GM160" s="627">
        <v>0</v>
      </c>
      <c r="GN160" s="627">
        <v>0</v>
      </c>
      <c r="GO160" s="627">
        <v>0</v>
      </c>
      <c r="GP160" s="627">
        <v>0</v>
      </c>
      <c r="GQ160" s="627">
        <v>0</v>
      </c>
      <c r="GR160" s="627">
        <v>1808256</v>
      </c>
      <c r="GS160" s="627">
        <v>0</v>
      </c>
      <c r="GT160" s="627">
        <v>0</v>
      </c>
      <c r="GU160" s="627">
        <v>0</v>
      </c>
      <c r="GV160" s="627">
        <v>0</v>
      </c>
      <c r="GW160" s="627">
        <v>0</v>
      </c>
      <c r="GX160" s="627">
        <v>0</v>
      </c>
      <c r="GY160" s="627">
        <v>0</v>
      </c>
      <c r="GZ160" s="627">
        <v>0</v>
      </c>
      <c r="HA160" s="627">
        <v>0</v>
      </c>
      <c r="HB160" s="627">
        <v>0</v>
      </c>
      <c r="HC160" s="627">
        <v>0</v>
      </c>
      <c r="HD160" s="627">
        <v>3.9981999999999997E-2</v>
      </c>
      <c r="HE160" s="627">
        <v>0</v>
      </c>
      <c r="HF160" s="627">
        <v>0</v>
      </c>
      <c r="HG160" s="627">
        <v>173284</v>
      </c>
      <c r="HH160" s="627">
        <v>6160</v>
      </c>
      <c r="HI160" s="627">
        <v>41334</v>
      </c>
      <c r="HJ160" s="627">
        <v>0</v>
      </c>
      <c r="HK160" s="627">
        <v>16581</v>
      </c>
      <c r="HL160" s="627">
        <v>0</v>
      </c>
      <c r="HM160" s="627">
        <v>0</v>
      </c>
      <c r="HN160" s="627">
        <v>0</v>
      </c>
      <c r="HO160" s="627">
        <v>0</v>
      </c>
      <c r="HP160" s="627">
        <v>0</v>
      </c>
      <c r="HQ160" s="627">
        <v>0</v>
      </c>
      <c r="HR160" s="627">
        <v>0</v>
      </c>
      <c r="HS160" s="627">
        <v>0</v>
      </c>
      <c r="HT160" s="627">
        <v>1558988</v>
      </c>
      <c r="HU160" s="627">
        <v>36797</v>
      </c>
      <c r="HV160" s="627">
        <v>0</v>
      </c>
      <c r="HW160" s="627">
        <v>0</v>
      </c>
      <c r="HX160" s="627">
        <v>0</v>
      </c>
      <c r="HY160" s="627">
        <v>13</v>
      </c>
      <c r="HZ160" s="627">
        <v>10</v>
      </c>
      <c r="IA160" s="627">
        <v>18</v>
      </c>
      <c r="IB160" s="627">
        <v>18</v>
      </c>
      <c r="IC160" s="627">
        <v>83</v>
      </c>
      <c r="ID160" s="627">
        <v>142</v>
      </c>
      <c r="IE160" s="627">
        <v>0</v>
      </c>
      <c r="IF160" s="627">
        <v>0</v>
      </c>
      <c r="IG160" s="627">
        <v>0</v>
      </c>
      <c r="IH160" s="627">
        <v>10</v>
      </c>
      <c r="II160" s="627">
        <v>67.099999999999994</v>
      </c>
      <c r="IJ160" s="627">
        <v>0</v>
      </c>
      <c r="IK160" s="627">
        <v>0</v>
      </c>
      <c r="IL160" s="627">
        <v>0</v>
      </c>
      <c r="IM160" s="627">
        <v>0</v>
      </c>
      <c r="IN160" s="627">
        <v>0</v>
      </c>
      <c r="IO160" s="627">
        <v>0</v>
      </c>
      <c r="IP160" s="627">
        <v>0</v>
      </c>
      <c r="IQ160" s="627">
        <v>0</v>
      </c>
      <c r="IR160" s="627">
        <v>0</v>
      </c>
      <c r="IS160" s="627">
        <v>0</v>
      </c>
      <c r="IT160" s="627">
        <v>0</v>
      </c>
      <c r="IU160" s="627">
        <v>0</v>
      </c>
      <c r="IV160" s="627">
        <v>0</v>
      </c>
      <c r="IW160" s="627">
        <v>0</v>
      </c>
      <c r="IX160" s="627">
        <v>6160</v>
      </c>
      <c r="IY160" s="627">
        <v>0</v>
      </c>
      <c r="IZ160" s="627">
        <v>0</v>
      </c>
      <c r="JA160" s="627">
        <v>0</v>
      </c>
      <c r="JB160" s="627">
        <v>0</v>
      </c>
      <c r="JC160" s="627">
        <v>0</v>
      </c>
      <c r="JD160" s="627">
        <v>0</v>
      </c>
      <c r="JE160" s="627">
        <v>0</v>
      </c>
      <c r="JF160" s="627">
        <v>0</v>
      </c>
      <c r="JG160" s="627">
        <v>0</v>
      </c>
      <c r="JH160" s="627">
        <v>0</v>
      </c>
      <c r="JI160" s="627">
        <v>0</v>
      </c>
      <c r="JJ160" s="627">
        <v>0</v>
      </c>
      <c r="JK160" s="627">
        <v>0</v>
      </c>
      <c r="JL160" s="627">
        <v>0</v>
      </c>
      <c r="JM160" s="627">
        <v>0</v>
      </c>
      <c r="JN160" s="627">
        <v>0</v>
      </c>
      <c r="JO160" s="627">
        <v>0</v>
      </c>
      <c r="JP160" s="627">
        <v>0</v>
      </c>
      <c r="JQ160" s="627">
        <v>0</v>
      </c>
      <c r="JR160" s="627">
        <v>0</v>
      </c>
      <c r="JS160" s="627">
        <v>0</v>
      </c>
      <c r="JT160" s="627">
        <v>0</v>
      </c>
      <c r="JU160" s="627">
        <v>0</v>
      </c>
      <c r="JV160" s="627">
        <v>0</v>
      </c>
      <c r="JW160" s="627">
        <v>0</v>
      </c>
      <c r="JX160" s="627">
        <v>0</v>
      </c>
      <c r="JY160" s="627">
        <v>0</v>
      </c>
      <c r="JZ160" s="627">
        <v>0</v>
      </c>
      <c r="KA160" s="627">
        <v>0</v>
      </c>
      <c r="KB160" s="627">
        <v>0</v>
      </c>
      <c r="KC160" s="627">
        <v>0</v>
      </c>
      <c r="KD160" s="627">
        <v>0</v>
      </c>
      <c r="KE160" s="627">
        <v>0</v>
      </c>
      <c r="KF160" s="627">
        <v>7262</v>
      </c>
      <c r="KG160" s="627">
        <v>0</v>
      </c>
      <c r="KH160" s="627">
        <v>0</v>
      </c>
      <c r="KI160" s="627">
        <v>1808256</v>
      </c>
      <c r="KJ160" s="627">
        <v>0</v>
      </c>
      <c r="KK160" s="627">
        <v>6</v>
      </c>
      <c r="KL160" s="627">
        <v>4</v>
      </c>
      <c r="KM160" s="627">
        <v>3696</v>
      </c>
      <c r="KN160" s="627">
        <v>2464</v>
      </c>
      <c r="KO160" s="627">
        <v>0</v>
      </c>
      <c r="KP160" s="627">
        <v>0</v>
      </c>
      <c r="KQ160" s="627">
        <v>1808256</v>
      </c>
      <c r="KR160" s="627">
        <v>0</v>
      </c>
      <c r="KS160" s="627">
        <v>0</v>
      </c>
      <c r="KT160" s="627">
        <v>0</v>
      </c>
      <c r="KU160" s="627">
        <v>0</v>
      </c>
      <c r="KV160" s="627">
        <v>0</v>
      </c>
      <c r="KW160" s="627">
        <v>0</v>
      </c>
      <c r="KX160" s="627">
        <v>0</v>
      </c>
      <c r="KY160" s="627">
        <v>0</v>
      </c>
      <c r="KZ160" s="627">
        <v>0</v>
      </c>
      <c r="LA160" s="627">
        <v>0</v>
      </c>
      <c r="LB160" s="627">
        <v>0</v>
      </c>
      <c r="LC160" s="627">
        <v>0</v>
      </c>
      <c r="LD160" s="627">
        <v>0</v>
      </c>
      <c r="LE160" s="627">
        <v>0</v>
      </c>
      <c r="LF160" s="627">
        <v>0</v>
      </c>
    </row>
    <row r="161" spans="1:318" x14ac:dyDescent="0.25">
      <c r="A161" s="627">
        <v>42602</v>
      </c>
      <c r="B161" s="627">
        <v>57844</v>
      </c>
      <c r="D161" s="627">
        <v>9</v>
      </c>
      <c r="E161" s="627">
        <v>2024</v>
      </c>
      <c r="F161" s="627">
        <v>6160</v>
      </c>
      <c r="G161" s="627">
        <v>0</v>
      </c>
      <c r="H161" s="627">
        <v>514.40800000000002</v>
      </c>
      <c r="I161" s="627">
        <v>482.34000000000003</v>
      </c>
      <c r="J161" s="627">
        <v>482.34000000000003</v>
      </c>
      <c r="K161" s="627">
        <v>514.40800000000002</v>
      </c>
      <c r="L161" s="627">
        <v>0</v>
      </c>
      <c r="M161" s="627">
        <v>6160</v>
      </c>
      <c r="N161" s="627">
        <v>0</v>
      </c>
      <c r="O161" s="627">
        <v>0</v>
      </c>
      <c r="P161" s="627">
        <v>0</v>
      </c>
      <c r="Q161" s="627">
        <v>463.95300000000003</v>
      </c>
      <c r="R161" s="627">
        <v>0</v>
      </c>
      <c r="S161" s="627">
        <v>192487</v>
      </c>
      <c r="T161" s="627">
        <v>414.88400000000001</v>
      </c>
      <c r="U161" s="627">
        <v>0</v>
      </c>
      <c r="V161" s="627">
        <v>99892</v>
      </c>
      <c r="W161" s="627">
        <v>264.08699999999999</v>
      </c>
      <c r="X161" s="627">
        <v>162678</v>
      </c>
      <c r="Y161" s="627">
        <v>162678</v>
      </c>
      <c r="Z161" s="627">
        <v>0</v>
      </c>
      <c r="AA161" s="627">
        <v>0</v>
      </c>
      <c r="AB161" s="627">
        <v>0</v>
      </c>
      <c r="AC161" s="627">
        <v>0</v>
      </c>
      <c r="AD161" s="627">
        <v>0</v>
      </c>
      <c r="AE161" s="627" t="s">
        <v>314</v>
      </c>
      <c r="AF161" s="627">
        <v>0</v>
      </c>
      <c r="AG161" s="627">
        <v>0</v>
      </c>
      <c r="AH161" s="627">
        <v>0</v>
      </c>
      <c r="AI161" s="627">
        <v>0</v>
      </c>
      <c r="AJ161" s="627">
        <v>0</v>
      </c>
      <c r="AK161" s="627">
        <v>6160</v>
      </c>
      <c r="AL161" s="627" t="s">
        <v>651</v>
      </c>
      <c r="AM161" s="627" t="s">
        <v>330</v>
      </c>
      <c r="AN161" s="627">
        <v>0</v>
      </c>
      <c r="AO161" s="627">
        <v>0</v>
      </c>
      <c r="AP161" s="627">
        <v>0</v>
      </c>
      <c r="AQ161" s="627">
        <v>0</v>
      </c>
      <c r="AR161" s="627">
        <v>0</v>
      </c>
      <c r="AS161" s="627">
        <v>0</v>
      </c>
      <c r="AT161" s="627">
        <v>0</v>
      </c>
      <c r="AU161" s="627">
        <v>0</v>
      </c>
      <c r="AV161" s="627">
        <v>0</v>
      </c>
      <c r="AW161" s="627">
        <v>0</v>
      </c>
      <c r="AX161" s="627">
        <v>5812300</v>
      </c>
      <c r="AY161" s="627">
        <v>5731366</v>
      </c>
      <c r="AZ161" s="627">
        <v>2745311</v>
      </c>
      <c r="BA161" s="627">
        <v>192487</v>
      </c>
      <c r="BB161" s="627">
        <v>0</v>
      </c>
      <c r="BC161" s="627">
        <v>2556</v>
      </c>
      <c r="BD161" s="627">
        <v>2540</v>
      </c>
      <c r="BE161" s="627">
        <v>6</v>
      </c>
      <c r="BF161" s="627">
        <v>16</v>
      </c>
      <c r="BG161" s="627">
        <v>5023538</v>
      </c>
      <c r="BH161" s="627">
        <v>0</v>
      </c>
      <c r="BI161" s="627">
        <v>0</v>
      </c>
      <c r="BJ161" s="627">
        <v>0</v>
      </c>
      <c r="BK161" s="627">
        <v>12</v>
      </c>
      <c r="BL161" s="627">
        <v>0</v>
      </c>
      <c r="BM161" s="627">
        <v>0</v>
      </c>
      <c r="BN161" s="627">
        <v>0</v>
      </c>
      <c r="BO161" s="627">
        <v>0</v>
      </c>
      <c r="BP161" s="627">
        <v>0</v>
      </c>
      <c r="BQ161" s="627">
        <v>0</v>
      </c>
      <c r="BR161" s="627">
        <v>696</v>
      </c>
      <c r="BS161" s="627">
        <v>0</v>
      </c>
      <c r="BT161" s="627">
        <v>0</v>
      </c>
      <c r="BU161" s="627">
        <v>0</v>
      </c>
      <c r="BV161" s="627">
        <v>0</v>
      </c>
      <c r="BW161" s="627">
        <v>0</v>
      </c>
      <c r="BX161" s="627">
        <v>0</v>
      </c>
      <c r="BY161" s="627">
        <v>0</v>
      </c>
      <c r="BZ161" s="627">
        <v>0</v>
      </c>
      <c r="CA161" s="627">
        <v>0</v>
      </c>
      <c r="CB161" s="627">
        <v>0</v>
      </c>
      <c r="CC161" s="627">
        <v>0</v>
      </c>
      <c r="CD161" s="627">
        <v>0</v>
      </c>
      <c r="CE161" s="627">
        <v>0</v>
      </c>
      <c r="CF161" s="627">
        <v>0</v>
      </c>
      <c r="CG161" s="627">
        <v>0</v>
      </c>
      <c r="CH161" s="627">
        <v>0</v>
      </c>
      <c r="CI161" s="627">
        <v>82269</v>
      </c>
      <c r="CJ161" s="627">
        <v>0</v>
      </c>
      <c r="CK161" s="627">
        <v>4</v>
      </c>
      <c r="CL161" s="627">
        <v>0</v>
      </c>
      <c r="CM161" s="627">
        <v>0</v>
      </c>
      <c r="CN161" s="627">
        <v>0</v>
      </c>
      <c r="CO161" s="627">
        <v>0</v>
      </c>
      <c r="CP161" s="627">
        <v>1</v>
      </c>
      <c r="CQ161" s="627">
        <v>0</v>
      </c>
      <c r="CR161" s="627">
        <v>0</v>
      </c>
      <c r="CS161" s="627">
        <v>470.19100000000003</v>
      </c>
      <c r="CT161" s="627">
        <v>0</v>
      </c>
      <c r="CU161" s="627">
        <v>0</v>
      </c>
      <c r="CV161" s="627">
        <v>0</v>
      </c>
      <c r="CW161" s="627">
        <v>0</v>
      </c>
      <c r="CX161" s="627">
        <v>0</v>
      </c>
      <c r="CY161" s="627">
        <v>0</v>
      </c>
      <c r="CZ161" s="627">
        <v>0</v>
      </c>
      <c r="DA161" s="627">
        <v>0</v>
      </c>
      <c r="DB161" s="627">
        <v>0</v>
      </c>
      <c r="DC161" s="627">
        <v>2925003</v>
      </c>
      <c r="DD161" s="627">
        <v>0</v>
      </c>
      <c r="DE161" s="627">
        <v>0</v>
      </c>
      <c r="DF161" s="627">
        <v>649495</v>
      </c>
      <c r="DG161" s="627">
        <v>649495</v>
      </c>
      <c r="DH161" s="627">
        <v>105.438</v>
      </c>
      <c r="DI161" s="627">
        <v>0</v>
      </c>
      <c r="DJ161" s="627">
        <v>0</v>
      </c>
      <c r="DK161" s="627">
        <v>0</v>
      </c>
      <c r="DL161" s="627">
        <v>2754</v>
      </c>
      <c r="DM161" s="627">
        <v>0</v>
      </c>
      <c r="DN161" s="627">
        <v>433176</v>
      </c>
      <c r="DO161" s="627">
        <v>1319</v>
      </c>
      <c r="DP161" s="627">
        <v>0</v>
      </c>
      <c r="DQ161" s="627">
        <v>0</v>
      </c>
      <c r="DR161" s="627">
        <v>0</v>
      </c>
      <c r="DS161" s="627">
        <v>0</v>
      </c>
      <c r="DT161" s="627">
        <v>0</v>
      </c>
      <c r="DU161" s="627">
        <v>0</v>
      </c>
      <c r="DV161" s="627">
        <v>0</v>
      </c>
      <c r="DW161" s="627">
        <v>0</v>
      </c>
      <c r="DX161" s="627">
        <v>0</v>
      </c>
      <c r="DY161" s="627">
        <v>0</v>
      </c>
      <c r="DZ161" s="627">
        <v>0</v>
      </c>
      <c r="EA161" s="627">
        <v>0</v>
      </c>
      <c r="EB161" s="627">
        <v>0</v>
      </c>
      <c r="EC161" s="627">
        <v>0</v>
      </c>
      <c r="ED161" s="627">
        <v>0.64</v>
      </c>
      <c r="EE161" s="627">
        <v>4534</v>
      </c>
      <c r="EF161" s="627">
        <v>0</v>
      </c>
      <c r="EG161" s="627">
        <v>0</v>
      </c>
      <c r="EH161" s="627">
        <v>0</v>
      </c>
      <c r="EI161" s="627">
        <v>383750</v>
      </c>
      <c r="EJ161" s="627">
        <v>0</v>
      </c>
      <c r="EK161" s="627">
        <v>0</v>
      </c>
      <c r="EL161" s="627">
        <v>13.512</v>
      </c>
      <c r="EM161" s="627">
        <v>0</v>
      </c>
      <c r="EN161" s="627">
        <v>6.117</v>
      </c>
      <c r="EO161" s="627">
        <v>0.68200000000000005</v>
      </c>
      <c r="EP161" s="627">
        <v>0</v>
      </c>
      <c r="EQ161" s="627">
        <v>0</v>
      </c>
      <c r="ER161" s="627">
        <v>20.311</v>
      </c>
      <c r="ES161" s="627">
        <v>0</v>
      </c>
      <c r="ET161" s="627">
        <v>62.297000000000004</v>
      </c>
      <c r="EU161" s="627">
        <v>0</v>
      </c>
      <c r="EV161" s="627">
        <v>0</v>
      </c>
      <c r="EW161" s="627">
        <v>0</v>
      </c>
      <c r="EX161" s="627">
        <v>0</v>
      </c>
      <c r="EY161" s="627">
        <v>0</v>
      </c>
      <c r="EZ161" s="627">
        <v>0</v>
      </c>
      <c r="FA161" s="627">
        <v>4882717</v>
      </c>
      <c r="FB161" s="627">
        <v>0</v>
      </c>
      <c r="FC161" s="627">
        <v>5073869</v>
      </c>
      <c r="FD161" s="627">
        <v>0</v>
      </c>
      <c r="FE161" s="627">
        <v>0</v>
      </c>
      <c r="FF161" s="627">
        <v>723370</v>
      </c>
      <c r="FG161" s="627">
        <v>125279</v>
      </c>
      <c r="FH161" s="627">
        <v>7.0280999999999996E-2</v>
      </c>
      <c r="FI161" s="627">
        <v>3.1172999999999999E-2</v>
      </c>
      <c r="FJ161" s="627">
        <v>0</v>
      </c>
      <c r="FK161" s="627">
        <v>0</v>
      </c>
      <c r="FL161" s="627">
        <v>815.50900000000001</v>
      </c>
      <c r="FM161" s="627">
        <v>6004787</v>
      </c>
      <c r="FN161" s="627">
        <v>0</v>
      </c>
      <c r="FO161" s="627">
        <v>0</v>
      </c>
      <c r="FP161" s="627">
        <v>50400</v>
      </c>
      <c r="FQ161" s="627">
        <v>0</v>
      </c>
      <c r="FR161" s="627">
        <v>50400</v>
      </c>
      <c r="FS161" s="627">
        <v>50400</v>
      </c>
      <c r="FT161" s="627">
        <v>0</v>
      </c>
      <c r="FU161" s="627">
        <v>0</v>
      </c>
      <c r="FV161" s="627">
        <v>0</v>
      </c>
      <c r="FW161" s="627">
        <v>0</v>
      </c>
      <c r="FX161" s="627">
        <v>0</v>
      </c>
      <c r="FY161" s="627">
        <v>0</v>
      </c>
      <c r="FZ161" s="627">
        <v>0</v>
      </c>
      <c r="GA161" s="627">
        <v>0</v>
      </c>
      <c r="GB161" s="627">
        <v>0</v>
      </c>
      <c r="GC161" s="627">
        <v>99087</v>
      </c>
      <c r="GD161" s="627">
        <v>99087</v>
      </c>
      <c r="GE161" s="627">
        <v>11.757000000000001</v>
      </c>
      <c r="GF161" s="627">
        <v>0</v>
      </c>
      <c r="GG161" s="627">
        <v>0</v>
      </c>
      <c r="GH161" s="627">
        <v>0</v>
      </c>
      <c r="GI161" s="627">
        <v>0</v>
      </c>
      <c r="GJ161" s="627">
        <v>0</v>
      </c>
      <c r="GK161" s="627">
        <v>0</v>
      </c>
      <c r="GL161" s="627">
        <v>0</v>
      </c>
      <c r="GM161" s="627">
        <v>0</v>
      </c>
      <c r="GN161" s="627">
        <v>0</v>
      </c>
      <c r="GO161" s="627">
        <v>0</v>
      </c>
      <c r="GP161" s="627">
        <v>0</v>
      </c>
      <c r="GQ161" s="627">
        <v>0</v>
      </c>
      <c r="GR161" s="627">
        <v>5730031</v>
      </c>
      <c r="GS161" s="627">
        <v>0</v>
      </c>
      <c r="GT161" s="627">
        <v>0</v>
      </c>
      <c r="GU161" s="627">
        <v>0</v>
      </c>
      <c r="GV161" s="627">
        <v>0</v>
      </c>
      <c r="GW161" s="627">
        <v>0</v>
      </c>
      <c r="GX161" s="627">
        <v>0</v>
      </c>
      <c r="GY161" s="627">
        <v>0</v>
      </c>
      <c r="GZ161" s="627">
        <v>0</v>
      </c>
      <c r="HA161" s="627">
        <v>0</v>
      </c>
      <c r="HB161" s="627">
        <v>0</v>
      </c>
      <c r="HC161" s="627">
        <v>361151439</v>
      </c>
      <c r="HD161" s="627">
        <v>3.9981999999999997E-2</v>
      </c>
      <c r="HE161" s="627">
        <v>82269</v>
      </c>
      <c r="HF161" s="627">
        <v>0</v>
      </c>
      <c r="HG161" s="627">
        <v>531539</v>
      </c>
      <c r="HH161" s="627">
        <v>3696</v>
      </c>
      <c r="HI161" s="627">
        <v>151845</v>
      </c>
      <c r="HJ161" s="627">
        <v>0</v>
      </c>
      <c r="HK161" s="627">
        <v>50144</v>
      </c>
      <c r="HL161" s="627">
        <v>944</v>
      </c>
      <c r="HM161" s="627">
        <v>322</v>
      </c>
      <c r="HN161" s="627">
        <v>13000</v>
      </c>
      <c r="HO161" s="627">
        <v>0</v>
      </c>
      <c r="HP161" s="627">
        <v>0</v>
      </c>
      <c r="HQ161" s="627">
        <v>0</v>
      </c>
      <c r="HR161" s="627">
        <v>0</v>
      </c>
      <c r="HS161" s="627">
        <v>0</v>
      </c>
      <c r="HT161" s="627">
        <v>4881382</v>
      </c>
      <c r="HU161" s="627">
        <v>125279</v>
      </c>
      <c r="HV161" s="627">
        <v>0</v>
      </c>
      <c r="HW161" s="627">
        <v>0</v>
      </c>
      <c r="HX161" s="627">
        <v>0</v>
      </c>
      <c r="HY161" s="627">
        <v>93</v>
      </c>
      <c r="HZ161" s="627">
        <v>145</v>
      </c>
      <c r="IA161" s="627">
        <v>48</v>
      </c>
      <c r="IB161" s="627">
        <v>78</v>
      </c>
      <c r="IC161" s="627">
        <v>64</v>
      </c>
      <c r="ID161" s="627">
        <v>428</v>
      </c>
      <c r="IE161" s="627">
        <v>0</v>
      </c>
      <c r="IF161" s="627">
        <v>0</v>
      </c>
      <c r="IG161" s="627">
        <v>0</v>
      </c>
      <c r="IH161" s="627">
        <v>6</v>
      </c>
      <c r="II161" s="627">
        <v>246.50200000000001</v>
      </c>
      <c r="IJ161" s="627">
        <v>0</v>
      </c>
      <c r="IK161" s="627">
        <v>264.08699999999999</v>
      </c>
      <c r="IL161" s="627">
        <v>0</v>
      </c>
      <c r="IM161" s="627">
        <v>1</v>
      </c>
      <c r="IN161" s="627">
        <v>2</v>
      </c>
      <c r="IO161" s="627">
        <v>1</v>
      </c>
      <c r="IP161" s="627">
        <v>4</v>
      </c>
      <c r="IQ161" s="627">
        <v>0</v>
      </c>
      <c r="IR161" s="627">
        <v>264.08699999999999</v>
      </c>
      <c r="IS161" s="627">
        <v>162678</v>
      </c>
      <c r="IT161" s="627">
        <v>0</v>
      </c>
      <c r="IU161" s="627">
        <v>5000</v>
      </c>
      <c r="IV161" s="627">
        <v>6000</v>
      </c>
      <c r="IW161" s="627">
        <v>2000</v>
      </c>
      <c r="IX161" s="627">
        <v>6160</v>
      </c>
      <c r="IY161" s="627">
        <v>0</v>
      </c>
      <c r="IZ161" s="627">
        <v>0</v>
      </c>
      <c r="JA161" s="627">
        <v>0</v>
      </c>
      <c r="JB161" s="627">
        <v>0</v>
      </c>
      <c r="JC161" s="627">
        <v>0</v>
      </c>
      <c r="JD161" s="627">
        <v>0</v>
      </c>
      <c r="JE161" s="627">
        <v>0</v>
      </c>
      <c r="JF161" s="627">
        <v>0</v>
      </c>
      <c r="JG161" s="627">
        <v>0</v>
      </c>
      <c r="JH161" s="627">
        <v>0</v>
      </c>
      <c r="JI161" s="627">
        <v>0</v>
      </c>
      <c r="JJ161" s="627">
        <v>0</v>
      </c>
      <c r="JK161" s="627">
        <v>0</v>
      </c>
      <c r="JL161" s="627">
        <v>0</v>
      </c>
      <c r="JM161" s="627">
        <v>0</v>
      </c>
      <c r="JN161" s="627">
        <v>0</v>
      </c>
      <c r="JO161" s="627">
        <v>32469</v>
      </c>
      <c r="JP161" s="627">
        <v>8.3819999999999997</v>
      </c>
      <c r="JQ161" s="627">
        <v>2.8250000000000002</v>
      </c>
      <c r="JR161" s="627">
        <v>0.55000000000000004</v>
      </c>
      <c r="JS161" s="627">
        <v>66957</v>
      </c>
      <c r="JT161" s="627">
        <v>26259</v>
      </c>
      <c r="JU161" s="627">
        <v>5871</v>
      </c>
      <c r="JV161" s="627">
        <v>2587</v>
      </c>
      <c r="JW161" s="627">
        <v>0</v>
      </c>
      <c r="JX161" s="627">
        <v>0</v>
      </c>
      <c r="JY161" s="627">
        <v>0</v>
      </c>
      <c r="JZ161" s="627">
        <v>0</v>
      </c>
      <c r="KA161" s="627">
        <v>0</v>
      </c>
      <c r="KB161" s="627">
        <v>0</v>
      </c>
      <c r="KC161" s="627">
        <v>0</v>
      </c>
      <c r="KD161" s="627">
        <v>0</v>
      </c>
      <c r="KE161" s="627">
        <v>2587</v>
      </c>
      <c r="KF161" s="627">
        <v>7262</v>
      </c>
      <c r="KG161" s="627">
        <v>0</v>
      </c>
      <c r="KH161" s="627">
        <v>0</v>
      </c>
      <c r="KI161" s="627">
        <v>5730031</v>
      </c>
      <c r="KJ161" s="627">
        <v>0</v>
      </c>
      <c r="KK161" s="627">
        <v>0</v>
      </c>
      <c r="KL161" s="627">
        <v>6</v>
      </c>
      <c r="KM161" s="627">
        <v>0</v>
      </c>
      <c r="KN161" s="627">
        <v>3696</v>
      </c>
      <c r="KO161" s="627">
        <v>0</v>
      </c>
      <c r="KP161" s="627">
        <v>0</v>
      </c>
      <c r="KQ161" s="627">
        <v>5730031</v>
      </c>
      <c r="KR161" s="627">
        <v>0</v>
      </c>
      <c r="KS161" s="627">
        <v>0</v>
      </c>
      <c r="KT161" s="627">
        <v>0</v>
      </c>
      <c r="KU161" s="627">
        <v>0</v>
      </c>
      <c r="KV161" s="627">
        <v>0</v>
      </c>
      <c r="KW161" s="627">
        <v>0</v>
      </c>
      <c r="KX161" s="627">
        <v>0</v>
      </c>
      <c r="KY161" s="627">
        <v>0</v>
      </c>
      <c r="KZ161" s="627">
        <v>0</v>
      </c>
      <c r="LA161" s="627">
        <v>0</v>
      </c>
      <c r="LB161" s="627">
        <v>0</v>
      </c>
      <c r="LC161" s="627">
        <v>0</v>
      </c>
      <c r="LD161" s="627">
        <v>0</v>
      </c>
      <c r="LE161" s="627">
        <v>0</v>
      </c>
      <c r="LF161" s="627">
        <v>0</v>
      </c>
    </row>
    <row r="162" spans="1:318" x14ac:dyDescent="0.25">
      <c r="A162" s="627">
        <v>42602</v>
      </c>
      <c r="B162" s="627">
        <v>57845</v>
      </c>
      <c r="D162" s="627">
        <v>9</v>
      </c>
      <c r="E162" s="627">
        <v>2024</v>
      </c>
      <c r="F162" s="627">
        <v>6160</v>
      </c>
      <c r="G162" s="627">
        <v>0</v>
      </c>
      <c r="H162" s="627">
        <v>1496.933</v>
      </c>
      <c r="I162" s="627">
        <v>1405.259</v>
      </c>
      <c r="J162" s="627">
        <v>1405.259</v>
      </c>
      <c r="K162" s="627">
        <v>1496.933</v>
      </c>
      <c r="L162" s="627">
        <v>0</v>
      </c>
      <c r="M162" s="627">
        <v>6160</v>
      </c>
      <c r="N162" s="627">
        <v>0</v>
      </c>
      <c r="O162" s="627">
        <v>0</v>
      </c>
      <c r="P162" s="627">
        <v>0</v>
      </c>
      <c r="Q162" s="627">
        <v>1412.633</v>
      </c>
      <c r="R162" s="627">
        <v>0</v>
      </c>
      <c r="S162" s="627">
        <v>586079</v>
      </c>
      <c r="T162" s="627">
        <v>414.88400000000001</v>
      </c>
      <c r="U162" s="627">
        <v>0</v>
      </c>
      <c r="V162" s="627">
        <v>304152</v>
      </c>
      <c r="W162" s="627">
        <v>163.43300000000002</v>
      </c>
      <c r="X162" s="627">
        <v>251534</v>
      </c>
      <c r="Y162" s="627">
        <v>251534</v>
      </c>
      <c r="Z162" s="627">
        <v>0</v>
      </c>
      <c r="AA162" s="627">
        <v>0</v>
      </c>
      <c r="AB162" s="627">
        <v>0</v>
      </c>
      <c r="AC162" s="627">
        <v>0</v>
      </c>
      <c r="AD162" s="627">
        <v>0</v>
      </c>
      <c r="AE162" s="627" t="s">
        <v>314</v>
      </c>
      <c r="AF162" s="627">
        <v>0</v>
      </c>
      <c r="AG162" s="627">
        <v>0</v>
      </c>
      <c r="AH162" s="627">
        <v>0</v>
      </c>
      <c r="AI162" s="627">
        <v>0</v>
      </c>
      <c r="AJ162" s="627">
        <v>0</v>
      </c>
      <c r="AK162" s="627">
        <v>6160</v>
      </c>
      <c r="AL162" s="627" t="s">
        <v>651</v>
      </c>
      <c r="AM162" s="627" t="s">
        <v>114</v>
      </c>
      <c r="AN162" s="627">
        <v>0</v>
      </c>
      <c r="AO162" s="627">
        <v>0</v>
      </c>
      <c r="AP162" s="627">
        <v>0</v>
      </c>
      <c r="AQ162" s="627">
        <v>0</v>
      </c>
      <c r="AR162" s="627">
        <v>0</v>
      </c>
      <c r="AS162" s="627">
        <v>0</v>
      </c>
      <c r="AT162" s="627">
        <v>0</v>
      </c>
      <c r="AU162" s="627">
        <v>0</v>
      </c>
      <c r="AV162" s="627">
        <v>0</v>
      </c>
      <c r="AW162" s="627">
        <v>-11247</v>
      </c>
      <c r="AX162" s="627">
        <v>15133240</v>
      </c>
      <c r="AY162" s="627">
        <v>14897002</v>
      </c>
      <c r="AZ162" s="627">
        <v>7462064</v>
      </c>
      <c r="BA162" s="627">
        <v>586079</v>
      </c>
      <c r="BB162" s="627">
        <v>0</v>
      </c>
      <c r="BC162" s="627">
        <v>0</v>
      </c>
      <c r="BD162" s="627">
        <v>0</v>
      </c>
      <c r="BE162" s="627">
        <v>0</v>
      </c>
      <c r="BF162" s="627">
        <v>0</v>
      </c>
      <c r="BG162" s="627">
        <v>13239959</v>
      </c>
      <c r="BH162" s="627">
        <v>0</v>
      </c>
      <c r="BI162" s="627">
        <v>0</v>
      </c>
      <c r="BJ162" s="627">
        <v>0</v>
      </c>
      <c r="BK162" s="627">
        <v>12</v>
      </c>
      <c r="BL162" s="627">
        <v>0</v>
      </c>
      <c r="BM162" s="627">
        <v>0</v>
      </c>
      <c r="BN162" s="627">
        <v>0</v>
      </c>
      <c r="BO162" s="627">
        <v>0</v>
      </c>
      <c r="BP162" s="627">
        <v>0</v>
      </c>
      <c r="BQ162" s="627">
        <v>0</v>
      </c>
      <c r="BR162" s="627">
        <v>554</v>
      </c>
      <c r="BS162" s="627">
        <v>0</v>
      </c>
      <c r="BT162" s="627">
        <v>0</v>
      </c>
      <c r="BU162" s="627">
        <v>0</v>
      </c>
      <c r="BV162" s="627">
        <v>0</v>
      </c>
      <c r="BW162" s="627">
        <v>0</v>
      </c>
      <c r="BX162" s="627">
        <v>0</v>
      </c>
      <c r="BY162" s="627">
        <v>0</v>
      </c>
      <c r="BZ162" s="627">
        <v>0</v>
      </c>
      <c r="CA162" s="627">
        <v>0</v>
      </c>
      <c r="CB162" s="627">
        <v>0</v>
      </c>
      <c r="CC162" s="627">
        <v>0</v>
      </c>
      <c r="CD162" s="627">
        <v>0</v>
      </c>
      <c r="CE162" s="627">
        <v>0</v>
      </c>
      <c r="CF162" s="627">
        <v>0</v>
      </c>
      <c r="CG162" s="627">
        <v>0</v>
      </c>
      <c r="CH162" s="627">
        <v>0</v>
      </c>
      <c r="CI162" s="627">
        <v>239402</v>
      </c>
      <c r="CJ162" s="627">
        <v>0</v>
      </c>
      <c r="CK162" s="627">
        <v>4</v>
      </c>
      <c r="CL162" s="627">
        <v>0</v>
      </c>
      <c r="CM162" s="627">
        <v>0</v>
      </c>
      <c r="CN162" s="627">
        <v>0</v>
      </c>
      <c r="CO162" s="627">
        <v>0</v>
      </c>
      <c r="CP162" s="627">
        <v>1</v>
      </c>
      <c r="CQ162" s="627">
        <v>0</v>
      </c>
      <c r="CR162" s="627">
        <v>0</v>
      </c>
      <c r="CS162" s="627">
        <v>1409.31</v>
      </c>
      <c r="CT162" s="627">
        <v>0</v>
      </c>
      <c r="CU162" s="627">
        <v>0</v>
      </c>
      <c r="CV162" s="627">
        <v>0</v>
      </c>
      <c r="CW162" s="627">
        <v>0</v>
      </c>
      <c r="CX162" s="627">
        <v>0</v>
      </c>
      <c r="CY162" s="627">
        <v>0</v>
      </c>
      <c r="CZ162" s="627">
        <v>0</v>
      </c>
      <c r="DA162" s="627">
        <v>0</v>
      </c>
      <c r="DB162" s="627">
        <v>0</v>
      </c>
      <c r="DC162" s="627">
        <v>8656395</v>
      </c>
      <c r="DD162" s="627">
        <v>0</v>
      </c>
      <c r="DE162" s="627">
        <v>0</v>
      </c>
      <c r="DF162" s="627">
        <v>1070762</v>
      </c>
      <c r="DG162" s="627">
        <v>1070762</v>
      </c>
      <c r="DH162" s="627">
        <v>173.82500000000002</v>
      </c>
      <c r="DI162" s="627">
        <v>0</v>
      </c>
      <c r="DJ162" s="627">
        <v>0</v>
      </c>
      <c r="DK162" s="627">
        <v>0</v>
      </c>
      <c r="DL162" s="627">
        <v>480</v>
      </c>
      <c r="DM162" s="627">
        <v>0</v>
      </c>
      <c r="DN162" s="627">
        <v>928259</v>
      </c>
      <c r="DO162" s="627">
        <v>3164</v>
      </c>
      <c r="DP162" s="627">
        <v>0</v>
      </c>
      <c r="DQ162" s="627">
        <v>0</v>
      </c>
      <c r="DR162" s="627">
        <v>0</v>
      </c>
      <c r="DS162" s="627">
        <v>0</v>
      </c>
      <c r="DT162" s="627">
        <v>0</v>
      </c>
      <c r="DU162" s="627">
        <v>0</v>
      </c>
      <c r="DV162" s="627">
        <v>0</v>
      </c>
      <c r="DW162" s="627">
        <v>0</v>
      </c>
      <c r="DX162" s="627">
        <v>0</v>
      </c>
      <c r="DY162" s="627">
        <v>0</v>
      </c>
      <c r="DZ162" s="627">
        <v>0</v>
      </c>
      <c r="EA162" s="627">
        <v>0</v>
      </c>
      <c r="EB162" s="627">
        <v>0</v>
      </c>
      <c r="EC162" s="627">
        <v>0</v>
      </c>
      <c r="ED162" s="627">
        <v>4.9000000000000004</v>
      </c>
      <c r="EE162" s="627">
        <v>34712</v>
      </c>
      <c r="EF162" s="627">
        <v>0</v>
      </c>
      <c r="EG162" s="627">
        <v>0</v>
      </c>
      <c r="EH162" s="627">
        <v>0</v>
      </c>
      <c r="EI162" s="627">
        <v>896711</v>
      </c>
      <c r="EJ162" s="627">
        <v>0</v>
      </c>
      <c r="EK162" s="627">
        <v>0</v>
      </c>
      <c r="EL162" s="627">
        <v>44.565000000000005</v>
      </c>
      <c r="EM162" s="627">
        <v>0</v>
      </c>
      <c r="EN162" s="627">
        <v>0</v>
      </c>
      <c r="EO162" s="627">
        <v>2.375</v>
      </c>
      <c r="EP162" s="627">
        <v>0</v>
      </c>
      <c r="EQ162" s="627">
        <v>0</v>
      </c>
      <c r="ER162" s="627">
        <v>46.94</v>
      </c>
      <c r="ES162" s="627">
        <v>0</v>
      </c>
      <c r="ET162" s="627">
        <v>145.57</v>
      </c>
      <c r="EU162" s="627">
        <v>0</v>
      </c>
      <c r="EV162" s="627">
        <v>0</v>
      </c>
      <c r="EW162" s="627">
        <v>0</v>
      </c>
      <c r="EX162" s="627">
        <v>0</v>
      </c>
      <c r="EY162" s="627">
        <v>0</v>
      </c>
      <c r="EZ162" s="627">
        <v>0</v>
      </c>
      <c r="FA162" s="627">
        <v>12660315</v>
      </c>
      <c r="FB162" s="627">
        <v>0</v>
      </c>
      <c r="FC162" s="627">
        <v>13243230</v>
      </c>
      <c r="FD162" s="627">
        <v>0</v>
      </c>
      <c r="FE162" s="627">
        <v>0</v>
      </c>
      <c r="FF162" s="627">
        <v>1906504</v>
      </c>
      <c r="FG162" s="627">
        <v>330183</v>
      </c>
      <c r="FH162" s="627">
        <v>7.0280999999999996E-2</v>
      </c>
      <c r="FI162" s="627">
        <v>3.1172999999999999E-2</v>
      </c>
      <c r="FJ162" s="627">
        <v>0</v>
      </c>
      <c r="FK162" s="627">
        <v>0</v>
      </c>
      <c r="FL162" s="627">
        <v>2149.3440000000001</v>
      </c>
      <c r="FM162" s="627">
        <v>15719319</v>
      </c>
      <c r="FN162" s="627">
        <v>0</v>
      </c>
      <c r="FO162" s="627">
        <v>0</v>
      </c>
      <c r="FP162" s="627">
        <v>0</v>
      </c>
      <c r="FQ162" s="627">
        <v>0</v>
      </c>
      <c r="FR162" s="627">
        <v>0</v>
      </c>
      <c r="FS162" s="627">
        <v>0</v>
      </c>
      <c r="FT162" s="627">
        <v>0</v>
      </c>
      <c r="FU162" s="627">
        <v>0</v>
      </c>
      <c r="FV162" s="627">
        <v>0</v>
      </c>
      <c r="FW162" s="627">
        <v>0</v>
      </c>
      <c r="FX162" s="627">
        <v>0</v>
      </c>
      <c r="FY162" s="627">
        <v>0</v>
      </c>
      <c r="FZ162" s="627">
        <v>0</v>
      </c>
      <c r="GA162" s="627">
        <v>0</v>
      </c>
      <c r="GB162" s="627">
        <v>0</v>
      </c>
      <c r="GC162" s="627">
        <v>437805</v>
      </c>
      <c r="GD162" s="627">
        <v>437805</v>
      </c>
      <c r="GE162" s="627">
        <v>44.734000000000002</v>
      </c>
      <c r="GF162" s="627">
        <v>0</v>
      </c>
      <c r="GG162" s="627">
        <v>0</v>
      </c>
      <c r="GH162" s="627">
        <v>0</v>
      </c>
      <c r="GI162" s="627">
        <v>0</v>
      </c>
      <c r="GJ162" s="627">
        <v>0</v>
      </c>
      <c r="GK162" s="627">
        <v>0</v>
      </c>
      <c r="GL162" s="627">
        <v>0</v>
      </c>
      <c r="GM162" s="627">
        <v>0</v>
      </c>
      <c r="GN162" s="627">
        <v>0</v>
      </c>
      <c r="GO162" s="627">
        <v>0</v>
      </c>
      <c r="GP162" s="627">
        <v>0</v>
      </c>
      <c r="GQ162" s="627">
        <v>0</v>
      </c>
      <c r="GR162" s="627">
        <v>14893838</v>
      </c>
      <c r="GS162" s="627">
        <v>0</v>
      </c>
      <c r="GT162" s="627">
        <v>0</v>
      </c>
      <c r="GU162" s="627">
        <v>0</v>
      </c>
      <c r="GV162" s="627">
        <v>0</v>
      </c>
      <c r="GW162" s="627">
        <v>0</v>
      </c>
      <c r="GX162" s="627">
        <v>0</v>
      </c>
      <c r="GY162" s="627">
        <v>0</v>
      </c>
      <c r="GZ162" s="627">
        <v>0</v>
      </c>
      <c r="HA162" s="627">
        <v>0</v>
      </c>
      <c r="HB162" s="627">
        <v>0</v>
      </c>
      <c r="HC162" s="627">
        <v>361151439</v>
      </c>
      <c r="HD162" s="627">
        <v>3.9981999999999997E-2</v>
      </c>
      <c r="HE162" s="627">
        <v>239402</v>
      </c>
      <c r="HF162" s="627">
        <v>0</v>
      </c>
      <c r="HG162" s="627">
        <v>1548595</v>
      </c>
      <c r="HH162" s="627">
        <v>52360</v>
      </c>
      <c r="HI162" s="627">
        <v>183116</v>
      </c>
      <c r="HJ162" s="627">
        <v>0</v>
      </c>
      <c r="HK162" s="627">
        <v>74969</v>
      </c>
      <c r="HL162" s="627">
        <v>4126</v>
      </c>
      <c r="HM162" s="627">
        <v>2309</v>
      </c>
      <c r="HN162" s="627">
        <v>33000</v>
      </c>
      <c r="HO162" s="627">
        <v>0</v>
      </c>
      <c r="HP162" s="627">
        <v>0</v>
      </c>
      <c r="HQ162" s="627">
        <v>0</v>
      </c>
      <c r="HR162" s="627">
        <v>0</v>
      </c>
      <c r="HS162" s="627">
        <v>0</v>
      </c>
      <c r="HT162" s="627">
        <v>12657151</v>
      </c>
      <c r="HU162" s="627">
        <v>330183</v>
      </c>
      <c r="HV162" s="627">
        <v>0</v>
      </c>
      <c r="HW162" s="627">
        <v>0</v>
      </c>
      <c r="HX162" s="627">
        <v>0</v>
      </c>
      <c r="HY162" s="627">
        <v>123</v>
      </c>
      <c r="HZ162" s="627">
        <v>163</v>
      </c>
      <c r="IA162" s="627">
        <v>138</v>
      </c>
      <c r="IB162" s="627">
        <v>149</v>
      </c>
      <c r="IC162" s="627">
        <v>123</v>
      </c>
      <c r="ID162" s="627">
        <v>696</v>
      </c>
      <c r="IE162" s="627">
        <v>0</v>
      </c>
      <c r="IF162" s="627">
        <v>163.267</v>
      </c>
      <c r="IG162" s="627">
        <v>0</v>
      </c>
      <c r="IH162" s="627">
        <v>85</v>
      </c>
      <c r="II162" s="627">
        <v>297.267</v>
      </c>
      <c r="IJ162" s="627">
        <v>0</v>
      </c>
      <c r="IK162" s="627">
        <v>326.7</v>
      </c>
      <c r="IL162" s="627">
        <v>0</v>
      </c>
      <c r="IM162" s="627">
        <v>3</v>
      </c>
      <c r="IN162" s="627">
        <v>6</v>
      </c>
      <c r="IO162" s="627">
        <v>0</v>
      </c>
      <c r="IP162" s="627">
        <v>9</v>
      </c>
      <c r="IQ162" s="627">
        <v>0</v>
      </c>
      <c r="IR162" s="627">
        <v>163.43300000000002</v>
      </c>
      <c r="IS162" s="627">
        <v>100675</v>
      </c>
      <c r="IT162" s="627">
        <v>0</v>
      </c>
      <c r="IU162" s="627">
        <v>15000</v>
      </c>
      <c r="IV162" s="627">
        <v>18000</v>
      </c>
      <c r="IW162" s="627">
        <v>0</v>
      </c>
      <c r="IX162" s="627">
        <v>6160</v>
      </c>
      <c r="IY162" s="627">
        <v>150859</v>
      </c>
      <c r="IZ162" s="627">
        <v>0</v>
      </c>
      <c r="JA162" s="627">
        <v>0</v>
      </c>
      <c r="JB162" s="627">
        <v>0</v>
      </c>
      <c r="JC162" s="627">
        <v>0</v>
      </c>
      <c r="JD162" s="627">
        <v>0</v>
      </c>
      <c r="JE162" s="627">
        <v>0</v>
      </c>
      <c r="JF162" s="627">
        <v>0</v>
      </c>
      <c r="JG162" s="627">
        <v>0</v>
      </c>
      <c r="JH162" s="627">
        <v>0</v>
      </c>
      <c r="JI162" s="627">
        <v>0</v>
      </c>
      <c r="JJ162" s="627">
        <v>0</v>
      </c>
      <c r="JK162" s="627">
        <v>0</v>
      </c>
      <c r="JL162" s="627">
        <v>0</v>
      </c>
      <c r="JM162" s="627">
        <v>0</v>
      </c>
      <c r="JN162" s="627">
        <v>0</v>
      </c>
      <c r="JO162" s="627">
        <v>32469</v>
      </c>
      <c r="JP162" s="627">
        <v>0</v>
      </c>
      <c r="JQ162" s="627">
        <v>28.799000000000003</v>
      </c>
      <c r="JR162" s="627">
        <v>15.935</v>
      </c>
      <c r="JS162" s="627">
        <v>0</v>
      </c>
      <c r="JT162" s="627">
        <v>267697</v>
      </c>
      <c r="JU162" s="627">
        <v>170108</v>
      </c>
      <c r="JV162" s="627">
        <v>0</v>
      </c>
      <c r="JW162" s="627">
        <v>0</v>
      </c>
      <c r="JX162" s="627">
        <v>0</v>
      </c>
      <c r="JY162" s="627">
        <v>0</v>
      </c>
      <c r="JZ162" s="627">
        <v>0</v>
      </c>
      <c r="KA162" s="627">
        <v>0</v>
      </c>
      <c r="KB162" s="627">
        <v>0</v>
      </c>
      <c r="KC162" s="627">
        <v>0</v>
      </c>
      <c r="KD162" s="627">
        <v>0</v>
      </c>
      <c r="KE162" s="627">
        <v>0</v>
      </c>
      <c r="KF162" s="627">
        <v>7262</v>
      </c>
      <c r="KG162" s="627">
        <v>0</v>
      </c>
      <c r="KH162" s="627">
        <v>0</v>
      </c>
      <c r="KI162" s="627">
        <v>14893838</v>
      </c>
      <c r="KJ162" s="627">
        <v>0</v>
      </c>
      <c r="KK162" s="627">
        <v>29</v>
      </c>
      <c r="KL162" s="627">
        <v>56</v>
      </c>
      <c r="KM162" s="627">
        <v>17864</v>
      </c>
      <c r="KN162" s="627">
        <v>34496</v>
      </c>
      <c r="KO162" s="627">
        <v>0</v>
      </c>
      <c r="KP162" s="627">
        <v>0</v>
      </c>
      <c r="KQ162" s="627">
        <v>14893838</v>
      </c>
      <c r="KR162" s="627">
        <v>0</v>
      </c>
      <c r="KS162" s="627">
        <v>0</v>
      </c>
      <c r="KT162" s="627">
        <v>0</v>
      </c>
      <c r="KU162" s="627">
        <v>0</v>
      </c>
      <c r="KV162" s="627">
        <v>0</v>
      </c>
      <c r="KW162" s="627">
        <v>0</v>
      </c>
      <c r="KX162" s="627">
        <v>0</v>
      </c>
      <c r="KY162" s="627">
        <v>0</v>
      </c>
      <c r="KZ162" s="627">
        <v>0</v>
      </c>
      <c r="LA162" s="627">
        <v>0</v>
      </c>
      <c r="LB162" s="627">
        <v>0</v>
      </c>
      <c r="LC162" s="627">
        <v>0</v>
      </c>
      <c r="LD162" s="627">
        <v>0</v>
      </c>
      <c r="LE162" s="627">
        <v>0</v>
      </c>
      <c r="LF162" s="627">
        <v>0</v>
      </c>
    </row>
    <row r="163" spans="1:318" x14ac:dyDescent="0.25">
      <c r="A163" s="627">
        <v>42602</v>
      </c>
      <c r="B163" s="627">
        <v>101845</v>
      </c>
      <c r="D163" s="627">
        <v>9</v>
      </c>
      <c r="E163" s="627">
        <v>2024</v>
      </c>
      <c r="F163" s="627">
        <v>6160</v>
      </c>
      <c r="G163" s="627">
        <v>0</v>
      </c>
      <c r="H163" s="627">
        <v>16057.184000000001</v>
      </c>
      <c r="I163" s="627">
        <v>14823.088</v>
      </c>
      <c r="J163" s="627">
        <v>14823.088</v>
      </c>
      <c r="K163" s="627">
        <v>16057.184000000001</v>
      </c>
      <c r="L163" s="627">
        <v>0</v>
      </c>
      <c r="M163" s="627">
        <v>6160</v>
      </c>
      <c r="N163" s="627">
        <v>0</v>
      </c>
      <c r="O163" s="627">
        <v>0</v>
      </c>
      <c r="P163" s="627">
        <v>0</v>
      </c>
      <c r="Q163" s="627">
        <v>14733.928</v>
      </c>
      <c r="R163" s="627">
        <v>0</v>
      </c>
      <c r="S163" s="627">
        <v>6112871</v>
      </c>
      <c r="T163" s="627">
        <v>414.88400000000001</v>
      </c>
      <c r="U163" s="627">
        <v>0</v>
      </c>
      <c r="V163" s="627">
        <v>3172332</v>
      </c>
      <c r="W163" s="627">
        <v>7116.2650000000003</v>
      </c>
      <c r="X163" s="627">
        <v>4383619</v>
      </c>
      <c r="Y163" s="627">
        <v>4383619</v>
      </c>
      <c r="Z163" s="627">
        <v>0</v>
      </c>
      <c r="AA163" s="627">
        <v>0</v>
      </c>
      <c r="AB163" s="627">
        <v>0</v>
      </c>
      <c r="AC163" s="627">
        <v>0</v>
      </c>
      <c r="AD163" s="627">
        <v>0</v>
      </c>
      <c r="AE163" s="627" t="s">
        <v>314</v>
      </c>
      <c r="AF163" s="627">
        <v>0</v>
      </c>
      <c r="AG163" s="627">
        <v>0</v>
      </c>
      <c r="AH163" s="627">
        <v>0</v>
      </c>
      <c r="AI163" s="627">
        <v>0</v>
      </c>
      <c r="AJ163" s="627">
        <v>0</v>
      </c>
      <c r="AK163" s="627">
        <v>6160</v>
      </c>
      <c r="AL163" s="627" t="s">
        <v>651</v>
      </c>
      <c r="AM163" s="627" t="s">
        <v>101</v>
      </c>
      <c r="AN163" s="627">
        <v>0</v>
      </c>
      <c r="AO163" s="627">
        <v>0</v>
      </c>
      <c r="AP163" s="627">
        <v>0</v>
      </c>
      <c r="AQ163" s="627">
        <v>0</v>
      </c>
      <c r="AR163" s="627">
        <v>0</v>
      </c>
      <c r="AS163" s="627">
        <v>0</v>
      </c>
      <c r="AT163" s="627">
        <v>0</v>
      </c>
      <c r="AU163" s="627">
        <v>0</v>
      </c>
      <c r="AV163" s="627">
        <v>0</v>
      </c>
      <c r="AW163" s="627">
        <v>0</v>
      </c>
      <c r="AX163" s="627">
        <v>187369880</v>
      </c>
      <c r="AY163" s="627">
        <v>184838377</v>
      </c>
      <c r="AZ163" s="627">
        <v>90872494</v>
      </c>
      <c r="BA163" s="627">
        <v>6112871</v>
      </c>
      <c r="BB163" s="627">
        <v>486.91700000000003</v>
      </c>
      <c r="BC163" s="627">
        <v>0</v>
      </c>
      <c r="BD163" s="627">
        <v>0</v>
      </c>
      <c r="BE163" s="627">
        <v>0</v>
      </c>
      <c r="BF163" s="627">
        <v>0</v>
      </c>
      <c r="BG163" s="627">
        <v>161624013</v>
      </c>
      <c r="BH163" s="627">
        <v>0</v>
      </c>
      <c r="BI163" s="627">
        <v>0</v>
      </c>
      <c r="BJ163" s="627">
        <v>0</v>
      </c>
      <c r="BK163" s="627">
        <v>12</v>
      </c>
      <c r="BL163" s="627">
        <v>0</v>
      </c>
      <c r="BM163" s="627">
        <v>0</v>
      </c>
      <c r="BN163" s="627">
        <v>0</v>
      </c>
      <c r="BO163" s="627">
        <v>0</v>
      </c>
      <c r="BP163" s="627">
        <v>0</v>
      </c>
      <c r="BQ163" s="627">
        <v>0</v>
      </c>
      <c r="BR163" s="627">
        <v>0</v>
      </c>
      <c r="BS163" s="627">
        <v>0</v>
      </c>
      <c r="BT163" s="627">
        <v>0</v>
      </c>
      <c r="BU163" s="627">
        <v>0</v>
      </c>
      <c r="BV163" s="627">
        <v>0</v>
      </c>
      <c r="BW163" s="627">
        <v>0</v>
      </c>
      <c r="BX163" s="627">
        <v>0</v>
      </c>
      <c r="BY163" s="627">
        <v>0</v>
      </c>
      <c r="BZ163" s="627">
        <v>0</v>
      </c>
      <c r="CA163" s="627">
        <v>0</v>
      </c>
      <c r="CB163" s="627">
        <v>270.12900000000002</v>
      </c>
      <c r="CC163" s="627">
        <v>270129</v>
      </c>
      <c r="CD163" s="627">
        <v>0</v>
      </c>
      <c r="CE163" s="627">
        <v>0</v>
      </c>
      <c r="CF163" s="627">
        <v>0</v>
      </c>
      <c r="CG163" s="627">
        <v>0</v>
      </c>
      <c r="CH163" s="627">
        <v>0</v>
      </c>
      <c r="CI163" s="627">
        <v>2568004</v>
      </c>
      <c r="CJ163" s="627">
        <v>0</v>
      </c>
      <c r="CK163" s="627">
        <v>4</v>
      </c>
      <c r="CL163" s="627">
        <v>0</v>
      </c>
      <c r="CM163" s="627">
        <v>0</v>
      </c>
      <c r="CN163" s="627">
        <v>0</v>
      </c>
      <c r="CO163" s="627">
        <v>0</v>
      </c>
      <c r="CP163" s="627">
        <v>1</v>
      </c>
      <c r="CQ163" s="627">
        <v>1.7650000000000001</v>
      </c>
      <c r="CR163" s="627">
        <v>31.5</v>
      </c>
      <c r="CS163" s="627">
        <v>14627.87</v>
      </c>
      <c r="CT163" s="627">
        <v>0</v>
      </c>
      <c r="CU163" s="627">
        <v>0</v>
      </c>
      <c r="CV163" s="627">
        <v>0</v>
      </c>
      <c r="CW163" s="627">
        <v>0</v>
      </c>
      <c r="CX163" s="627">
        <v>0</v>
      </c>
      <c r="CY163" s="627">
        <v>0</v>
      </c>
      <c r="CZ163" s="627">
        <v>0</v>
      </c>
      <c r="DA163" s="627">
        <v>0</v>
      </c>
      <c r="DB163" s="627">
        <v>0</v>
      </c>
      <c r="DC163" s="627">
        <v>91310222</v>
      </c>
      <c r="DD163" s="627">
        <v>0</v>
      </c>
      <c r="DE163" s="627">
        <v>0</v>
      </c>
      <c r="DF163" s="627">
        <v>26208336</v>
      </c>
      <c r="DG163" s="627">
        <v>26234538</v>
      </c>
      <c r="DH163" s="627">
        <v>4254.6000000000004</v>
      </c>
      <c r="DI163" s="627">
        <v>0</v>
      </c>
      <c r="DJ163" s="627">
        <v>26202</v>
      </c>
      <c r="DK163" s="627">
        <v>0</v>
      </c>
      <c r="DL163" s="627">
        <v>0</v>
      </c>
      <c r="DM163" s="627">
        <v>0</v>
      </c>
      <c r="DN163" s="627">
        <v>10709236</v>
      </c>
      <c r="DO163" s="627">
        <v>36501</v>
      </c>
      <c r="DP163" s="627">
        <v>0</v>
      </c>
      <c r="DQ163" s="627">
        <v>0</v>
      </c>
      <c r="DR163" s="627">
        <v>0</v>
      </c>
      <c r="DS163" s="627">
        <v>0</v>
      </c>
      <c r="DT163" s="627">
        <v>0</v>
      </c>
      <c r="DU163" s="627">
        <v>0</v>
      </c>
      <c r="DV163" s="627">
        <v>0</v>
      </c>
      <c r="DW163" s="627">
        <v>0</v>
      </c>
      <c r="DX163" s="627">
        <v>0</v>
      </c>
      <c r="DY163" s="627">
        <v>0</v>
      </c>
      <c r="DZ163" s="627">
        <v>0</v>
      </c>
      <c r="EA163" s="627">
        <v>0</v>
      </c>
      <c r="EB163" s="627">
        <v>0.28900000000000003</v>
      </c>
      <c r="EC163" s="627">
        <v>2.1000000000000001E-2</v>
      </c>
      <c r="ED163" s="627">
        <v>355.75</v>
      </c>
      <c r="EE163" s="627">
        <v>2520133</v>
      </c>
      <c r="EF163" s="627">
        <v>0</v>
      </c>
      <c r="EG163" s="627">
        <v>0</v>
      </c>
      <c r="EH163" s="627">
        <v>0</v>
      </c>
      <c r="EI163" s="627">
        <v>8225604</v>
      </c>
      <c r="EJ163" s="627">
        <v>0</v>
      </c>
      <c r="EK163" s="627">
        <v>0</v>
      </c>
      <c r="EL163" s="627">
        <v>304.55700000000002</v>
      </c>
      <c r="EM163" s="627">
        <v>7.2470000000000008</v>
      </c>
      <c r="EN163" s="627">
        <v>90.667000000000002</v>
      </c>
      <c r="EO163" s="627">
        <v>26.289000000000001</v>
      </c>
      <c r="EP163" s="627">
        <v>0</v>
      </c>
      <c r="EQ163" s="627">
        <v>0</v>
      </c>
      <c r="ER163" s="627">
        <v>429.084</v>
      </c>
      <c r="ES163" s="627">
        <v>7.2610000000000001</v>
      </c>
      <c r="ET163" s="627">
        <v>1335.325</v>
      </c>
      <c r="EU163" s="627">
        <v>0</v>
      </c>
      <c r="EV163" s="627">
        <v>0</v>
      </c>
      <c r="EW163" s="627">
        <v>0</v>
      </c>
      <c r="EX163" s="627">
        <v>0</v>
      </c>
      <c r="EY163" s="627">
        <v>0</v>
      </c>
      <c r="EZ163" s="627">
        <v>0</v>
      </c>
      <c r="FA163" s="627">
        <v>157534492</v>
      </c>
      <c r="FB163" s="627">
        <v>0</v>
      </c>
      <c r="FC163" s="627">
        <v>163610862</v>
      </c>
      <c r="FD163" s="627">
        <v>0</v>
      </c>
      <c r="FE163" s="627">
        <v>0</v>
      </c>
      <c r="FF163" s="627">
        <v>23273241</v>
      </c>
      <c r="FG163" s="627">
        <v>4030644</v>
      </c>
      <c r="FH163" s="627">
        <v>7.0280999999999996E-2</v>
      </c>
      <c r="FI163" s="627">
        <v>3.1172999999999999E-2</v>
      </c>
      <c r="FJ163" s="627">
        <v>0</v>
      </c>
      <c r="FK163" s="627">
        <v>0</v>
      </c>
      <c r="FL163" s="627">
        <v>26237.664000000001</v>
      </c>
      <c r="FM163" s="627">
        <v>193482751</v>
      </c>
      <c r="FN163" s="627">
        <v>0</v>
      </c>
      <c r="FO163" s="627">
        <v>0</v>
      </c>
      <c r="FP163" s="627">
        <v>1271596</v>
      </c>
      <c r="FQ163" s="627">
        <v>348147</v>
      </c>
      <c r="FR163" s="627">
        <v>1619743</v>
      </c>
      <c r="FS163" s="627">
        <v>1271596</v>
      </c>
      <c r="FT163" s="627">
        <v>0</v>
      </c>
      <c r="FU163" s="627">
        <v>0</v>
      </c>
      <c r="FV163" s="627">
        <v>0</v>
      </c>
      <c r="FW163" s="627">
        <v>0</v>
      </c>
      <c r="FX163" s="627">
        <v>0</v>
      </c>
      <c r="FY163" s="627">
        <v>0</v>
      </c>
      <c r="FZ163" s="627">
        <v>0</v>
      </c>
      <c r="GA163" s="627">
        <v>0</v>
      </c>
      <c r="GB163" s="627">
        <v>0</v>
      </c>
      <c r="GC163" s="627">
        <v>7525175</v>
      </c>
      <c r="GD163" s="627">
        <v>7525175</v>
      </c>
      <c r="GE163" s="627">
        <v>805.01200000000006</v>
      </c>
      <c r="GF163" s="627">
        <v>0</v>
      </c>
      <c r="GG163" s="627">
        <v>0</v>
      </c>
      <c r="GH163" s="627">
        <v>0</v>
      </c>
      <c r="GI163" s="627">
        <v>0</v>
      </c>
      <c r="GJ163" s="627">
        <v>0</v>
      </c>
      <c r="GK163" s="627">
        <v>0</v>
      </c>
      <c r="GL163" s="627">
        <v>0</v>
      </c>
      <c r="GM163" s="627">
        <v>0</v>
      </c>
      <c r="GN163" s="627">
        <v>0</v>
      </c>
      <c r="GO163" s="627">
        <v>0</v>
      </c>
      <c r="GP163" s="627">
        <v>0</v>
      </c>
      <c r="GQ163" s="627">
        <v>0</v>
      </c>
      <c r="GR163" s="627">
        <v>184801876</v>
      </c>
      <c r="GS163" s="627">
        <v>0</v>
      </c>
      <c r="GT163" s="627">
        <v>0</v>
      </c>
      <c r="GU163" s="627">
        <v>0</v>
      </c>
      <c r="GV163" s="627">
        <v>0</v>
      </c>
      <c r="GW163" s="627">
        <v>0</v>
      </c>
      <c r="GX163" s="627">
        <v>0</v>
      </c>
      <c r="GY163" s="627">
        <v>0</v>
      </c>
      <c r="GZ163" s="627">
        <v>0</v>
      </c>
      <c r="HA163" s="627">
        <v>0</v>
      </c>
      <c r="HB163" s="627">
        <v>0</v>
      </c>
      <c r="HC163" s="627">
        <v>361151439</v>
      </c>
      <c r="HD163" s="627">
        <v>3.9981999999999997E-2</v>
      </c>
      <c r="HE163" s="627">
        <v>2568004</v>
      </c>
      <c r="HF163" s="627">
        <v>0</v>
      </c>
      <c r="HG163" s="627">
        <v>16335043</v>
      </c>
      <c r="HH163" s="627">
        <v>302456</v>
      </c>
      <c r="HI163" s="627">
        <v>1894778</v>
      </c>
      <c r="HJ163" s="627">
        <v>0</v>
      </c>
      <c r="HK163" s="627">
        <v>475572</v>
      </c>
      <c r="HL163" s="627">
        <v>75628</v>
      </c>
      <c r="HM163" s="627">
        <v>57850</v>
      </c>
      <c r="HN163" s="627">
        <v>1343000</v>
      </c>
      <c r="HO163" s="627">
        <v>1073873</v>
      </c>
      <c r="HP163" s="627">
        <v>0</v>
      </c>
      <c r="HQ163" s="627">
        <v>0</v>
      </c>
      <c r="HR163" s="627">
        <v>0</v>
      </c>
      <c r="HS163" s="627">
        <v>0</v>
      </c>
      <c r="HT163" s="627">
        <v>157497991</v>
      </c>
      <c r="HU163" s="627">
        <v>4030644</v>
      </c>
      <c r="HV163" s="627">
        <v>0</v>
      </c>
      <c r="HW163" s="627">
        <v>0</v>
      </c>
      <c r="HX163" s="627">
        <v>0</v>
      </c>
      <c r="HY163" s="627">
        <v>538</v>
      </c>
      <c r="HZ163" s="627">
        <v>1311</v>
      </c>
      <c r="IA163" s="627">
        <v>2822</v>
      </c>
      <c r="IB163" s="627">
        <v>4545</v>
      </c>
      <c r="IC163" s="627">
        <v>6995</v>
      </c>
      <c r="ID163" s="627">
        <v>16211</v>
      </c>
      <c r="IE163" s="627">
        <v>0</v>
      </c>
      <c r="IF163" s="627">
        <v>0</v>
      </c>
      <c r="IG163" s="627">
        <v>0</v>
      </c>
      <c r="IH163" s="627">
        <v>491</v>
      </c>
      <c r="II163" s="627">
        <v>3075.9380000000001</v>
      </c>
      <c r="IJ163" s="627">
        <v>0</v>
      </c>
      <c r="IK163" s="627">
        <v>7116.2650000000003</v>
      </c>
      <c r="IL163" s="627">
        <v>0</v>
      </c>
      <c r="IM163" s="627">
        <v>252</v>
      </c>
      <c r="IN163" s="627">
        <v>27</v>
      </c>
      <c r="IO163" s="627">
        <v>1</v>
      </c>
      <c r="IP163" s="627">
        <v>280</v>
      </c>
      <c r="IQ163" s="627">
        <v>0</v>
      </c>
      <c r="IR163" s="627">
        <v>7116.2650000000003</v>
      </c>
      <c r="IS163" s="627">
        <v>4383619</v>
      </c>
      <c r="IT163" s="627">
        <v>0</v>
      </c>
      <c r="IU163" s="627">
        <v>1260000</v>
      </c>
      <c r="IV163" s="627">
        <v>81000</v>
      </c>
      <c r="IW163" s="627">
        <v>2000</v>
      </c>
      <c r="IX163" s="627">
        <v>6160</v>
      </c>
      <c r="IY163" s="627">
        <v>0</v>
      </c>
      <c r="IZ163" s="627">
        <v>0</v>
      </c>
      <c r="JA163" s="627">
        <v>0</v>
      </c>
      <c r="JB163" s="627">
        <v>0</v>
      </c>
      <c r="JC163" s="627">
        <v>14</v>
      </c>
      <c r="JD163" s="627">
        <v>332567</v>
      </c>
      <c r="JE163" s="627">
        <v>39</v>
      </c>
      <c r="JF163" s="627">
        <v>531555</v>
      </c>
      <c r="JG163" s="627">
        <v>28</v>
      </c>
      <c r="JH163" s="627">
        <v>186251</v>
      </c>
      <c r="JI163" s="627">
        <v>23500</v>
      </c>
      <c r="JJ163" s="627">
        <v>0</v>
      </c>
      <c r="JK163" s="627">
        <v>0</v>
      </c>
      <c r="JL163" s="627">
        <v>0</v>
      </c>
      <c r="JM163" s="627">
        <v>0</v>
      </c>
      <c r="JN163" s="627">
        <v>0</v>
      </c>
      <c r="JO163" s="627">
        <v>32469</v>
      </c>
      <c r="JP163" s="627">
        <v>0</v>
      </c>
      <c r="JQ163" s="627">
        <v>774.34800000000007</v>
      </c>
      <c r="JR163" s="627">
        <v>30.663</v>
      </c>
      <c r="JS163" s="627">
        <v>0</v>
      </c>
      <c r="JT163" s="627">
        <v>7197843</v>
      </c>
      <c r="JU163" s="627">
        <v>327332</v>
      </c>
      <c r="JV163" s="627">
        <v>0</v>
      </c>
      <c r="JW163" s="627">
        <v>0</v>
      </c>
      <c r="JX163" s="627">
        <v>0</v>
      </c>
      <c r="JY163" s="627">
        <v>0</v>
      </c>
      <c r="JZ163" s="627">
        <v>0</v>
      </c>
      <c r="KA163" s="627">
        <v>0</v>
      </c>
      <c r="KB163" s="627">
        <v>0</v>
      </c>
      <c r="KC163" s="627">
        <v>0</v>
      </c>
      <c r="KD163" s="627">
        <v>0</v>
      </c>
      <c r="KE163" s="627">
        <v>0</v>
      </c>
      <c r="KF163" s="627">
        <v>7262</v>
      </c>
      <c r="KG163" s="627">
        <v>0</v>
      </c>
      <c r="KH163" s="627">
        <v>0</v>
      </c>
      <c r="KI163" s="627">
        <v>184801876</v>
      </c>
      <c r="KJ163" s="627">
        <v>0</v>
      </c>
      <c r="KK163" s="627">
        <v>294</v>
      </c>
      <c r="KL163" s="627">
        <v>197</v>
      </c>
      <c r="KM163" s="627">
        <v>181104</v>
      </c>
      <c r="KN163" s="627">
        <v>121352</v>
      </c>
      <c r="KO163" s="627">
        <v>0</v>
      </c>
      <c r="KP163" s="627">
        <v>0</v>
      </c>
      <c r="KQ163" s="627">
        <v>184801876</v>
      </c>
      <c r="KR163" s="627">
        <v>0</v>
      </c>
      <c r="KS163" s="627">
        <v>0</v>
      </c>
      <c r="KT163" s="627">
        <v>0</v>
      </c>
      <c r="KU163" s="627">
        <v>0</v>
      </c>
      <c r="KV163" s="627">
        <v>0</v>
      </c>
      <c r="KW163" s="627">
        <v>0</v>
      </c>
      <c r="KX163" s="627">
        <v>0</v>
      </c>
      <c r="KY163" s="627">
        <v>0</v>
      </c>
      <c r="KZ163" s="627">
        <v>0</v>
      </c>
      <c r="LA163" s="627">
        <v>0</v>
      </c>
      <c r="LB163" s="627">
        <v>0</v>
      </c>
      <c r="LC163" s="627">
        <v>0</v>
      </c>
      <c r="LD163" s="627">
        <v>0</v>
      </c>
      <c r="LE163" s="627">
        <v>0</v>
      </c>
      <c r="LF163" s="627">
        <v>0</v>
      </c>
    </row>
    <row r="164" spans="1:318" x14ac:dyDescent="0.25">
      <c r="A164" s="627">
        <v>42602</v>
      </c>
      <c r="B164" s="627">
        <v>57846</v>
      </c>
      <c r="D164" s="627">
        <v>9</v>
      </c>
      <c r="E164" s="627">
        <v>2024</v>
      </c>
      <c r="F164" s="627">
        <v>6160</v>
      </c>
      <c r="G164" s="627">
        <v>0</v>
      </c>
      <c r="H164" s="627">
        <v>1168.383</v>
      </c>
      <c r="I164" s="627">
        <v>1036.6010000000001</v>
      </c>
      <c r="J164" s="627">
        <v>1036.6010000000001</v>
      </c>
      <c r="K164" s="627">
        <v>1168.383</v>
      </c>
      <c r="L164" s="627">
        <v>0</v>
      </c>
      <c r="M164" s="627">
        <v>6160</v>
      </c>
      <c r="N164" s="627">
        <v>0</v>
      </c>
      <c r="O164" s="627">
        <v>0</v>
      </c>
      <c r="P164" s="627">
        <v>0</v>
      </c>
      <c r="Q164" s="627">
        <v>1291.0830000000001</v>
      </c>
      <c r="R164" s="627">
        <v>0</v>
      </c>
      <c r="S164" s="627">
        <v>535650</v>
      </c>
      <c r="T164" s="627">
        <v>414.88400000000001</v>
      </c>
      <c r="U164" s="627">
        <v>0</v>
      </c>
      <c r="V164" s="627">
        <v>277982</v>
      </c>
      <c r="W164" s="627">
        <v>488.90000000000003</v>
      </c>
      <c r="X164" s="627">
        <v>373834</v>
      </c>
      <c r="Y164" s="627">
        <v>373834</v>
      </c>
      <c r="Z164" s="627">
        <v>0</v>
      </c>
      <c r="AA164" s="627">
        <v>0</v>
      </c>
      <c r="AB164" s="627">
        <v>0</v>
      </c>
      <c r="AC164" s="627">
        <v>0</v>
      </c>
      <c r="AD164" s="627">
        <v>0</v>
      </c>
      <c r="AE164" s="627" t="s">
        <v>314</v>
      </c>
      <c r="AF164" s="627">
        <v>0</v>
      </c>
      <c r="AG164" s="627">
        <v>0</v>
      </c>
      <c r="AH164" s="627">
        <v>0</v>
      </c>
      <c r="AI164" s="627">
        <v>0</v>
      </c>
      <c r="AJ164" s="627">
        <v>0</v>
      </c>
      <c r="AK164" s="627">
        <v>6160</v>
      </c>
      <c r="AL164" s="627" t="s">
        <v>651</v>
      </c>
      <c r="AM164" s="627" t="s">
        <v>115</v>
      </c>
      <c r="AN164" s="627">
        <v>0</v>
      </c>
      <c r="AO164" s="627">
        <v>0</v>
      </c>
      <c r="AP164" s="627">
        <v>0</v>
      </c>
      <c r="AQ164" s="627">
        <v>0</v>
      </c>
      <c r="AR164" s="627">
        <v>0</v>
      </c>
      <c r="AS164" s="627">
        <v>0</v>
      </c>
      <c r="AT164" s="627">
        <v>0</v>
      </c>
      <c r="AU164" s="627">
        <v>0</v>
      </c>
      <c r="AV164" s="627">
        <v>0</v>
      </c>
      <c r="AW164" s="627">
        <v>0</v>
      </c>
      <c r="AX164" s="627">
        <v>13389128</v>
      </c>
      <c r="AY164" s="627">
        <v>13205281</v>
      </c>
      <c r="AZ164" s="627">
        <v>6710888</v>
      </c>
      <c r="BA164" s="627">
        <v>535650</v>
      </c>
      <c r="BB164" s="627">
        <v>0</v>
      </c>
      <c r="BC164" s="627">
        <v>23859</v>
      </c>
      <c r="BD164" s="627">
        <v>23707</v>
      </c>
      <c r="BE164" s="627">
        <v>56</v>
      </c>
      <c r="BF164" s="627">
        <v>152</v>
      </c>
      <c r="BG164" s="627">
        <v>11748347</v>
      </c>
      <c r="BH164" s="627">
        <v>0</v>
      </c>
      <c r="BI164" s="627">
        <v>0</v>
      </c>
      <c r="BJ164" s="627">
        <v>0</v>
      </c>
      <c r="BK164" s="627">
        <v>12</v>
      </c>
      <c r="BL164" s="627">
        <v>0</v>
      </c>
      <c r="BM164" s="627">
        <v>0</v>
      </c>
      <c r="BN164" s="627">
        <v>0</v>
      </c>
      <c r="BO164" s="627">
        <v>0</v>
      </c>
      <c r="BP164" s="627">
        <v>0</v>
      </c>
      <c r="BQ164" s="627">
        <v>0</v>
      </c>
      <c r="BR164" s="627">
        <v>610</v>
      </c>
      <c r="BS164" s="627">
        <v>0</v>
      </c>
      <c r="BT164" s="627">
        <v>0</v>
      </c>
      <c r="BU164" s="627">
        <v>0</v>
      </c>
      <c r="BV164" s="627">
        <v>0</v>
      </c>
      <c r="BW164" s="627">
        <v>0</v>
      </c>
      <c r="BX164" s="627">
        <v>0</v>
      </c>
      <c r="BY164" s="627">
        <v>0</v>
      </c>
      <c r="BZ164" s="627">
        <v>0</v>
      </c>
      <c r="CA164" s="627">
        <v>0</v>
      </c>
      <c r="CB164" s="627">
        <v>0</v>
      </c>
      <c r="CC164" s="627">
        <v>0</v>
      </c>
      <c r="CD164" s="627">
        <v>0</v>
      </c>
      <c r="CE164" s="627">
        <v>0</v>
      </c>
      <c r="CF164" s="627">
        <v>0</v>
      </c>
      <c r="CG164" s="627">
        <v>0</v>
      </c>
      <c r="CH164" s="627">
        <v>0</v>
      </c>
      <c r="CI164" s="627">
        <v>186858</v>
      </c>
      <c r="CJ164" s="627">
        <v>0</v>
      </c>
      <c r="CK164" s="627">
        <v>4</v>
      </c>
      <c r="CL164" s="627">
        <v>0</v>
      </c>
      <c r="CM164" s="627">
        <v>0</v>
      </c>
      <c r="CN164" s="627">
        <v>0</v>
      </c>
      <c r="CO164" s="627">
        <v>0</v>
      </c>
      <c r="CP164" s="627">
        <v>1</v>
      </c>
      <c r="CQ164" s="627">
        <v>0.127</v>
      </c>
      <c r="CR164" s="627">
        <v>0</v>
      </c>
      <c r="CS164" s="627">
        <v>1285.6300000000001</v>
      </c>
      <c r="CT164" s="627">
        <v>0</v>
      </c>
      <c r="CU164" s="627">
        <v>0</v>
      </c>
      <c r="CV164" s="627">
        <v>0</v>
      </c>
      <c r="CW164" s="627">
        <v>0</v>
      </c>
      <c r="CX164" s="627">
        <v>0</v>
      </c>
      <c r="CY164" s="627">
        <v>0</v>
      </c>
      <c r="CZ164" s="627">
        <v>0</v>
      </c>
      <c r="DA164" s="627">
        <v>0</v>
      </c>
      <c r="DB164" s="627">
        <v>0</v>
      </c>
      <c r="DC164" s="627">
        <v>6340431</v>
      </c>
      <c r="DD164" s="627">
        <v>0</v>
      </c>
      <c r="DE164" s="627">
        <v>0</v>
      </c>
      <c r="DF164" s="627">
        <v>1634402</v>
      </c>
      <c r="DG164" s="627">
        <v>1636287</v>
      </c>
      <c r="DH164" s="627">
        <v>265.32499999999999</v>
      </c>
      <c r="DI164" s="627">
        <v>0</v>
      </c>
      <c r="DJ164" s="627">
        <v>1885</v>
      </c>
      <c r="DK164" s="627">
        <v>0</v>
      </c>
      <c r="DL164" s="627">
        <v>1388</v>
      </c>
      <c r="DM164" s="627">
        <v>0</v>
      </c>
      <c r="DN164" s="627">
        <v>883961</v>
      </c>
      <c r="DO164" s="627">
        <v>2859</v>
      </c>
      <c r="DP164" s="627">
        <v>0</v>
      </c>
      <c r="DQ164" s="627">
        <v>0</v>
      </c>
      <c r="DR164" s="627">
        <v>0</v>
      </c>
      <c r="DS164" s="627">
        <v>0</v>
      </c>
      <c r="DT164" s="627">
        <v>0</v>
      </c>
      <c r="DU164" s="627">
        <v>0</v>
      </c>
      <c r="DV164" s="627">
        <v>0</v>
      </c>
      <c r="DW164" s="627">
        <v>0</v>
      </c>
      <c r="DX164" s="627">
        <v>0</v>
      </c>
      <c r="DY164" s="627">
        <v>0</v>
      </c>
      <c r="DZ164" s="627">
        <v>0</v>
      </c>
      <c r="EA164" s="627">
        <v>0</v>
      </c>
      <c r="EB164" s="627">
        <v>0</v>
      </c>
      <c r="EC164" s="627">
        <v>0</v>
      </c>
      <c r="ED164" s="627">
        <v>40.700000000000003</v>
      </c>
      <c r="EE164" s="627">
        <v>288319</v>
      </c>
      <c r="EF164" s="627">
        <v>0</v>
      </c>
      <c r="EG164" s="627">
        <v>0</v>
      </c>
      <c r="EH164" s="627">
        <v>0</v>
      </c>
      <c r="EI164" s="627">
        <v>553470</v>
      </c>
      <c r="EJ164" s="627">
        <v>0</v>
      </c>
      <c r="EK164" s="627">
        <v>0</v>
      </c>
      <c r="EL164" s="627">
        <v>27.031000000000002</v>
      </c>
      <c r="EM164" s="627">
        <v>0</v>
      </c>
      <c r="EN164" s="627">
        <v>0.217</v>
      </c>
      <c r="EO164" s="627">
        <v>1.621</v>
      </c>
      <c r="EP164" s="627">
        <v>0</v>
      </c>
      <c r="EQ164" s="627">
        <v>0</v>
      </c>
      <c r="ER164" s="627">
        <v>28.869</v>
      </c>
      <c r="ES164" s="627">
        <v>0</v>
      </c>
      <c r="ET164" s="627">
        <v>89.849000000000004</v>
      </c>
      <c r="EU164" s="627">
        <v>0</v>
      </c>
      <c r="EV164" s="627">
        <v>0</v>
      </c>
      <c r="EW164" s="627">
        <v>0</v>
      </c>
      <c r="EX164" s="627">
        <v>0</v>
      </c>
      <c r="EY164" s="627">
        <v>0</v>
      </c>
      <c r="EZ164" s="627">
        <v>0</v>
      </c>
      <c r="FA164" s="627">
        <v>11220579</v>
      </c>
      <c r="FB164" s="627">
        <v>0</v>
      </c>
      <c r="FC164" s="627">
        <v>11753218</v>
      </c>
      <c r="FD164" s="627">
        <v>0</v>
      </c>
      <c r="FE164" s="627">
        <v>0</v>
      </c>
      <c r="FF164" s="627">
        <v>1691717</v>
      </c>
      <c r="FG164" s="627">
        <v>292985</v>
      </c>
      <c r="FH164" s="627">
        <v>7.0280999999999996E-2</v>
      </c>
      <c r="FI164" s="627">
        <v>3.1172999999999999E-2</v>
      </c>
      <c r="FJ164" s="627">
        <v>0</v>
      </c>
      <c r="FK164" s="627">
        <v>0</v>
      </c>
      <c r="FL164" s="627">
        <v>1907.1990000000001</v>
      </c>
      <c r="FM164" s="627">
        <v>13924778</v>
      </c>
      <c r="FN164" s="627">
        <v>0</v>
      </c>
      <c r="FO164" s="627">
        <v>0</v>
      </c>
      <c r="FP164" s="627">
        <v>0</v>
      </c>
      <c r="FQ164" s="627">
        <v>0</v>
      </c>
      <c r="FR164" s="627">
        <v>0</v>
      </c>
      <c r="FS164" s="627">
        <v>0</v>
      </c>
      <c r="FT164" s="627">
        <v>0</v>
      </c>
      <c r="FU164" s="627">
        <v>0</v>
      </c>
      <c r="FV164" s="627">
        <v>0</v>
      </c>
      <c r="FW164" s="627">
        <v>0</v>
      </c>
      <c r="FX164" s="627">
        <v>0</v>
      </c>
      <c r="FY164" s="627">
        <v>0</v>
      </c>
      <c r="FZ164" s="627">
        <v>0</v>
      </c>
      <c r="GA164" s="627">
        <v>0</v>
      </c>
      <c r="GB164" s="627">
        <v>0</v>
      </c>
      <c r="GC164" s="627">
        <v>1035711</v>
      </c>
      <c r="GD164" s="627">
        <v>1035711</v>
      </c>
      <c r="GE164" s="627">
        <v>102.91300000000001</v>
      </c>
      <c r="GF164" s="627">
        <v>0</v>
      </c>
      <c r="GG164" s="627">
        <v>0</v>
      </c>
      <c r="GH164" s="627">
        <v>0</v>
      </c>
      <c r="GI164" s="627">
        <v>0</v>
      </c>
      <c r="GJ164" s="627">
        <v>0</v>
      </c>
      <c r="GK164" s="627">
        <v>0</v>
      </c>
      <c r="GL164" s="627">
        <v>0</v>
      </c>
      <c r="GM164" s="627">
        <v>0</v>
      </c>
      <c r="GN164" s="627">
        <v>0</v>
      </c>
      <c r="GO164" s="627">
        <v>0</v>
      </c>
      <c r="GP164" s="627">
        <v>0</v>
      </c>
      <c r="GQ164" s="627">
        <v>0</v>
      </c>
      <c r="GR164" s="627">
        <v>13202270</v>
      </c>
      <c r="GS164" s="627">
        <v>0</v>
      </c>
      <c r="GT164" s="627">
        <v>0</v>
      </c>
      <c r="GU164" s="627">
        <v>0</v>
      </c>
      <c r="GV164" s="627">
        <v>0</v>
      </c>
      <c r="GW164" s="627">
        <v>0</v>
      </c>
      <c r="GX164" s="627">
        <v>0</v>
      </c>
      <c r="GY164" s="627">
        <v>0</v>
      </c>
      <c r="GZ164" s="627">
        <v>0</v>
      </c>
      <c r="HA164" s="627">
        <v>0</v>
      </c>
      <c r="HB164" s="627">
        <v>0</v>
      </c>
      <c r="HC164" s="627">
        <v>361151439</v>
      </c>
      <c r="HD164" s="627">
        <v>3.9981999999999997E-2</v>
      </c>
      <c r="HE164" s="627">
        <v>186858</v>
      </c>
      <c r="HF164" s="627">
        <v>0</v>
      </c>
      <c r="HG164" s="627">
        <v>1142334</v>
      </c>
      <c r="HH164" s="627">
        <v>27720</v>
      </c>
      <c r="HI164" s="627">
        <v>228813</v>
      </c>
      <c r="HJ164" s="627">
        <v>0</v>
      </c>
      <c r="HK164" s="627">
        <v>41684</v>
      </c>
      <c r="HL164" s="627">
        <v>4579</v>
      </c>
      <c r="HM164" s="627">
        <v>3303</v>
      </c>
      <c r="HN164" s="627">
        <v>0</v>
      </c>
      <c r="HO164" s="627">
        <v>10854</v>
      </c>
      <c r="HP164" s="627">
        <v>0</v>
      </c>
      <c r="HQ164" s="627">
        <v>0</v>
      </c>
      <c r="HR164" s="627">
        <v>0</v>
      </c>
      <c r="HS164" s="627">
        <v>0</v>
      </c>
      <c r="HT164" s="627">
        <v>11217568</v>
      </c>
      <c r="HU164" s="627">
        <v>292985</v>
      </c>
      <c r="HV164" s="627">
        <v>0</v>
      </c>
      <c r="HW164" s="627">
        <v>0</v>
      </c>
      <c r="HX164" s="627">
        <v>0</v>
      </c>
      <c r="HY164" s="627">
        <v>56</v>
      </c>
      <c r="HZ164" s="627">
        <v>112</v>
      </c>
      <c r="IA164" s="627">
        <v>303</v>
      </c>
      <c r="IB164" s="627">
        <v>290</v>
      </c>
      <c r="IC164" s="627">
        <v>270</v>
      </c>
      <c r="ID164" s="627">
        <v>1031</v>
      </c>
      <c r="IE164" s="627">
        <v>0</v>
      </c>
      <c r="IF164" s="627">
        <v>73.683000000000007</v>
      </c>
      <c r="IG164" s="627">
        <v>14.9</v>
      </c>
      <c r="IH164" s="627">
        <v>45</v>
      </c>
      <c r="II164" s="627">
        <v>371.45</v>
      </c>
      <c r="IJ164" s="627">
        <v>0</v>
      </c>
      <c r="IK164" s="627">
        <v>577.48300000000006</v>
      </c>
      <c r="IL164" s="627">
        <v>0</v>
      </c>
      <c r="IM164" s="627">
        <v>0</v>
      </c>
      <c r="IN164" s="627">
        <v>0</v>
      </c>
      <c r="IO164" s="627">
        <v>0</v>
      </c>
      <c r="IP164" s="627">
        <v>0</v>
      </c>
      <c r="IQ164" s="627">
        <v>0</v>
      </c>
      <c r="IR164" s="627">
        <v>488.90000000000003</v>
      </c>
      <c r="IS164" s="627">
        <v>301162</v>
      </c>
      <c r="IT164" s="627">
        <v>0</v>
      </c>
      <c r="IU164" s="627">
        <v>0</v>
      </c>
      <c r="IV164" s="627">
        <v>0</v>
      </c>
      <c r="IW164" s="627">
        <v>0</v>
      </c>
      <c r="IX164" s="627">
        <v>6160</v>
      </c>
      <c r="IY164" s="627">
        <v>68083</v>
      </c>
      <c r="IZ164" s="627">
        <v>4589</v>
      </c>
      <c r="JA164" s="627">
        <v>0</v>
      </c>
      <c r="JB164" s="627">
        <v>0</v>
      </c>
      <c r="JC164" s="627">
        <v>0</v>
      </c>
      <c r="JD164" s="627">
        <v>0</v>
      </c>
      <c r="JE164" s="627">
        <v>0</v>
      </c>
      <c r="JF164" s="627">
        <v>0</v>
      </c>
      <c r="JG164" s="627">
        <v>2</v>
      </c>
      <c r="JH164" s="627">
        <v>10854</v>
      </c>
      <c r="JI164" s="627">
        <v>0</v>
      </c>
      <c r="JJ164" s="627">
        <v>0</v>
      </c>
      <c r="JK164" s="627">
        <v>0</v>
      </c>
      <c r="JL164" s="627">
        <v>0</v>
      </c>
      <c r="JM164" s="627">
        <v>0</v>
      </c>
      <c r="JN164" s="627">
        <v>0</v>
      </c>
      <c r="JO164" s="627">
        <v>32469</v>
      </c>
      <c r="JP164" s="627">
        <v>0</v>
      </c>
      <c r="JQ164" s="627">
        <v>45.587000000000003</v>
      </c>
      <c r="JR164" s="627">
        <v>57.326000000000001</v>
      </c>
      <c r="JS164" s="627">
        <v>0</v>
      </c>
      <c r="JT164" s="627">
        <v>423748</v>
      </c>
      <c r="JU164" s="627">
        <v>611963</v>
      </c>
      <c r="JV164" s="627">
        <v>24147</v>
      </c>
      <c r="JW164" s="627">
        <v>0</v>
      </c>
      <c r="JX164" s="627">
        <v>0</v>
      </c>
      <c r="JY164" s="627">
        <v>0</v>
      </c>
      <c r="JZ164" s="627">
        <v>0</v>
      </c>
      <c r="KA164" s="627">
        <v>0</v>
      </c>
      <c r="KB164" s="627">
        <v>0</v>
      </c>
      <c r="KC164" s="627">
        <v>0</v>
      </c>
      <c r="KD164" s="627">
        <v>0</v>
      </c>
      <c r="KE164" s="627">
        <v>24147</v>
      </c>
      <c r="KF164" s="627">
        <v>7262</v>
      </c>
      <c r="KG164" s="627">
        <v>0</v>
      </c>
      <c r="KH164" s="627">
        <v>0</v>
      </c>
      <c r="KI164" s="627">
        <v>13202270</v>
      </c>
      <c r="KJ164" s="627">
        <v>0</v>
      </c>
      <c r="KK164" s="627">
        <v>25</v>
      </c>
      <c r="KL164" s="627">
        <v>20</v>
      </c>
      <c r="KM164" s="627">
        <v>15400</v>
      </c>
      <c r="KN164" s="627">
        <v>12320</v>
      </c>
      <c r="KO164" s="627">
        <v>0</v>
      </c>
      <c r="KP164" s="627">
        <v>0</v>
      </c>
      <c r="KQ164" s="627">
        <v>13202270</v>
      </c>
      <c r="KR164" s="627">
        <v>0</v>
      </c>
      <c r="KS164" s="627">
        <v>0</v>
      </c>
      <c r="KT164" s="627">
        <v>0</v>
      </c>
      <c r="KU164" s="627">
        <v>0</v>
      </c>
      <c r="KV164" s="627">
        <v>0</v>
      </c>
      <c r="KW164" s="627">
        <v>0</v>
      </c>
      <c r="KX164" s="627">
        <v>0</v>
      </c>
      <c r="KY164" s="627">
        <v>0</v>
      </c>
      <c r="KZ164" s="627">
        <v>0</v>
      </c>
      <c r="LA164" s="627">
        <v>0</v>
      </c>
      <c r="LB164" s="627">
        <v>0</v>
      </c>
      <c r="LC164" s="627">
        <v>0</v>
      </c>
      <c r="LD164" s="627">
        <v>0</v>
      </c>
      <c r="LE164" s="627">
        <v>0</v>
      </c>
      <c r="LF164" s="627">
        <v>0</v>
      </c>
    </row>
    <row r="165" spans="1:318" x14ac:dyDescent="0.25">
      <c r="A165" s="627">
        <v>42602</v>
      </c>
      <c r="B165" s="627">
        <v>101846</v>
      </c>
      <c r="D165" s="627">
        <v>9</v>
      </c>
      <c r="E165" s="627">
        <v>2024</v>
      </c>
      <c r="F165" s="627">
        <v>6160</v>
      </c>
      <c r="G165" s="627">
        <v>0</v>
      </c>
      <c r="H165" s="627">
        <v>3424.422</v>
      </c>
      <c r="I165" s="627">
        <v>3096.0370000000003</v>
      </c>
      <c r="J165" s="627">
        <v>3096.0370000000003</v>
      </c>
      <c r="K165" s="627">
        <v>3424.422</v>
      </c>
      <c r="L165" s="627">
        <v>0</v>
      </c>
      <c r="M165" s="627">
        <v>6160</v>
      </c>
      <c r="N165" s="627">
        <v>0</v>
      </c>
      <c r="O165" s="627">
        <v>0</v>
      </c>
      <c r="P165" s="627">
        <v>0</v>
      </c>
      <c r="Q165" s="627">
        <v>3302.46</v>
      </c>
      <c r="R165" s="627">
        <v>0</v>
      </c>
      <c r="S165" s="627">
        <v>1370138</v>
      </c>
      <c r="T165" s="627">
        <v>414.88400000000001</v>
      </c>
      <c r="U165" s="627">
        <v>0</v>
      </c>
      <c r="V165" s="627">
        <v>711046</v>
      </c>
      <c r="W165" s="627">
        <v>1441.1560000000002</v>
      </c>
      <c r="X165" s="627">
        <v>887752</v>
      </c>
      <c r="Y165" s="627">
        <v>887752</v>
      </c>
      <c r="Z165" s="627">
        <v>0</v>
      </c>
      <c r="AA165" s="627">
        <v>0</v>
      </c>
      <c r="AB165" s="627">
        <v>0</v>
      </c>
      <c r="AC165" s="627">
        <v>0</v>
      </c>
      <c r="AD165" s="627">
        <v>0</v>
      </c>
      <c r="AE165" s="627" t="s">
        <v>314</v>
      </c>
      <c r="AF165" s="627">
        <v>0</v>
      </c>
      <c r="AG165" s="627">
        <v>0</v>
      </c>
      <c r="AH165" s="627">
        <v>0</v>
      </c>
      <c r="AI165" s="627">
        <v>0</v>
      </c>
      <c r="AJ165" s="627">
        <v>0</v>
      </c>
      <c r="AK165" s="627">
        <v>6160</v>
      </c>
      <c r="AL165" s="627" t="s">
        <v>651</v>
      </c>
      <c r="AM165" s="627" t="s">
        <v>763</v>
      </c>
      <c r="AN165" s="627">
        <v>0</v>
      </c>
      <c r="AO165" s="627">
        <v>0</v>
      </c>
      <c r="AP165" s="627">
        <v>0</v>
      </c>
      <c r="AQ165" s="627">
        <v>0</v>
      </c>
      <c r="AR165" s="627">
        <v>0</v>
      </c>
      <c r="AS165" s="627">
        <v>0</v>
      </c>
      <c r="AT165" s="627">
        <v>0</v>
      </c>
      <c r="AU165" s="627">
        <v>0</v>
      </c>
      <c r="AV165" s="627">
        <v>0</v>
      </c>
      <c r="AW165" s="627">
        <v>0</v>
      </c>
      <c r="AX165" s="627">
        <v>40209820</v>
      </c>
      <c r="AY165" s="627">
        <v>39671065</v>
      </c>
      <c r="AZ165" s="627">
        <v>19933997</v>
      </c>
      <c r="BA165" s="627">
        <v>1370138</v>
      </c>
      <c r="BB165" s="627">
        <v>76.417000000000002</v>
      </c>
      <c r="BC165" s="627">
        <v>72856</v>
      </c>
      <c r="BD165" s="627">
        <v>72391</v>
      </c>
      <c r="BE165" s="627">
        <v>171</v>
      </c>
      <c r="BF165" s="627">
        <v>464</v>
      </c>
      <c r="BG165" s="627">
        <v>35090033</v>
      </c>
      <c r="BH165" s="627">
        <v>0</v>
      </c>
      <c r="BI165" s="627">
        <v>0</v>
      </c>
      <c r="BJ165" s="627">
        <v>0</v>
      </c>
      <c r="BK165" s="627">
        <v>12</v>
      </c>
      <c r="BL165" s="627">
        <v>0</v>
      </c>
      <c r="BM165" s="627">
        <v>0</v>
      </c>
      <c r="BN165" s="627">
        <v>0</v>
      </c>
      <c r="BO165" s="627">
        <v>0</v>
      </c>
      <c r="BP165" s="627">
        <v>0</v>
      </c>
      <c r="BQ165" s="627">
        <v>0</v>
      </c>
      <c r="BR165" s="627">
        <v>293</v>
      </c>
      <c r="BS165" s="627">
        <v>0</v>
      </c>
      <c r="BT165" s="627">
        <v>0</v>
      </c>
      <c r="BU165" s="627">
        <v>0</v>
      </c>
      <c r="BV165" s="627">
        <v>0</v>
      </c>
      <c r="BW165" s="627">
        <v>0</v>
      </c>
      <c r="BX165" s="627">
        <v>0</v>
      </c>
      <c r="BY165" s="627">
        <v>0</v>
      </c>
      <c r="BZ165" s="627">
        <v>0</v>
      </c>
      <c r="CA165" s="627">
        <v>0</v>
      </c>
      <c r="CB165" s="627">
        <v>0</v>
      </c>
      <c r="CC165" s="627">
        <v>0</v>
      </c>
      <c r="CD165" s="627">
        <v>0</v>
      </c>
      <c r="CE165" s="627">
        <v>0</v>
      </c>
      <c r="CF165" s="627">
        <v>0</v>
      </c>
      <c r="CG165" s="627">
        <v>0</v>
      </c>
      <c r="CH165" s="627">
        <v>0</v>
      </c>
      <c r="CI165" s="627">
        <v>547663</v>
      </c>
      <c r="CJ165" s="627">
        <v>0</v>
      </c>
      <c r="CK165" s="627">
        <v>4</v>
      </c>
      <c r="CL165" s="627">
        <v>0</v>
      </c>
      <c r="CM165" s="627">
        <v>0</v>
      </c>
      <c r="CN165" s="627">
        <v>0</v>
      </c>
      <c r="CO165" s="627">
        <v>0</v>
      </c>
      <c r="CP165" s="627">
        <v>1</v>
      </c>
      <c r="CQ165" s="627">
        <v>0</v>
      </c>
      <c r="CR165" s="627">
        <v>0</v>
      </c>
      <c r="CS165" s="627">
        <v>3291.6800000000003</v>
      </c>
      <c r="CT165" s="627">
        <v>0</v>
      </c>
      <c r="CU165" s="627">
        <v>0</v>
      </c>
      <c r="CV165" s="627">
        <v>0</v>
      </c>
      <c r="CW165" s="627">
        <v>0</v>
      </c>
      <c r="CX165" s="627">
        <v>0</v>
      </c>
      <c r="CY165" s="627">
        <v>0</v>
      </c>
      <c r="CZ165" s="627">
        <v>0</v>
      </c>
      <c r="DA165" s="627">
        <v>0</v>
      </c>
      <c r="DB165" s="627">
        <v>0</v>
      </c>
      <c r="DC165" s="627">
        <v>19071588</v>
      </c>
      <c r="DD165" s="627">
        <v>0</v>
      </c>
      <c r="DE165" s="627">
        <v>0</v>
      </c>
      <c r="DF165" s="627">
        <v>4853002</v>
      </c>
      <c r="DG165" s="627">
        <v>4853002</v>
      </c>
      <c r="DH165" s="627">
        <v>787.82500000000005</v>
      </c>
      <c r="DI165" s="627">
        <v>0</v>
      </c>
      <c r="DJ165" s="627">
        <v>0</v>
      </c>
      <c r="DK165" s="627">
        <v>0</v>
      </c>
      <c r="DL165" s="627">
        <v>0</v>
      </c>
      <c r="DM165" s="627">
        <v>0</v>
      </c>
      <c r="DN165" s="627">
        <v>2477344</v>
      </c>
      <c r="DO165" s="627">
        <v>8444</v>
      </c>
      <c r="DP165" s="627">
        <v>0</v>
      </c>
      <c r="DQ165" s="627">
        <v>0</v>
      </c>
      <c r="DR165" s="627">
        <v>0</v>
      </c>
      <c r="DS165" s="627">
        <v>0</v>
      </c>
      <c r="DT165" s="627">
        <v>0</v>
      </c>
      <c r="DU165" s="627">
        <v>0</v>
      </c>
      <c r="DV165" s="627">
        <v>0</v>
      </c>
      <c r="DW165" s="627">
        <v>0</v>
      </c>
      <c r="DX165" s="627">
        <v>0</v>
      </c>
      <c r="DY165" s="627">
        <v>0</v>
      </c>
      <c r="DZ165" s="627">
        <v>0</v>
      </c>
      <c r="EA165" s="627">
        <v>0</v>
      </c>
      <c r="EB165" s="627">
        <v>0.13400000000000001</v>
      </c>
      <c r="EC165" s="627">
        <v>0</v>
      </c>
      <c r="ED165" s="627">
        <v>98.254000000000005</v>
      </c>
      <c r="EE165" s="627">
        <v>696031</v>
      </c>
      <c r="EF165" s="627">
        <v>0</v>
      </c>
      <c r="EG165" s="627">
        <v>0</v>
      </c>
      <c r="EH165" s="627">
        <v>0</v>
      </c>
      <c r="EI165" s="627">
        <v>1789757</v>
      </c>
      <c r="EJ165" s="627">
        <v>0</v>
      </c>
      <c r="EK165" s="627">
        <v>0</v>
      </c>
      <c r="EL165" s="627">
        <v>72.561999999999998</v>
      </c>
      <c r="EM165" s="627">
        <v>0</v>
      </c>
      <c r="EN165" s="627">
        <v>14.783000000000001</v>
      </c>
      <c r="EO165" s="627">
        <v>5.5680000000000005</v>
      </c>
      <c r="EP165" s="627">
        <v>0</v>
      </c>
      <c r="EQ165" s="627">
        <v>0</v>
      </c>
      <c r="ER165" s="627">
        <v>93.047000000000011</v>
      </c>
      <c r="ES165" s="627">
        <v>0</v>
      </c>
      <c r="ET165" s="627">
        <v>290.54500000000002</v>
      </c>
      <c r="EU165" s="627">
        <v>0</v>
      </c>
      <c r="EV165" s="627">
        <v>0</v>
      </c>
      <c r="EW165" s="627">
        <v>0</v>
      </c>
      <c r="EX165" s="627">
        <v>0</v>
      </c>
      <c r="EY165" s="627">
        <v>0</v>
      </c>
      <c r="EZ165" s="627">
        <v>0</v>
      </c>
      <c r="FA165" s="627">
        <v>33743145</v>
      </c>
      <c r="FB165" s="627">
        <v>0</v>
      </c>
      <c r="FC165" s="627">
        <v>35104375</v>
      </c>
      <c r="FD165" s="627">
        <v>0</v>
      </c>
      <c r="FE165" s="627">
        <v>0</v>
      </c>
      <c r="FF165" s="627">
        <v>5052831</v>
      </c>
      <c r="FG165" s="627">
        <v>875089</v>
      </c>
      <c r="FH165" s="627">
        <v>7.0280999999999996E-2</v>
      </c>
      <c r="FI165" s="627">
        <v>3.1172999999999999E-2</v>
      </c>
      <c r="FJ165" s="627">
        <v>0</v>
      </c>
      <c r="FK165" s="627">
        <v>0</v>
      </c>
      <c r="FL165" s="627">
        <v>5696.4340000000002</v>
      </c>
      <c r="FM165" s="627">
        <v>41579958</v>
      </c>
      <c r="FN165" s="627">
        <v>0</v>
      </c>
      <c r="FO165" s="627">
        <v>0</v>
      </c>
      <c r="FP165" s="627">
        <v>0</v>
      </c>
      <c r="FQ165" s="627">
        <v>0</v>
      </c>
      <c r="FR165" s="627">
        <v>0</v>
      </c>
      <c r="FS165" s="627">
        <v>0</v>
      </c>
      <c r="FT165" s="627">
        <v>0</v>
      </c>
      <c r="FU165" s="627">
        <v>0</v>
      </c>
      <c r="FV165" s="627">
        <v>0</v>
      </c>
      <c r="FW165" s="627">
        <v>0</v>
      </c>
      <c r="FX165" s="627">
        <v>0</v>
      </c>
      <c r="FY165" s="627">
        <v>0</v>
      </c>
      <c r="FZ165" s="627">
        <v>0</v>
      </c>
      <c r="GA165" s="627">
        <v>0</v>
      </c>
      <c r="GB165" s="627">
        <v>0</v>
      </c>
      <c r="GC165" s="627">
        <v>2347004</v>
      </c>
      <c r="GD165" s="627">
        <v>2347004</v>
      </c>
      <c r="GE165" s="627">
        <v>235.33800000000002</v>
      </c>
      <c r="GF165" s="627">
        <v>0</v>
      </c>
      <c r="GG165" s="627">
        <v>0</v>
      </c>
      <c r="GH165" s="627">
        <v>0</v>
      </c>
      <c r="GI165" s="627">
        <v>0</v>
      </c>
      <c r="GJ165" s="627">
        <v>0</v>
      </c>
      <c r="GK165" s="627">
        <v>0</v>
      </c>
      <c r="GL165" s="627">
        <v>0</v>
      </c>
      <c r="GM165" s="627">
        <v>0</v>
      </c>
      <c r="GN165" s="627">
        <v>0</v>
      </c>
      <c r="GO165" s="627">
        <v>0</v>
      </c>
      <c r="GP165" s="627">
        <v>0</v>
      </c>
      <c r="GQ165" s="627">
        <v>0</v>
      </c>
      <c r="GR165" s="627">
        <v>39662157</v>
      </c>
      <c r="GS165" s="627">
        <v>0</v>
      </c>
      <c r="GT165" s="627">
        <v>0</v>
      </c>
      <c r="GU165" s="627">
        <v>0</v>
      </c>
      <c r="GV165" s="627">
        <v>0</v>
      </c>
      <c r="GW165" s="627">
        <v>0</v>
      </c>
      <c r="GX165" s="627">
        <v>0</v>
      </c>
      <c r="GY165" s="627">
        <v>0</v>
      </c>
      <c r="GZ165" s="627">
        <v>0</v>
      </c>
      <c r="HA165" s="627">
        <v>0</v>
      </c>
      <c r="HB165" s="627">
        <v>0</v>
      </c>
      <c r="HC165" s="627">
        <v>361151439</v>
      </c>
      <c r="HD165" s="627">
        <v>3.9981999999999997E-2</v>
      </c>
      <c r="HE165" s="627">
        <v>547663</v>
      </c>
      <c r="HF165" s="627">
        <v>0</v>
      </c>
      <c r="HG165" s="627">
        <v>3411833</v>
      </c>
      <c r="HH165" s="627">
        <v>35728</v>
      </c>
      <c r="HI165" s="627">
        <v>576157</v>
      </c>
      <c r="HJ165" s="627">
        <v>0</v>
      </c>
      <c r="HK165" s="627">
        <v>109244</v>
      </c>
      <c r="HL165" s="627">
        <v>13746</v>
      </c>
      <c r="HM165" s="627">
        <v>9504</v>
      </c>
      <c r="HN165" s="627">
        <v>388000</v>
      </c>
      <c r="HO165" s="627">
        <v>851081</v>
      </c>
      <c r="HP165" s="627">
        <v>0</v>
      </c>
      <c r="HQ165" s="627">
        <v>0</v>
      </c>
      <c r="HR165" s="627">
        <v>0</v>
      </c>
      <c r="HS165" s="627">
        <v>0</v>
      </c>
      <c r="HT165" s="627">
        <v>33734237</v>
      </c>
      <c r="HU165" s="627">
        <v>875089</v>
      </c>
      <c r="HV165" s="627">
        <v>0</v>
      </c>
      <c r="HW165" s="627">
        <v>0</v>
      </c>
      <c r="HX165" s="627">
        <v>0</v>
      </c>
      <c r="HY165" s="627">
        <v>345</v>
      </c>
      <c r="HZ165" s="627">
        <v>398</v>
      </c>
      <c r="IA165" s="627">
        <v>728</v>
      </c>
      <c r="IB165" s="627">
        <v>770</v>
      </c>
      <c r="IC165" s="627">
        <v>842</v>
      </c>
      <c r="ID165" s="627">
        <v>3083</v>
      </c>
      <c r="IE165" s="627">
        <v>0</v>
      </c>
      <c r="IF165" s="627">
        <v>0</v>
      </c>
      <c r="IG165" s="627">
        <v>0</v>
      </c>
      <c r="IH165" s="627">
        <v>58</v>
      </c>
      <c r="II165" s="627">
        <v>935.32</v>
      </c>
      <c r="IJ165" s="627">
        <v>0</v>
      </c>
      <c r="IK165" s="627">
        <v>1441.1560000000002</v>
      </c>
      <c r="IL165" s="627">
        <v>0</v>
      </c>
      <c r="IM165" s="627">
        <v>68</v>
      </c>
      <c r="IN165" s="627">
        <v>14</v>
      </c>
      <c r="IO165" s="627">
        <v>3</v>
      </c>
      <c r="IP165" s="627">
        <v>85</v>
      </c>
      <c r="IQ165" s="627">
        <v>0</v>
      </c>
      <c r="IR165" s="627">
        <v>1441.1560000000002</v>
      </c>
      <c r="IS165" s="627">
        <v>887752</v>
      </c>
      <c r="IT165" s="627">
        <v>0</v>
      </c>
      <c r="IU165" s="627">
        <v>340000</v>
      </c>
      <c r="IV165" s="627">
        <v>42000</v>
      </c>
      <c r="IW165" s="627">
        <v>6000</v>
      </c>
      <c r="IX165" s="627">
        <v>6160</v>
      </c>
      <c r="IY165" s="627">
        <v>0</v>
      </c>
      <c r="IZ165" s="627">
        <v>0</v>
      </c>
      <c r="JA165" s="627">
        <v>0</v>
      </c>
      <c r="JB165" s="627">
        <v>0</v>
      </c>
      <c r="JC165" s="627">
        <v>9</v>
      </c>
      <c r="JD165" s="627">
        <v>205512</v>
      </c>
      <c r="JE165" s="627">
        <v>38</v>
      </c>
      <c r="JF165" s="627">
        <v>477123</v>
      </c>
      <c r="JG165" s="627">
        <v>21</v>
      </c>
      <c r="JH165" s="627">
        <v>128946</v>
      </c>
      <c r="JI165" s="627">
        <v>39500</v>
      </c>
      <c r="JJ165" s="627">
        <v>0</v>
      </c>
      <c r="JK165" s="627">
        <v>0</v>
      </c>
      <c r="JL165" s="627">
        <v>0</v>
      </c>
      <c r="JM165" s="627">
        <v>0</v>
      </c>
      <c r="JN165" s="627">
        <v>0</v>
      </c>
      <c r="JO165" s="627">
        <v>32469</v>
      </c>
      <c r="JP165" s="627">
        <v>0</v>
      </c>
      <c r="JQ165" s="627">
        <v>119.78200000000001</v>
      </c>
      <c r="JR165" s="627">
        <v>115.557</v>
      </c>
      <c r="JS165" s="627">
        <v>0</v>
      </c>
      <c r="JT165" s="627">
        <v>1113417</v>
      </c>
      <c r="JU165" s="627">
        <v>1233587</v>
      </c>
      <c r="JV165" s="627">
        <v>73735</v>
      </c>
      <c r="JW165" s="627">
        <v>0</v>
      </c>
      <c r="JX165" s="627">
        <v>0</v>
      </c>
      <c r="JY165" s="627">
        <v>0</v>
      </c>
      <c r="JZ165" s="627">
        <v>0</v>
      </c>
      <c r="KA165" s="627">
        <v>0</v>
      </c>
      <c r="KB165" s="627">
        <v>0</v>
      </c>
      <c r="KC165" s="627">
        <v>0</v>
      </c>
      <c r="KD165" s="627">
        <v>0</v>
      </c>
      <c r="KE165" s="627">
        <v>73735</v>
      </c>
      <c r="KF165" s="627">
        <v>7262</v>
      </c>
      <c r="KG165" s="627">
        <v>0</v>
      </c>
      <c r="KH165" s="627">
        <v>0</v>
      </c>
      <c r="KI165" s="627">
        <v>39662157</v>
      </c>
      <c r="KJ165" s="627">
        <v>0</v>
      </c>
      <c r="KK165" s="627">
        <v>33</v>
      </c>
      <c r="KL165" s="627">
        <v>25</v>
      </c>
      <c r="KM165" s="627">
        <v>20328</v>
      </c>
      <c r="KN165" s="627">
        <v>15400</v>
      </c>
      <c r="KO165" s="627">
        <v>0</v>
      </c>
      <c r="KP165" s="627">
        <v>0</v>
      </c>
      <c r="KQ165" s="627">
        <v>39662157</v>
      </c>
      <c r="KR165" s="627">
        <v>0</v>
      </c>
      <c r="KS165" s="627">
        <v>0</v>
      </c>
      <c r="KT165" s="627">
        <v>0</v>
      </c>
      <c r="KU165" s="627">
        <v>0</v>
      </c>
      <c r="KV165" s="627">
        <v>0</v>
      </c>
      <c r="KW165" s="627">
        <v>0</v>
      </c>
      <c r="KX165" s="627">
        <v>0</v>
      </c>
      <c r="KY165" s="627">
        <v>0</v>
      </c>
      <c r="KZ165" s="627">
        <v>0</v>
      </c>
      <c r="LA165" s="627">
        <v>0</v>
      </c>
      <c r="LB165" s="627">
        <v>0</v>
      </c>
      <c r="LC165" s="627">
        <v>0</v>
      </c>
      <c r="LD165" s="627">
        <v>0</v>
      </c>
      <c r="LE165" s="627">
        <v>0</v>
      </c>
      <c r="LF165" s="627">
        <v>0</v>
      </c>
    </row>
    <row r="166" spans="1:318" x14ac:dyDescent="0.25">
      <c r="A166" s="627">
        <v>42602</v>
      </c>
      <c r="B166" s="627">
        <v>57847</v>
      </c>
      <c r="D166" s="627">
        <v>9</v>
      </c>
      <c r="E166" s="627">
        <v>2024</v>
      </c>
      <c r="F166" s="627">
        <v>6160</v>
      </c>
      <c r="G166" s="627">
        <v>0</v>
      </c>
      <c r="H166" s="627">
        <v>1213.883</v>
      </c>
      <c r="I166" s="627">
        <v>967.03399999999999</v>
      </c>
      <c r="J166" s="627">
        <v>967.03399999999999</v>
      </c>
      <c r="K166" s="627">
        <v>1213.883</v>
      </c>
      <c r="L166" s="627">
        <v>0</v>
      </c>
      <c r="M166" s="627">
        <v>6160</v>
      </c>
      <c r="N166" s="627">
        <v>0</v>
      </c>
      <c r="O166" s="627">
        <v>0</v>
      </c>
      <c r="P166" s="627">
        <v>0</v>
      </c>
      <c r="Q166" s="627">
        <v>1178.4670000000001</v>
      </c>
      <c r="R166" s="627">
        <v>0</v>
      </c>
      <c r="S166" s="627">
        <v>488927</v>
      </c>
      <c r="T166" s="627">
        <v>414.88400000000001</v>
      </c>
      <c r="U166" s="627">
        <v>0</v>
      </c>
      <c r="V166" s="627">
        <v>253733</v>
      </c>
      <c r="W166" s="627">
        <v>37.483000000000004</v>
      </c>
      <c r="X166" s="627">
        <v>23090</v>
      </c>
      <c r="Y166" s="627">
        <v>23090</v>
      </c>
      <c r="Z166" s="627">
        <v>0</v>
      </c>
      <c r="AA166" s="627">
        <v>0</v>
      </c>
      <c r="AB166" s="627">
        <v>0</v>
      </c>
      <c r="AC166" s="627">
        <v>0</v>
      </c>
      <c r="AD166" s="627">
        <v>0</v>
      </c>
      <c r="AE166" s="627" t="s">
        <v>314</v>
      </c>
      <c r="AF166" s="627">
        <v>0</v>
      </c>
      <c r="AG166" s="627">
        <v>0</v>
      </c>
      <c r="AH166" s="627">
        <v>0</v>
      </c>
      <c r="AI166" s="627">
        <v>0</v>
      </c>
      <c r="AJ166" s="627">
        <v>0</v>
      </c>
      <c r="AK166" s="627">
        <v>6160</v>
      </c>
      <c r="AL166" s="627" t="s">
        <v>651</v>
      </c>
      <c r="AM166" s="627" t="s">
        <v>331</v>
      </c>
      <c r="AN166" s="627">
        <v>0</v>
      </c>
      <c r="AO166" s="627">
        <v>0</v>
      </c>
      <c r="AP166" s="627">
        <v>0</v>
      </c>
      <c r="AQ166" s="627">
        <v>0</v>
      </c>
      <c r="AR166" s="627">
        <v>0</v>
      </c>
      <c r="AS166" s="627">
        <v>0</v>
      </c>
      <c r="AT166" s="627">
        <v>0</v>
      </c>
      <c r="AU166" s="627">
        <v>0</v>
      </c>
      <c r="AV166" s="627">
        <v>0</v>
      </c>
      <c r="AW166" s="627">
        <v>0</v>
      </c>
      <c r="AX166" s="627">
        <v>13077029</v>
      </c>
      <c r="AY166" s="627">
        <v>12885826</v>
      </c>
      <c r="AZ166" s="627">
        <v>6559431</v>
      </c>
      <c r="BA166" s="627">
        <v>488927</v>
      </c>
      <c r="BB166" s="627">
        <v>0</v>
      </c>
      <c r="BC166" s="627">
        <v>0</v>
      </c>
      <c r="BD166" s="627">
        <v>0</v>
      </c>
      <c r="BE166" s="627">
        <v>0</v>
      </c>
      <c r="BF166" s="627">
        <v>0</v>
      </c>
      <c r="BG166" s="627">
        <v>11437931</v>
      </c>
      <c r="BH166" s="627">
        <v>0</v>
      </c>
      <c r="BI166" s="627">
        <v>0</v>
      </c>
      <c r="BJ166" s="627">
        <v>0</v>
      </c>
      <c r="BK166" s="627">
        <v>12</v>
      </c>
      <c r="BL166" s="627">
        <v>0</v>
      </c>
      <c r="BM166" s="627">
        <v>0</v>
      </c>
      <c r="BN166" s="627">
        <v>0</v>
      </c>
      <c r="BO166" s="627">
        <v>0</v>
      </c>
      <c r="BP166" s="627">
        <v>0</v>
      </c>
      <c r="BQ166" s="627">
        <v>0</v>
      </c>
      <c r="BR166" s="627">
        <v>621</v>
      </c>
      <c r="BS166" s="627">
        <v>0</v>
      </c>
      <c r="BT166" s="627">
        <v>0</v>
      </c>
      <c r="BU166" s="627">
        <v>0</v>
      </c>
      <c r="BV166" s="627">
        <v>0</v>
      </c>
      <c r="BW166" s="627">
        <v>0</v>
      </c>
      <c r="BX166" s="627">
        <v>0</v>
      </c>
      <c r="BY166" s="627">
        <v>0</v>
      </c>
      <c r="BZ166" s="627">
        <v>0</v>
      </c>
      <c r="CA166" s="627">
        <v>0</v>
      </c>
      <c r="CB166" s="627">
        <v>0</v>
      </c>
      <c r="CC166" s="627">
        <v>0</v>
      </c>
      <c r="CD166" s="627">
        <v>0</v>
      </c>
      <c r="CE166" s="627">
        <v>0</v>
      </c>
      <c r="CF166" s="627">
        <v>0</v>
      </c>
      <c r="CG166" s="627">
        <v>0</v>
      </c>
      <c r="CH166" s="627">
        <v>0</v>
      </c>
      <c r="CI166" s="627">
        <v>194135</v>
      </c>
      <c r="CJ166" s="627">
        <v>0</v>
      </c>
      <c r="CK166" s="627">
        <v>4</v>
      </c>
      <c r="CL166" s="627">
        <v>0</v>
      </c>
      <c r="CM166" s="627">
        <v>0</v>
      </c>
      <c r="CN166" s="627">
        <v>0</v>
      </c>
      <c r="CO166" s="627">
        <v>0</v>
      </c>
      <c r="CP166" s="627">
        <v>1</v>
      </c>
      <c r="CQ166" s="627">
        <v>0</v>
      </c>
      <c r="CR166" s="627">
        <v>0</v>
      </c>
      <c r="CS166" s="627">
        <v>1180.74</v>
      </c>
      <c r="CT166" s="627">
        <v>0</v>
      </c>
      <c r="CU166" s="627">
        <v>0</v>
      </c>
      <c r="CV166" s="627">
        <v>0</v>
      </c>
      <c r="CW166" s="627">
        <v>0</v>
      </c>
      <c r="CX166" s="627">
        <v>0</v>
      </c>
      <c r="CY166" s="627">
        <v>0</v>
      </c>
      <c r="CZ166" s="627">
        <v>0</v>
      </c>
      <c r="DA166" s="627">
        <v>0</v>
      </c>
      <c r="DB166" s="627">
        <v>0</v>
      </c>
      <c r="DC166" s="627">
        <v>5956929</v>
      </c>
      <c r="DD166" s="627">
        <v>0</v>
      </c>
      <c r="DE166" s="627">
        <v>0</v>
      </c>
      <c r="DF166" s="627">
        <v>1002078</v>
      </c>
      <c r="DG166" s="627">
        <v>1002078</v>
      </c>
      <c r="DH166" s="627">
        <v>162.67500000000001</v>
      </c>
      <c r="DI166" s="627">
        <v>0</v>
      </c>
      <c r="DJ166" s="627">
        <v>0</v>
      </c>
      <c r="DK166" s="627">
        <v>0</v>
      </c>
      <c r="DL166" s="627">
        <v>1560</v>
      </c>
      <c r="DM166" s="627">
        <v>0</v>
      </c>
      <c r="DN166" s="627">
        <v>860265</v>
      </c>
      <c r="DO166" s="627">
        <v>2932</v>
      </c>
      <c r="DP166" s="627">
        <v>0</v>
      </c>
      <c r="DQ166" s="627">
        <v>0</v>
      </c>
      <c r="DR166" s="627">
        <v>0</v>
      </c>
      <c r="DS166" s="627">
        <v>0</v>
      </c>
      <c r="DT166" s="627">
        <v>0</v>
      </c>
      <c r="DU166" s="627">
        <v>0</v>
      </c>
      <c r="DV166" s="627">
        <v>0</v>
      </c>
      <c r="DW166" s="627">
        <v>0</v>
      </c>
      <c r="DX166" s="627">
        <v>0</v>
      </c>
      <c r="DY166" s="627">
        <v>0</v>
      </c>
      <c r="DZ166" s="627">
        <v>0</v>
      </c>
      <c r="EA166" s="627">
        <v>0</v>
      </c>
      <c r="EB166" s="627">
        <v>0</v>
      </c>
      <c r="EC166" s="627">
        <v>0</v>
      </c>
      <c r="ED166" s="627">
        <v>64.88300000000001</v>
      </c>
      <c r="EE166" s="627">
        <v>459631</v>
      </c>
      <c r="EF166" s="627">
        <v>0</v>
      </c>
      <c r="EG166" s="627">
        <v>0</v>
      </c>
      <c r="EH166" s="627">
        <v>0</v>
      </c>
      <c r="EI166" s="627">
        <v>403566</v>
      </c>
      <c r="EJ166" s="627">
        <v>0</v>
      </c>
      <c r="EK166" s="627">
        <v>0</v>
      </c>
      <c r="EL166" s="627">
        <v>14.181000000000001</v>
      </c>
      <c r="EM166" s="627">
        <v>0</v>
      </c>
      <c r="EN166" s="627">
        <v>3.2670000000000003</v>
      </c>
      <c r="EO166" s="627">
        <v>2.6340000000000003</v>
      </c>
      <c r="EP166" s="627">
        <v>0</v>
      </c>
      <c r="EQ166" s="627">
        <v>0</v>
      </c>
      <c r="ER166" s="627">
        <v>20.082000000000001</v>
      </c>
      <c r="ES166" s="627">
        <v>0</v>
      </c>
      <c r="ET166" s="627">
        <v>65.51400000000001</v>
      </c>
      <c r="EU166" s="627">
        <v>0</v>
      </c>
      <c r="EV166" s="627">
        <v>0</v>
      </c>
      <c r="EW166" s="627">
        <v>0</v>
      </c>
      <c r="EX166" s="627">
        <v>0</v>
      </c>
      <c r="EY166" s="627">
        <v>0</v>
      </c>
      <c r="EZ166" s="627">
        <v>0</v>
      </c>
      <c r="FA166" s="627">
        <v>10953564</v>
      </c>
      <c r="FB166" s="627">
        <v>0</v>
      </c>
      <c r="FC166" s="627">
        <v>11439559</v>
      </c>
      <c r="FD166" s="627">
        <v>0</v>
      </c>
      <c r="FE166" s="627">
        <v>0</v>
      </c>
      <c r="FF166" s="627">
        <v>1647018</v>
      </c>
      <c r="FG166" s="627">
        <v>285244</v>
      </c>
      <c r="FH166" s="627">
        <v>7.0280999999999996E-2</v>
      </c>
      <c r="FI166" s="627">
        <v>3.1172999999999999E-2</v>
      </c>
      <c r="FJ166" s="627">
        <v>0</v>
      </c>
      <c r="FK166" s="627">
        <v>0</v>
      </c>
      <c r="FL166" s="627">
        <v>1856.807</v>
      </c>
      <c r="FM166" s="627">
        <v>13565956</v>
      </c>
      <c r="FN166" s="627">
        <v>0</v>
      </c>
      <c r="FO166" s="627">
        <v>0</v>
      </c>
      <c r="FP166" s="627">
        <v>0</v>
      </c>
      <c r="FQ166" s="627">
        <v>0</v>
      </c>
      <c r="FR166" s="627">
        <v>0</v>
      </c>
      <c r="FS166" s="627">
        <v>0</v>
      </c>
      <c r="FT166" s="627">
        <v>0</v>
      </c>
      <c r="FU166" s="627">
        <v>0</v>
      </c>
      <c r="FV166" s="627">
        <v>0</v>
      </c>
      <c r="FW166" s="627">
        <v>0</v>
      </c>
      <c r="FX166" s="627">
        <v>0</v>
      </c>
      <c r="FY166" s="627">
        <v>0</v>
      </c>
      <c r="FZ166" s="627">
        <v>0</v>
      </c>
      <c r="GA166" s="627">
        <v>0</v>
      </c>
      <c r="GB166" s="627">
        <v>0</v>
      </c>
      <c r="GC166" s="627">
        <v>2290435</v>
      </c>
      <c r="GD166" s="627">
        <v>2290435</v>
      </c>
      <c r="GE166" s="627">
        <v>226.76700000000002</v>
      </c>
      <c r="GF166" s="627">
        <v>0</v>
      </c>
      <c r="GG166" s="627">
        <v>0</v>
      </c>
      <c r="GH166" s="627">
        <v>0</v>
      </c>
      <c r="GI166" s="627">
        <v>0</v>
      </c>
      <c r="GJ166" s="627">
        <v>0</v>
      </c>
      <c r="GK166" s="627">
        <v>0</v>
      </c>
      <c r="GL166" s="627">
        <v>0</v>
      </c>
      <c r="GM166" s="627">
        <v>0</v>
      </c>
      <c r="GN166" s="627">
        <v>0</v>
      </c>
      <c r="GO166" s="627">
        <v>0</v>
      </c>
      <c r="GP166" s="627">
        <v>0</v>
      </c>
      <c r="GQ166" s="627">
        <v>0</v>
      </c>
      <c r="GR166" s="627">
        <v>12882894</v>
      </c>
      <c r="GS166" s="627">
        <v>0</v>
      </c>
      <c r="GT166" s="627">
        <v>0</v>
      </c>
      <c r="GU166" s="627">
        <v>0</v>
      </c>
      <c r="GV166" s="627">
        <v>0</v>
      </c>
      <c r="GW166" s="627">
        <v>0</v>
      </c>
      <c r="GX166" s="627">
        <v>0</v>
      </c>
      <c r="GY166" s="627">
        <v>0</v>
      </c>
      <c r="GZ166" s="627">
        <v>0</v>
      </c>
      <c r="HA166" s="627">
        <v>0</v>
      </c>
      <c r="HB166" s="627">
        <v>0</v>
      </c>
      <c r="HC166" s="627">
        <v>361151439</v>
      </c>
      <c r="HD166" s="627">
        <v>3.9981999999999997E-2</v>
      </c>
      <c r="HE166" s="627">
        <v>194135</v>
      </c>
      <c r="HF166" s="627">
        <v>0</v>
      </c>
      <c r="HG166" s="627">
        <v>1065671</v>
      </c>
      <c r="HH166" s="627">
        <v>36344</v>
      </c>
      <c r="HI166" s="627">
        <v>135048</v>
      </c>
      <c r="HJ166" s="627">
        <v>0</v>
      </c>
      <c r="HK166" s="627">
        <v>27139</v>
      </c>
      <c r="HL166" s="627">
        <v>2766</v>
      </c>
      <c r="HM166" s="627">
        <v>1794</v>
      </c>
      <c r="HN166" s="627">
        <v>38000</v>
      </c>
      <c r="HO166" s="627">
        <v>0</v>
      </c>
      <c r="HP166" s="627">
        <v>0</v>
      </c>
      <c r="HQ166" s="627">
        <v>0</v>
      </c>
      <c r="HR166" s="627">
        <v>0</v>
      </c>
      <c r="HS166" s="627">
        <v>0</v>
      </c>
      <c r="HT166" s="627">
        <v>10950632</v>
      </c>
      <c r="HU166" s="627">
        <v>285244</v>
      </c>
      <c r="HV166" s="627">
        <v>0</v>
      </c>
      <c r="HW166" s="627">
        <v>0</v>
      </c>
      <c r="HX166" s="627">
        <v>0</v>
      </c>
      <c r="HY166" s="627">
        <v>172</v>
      </c>
      <c r="HZ166" s="627">
        <v>192</v>
      </c>
      <c r="IA166" s="627">
        <v>129</v>
      </c>
      <c r="IB166" s="627">
        <v>116</v>
      </c>
      <c r="IC166" s="627">
        <v>57</v>
      </c>
      <c r="ID166" s="627">
        <v>666</v>
      </c>
      <c r="IE166" s="627">
        <v>0</v>
      </c>
      <c r="IF166" s="627">
        <v>0</v>
      </c>
      <c r="IG166" s="627">
        <v>0</v>
      </c>
      <c r="IH166" s="627">
        <v>59</v>
      </c>
      <c r="II166" s="627">
        <v>219.233</v>
      </c>
      <c r="IJ166" s="627">
        <v>0</v>
      </c>
      <c r="IK166" s="627">
        <v>37.483000000000004</v>
      </c>
      <c r="IL166" s="627">
        <v>0</v>
      </c>
      <c r="IM166" s="627">
        <v>3</v>
      </c>
      <c r="IN166" s="627">
        <v>7</v>
      </c>
      <c r="IO166" s="627">
        <v>1</v>
      </c>
      <c r="IP166" s="627">
        <v>11</v>
      </c>
      <c r="IQ166" s="627">
        <v>0</v>
      </c>
      <c r="IR166" s="627">
        <v>37.483000000000004</v>
      </c>
      <c r="IS166" s="627">
        <v>23090</v>
      </c>
      <c r="IT166" s="627">
        <v>0</v>
      </c>
      <c r="IU166" s="627">
        <v>15000</v>
      </c>
      <c r="IV166" s="627">
        <v>21000</v>
      </c>
      <c r="IW166" s="627">
        <v>2000</v>
      </c>
      <c r="IX166" s="627">
        <v>6160</v>
      </c>
      <c r="IY166" s="627">
        <v>0</v>
      </c>
      <c r="IZ166" s="627">
        <v>0</v>
      </c>
      <c r="JA166" s="627">
        <v>0</v>
      </c>
      <c r="JB166" s="627">
        <v>0</v>
      </c>
      <c r="JC166" s="627">
        <v>0</v>
      </c>
      <c r="JD166" s="627">
        <v>0</v>
      </c>
      <c r="JE166" s="627">
        <v>0</v>
      </c>
      <c r="JF166" s="627">
        <v>0</v>
      </c>
      <c r="JG166" s="627">
        <v>0</v>
      </c>
      <c r="JH166" s="627">
        <v>0</v>
      </c>
      <c r="JI166" s="627">
        <v>0</v>
      </c>
      <c r="JJ166" s="627">
        <v>0</v>
      </c>
      <c r="JK166" s="627">
        <v>0</v>
      </c>
      <c r="JL166" s="627">
        <v>0</v>
      </c>
      <c r="JM166" s="627">
        <v>0</v>
      </c>
      <c r="JN166" s="627">
        <v>0</v>
      </c>
      <c r="JO166" s="627">
        <v>32469</v>
      </c>
      <c r="JP166" s="627">
        <v>0</v>
      </c>
      <c r="JQ166" s="627">
        <v>94.468000000000004</v>
      </c>
      <c r="JR166" s="627">
        <v>132.30000000000001</v>
      </c>
      <c r="JS166" s="627">
        <v>0</v>
      </c>
      <c r="JT166" s="627">
        <v>878114</v>
      </c>
      <c r="JU166" s="627">
        <v>1412321</v>
      </c>
      <c r="JV166" s="627">
        <v>0</v>
      </c>
      <c r="JW166" s="627">
        <v>0</v>
      </c>
      <c r="JX166" s="627">
        <v>0</v>
      </c>
      <c r="JY166" s="627">
        <v>0</v>
      </c>
      <c r="JZ166" s="627">
        <v>0</v>
      </c>
      <c r="KA166" s="627">
        <v>0</v>
      </c>
      <c r="KB166" s="627">
        <v>0</v>
      </c>
      <c r="KC166" s="627">
        <v>0</v>
      </c>
      <c r="KD166" s="627">
        <v>0</v>
      </c>
      <c r="KE166" s="627">
        <v>0</v>
      </c>
      <c r="KF166" s="627">
        <v>7262</v>
      </c>
      <c r="KG166" s="627">
        <v>0</v>
      </c>
      <c r="KH166" s="627">
        <v>0</v>
      </c>
      <c r="KI166" s="627">
        <v>12882894</v>
      </c>
      <c r="KJ166" s="627">
        <v>0</v>
      </c>
      <c r="KK166" s="627">
        <v>22</v>
      </c>
      <c r="KL166" s="627">
        <v>37</v>
      </c>
      <c r="KM166" s="627">
        <v>13552</v>
      </c>
      <c r="KN166" s="627">
        <v>22792</v>
      </c>
      <c r="KO166" s="627">
        <v>0</v>
      </c>
      <c r="KP166" s="627">
        <v>0</v>
      </c>
      <c r="KQ166" s="627">
        <v>12882894</v>
      </c>
      <c r="KR166" s="627">
        <v>0</v>
      </c>
      <c r="KS166" s="627">
        <v>0</v>
      </c>
      <c r="KT166" s="627">
        <v>0</v>
      </c>
      <c r="KU166" s="627">
        <v>0</v>
      </c>
      <c r="KV166" s="627">
        <v>0</v>
      </c>
      <c r="KW166" s="627">
        <v>0</v>
      </c>
      <c r="KX166" s="627">
        <v>0</v>
      </c>
      <c r="KY166" s="627">
        <v>0</v>
      </c>
      <c r="KZ166" s="627">
        <v>0</v>
      </c>
      <c r="LA166" s="627">
        <v>0</v>
      </c>
      <c r="LB166" s="627">
        <v>0</v>
      </c>
      <c r="LC166" s="627">
        <v>0</v>
      </c>
      <c r="LD166" s="627">
        <v>0</v>
      </c>
      <c r="LE166" s="627">
        <v>0</v>
      </c>
      <c r="LF166" s="627">
        <v>0</v>
      </c>
    </row>
    <row r="167" spans="1:318" x14ac:dyDescent="0.25">
      <c r="A167" s="627">
        <v>42602</v>
      </c>
      <c r="B167" s="627">
        <v>101847</v>
      </c>
      <c r="D167" s="627">
        <v>9</v>
      </c>
      <c r="E167" s="627">
        <v>2024</v>
      </c>
      <c r="F167" s="627">
        <v>6160</v>
      </c>
      <c r="G167" s="627">
        <v>0</v>
      </c>
      <c r="H167" s="627">
        <v>442.267</v>
      </c>
      <c r="I167" s="627">
        <v>425.72</v>
      </c>
      <c r="J167" s="627">
        <v>425.72</v>
      </c>
      <c r="K167" s="627">
        <v>442.267</v>
      </c>
      <c r="L167" s="627">
        <v>0</v>
      </c>
      <c r="M167" s="627">
        <v>6160</v>
      </c>
      <c r="N167" s="627">
        <v>0</v>
      </c>
      <c r="O167" s="627">
        <v>0</v>
      </c>
      <c r="P167" s="627">
        <v>0</v>
      </c>
      <c r="Q167" s="627">
        <v>462.16700000000003</v>
      </c>
      <c r="R167" s="627">
        <v>0</v>
      </c>
      <c r="S167" s="627">
        <v>191746</v>
      </c>
      <c r="T167" s="627">
        <v>414.88400000000001</v>
      </c>
      <c r="U167" s="627">
        <v>0</v>
      </c>
      <c r="V167" s="627">
        <v>99509</v>
      </c>
      <c r="W167" s="627">
        <v>0</v>
      </c>
      <c r="X167" s="627">
        <v>0</v>
      </c>
      <c r="Y167" s="627">
        <v>0</v>
      </c>
      <c r="Z167" s="627">
        <v>0</v>
      </c>
      <c r="AA167" s="627">
        <v>0</v>
      </c>
      <c r="AB167" s="627">
        <v>0</v>
      </c>
      <c r="AC167" s="627">
        <v>0</v>
      </c>
      <c r="AD167" s="627">
        <v>0</v>
      </c>
      <c r="AE167" s="627" t="s">
        <v>314</v>
      </c>
      <c r="AF167" s="627">
        <v>0</v>
      </c>
      <c r="AG167" s="627">
        <v>0</v>
      </c>
      <c r="AH167" s="627">
        <v>0</v>
      </c>
      <c r="AI167" s="627">
        <v>0</v>
      </c>
      <c r="AJ167" s="627">
        <v>0</v>
      </c>
      <c r="AK167" s="627">
        <v>6160</v>
      </c>
      <c r="AL167" s="627" t="s">
        <v>651</v>
      </c>
      <c r="AM167" s="627" t="s">
        <v>32</v>
      </c>
      <c r="AN167" s="627">
        <v>0</v>
      </c>
      <c r="AO167" s="627">
        <v>0</v>
      </c>
      <c r="AP167" s="627">
        <v>0</v>
      </c>
      <c r="AQ167" s="627">
        <v>0</v>
      </c>
      <c r="AR167" s="627">
        <v>0</v>
      </c>
      <c r="AS167" s="627">
        <v>0</v>
      </c>
      <c r="AT167" s="627">
        <v>0</v>
      </c>
      <c r="AU167" s="627">
        <v>0</v>
      </c>
      <c r="AV167" s="627">
        <v>0</v>
      </c>
      <c r="AW167" s="627">
        <v>0</v>
      </c>
      <c r="AX167" s="627">
        <v>4762041</v>
      </c>
      <c r="AY167" s="627">
        <v>4692520</v>
      </c>
      <c r="AZ167" s="627">
        <v>2325127</v>
      </c>
      <c r="BA167" s="627">
        <v>191746</v>
      </c>
      <c r="BB167" s="627">
        <v>9.75</v>
      </c>
      <c r="BC167" s="627">
        <v>0</v>
      </c>
      <c r="BD167" s="627">
        <v>0</v>
      </c>
      <c r="BE167" s="627">
        <v>0</v>
      </c>
      <c r="BF167" s="627">
        <v>0</v>
      </c>
      <c r="BG167" s="627">
        <v>4178392</v>
      </c>
      <c r="BH167" s="627">
        <v>0</v>
      </c>
      <c r="BI167" s="627">
        <v>0</v>
      </c>
      <c r="BJ167" s="627">
        <v>0</v>
      </c>
      <c r="BK167" s="627">
        <v>12</v>
      </c>
      <c r="BL167" s="627">
        <v>0</v>
      </c>
      <c r="BM167" s="627">
        <v>0</v>
      </c>
      <c r="BN167" s="627">
        <v>0</v>
      </c>
      <c r="BO167" s="627">
        <v>0</v>
      </c>
      <c r="BP167" s="627">
        <v>0</v>
      </c>
      <c r="BQ167" s="627">
        <v>0</v>
      </c>
      <c r="BR167" s="627">
        <v>704</v>
      </c>
      <c r="BS167" s="627">
        <v>0</v>
      </c>
      <c r="BT167" s="627">
        <v>0</v>
      </c>
      <c r="BU167" s="627">
        <v>0</v>
      </c>
      <c r="BV167" s="627">
        <v>0</v>
      </c>
      <c r="BW167" s="627">
        <v>0</v>
      </c>
      <c r="BX167" s="627">
        <v>0</v>
      </c>
      <c r="BY167" s="627">
        <v>0</v>
      </c>
      <c r="BZ167" s="627">
        <v>0</v>
      </c>
      <c r="CA167" s="627">
        <v>0</v>
      </c>
      <c r="CB167" s="627">
        <v>0</v>
      </c>
      <c r="CC167" s="627">
        <v>0</v>
      </c>
      <c r="CD167" s="627">
        <v>0</v>
      </c>
      <c r="CE167" s="627">
        <v>0</v>
      </c>
      <c r="CF167" s="627">
        <v>0</v>
      </c>
      <c r="CG167" s="627">
        <v>0</v>
      </c>
      <c r="CH167" s="627">
        <v>0</v>
      </c>
      <c r="CI167" s="627">
        <v>70731</v>
      </c>
      <c r="CJ167" s="627">
        <v>0</v>
      </c>
      <c r="CK167" s="627">
        <v>4</v>
      </c>
      <c r="CL167" s="627">
        <v>0</v>
      </c>
      <c r="CM167" s="627">
        <v>0</v>
      </c>
      <c r="CN167" s="627">
        <v>0</v>
      </c>
      <c r="CO167" s="627">
        <v>0</v>
      </c>
      <c r="CP167" s="627">
        <v>1</v>
      </c>
      <c r="CQ167" s="627">
        <v>0</v>
      </c>
      <c r="CR167" s="627">
        <v>0</v>
      </c>
      <c r="CS167" s="627">
        <v>461.8</v>
      </c>
      <c r="CT167" s="627">
        <v>0</v>
      </c>
      <c r="CU167" s="627">
        <v>0</v>
      </c>
      <c r="CV167" s="627">
        <v>0</v>
      </c>
      <c r="CW167" s="627">
        <v>0</v>
      </c>
      <c r="CX167" s="627">
        <v>0</v>
      </c>
      <c r="CY167" s="627">
        <v>0</v>
      </c>
      <c r="CZ167" s="627">
        <v>0</v>
      </c>
      <c r="DA167" s="627">
        <v>0</v>
      </c>
      <c r="DB167" s="627">
        <v>0</v>
      </c>
      <c r="DC167" s="627">
        <v>2622435</v>
      </c>
      <c r="DD167" s="627">
        <v>0</v>
      </c>
      <c r="DE167" s="627">
        <v>0</v>
      </c>
      <c r="DF167" s="627">
        <v>617155</v>
      </c>
      <c r="DG167" s="627">
        <v>617155</v>
      </c>
      <c r="DH167" s="627">
        <v>100.188</v>
      </c>
      <c r="DI167" s="627">
        <v>0</v>
      </c>
      <c r="DJ167" s="627">
        <v>0</v>
      </c>
      <c r="DK167" s="627">
        <v>0</v>
      </c>
      <c r="DL167" s="627">
        <v>2893</v>
      </c>
      <c r="DM167" s="627">
        <v>0</v>
      </c>
      <c r="DN167" s="627">
        <v>355035</v>
      </c>
      <c r="DO167" s="627">
        <v>1210</v>
      </c>
      <c r="DP167" s="627">
        <v>0</v>
      </c>
      <c r="DQ167" s="627">
        <v>0</v>
      </c>
      <c r="DR167" s="627">
        <v>0</v>
      </c>
      <c r="DS167" s="627">
        <v>0</v>
      </c>
      <c r="DT167" s="627">
        <v>0</v>
      </c>
      <c r="DU167" s="627">
        <v>0</v>
      </c>
      <c r="DV167" s="627">
        <v>0</v>
      </c>
      <c r="DW167" s="627">
        <v>0</v>
      </c>
      <c r="DX167" s="627">
        <v>0</v>
      </c>
      <c r="DY167" s="627">
        <v>0</v>
      </c>
      <c r="DZ167" s="627">
        <v>0</v>
      </c>
      <c r="EA167" s="627">
        <v>0</v>
      </c>
      <c r="EB167" s="627">
        <v>0</v>
      </c>
      <c r="EC167" s="627">
        <v>0</v>
      </c>
      <c r="ED167" s="627">
        <v>6.5</v>
      </c>
      <c r="EE167" s="627">
        <v>46046</v>
      </c>
      <c r="EF167" s="627">
        <v>0</v>
      </c>
      <c r="EG167" s="627">
        <v>0</v>
      </c>
      <c r="EH167" s="627">
        <v>0</v>
      </c>
      <c r="EI167" s="627">
        <v>310199</v>
      </c>
      <c r="EJ167" s="627">
        <v>0</v>
      </c>
      <c r="EK167" s="627">
        <v>0</v>
      </c>
      <c r="EL167" s="627">
        <v>16.189</v>
      </c>
      <c r="EM167" s="627">
        <v>0</v>
      </c>
      <c r="EN167" s="627">
        <v>0</v>
      </c>
      <c r="EO167" s="627">
        <v>0.35800000000000004</v>
      </c>
      <c r="EP167" s="627">
        <v>0</v>
      </c>
      <c r="EQ167" s="627">
        <v>0</v>
      </c>
      <c r="ER167" s="627">
        <v>16.547000000000001</v>
      </c>
      <c r="ES167" s="627">
        <v>0</v>
      </c>
      <c r="ET167" s="627">
        <v>50.356999999999999</v>
      </c>
      <c r="EU167" s="627">
        <v>0</v>
      </c>
      <c r="EV167" s="627">
        <v>0</v>
      </c>
      <c r="EW167" s="627">
        <v>0</v>
      </c>
      <c r="EX167" s="627">
        <v>0</v>
      </c>
      <c r="EY167" s="627">
        <v>0</v>
      </c>
      <c r="EZ167" s="627">
        <v>0</v>
      </c>
      <c r="FA167" s="627">
        <v>3986646</v>
      </c>
      <c r="FB167" s="627">
        <v>0</v>
      </c>
      <c r="FC167" s="627">
        <v>4177182</v>
      </c>
      <c r="FD167" s="627">
        <v>0</v>
      </c>
      <c r="FE167" s="627">
        <v>0</v>
      </c>
      <c r="FF167" s="627">
        <v>601672</v>
      </c>
      <c r="FG167" s="627">
        <v>104202</v>
      </c>
      <c r="FH167" s="627">
        <v>7.0280999999999996E-2</v>
      </c>
      <c r="FI167" s="627">
        <v>3.1172999999999999E-2</v>
      </c>
      <c r="FJ167" s="627">
        <v>0</v>
      </c>
      <c r="FK167" s="627">
        <v>0</v>
      </c>
      <c r="FL167" s="627">
        <v>678.31000000000006</v>
      </c>
      <c r="FM167" s="627">
        <v>4953787</v>
      </c>
      <c r="FN167" s="627">
        <v>0</v>
      </c>
      <c r="FO167" s="627">
        <v>0</v>
      </c>
      <c r="FP167" s="627">
        <v>0</v>
      </c>
      <c r="FQ167" s="627">
        <v>0</v>
      </c>
      <c r="FR167" s="627">
        <v>0</v>
      </c>
      <c r="FS167" s="627">
        <v>0</v>
      </c>
      <c r="FT167" s="627">
        <v>0</v>
      </c>
      <c r="FU167" s="627">
        <v>0</v>
      </c>
      <c r="FV167" s="627">
        <v>0</v>
      </c>
      <c r="FW167" s="627">
        <v>0</v>
      </c>
      <c r="FX167" s="627">
        <v>0</v>
      </c>
      <c r="FY167" s="627">
        <v>0</v>
      </c>
      <c r="FZ167" s="627">
        <v>0</v>
      </c>
      <c r="GA167" s="627">
        <v>0</v>
      </c>
      <c r="GB167" s="627">
        <v>0</v>
      </c>
      <c r="GC167" s="627">
        <v>0</v>
      </c>
      <c r="GD167" s="627">
        <v>0</v>
      </c>
      <c r="GE167" s="627">
        <v>0</v>
      </c>
      <c r="GF167" s="627">
        <v>0</v>
      </c>
      <c r="GG167" s="627">
        <v>0</v>
      </c>
      <c r="GH167" s="627">
        <v>0</v>
      </c>
      <c r="GI167" s="627">
        <v>0</v>
      </c>
      <c r="GJ167" s="627">
        <v>0</v>
      </c>
      <c r="GK167" s="627">
        <v>0</v>
      </c>
      <c r="GL167" s="627">
        <v>0</v>
      </c>
      <c r="GM167" s="627">
        <v>0</v>
      </c>
      <c r="GN167" s="627">
        <v>0</v>
      </c>
      <c r="GO167" s="627">
        <v>0</v>
      </c>
      <c r="GP167" s="627">
        <v>0</v>
      </c>
      <c r="GQ167" s="627">
        <v>0</v>
      </c>
      <c r="GR167" s="627">
        <v>4691310</v>
      </c>
      <c r="GS167" s="627">
        <v>0</v>
      </c>
      <c r="GT167" s="627">
        <v>0</v>
      </c>
      <c r="GU167" s="627">
        <v>0</v>
      </c>
      <c r="GV167" s="627">
        <v>0</v>
      </c>
      <c r="GW167" s="627">
        <v>0</v>
      </c>
      <c r="GX167" s="627">
        <v>0</v>
      </c>
      <c r="GY167" s="627">
        <v>0</v>
      </c>
      <c r="GZ167" s="627">
        <v>0</v>
      </c>
      <c r="HA167" s="627">
        <v>0</v>
      </c>
      <c r="HB167" s="627">
        <v>0</v>
      </c>
      <c r="HC167" s="627">
        <v>361151439</v>
      </c>
      <c r="HD167" s="627">
        <v>3.9981999999999997E-2</v>
      </c>
      <c r="HE167" s="627">
        <v>70731</v>
      </c>
      <c r="HF167" s="627">
        <v>0</v>
      </c>
      <c r="HG167" s="627">
        <v>469143</v>
      </c>
      <c r="HH167" s="627">
        <v>0</v>
      </c>
      <c r="HI167" s="627">
        <v>93991</v>
      </c>
      <c r="HJ167" s="627">
        <v>0</v>
      </c>
      <c r="HK167" s="627">
        <v>19423</v>
      </c>
      <c r="HL167" s="627">
        <v>0</v>
      </c>
      <c r="HM167" s="627">
        <v>0</v>
      </c>
      <c r="HN167" s="627">
        <v>0</v>
      </c>
      <c r="HO167" s="627">
        <v>0</v>
      </c>
      <c r="HP167" s="627">
        <v>0</v>
      </c>
      <c r="HQ167" s="627">
        <v>0</v>
      </c>
      <c r="HR167" s="627">
        <v>0</v>
      </c>
      <c r="HS167" s="627">
        <v>0</v>
      </c>
      <c r="HT167" s="627">
        <v>3985436</v>
      </c>
      <c r="HU167" s="627">
        <v>104202</v>
      </c>
      <c r="HV167" s="627">
        <v>0</v>
      </c>
      <c r="HW167" s="627">
        <v>0</v>
      </c>
      <c r="HX167" s="627">
        <v>0</v>
      </c>
      <c r="HY167" s="627">
        <v>37</v>
      </c>
      <c r="HZ167" s="627">
        <v>34</v>
      </c>
      <c r="IA167" s="627">
        <v>58</v>
      </c>
      <c r="IB167" s="627">
        <v>89</v>
      </c>
      <c r="IC167" s="627">
        <v>167</v>
      </c>
      <c r="ID167" s="627">
        <v>385</v>
      </c>
      <c r="IE167" s="627">
        <v>0</v>
      </c>
      <c r="IF167" s="627">
        <v>0</v>
      </c>
      <c r="IG167" s="627">
        <v>0</v>
      </c>
      <c r="IH167" s="627">
        <v>0</v>
      </c>
      <c r="II167" s="627">
        <v>152.583</v>
      </c>
      <c r="IJ167" s="627">
        <v>0</v>
      </c>
      <c r="IK167" s="627">
        <v>0</v>
      </c>
      <c r="IL167" s="627">
        <v>0</v>
      </c>
      <c r="IM167" s="627">
        <v>0</v>
      </c>
      <c r="IN167" s="627">
        <v>0</v>
      </c>
      <c r="IO167" s="627">
        <v>0</v>
      </c>
      <c r="IP167" s="627">
        <v>0</v>
      </c>
      <c r="IQ167" s="627">
        <v>0</v>
      </c>
      <c r="IR167" s="627">
        <v>0</v>
      </c>
      <c r="IS167" s="627">
        <v>0</v>
      </c>
      <c r="IT167" s="627">
        <v>0</v>
      </c>
      <c r="IU167" s="627">
        <v>0</v>
      </c>
      <c r="IV167" s="627">
        <v>0</v>
      </c>
      <c r="IW167" s="627">
        <v>0</v>
      </c>
      <c r="IX167" s="627">
        <v>6160</v>
      </c>
      <c r="IY167" s="627">
        <v>0</v>
      </c>
      <c r="IZ167" s="627">
        <v>0</v>
      </c>
      <c r="JA167" s="627">
        <v>0</v>
      </c>
      <c r="JB167" s="627">
        <v>0</v>
      </c>
      <c r="JC167" s="627">
        <v>0</v>
      </c>
      <c r="JD167" s="627">
        <v>0</v>
      </c>
      <c r="JE167" s="627">
        <v>0</v>
      </c>
      <c r="JF167" s="627">
        <v>0</v>
      </c>
      <c r="JG167" s="627">
        <v>0</v>
      </c>
      <c r="JH167" s="627">
        <v>0</v>
      </c>
      <c r="JI167" s="627">
        <v>0</v>
      </c>
      <c r="JJ167" s="627">
        <v>0</v>
      </c>
      <c r="JK167" s="627">
        <v>0</v>
      </c>
      <c r="JL167" s="627">
        <v>0</v>
      </c>
      <c r="JM167" s="627">
        <v>0</v>
      </c>
      <c r="JN167" s="627">
        <v>0</v>
      </c>
      <c r="JO167" s="627">
        <v>32469</v>
      </c>
      <c r="JP167" s="627">
        <v>0</v>
      </c>
      <c r="JQ167" s="627">
        <v>0</v>
      </c>
      <c r="JR167" s="627">
        <v>0</v>
      </c>
      <c r="JS167" s="627">
        <v>0</v>
      </c>
      <c r="JT167" s="627">
        <v>0</v>
      </c>
      <c r="JU167" s="627">
        <v>0</v>
      </c>
      <c r="JV167" s="627">
        <v>0</v>
      </c>
      <c r="JW167" s="627">
        <v>0</v>
      </c>
      <c r="JX167" s="627">
        <v>0</v>
      </c>
      <c r="JY167" s="627">
        <v>0</v>
      </c>
      <c r="JZ167" s="627">
        <v>0</v>
      </c>
      <c r="KA167" s="627">
        <v>0</v>
      </c>
      <c r="KB167" s="627">
        <v>0</v>
      </c>
      <c r="KC167" s="627">
        <v>0</v>
      </c>
      <c r="KD167" s="627">
        <v>0</v>
      </c>
      <c r="KE167" s="627">
        <v>0</v>
      </c>
      <c r="KF167" s="627">
        <v>7262</v>
      </c>
      <c r="KG167" s="627">
        <v>0</v>
      </c>
      <c r="KH167" s="627">
        <v>0</v>
      </c>
      <c r="KI167" s="627">
        <v>4691310</v>
      </c>
      <c r="KJ167" s="627">
        <v>0</v>
      </c>
      <c r="KK167" s="627">
        <v>0</v>
      </c>
      <c r="KL167" s="627">
        <v>0</v>
      </c>
      <c r="KM167" s="627">
        <v>0</v>
      </c>
      <c r="KN167" s="627">
        <v>0</v>
      </c>
      <c r="KO167" s="627">
        <v>0</v>
      </c>
      <c r="KP167" s="627">
        <v>0</v>
      </c>
      <c r="KQ167" s="627">
        <v>4691310</v>
      </c>
      <c r="KR167" s="627">
        <v>0</v>
      </c>
      <c r="KS167" s="627">
        <v>0</v>
      </c>
      <c r="KT167" s="627">
        <v>0</v>
      </c>
      <c r="KU167" s="627">
        <v>0</v>
      </c>
      <c r="KV167" s="627">
        <v>0</v>
      </c>
      <c r="KW167" s="627">
        <v>0</v>
      </c>
      <c r="KX167" s="627">
        <v>0</v>
      </c>
      <c r="KY167" s="627">
        <v>0</v>
      </c>
      <c r="KZ167" s="627">
        <v>0</v>
      </c>
      <c r="LA167" s="627">
        <v>0</v>
      </c>
      <c r="LB167" s="627">
        <v>0</v>
      </c>
      <c r="LC167" s="627">
        <v>0</v>
      </c>
      <c r="LD167" s="627">
        <v>0</v>
      </c>
      <c r="LE167" s="627">
        <v>0</v>
      </c>
      <c r="LF167" s="627">
        <v>0</v>
      </c>
    </row>
    <row r="168" spans="1:318" x14ac:dyDescent="0.25">
      <c r="A168" s="627">
        <v>42602</v>
      </c>
      <c r="B168" s="627">
        <v>57848</v>
      </c>
      <c r="D168" s="627">
        <v>9</v>
      </c>
      <c r="E168" s="627">
        <v>2024</v>
      </c>
      <c r="F168" s="627">
        <v>6160</v>
      </c>
      <c r="G168" s="627">
        <v>0</v>
      </c>
      <c r="H168" s="627">
        <v>21096.15</v>
      </c>
      <c r="I168" s="627">
        <v>19220.302</v>
      </c>
      <c r="J168" s="627">
        <v>19220.302</v>
      </c>
      <c r="K168" s="627">
        <v>21096.15</v>
      </c>
      <c r="L168" s="627">
        <v>0</v>
      </c>
      <c r="M168" s="627">
        <v>6160</v>
      </c>
      <c r="N168" s="627">
        <v>0</v>
      </c>
      <c r="O168" s="627">
        <v>0</v>
      </c>
      <c r="P168" s="627">
        <v>0</v>
      </c>
      <c r="Q168" s="627">
        <v>20608.017</v>
      </c>
      <c r="R168" s="627">
        <v>0</v>
      </c>
      <c r="S168" s="627">
        <v>8549937</v>
      </c>
      <c r="T168" s="627">
        <v>414.88400000000001</v>
      </c>
      <c r="U168" s="627">
        <v>0</v>
      </c>
      <c r="V168" s="627">
        <v>4437069</v>
      </c>
      <c r="W168" s="627">
        <v>9027.7330000000002</v>
      </c>
      <c r="X168" s="627">
        <v>5618952</v>
      </c>
      <c r="Y168" s="627">
        <v>5618952</v>
      </c>
      <c r="Z168" s="627">
        <v>0</v>
      </c>
      <c r="AA168" s="627">
        <v>0</v>
      </c>
      <c r="AB168" s="627">
        <v>0</v>
      </c>
      <c r="AC168" s="627">
        <v>0</v>
      </c>
      <c r="AD168" s="627">
        <v>0</v>
      </c>
      <c r="AE168" s="627" t="s">
        <v>314</v>
      </c>
      <c r="AF168" s="627">
        <v>0</v>
      </c>
      <c r="AG168" s="627">
        <v>0</v>
      </c>
      <c r="AH168" s="627">
        <v>0</v>
      </c>
      <c r="AI168" s="627">
        <v>0</v>
      </c>
      <c r="AJ168" s="627">
        <v>0</v>
      </c>
      <c r="AK168" s="627">
        <v>6160</v>
      </c>
      <c r="AL168" s="627" t="s">
        <v>651</v>
      </c>
      <c r="AM168" s="627" t="s">
        <v>457</v>
      </c>
      <c r="AN168" s="627">
        <v>0</v>
      </c>
      <c r="AO168" s="627">
        <v>0</v>
      </c>
      <c r="AP168" s="627">
        <v>0</v>
      </c>
      <c r="AQ168" s="627">
        <v>0</v>
      </c>
      <c r="AR168" s="627">
        <v>0</v>
      </c>
      <c r="AS168" s="627">
        <v>0</v>
      </c>
      <c r="AT168" s="627">
        <v>0</v>
      </c>
      <c r="AU168" s="627">
        <v>0</v>
      </c>
      <c r="AV168" s="627">
        <v>0</v>
      </c>
      <c r="AW168" s="627">
        <v>0</v>
      </c>
      <c r="AX168" s="627">
        <v>238038918</v>
      </c>
      <c r="AY168" s="627">
        <v>234713670</v>
      </c>
      <c r="AZ168" s="627">
        <v>117984426</v>
      </c>
      <c r="BA168" s="627">
        <v>8549937</v>
      </c>
      <c r="BB168" s="627">
        <v>0</v>
      </c>
      <c r="BC168" s="627">
        <v>449410</v>
      </c>
      <c r="BD168" s="627">
        <v>446545</v>
      </c>
      <c r="BE168" s="627">
        <v>1054.808</v>
      </c>
      <c r="BF168" s="627">
        <v>2865</v>
      </c>
      <c r="BG168" s="627">
        <v>206460073</v>
      </c>
      <c r="BH168" s="627">
        <v>0</v>
      </c>
      <c r="BI168" s="627">
        <v>0</v>
      </c>
      <c r="BJ168" s="627">
        <v>0</v>
      </c>
      <c r="BK168" s="627">
        <v>12</v>
      </c>
      <c r="BL168" s="627">
        <v>0</v>
      </c>
      <c r="BM168" s="627">
        <v>0</v>
      </c>
      <c r="BN168" s="627">
        <v>0</v>
      </c>
      <c r="BO168" s="627">
        <v>0</v>
      </c>
      <c r="BP168" s="627">
        <v>0</v>
      </c>
      <c r="BQ168" s="627">
        <v>0</v>
      </c>
      <c r="BR168" s="627">
        <v>0</v>
      </c>
      <c r="BS168" s="627">
        <v>0</v>
      </c>
      <c r="BT168" s="627">
        <v>0</v>
      </c>
      <c r="BU168" s="627">
        <v>0</v>
      </c>
      <c r="BV168" s="627">
        <v>0</v>
      </c>
      <c r="BW168" s="627">
        <v>0</v>
      </c>
      <c r="BX168" s="627">
        <v>0</v>
      </c>
      <c r="BY168" s="627">
        <v>0</v>
      </c>
      <c r="BZ168" s="627">
        <v>0</v>
      </c>
      <c r="CA168" s="627">
        <v>0</v>
      </c>
      <c r="CB168" s="627">
        <v>1836.039</v>
      </c>
      <c r="CC168" s="627">
        <v>1836039</v>
      </c>
      <c r="CD168" s="627">
        <v>0</v>
      </c>
      <c r="CE168" s="627">
        <v>0</v>
      </c>
      <c r="CF168" s="627">
        <v>0</v>
      </c>
      <c r="CG168" s="627">
        <v>0</v>
      </c>
      <c r="CH168" s="627">
        <v>0</v>
      </c>
      <c r="CI168" s="627">
        <v>3373879</v>
      </c>
      <c r="CJ168" s="627">
        <v>0</v>
      </c>
      <c r="CK168" s="627">
        <v>4</v>
      </c>
      <c r="CL168" s="627">
        <v>0</v>
      </c>
      <c r="CM168" s="627">
        <v>0</v>
      </c>
      <c r="CN168" s="627">
        <v>0</v>
      </c>
      <c r="CO168" s="627">
        <v>0</v>
      </c>
      <c r="CP168" s="627">
        <v>1</v>
      </c>
      <c r="CQ168" s="627">
        <v>0</v>
      </c>
      <c r="CR168" s="627">
        <v>0</v>
      </c>
      <c r="CS168" s="627">
        <v>20553.72</v>
      </c>
      <c r="CT168" s="627">
        <v>0</v>
      </c>
      <c r="CU168" s="627">
        <v>0</v>
      </c>
      <c r="CV168" s="627">
        <v>0</v>
      </c>
      <c r="CW168" s="627">
        <v>0</v>
      </c>
      <c r="CX168" s="627">
        <v>0</v>
      </c>
      <c r="CY168" s="627">
        <v>0</v>
      </c>
      <c r="CZ168" s="627">
        <v>0</v>
      </c>
      <c r="DA168" s="627">
        <v>0</v>
      </c>
      <c r="DB168" s="627">
        <v>0</v>
      </c>
      <c r="DC168" s="627">
        <v>118397060</v>
      </c>
      <c r="DD168" s="627">
        <v>0</v>
      </c>
      <c r="DE168" s="627">
        <v>0</v>
      </c>
      <c r="DF168" s="627">
        <v>26040399</v>
      </c>
      <c r="DG168" s="627">
        <v>26040399</v>
      </c>
      <c r="DH168" s="627">
        <v>4227.3380000000006</v>
      </c>
      <c r="DI168" s="627">
        <v>0</v>
      </c>
      <c r="DJ168" s="627">
        <v>0</v>
      </c>
      <c r="DK168" s="627">
        <v>0</v>
      </c>
      <c r="DL168" s="627">
        <v>0</v>
      </c>
      <c r="DM168" s="627">
        <v>0</v>
      </c>
      <c r="DN168" s="627">
        <v>13427602</v>
      </c>
      <c r="DO168" s="627">
        <v>45766</v>
      </c>
      <c r="DP168" s="627">
        <v>0</v>
      </c>
      <c r="DQ168" s="627">
        <v>0</v>
      </c>
      <c r="DR168" s="627">
        <v>0</v>
      </c>
      <c r="DS168" s="627">
        <v>0</v>
      </c>
      <c r="DT168" s="627">
        <v>0</v>
      </c>
      <c r="DU168" s="627">
        <v>0</v>
      </c>
      <c r="DV168" s="627">
        <v>0</v>
      </c>
      <c r="DW168" s="627">
        <v>0</v>
      </c>
      <c r="DX168" s="627">
        <v>0</v>
      </c>
      <c r="DY168" s="627">
        <v>0</v>
      </c>
      <c r="DZ168" s="627">
        <v>0</v>
      </c>
      <c r="EA168" s="627">
        <v>0</v>
      </c>
      <c r="EB168" s="627">
        <v>0.12200000000000001</v>
      </c>
      <c r="EC168" s="627">
        <v>0</v>
      </c>
      <c r="ED168" s="627">
        <v>450.16700000000003</v>
      </c>
      <c r="EE168" s="627">
        <v>3188983</v>
      </c>
      <c r="EF168" s="627">
        <v>0</v>
      </c>
      <c r="EG168" s="627">
        <v>0</v>
      </c>
      <c r="EH168" s="627">
        <v>0</v>
      </c>
      <c r="EI168" s="627">
        <v>10284385</v>
      </c>
      <c r="EJ168" s="627">
        <v>0</v>
      </c>
      <c r="EK168" s="627">
        <v>0</v>
      </c>
      <c r="EL168" s="627">
        <v>425.32300000000004</v>
      </c>
      <c r="EM168" s="627">
        <v>2.5000000000000001E-2</v>
      </c>
      <c r="EN168" s="627">
        <v>65.233000000000004</v>
      </c>
      <c r="EO168" s="627">
        <v>39.453000000000003</v>
      </c>
      <c r="EP168" s="627">
        <v>0</v>
      </c>
      <c r="EQ168" s="627">
        <v>0</v>
      </c>
      <c r="ER168" s="627">
        <v>530.13099999999997</v>
      </c>
      <c r="ES168" s="627">
        <v>0</v>
      </c>
      <c r="ET168" s="627">
        <v>1669.5430000000001</v>
      </c>
      <c r="EU168" s="627">
        <v>0</v>
      </c>
      <c r="EV168" s="627">
        <v>0</v>
      </c>
      <c r="EW168" s="627">
        <v>0</v>
      </c>
      <c r="EX168" s="627">
        <v>0</v>
      </c>
      <c r="EY168" s="627">
        <v>0</v>
      </c>
      <c r="EZ168" s="627">
        <v>0</v>
      </c>
      <c r="FA168" s="627">
        <v>199835423</v>
      </c>
      <c r="FB168" s="627">
        <v>0</v>
      </c>
      <c r="FC168" s="627">
        <v>208336729</v>
      </c>
      <c r="FD168" s="627">
        <v>0</v>
      </c>
      <c r="FE168" s="627">
        <v>0</v>
      </c>
      <c r="FF168" s="627">
        <v>29729463</v>
      </c>
      <c r="FG168" s="627">
        <v>5148784</v>
      </c>
      <c r="FH168" s="627">
        <v>7.0280999999999996E-2</v>
      </c>
      <c r="FI168" s="627">
        <v>3.1172999999999999E-2</v>
      </c>
      <c r="FJ168" s="627">
        <v>0</v>
      </c>
      <c r="FK168" s="627">
        <v>0</v>
      </c>
      <c r="FL168" s="627">
        <v>33516.245999999999</v>
      </c>
      <c r="FM168" s="627">
        <v>246588855</v>
      </c>
      <c r="FN168" s="627">
        <v>0</v>
      </c>
      <c r="FO168" s="627">
        <v>0</v>
      </c>
      <c r="FP168" s="627">
        <v>11688</v>
      </c>
      <c r="FQ168" s="627">
        <v>0</v>
      </c>
      <c r="FR168" s="627">
        <v>11688</v>
      </c>
      <c r="FS168" s="627">
        <v>11688</v>
      </c>
      <c r="FT168" s="627">
        <v>0</v>
      </c>
      <c r="FU168" s="627">
        <v>0</v>
      </c>
      <c r="FV168" s="627">
        <v>0</v>
      </c>
      <c r="FW168" s="627">
        <v>0</v>
      </c>
      <c r="FX168" s="627">
        <v>0</v>
      </c>
      <c r="FY168" s="627">
        <v>0</v>
      </c>
      <c r="FZ168" s="627">
        <v>0</v>
      </c>
      <c r="GA168" s="627">
        <v>0</v>
      </c>
      <c r="GB168" s="627">
        <v>0</v>
      </c>
      <c r="GC168" s="627">
        <v>12756896</v>
      </c>
      <c r="GD168" s="627">
        <v>12756896</v>
      </c>
      <c r="GE168" s="627">
        <v>1345.7170000000001</v>
      </c>
      <c r="GF168" s="627">
        <v>0</v>
      </c>
      <c r="GG168" s="627">
        <v>0</v>
      </c>
      <c r="GH168" s="627">
        <v>0</v>
      </c>
      <c r="GI168" s="627">
        <v>0</v>
      </c>
      <c r="GJ168" s="627">
        <v>0</v>
      </c>
      <c r="GK168" s="627">
        <v>0</v>
      </c>
      <c r="GL168" s="627">
        <v>0</v>
      </c>
      <c r="GM168" s="627">
        <v>0</v>
      </c>
      <c r="GN168" s="627">
        <v>0</v>
      </c>
      <c r="GO168" s="627">
        <v>0</v>
      </c>
      <c r="GP168" s="627">
        <v>0</v>
      </c>
      <c r="GQ168" s="627">
        <v>0</v>
      </c>
      <c r="GR168" s="627">
        <v>234665039</v>
      </c>
      <c r="GS168" s="627">
        <v>0</v>
      </c>
      <c r="GT168" s="627">
        <v>0</v>
      </c>
      <c r="GU168" s="627">
        <v>0</v>
      </c>
      <c r="GV168" s="627">
        <v>0</v>
      </c>
      <c r="GW168" s="627">
        <v>0</v>
      </c>
      <c r="GX168" s="627">
        <v>0</v>
      </c>
      <c r="GY168" s="627">
        <v>0</v>
      </c>
      <c r="GZ168" s="627">
        <v>0</v>
      </c>
      <c r="HA168" s="627">
        <v>0</v>
      </c>
      <c r="HB168" s="627">
        <v>0</v>
      </c>
      <c r="HC168" s="627">
        <v>361151439</v>
      </c>
      <c r="HD168" s="627">
        <v>3.9981999999999997E-2</v>
      </c>
      <c r="HE168" s="627">
        <v>3373879</v>
      </c>
      <c r="HF168" s="627">
        <v>0</v>
      </c>
      <c r="HG168" s="627">
        <v>21180773</v>
      </c>
      <c r="HH168" s="627">
        <v>333256</v>
      </c>
      <c r="HI168" s="627">
        <v>5142820</v>
      </c>
      <c r="HJ168" s="627">
        <v>0</v>
      </c>
      <c r="HK168" s="627">
        <v>735962</v>
      </c>
      <c r="HL168" s="627">
        <v>45066</v>
      </c>
      <c r="HM168" s="627">
        <v>32494</v>
      </c>
      <c r="HN168" s="627">
        <v>260000</v>
      </c>
      <c r="HO168" s="627">
        <v>2071177</v>
      </c>
      <c r="HP168" s="627">
        <v>0</v>
      </c>
      <c r="HQ168" s="627">
        <v>0</v>
      </c>
      <c r="HR168" s="627">
        <v>0</v>
      </c>
      <c r="HS168" s="627">
        <v>0</v>
      </c>
      <c r="HT168" s="627">
        <v>199786792</v>
      </c>
      <c r="HU168" s="627">
        <v>5148784</v>
      </c>
      <c r="HV168" s="627">
        <v>0</v>
      </c>
      <c r="HW168" s="627">
        <v>0</v>
      </c>
      <c r="HX168" s="627">
        <v>0</v>
      </c>
      <c r="HY168" s="627">
        <v>3811</v>
      </c>
      <c r="HZ168" s="627">
        <v>2818</v>
      </c>
      <c r="IA168" s="627">
        <v>4679</v>
      </c>
      <c r="IB168" s="627">
        <v>3065</v>
      </c>
      <c r="IC168" s="627">
        <v>2641</v>
      </c>
      <c r="ID168" s="627">
        <v>17014</v>
      </c>
      <c r="IE168" s="627">
        <v>0</v>
      </c>
      <c r="IF168" s="627">
        <v>31.117000000000001</v>
      </c>
      <c r="IG168" s="627">
        <v>94.533000000000001</v>
      </c>
      <c r="IH168" s="627">
        <v>541</v>
      </c>
      <c r="II168" s="627">
        <v>8348.7330000000002</v>
      </c>
      <c r="IJ168" s="627">
        <v>0</v>
      </c>
      <c r="IK168" s="627">
        <v>9153.3829999999998</v>
      </c>
      <c r="IL168" s="627">
        <v>0</v>
      </c>
      <c r="IM168" s="627">
        <v>39</v>
      </c>
      <c r="IN168" s="627">
        <v>21</v>
      </c>
      <c r="IO168" s="627">
        <v>1</v>
      </c>
      <c r="IP168" s="627">
        <v>61</v>
      </c>
      <c r="IQ168" s="627">
        <v>0</v>
      </c>
      <c r="IR168" s="627">
        <v>9027.7330000000002</v>
      </c>
      <c r="IS168" s="627">
        <v>5561084</v>
      </c>
      <c r="IT168" s="627">
        <v>0</v>
      </c>
      <c r="IU168" s="627">
        <v>195000</v>
      </c>
      <c r="IV168" s="627">
        <v>63000</v>
      </c>
      <c r="IW168" s="627">
        <v>2000</v>
      </c>
      <c r="IX168" s="627">
        <v>6160</v>
      </c>
      <c r="IY168" s="627">
        <v>28752</v>
      </c>
      <c r="IZ168" s="627">
        <v>29116</v>
      </c>
      <c r="JA168" s="627">
        <v>0</v>
      </c>
      <c r="JB168" s="627">
        <v>0</v>
      </c>
      <c r="JC168" s="627">
        <v>39</v>
      </c>
      <c r="JD168" s="627">
        <v>757307</v>
      </c>
      <c r="JE168" s="627">
        <v>92</v>
      </c>
      <c r="JF168" s="627">
        <v>897030</v>
      </c>
      <c r="JG168" s="627">
        <v>65</v>
      </c>
      <c r="JH168" s="627">
        <v>319340</v>
      </c>
      <c r="JI168" s="627">
        <v>97500</v>
      </c>
      <c r="JJ168" s="627">
        <v>0</v>
      </c>
      <c r="JK168" s="627">
        <v>0</v>
      </c>
      <c r="JL168" s="627">
        <v>0</v>
      </c>
      <c r="JM168" s="627">
        <v>0</v>
      </c>
      <c r="JN168" s="627">
        <v>0</v>
      </c>
      <c r="JO168" s="627">
        <v>39895</v>
      </c>
      <c r="JP168" s="627">
        <v>181.71300000000002</v>
      </c>
      <c r="JQ168" s="627">
        <v>812.14400000000001</v>
      </c>
      <c r="JR168" s="627">
        <v>351.86099999999999</v>
      </c>
      <c r="JS168" s="627">
        <v>1451560</v>
      </c>
      <c r="JT168" s="627">
        <v>7549171</v>
      </c>
      <c r="JU168" s="627">
        <v>3756165</v>
      </c>
      <c r="JV168" s="627">
        <v>454833</v>
      </c>
      <c r="JW168" s="627">
        <v>0</v>
      </c>
      <c r="JX168" s="627">
        <v>0</v>
      </c>
      <c r="JY168" s="627">
        <v>0</v>
      </c>
      <c r="JZ168" s="627">
        <v>0</v>
      </c>
      <c r="KA168" s="627">
        <v>0</v>
      </c>
      <c r="KB168" s="627">
        <v>0</v>
      </c>
      <c r="KC168" s="627">
        <v>0</v>
      </c>
      <c r="KD168" s="627">
        <v>0</v>
      </c>
      <c r="KE168" s="627">
        <v>454916</v>
      </c>
      <c r="KF168" s="627">
        <v>7262</v>
      </c>
      <c r="KG168" s="627">
        <v>0</v>
      </c>
      <c r="KH168" s="627">
        <v>0</v>
      </c>
      <c r="KI168" s="627">
        <v>234665039</v>
      </c>
      <c r="KJ168" s="627">
        <v>0</v>
      </c>
      <c r="KK168" s="627">
        <v>325</v>
      </c>
      <c r="KL168" s="627">
        <v>216</v>
      </c>
      <c r="KM168" s="627">
        <v>200200</v>
      </c>
      <c r="KN168" s="627">
        <v>133056</v>
      </c>
      <c r="KO168" s="627">
        <v>0</v>
      </c>
      <c r="KP168" s="627">
        <v>0</v>
      </c>
      <c r="KQ168" s="627">
        <v>234665039</v>
      </c>
      <c r="KR168" s="627">
        <v>0</v>
      </c>
      <c r="KS168" s="627">
        <v>0</v>
      </c>
      <c r="KT168" s="627">
        <v>0</v>
      </c>
      <c r="KU168" s="627">
        <v>0</v>
      </c>
      <c r="KV168" s="627">
        <v>0</v>
      </c>
      <c r="KW168" s="627">
        <v>0</v>
      </c>
      <c r="KX168" s="627">
        <v>0</v>
      </c>
      <c r="KY168" s="627">
        <v>0</v>
      </c>
      <c r="KZ168" s="627">
        <v>0</v>
      </c>
      <c r="LA168" s="627">
        <v>0</v>
      </c>
      <c r="LB168" s="627">
        <v>0</v>
      </c>
      <c r="LC168" s="627">
        <v>0</v>
      </c>
      <c r="LD168" s="627">
        <v>0</v>
      </c>
      <c r="LE168" s="627">
        <v>0</v>
      </c>
      <c r="LF168" s="627">
        <v>0</v>
      </c>
    </row>
    <row r="169" spans="1:318" x14ac:dyDescent="0.25">
      <c r="A169" s="627">
        <v>42602</v>
      </c>
      <c r="B169" s="627">
        <v>101849</v>
      </c>
      <c r="D169" s="627">
        <v>9</v>
      </c>
      <c r="E169" s="627">
        <v>2024</v>
      </c>
      <c r="F169" s="627">
        <v>6160</v>
      </c>
      <c r="G169" s="627">
        <v>0</v>
      </c>
      <c r="H169" s="627">
        <v>155.45000000000002</v>
      </c>
      <c r="I169" s="627">
        <v>155.01300000000001</v>
      </c>
      <c r="J169" s="627">
        <v>155.01300000000001</v>
      </c>
      <c r="K169" s="627">
        <v>155.45000000000002</v>
      </c>
      <c r="L169" s="627">
        <v>0</v>
      </c>
      <c r="M169" s="627">
        <v>6160</v>
      </c>
      <c r="N169" s="627">
        <v>0</v>
      </c>
      <c r="O169" s="627">
        <v>0</v>
      </c>
      <c r="P169" s="627">
        <v>0</v>
      </c>
      <c r="Q169" s="627">
        <v>120.94800000000001</v>
      </c>
      <c r="R169" s="627">
        <v>0</v>
      </c>
      <c r="S169" s="627">
        <v>50179</v>
      </c>
      <c r="T169" s="627">
        <v>414.88400000000001</v>
      </c>
      <c r="U169" s="627">
        <v>0</v>
      </c>
      <c r="V169" s="627">
        <v>26041</v>
      </c>
      <c r="W169" s="627">
        <v>55.595000000000006</v>
      </c>
      <c r="X169" s="627">
        <v>34247</v>
      </c>
      <c r="Y169" s="627">
        <v>34247</v>
      </c>
      <c r="Z169" s="627">
        <v>0</v>
      </c>
      <c r="AA169" s="627">
        <v>0</v>
      </c>
      <c r="AB169" s="627">
        <v>0</v>
      </c>
      <c r="AC169" s="627">
        <v>0</v>
      </c>
      <c r="AD169" s="627">
        <v>0</v>
      </c>
      <c r="AE169" s="627" t="s">
        <v>314</v>
      </c>
      <c r="AF169" s="627">
        <v>0</v>
      </c>
      <c r="AG169" s="627">
        <v>0</v>
      </c>
      <c r="AH169" s="627">
        <v>0</v>
      </c>
      <c r="AI169" s="627">
        <v>0</v>
      </c>
      <c r="AJ169" s="627">
        <v>0</v>
      </c>
      <c r="AK169" s="627">
        <v>6160</v>
      </c>
      <c r="AL169" s="627" t="s">
        <v>651</v>
      </c>
      <c r="AM169" s="627" t="s">
        <v>14</v>
      </c>
      <c r="AN169" s="627">
        <v>0</v>
      </c>
      <c r="AO169" s="627">
        <v>0</v>
      </c>
      <c r="AP169" s="627">
        <v>0</v>
      </c>
      <c r="AQ169" s="627">
        <v>0</v>
      </c>
      <c r="AR169" s="627">
        <v>0</v>
      </c>
      <c r="AS169" s="627">
        <v>0</v>
      </c>
      <c r="AT169" s="627">
        <v>0</v>
      </c>
      <c r="AU169" s="627">
        <v>0</v>
      </c>
      <c r="AV169" s="627">
        <v>0</v>
      </c>
      <c r="AW169" s="627">
        <v>0</v>
      </c>
      <c r="AX169" s="627">
        <v>1948548</v>
      </c>
      <c r="AY169" s="627">
        <v>1923722</v>
      </c>
      <c r="AZ169" s="627">
        <v>852233</v>
      </c>
      <c r="BA169" s="627">
        <v>50179</v>
      </c>
      <c r="BB169" s="627">
        <v>13.417</v>
      </c>
      <c r="BC169" s="627">
        <v>0</v>
      </c>
      <c r="BD169" s="627">
        <v>0</v>
      </c>
      <c r="BE169" s="627">
        <v>0</v>
      </c>
      <c r="BF169" s="627">
        <v>0</v>
      </c>
      <c r="BG169" s="627">
        <v>1543410</v>
      </c>
      <c r="BH169" s="627">
        <v>0</v>
      </c>
      <c r="BI169" s="627">
        <v>0</v>
      </c>
      <c r="BJ169" s="627">
        <v>0</v>
      </c>
      <c r="BK169" s="627">
        <v>12</v>
      </c>
      <c r="BL169" s="627">
        <v>0</v>
      </c>
      <c r="BM169" s="627">
        <v>0</v>
      </c>
      <c r="BN169" s="627">
        <v>0</v>
      </c>
      <c r="BO169" s="627">
        <v>0</v>
      </c>
      <c r="BP169" s="627">
        <v>0</v>
      </c>
      <c r="BQ169" s="627">
        <v>0</v>
      </c>
      <c r="BR169" s="627">
        <v>746</v>
      </c>
      <c r="BS169" s="627">
        <v>0</v>
      </c>
      <c r="BT169" s="627">
        <v>0</v>
      </c>
      <c r="BU169" s="627">
        <v>0</v>
      </c>
      <c r="BV169" s="627">
        <v>0</v>
      </c>
      <c r="BW169" s="627">
        <v>0</v>
      </c>
      <c r="BX169" s="627">
        <v>0</v>
      </c>
      <c r="BY169" s="627">
        <v>0</v>
      </c>
      <c r="BZ169" s="627">
        <v>0</v>
      </c>
      <c r="CA169" s="627">
        <v>0</v>
      </c>
      <c r="CB169" s="627">
        <v>169.755</v>
      </c>
      <c r="CC169" s="627">
        <v>169755</v>
      </c>
      <c r="CD169" s="627">
        <v>0</v>
      </c>
      <c r="CE169" s="627">
        <v>0</v>
      </c>
      <c r="CF169" s="627">
        <v>0</v>
      </c>
      <c r="CG169" s="627">
        <v>0</v>
      </c>
      <c r="CH169" s="627">
        <v>0</v>
      </c>
      <c r="CI169" s="627">
        <v>24861</v>
      </c>
      <c r="CJ169" s="627">
        <v>0</v>
      </c>
      <c r="CK169" s="627">
        <v>4</v>
      </c>
      <c r="CL169" s="627">
        <v>0</v>
      </c>
      <c r="CM169" s="627">
        <v>0</v>
      </c>
      <c r="CN169" s="627">
        <v>0</v>
      </c>
      <c r="CO169" s="627">
        <v>0</v>
      </c>
      <c r="CP169" s="627">
        <v>1</v>
      </c>
      <c r="CQ169" s="627">
        <v>0</v>
      </c>
      <c r="CR169" s="627">
        <v>0</v>
      </c>
      <c r="CS169" s="627">
        <v>120.81</v>
      </c>
      <c r="CT169" s="627">
        <v>0</v>
      </c>
      <c r="CU169" s="627">
        <v>0</v>
      </c>
      <c r="CV169" s="627">
        <v>0</v>
      </c>
      <c r="CW169" s="627">
        <v>0</v>
      </c>
      <c r="CX169" s="627">
        <v>0</v>
      </c>
      <c r="CY169" s="627">
        <v>0</v>
      </c>
      <c r="CZ169" s="627">
        <v>0</v>
      </c>
      <c r="DA169" s="627">
        <v>0</v>
      </c>
      <c r="DB169" s="627">
        <v>0</v>
      </c>
      <c r="DC169" s="627">
        <v>933664</v>
      </c>
      <c r="DD169" s="627">
        <v>0</v>
      </c>
      <c r="DE169" s="627">
        <v>0</v>
      </c>
      <c r="DF169" s="627">
        <v>294448</v>
      </c>
      <c r="DG169" s="627">
        <v>294448</v>
      </c>
      <c r="DH169" s="627">
        <v>47.800000000000004</v>
      </c>
      <c r="DI169" s="627">
        <v>0</v>
      </c>
      <c r="DJ169" s="627">
        <v>0</v>
      </c>
      <c r="DK169" s="627">
        <v>0</v>
      </c>
      <c r="DL169" s="627">
        <v>3560</v>
      </c>
      <c r="DM169" s="627">
        <v>0</v>
      </c>
      <c r="DN169" s="627">
        <v>31474</v>
      </c>
      <c r="DO169" s="627">
        <v>35</v>
      </c>
      <c r="DP169" s="627">
        <v>0</v>
      </c>
      <c r="DQ169" s="627">
        <v>0</v>
      </c>
      <c r="DR169" s="627">
        <v>0</v>
      </c>
      <c r="DS169" s="627">
        <v>0</v>
      </c>
      <c r="DT169" s="627">
        <v>0</v>
      </c>
      <c r="DU169" s="627">
        <v>0</v>
      </c>
      <c r="DV169" s="627">
        <v>0</v>
      </c>
      <c r="DW169" s="627">
        <v>0</v>
      </c>
      <c r="DX169" s="627">
        <v>0</v>
      </c>
      <c r="DY169" s="627">
        <v>0</v>
      </c>
      <c r="DZ169" s="627">
        <v>0</v>
      </c>
      <c r="EA169" s="627">
        <v>0</v>
      </c>
      <c r="EB169" s="627">
        <v>0</v>
      </c>
      <c r="EC169" s="627">
        <v>0</v>
      </c>
      <c r="ED169" s="627">
        <v>0</v>
      </c>
      <c r="EE169" s="627">
        <v>0</v>
      </c>
      <c r="EF169" s="627">
        <v>0</v>
      </c>
      <c r="EG169" s="627">
        <v>0</v>
      </c>
      <c r="EH169" s="627">
        <v>0</v>
      </c>
      <c r="EI169" s="627">
        <v>10293</v>
      </c>
      <c r="EJ169" s="627">
        <v>0</v>
      </c>
      <c r="EK169" s="627">
        <v>0</v>
      </c>
      <c r="EL169" s="627">
        <v>0.25700000000000001</v>
      </c>
      <c r="EM169" s="627">
        <v>0</v>
      </c>
      <c r="EN169" s="627">
        <v>0</v>
      </c>
      <c r="EO169" s="627">
        <v>0.18</v>
      </c>
      <c r="EP169" s="627">
        <v>0</v>
      </c>
      <c r="EQ169" s="627">
        <v>0</v>
      </c>
      <c r="ER169" s="627">
        <v>0.437</v>
      </c>
      <c r="ES169" s="627">
        <v>0</v>
      </c>
      <c r="ET169" s="627">
        <v>1.671</v>
      </c>
      <c r="EU169" s="627">
        <v>0</v>
      </c>
      <c r="EV169" s="627">
        <v>0</v>
      </c>
      <c r="EW169" s="627">
        <v>0</v>
      </c>
      <c r="EX169" s="627">
        <v>0</v>
      </c>
      <c r="EY169" s="627">
        <v>0</v>
      </c>
      <c r="EZ169" s="627">
        <v>0</v>
      </c>
      <c r="FA169" s="627">
        <v>1662986</v>
      </c>
      <c r="FB169" s="627">
        <v>0</v>
      </c>
      <c r="FC169" s="627">
        <v>1713130</v>
      </c>
      <c r="FD169" s="627">
        <v>0</v>
      </c>
      <c r="FE169" s="627">
        <v>0</v>
      </c>
      <c r="FF169" s="627">
        <v>222246</v>
      </c>
      <c r="FG169" s="627">
        <v>38490</v>
      </c>
      <c r="FH169" s="627">
        <v>7.0280999999999996E-2</v>
      </c>
      <c r="FI169" s="627">
        <v>3.1172999999999999E-2</v>
      </c>
      <c r="FJ169" s="627">
        <v>0</v>
      </c>
      <c r="FK169" s="627">
        <v>0</v>
      </c>
      <c r="FL169" s="627">
        <v>250.554</v>
      </c>
      <c r="FM169" s="627">
        <v>1998727</v>
      </c>
      <c r="FN169" s="627">
        <v>0</v>
      </c>
      <c r="FO169" s="627">
        <v>0</v>
      </c>
      <c r="FP169" s="627">
        <v>0</v>
      </c>
      <c r="FQ169" s="627">
        <v>0</v>
      </c>
      <c r="FR169" s="627">
        <v>0</v>
      </c>
      <c r="FS169" s="627">
        <v>0</v>
      </c>
      <c r="FT169" s="627">
        <v>0</v>
      </c>
      <c r="FU169" s="627">
        <v>0</v>
      </c>
      <c r="FV169" s="627">
        <v>0</v>
      </c>
      <c r="FW169" s="627">
        <v>0</v>
      </c>
      <c r="FX169" s="627">
        <v>0</v>
      </c>
      <c r="FY169" s="627">
        <v>0</v>
      </c>
      <c r="FZ169" s="627">
        <v>0</v>
      </c>
      <c r="GA169" s="627">
        <v>0</v>
      </c>
      <c r="GB169" s="627">
        <v>0</v>
      </c>
      <c r="GC169" s="627">
        <v>0</v>
      </c>
      <c r="GD169" s="627">
        <v>0</v>
      </c>
      <c r="GE169" s="627">
        <v>0</v>
      </c>
      <c r="GF169" s="627">
        <v>0</v>
      </c>
      <c r="GG169" s="627">
        <v>0</v>
      </c>
      <c r="GH169" s="627">
        <v>0</v>
      </c>
      <c r="GI169" s="627">
        <v>0</v>
      </c>
      <c r="GJ169" s="627">
        <v>0</v>
      </c>
      <c r="GK169" s="627">
        <v>0</v>
      </c>
      <c r="GL169" s="627">
        <v>0</v>
      </c>
      <c r="GM169" s="627">
        <v>0</v>
      </c>
      <c r="GN169" s="627">
        <v>0</v>
      </c>
      <c r="GO169" s="627">
        <v>0</v>
      </c>
      <c r="GP169" s="627">
        <v>0</v>
      </c>
      <c r="GQ169" s="627">
        <v>0</v>
      </c>
      <c r="GR169" s="627">
        <v>1923687</v>
      </c>
      <c r="GS169" s="627">
        <v>0</v>
      </c>
      <c r="GT169" s="627">
        <v>0</v>
      </c>
      <c r="GU169" s="627">
        <v>0</v>
      </c>
      <c r="GV169" s="627">
        <v>0</v>
      </c>
      <c r="GW169" s="627">
        <v>0</v>
      </c>
      <c r="GX169" s="627">
        <v>0</v>
      </c>
      <c r="GY169" s="627">
        <v>0</v>
      </c>
      <c r="GZ169" s="627">
        <v>0</v>
      </c>
      <c r="HA169" s="627">
        <v>0</v>
      </c>
      <c r="HB169" s="627">
        <v>0</v>
      </c>
      <c r="HC169" s="627">
        <v>361151439</v>
      </c>
      <c r="HD169" s="627">
        <v>3.9981999999999997E-2</v>
      </c>
      <c r="HE169" s="627">
        <v>24861</v>
      </c>
      <c r="HF169" s="627">
        <v>0</v>
      </c>
      <c r="HG169" s="627">
        <v>170824</v>
      </c>
      <c r="HH169" s="627">
        <v>0</v>
      </c>
      <c r="HI169" s="627">
        <v>47163</v>
      </c>
      <c r="HJ169" s="627">
        <v>0</v>
      </c>
      <c r="HK169" s="627">
        <v>31555</v>
      </c>
      <c r="HL169" s="627">
        <v>0</v>
      </c>
      <c r="HM169" s="627">
        <v>0</v>
      </c>
      <c r="HN169" s="627">
        <v>0</v>
      </c>
      <c r="HO169" s="627">
        <v>0</v>
      </c>
      <c r="HP169" s="627">
        <v>0</v>
      </c>
      <c r="HQ169" s="627">
        <v>0</v>
      </c>
      <c r="HR169" s="627">
        <v>0</v>
      </c>
      <c r="HS169" s="627">
        <v>0</v>
      </c>
      <c r="HT169" s="627">
        <v>1662951</v>
      </c>
      <c r="HU169" s="627">
        <v>38490</v>
      </c>
      <c r="HV169" s="627">
        <v>0</v>
      </c>
      <c r="HW169" s="627">
        <v>0</v>
      </c>
      <c r="HX169" s="627">
        <v>0</v>
      </c>
      <c r="HY169" s="627">
        <v>22</v>
      </c>
      <c r="HZ169" s="627">
        <v>40</v>
      </c>
      <c r="IA169" s="627">
        <v>53</v>
      </c>
      <c r="IB169" s="627">
        <v>42</v>
      </c>
      <c r="IC169" s="627">
        <v>33</v>
      </c>
      <c r="ID169" s="627">
        <v>190</v>
      </c>
      <c r="IE169" s="627">
        <v>0</v>
      </c>
      <c r="IF169" s="627">
        <v>0</v>
      </c>
      <c r="IG169" s="627">
        <v>0</v>
      </c>
      <c r="IH169" s="627">
        <v>0</v>
      </c>
      <c r="II169" s="627">
        <v>76.563000000000002</v>
      </c>
      <c r="IJ169" s="627">
        <v>0</v>
      </c>
      <c r="IK169" s="627">
        <v>55.595000000000006</v>
      </c>
      <c r="IL169" s="627">
        <v>0</v>
      </c>
      <c r="IM169" s="627">
        <v>0</v>
      </c>
      <c r="IN169" s="627">
        <v>0</v>
      </c>
      <c r="IO169" s="627">
        <v>0</v>
      </c>
      <c r="IP169" s="627">
        <v>0</v>
      </c>
      <c r="IQ169" s="627">
        <v>0</v>
      </c>
      <c r="IR169" s="627">
        <v>55.595000000000006</v>
      </c>
      <c r="IS169" s="627">
        <v>34247</v>
      </c>
      <c r="IT169" s="627">
        <v>0</v>
      </c>
      <c r="IU169" s="627">
        <v>0</v>
      </c>
      <c r="IV169" s="627">
        <v>0</v>
      </c>
      <c r="IW169" s="627">
        <v>0</v>
      </c>
      <c r="IX169" s="627">
        <v>6160</v>
      </c>
      <c r="IY169" s="627">
        <v>0</v>
      </c>
      <c r="IZ169" s="627">
        <v>0</v>
      </c>
      <c r="JA169" s="627">
        <v>0</v>
      </c>
      <c r="JB169" s="627">
        <v>0</v>
      </c>
      <c r="JC169" s="627">
        <v>0</v>
      </c>
      <c r="JD169" s="627">
        <v>0</v>
      </c>
      <c r="JE169" s="627">
        <v>0</v>
      </c>
      <c r="JF169" s="627">
        <v>0</v>
      </c>
      <c r="JG169" s="627">
        <v>0</v>
      </c>
      <c r="JH169" s="627">
        <v>0</v>
      </c>
      <c r="JI169" s="627">
        <v>0</v>
      </c>
      <c r="JJ169" s="627">
        <v>0</v>
      </c>
      <c r="JK169" s="627">
        <v>0</v>
      </c>
      <c r="JL169" s="627">
        <v>0</v>
      </c>
      <c r="JM169" s="627">
        <v>0</v>
      </c>
      <c r="JN169" s="627">
        <v>0</v>
      </c>
      <c r="JO169" s="627">
        <v>32469</v>
      </c>
      <c r="JP169" s="627">
        <v>0</v>
      </c>
      <c r="JQ169" s="627">
        <v>0</v>
      </c>
      <c r="JR169" s="627">
        <v>0</v>
      </c>
      <c r="JS169" s="627">
        <v>0</v>
      </c>
      <c r="JT169" s="627">
        <v>0</v>
      </c>
      <c r="JU169" s="627">
        <v>0</v>
      </c>
      <c r="JV169" s="627">
        <v>0</v>
      </c>
      <c r="JW169" s="627">
        <v>0</v>
      </c>
      <c r="JX169" s="627">
        <v>0</v>
      </c>
      <c r="JY169" s="627">
        <v>0</v>
      </c>
      <c r="JZ169" s="627">
        <v>0</v>
      </c>
      <c r="KA169" s="627">
        <v>0</v>
      </c>
      <c r="KB169" s="627">
        <v>0</v>
      </c>
      <c r="KC169" s="627">
        <v>0</v>
      </c>
      <c r="KD169" s="627">
        <v>0</v>
      </c>
      <c r="KE169" s="627">
        <v>0</v>
      </c>
      <c r="KF169" s="627">
        <v>7262</v>
      </c>
      <c r="KG169" s="627">
        <v>0</v>
      </c>
      <c r="KH169" s="627">
        <v>0</v>
      </c>
      <c r="KI169" s="627">
        <v>1923687</v>
      </c>
      <c r="KJ169" s="627">
        <v>0</v>
      </c>
      <c r="KK169" s="627">
        <v>0</v>
      </c>
      <c r="KL169" s="627">
        <v>0</v>
      </c>
      <c r="KM169" s="627">
        <v>0</v>
      </c>
      <c r="KN169" s="627">
        <v>0</v>
      </c>
      <c r="KO169" s="627">
        <v>0</v>
      </c>
      <c r="KP169" s="627">
        <v>0</v>
      </c>
      <c r="KQ169" s="627">
        <v>1923687</v>
      </c>
      <c r="KR169" s="627">
        <v>0</v>
      </c>
      <c r="KS169" s="627">
        <v>0</v>
      </c>
      <c r="KT169" s="627">
        <v>0</v>
      </c>
      <c r="KU169" s="627">
        <v>0</v>
      </c>
      <c r="KV169" s="627">
        <v>0</v>
      </c>
      <c r="KW169" s="627">
        <v>0</v>
      </c>
      <c r="KX169" s="627">
        <v>0</v>
      </c>
      <c r="KY169" s="627">
        <v>0</v>
      </c>
      <c r="KZ169" s="627">
        <v>0</v>
      </c>
      <c r="LA169" s="627">
        <v>0</v>
      </c>
      <c r="LB169" s="627">
        <v>0</v>
      </c>
      <c r="LC169" s="627">
        <v>0</v>
      </c>
      <c r="LD169" s="627">
        <v>0</v>
      </c>
      <c r="LE169" s="627">
        <v>0</v>
      </c>
      <c r="LF169" s="627">
        <v>0</v>
      </c>
    </row>
    <row r="170" spans="1:318" x14ac:dyDescent="0.25">
      <c r="A170" s="627">
        <v>42602</v>
      </c>
      <c r="B170" s="627">
        <v>57850</v>
      </c>
      <c r="D170" s="627">
        <v>9</v>
      </c>
      <c r="E170" s="627">
        <v>2024</v>
      </c>
      <c r="F170" s="627">
        <v>6160</v>
      </c>
      <c r="G170" s="627">
        <v>0</v>
      </c>
      <c r="H170" s="627">
        <v>2409</v>
      </c>
      <c r="I170" s="627">
        <v>2289.1410000000001</v>
      </c>
      <c r="J170" s="627">
        <v>2289.1410000000001</v>
      </c>
      <c r="K170" s="627">
        <v>2409</v>
      </c>
      <c r="L170" s="627">
        <v>0</v>
      </c>
      <c r="M170" s="627">
        <v>6160</v>
      </c>
      <c r="N170" s="627">
        <v>0</v>
      </c>
      <c r="O170" s="627">
        <v>0</v>
      </c>
      <c r="P170" s="627">
        <v>0</v>
      </c>
      <c r="Q170" s="627">
        <v>2316.85</v>
      </c>
      <c r="R170" s="627">
        <v>0</v>
      </c>
      <c r="S170" s="627">
        <v>961224</v>
      </c>
      <c r="T170" s="627">
        <v>414.88400000000001</v>
      </c>
      <c r="U170" s="627">
        <v>0</v>
      </c>
      <c r="V170" s="627">
        <v>498836</v>
      </c>
      <c r="W170" s="627">
        <v>317.10000000000002</v>
      </c>
      <c r="X170" s="627">
        <v>195334</v>
      </c>
      <c r="Y170" s="627">
        <v>195334</v>
      </c>
      <c r="Z170" s="627">
        <v>0</v>
      </c>
      <c r="AA170" s="627">
        <v>0</v>
      </c>
      <c r="AB170" s="627">
        <v>0</v>
      </c>
      <c r="AC170" s="627">
        <v>0</v>
      </c>
      <c r="AD170" s="627">
        <v>0</v>
      </c>
      <c r="AE170" s="627" t="s">
        <v>314</v>
      </c>
      <c r="AF170" s="627">
        <v>0</v>
      </c>
      <c r="AG170" s="627">
        <v>0</v>
      </c>
      <c r="AH170" s="627">
        <v>0</v>
      </c>
      <c r="AI170" s="627">
        <v>0</v>
      </c>
      <c r="AJ170" s="627">
        <v>0</v>
      </c>
      <c r="AK170" s="627">
        <v>6160</v>
      </c>
      <c r="AL170" s="627" t="s">
        <v>651</v>
      </c>
      <c r="AM170" s="627" t="s">
        <v>383</v>
      </c>
      <c r="AN170" s="627">
        <v>0</v>
      </c>
      <c r="AO170" s="627">
        <v>0</v>
      </c>
      <c r="AP170" s="627">
        <v>0</v>
      </c>
      <c r="AQ170" s="627">
        <v>0</v>
      </c>
      <c r="AR170" s="627">
        <v>0</v>
      </c>
      <c r="AS170" s="627">
        <v>0</v>
      </c>
      <c r="AT170" s="627">
        <v>0</v>
      </c>
      <c r="AU170" s="627">
        <v>0</v>
      </c>
      <c r="AV170" s="627">
        <v>0</v>
      </c>
      <c r="AW170" s="627">
        <v>0</v>
      </c>
      <c r="AX170" s="627">
        <v>24088202</v>
      </c>
      <c r="AY170" s="627">
        <v>23707896</v>
      </c>
      <c r="AZ170" s="627">
        <v>12316734</v>
      </c>
      <c r="BA170" s="627">
        <v>961224</v>
      </c>
      <c r="BB170" s="627">
        <v>0</v>
      </c>
      <c r="BC170" s="627">
        <v>51127</v>
      </c>
      <c r="BD170" s="627">
        <v>50801</v>
      </c>
      <c r="BE170" s="627">
        <v>120</v>
      </c>
      <c r="BF170" s="627">
        <v>326</v>
      </c>
      <c r="BG170" s="627">
        <v>21095416</v>
      </c>
      <c r="BH170" s="627">
        <v>0</v>
      </c>
      <c r="BI170" s="627">
        <v>0</v>
      </c>
      <c r="BJ170" s="627">
        <v>0</v>
      </c>
      <c r="BK170" s="627">
        <v>12</v>
      </c>
      <c r="BL170" s="627">
        <v>0</v>
      </c>
      <c r="BM170" s="627">
        <v>0</v>
      </c>
      <c r="BN170" s="627">
        <v>0</v>
      </c>
      <c r="BO170" s="627">
        <v>0</v>
      </c>
      <c r="BP170" s="627">
        <v>0</v>
      </c>
      <c r="BQ170" s="627">
        <v>0</v>
      </c>
      <c r="BR170" s="627">
        <v>417</v>
      </c>
      <c r="BS170" s="627">
        <v>0</v>
      </c>
      <c r="BT170" s="627">
        <v>0</v>
      </c>
      <c r="BU170" s="627">
        <v>0</v>
      </c>
      <c r="BV170" s="627">
        <v>0</v>
      </c>
      <c r="BW170" s="627">
        <v>0</v>
      </c>
      <c r="BX170" s="627">
        <v>0</v>
      </c>
      <c r="BY170" s="627">
        <v>0</v>
      </c>
      <c r="BZ170" s="627">
        <v>0</v>
      </c>
      <c r="CA170" s="627">
        <v>0</v>
      </c>
      <c r="CB170" s="627">
        <v>0</v>
      </c>
      <c r="CC170" s="627">
        <v>0</v>
      </c>
      <c r="CD170" s="627">
        <v>0</v>
      </c>
      <c r="CE170" s="627">
        <v>0</v>
      </c>
      <c r="CF170" s="627">
        <v>0</v>
      </c>
      <c r="CG170" s="627">
        <v>0</v>
      </c>
      <c r="CH170" s="627">
        <v>0</v>
      </c>
      <c r="CI170" s="627">
        <v>385268</v>
      </c>
      <c r="CJ170" s="627">
        <v>0</v>
      </c>
      <c r="CK170" s="627">
        <v>4</v>
      </c>
      <c r="CL170" s="627">
        <v>0</v>
      </c>
      <c r="CM170" s="627">
        <v>0</v>
      </c>
      <c r="CN170" s="627">
        <v>0</v>
      </c>
      <c r="CO170" s="627">
        <v>0</v>
      </c>
      <c r="CP170" s="627">
        <v>1</v>
      </c>
      <c r="CQ170" s="627">
        <v>0</v>
      </c>
      <c r="CR170" s="627">
        <v>0</v>
      </c>
      <c r="CS170" s="627">
        <v>2307.8000000000002</v>
      </c>
      <c r="CT170" s="627">
        <v>0</v>
      </c>
      <c r="CU170" s="627">
        <v>0</v>
      </c>
      <c r="CV170" s="627">
        <v>0</v>
      </c>
      <c r="CW170" s="627">
        <v>0</v>
      </c>
      <c r="CX170" s="627">
        <v>0</v>
      </c>
      <c r="CY170" s="627">
        <v>0</v>
      </c>
      <c r="CZ170" s="627">
        <v>0</v>
      </c>
      <c r="DA170" s="627">
        <v>0</v>
      </c>
      <c r="DB170" s="627">
        <v>0</v>
      </c>
      <c r="DC170" s="627">
        <v>14101109</v>
      </c>
      <c r="DD170" s="627">
        <v>0</v>
      </c>
      <c r="DE170" s="627">
        <v>0</v>
      </c>
      <c r="DF170" s="627">
        <v>1723799</v>
      </c>
      <c r="DG170" s="627">
        <v>1723799</v>
      </c>
      <c r="DH170" s="627">
        <v>279.83800000000002</v>
      </c>
      <c r="DI170" s="627">
        <v>0</v>
      </c>
      <c r="DJ170" s="627">
        <v>0</v>
      </c>
      <c r="DK170" s="627">
        <v>0</v>
      </c>
      <c r="DL170" s="627">
        <v>0</v>
      </c>
      <c r="DM170" s="627">
        <v>0</v>
      </c>
      <c r="DN170" s="627">
        <v>1360192</v>
      </c>
      <c r="DO170" s="627">
        <v>4636</v>
      </c>
      <c r="DP170" s="627">
        <v>0</v>
      </c>
      <c r="DQ170" s="627">
        <v>0</v>
      </c>
      <c r="DR170" s="627">
        <v>0</v>
      </c>
      <c r="DS170" s="627">
        <v>0</v>
      </c>
      <c r="DT170" s="627">
        <v>0</v>
      </c>
      <c r="DU170" s="627">
        <v>0</v>
      </c>
      <c r="DV170" s="627">
        <v>0</v>
      </c>
      <c r="DW170" s="627">
        <v>0</v>
      </c>
      <c r="DX170" s="627">
        <v>0</v>
      </c>
      <c r="DY170" s="627">
        <v>0</v>
      </c>
      <c r="DZ170" s="627">
        <v>0</v>
      </c>
      <c r="EA170" s="627">
        <v>0</v>
      </c>
      <c r="EB170" s="627">
        <v>0</v>
      </c>
      <c r="EC170" s="627">
        <v>0</v>
      </c>
      <c r="ED170" s="627">
        <v>126.60000000000001</v>
      </c>
      <c r="EE170" s="627">
        <v>896834</v>
      </c>
      <c r="EF170" s="627">
        <v>0</v>
      </c>
      <c r="EG170" s="627">
        <v>0</v>
      </c>
      <c r="EH170" s="627">
        <v>0</v>
      </c>
      <c r="EI170" s="627">
        <v>467994</v>
      </c>
      <c r="EJ170" s="627">
        <v>0</v>
      </c>
      <c r="EK170" s="627">
        <v>0</v>
      </c>
      <c r="EL170" s="627">
        <v>18.469000000000001</v>
      </c>
      <c r="EM170" s="627">
        <v>0</v>
      </c>
      <c r="EN170" s="627">
        <v>0.192</v>
      </c>
      <c r="EO170" s="627">
        <v>3.9980000000000002</v>
      </c>
      <c r="EP170" s="627">
        <v>0</v>
      </c>
      <c r="EQ170" s="627">
        <v>0</v>
      </c>
      <c r="ER170" s="627">
        <v>22.659000000000002</v>
      </c>
      <c r="ES170" s="627">
        <v>0</v>
      </c>
      <c r="ET170" s="627">
        <v>75.972999999999999</v>
      </c>
      <c r="EU170" s="627">
        <v>0</v>
      </c>
      <c r="EV170" s="627">
        <v>0</v>
      </c>
      <c r="EW170" s="627">
        <v>0</v>
      </c>
      <c r="EX170" s="627">
        <v>0</v>
      </c>
      <c r="EY170" s="627">
        <v>0</v>
      </c>
      <c r="EZ170" s="627">
        <v>0</v>
      </c>
      <c r="FA170" s="627">
        <v>20144150</v>
      </c>
      <c r="FB170" s="627">
        <v>0</v>
      </c>
      <c r="FC170" s="627">
        <v>21100412</v>
      </c>
      <c r="FD170" s="627">
        <v>0</v>
      </c>
      <c r="FE170" s="627">
        <v>0</v>
      </c>
      <c r="FF170" s="627">
        <v>3037660</v>
      </c>
      <c r="FG170" s="627">
        <v>526086</v>
      </c>
      <c r="FH170" s="627">
        <v>7.0280999999999996E-2</v>
      </c>
      <c r="FI170" s="627">
        <v>3.1172999999999999E-2</v>
      </c>
      <c r="FJ170" s="627">
        <v>0</v>
      </c>
      <c r="FK170" s="627">
        <v>0</v>
      </c>
      <c r="FL170" s="627">
        <v>3424.5810000000001</v>
      </c>
      <c r="FM170" s="627">
        <v>25049426</v>
      </c>
      <c r="FN170" s="627">
        <v>0</v>
      </c>
      <c r="FO170" s="627">
        <v>0</v>
      </c>
      <c r="FP170" s="627">
        <v>0</v>
      </c>
      <c r="FQ170" s="627">
        <v>0</v>
      </c>
      <c r="FR170" s="627">
        <v>0</v>
      </c>
      <c r="FS170" s="627">
        <v>0</v>
      </c>
      <c r="FT170" s="627">
        <v>0</v>
      </c>
      <c r="FU170" s="627">
        <v>0</v>
      </c>
      <c r="FV170" s="627">
        <v>0</v>
      </c>
      <c r="FW170" s="627">
        <v>0</v>
      </c>
      <c r="FX170" s="627">
        <v>0</v>
      </c>
      <c r="FY170" s="627">
        <v>0</v>
      </c>
      <c r="FZ170" s="627">
        <v>0</v>
      </c>
      <c r="GA170" s="627">
        <v>0</v>
      </c>
      <c r="GB170" s="627">
        <v>0</v>
      </c>
      <c r="GC170" s="627">
        <v>787564</v>
      </c>
      <c r="GD170" s="627">
        <v>787564</v>
      </c>
      <c r="GE170" s="627">
        <v>97.2</v>
      </c>
      <c r="GF170" s="627">
        <v>0</v>
      </c>
      <c r="GG170" s="627">
        <v>0</v>
      </c>
      <c r="GH170" s="627">
        <v>0</v>
      </c>
      <c r="GI170" s="627">
        <v>0</v>
      </c>
      <c r="GJ170" s="627">
        <v>0</v>
      </c>
      <c r="GK170" s="627">
        <v>0</v>
      </c>
      <c r="GL170" s="627">
        <v>0</v>
      </c>
      <c r="GM170" s="627">
        <v>0</v>
      </c>
      <c r="GN170" s="627">
        <v>0</v>
      </c>
      <c r="GO170" s="627">
        <v>0</v>
      </c>
      <c r="GP170" s="627">
        <v>0</v>
      </c>
      <c r="GQ170" s="627">
        <v>0</v>
      </c>
      <c r="GR170" s="627">
        <v>23702934</v>
      </c>
      <c r="GS170" s="627">
        <v>0</v>
      </c>
      <c r="GT170" s="627">
        <v>0</v>
      </c>
      <c r="GU170" s="627">
        <v>0</v>
      </c>
      <c r="GV170" s="627">
        <v>0</v>
      </c>
      <c r="GW170" s="627">
        <v>0</v>
      </c>
      <c r="GX170" s="627">
        <v>0</v>
      </c>
      <c r="GY170" s="627">
        <v>0</v>
      </c>
      <c r="GZ170" s="627">
        <v>0</v>
      </c>
      <c r="HA170" s="627">
        <v>0</v>
      </c>
      <c r="HB170" s="627">
        <v>0</v>
      </c>
      <c r="HC170" s="627">
        <v>361151439</v>
      </c>
      <c r="HD170" s="627">
        <v>3.9981999999999997E-2</v>
      </c>
      <c r="HE170" s="627">
        <v>385268</v>
      </c>
      <c r="HF170" s="627">
        <v>0</v>
      </c>
      <c r="HG170" s="627">
        <v>2522633</v>
      </c>
      <c r="HH170" s="627">
        <v>52360</v>
      </c>
      <c r="HI170" s="627">
        <v>177572</v>
      </c>
      <c r="HJ170" s="627">
        <v>0</v>
      </c>
      <c r="HK170" s="627">
        <v>114090</v>
      </c>
      <c r="HL170" s="627">
        <v>5754</v>
      </c>
      <c r="HM170" s="627">
        <v>4204</v>
      </c>
      <c r="HN170" s="627">
        <v>5000</v>
      </c>
      <c r="HO170" s="627">
        <v>0</v>
      </c>
      <c r="HP170" s="627">
        <v>0</v>
      </c>
      <c r="HQ170" s="627">
        <v>0</v>
      </c>
      <c r="HR170" s="627">
        <v>0</v>
      </c>
      <c r="HS170" s="627">
        <v>0</v>
      </c>
      <c r="HT170" s="627">
        <v>20139188</v>
      </c>
      <c r="HU170" s="627">
        <v>526086</v>
      </c>
      <c r="HV170" s="627">
        <v>0</v>
      </c>
      <c r="HW170" s="627">
        <v>0</v>
      </c>
      <c r="HX170" s="627">
        <v>0</v>
      </c>
      <c r="HY170" s="627">
        <v>275</v>
      </c>
      <c r="HZ170" s="627">
        <v>248</v>
      </c>
      <c r="IA170" s="627">
        <v>207</v>
      </c>
      <c r="IB170" s="627">
        <v>193</v>
      </c>
      <c r="IC170" s="627">
        <v>206</v>
      </c>
      <c r="ID170" s="627">
        <v>1129</v>
      </c>
      <c r="IE170" s="627">
        <v>0</v>
      </c>
      <c r="IF170" s="627">
        <v>0</v>
      </c>
      <c r="IG170" s="627">
        <v>0</v>
      </c>
      <c r="IH170" s="627">
        <v>85</v>
      </c>
      <c r="II170" s="627">
        <v>288.267</v>
      </c>
      <c r="IJ170" s="627">
        <v>0</v>
      </c>
      <c r="IK170" s="627">
        <v>317.10000000000002</v>
      </c>
      <c r="IL170" s="627">
        <v>0</v>
      </c>
      <c r="IM170" s="627">
        <v>1</v>
      </c>
      <c r="IN170" s="627">
        <v>0</v>
      </c>
      <c r="IO170" s="627">
        <v>0</v>
      </c>
      <c r="IP170" s="627">
        <v>1</v>
      </c>
      <c r="IQ170" s="627">
        <v>0</v>
      </c>
      <c r="IR170" s="627">
        <v>317.10000000000002</v>
      </c>
      <c r="IS170" s="627">
        <v>195334</v>
      </c>
      <c r="IT170" s="627">
        <v>0</v>
      </c>
      <c r="IU170" s="627">
        <v>5000</v>
      </c>
      <c r="IV170" s="627">
        <v>0</v>
      </c>
      <c r="IW170" s="627">
        <v>0</v>
      </c>
      <c r="IX170" s="627">
        <v>6160</v>
      </c>
      <c r="IY170" s="627">
        <v>0</v>
      </c>
      <c r="IZ170" s="627">
        <v>0</v>
      </c>
      <c r="JA170" s="627">
        <v>0</v>
      </c>
      <c r="JB170" s="627">
        <v>0</v>
      </c>
      <c r="JC170" s="627">
        <v>0</v>
      </c>
      <c r="JD170" s="627">
        <v>0</v>
      </c>
      <c r="JE170" s="627">
        <v>0</v>
      </c>
      <c r="JF170" s="627">
        <v>0</v>
      </c>
      <c r="JG170" s="627">
        <v>0</v>
      </c>
      <c r="JH170" s="627">
        <v>0</v>
      </c>
      <c r="JI170" s="627">
        <v>0</v>
      </c>
      <c r="JJ170" s="627">
        <v>0</v>
      </c>
      <c r="JK170" s="627">
        <v>0</v>
      </c>
      <c r="JL170" s="627">
        <v>0</v>
      </c>
      <c r="JM170" s="627">
        <v>0</v>
      </c>
      <c r="JN170" s="627">
        <v>0</v>
      </c>
      <c r="JO170" s="627">
        <v>32469</v>
      </c>
      <c r="JP170" s="627">
        <v>88.7</v>
      </c>
      <c r="JQ170" s="627">
        <v>8.5</v>
      </c>
      <c r="JR170" s="627">
        <v>0</v>
      </c>
      <c r="JS170" s="627">
        <v>708553</v>
      </c>
      <c r="JT170" s="627">
        <v>79011</v>
      </c>
      <c r="JU170" s="627">
        <v>0</v>
      </c>
      <c r="JV170" s="627">
        <v>51744</v>
      </c>
      <c r="JW170" s="627">
        <v>0</v>
      </c>
      <c r="JX170" s="627">
        <v>0</v>
      </c>
      <c r="JY170" s="627">
        <v>0</v>
      </c>
      <c r="JZ170" s="627">
        <v>0</v>
      </c>
      <c r="KA170" s="627">
        <v>0</v>
      </c>
      <c r="KB170" s="627">
        <v>0</v>
      </c>
      <c r="KC170" s="627">
        <v>0</v>
      </c>
      <c r="KD170" s="627">
        <v>0</v>
      </c>
      <c r="KE170" s="627">
        <v>51744</v>
      </c>
      <c r="KF170" s="627">
        <v>7262</v>
      </c>
      <c r="KG170" s="627">
        <v>0</v>
      </c>
      <c r="KH170" s="627">
        <v>0</v>
      </c>
      <c r="KI170" s="627">
        <v>23702934</v>
      </c>
      <c r="KJ170" s="627">
        <v>0</v>
      </c>
      <c r="KK170" s="627">
        <v>32</v>
      </c>
      <c r="KL170" s="627">
        <v>53</v>
      </c>
      <c r="KM170" s="627">
        <v>19712</v>
      </c>
      <c r="KN170" s="627">
        <v>32648</v>
      </c>
      <c r="KO170" s="627">
        <v>0</v>
      </c>
      <c r="KP170" s="627">
        <v>0</v>
      </c>
      <c r="KQ170" s="627">
        <v>23702934</v>
      </c>
      <c r="KR170" s="627">
        <v>0</v>
      </c>
      <c r="KS170" s="627">
        <v>0</v>
      </c>
      <c r="KT170" s="627">
        <v>0</v>
      </c>
      <c r="KU170" s="627">
        <v>0</v>
      </c>
      <c r="KV170" s="627">
        <v>0</v>
      </c>
      <c r="KW170" s="627">
        <v>0</v>
      </c>
      <c r="KX170" s="627">
        <v>0</v>
      </c>
      <c r="KY170" s="627">
        <v>0</v>
      </c>
      <c r="KZ170" s="627">
        <v>0</v>
      </c>
      <c r="LA170" s="627">
        <v>0</v>
      </c>
      <c r="LB170" s="627">
        <v>0</v>
      </c>
      <c r="LC170" s="627">
        <v>0</v>
      </c>
      <c r="LD170" s="627">
        <v>0</v>
      </c>
      <c r="LE170" s="627">
        <v>0</v>
      </c>
      <c r="LF170" s="627">
        <v>0</v>
      </c>
    </row>
    <row r="171" spans="1:318" x14ac:dyDescent="0.25">
      <c r="A171" s="627">
        <v>42602</v>
      </c>
      <c r="B171" s="627">
        <v>57851</v>
      </c>
      <c r="D171" s="627">
        <v>9</v>
      </c>
      <c r="E171" s="627">
        <v>2024</v>
      </c>
      <c r="F171" s="627">
        <v>6160</v>
      </c>
      <c r="G171" s="627">
        <v>0</v>
      </c>
      <c r="H171" s="627">
        <v>86.093000000000004</v>
      </c>
      <c r="I171" s="627">
        <v>79.41</v>
      </c>
      <c r="J171" s="627">
        <v>79.41</v>
      </c>
      <c r="K171" s="627">
        <v>86.093000000000004</v>
      </c>
      <c r="L171" s="627">
        <v>0</v>
      </c>
      <c r="M171" s="627">
        <v>6160</v>
      </c>
      <c r="N171" s="627">
        <v>0</v>
      </c>
      <c r="O171" s="627">
        <v>0</v>
      </c>
      <c r="P171" s="627">
        <v>0</v>
      </c>
      <c r="Q171" s="627">
        <v>78.972999999999999</v>
      </c>
      <c r="R171" s="627">
        <v>0</v>
      </c>
      <c r="S171" s="627">
        <v>32765</v>
      </c>
      <c r="T171" s="627">
        <v>414.88400000000001</v>
      </c>
      <c r="U171" s="627">
        <v>0</v>
      </c>
      <c r="V171" s="627">
        <v>17004</v>
      </c>
      <c r="W171" s="627">
        <v>23.012</v>
      </c>
      <c r="X171" s="627">
        <v>14175</v>
      </c>
      <c r="Y171" s="627">
        <v>14175</v>
      </c>
      <c r="Z171" s="627">
        <v>0</v>
      </c>
      <c r="AA171" s="627">
        <v>0</v>
      </c>
      <c r="AB171" s="627">
        <v>0</v>
      </c>
      <c r="AC171" s="627">
        <v>0</v>
      </c>
      <c r="AD171" s="627">
        <v>0</v>
      </c>
      <c r="AE171" s="627" t="s">
        <v>314</v>
      </c>
      <c r="AF171" s="627">
        <v>0</v>
      </c>
      <c r="AG171" s="627">
        <v>0</v>
      </c>
      <c r="AH171" s="627">
        <v>0</v>
      </c>
      <c r="AI171" s="627">
        <v>0</v>
      </c>
      <c r="AJ171" s="627">
        <v>0</v>
      </c>
      <c r="AK171" s="627">
        <v>6160</v>
      </c>
      <c r="AL171" s="627" t="s">
        <v>651</v>
      </c>
      <c r="AM171" s="627" t="s">
        <v>436</v>
      </c>
      <c r="AN171" s="627">
        <v>0</v>
      </c>
      <c r="AO171" s="627">
        <v>0</v>
      </c>
      <c r="AP171" s="627">
        <v>0</v>
      </c>
      <c r="AQ171" s="627">
        <v>0</v>
      </c>
      <c r="AR171" s="627">
        <v>0</v>
      </c>
      <c r="AS171" s="627">
        <v>0</v>
      </c>
      <c r="AT171" s="627">
        <v>0</v>
      </c>
      <c r="AU171" s="627">
        <v>0</v>
      </c>
      <c r="AV171" s="627">
        <v>0</v>
      </c>
      <c r="AW171" s="627">
        <v>0</v>
      </c>
      <c r="AX171" s="627">
        <v>1029290</v>
      </c>
      <c r="AY171" s="627">
        <v>1015950</v>
      </c>
      <c r="AZ171" s="627">
        <v>523255</v>
      </c>
      <c r="BA171" s="627">
        <v>32765</v>
      </c>
      <c r="BB171" s="627">
        <v>0</v>
      </c>
      <c r="BC171" s="627">
        <v>0</v>
      </c>
      <c r="BD171" s="627">
        <v>0</v>
      </c>
      <c r="BE171" s="627">
        <v>0</v>
      </c>
      <c r="BF171" s="627">
        <v>0</v>
      </c>
      <c r="BG171" s="627">
        <v>897154</v>
      </c>
      <c r="BH171" s="627">
        <v>0</v>
      </c>
      <c r="BI171" s="627">
        <v>0</v>
      </c>
      <c r="BJ171" s="627">
        <v>0</v>
      </c>
      <c r="BK171" s="627">
        <v>12</v>
      </c>
      <c r="BL171" s="627">
        <v>0</v>
      </c>
      <c r="BM171" s="627">
        <v>0</v>
      </c>
      <c r="BN171" s="627">
        <v>0</v>
      </c>
      <c r="BO171" s="627">
        <v>0</v>
      </c>
      <c r="BP171" s="627">
        <v>0</v>
      </c>
      <c r="BQ171" s="627">
        <v>0</v>
      </c>
      <c r="BR171" s="627">
        <v>758</v>
      </c>
      <c r="BS171" s="627">
        <v>0</v>
      </c>
      <c r="BT171" s="627">
        <v>0</v>
      </c>
      <c r="BU171" s="627">
        <v>0</v>
      </c>
      <c r="BV171" s="627">
        <v>0</v>
      </c>
      <c r="BW171" s="627">
        <v>0</v>
      </c>
      <c r="BX171" s="627">
        <v>0</v>
      </c>
      <c r="BY171" s="627">
        <v>0</v>
      </c>
      <c r="BZ171" s="627">
        <v>0</v>
      </c>
      <c r="CA171" s="627">
        <v>0</v>
      </c>
      <c r="CB171" s="627">
        <v>0</v>
      </c>
      <c r="CC171" s="627">
        <v>0</v>
      </c>
      <c r="CD171" s="627">
        <v>0</v>
      </c>
      <c r="CE171" s="627">
        <v>0</v>
      </c>
      <c r="CF171" s="627">
        <v>0</v>
      </c>
      <c r="CG171" s="627">
        <v>0</v>
      </c>
      <c r="CH171" s="627">
        <v>0</v>
      </c>
      <c r="CI171" s="627">
        <v>13769</v>
      </c>
      <c r="CJ171" s="627">
        <v>0</v>
      </c>
      <c r="CK171" s="627">
        <v>4</v>
      </c>
      <c r="CL171" s="627">
        <v>0</v>
      </c>
      <c r="CM171" s="627">
        <v>0</v>
      </c>
      <c r="CN171" s="627">
        <v>0</v>
      </c>
      <c r="CO171" s="627">
        <v>0</v>
      </c>
      <c r="CP171" s="627">
        <v>1</v>
      </c>
      <c r="CQ171" s="627">
        <v>0</v>
      </c>
      <c r="CR171" s="627">
        <v>0</v>
      </c>
      <c r="CS171" s="627">
        <v>84.753</v>
      </c>
      <c r="CT171" s="627">
        <v>0</v>
      </c>
      <c r="CU171" s="627">
        <v>0</v>
      </c>
      <c r="CV171" s="627">
        <v>0</v>
      </c>
      <c r="CW171" s="627">
        <v>0</v>
      </c>
      <c r="CX171" s="627">
        <v>0</v>
      </c>
      <c r="CY171" s="627">
        <v>0</v>
      </c>
      <c r="CZ171" s="627">
        <v>0</v>
      </c>
      <c r="DA171" s="627">
        <v>0</v>
      </c>
      <c r="DB171" s="627">
        <v>0</v>
      </c>
      <c r="DC171" s="627">
        <v>489166</v>
      </c>
      <c r="DD171" s="627">
        <v>0</v>
      </c>
      <c r="DE171" s="627">
        <v>0</v>
      </c>
      <c r="DF171" s="627">
        <v>130669</v>
      </c>
      <c r="DG171" s="627">
        <v>130669</v>
      </c>
      <c r="DH171" s="627">
        <v>21.213000000000001</v>
      </c>
      <c r="DI171" s="627">
        <v>0</v>
      </c>
      <c r="DJ171" s="627">
        <v>0</v>
      </c>
      <c r="DK171" s="627">
        <v>0</v>
      </c>
      <c r="DL171" s="627">
        <v>3747</v>
      </c>
      <c r="DM171" s="627">
        <v>0</v>
      </c>
      <c r="DN171" s="627">
        <v>125869</v>
      </c>
      <c r="DO171" s="627">
        <v>429</v>
      </c>
      <c r="DP171" s="627">
        <v>0</v>
      </c>
      <c r="DQ171" s="627">
        <v>0</v>
      </c>
      <c r="DR171" s="627">
        <v>0</v>
      </c>
      <c r="DS171" s="627">
        <v>0</v>
      </c>
      <c r="DT171" s="627">
        <v>0</v>
      </c>
      <c r="DU171" s="627">
        <v>0</v>
      </c>
      <c r="DV171" s="627">
        <v>0</v>
      </c>
      <c r="DW171" s="627">
        <v>0</v>
      </c>
      <c r="DX171" s="627">
        <v>0</v>
      </c>
      <c r="DY171" s="627">
        <v>0</v>
      </c>
      <c r="DZ171" s="627">
        <v>0</v>
      </c>
      <c r="EA171" s="627">
        <v>0</v>
      </c>
      <c r="EB171" s="627">
        <v>0</v>
      </c>
      <c r="EC171" s="627">
        <v>0</v>
      </c>
      <c r="ED171" s="627">
        <v>0</v>
      </c>
      <c r="EE171" s="627">
        <v>0</v>
      </c>
      <c r="EF171" s="627">
        <v>0</v>
      </c>
      <c r="EG171" s="627">
        <v>0</v>
      </c>
      <c r="EH171" s="627">
        <v>0</v>
      </c>
      <c r="EI171" s="627">
        <v>126298</v>
      </c>
      <c r="EJ171" s="627">
        <v>0</v>
      </c>
      <c r="EK171" s="627">
        <v>0</v>
      </c>
      <c r="EL171" s="627">
        <v>6.4560000000000004</v>
      </c>
      <c r="EM171" s="627">
        <v>0</v>
      </c>
      <c r="EN171" s="627">
        <v>0</v>
      </c>
      <c r="EO171" s="627">
        <v>0.22700000000000001</v>
      </c>
      <c r="EP171" s="627">
        <v>0</v>
      </c>
      <c r="EQ171" s="627">
        <v>0</v>
      </c>
      <c r="ER171" s="627">
        <v>6.6830000000000007</v>
      </c>
      <c r="ES171" s="627">
        <v>0</v>
      </c>
      <c r="ET171" s="627">
        <v>20.503</v>
      </c>
      <c r="EU171" s="627">
        <v>0</v>
      </c>
      <c r="EV171" s="627">
        <v>0</v>
      </c>
      <c r="EW171" s="627">
        <v>0</v>
      </c>
      <c r="EX171" s="627">
        <v>0</v>
      </c>
      <c r="EY171" s="627">
        <v>0</v>
      </c>
      <c r="EZ171" s="627">
        <v>0</v>
      </c>
      <c r="FA171" s="627">
        <v>864389</v>
      </c>
      <c r="FB171" s="627">
        <v>0</v>
      </c>
      <c r="FC171" s="627">
        <v>896725</v>
      </c>
      <c r="FD171" s="627">
        <v>0</v>
      </c>
      <c r="FE171" s="627">
        <v>0</v>
      </c>
      <c r="FF171" s="627">
        <v>129187</v>
      </c>
      <c r="FG171" s="627">
        <v>22374</v>
      </c>
      <c r="FH171" s="627">
        <v>7.0280999999999996E-2</v>
      </c>
      <c r="FI171" s="627">
        <v>3.1172999999999999E-2</v>
      </c>
      <c r="FJ171" s="627">
        <v>0</v>
      </c>
      <c r="FK171" s="627">
        <v>0</v>
      </c>
      <c r="FL171" s="627">
        <v>145.642</v>
      </c>
      <c r="FM171" s="627">
        <v>1062055</v>
      </c>
      <c r="FN171" s="627">
        <v>0</v>
      </c>
      <c r="FO171" s="627">
        <v>0</v>
      </c>
      <c r="FP171" s="627">
        <v>0</v>
      </c>
      <c r="FQ171" s="627">
        <v>0</v>
      </c>
      <c r="FR171" s="627">
        <v>0</v>
      </c>
      <c r="FS171" s="627">
        <v>0</v>
      </c>
      <c r="FT171" s="627">
        <v>0</v>
      </c>
      <c r="FU171" s="627">
        <v>0</v>
      </c>
      <c r="FV171" s="627">
        <v>0</v>
      </c>
      <c r="FW171" s="627">
        <v>0</v>
      </c>
      <c r="FX171" s="627">
        <v>0</v>
      </c>
      <c r="FY171" s="627">
        <v>0</v>
      </c>
      <c r="FZ171" s="627">
        <v>0</v>
      </c>
      <c r="GA171" s="627">
        <v>0</v>
      </c>
      <c r="GB171" s="627">
        <v>0</v>
      </c>
      <c r="GC171" s="627">
        <v>0</v>
      </c>
      <c r="GD171" s="627">
        <v>0</v>
      </c>
      <c r="GE171" s="627">
        <v>0</v>
      </c>
      <c r="GF171" s="627">
        <v>0</v>
      </c>
      <c r="GG171" s="627">
        <v>0</v>
      </c>
      <c r="GH171" s="627">
        <v>0</v>
      </c>
      <c r="GI171" s="627">
        <v>0</v>
      </c>
      <c r="GJ171" s="627">
        <v>0</v>
      </c>
      <c r="GK171" s="627">
        <v>0</v>
      </c>
      <c r="GL171" s="627">
        <v>0</v>
      </c>
      <c r="GM171" s="627">
        <v>0</v>
      </c>
      <c r="GN171" s="627">
        <v>0</v>
      </c>
      <c r="GO171" s="627">
        <v>0</v>
      </c>
      <c r="GP171" s="627">
        <v>0</v>
      </c>
      <c r="GQ171" s="627">
        <v>0</v>
      </c>
      <c r="GR171" s="627">
        <v>1015521</v>
      </c>
      <c r="GS171" s="627">
        <v>0</v>
      </c>
      <c r="GT171" s="627">
        <v>0</v>
      </c>
      <c r="GU171" s="627">
        <v>0</v>
      </c>
      <c r="GV171" s="627">
        <v>0</v>
      </c>
      <c r="GW171" s="627">
        <v>0</v>
      </c>
      <c r="GX171" s="627">
        <v>0</v>
      </c>
      <c r="GY171" s="627">
        <v>0</v>
      </c>
      <c r="GZ171" s="627">
        <v>0</v>
      </c>
      <c r="HA171" s="627">
        <v>0</v>
      </c>
      <c r="HB171" s="627">
        <v>0</v>
      </c>
      <c r="HC171" s="627">
        <v>361151439</v>
      </c>
      <c r="HD171" s="627">
        <v>3.9981999999999997E-2</v>
      </c>
      <c r="HE171" s="627">
        <v>13769</v>
      </c>
      <c r="HF171" s="627">
        <v>0</v>
      </c>
      <c r="HG171" s="627">
        <v>87510</v>
      </c>
      <c r="HH171" s="627">
        <v>3080</v>
      </c>
      <c r="HI171" s="627">
        <v>30395</v>
      </c>
      <c r="HJ171" s="627">
        <v>0</v>
      </c>
      <c r="HK171" s="627">
        <v>15861</v>
      </c>
      <c r="HL171" s="627">
        <v>0</v>
      </c>
      <c r="HM171" s="627">
        <v>0</v>
      </c>
      <c r="HN171" s="627">
        <v>0</v>
      </c>
      <c r="HO171" s="627">
        <v>0</v>
      </c>
      <c r="HP171" s="627">
        <v>0</v>
      </c>
      <c r="HQ171" s="627">
        <v>0</v>
      </c>
      <c r="HR171" s="627">
        <v>0</v>
      </c>
      <c r="HS171" s="627">
        <v>0</v>
      </c>
      <c r="HT171" s="627">
        <v>863960</v>
      </c>
      <c r="HU171" s="627">
        <v>22374</v>
      </c>
      <c r="HV171" s="627">
        <v>0</v>
      </c>
      <c r="HW171" s="627">
        <v>0</v>
      </c>
      <c r="HX171" s="627">
        <v>0</v>
      </c>
      <c r="HY171" s="627">
        <v>29</v>
      </c>
      <c r="HZ171" s="627">
        <v>15</v>
      </c>
      <c r="IA171" s="627">
        <v>10</v>
      </c>
      <c r="IB171" s="627">
        <v>14</v>
      </c>
      <c r="IC171" s="627">
        <v>18</v>
      </c>
      <c r="ID171" s="627">
        <v>86</v>
      </c>
      <c r="IE171" s="627">
        <v>0</v>
      </c>
      <c r="IF171" s="627">
        <v>0</v>
      </c>
      <c r="IG171" s="627">
        <v>0</v>
      </c>
      <c r="IH171" s="627">
        <v>5</v>
      </c>
      <c r="II171" s="627">
        <v>49.343000000000004</v>
      </c>
      <c r="IJ171" s="627">
        <v>0</v>
      </c>
      <c r="IK171" s="627">
        <v>23.012</v>
      </c>
      <c r="IL171" s="627">
        <v>0</v>
      </c>
      <c r="IM171" s="627">
        <v>0</v>
      </c>
      <c r="IN171" s="627">
        <v>0</v>
      </c>
      <c r="IO171" s="627">
        <v>0</v>
      </c>
      <c r="IP171" s="627">
        <v>0</v>
      </c>
      <c r="IQ171" s="627">
        <v>0</v>
      </c>
      <c r="IR171" s="627">
        <v>23.012</v>
      </c>
      <c r="IS171" s="627">
        <v>14175</v>
      </c>
      <c r="IT171" s="627">
        <v>0</v>
      </c>
      <c r="IU171" s="627">
        <v>0</v>
      </c>
      <c r="IV171" s="627">
        <v>0</v>
      </c>
      <c r="IW171" s="627">
        <v>0</v>
      </c>
      <c r="IX171" s="627">
        <v>6160</v>
      </c>
      <c r="IY171" s="627">
        <v>0</v>
      </c>
      <c r="IZ171" s="627">
        <v>0</v>
      </c>
      <c r="JA171" s="627">
        <v>0</v>
      </c>
      <c r="JB171" s="627">
        <v>0</v>
      </c>
      <c r="JC171" s="627">
        <v>0</v>
      </c>
      <c r="JD171" s="627">
        <v>0</v>
      </c>
      <c r="JE171" s="627">
        <v>0</v>
      </c>
      <c r="JF171" s="627">
        <v>0</v>
      </c>
      <c r="JG171" s="627">
        <v>0</v>
      </c>
      <c r="JH171" s="627">
        <v>0</v>
      </c>
      <c r="JI171" s="627">
        <v>0</v>
      </c>
      <c r="JJ171" s="627">
        <v>0</v>
      </c>
      <c r="JK171" s="627">
        <v>0</v>
      </c>
      <c r="JL171" s="627">
        <v>0</v>
      </c>
      <c r="JM171" s="627">
        <v>0</v>
      </c>
      <c r="JN171" s="627">
        <v>0</v>
      </c>
      <c r="JO171" s="627">
        <v>32469</v>
      </c>
      <c r="JP171" s="627">
        <v>0</v>
      </c>
      <c r="JQ171" s="627">
        <v>0</v>
      </c>
      <c r="JR171" s="627">
        <v>0</v>
      </c>
      <c r="JS171" s="627">
        <v>0</v>
      </c>
      <c r="JT171" s="627">
        <v>0</v>
      </c>
      <c r="JU171" s="627">
        <v>0</v>
      </c>
      <c r="JV171" s="627">
        <v>0</v>
      </c>
      <c r="JW171" s="627">
        <v>0</v>
      </c>
      <c r="JX171" s="627">
        <v>0</v>
      </c>
      <c r="JY171" s="627">
        <v>0</v>
      </c>
      <c r="JZ171" s="627">
        <v>0</v>
      </c>
      <c r="KA171" s="627">
        <v>0</v>
      </c>
      <c r="KB171" s="627">
        <v>0</v>
      </c>
      <c r="KC171" s="627">
        <v>0</v>
      </c>
      <c r="KD171" s="627">
        <v>0</v>
      </c>
      <c r="KE171" s="627">
        <v>0</v>
      </c>
      <c r="KF171" s="627">
        <v>7262</v>
      </c>
      <c r="KG171" s="627">
        <v>0</v>
      </c>
      <c r="KH171" s="627">
        <v>0</v>
      </c>
      <c r="KI171" s="627">
        <v>1015521</v>
      </c>
      <c r="KJ171" s="627">
        <v>0</v>
      </c>
      <c r="KK171" s="627">
        <v>3</v>
      </c>
      <c r="KL171" s="627">
        <v>2</v>
      </c>
      <c r="KM171" s="627">
        <v>1848</v>
      </c>
      <c r="KN171" s="627">
        <v>1232</v>
      </c>
      <c r="KO171" s="627">
        <v>0</v>
      </c>
      <c r="KP171" s="627">
        <v>0</v>
      </c>
      <c r="KQ171" s="627">
        <v>1015521</v>
      </c>
      <c r="KR171" s="627">
        <v>0</v>
      </c>
      <c r="KS171" s="627">
        <v>0</v>
      </c>
      <c r="KT171" s="627">
        <v>0</v>
      </c>
      <c r="KU171" s="627">
        <v>0</v>
      </c>
      <c r="KV171" s="627">
        <v>0</v>
      </c>
      <c r="KW171" s="627">
        <v>0</v>
      </c>
      <c r="KX171" s="627">
        <v>0</v>
      </c>
      <c r="KY171" s="627">
        <v>0</v>
      </c>
      <c r="KZ171" s="627">
        <v>0</v>
      </c>
      <c r="LA171" s="627">
        <v>0</v>
      </c>
      <c r="LB171" s="627">
        <v>0</v>
      </c>
      <c r="LC171" s="627">
        <v>0</v>
      </c>
      <c r="LD171" s="627">
        <v>0</v>
      </c>
      <c r="LE171" s="627">
        <v>0</v>
      </c>
      <c r="LF171" s="627">
        <v>0</v>
      </c>
    </row>
    <row r="172" spans="1:318" x14ac:dyDescent="0.25">
      <c r="A172" s="627">
        <v>42602</v>
      </c>
      <c r="B172" s="627">
        <v>101853</v>
      </c>
      <c r="D172" s="627">
        <v>9</v>
      </c>
      <c r="E172" s="627">
        <v>2024</v>
      </c>
      <c r="F172" s="627">
        <v>6160</v>
      </c>
      <c r="G172" s="627">
        <v>0</v>
      </c>
      <c r="H172" s="627">
        <v>1188.126</v>
      </c>
      <c r="I172" s="627">
        <v>1163.6320000000001</v>
      </c>
      <c r="J172" s="627">
        <v>1163.6320000000001</v>
      </c>
      <c r="K172" s="627">
        <v>1188.126</v>
      </c>
      <c r="L172" s="627">
        <v>0</v>
      </c>
      <c r="M172" s="627">
        <v>6160</v>
      </c>
      <c r="N172" s="627">
        <v>0</v>
      </c>
      <c r="O172" s="627">
        <v>0</v>
      </c>
      <c r="P172" s="627">
        <v>0</v>
      </c>
      <c r="Q172" s="627">
        <v>1056.4170000000001</v>
      </c>
      <c r="R172" s="627">
        <v>0</v>
      </c>
      <c r="S172" s="627">
        <v>438291</v>
      </c>
      <c r="T172" s="627">
        <v>414.88400000000001</v>
      </c>
      <c r="U172" s="627">
        <v>0</v>
      </c>
      <c r="V172" s="627">
        <v>227456</v>
      </c>
      <c r="W172" s="627">
        <v>646.59100000000001</v>
      </c>
      <c r="X172" s="627">
        <v>398300</v>
      </c>
      <c r="Y172" s="627">
        <v>398300</v>
      </c>
      <c r="Z172" s="627">
        <v>0</v>
      </c>
      <c r="AA172" s="627">
        <v>0</v>
      </c>
      <c r="AB172" s="627">
        <v>0</v>
      </c>
      <c r="AC172" s="627">
        <v>0</v>
      </c>
      <c r="AD172" s="627">
        <v>0</v>
      </c>
      <c r="AE172" s="627" t="s">
        <v>314</v>
      </c>
      <c r="AF172" s="627">
        <v>0</v>
      </c>
      <c r="AG172" s="627">
        <v>0</v>
      </c>
      <c r="AH172" s="627">
        <v>0</v>
      </c>
      <c r="AI172" s="627">
        <v>0</v>
      </c>
      <c r="AJ172" s="627">
        <v>0</v>
      </c>
      <c r="AK172" s="627">
        <v>6160</v>
      </c>
      <c r="AL172" s="627" t="s">
        <v>651</v>
      </c>
      <c r="AM172" s="627" t="s">
        <v>812</v>
      </c>
      <c r="AN172" s="627">
        <v>0</v>
      </c>
      <c r="AO172" s="627">
        <v>0</v>
      </c>
      <c r="AP172" s="627">
        <v>0</v>
      </c>
      <c r="AQ172" s="627">
        <v>0</v>
      </c>
      <c r="AR172" s="627">
        <v>0</v>
      </c>
      <c r="AS172" s="627">
        <v>0</v>
      </c>
      <c r="AT172" s="627">
        <v>0</v>
      </c>
      <c r="AU172" s="627">
        <v>0</v>
      </c>
      <c r="AV172" s="627">
        <v>0</v>
      </c>
      <c r="AW172" s="627">
        <v>0</v>
      </c>
      <c r="AX172" s="627">
        <v>14454346</v>
      </c>
      <c r="AY172" s="627">
        <v>14266459</v>
      </c>
      <c r="AZ172" s="627">
        <v>7145965</v>
      </c>
      <c r="BA172" s="627">
        <v>438291</v>
      </c>
      <c r="BB172" s="627">
        <v>0</v>
      </c>
      <c r="BC172" s="627">
        <v>0</v>
      </c>
      <c r="BD172" s="627">
        <v>0</v>
      </c>
      <c r="BE172" s="627">
        <v>0</v>
      </c>
      <c r="BF172" s="627">
        <v>0</v>
      </c>
      <c r="BG172" s="627">
        <v>12579617</v>
      </c>
      <c r="BH172" s="627">
        <v>0</v>
      </c>
      <c r="BI172" s="627">
        <v>0</v>
      </c>
      <c r="BJ172" s="627">
        <v>0</v>
      </c>
      <c r="BK172" s="627">
        <v>12</v>
      </c>
      <c r="BL172" s="627">
        <v>0</v>
      </c>
      <c r="BM172" s="627">
        <v>0</v>
      </c>
      <c r="BN172" s="627">
        <v>0</v>
      </c>
      <c r="BO172" s="627">
        <v>0</v>
      </c>
      <c r="BP172" s="627">
        <v>0</v>
      </c>
      <c r="BQ172" s="627">
        <v>0</v>
      </c>
      <c r="BR172" s="627">
        <v>591</v>
      </c>
      <c r="BS172" s="627">
        <v>0</v>
      </c>
      <c r="BT172" s="627">
        <v>0</v>
      </c>
      <c r="BU172" s="627">
        <v>0</v>
      </c>
      <c r="BV172" s="627">
        <v>0</v>
      </c>
      <c r="BW172" s="627">
        <v>0</v>
      </c>
      <c r="BX172" s="627">
        <v>0</v>
      </c>
      <c r="BY172" s="627">
        <v>0</v>
      </c>
      <c r="BZ172" s="627">
        <v>0</v>
      </c>
      <c r="CA172" s="627">
        <v>0</v>
      </c>
      <c r="CB172" s="627">
        <v>0</v>
      </c>
      <c r="CC172" s="627">
        <v>0</v>
      </c>
      <c r="CD172" s="627">
        <v>0</v>
      </c>
      <c r="CE172" s="627">
        <v>0</v>
      </c>
      <c r="CF172" s="627">
        <v>0</v>
      </c>
      <c r="CG172" s="627">
        <v>0</v>
      </c>
      <c r="CH172" s="627">
        <v>0</v>
      </c>
      <c r="CI172" s="627">
        <v>190015</v>
      </c>
      <c r="CJ172" s="627">
        <v>0</v>
      </c>
      <c r="CK172" s="627">
        <v>4</v>
      </c>
      <c r="CL172" s="627">
        <v>0</v>
      </c>
      <c r="CM172" s="627">
        <v>0</v>
      </c>
      <c r="CN172" s="627">
        <v>0</v>
      </c>
      <c r="CO172" s="627">
        <v>0</v>
      </c>
      <c r="CP172" s="627">
        <v>1</v>
      </c>
      <c r="CQ172" s="627">
        <v>0</v>
      </c>
      <c r="CR172" s="627">
        <v>0</v>
      </c>
      <c r="CS172" s="627">
        <v>1129.7440000000001</v>
      </c>
      <c r="CT172" s="627">
        <v>0</v>
      </c>
      <c r="CU172" s="627">
        <v>0</v>
      </c>
      <c r="CV172" s="627">
        <v>0</v>
      </c>
      <c r="CW172" s="627">
        <v>0</v>
      </c>
      <c r="CX172" s="627">
        <v>0</v>
      </c>
      <c r="CY172" s="627">
        <v>0</v>
      </c>
      <c r="CZ172" s="627">
        <v>0</v>
      </c>
      <c r="DA172" s="627">
        <v>0</v>
      </c>
      <c r="DB172" s="627">
        <v>0</v>
      </c>
      <c r="DC172" s="627">
        <v>7167973</v>
      </c>
      <c r="DD172" s="627">
        <v>0</v>
      </c>
      <c r="DE172" s="627">
        <v>0</v>
      </c>
      <c r="DF172" s="627">
        <v>2630474</v>
      </c>
      <c r="DG172" s="627">
        <v>2630474</v>
      </c>
      <c r="DH172" s="627">
        <v>427.02500000000003</v>
      </c>
      <c r="DI172" s="627">
        <v>0</v>
      </c>
      <c r="DJ172" s="627">
        <v>0</v>
      </c>
      <c r="DK172" s="627">
        <v>0</v>
      </c>
      <c r="DL172" s="627">
        <v>1075</v>
      </c>
      <c r="DM172" s="627">
        <v>0</v>
      </c>
      <c r="DN172" s="627">
        <v>624466</v>
      </c>
      <c r="DO172" s="627">
        <v>2128</v>
      </c>
      <c r="DP172" s="627">
        <v>0</v>
      </c>
      <c r="DQ172" s="627">
        <v>0</v>
      </c>
      <c r="DR172" s="627">
        <v>0</v>
      </c>
      <c r="DS172" s="627">
        <v>0</v>
      </c>
      <c r="DT172" s="627">
        <v>0</v>
      </c>
      <c r="DU172" s="627">
        <v>0</v>
      </c>
      <c r="DV172" s="627">
        <v>0</v>
      </c>
      <c r="DW172" s="627">
        <v>0</v>
      </c>
      <c r="DX172" s="627">
        <v>0</v>
      </c>
      <c r="DY172" s="627">
        <v>0</v>
      </c>
      <c r="DZ172" s="627">
        <v>0</v>
      </c>
      <c r="EA172" s="627">
        <v>0</v>
      </c>
      <c r="EB172" s="627">
        <v>0</v>
      </c>
      <c r="EC172" s="627">
        <v>0</v>
      </c>
      <c r="ED172" s="627">
        <v>16.372</v>
      </c>
      <c r="EE172" s="627">
        <v>115979</v>
      </c>
      <c r="EF172" s="627">
        <v>0</v>
      </c>
      <c r="EG172" s="627">
        <v>0</v>
      </c>
      <c r="EH172" s="627">
        <v>0</v>
      </c>
      <c r="EI172" s="627">
        <v>510615</v>
      </c>
      <c r="EJ172" s="627">
        <v>0</v>
      </c>
      <c r="EK172" s="627">
        <v>0</v>
      </c>
      <c r="EL172" s="627">
        <v>12.859</v>
      </c>
      <c r="EM172" s="627">
        <v>0</v>
      </c>
      <c r="EN172" s="627">
        <v>6.93</v>
      </c>
      <c r="EO172" s="627">
        <v>4.7050000000000001</v>
      </c>
      <c r="EP172" s="627">
        <v>0</v>
      </c>
      <c r="EQ172" s="627">
        <v>0</v>
      </c>
      <c r="ER172" s="627">
        <v>24.494</v>
      </c>
      <c r="ES172" s="627">
        <v>0</v>
      </c>
      <c r="ET172" s="627">
        <v>82.89200000000001</v>
      </c>
      <c r="EU172" s="627">
        <v>0</v>
      </c>
      <c r="EV172" s="627">
        <v>0</v>
      </c>
      <c r="EW172" s="627">
        <v>0</v>
      </c>
      <c r="EX172" s="627">
        <v>0</v>
      </c>
      <c r="EY172" s="627">
        <v>0</v>
      </c>
      <c r="EZ172" s="627">
        <v>0</v>
      </c>
      <c r="FA172" s="627">
        <v>12141326</v>
      </c>
      <c r="FB172" s="627">
        <v>0</v>
      </c>
      <c r="FC172" s="627">
        <v>12577489</v>
      </c>
      <c r="FD172" s="627">
        <v>0</v>
      </c>
      <c r="FE172" s="627">
        <v>0</v>
      </c>
      <c r="FF172" s="627">
        <v>1811417</v>
      </c>
      <c r="FG172" s="627">
        <v>313716</v>
      </c>
      <c r="FH172" s="627">
        <v>7.0280999999999996E-2</v>
      </c>
      <c r="FI172" s="627">
        <v>3.1172999999999999E-2</v>
      </c>
      <c r="FJ172" s="627">
        <v>0</v>
      </c>
      <c r="FK172" s="627">
        <v>0</v>
      </c>
      <c r="FL172" s="627">
        <v>2042.1460000000002</v>
      </c>
      <c r="FM172" s="627">
        <v>14892637</v>
      </c>
      <c r="FN172" s="627">
        <v>0</v>
      </c>
      <c r="FO172" s="627">
        <v>0</v>
      </c>
      <c r="FP172" s="627">
        <v>0</v>
      </c>
      <c r="FQ172" s="627">
        <v>0</v>
      </c>
      <c r="FR172" s="627">
        <v>0</v>
      </c>
      <c r="FS172" s="627">
        <v>0</v>
      </c>
      <c r="FT172" s="627">
        <v>0</v>
      </c>
      <c r="FU172" s="627">
        <v>0</v>
      </c>
      <c r="FV172" s="627">
        <v>0</v>
      </c>
      <c r="FW172" s="627">
        <v>0</v>
      </c>
      <c r="FX172" s="627">
        <v>0</v>
      </c>
      <c r="FY172" s="627">
        <v>0</v>
      </c>
      <c r="FZ172" s="627">
        <v>0</v>
      </c>
      <c r="GA172" s="627">
        <v>0</v>
      </c>
      <c r="GB172" s="627">
        <v>0</v>
      </c>
      <c r="GC172" s="627">
        <v>0</v>
      </c>
      <c r="GD172" s="627">
        <v>0</v>
      </c>
      <c r="GE172" s="627">
        <v>0</v>
      </c>
      <c r="GF172" s="627">
        <v>0</v>
      </c>
      <c r="GG172" s="627">
        <v>0</v>
      </c>
      <c r="GH172" s="627">
        <v>0</v>
      </c>
      <c r="GI172" s="627">
        <v>0</v>
      </c>
      <c r="GJ172" s="627">
        <v>0</v>
      </c>
      <c r="GK172" s="627">
        <v>0</v>
      </c>
      <c r="GL172" s="627">
        <v>0</v>
      </c>
      <c r="GM172" s="627">
        <v>0</v>
      </c>
      <c r="GN172" s="627">
        <v>0</v>
      </c>
      <c r="GO172" s="627">
        <v>0</v>
      </c>
      <c r="GP172" s="627">
        <v>0</v>
      </c>
      <c r="GQ172" s="627">
        <v>0</v>
      </c>
      <c r="GR172" s="627">
        <v>14264331</v>
      </c>
      <c r="GS172" s="627">
        <v>0</v>
      </c>
      <c r="GT172" s="627">
        <v>0</v>
      </c>
      <c r="GU172" s="627">
        <v>0</v>
      </c>
      <c r="GV172" s="627">
        <v>0</v>
      </c>
      <c r="GW172" s="627">
        <v>0</v>
      </c>
      <c r="GX172" s="627">
        <v>0</v>
      </c>
      <c r="GY172" s="627">
        <v>0</v>
      </c>
      <c r="GZ172" s="627">
        <v>0</v>
      </c>
      <c r="HA172" s="627">
        <v>0</v>
      </c>
      <c r="HB172" s="627">
        <v>0</v>
      </c>
      <c r="HC172" s="627">
        <v>361151439</v>
      </c>
      <c r="HD172" s="627">
        <v>3.9981999999999997E-2</v>
      </c>
      <c r="HE172" s="627">
        <v>190015</v>
      </c>
      <c r="HF172" s="627">
        <v>0</v>
      </c>
      <c r="HG172" s="627">
        <v>1282322</v>
      </c>
      <c r="HH172" s="627">
        <v>0</v>
      </c>
      <c r="HI172" s="627">
        <v>321695</v>
      </c>
      <c r="HJ172" s="627">
        <v>0</v>
      </c>
      <c r="HK172" s="627">
        <v>86881</v>
      </c>
      <c r="HL172" s="627">
        <v>0</v>
      </c>
      <c r="HM172" s="627">
        <v>0</v>
      </c>
      <c r="HN172" s="627">
        <v>0</v>
      </c>
      <c r="HO172" s="627">
        <v>65378</v>
      </c>
      <c r="HP172" s="627">
        <v>0</v>
      </c>
      <c r="HQ172" s="627">
        <v>0</v>
      </c>
      <c r="HR172" s="627">
        <v>0</v>
      </c>
      <c r="HS172" s="627">
        <v>0</v>
      </c>
      <c r="HT172" s="627">
        <v>12139198</v>
      </c>
      <c r="HU172" s="627">
        <v>313716</v>
      </c>
      <c r="HV172" s="627">
        <v>0</v>
      </c>
      <c r="HW172" s="627">
        <v>0</v>
      </c>
      <c r="HX172" s="627">
        <v>0</v>
      </c>
      <c r="HY172" s="627">
        <v>79</v>
      </c>
      <c r="HZ172" s="627">
        <v>112</v>
      </c>
      <c r="IA172" s="627">
        <v>216</v>
      </c>
      <c r="IB172" s="627">
        <v>482</v>
      </c>
      <c r="IC172" s="627">
        <v>735</v>
      </c>
      <c r="ID172" s="627">
        <v>1624</v>
      </c>
      <c r="IE172" s="627">
        <v>0</v>
      </c>
      <c r="IF172" s="627">
        <v>0</v>
      </c>
      <c r="IG172" s="627">
        <v>0</v>
      </c>
      <c r="IH172" s="627">
        <v>0</v>
      </c>
      <c r="II172" s="627">
        <v>522.23199999999997</v>
      </c>
      <c r="IJ172" s="627">
        <v>0</v>
      </c>
      <c r="IK172" s="627">
        <v>646.59100000000001</v>
      </c>
      <c r="IL172" s="627">
        <v>0</v>
      </c>
      <c r="IM172" s="627">
        <v>0</v>
      </c>
      <c r="IN172" s="627">
        <v>0</v>
      </c>
      <c r="IO172" s="627">
        <v>0</v>
      </c>
      <c r="IP172" s="627">
        <v>0</v>
      </c>
      <c r="IQ172" s="627">
        <v>0</v>
      </c>
      <c r="IR172" s="627">
        <v>646.59100000000001</v>
      </c>
      <c r="IS172" s="627">
        <v>398300</v>
      </c>
      <c r="IT172" s="627">
        <v>0</v>
      </c>
      <c r="IU172" s="627">
        <v>0</v>
      </c>
      <c r="IV172" s="627">
        <v>0</v>
      </c>
      <c r="IW172" s="627">
        <v>0</v>
      </c>
      <c r="IX172" s="627">
        <v>6160</v>
      </c>
      <c r="IY172" s="627">
        <v>0</v>
      </c>
      <c r="IZ172" s="627">
        <v>0</v>
      </c>
      <c r="JA172" s="627">
        <v>0</v>
      </c>
      <c r="JB172" s="627">
        <v>0</v>
      </c>
      <c r="JC172" s="627">
        <v>1</v>
      </c>
      <c r="JD172" s="627">
        <v>28052</v>
      </c>
      <c r="JE172" s="627">
        <v>2</v>
      </c>
      <c r="JF172" s="627">
        <v>29094</v>
      </c>
      <c r="JG172" s="627">
        <v>1</v>
      </c>
      <c r="JH172" s="627">
        <v>6732</v>
      </c>
      <c r="JI172" s="627">
        <v>1500</v>
      </c>
      <c r="JJ172" s="627">
        <v>0</v>
      </c>
      <c r="JK172" s="627">
        <v>0</v>
      </c>
      <c r="JL172" s="627">
        <v>0</v>
      </c>
      <c r="JM172" s="627">
        <v>0</v>
      </c>
      <c r="JN172" s="627">
        <v>0</v>
      </c>
      <c r="JO172" s="627">
        <v>32469</v>
      </c>
      <c r="JP172" s="627">
        <v>0</v>
      </c>
      <c r="JQ172" s="627">
        <v>0</v>
      </c>
      <c r="JR172" s="627">
        <v>0</v>
      </c>
      <c r="JS172" s="627">
        <v>0</v>
      </c>
      <c r="JT172" s="627">
        <v>0</v>
      </c>
      <c r="JU172" s="627">
        <v>0</v>
      </c>
      <c r="JV172" s="627">
        <v>0</v>
      </c>
      <c r="JW172" s="627">
        <v>0</v>
      </c>
      <c r="JX172" s="627">
        <v>0</v>
      </c>
      <c r="JY172" s="627">
        <v>0</v>
      </c>
      <c r="JZ172" s="627">
        <v>0</v>
      </c>
      <c r="KA172" s="627">
        <v>0</v>
      </c>
      <c r="KB172" s="627">
        <v>0</v>
      </c>
      <c r="KC172" s="627">
        <v>0</v>
      </c>
      <c r="KD172" s="627">
        <v>0</v>
      </c>
      <c r="KE172" s="627">
        <v>0</v>
      </c>
      <c r="KF172" s="627">
        <v>7262</v>
      </c>
      <c r="KG172" s="627">
        <v>0</v>
      </c>
      <c r="KH172" s="627">
        <v>0</v>
      </c>
      <c r="KI172" s="627">
        <v>14264331</v>
      </c>
      <c r="KJ172" s="627">
        <v>0</v>
      </c>
      <c r="KK172" s="627">
        <v>0</v>
      </c>
      <c r="KL172" s="627">
        <v>0</v>
      </c>
      <c r="KM172" s="627">
        <v>0</v>
      </c>
      <c r="KN172" s="627">
        <v>0</v>
      </c>
      <c r="KO172" s="627">
        <v>0</v>
      </c>
      <c r="KP172" s="627">
        <v>0</v>
      </c>
      <c r="KQ172" s="627">
        <v>14264331</v>
      </c>
      <c r="KR172" s="627">
        <v>0</v>
      </c>
      <c r="KS172" s="627">
        <v>0</v>
      </c>
      <c r="KT172" s="627">
        <v>0</v>
      </c>
      <c r="KU172" s="627">
        <v>0</v>
      </c>
      <c r="KV172" s="627">
        <v>0</v>
      </c>
      <c r="KW172" s="627">
        <v>0</v>
      </c>
      <c r="KX172" s="627">
        <v>0</v>
      </c>
      <c r="KY172" s="627">
        <v>0</v>
      </c>
      <c r="KZ172" s="627">
        <v>0</v>
      </c>
      <c r="LA172" s="627">
        <v>0</v>
      </c>
      <c r="LB172" s="627">
        <v>0</v>
      </c>
      <c r="LC172" s="627">
        <v>0</v>
      </c>
      <c r="LD172" s="627">
        <v>0</v>
      </c>
      <c r="LE172" s="627">
        <v>0</v>
      </c>
      <c r="LF172" s="627">
        <v>0</v>
      </c>
    </row>
    <row r="173" spans="1:318" x14ac:dyDescent="0.25">
      <c r="A173" s="627">
        <v>42602</v>
      </c>
      <c r="B173" s="627">
        <v>101855</v>
      </c>
      <c r="D173" s="627">
        <v>9</v>
      </c>
      <c r="E173" s="627">
        <v>2024</v>
      </c>
      <c r="F173" s="627">
        <v>6160</v>
      </c>
      <c r="G173" s="627">
        <v>0</v>
      </c>
      <c r="H173" s="627">
        <v>252.185</v>
      </c>
      <c r="I173" s="627">
        <v>244.73700000000002</v>
      </c>
      <c r="J173" s="627">
        <v>244.73700000000002</v>
      </c>
      <c r="K173" s="627">
        <v>252.185</v>
      </c>
      <c r="L173" s="627">
        <v>0</v>
      </c>
      <c r="M173" s="627">
        <v>6160</v>
      </c>
      <c r="N173" s="627">
        <v>0</v>
      </c>
      <c r="O173" s="627">
        <v>0</v>
      </c>
      <c r="P173" s="627">
        <v>0</v>
      </c>
      <c r="Q173" s="627">
        <v>230.10300000000001</v>
      </c>
      <c r="R173" s="627">
        <v>0</v>
      </c>
      <c r="S173" s="627">
        <v>95466</v>
      </c>
      <c r="T173" s="627">
        <v>414.88400000000001</v>
      </c>
      <c r="U173" s="627">
        <v>0</v>
      </c>
      <c r="V173" s="627">
        <v>49542</v>
      </c>
      <c r="W173" s="627">
        <v>2.8960000000000004</v>
      </c>
      <c r="X173" s="627">
        <v>1784</v>
      </c>
      <c r="Y173" s="627">
        <v>1784</v>
      </c>
      <c r="Z173" s="627">
        <v>0</v>
      </c>
      <c r="AA173" s="627">
        <v>0</v>
      </c>
      <c r="AB173" s="627">
        <v>0</v>
      </c>
      <c r="AC173" s="627">
        <v>0</v>
      </c>
      <c r="AD173" s="627">
        <v>0</v>
      </c>
      <c r="AE173" s="627" t="s">
        <v>314</v>
      </c>
      <c r="AF173" s="627">
        <v>0</v>
      </c>
      <c r="AG173" s="627">
        <v>0</v>
      </c>
      <c r="AH173" s="627">
        <v>0</v>
      </c>
      <c r="AI173" s="627">
        <v>0</v>
      </c>
      <c r="AJ173" s="627">
        <v>0</v>
      </c>
      <c r="AK173" s="627">
        <v>6160</v>
      </c>
      <c r="AL173" s="627" t="s">
        <v>651</v>
      </c>
      <c r="AM173" s="627" t="s">
        <v>1060</v>
      </c>
      <c r="AN173" s="627">
        <v>0</v>
      </c>
      <c r="AO173" s="627">
        <v>0</v>
      </c>
      <c r="AP173" s="627">
        <v>0</v>
      </c>
      <c r="AQ173" s="627">
        <v>0</v>
      </c>
      <c r="AR173" s="627">
        <v>0</v>
      </c>
      <c r="AS173" s="627">
        <v>0</v>
      </c>
      <c r="AT173" s="627">
        <v>0</v>
      </c>
      <c r="AU173" s="627">
        <v>0</v>
      </c>
      <c r="AV173" s="627">
        <v>0</v>
      </c>
      <c r="AW173" s="627">
        <v>-2128</v>
      </c>
      <c r="AX173" s="627">
        <v>2811381</v>
      </c>
      <c r="AY173" s="627">
        <v>2771557</v>
      </c>
      <c r="AZ173" s="627">
        <v>1336776</v>
      </c>
      <c r="BA173" s="627">
        <v>95466</v>
      </c>
      <c r="BB173" s="627">
        <v>0</v>
      </c>
      <c r="BC173" s="627">
        <v>0</v>
      </c>
      <c r="BD173" s="627">
        <v>0</v>
      </c>
      <c r="BE173" s="627">
        <v>0</v>
      </c>
      <c r="BF173" s="627">
        <v>0</v>
      </c>
      <c r="BG173" s="627">
        <v>2446959</v>
      </c>
      <c r="BH173" s="627">
        <v>0</v>
      </c>
      <c r="BI173" s="627">
        <v>0</v>
      </c>
      <c r="BJ173" s="627">
        <v>0</v>
      </c>
      <c r="BK173" s="627">
        <v>12</v>
      </c>
      <c r="BL173" s="627">
        <v>0</v>
      </c>
      <c r="BM173" s="627">
        <v>0</v>
      </c>
      <c r="BN173" s="627">
        <v>0</v>
      </c>
      <c r="BO173" s="627">
        <v>0</v>
      </c>
      <c r="BP173" s="627">
        <v>0</v>
      </c>
      <c r="BQ173" s="627">
        <v>0</v>
      </c>
      <c r="BR173" s="627">
        <v>732</v>
      </c>
      <c r="BS173" s="627">
        <v>0</v>
      </c>
      <c r="BT173" s="627">
        <v>0</v>
      </c>
      <c r="BU173" s="627">
        <v>0</v>
      </c>
      <c r="BV173" s="627">
        <v>0</v>
      </c>
      <c r="BW173" s="627">
        <v>0</v>
      </c>
      <c r="BX173" s="627">
        <v>0</v>
      </c>
      <c r="BY173" s="627">
        <v>0</v>
      </c>
      <c r="BZ173" s="627">
        <v>0</v>
      </c>
      <c r="CA173" s="627">
        <v>0</v>
      </c>
      <c r="CB173" s="627">
        <v>0</v>
      </c>
      <c r="CC173" s="627">
        <v>0</v>
      </c>
      <c r="CD173" s="627">
        <v>0</v>
      </c>
      <c r="CE173" s="627">
        <v>0</v>
      </c>
      <c r="CF173" s="627">
        <v>0</v>
      </c>
      <c r="CG173" s="627">
        <v>0</v>
      </c>
      <c r="CH173" s="627">
        <v>0</v>
      </c>
      <c r="CI173" s="627">
        <v>40332</v>
      </c>
      <c r="CJ173" s="627">
        <v>0</v>
      </c>
      <c r="CK173" s="627">
        <v>4</v>
      </c>
      <c r="CL173" s="627">
        <v>0</v>
      </c>
      <c r="CM173" s="627">
        <v>0</v>
      </c>
      <c r="CN173" s="627">
        <v>0</v>
      </c>
      <c r="CO173" s="627">
        <v>0</v>
      </c>
      <c r="CP173" s="627">
        <v>1</v>
      </c>
      <c r="CQ173" s="627">
        <v>0</v>
      </c>
      <c r="CR173" s="627">
        <v>0</v>
      </c>
      <c r="CS173" s="627">
        <v>227.99</v>
      </c>
      <c r="CT173" s="627">
        <v>0</v>
      </c>
      <c r="CU173" s="627">
        <v>0</v>
      </c>
      <c r="CV173" s="627">
        <v>0</v>
      </c>
      <c r="CW173" s="627">
        <v>0</v>
      </c>
      <c r="CX173" s="627">
        <v>0</v>
      </c>
      <c r="CY173" s="627">
        <v>0</v>
      </c>
      <c r="CZ173" s="627">
        <v>0</v>
      </c>
      <c r="DA173" s="627">
        <v>0</v>
      </c>
      <c r="DB173" s="627">
        <v>0</v>
      </c>
      <c r="DC173" s="627">
        <v>1507580</v>
      </c>
      <c r="DD173" s="627">
        <v>0</v>
      </c>
      <c r="DE173" s="627">
        <v>0</v>
      </c>
      <c r="DF173" s="627">
        <v>427119</v>
      </c>
      <c r="DG173" s="627">
        <v>427119</v>
      </c>
      <c r="DH173" s="627">
        <v>69.338000000000008</v>
      </c>
      <c r="DI173" s="627">
        <v>0</v>
      </c>
      <c r="DJ173" s="627">
        <v>0</v>
      </c>
      <c r="DK173" s="627">
        <v>0</v>
      </c>
      <c r="DL173" s="627">
        <v>3339</v>
      </c>
      <c r="DM173" s="627">
        <v>0</v>
      </c>
      <c r="DN173" s="627">
        <v>149024</v>
      </c>
      <c r="DO173" s="627">
        <v>508</v>
      </c>
      <c r="DP173" s="627">
        <v>0</v>
      </c>
      <c r="DQ173" s="627">
        <v>0</v>
      </c>
      <c r="DR173" s="627">
        <v>0</v>
      </c>
      <c r="DS173" s="627">
        <v>0</v>
      </c>
      <c r="DT173" s="627">
        <v>0</v>
      </c>
      <c r="DU173" s="627">
        <v>0</v>
      </c>
      <c r="DV173" s="627">
        <v>0</v>
      </c>
      <c r="DW173" s="627">
        <v>0</v>
      </c>
      <c r="DX173" s="627">
        <v>0</v>
      </c>
      <c r="DY173" s="627">
        <v>0</v>
      </c>
      <c r="DZ173" s="627">
        <v>0</v>
      </c>
      <c r="EA173" s="627">
        <v>0</v>
      </c>
      <c r="EB173" s="627">
        <v>0</v>
      </c>
      <c r="EC173" s="627">
        <v>0</v>
      </c>
      <c r="ED173" s="627">
        <v>0.90500000000000003</v>
      </c>
      <c r="EE173" s="627">
        <v>6411</v>
      </c>
      <c r="EF173" s="627">
        <v>0</v>
      </c>
      <c r="EG173" s="627">
        <v>0</v>
      </c>
      <c r="EH173" s="627">
        <v>0</v>
      </c>
      <c r="EI173" s="627">
        <v>143121</v>
      </c>
      <c r="EJ173" s="627">
        <v>0</v>
      </c>
      <c r="EK173" s="627">
        <v>0</v>
      </c>
      <c r="EL173" s="627">
        <v>7.0030000000000001</v>
      </c>
      <c r="EM173" s="627">
        <v>0</v>
      </c>
      <c r="EN173" s="627">
        <v>0</v>
      </c>
      <c r="EO173" s="627">
        <v>0.44500000000000001</v>
      </c>
      <c r="EP173" s="627">
        <v>0</v>
      </c>
      <c r="EQ173" s="627">
        <v>0</v>
      </c>
      <c r="ER173" s="627">
        <v>7.4480000000000004</v>
      </c>
      <c r="ES173" s="627">
        <v>0</v>
      </c>
      <c r="ET173" s="627">
        <v>23.234000000000002</v>
      </c>
      <c r="EU173" s="627">
        <v>0</v>
      </c>
      <c r="EV173" s="627">
        <v>0</v>
      </c>
      <c r="EW173" s="627">
        <v>0</v>
      </c>
      <c r="EX173" s="627">
        <v>0</v>
      </c>
      <c r="EY173" s="627">
        <v>0</v>
      </c>
      <c r="EZ173" s="627">
        <v>0</v>
      </c>
      <c r="FA173" s="627">
        <v>2358181</v>
      </c>
      <c r="FB173" s="627">
        <v>0</v>
      </c>
      <c r="FC173" s="627">
        <v>2453139</v>
      </c>
      <c r="FD173" s="627">
        <v>0</v>
      </c>
      <c r="FE173" s="627">
        <v>0</v>
      </c>
      <c r="FF173" s="627">
        <v>352353</v>
      </c>
      <c r="FG173" s="627">
        <v>61023</v>
      </c>
      <c r="FH173" s="627">
        <v>7.0280999999999996E-2</v>
      </c>
      <c r="FI173" s="627">
        <v>3.1172999999999999E-2</v>
      </c>
      <c r="FJ173" s="627">
        <v>0</v>
      </c>
      <c r="FK173" s="627">
        <v>0</v>
      </c>
      <c r="FL173" s="627">
        <v>397.23400000000004</v>
      </c>
      <c r="FM173" s="627">
        <v>2906847</v>
      </c>
      <c r="FN173" s="627">
        <v>0</v>
      </c>
      <c r="FO173" s="627">
        <v>0</v>
      </c>
      <c r="FP173" s="627">
        <v>6688</v>
      </c>
      <c r="FQ173" s="627">
        <v>0</v>
      </c>
      <c r="FR173" s="627">
        <v>6688</v>
      </c>
      <c r="FS173" s="627">
        <v>6688</v>
      </c>
      <c r="FT173" s="627">
        <v>0</v>
      </c>
      <c r="FU173" s="627">
        <v>0</v>
      </c>
      <c r="FV173" s="627">
        <v>0</v>
      </c>
      <c r="FW173" s="627">
        <v>0</v>
      </c>
      <c r="FX173" s="627">
        <v>0</v>
      </c>
      <c r="FY173" s="627">
        <v>0</v>
      </c>
      <c r="FZ173" s="627">
        <v>0</v>
      </c>
      <c r="GA173" s="627">
        <v>0</v>
      </c>
      <c r="GB173" s="627">
        <v>0</v>
      </c>
      <c r="GC173" s="627">
        <v>0</v>
      </c>
      <c r="GD173" s="627">
        <v>0</v>
      </c>
      <c r="GE173" s="627">
        <v>0</v>
      </c>
      <c r="GF173" s="627">
        <v>0</v>
      </c>
      <c r="GG173" s="627">
        <v>0</v>
      </c>
      <c r="GH173" s="627">
        <v>0</v>
      </c>
      <c r="GI173" s="627">
        <v>0</v>
      </c>
      <c r="GJ173" s="627">
        <v>0</v>
      </c>
      <c r="GK173" s="627">
        <v>0</v>
      </c>
      <c r="GL173" s="627">
        <v>0</v>
      </c>
      <c r="GM173" s="627">
        <v>0</v>
      </c>
      <c r="GN173" s="627">
        <v>0</v>
      </c>
      <c r="GO173" s="627">
        <v>0</v>
      </c>
      <c r="GP173" s="627">
        <v>0</v>
      </c>
      <c r="GQ173" s="627">
        <v>0</v>
      </c>
      <c r="GR173" s="627">
        <v>2771049</v>
      </c>
      <c r="GS173" s="627">
        <v>0</v>
      </c>
      <c r="GT173" s="627">
        <v>0</v>
      </c>
      <c r="GU173" s="627">
        <v>0</v>
      </c>
      <c r="GV173" s="627">
        <v>0</v>
      </c>
      <c r="GW173" s="627">
        <v>0</v>
      </c>
      <c r="GX173" s="627">
        <v>0</v>
      </c>
      <c r="GY173" s="627">
        <v>0</v>
      </c>
      <c r="GZ173" s="627">
        <v>0</v>
      </c>
      <c r="HA173" s="627">
        <v>0</v>
      </c>
      <c r="HB173" s="627">
        <v>0</v>
      </c>
      <c r="HC173" s="627">
        <v>361151439</v>
      </c>
      <c r="HD173" s="627">
        <v>3.9981999999999997E-2</v>
      </c>
      <c r="HE173" s="627">
        <v>40332</v>
      </c>
      <c r="HF173" s="627">
        <v>0</v>
      </c>
      <c r="HG173" s="627">
        <v>269700</v>
      </c>
      <c r="HH173" s="627">
        <v>0</v>
      </c>
      <c r="HI173" s="627">
        <v>73722</v>
      </c>
      <c r="HJ173" s="627">
        <v>0</v>
      </c>
      <c r="HK173" s="627">
        <v>17522</v>
      </c>
      <c r="HL173" s="627">
        <v>0</v>
      </c>
      <c r="HM173" s="627">
        <v>0</v>
      </c>
      <c r="HN173" s="627">
        <v>0</v>
      </c>
      <c r="HO173" s="627">
        <v>0</v>
      </c>
      <c r="HP173" s="627">
        <v>0</v>
      </c>
      <c r="HQ173" s="627">
        <v>0</v>
      </c>
      <c r="HR173" s="627">
        <v>0</v>
      </c>
      <c r="HS173" s="627">
        <v>0</v>
      </c>
      <c r="HT173" s="627">
        <v>2357673</v>
      </c>
      <c r="HU173" s="627">
        <v>61023</v>
      </c>
      <c r="HV173" s="627">
        <v>0</v>
      </c>
      <c r="HW173" s="627">
        <v>0</v>
      </c>
      <c r="HX173" s="627">
        <v>0</v>
      </c>
      <c r="HY173" s="627">
        <v>39</v>
      </c>
      <c r="HZ173" s="627">
        <v>61</v>
      </c>
      <c r="IA173" s="627">
        <v>58</v>
      </c>
      <c r="IB173" s="627">
        <v>70</v>
      </c>
      <c r="IC173" s="627">
        <v>48</v>
      </c>
      <c r="ID173" s="627">
        <v>276</v>
      </c>
      <c r="IE173" s="627">
        <v>0</v>
      </c>
      <c r="IF173" s="627">
        <v>0</v>
      </c>
      <c r="IG173" s="627">
        <v>0</v>
      </c>
      <c r="IH173" s="627">
        <v>0</v>
      </c>
      <c r="II173" s="627">
        <v>119.67800000000001</v>
      </c>
      <c r="IJ173" s="627">
        <v>0</v>
      </c>
      <c r="IK173" s="627">
        <v>2.8960000000000004</v>
      </c>
      <c r="IL173" s="627">
        <v>0</v>
      </c>
      <c r="IM173" s="627">
        <v>0</v>
      </c>
      <c r="IN173" s="627">
        <v>0</v>
      </c>
      <c r="IO173" s="627">
        <v>0</v>
      </c>
      <c r="IP173" s="627">
        <v>0</v>
      </c>
      <c r="IQ173" s="627">
        <v>0</v>
      </c>
      <c r="IR173" s="627">
        <v>2.8960000000000004</v>
      </c>
      <c r="IS173" s="627">
        <v>1784</v>
      </c>
      <c r="IT173" s="627">
        <v>0</v>
      </c>
      <c r="IU173" s="627">
        <v>0</v>
      </c>
      <c r="IV173" s="627">
        <v>0</v>
      </c>
      <c r="IW173" s="627">
        <v>0</v>
      </c>
      <c r="IX173" s="627">
        <v>6160</v>
      </c>
      <c r="IY173" s="627">
        <v>0</v>
      </c>
      <c r="IZ173" s="627">
        <v>0</v>
      </c>
      <c r="JA173" s="627">
        <v>0</v>
      </c>
      <c r="JB173" s="627">
        <v>0</v>
      </c>
      <c r="JC173" s="627">
        <v>0</v>
      </c>
      <c r="JD173" s="627">
        <v>0</v>
      </c>
      <c r="JE173" s="627">
        <v>0</v>
      </c>
      <c r="JF173" s="627">
        <v>0</v>
      </c>
      <c r="JG173" s="627">
        <v>0</v>
      </c>
      <c r="JH173" s="627">
        <v>0</v>
      </c>
      <c r="JI173" s="627">
        <v>0</v>
      </c>
      <c r="JJ173" s="627">
        <v>0</v>
      </c>
      <c r="JK173" s="627">
        <v>0</v>
      </c>
      <c r="JL173" s="627">
        <v>0</v>
      </c>
      <c r="JM173" s="627">
        <v>0</v>
      </c>
      <c r="JN173" s="627">
        <v>0</v>
      </c>
      <c r="JO173" s="627">
        <v>32469</v>
      </c>
      <c r="JP173" s="627">
        <v>0</v>
      </c>
      <c r="JQ173" s="627">
        <v>0</v>
      </c>
      <c r="JR173" s="627">
        <v>0</v>
      </c>
      <c r="JS173" s="627">
        <v>0</v>
      </c>
      <c r="JT173" s="627">
        <v>0</v>
      </c>
      <c r="JU173" s="627">
        <v>0</v>
      </c>
      <c r="JV173" s="627">
        <v>0</v>
      </c>
      <c r="JW173" s="627">
        <v>0</v>
      </c>
      <c r="JX173" s="627">
        <v>0</v>
      </c>
      <c r="JY173" s="627">
        <v>0</v>
      </c>
      <c r="JZ173" s="627">
        <v>0</v>
      </c>
      <c r="KA173" s="627">
        <v>0</v>
      </c>
      <c r="KB173" s="627">
        <v>0</v>
      </c>
      <c r="KC173" s="627">
        <v>0</v>
      </c>
      <c r="KD173" s="627">
        <v>0</v>
      </c>
      <c r="KE173" s="627">
        <v>0</v>
      </c>
      <c r="KF173" s="627">
        <v>7262</v>
      </c>
      <c r="KG173" s="627">
        <v>0</v>
      </c>
      <c r="KH173" s="627">
        <v>0</v>
      </c>
      <c r="KI173" s="627">
        <v>2771049</v>
      </c>
      <c r="KJ173" s="627">
        <v>0</v>
      </c>
      <c r="KK173" s="627">
        <v>0</v>
      </c>
      <c r="KL173" s="627">
        <v>0</v>
      </c>
      <c r="KM173" s="627">
        <v>0</v>
      </c>
      <c r="KN173" s="627">
        <v>0</v>
      </c>
      <c r="KO173" s="627">
        <v>0</v>
      </c>
      <c r="KP173" s="627">
        <v>0</v>
      </c>
      <c r="KQ173" s="627">
        <v>2771049</v>
      </c>
      <c r="KR173" s="627">
        <v>0</v>
      </c>
      <c r="KS173" s="627">
        <v>0</v>
      </c>
      <c r="KT173" s="627">
        <v>0</v>
      </c>
      <c r="KU173" s="627">
        <v>0</v>
      </c>
      <c r="KV173" s="627">
        <v>0</v>
      </c>
      <c r="KW173" s="627">
        <v>0</v>
      </c>
      <c r="KX173" s="627">
        <v>0</v>
      </c>
      <c r="KY173" s="627">
        <v>0</v>
      </c>
      <c r="KZ173" s="627">
        <v>0</v>
      </c>
      <c r="LA173" s="627">
        <v>0</v>
      </c>
      <c r="LB173" s="627">
        <v>0</v>
      </c>
      <c r="LC173" s="627">
        <v>0</v>
      </c>
      <c r="LD173" s="627">
        <v>0</v>
      </c>
      <c r="LE173" s="627">
        <v>0</v>
      </c>
      <c r="LF173" s="627">
        <v>0</v>
      </c>
    </row>
    <row r="174" spans="1:318" x14ac:dyDescent="0.25">
      <c r="A174" s="627">
        <v>42602</v>
      </c>
      <c r="B174" s="627">
        <v>101856</v>
      </c>
      <c r="D174" s="627">
        <v>9</v>
      </c>
      <c r="E174" s="627">
        <v>2024</v>
      </c>
      <c r="F174" s="627">
        <v>6160</v>
      </c>
      <c r="G174" s="627">
        <v>0</v>
      </c>
      <c r="H174" s="627">
        <v>608.03</v>
      </c>
      <c r="I174" s="627">
        <v>601.86700000000008</v>
      </c>
      <c r="J174" s="627">
        <v>601.86700000000008</v>
      </c>
      <c r="K174" s="627">
        <v>608.03</v>
      </c>
      <c r="L174" s="627">
        <v>0</v>
      </c>
      <c r="M174" s="627">
        <v>6160</v>
      </c>
      <c r="N174" s="627">
        <v>0</v>
      </c>
      <c r="O174" s="627">
        <v>0</v>
      </c>
      <c r="P174" s="627">
        <v>0</v>
      </c>
      <c r="Q174" s="627">
        <v>605.34199999999998</v>
      </c>
      <c r="R174" s="627">
        <v>0</v>
      </c>
      <c r="S174" s="627">
        <v>251147</v>
      </c>
      <c r="T174" s="627">
        <v>414.88400000000001</v>
      </c>
      <c r="U174" s="627">
        <v>0</v>
      </c>
      <c r="V174" s="627">
        <v>130335</v>
      </c>
      <c r="W174" s="627">
        <v>154.61799999999999</v>
      </c>
      <c r="X174" s="627">
        <v>474201</v>
      </c>
      <c r="Y174" s="627">
        <v>474201</v>
      </c>
      <c r="Z174" s="627">
        <v>0</v>
      </c>
      <c r="AA174" s="627">
        <v>0</v>
      </c>
      <c r="AB174" s="627">
        <v>0</v>
      </c>
      <c r="AC174" s="627">
        <v>0</v>
      </c>
      <c r="AD174" s="627">
        <v>0</v>
      </c>
      <c r="AE174" s="627" t="s">
        <v>314</v>
      </c>
      <c r="AF174" s="627">
        <v>0</v>
      </c>
      <c r="AG174" s="627">
        <v>0</v>
      </c>
      <c r="AH174" s="627">
        <v>0</v>
      </c>
      <c r="AI174" s="627">
        <v>0</v>
      </c>
      <c r="AJ174" s="627">
        <v>0</v>
      </c>
      <c r="AK174" s="627">
        <v>6160</v>
      </c>
      <c r="AL174" s="627" t="s">
        <v>651</v>
      </c>
      <c r="AM174" s="627" t="s">
        <v>33</v>
      </c>
      <c r="AN174" s="627">
        <v>0</v>
      </c>
      <c r="AO174" s="627">
        <v>0</v>
      </c>
      <c r="AP174" s="627">
        <v>0</v>
      </c>
      <c r="AQ174" s="627">
        <v>0</v>
      </c>
      <c r="AR174" s="627">
        <v>0</v>
      </c>
      <c r="AS174" s="627">
        <v>0</v>
      </c>
      <c r="AT174" s="627">
        <v>0</v>
      </c>
      <c r="AU174" s="627">
        <v>0</v>
      </c>
      <c r="AV174" s="627">
        <v>0</v>
      </c>
      <c r="AW174" s="627">
        <v>0</v>
      </c>
      <c r="AX174" s="627">
        <v>7357797</v>
      </c>
      <c r="AY174" s="627">
        <v>7260980</v>
      </c>
      <c r="AZ174" s="627">
        <v>3639664</v>
      </c>
      <c r="BA174" s="627">
        <v>251147</v>
      </c>
      <c r="BB174" s="627">
        <v>0</v>
      </c>
      <c r="BC174" s="627">
        <v>0</v>
      </c>
      <c r="BD174" s="627">
        <v>0</v>
      </c>
      <c r="BE174" s="627">
        <v>0</v>
      </c>
      <c r="BF174" s="627">
        <v>0</v>
      </c>
      <c r="BG174" s="627">
        <v>6426473</v>
      </c>
      <c r="BH174" s="627">
        <v>0</v>
      </c>
      <c r="BI174" s="627">
        <v>0</v>
      </c>
      <c r="BJ174" s="627">
        <v>0</v>
      </c>
      <c r="BK174" s="627">
        <v>12</v>
      </c>
      <c r="BL174" s="627">
        <v>0</v>
      </c>
      <c r="BM174" s="627">
        <v>0</v>
      </c>
      <c r="BN174" s="627">
        <v>0</v>
      </c>
      <c r="BO174" s="627">
        <v>0</v>
      </c>
      <c r="BP174" s="627">
        <v>0</v>
      </c>
      <c r="BQ174" s="627">
        <v>0</v>
      </c>
      <c r="BR174" s="627">
        <v>677</v>
      </c>
      <c r="BS174" s="627">
        <v>0</v>
      </c>
      <c r="BT174" s="627">
        <v>0</v>
      </c>
      <c r="BU174" s="627">
        <v>0</v>
      </c>
      <c r="BV174" s="627">
        <v>0</v>
      </c>
      <c r="BW174" s="627">
        <v>0</v>
      </c>
      <c r="BX174" s="627">
        <v>0</v>
      </c>
      <c r="BY174" s="627">
        <v>0</v>
      </c>
      <c r="BZ174" s="627">
        <v>0</v>
      </c>
      <c r="CA174" s="627">
        <v>0</v>
      </c>
      <c r="CB174" s="627">
        <v>0</v>
      </c>
      <c r="CC174" s="627">
        <v>0</v>
      </c>
      <c r="CD174" s="627">
        <v>0</v>
      </c>
      <c r="CE174" s="627">
        <v>0</v>
      </c>
      <c r="CF174" s="627">
        <v>0</v>
      </c>
      <c r="CG174" s="627">
        <v>0</v>
      </c>
      <c r="CH174" s="627">
        <v>0</v>
      </c>
      <c r="CI174" s="627">
        <v>97241</v>
      </c>
      <c r="CJ174" s="627">
        <v>0</v>
      </c>
      <c r="CK174" s="627">
        <v>4</v>
      </c>
      <c r="CL174" s="627">
        <v>0</v>
      </c>
      <c r="CM174" s="627">
        <v>0</v>
      </c>
      <c r="CN174" s="627">
        <v>0</v>
      </c>
      <c r="CO174" s="627">
        <v>0</v>
      </c>
      <c r="CP174" s="627">
        <v>1</v>
      </c>
      <c r="CQ174" s="627">
        <v>0</v>
      </c>
      <c r="CR174" s="627">
        <v>0</v>
      </c>
      <c r="CS174" s="627">
        <v>605.07000000000005</v>
      </c>
      <c r="CT174" s="627">
        <v>0</v>
      </c>
      <c r="CU174" s="627">
        <v>0</v>
      </c>
      <c r="CV174" s="627">
        <v>0</v>
      </c>
      <c r="CW174" s="627">
        <v>0</v>
      </c>
      <c r="CX174" s="627">
        <v>0</v>
      </c>
      <c r="CY174" s="627">
        <v>0</v>
      </c>
      <c r="CZ174" s="627">
        <v>0</v>
      </c>
      <c r="DA174" s="627">
        <v>0</v>
      </c>
      <c r="DB174" s="627">
        <v>0</v>
      </c>
      <c r="DC174" s="627">
        <v>3707501</v>
      </c>
      <c r="DD174" s="627">
        <v>0</v>
      </c>
      <c r="DE174" s="627">
        <v>0</v>
      </c>
      <c r="DF174" s="627">
        <v>1109647</v>
      </c>
      <c r="DG174" s="627">
        <v>1109647</v>
      </c>
      <c r="DH174" s="627">
        <v>180.13800000000001</v>
      </c>
      <c r="DI174" s="627">
        <v>0</v>
      </c>
      <c r="DJ174" s="627">
        <v>0</v>
      </c>
      <c r="DK174" s="627">
        <v>0</v>
      </c>
      <c r="DL174" s="627">
        <v>2459</v>
      </c>
      <c r="DM174" s="627">
        <v>0</v>
      </c>
      <c r="DN174" s="627">
        <v>124355</v>
      </c>
      <c r="DO174" s="627">
        <v>424</v>
      </c>
      <c r="DP174" s="627">
        <v>0</v>
      </c>
      <c r="DQ174" s="627">
        <v>0</v>
      </c>
      <c r="DR174" s="627">
        <v>0</v>
      </c>
      <c r="DS174" s="627">
        <v>0</v>
      </c>
      <c r="DT174" s="627">
        <v>0</v>
      </c>
      <c r="DU174" s="627">
        <v>0</v>
      </c>
      <c r="DV174" s="627">
        <v>0</v>
      </c>
      <c r="DW174" s="627">
        <v>0</v>
      </c>
      <c r="DX174" s="627">
        <v>0</v>
      </c>
      <c r="DY174" s="627">
        <v>0</v>
      </c>
      <c r="DZ174" s="627">
        <v>0</v>
      </c>
      <c r="EA174" s="627">
        <v>0</v>
      </c>
      <c r="EB174" s="627">
        <v>0</v>
      </c>
      <c r="EC174" s="627">
        <v>0</v>
      </c>
      <c r="ED174" s="627">
        <v>0.78200000000000003</v>
      </c>
      <c r="EE174" s="627">
        <v>5540</v>
      </c>
      <c r="EF174" s="627">
        <v>0</v>
      </c>
      <c r="EG174" s="627">
        <v>0</v>
      </c>
      <c r="EH174" s="627">
        <v>0</v>
      </c>
      <c r="EI174" s="627">
        <v>119239</v>
      </c>
      <c r="EJ174" s="627">
        <v>0</v>
      </c>
      <c r="EK174" s="627">
        <v>0</v>
      </c>
      <c r="EL174" s="627">
        <v>5.7290000000000001</v>
      </c>
      <c r="EM174" s="627">
        <v>0</v>
      </c>
      <c r="EN174" s="627">
        <v>0</v>
      </c>
      <c r="EO174" s="627">
        <v>0.434</v>
      </c>
      <c r="EP174" s="627">
        <v>0</v>
      </c>
      <c r="EQ174" s="627">
        <v>0</v>
      </c>
      <c r="ER174" s="627">
        <v>6.1630000000000003</v>
      </c>
      <c r="ES174" s="627">
        <v>0</v>
      </c>
      <c r="ET174" s="627">
        <v>19.356999999999999</v>
      </c>
      <c r="EU174" s="627">
        <v>0</v>
      </c>
      <c r="EV174" s="627">
        <v>0</v>
      </c>
      <c r="EW174" s="627">
        <v>0</v>
      </c>
      <c r="EX174" s="627">
        <v>0</v>
      </c>
      <c r="EY174" s="627">
        <v>0</v>
      </c>
      <c r="EZ174" s="627">
        <v>0</v>
      </c>
      <c r="FA174" s="627">
        <v>6175326</v>
      </c>
      <c r="FB174" s="627">
        <v>0</v>
      </c>
      <c r="FC174" s="627">
        <v>6426049</v>
      </c>
      <c r="FD174" s="627">
        <v>0</v>
      </c>
      <c r="FE174" s="627">
        <v>0</v>
      </c>
      <c r="FF174" s="627">
        <v>925388</v>
      </c>
      <c r="FG174" s="627">
        <v>160266</v>
      </c>
      <c r="FH174" s="627">
        <v>7.0280999999999996E-2</v>
      </c>
      <c r="FI174" s="627">
        <v>3.1172999999999999E-2</v>
      </c>
      <c r="FJ174" s="627">
        <v>0</v>
      </c>
      <c r="FK174" s="627">
        <v>0</v>
      </c>
      <c r="FL174" s="627">
        <v>1043.259</v>
      </c>
      <c r="FM174" s="627">
        <v>7608944</v>
      </c>
      <c r="FN174" s="627">
        <v>0</v>
      </c>
      <c r="FO174" s="627">
        <v>0</v>
      </c>
      <c r="FP174" s="627">
        <v>0</v>
      </c>
      <c r="FQ174" s="627">
        <v>0</v>
      </c>
      <c r="FR174" s="627">
        <v>0</v>
      </c>
      <c r="FS174" s="627">
        <v>0</v>
      </c>
      <c r="FT174" s="627">
        <v>0</v>
      </c>
      <c r="FU174" s="627">
        <v>0</v>
      </c>
      <c r="FV174" s="627">
        <v>0</v>
      </c>
      <c r="FW174" s="627">
        <v>0</v>
      </c>
      <c r="FX174" s="627">
        <v>0</v>
      </c>
      <c r="FY174" s="627">
        <v>0</v>
      </c>
      <c r="FZ174" s="627">
        <v>0</v>
      </c>
      <c r="GA174" s="627">
        <v>0</v>
      </c>
      <c r="GB174" s="627">
        <v>0</v>
      </c>
      <c r="GC174" s="627">
        <v>0</v>
      </c>
      <c r="GD174" s="627">
        <v>0</v>
      </c>
      <c r="GE174" s="627">
        <v>0</v>
      </c>
      <c r="GF174" s="627">
        <v>0</v>
      </c>
      <c r="GG174" s="627">
        <v>0</v>
      </c>
      <c r="GH174" s="627">
        <v>0</v>
      </c>
      <c r="GI174" s="627">
        <v>0</v>
      </c>
      <c r="GJ174" s="627">
        <v>0</v>
      </c>
      <c r="GK174" s="627">
        <v>0</v>
      </c>
      <c r="GL174" s="627">
        <v>0</v>
      </c>
      <c r="GM174" s="627">
        <v>0</v>
      </c>
      <c r="GN174" s="627">
        <v>0</v>
      </c>
      <c r="GO174" s="627">
        <v>0</v>
      </c>
      <c r="GP174" s="627">
        <v>0</v>
      </c>
      <c r="GQ174" s="627">
        <v>0</v>
      </c>
      <c r="GR174" s="627">
        <v>7260556</v>
      </c>
      <c r="GS174" s="627">
        <v>0</v>
      </c>
      <c r="GT174" s="627">
        <v>0</v>
      </c>
      <c r="GU174" s="627">
        <v>0</v>
      </c>
      <c r="GV174" s="627">
        <v>0</v>
      </c>
      <c r="GW174" s="627">
        <v>0</v>
      </c>
      <c r="GX174" s="627">
        <v>0</v>
      </c>
      <c r="GY174" s="627">
        <v>0</v>
      </c>
      <c r="GZ174" s="627">
        <v>0</v>
      </c>
      <c r="HA174" s="627">
        <v>0</v>
      </c>
      <c r="HB174" s="627">
        <v>0</v>
      </c>
      <c r="HC174" s="627">
        <v>361151439</v>
      </c>
      <c r="HD174" s="627">
        <v>3.9981999999999997E-2</v>
      </c>
      <c r="HE174" s="627">
        <v>97241</v>
      </c>
      <c r="HF174" s="627">
        <v>0</v>
      </c>
      <c r="HG174" s="627">
        <v>663257</v>
      </c>
      <c r="HH174" s="627">
        <v>0</v>
      </c>
      <c r="HI174" s="627">
        <v>326008</v>
      </c>
      <c r="HJ174" s="627">
        <v>0</v>
      </c>
      <c r="HK174" s="627">
        <v>21080</v>
      </c>
      <c r="HL174" s="627">
        <v>0</v>
      </c>
      <c r="HM174" s="627">
        <v>0</v>
      </c>
      <c r="HN174" s="627">
        <v>0</v>
      </c>
      <c r="HO174" s="627">
        <v>0</v>
      </c>
      <c r="HP174" s="627">
        <v>0</v>
      </c>
      <c r="HQ174" s="627">
        <v>0</v>
      </c>
      <c r="HR174" s="627">
        <v>0</v>
      </c>
      <c r="HS174" s="627">
        <v>0</v>
      </c>
      <c r="HT174" s="627">
        <v>6174902</v>
      </c>
      <c r="HU174" s="627">
        <v>160266</v>
      </c>
      <c r="HV174" s="627">
        <v>0</v>
      </c>
      <c r="HW174" s="627">
        <v>0</v>
      </c>
      <c r="HX174" s="627">
        <v>0</v>
      </c>
      <c r="HY174" s="627">
        <v>24</v>
      </c>
      <c r="HZ174" s="627">
        <v>24</v>
      </c>
      <c r="IA174" s="627">
        <v>53</v>
      </c>
      <c r="IB174" s="627">
        <v>165</v>
      </c>
      <c r="IC174" s="627">
        <v>409</v>
      </c>
      <c r="ID174" s="627">
        <v>675</v>
      </c>
      <c r="IE174" s="627">
        <v>0</v>
      </c>
      <c r="IF174" s="627">
        <v>410.125</v>
      </c>
      <c r="IG174" s="627">
        <v>0</v>
      </c>
      <c r="IH174" s="627">
        <v>0</v>
      </c>
      <c r="II174" s="627">
        <v>529.23300000000006</v>
      </c>
      <c r="IJ174" s="627">
        <v>0</v>
      </c>
      <c r="IK174" s="627">
        <v>564.74300000000005</v>
      </c>
      <c r="IL174" s="627">
        <v>0</v>
      </c>
      <c r="IM174" s="627">
        <v>0</v>
      </c>
      <c r="IN174" s="627">
        <v>0</v>
      </c>
      <c r="IO174" s="627">
        <v>0</v>
      </c>
      <c r="IP174" s="627">
        <v>0</v>
      </c>
      <c r="IQ174" s="627">
        <v>0</v>
      </c>
      <c r="IR174" s="627">
        <v>154.61799999999999</v>
      </c>
      <c r="IS174" s="627">
        <v>95245</v>
      </c>
      <c r="IT174" s="627">
        <v>0</v>
      </c>
      <c r="IU174" s="627">
        <v>0</v>
      </c>
      <c r="IV174" s="627">
        <v>0</v>
      </c>
      <c r="IW174" s="627">
        <v>0</v>
      </c>
      <c r="IX174" s="627">
        <v>6160</v>
      </c>
      <c r="IY174" s="627">
        <v>378956</v>
      </c>
      <c r="IZ174" s="627">
        <v>0</v>
      </c>
      <c r="JA174" s="627">
        <v>0</v>
      </c>
      <c r="JB174" s="627">
        <v>0</v>
      </c>
      <c r="JC174" s="627">
        <v>0</v>
      </c>
      <c r="JD174" s="627">
        <v>0</v>
      </c>
      <c r="JE174" s="627">
        <v>0</v>
      </c>
      <c r="JF174" s="627">
        <v>0</v>
      </c>
      <c r="JG174" s="627">
        <v>0</v>
      </c>
      <c r="JH174" s="627">
        <v>0</v>
      </c>
      <c r="JI174" s="627">
        <v>0</v>
      </c>
      <c r="JJ174" s="627">
        <v>0</v>
      </c>
      <c r="JK174" s="627">
        <v>0</v>
      </c>
      <c r="JL174" s="627">
        <v>0</v>
      </c>
      <c r="JM174" s="627">
        <v>0</v>
      </c>
      <c r="JN174" s="627">
        <v>0</v>
      </c>
      <c r="JO174" s="627">
        <v>32469</v>
      </c>
      <c r="JP174" s="627">
        <v>0</v>
      </c>
      <c r="JQ174" s="627">
        <v>0</v>
      </c>
      <c r="JR174" s="627">
        <v>0</v>
      </c>
      <c r="JS174" s="627">
        <v>0</v>
      </c>
      <c r="JT174" s="627">
        <v>0</v>
      </c>
      <c r="JU174" s="627">
        <v>0</v>
      </c>
      <c r="JV174" s="627">
        <v>0</v>
      </c>
      <c r="JW174" s="627">
        <v>0</v>
      </c>
      <c r="JX174" s="627">
        <v>0</v>
      </c>
      <c r="JY174" s="627">
        <v>0</v>
      </c>
      <c r="JZ174" s="627">
        <v>0</v>
      </c>
      <c r="KA174" s="627">
        <v>0</v>
      </c>
      <c r="KB174" s="627">
        <v>0</v>
      </c>
      <c r="KC174" s="627">
        <v>0</v>
      </c>
      <c r="KD174" s="627">
        <v>0</v>
      </c>
      <c r="KE174" s="627">
        <v>0</v>
      </c>
      <c r="KF174" s="627">
        <v>7262</v>
      </c>
      <c r="KG174" s="627">
        <v>0</v>
      </c>
      <c r="KH174" s="627">
        <v>0</v>
      </c>
      <c r="KI174" s="627">
        <v>7260556</v>
      </c>
      <c r="KJ174" s="627">
        <v>0</v>
      </c>
      <c r="KK174" s="627">
        <v>0</v>
      </c>
      <c r="KL174" s="627">
        <v>0</v>
      </c>
      <c r="KM174" s="627">
        <v>0</v>
      </c>
      <c r="KN174" s="627">
        <v>0</v>
      </c>
      <c r="KO174" s="627">
        <v>0</v>
      </c>
      <c r="KP174" s="627">
        <v>0</v>
      </c>
      <c r="KQ174" s="627">
        <v>7260556</v>
      </c>
      <c r="KR174" s="627">
        <v>0</v>
      </c>
      <c r="KS174" s="627">
        <v>0</v>
      </c>
      <c r="KT174" s="627">
        <v>0</v>
      </c>
      <c r="KU174" s="627">
        <v>0</v>
      </c>
      <c r="KV174" s="627">
        <v>0</v>
      </c>
      <c r="KW174" s="627">
        <v>0</v>
      </c>
      <c r="KX174" s="627">
        <v>0</v>
      </c>
      <c r="KY174" s="627">
        <v>0</v>
      </c>
      <c r="KZ174" s="627">
        <v>0</v>
      </c>
      <c r="LA174" s="627">
        <v>0</v>
      </c>
      <c r="LB174" s="627">
        <v>0</v>
      </c>
      <c r="LC174" s="627">
        <v>0</v>
      </c>
      <c r="LD174" s="627">
        <v>0</v>
      </c>
      <c r="LE174" s="627">
        <v>0</v>
      </c>
      <c r="LF174" s="627">
        <v>0</v>
      </c>
    </row>
    <row r="175" spans="1:318" x14ac:dyDescent="0.25">
      <c r="A175" s="627">
        <v>42602</v>
      </c>
      <c r="B175" s="627">
        <v>101858</v>
      </c>
      <c r="D175" s="627">
        <v>9</v>
      </c>
      <c r="E175" s="627">
        <v>2024</v>
      </c>
      <c r="F175" s="627">
        <v>6160</v>
      </c>
      <c r="G175" s="627">
        <v>0</v>
      </c>
      <c r="H175" s="627">
        <v>6616.6379999999999</v>
      </c>
      <c r="I175" s="627">
        <v>6121.4080000000004</v>
      </c>
      <c r="J175" s="627">
        <v>6121.4080000000004</v>
      </c>
      <c r="K175" s="627">
        <v>6616.6379999999999</v>
      </c>
      <c r="L175" s="627">
        <v>0</v>
      </c>
      <c r="M175" s="627">
        <v>6160</v>
      </c>
      <c r="N175" s="627">
        <v>0</v>
      </c>
      <c r="O175" s="627">
        <v>0</v>
      </c>
      <c r="P175" s="627">
        <v>0</v>
      </c>
      <c r="Q175" s="627">
        <v>6249.1220000000003</v>
      </c>
      <c r="R175" s="627">
        <v>0</v>
      </c>
      <c r="S175" s="627">
        <v>2592661</v>
      </c>
      <c r="T175" s="627">
        <v>414.88400000000001</v>
      </c>
      <c r="U175" s="627">
        <v>0</v>
      </c>
      <c r="V175" s="627">
        <v>1345486</v>
      </c>
      <c r="W175" s="627">
        <v>2015.0550000000001</v>
      </c>
      <c r="X175" s="627">
        <v>1241274</v>
      </c>
      <c r="Y175" s="627">
        <v>1241274</v>
      </c>
      <c r="Z175" s="627">
        <v>0</v>
      </c>
      <c r="AA175" s="627">
        <v>0</v>
      </c>
      <c r="AB175" s="627">
        <v>0</v>
      </c>
      <c r="AC175" s="627">
        <v>0</v>
      </c>
      <c r="AD175" s="627">
        <v>0</v>
      </c>
      <c r="AE175" s="627" t="s">
        <v>314</v>
      </c>
      <c r="AF175" s="627">
        <v>0</v>
      </c>
      <c r="AG175" s="627">
        <v>0</v>
      </c>
      <c r="AH175" s="627">
        <v>0</v>
      </c>
      <c r="AI175" s="627">
        <v>0</v>
      </c>
      <c r="AJ175" s="627">
        <v>0</v>
      </c>
      <c r="AK175" s="627">
        <v>6160</v>
      </c>
      <c r="AL175" s="627" t="s">
        <v>651</v>
      </c>
      <c r="AM175" s="627" t="s">
        <v>764</v>
      </c>
      <c r="AN175" s="627">
        <v>0</v>
      </c>
      <c r="AO175" s="627">
        <v>0</v>
      </c>
      <c r="AP175" s="627">
        <v>0</v>
      </c>
      <c r="AQ175" s="627">
        <v>0</v>
      </c>
      <c r="AR175" s="627">
        <v>0</v>
      </c>
      <c r="AS175" s="627">
        <v>0</v>
      </c>
      <c r="AT175" s="627">
        <v>0</v>
      </c>
      <c r="AU175" s="627">
        <v>0</v>
      </c>
      <c r="AV175" s="627">
        <v>0</v>
      </c>
      <c r="AW175" s="627">
        <v>0</v>
      </c>
      <c r="AX175" s="627">
        <v>74706451</v>
      </c>
      <c r="AY175" s="627">
        <v>73665787</v>
      </c>
      <c r="AZ175" s="627">
        <v>36999419</v>
      </c>
      <c r="BA175" s="627">
        <v>2592661</v>
      </c>
      <c r="BB175" s="627">
        <v>102.75</v>
      </c>
      <c r="BC175" s="627">
        <v>140954</v>
      </c>
      <c r="BD175" s="627">
        <v>140056</v>
      </c>
      <c r="BE175" s="627">
        <v>330.83199999999999</v>
      </c>
      <c r="BF175" s="627">
        <v>899</v>
      </c>
      <c r="BG175" s="627">
        <v>64989700</v>
      </c>
      <c r="BH175" s="627">
        <v>0</v>
      </c>
      <c r="BI175" s="627">
        <v>0</v>
      </c>
      <c r="BJ175" s="627">
        <v>0</v>
      </c>
      <c r="BK175" s="627">
        <v>12</v>
      </c>
      <c r="BL175" s="627">
        <v>0</v>
      </c>
      <c r="BM175" s="627">
        <v>0</v>
      </c>
      <c r="BN175" s="627">
        <v>0</v>
      </c>
      <c r="BO175" s="627">
        <v>0</v>
      </c>
      <c r="BP175" s="627">
        <v>0</v>
      </c>
      <c r="BQ175" s="627">
        <v>0</v>
      </c>
      <c r="BR175" s="627">
        <v>0</v>
      </c>
      <c r="BS175" s="627">
        <v>0</v>
      </c>
      <c r="BT175" s="627">
        <v>0</v>
      </c>
      <c r="BU175" s="627">
        <v>0</v>
      </c>
      <c r="BV175" s="627">
        <v>0</v>
      </c>
      <c r="BW175" s="627">
        <v>0</v>
      </c>
      <c r="BX175" s="627">
        <v>0</v>
      </c>
      <c r="BY175" s="627">
        <v>0</v>
      </c>
      <c r="BZ175" s="627">
        <v>0</v>
      </c>
      <c r="CA175" s="627">
        <v>0</v>
      </c>
      <c r="CB175" s="627">
        <v>269.27800000000002</v>
      </c>
      <c r="CC175" s="627">
        <v>269278</v>
      </c>
      <c r="CD175" s="627">
        <v>0</v>
      </c>
      <c r="CE175" s="627">
        <v>0</v>
      </c>
      <c r="CF175" s="627">
        <v>0</v>
      </c>
      <c r="CG175" s="627">
        <v>0</v>
      </c>
      <c r="CH175" s="627">
        <v>0</v>
      </c>
      <c r="CI175" s="627">
        <v>1058190</v>
      </c>
      <c r="CJ175" s="627">
        <v>0</v>
      </c>
      <c r="CK175" s="627">
        <v>4</v>
      </c>
      <c r="CL175" s="627">
        <v>0</v>
      </c>
      <c r="CM175" s="627">
        <v>0</v>
      </c>
      <c r="CN175" s="627">
        <v>0</v>
      </c>
      <c r="CO175" s="627">
        <v>0</v>
      </c>
      <c r="CP175" s="627">
        <v>1</v>
      </c>
      <c r="CQ175" s="627">
        <v>0</v>
      </c>
      <c r="CR175" s="627">
        <v>0</v>
      </c>
      <c r="CS175" s="627">
        <v>6230.37</v>
      </c>
      <c r="CT175" s="627">
        <v>0</v>
      </c>
      <c r="CU175" s="627">
        <v>0</v>
      </c>
      <c r="CV175" s="627">
        <v>0</v>
      </c>
      <c r="CW175" s="627">
        <v>0</v>
      </c>
      <c r="CX175" s="627">
        <v>0</v>
      </c>
      <c r="CY175" s="627">
        <v>0</v>
      </c>
      <c r="CZ175" s="627">
        <v>0</v>
      </c>
      <c r="DA175" s="627">
        <v>0</v>
      </c>
      <c r="DB175" s="627">
        <v>0</v>
      </c>
      <c r="DC175" s="627">
        <v>37707873</v>
      </c>
      <c r="DD175" s="627">
        <v>0</v>
      </c>
      <c r="DE175" s="627">
        <v>0</v>
      </c>
      <c r="DF175" s="627">
        <v>7856849</v>
      </c>
      <c r="DG175" s="627">
        <v>7856849</v>
      </c>
      <c r="DH175" s="627">
        <v>1275.463</v>
      </c>
      <c r="DI175" s="627">
        <v>0</v>
      </c>
      <c r="DJ175" s="627">
        <v>0</v>
      </c>
      <c r="DK175" s="627">
        <v>0</v>
      </c>
      <c r="DL175" s="627">
        <v>0</v>
      </c>
      <c r="DM175" s="627">
        <v>0</v>
      </c>
      <c r="DN175" s="627">
        <v>4878425</v>
      </c>
      <c r="DO175" s="627">
        <v>16627</v>
      </c>
      <c r="DP175" s="627">
        <v>0</v>
      </c>
      <c r="DQ175" s="627">
        <v>0</v>
      </c>
      <c r="DR175" s="627">
        <v>0</v>
      </c>
      <c r="DS175" s="627">
        <v>0</v>
      </c>
      <c r="DT175" s="627">
        <v>0</v>
      </c>
      <c r="DU175" s="627">
        <v>0</v>
      </c>
      <c r="DV175" s="627">
        <v>0</v>
      </c>
      <c r="DW175" s="627">
        <v>0</v>
      </c>
      <c r="DX175" s="627">
        <v>0</v>
      </c>
      <c r="DY175" s="627">
        <v>0</v>
      </c>
      <c r="DZ175" s="627">
        <v>0</v>
      </c>
      <c r="EA175" s="627">
        <v>0</v>
      </c>
      <c r="EB175" s="627">
        <v>0.25</v>
      </c>
      <c r="EC175" s="627">
        <v>0</v>
      </c>
      <c r="ED175" s="627">
        <v>115.84700000000001</v>
      </c>
      <c r="EE175" s="627">
        <v>820660</v>
      </c>
      <c r="EF175" s="627">
        <v>0</v>
      </c>
      <c r="EG175" s="627">
        <v>0</v>
      </c>
      <c r="EH175" s="627">
        <v>6.9000000000000006E-2</v>
      </c>
      <c r="EI175" s="627">
        <v>4074392</v>
      </c>
      <c r="EJ175" s="627">
        <v>0</v>
      </c>
      <c r="EK175" s="627">
        <v>0</v>
      </c>
      <c r="EL175" s="627">
        <v>165.94</v>
      </c>
      <c r="EM175" s="627">
        <v>0</v>
      </c>
      <c r="EN175" s="627">
        <v>29.407</v>
      </c>
      <c r="EO175" s="627">
        <v>14.790000000000001</v>
      </c>
      <c r="EP175" s="627">
        <v>0</v>
      </c>
      <c r="EQ175" s="627">
        <v>0</v>
      </c>
      <c r="ER175" s="627">
        <v>210.45600000000002</v>
      </c>
      <c r="ES175" s="627">
        <v>0</v>
      </c>
      <c r="ET175" s="627">
        <v>661.42700000000002</v>
      </c>
      <c r="EU175" s="627">
        <v>0</v>
      </c>
      <c r="EV175" s="627">
        <v>0</v>
      </c>
      <c r="EW175" s="627">
        <v>0</v>
      </c>
      <c r="EX175" s="627">
        <v>0</v>
      </c>
      <c r="EY175" s="627">
        <v>0</v>
      </c>
      <c r="EZ175" s="627">
        <v>0</v>
      </c>
      <c r="FA175" s="627">
        <v>62686779</v>
      </c>
      <c r="FB175" s="627">
        <v>0</v>
      </c>
      <c r="FC175" s="627">
        <v>65261914</v>
      </c>
      <c r="FD175" s="627">
        <v>0</v>
      </c>
      <c r="FE175" s="627">
        <v>0</v>
      </c>
      <c r="FF175" s="627">
        <v>9358269</v>
      </c>
      <c r="FG175" s="627">
        <v>1620739</v>
      </c>
      <c r="FH175" s="627">
        <v>7.0280999999999996E-2</v>
      </c>
      <c r="FI175" s="627">
        <v>3.1172999999999999E-2</v>
      </c>
      <c r="FJ175" s="627">
        <v>0</v>
      </c>
      <c r="FK175" s="627">
        <v>0</v>
      </c>
      <c r="FL175" s="627">
        <v>10550.276</v>
      </c>
      <c r="FM175" s="627">
        <v>77299112</v>
      </c>
      <c r="FN175" s="627">
        <v>0</v>
      </c>
      <c r="FO175" s="627">
        <v>0</v>
      </c>
      <c r="FP175" s="627">
        <v>0</v>
      </c>
      <c r="FQ175" s="627">
        <v>0</v>
      </c>
      <c r="FR175" s="627">
        <v>0</v>
      </c>
      <c r="FS175" s="627">
        <v>0</v>
      </c>
      <c r="FT175" s="627">
        <v>0</v>
      </c>
      <c r="FU175" s="627">
        <v>0</v>
      </c>
      <c r="FV175" s="627">
        <v>0</v>
      </c>
      <c r="FW175" s="627">
        <v>0</v>
      </c>
      <c r="FX175" s="627">
        <v>0</v>
      </c>
      <c r="FY175" s="627">
        <v>0</v>
      </c>
      <c r="FZ175" s="627">
        <v>0</v>
      </c>
      <c r="GA175" s="627">
        <v>0</v>
      </c>
      <c r="GB175" s="627">
        <v>0</v>
      </c>
      <c r="GC175" s="627">
        <v>2786040</v>
      </c>
      <c r="GD175" s="627">
        <v>2786040</v>
      </c>
      <c r="GE175" s="627">
        <v>284.774</v>
      </c>
      <c r="GF175" s="627">
        <v>0</v>
      </c>
      <c r="GG175" s="627">
        <v>0</v>
      </c>
      <c r="GH175" s="627">
        <v>0</v>
      </c>
      <c r="GI175" s="627">
        <v>0</v>
      </c>
      <c r="GJ175" s="627">
        <v>0</v>
      </c>
      <c r="GK175" s="627">
        <v>0</v>
      </c>
      <c r="GL175" s="627">
        <v>0</v>
      </c>
      <c r="GM175" s="627">
        <v>0</v>
      </c>
      <c r="GN175" s="627">
        <v>0</v>
      </c>
      <c r="GO175" s="627">
        <v>0</v>
      </c>
      <c r="GP175" s="627">
        <v>0</v>
      </c>
      <c r="GQ175" s="627">
        <v>0</v>
      </c>
      <c r="GR175" s="627">
        <v>73648261</v>
      </c>
      <c r="GS175" s="627">
        <v>0</v>
      </c>
      <c r="GT175" s="627">
        <v>0</v>
      </c>
      <c r="GU175" s="627">
        <v>0</v>
      </c>
      <c r="GV175" s="627">
        <v>0</v>
      </c>
      <c r="GW175" s="627">
        <v>0</v>
      </c>
      <c r="GX175" s="627">
        <v>0</v>
      </c>
      <c r="GY175" s="627">
        <v>0</v>
      </c>
      <c r="GZ175" s="627">
        <v>0</v>
      </c>
      <c r="HA175" s="627">
        <v>0</v>
      </c>
      <c r="HB175" s="627">
        <v>0</v>
      </c>
      <c r="HC175" s="627">
        <v>361151439</v>
      </c>
      <c r="HD175" s="627">
        <v>3.9981999999999997E-2</v>
      </c>
      <c r="HE175" s="627">
        <v>1058190</v>
      </c>
      <c r="HF175" s="627">
        <v>0</v>
      </c>
      <c r="HG175" s="627">
        <v>6745792</v>
      </c>
      <c r="HH175" s="627">
        <v>62216</v>
      </c>
      <c r="HI175" s="627">
        <v>1484214</v>
      </c>
      <c r="HJ175" s="627">
        <v>0</v>
      </c>
      <c r="HK175" s="627">
        <v>216166</v>
      </c>
      <c r="HL175" s="627">
        <v>12145</v>
      </c>
      <c r="HM175" s="627">
        <v>8317</v>
      </c>
      <c r="HN175" s="627">
        <v>315000</v>
      </c>
      <c r="HO175" s="627">
        <v>1538270</v>
      </c>
      <c r="HP175" s="627">
        <v>0</v>
      </c>
      <c r="HQ175" s="627">
        <v>0</v>
      </c>
      <c r="HR175" s="627">
        <v>0</v>
      </c>
      <c r="HS175" s="627">
        <v>0</v>
      </c>
      <c r="HT175" s="627">
        <v>62669253</v>
      </c>
      <c r="HU175" s="627">
        <v>1620739</v>
      </c>
      <c r="HV175" s="627">
        <v>0</v>
      </c>
      <c r="HW175" s="627">
        <v>0</v>
      </c>
      <c r="HX175" s="627">
        <v>0</v>
      </c>
      <c r="HY175" s="627">
        <v>1240</v>
      </c>
      <c r="HZ175" s="627">
        <v>1311</v>
      </c>
      <c r="IA175" s="627">
        <v>1122</v>
      </c>
      <c r="IB175" s="627">
        <v>720</v>
      </c>
      <c r="IC175" s="627">
        <v>784</v>
      </c>
      <c r="ID175" s="627">
        <v>5177</v>
      </c>
      <c r="IE175" s="627">
        <v>0</v>
      </c>
      <c r="IF175" s="627">
        <v>0</v>
      </c>
      <c r="IG175" s="627">
        <v>0</v>
      </c>
      <c r="IH175" s="627">
        <v>101</v>
      </c>
      <c r="II175" s="627">
        <v>2409.4380000000001</v>
      </c>
      <c r="IJ175" s="627">
        <v>0</v>
      </c>
      <c r="IK175" s="627">
        <v>2015.0550000000001</v>
      </c>
      <c r="IL175" s="627">
        <v>0</v>
      </c>
      <c r="IM175" s="627">
        <v>45</v>
      </c>
      <c r="IN175" s="627">
        <v>28</v>
      </c>
      <c r="IO175" s="627">
        <v>3</v>
      </c>
      <c r="IP175" s="627">
        <v>76</v>
      </c>
      <c r="IQ175" s="627">
        <v>0</v>
      </c>
      <c r="IR175" s="627">
        <v>2015.0550000000001</v>
      </c>
      <c r="IS175" s="627">
        <v>1241274</v>
      </c>
      <c r="IT175" s="627">
        <v>0</v>
      </c>
      <c r="IU175" s="627">
        <v>225000</v>
      </c>
      <c r="IV175" s="627">
        <v>84000</v>
      </c>
      <c r="IW175" s="627">
        <v>6000</v>
      </c>
      <c r="IX175" s="627">
        <v>6160</v>
      </c>
      <c r="IY175" s="627">
        <v>0</v>
      </c>
      <c r="IZ175" s="627">
        <v>0</v>
      </c>
      <c r="JA175" s="627">
        <v>0</v>
      </c>
      <c r="JB175" s="627">
        <v>0</v>
      </c>
      <c r="JC175" s="627">
        <v>35</v>
      </c>
      <c r="JD175" s="627">
        <v>629441</v>
      </c>
      <c r="JE175" s="627">
        <v>58</v>
      </c>
      <c r="JF175" s="627">
        <v>593209</v>
      </c>
      <c r="JG175" s="627">
        <v>53</v>
      </c>
      <c r="JH175" s="627">
        <v>265120</v>
      </c>
      <c r="JI175" s="627">
        <v>50500</v>
      </c>
      <c r="JJ175" s="627">
        <v>0</v>
      </c>
      <c r="JK175" s="627">
        <v>0</v>
      </c>
      <c r="JL175" s="627">
        <v>0</v>
      </c>
      <c r="JM175" s="627">
        <v>0</v>
      </c>
      <c r="JN175" s="627">
        <v>0</v>
      </c>
      <c r="JO175" s="627">
        <v>32469</v>
      </c>
      <c r="JP175" s="627">
        <v>0</v>
      </c>
      <c r="JQ175" s="627">
        <v>184.06</v>
      </c>
      <c r="JR175" s="627">
        <v>100.714</v>
      </c>
      <c r="JS175" s="627">
        <v>0</v>
      </c>
      <c r="JT175" s="627">
        <v>1710904</v>
      </c>
      <c r="JU175" s="627">
        <v>1075136</v>
      </c>
      <c r="JV175" s="627">
        <v>142655</v>
      </c>
      <c r="JW175" s="627">
        <v>0</v>
      </c>
      <c r="JX175" s="627">
        <v>0</v>
      </c>
      <c r="JY175" s="627">
        <v>0</v>
      </c>
      <c r="JZ175" s="627">
        <v>0</v>
      </c>
      <c r="KA175" s="627">
        <v>0</v>
      </c>
      <c r="KB175" s="627">
        <v>0</v>
      </c>
      <c r="KC175" s="627">
        <v>0</v>
      </c>
      <c r="KD175" s="627">
        <v>0</v>
      </c>
      <c r="KE175" s="627">
        <v>142727</v>
      </c>
      <c r="KF175" s="627">
        <v>7262</v>
      </c>
      <c r="KG175" s="627">
        <v>0</v>
      </c>
      <c r="KH175" s="627">
        <v>0</v>
      </c>
      <c r="KI175" s="627">
        <v>73648261</v>
      </c>
      <c r="KJ175" s="627">
        <v>0</v>
      </c>
      <c r="KK175" s="627">
        <v>76</v>
      </c>
      <c r="KL175" s="627">
        <v>25</v>
      </c>
      <c r="KM175" s="627">
        <v>46816</v>
      </c>
      <c r="KN175" s="627">
        <v>15400</v>
      </c>
      <c r="KO175" s="627">
        <v>0</v>
      </c>
      <c r="KP175" s="627">
        <v>0</v>
      </c>
      <c r="KQ175" s="627">
        <v>73648261</v>
      </c>
      <c r="KR175" s="627">
        <v>0</v>
      </c>
      <c r="KS175" s="627">
        <v>0</v>
      </c>
      <c r="KT175" s="627">
        <v>0</v>
      </c>
      <c r="KU175" s="627">
        <v>0</v>
      </c>
      <c r="KV175" s="627">
        <v>0</v>
      </c>
      <c r="KW175" s="627">
        <v>0</v>
      </c>
      <c r="KX175" s="627">
        <v>0</v>
      </c>
      <c r="KY175" s="627">
        <v>0</v>
      </c>
      <c r="KZ175" s="627">
        <v>0</v>
      </c>
      <c r="LA175" s="627">
        <v>0</v>
      </c>
      <c r="LB175" s="627">
        <v>0</v>
      </c>
      <c r="LC175" s="627">
        <v>0</v>
      </c>
      <c r="LD175" s="627">
        <v>0</v>
      </c>
      <c r="LE175" s="627">
        <v>0</v>
      </c>
      <c r="LF175" s="627">
        <v>0</v>
      </c>
    </row>
    <row r="176" spans="1:318" x14ac:dyDescent="0.25">
      <c r="A176" s="627">
        <v>42602</v>
      </c>
      <c r="B176" s="627">
        <v>101859</v>
      </c>
      <c r="D176" s="627">
        <v>9</v>
      </c>
      <c r="E176" s="627">
        <v>2024</v>
      </c>
      <c r="F176" s="627">
        <v>6160</v>
      </c>
      <c r="G176" s="627">
        <v>0</v>
      </c>
      <c r="H176" s="627">
        <v>564.40499999999997</v>
      </c>
      <c r="I176" s="627">
        <v>546.36800000000005</v>
      </c>
      <c r="J176" s="627">
        <v>546.36800000000005</v>
      </c>
      <c r="K176" s="627">
        <v>564.40499999999997</v>
      </c>
      <c r="L176" s="627">
        <v>0</v>
      </c>
      <c r="M176" s="627">
        <v>6160</v>
      </c>
      <c r="N176" s="627">
        <v>0</v>
      </c>
      <c r="O176" s="627">
        <v>0</v>
      </c>
      <c r="P176" s="627">
        <v>0</v>
      </c>
      <c r="Q176" s="627">
        <v>542.16300000000001</v>
      </c>
      <c r="R176" s="627">
        <v>0</v>
      </c>
      <c r="S176" s="627">
        <v>224935</v>
      </c>
      <c r="T176" s="627">
        <v>414.88400000000001</v>
      </c>
      <c r="U176" s="627">
        <v>0</v>
      </c>
      <c r="V176" s="627">
        <v>116732</v>
      </c>
      <c r="W176" s="627">
        <v>330.23700000000002</v>
      </c>
      <c r="X176" s="627">
        <v>203426</v>
      </c>
      <c r="Y176" s="627">
        <v>203426</v>
      </c>
      <c r="Z176" s="627">
        <v>0</v>
      </c>
      <c r="AA176" s="627">
        <v>0</v>
      </c>
      <c r="AB176" s="627">
        <v>0</v>
      </c>
      <c r="AC176" s="627">
        <v>0</v>
      </c>
      <c r="AD176" s="627">
        <v>0</v>
      </c>
      <c r="AE176" s="627" t="s">
        <v>314</v>
      </c>
      <c r="AF176" s="627">
        <v>0</v>
      </c>
      <c r="AG176" s="627">
        <v>0</v>
      </c>
      <c r="AH176" s="627">
        <v>0</v>
      </c>
      <c r="AI176" s="627">
        <v>0</v>
      </c>
      <c r="AJ176" s="627">
        <v>0</v>
      </c>
      <c r="AK176" s="627">
        <v>6160</v>
      </c>
      <c r="AL176" s="627" t="s">
        <v>651</v>
      </c>
      <c r="AM176" s="627" t="s">
        <v>347</v>
      </c>
      <c r="AN176" s="627">
        <v>0</v>
      </c>
      <c r="AO176" s="627">
        <v>0</v>
      </c>
      <c r="AP176" s="627">
        <v>0</v>
      </c>
      <c r="AQ176" s="627">
        <v>0</v>
      </c>
      <c r="AR176" s="627">
        <v>0</v>
      </c>
      <c r="AS176" s="627">
        <v>0</v>
      </c>
      <c r="AT176" s="627">
        <v>0</v>
      </c>
      <c r="AU176" s="627">
        <v>0</v>
      </c>
      <c r="AV176" s="627">
        <v>0</v>
      </c>
      <c r="AW176" s="627">
        <v>0</v>
      </c>
      <c r="AX176" s="627">
        <v>6390451</v>
      </c>
      <c r="AY176" s="627">
        <v>6301434</v>
      </c>
      <c r="AZ176" s="627">
        <v>3175906</v>
      </c>
      <c r="BA176" s="627">
        <v>224935</v>
      </c>
      <c r="BB176" s="627">
        <v>0</v>
      </c>
      <c r="BC176" s="627">
        <v>0</v>
      </c>
      <c r="BD176" s="627">
        <v>0</v>
      </c>
      <c r="BE176" s="627">
        <v>0</v>
      </c>
      <c r="BF176" s="627">
        <v>0</v>
      </c>
      <c r="BG176" s="627">
        <v>5583177</v>
      </c>
      <c r="BH176" s="627">
        <v>0</v>
      </c>
      <c r="BI176" s="627">
        <v>0</v>
      </c>
      <c r="BJ176" s="627">
        <v>0</v>
      </c>
      <c r="BK176" s="627">
        <v>12</v>
      </c>
      <c r="BL176" s="627">
        <v>0</v>
      </c>
      <c r="BM176" s="627">
        <v>0</v>
      </c>
      <c r="BN176" s="627">
        <v>0</v>
      </c>
      <c r="BO176" s="627">
        <v>0</v>
      </c>
      <c r="BP176" s="627">
        <v>0</v>
      </c>
      <c r="BQ176" s="627">
        <v>0</v>
      </c>
      <c r="BR176" s="627">
        <v>686</v>
      </c>
      <c r="BS176" s="627">
        <v>0</v>
      </c>
      <c r="BT176" s="627">
        <v>0</v>
      </c>
      <c r="BU176" s="627">
        <v>0</v>
      </c>
      <c r="BV176" s="627">
        <v>0</v>
      </c>
      <c r="BW176" s="627">
        <v>0</v>
      </c>
      <c r="BX176" s="627">
        <v>0</v>
      </c>
      <c r="BY176" s="627">
        <v>0</v>
      </c>
      <c r="BZ176" s="627">
        <v>0</v>
      </c>
      <c r="CA176" s="627">
        <v>0</v>
      </c>
      <c r="CB176" s="627">
        <v>0</v>
      </c>
      <c r="CC176" s="627">
        <v>0</v>
      </c>
      <c r="CD176" s="627">
        <v>0</v>
      </c>
      <c r="CE176" s="627">
        <v>0</v>
      </c>
      <c r="CF176" s="627">
        <v>0</v>
      </c>
      <c r="CG176" s="627">
        <v>0</v>
      </c>
      <c r="CH176" s="627">
        <v>0</v>
      </c>
      <c r="CI176" s="627">
        <v>90265</v>
      </c>
      <c r="CJ176" s="627">
        <v>0</v>
      </c>
      <c r="CK176" s="627">
        <v>4</v>
      </c>
      <c r="CL176" s="627">
        <v>0</v>
      </c>
      <c r="CM176" s="627">
        <v>0</v>
      </c>
      <c r="CN176" s="627">
        <v>0</v>
      </c>
      <c r="CO176" s="627">
        <v>0</v>
      </c>
      <c r="CP176" s="627">
        <v>1</v>
      </c>
      <c r="CQ176" s="627">
        <v>0</v>
      </c>
      <c r="CR176" s="627">
        <v>0</v>
      </c>
      <c r="CS176" s="627">
        <v>411.25</v>
      </c>
      <c r="CT176" s="627">
        <v>0</v>
      </c>
      <c r="CU176" s="627">
        <v>0</v>
      </c>
      <c r="CV176" s="627">
        <v>0</v>
      </c>
      <c r="CW176" s="627">
        <v>0</v>
      </c>
      <c r="CX176" s="627">
        <v>0</v>
      </c>
      <c r="CY176" s="627">
        <v>0</v>
      </c>
      <c r="CZ176" s="627">
        <v>0</v>
      </c>
      <c r="DA176" s="627">
        <v>0</v>
      </c>
      <c r="DB176" s="627">
        <v>0</v>
      </c>
      <c r="DC176" s="627">
        <v>3365627</v>
      </c>
      <c r="DD176" s="627">
        <v>0</v>
      </c>
      <c r="DE176" s="627">
        <v>0</v>
      </c>
      <c r="DF176" s="627">
        <v>861861</v>
      </c>
      <c r="DG176" s="627">
        <v>861861</v>
      </c>
      <c r="DH176" s="627">
        <v>139.91300000000001</v>
      </c>
      <c r="DI176" s="627">
        <v>0</v>
      </c>
      <c r="DJ176" s="627">
        <v>0</v>
      </c>
      <c r="DK176" s="627">
        <v>0</v>
      </c>
      <c r="DL176" s="627">
        <v>2596</v>
      </c>
      <c r="DM176" s="627">
        <v>0</v>
      </c>
      <c r="DN176" s="627">
        <v>366026</v>
      </c>
      <c r="DO176" s="627">
        <v>1248</v>
      </c>
      <c r="DP176" s="627">
        <v>0</v>
      </c>
      <c r="DQ176" s="627">
        <v>0</v>
      </c>
      <c r="DR176" s="627">
        <v>0</v>
      </c>
      <c r="DS176" s="627">
        <v>0</v>
      </c>
      <c r="DT176" s="627">
        <v>0</v>
      </c>
      <c r="DU176" s="627">
        <v>0</v>
      </c>
      <c r="DV176" s="627">
        <v>0</v>
      </c>
      <c r="DW176" s="627">
        <v>0</v>
      </c>
      <c r="DX176" s="627">
        <v>0</v>
      </c>
      <c r="DY176" s="627">
        <v>0</v>
      </c>
      <c r="DZ176" s="627">
        <v>0</v>
      </c>
      <c r="EA176" s="627">
        <v>0</v>
      </c>
      <c r="EB176" s="627">
        <v>0</v>
      </c>
      <c r="EC176" s="627">
        <v>0</v>
      </c>
      <c r="ED176" s="627">
        <v>3.1020000000000003</v>
      </c>
      <c r="EE176" s="627">
        <v>21975</v>
      </c>
      <c r="EF176" s="627">
        <v>0</v>
      </c>
      <c r="EG176" s="627">
        <v>0</v>
      </c>
      <c r="EH176" s="627">
        <v>0</v>
      </c>
      <c r="EI176" s="627">
        <v>345299</v>
      </c>
      <c r="EJ176" s="627">
        <v>0</v>
      </c>
      <c r="EK176" s="627">
        <v>0</v>
      </c>
      <c r="EL176" s="627">
        <v>17.065000000000001</v>
      </c>
      <c r="EM176" s="627">
        <v>0</v>
      </c>
      <c r="EN176" s="627">
        <v>0</v>
      </c>
      <c r="EO176" s="627">
        <v>0.97200000000000009</v>
      </c>
      <c r="EP176" s="627">
        <v>0</v>
      </c>
      <c r="EQ176" s="627">
        <v>0</v>
      </c>
      <c r="ER176" s="627">
        <v>18.037000000000003</v>
      </c>
      <c r="ES176" s="627">
        <v>0</v>
      </c>
      <c r="ET176" s="627">
        <v>56.055</v>
      </c>
      <c r="EU176" s="627">
        <v>0</v>
      </c>
      <c r="EV176" s="627">
        <v>0</v>
      </c>
      <c r="EW176" s="627">
        <v>0</v>
      </c>
      <c r="EX176" s="627">
        <v>0</v>
      </c>
      <c r="EY176" s="627">
        <v>0</v>
      </c>
      <c r="EZ176" s="627">
        <v>0</v>
      </c>
      <c r="FA176" s="627">
        <v>5358242</v>
      </c>
      <c r="FB176" s="627">
        <v>0</v>
      </c>
      <c r="FC176" s="627">
        <v>5581929</v>
      </c>
      <c r="FD176" s="627">
        <v>0</v>
      </c>
      <c r="FE176" s="627">
        <v>0</v>
      </c>
      <c r="FF176" s="627">
        <v>803956</v>
      </c>
      <c r="FG176" s="627">
        <v>139236</v>
      </c>
      <c r="FH176" s="627">
        <v>7.0280999999999996E-2</v>
      </c>
      <c r="FI176" s="627">
        <v>3.1172999999999999E-2</v>
      </c>
      <c r="FJ176" s="627">
        <v>0</v>
      </c>
      <c r="FK176" s="627">
        <v>0</v>
      </c>
      <c r="FL176" s="627">
        <v>906.36</v>
      </c>
      <c r="FM176" s="627">
        <v>6615386</v>
      </c>
      <c r="FN176" s="627">
        <v>0</v>
      </c>
      <c r="FO176" s="627">
        <v>0</v>
      </c>
      <c r="FP176" s="627">
        <v>0</v>
      </c>
      <c r="FQ176" s="627">
        <v>0</v>
      </c>
      <c r="FR176" s="627">
        <v>0</v>
      </c>
      <c r="FS176" s="627">
        <v>0</v>
      </c>
      <c r="FT176" s="627">
        <v>0</v>
      </c>
      <c r="FU176" s="627">
        <v>0</v>
      </c>
      <c r="FV176" s="627">
        <v>0</v>
      </c>
      <c r="FW176" s="627">
        <v>0</v>
      </c>
      <c r="FX176" s="627">
        <v>0</v>
      </c>
      <c r="FY176" s="627">
        <v>0</v>
      </c>
      <c r="FZ176" s="627">
        <v>0</v>
      </c>
      <c r="GA176" s="627">
        <v>0</v>
      </c>
      <c r="GB176" s="627">
        <v>0</v>
      </c>
      <c r="GC176" s="627">
        <v>0</v>
      </c>
      <c r="GD176" s="627">
        <v>0</v>
      </c>
      <c r="GE176" s="627">
        <v>0</v>
      </c>
      <c r="GF176" s="627">
        <v>0</v>
      </c>
      <c r="GG176" s="627">
        <v>0</v>
      </c>
      <c r="GH176" s="627">
        <v>0</v>
      </c>
      <c r="GI176" s="627">
        <v>0</v>
      </c>
      <c r="GJ176" s="627">
        <v>0</v>
      </c>
      <c r="GK176" s="627">
        <v>0</v>
      </c>
      <c r="GL176" s="627">
        <v>0</v>
      </c>
      <c r="GM176" s="627">
        <v>0</v>
      </c>
      <c r="GN176" s="627">
        <v>0</v>
      </c>
      <c r="GO176" s="627">
        <v>0</v>
      </c>
      <c r="GP176" s="627">
        <v>0</v>
      </c>
      <c r="GQ176" s="627">
        <v>0</v>
      </c>
      <c r="GR176" s="627">
        <v>6300186</v>
      </c>
      <c r="GS176" s="627">
        <v>0</v>
      </c>
      <c r="GT176" s="627">
        <v>0</v>
      </c>
      <c r="GU176" s="627">
        <v>0</v>
      </c>
      <c r="GV176" s="627">
        <v>0</v>
      </c>
      <c r="GW176" s="627">
        <v>0</v>
      </c>
      <c r="GX176" s="627">
        <v>0</v>
      </c>
      <c r="GY176" s="627">
        <v>0</v>
      </c>
      <c r="GZ176" s="627">
        <v>0</v>
      </c>
      <c r="HA176" s="627">
        <v>0</v>
      </c>
      <c r="HB176" s="627">
        <v>0</v>
      </c>
      <c r="HC176" s="627">
        <v>361151439</v>
      </c>
      <c r="HD176" s="627">
        <v>3.9981999999999997E-2</v>
      </c>
      <c r="HE176" s="627">
        <v>90265</v>
      </c>
      <c r="HF176" s="627">
        <v>0</v>
      </c>
      <c r="HG176" s="627">
        <v>602098</v>
      </c>
      <c r="HH176" s="627">
        <v>0</v>
      </c>
      <c r="HI176" s="627">
        <v>147247</v>
      </c>
      <c r="HJ176" s="627">
        <v>0</v>
      </c>
      <c r="HK176" s="627">
        <v>35644</v>
      </c>
      <c r="HL176" s="627">
        <v>0</v>
      </c>
      <c r="HM176" s="627">
        <v>0</v>
      </c>
      <c r="HN176" s="627">
        <v>0</v>
      </c>
      <c r="HO176" s="627">
        <v>0</v>
      </c>
      <c r="HP176" s="627">
        <v>0</v>
      </c>
      <c r="HQ176" s="627">
        <v>0</v>
      </c>
      <c r="HR176" s="627">
        <v>0</v>
      </c>
      <c r="HS176" s="627">
        <v>0</v>
      </c>
      <c r="HT176" s="627">
        <v>5356994</v>
      </c>
      <c r="HU176" s="627">
        <v>139236</v>
      </c>
      <c r="HV176" s="627">
        <v>0</v>
      </c>
      <c r="HW176" s="627">
        <v>0</v>
      </c>
      <c r="HX176" s="627">
        <v>0</v>
      </c>
      <c r="HY176" s="627">
        <v>42</v>
      </c>
      <c r="HZ176" s="627">
        <v>31</v>
      </c>
      <c r="IA176" s="627">
        <v>61</v>
      </c>
      <c r="IB176" s="627">
        <v>106</v>
      </c>
      <c r="IC176" s="627">
        <v>291</v>
      </c>
      <c r="ID176" s="627">
        <v>531</v>
      </c>
      <c r="IE176" s="627">
        <v>0</v>
      </c>
      <c r="IF176" s="627">
        <v>0</v>
      </c>
      <c r="IG176" s="627">
        <v>0</v>
      </c>
      <c r="IH176" s="627">
        <v>0</v>
      </c>
      <c r="II176" s="627">
        <v>239.03700000000001</v>
      </c>
      <c r="IJ176" s="627">
        <v>0</v>
      </c>
      <c r="IK176" s="627">
        <v>330.23700000000002</v>
      </c>
      <c r="IL176" s="627">
        <v>0</v>
      </c>
      <c r="IM176" s="627">
        <v>0</v>
      </c>
      <c r="IN176" s="627">
        <v>0</v>
      </c>
      <c r="IO176" s="627">
        <v>0</v>
      </c>
      <c r="IP176" s="627">
        <v>0</v>
      </c>
      <c r="IQ176" s="627">
        <v>0</v>
      </c>
      <c r="IR176" s="627">
        <v>330.23700000000002</v>
      </c>
      <c r="IS176" s="627">
        <v>203426</v>
      </c>
      <c r="IT176" s="627">
        <v>0</v>
      </c>
      <c r="IU176" s="627">
        <v>0</v>
      </c>
      <c r="IV176" s="627">
        <v>0</v>
      </c>
      <c r="IW176" s="627">
        <v>0</v>
      </c>
      <c r="IX176" s="627">
        <v>6160</v>
      </c>
      <c r="IY176" s="627">
        <v>0</v>
      </c>
      <c r="IZ176" s="627">
        <v>0</v>
      </c>
      <c r="JA176" s="627">
        <v>0</v>
      </c>
      <c r="JB176" s="627">
        <v>0</v>
      </c>
      <c r="JC176" s="627">
        <v>0</v>
      </c>
      <c r="JD176" s="627">
        <v>0</v>
      </c>
      <c r="JE176" s="627">
        <v>0</v>
      </c>
      <c r="JF176" s="627">
        <v>0</v>
      </c>
      <c r="JG176" s="627">
        <v>0</v>
      </c>
      <c r="JH176" s="627">
        <v>0</v>
      </c>
      <c r="JI176" s="627">
        <v>0</v>
      </c>
      <c r="JJ176" s="627">
        <v>0</v>
      </c>
      <c r="JK176" s="627">
        <v>0</v>
      </c>
      <c r="JL176" s="627">
        <v>0</v>
      </c>
      <c r="JM176" s="627">
        <v>0</v>
      </c>
      <c r="JN176" s="627">
        <v>0</v>
      </c>
      <c r="JO176" s="627">
        <v>32469</v>
      </c>
      <c r="JP176" s="627">
        <v>0</v>
      </c>
      <c r="JQ176" s="627">
        <v>0</v>
      </c>
      <c r="JR176" s="627">
        <v>0</v>
      </c>
      <c r="JS176" s="627">
        <v>0</v>
      </c>
      <c r="JT176" s="627">
        <v>0</v>
      </c>
      <c r="JU176" s="627">
        <v>0</v>
      </c>
      <c r="JV176" s="627">
        <v>0</v>
      </c>
      <c r="JW176" s="627">
        <v>0</v>
      </c>
      <c r="JX176" s="627">
        <v>0</v>
      </c>
      <c r="JY176" s="627">
        <v>0</v>
      </c>
      <c r="JZ176" s="627">
        <v>0</v>
      </c>
      <c r="KA176" s="627">
        <v>0</v>
      </c>
      <c r="KB176" s="627">
        <v>0</v>
      </c>
      <c r="KC176" s="627">
        <v>0</v>
      </c>
      <c r="KD176" s="627">
        <v>0</v>
      </c>
      <c r="KE176" s="627">
        <v>0</v>
      </c>
      <c r="KF176" s="627">
        <v>7262</v>
      </c>
      <c r="KG176" s="627">
        <v>0</v>
      </c>
      <c r="KH176" s="627">
        <v>0</v>
      </c>
      <c r="KI176" s="627">
        <v>6300186</v>
      </c>
      <c r="KJ176" s="627">
        <v>0</v>
      </c>
      <c r="KK176" s="627">
        <v>0</v>
      </c>
      <c r="KL176" s="627">
        <v>0</v>
      </c>
      <c r="KM176" s="627">
        <v>0</v>
      </c>
      <c r="KN176" s="627">
        <v>0</v>
      </c>
      <c r="KO176" s="627">
        <v>0</v>
      </c>
      <c r="KP176" s="627">
        <v>0</v>
      </c>
      <c r="KQ176" s="627">
        <v>6300186</v>
      </c>
      <c r="KR176" s="627">
        <v>0</v>
      </c>
      <c r="KS176" s="627">
        <v>0</v>
      </c>
      <c r="KT176" s="627">
        <v>0</v>
      </c>
      <c r="KU176" s="627">
        <v>0</v>
      </c>
      <c r="KV176" s="627">
        <v>0</v>
      </c>
      <c r="KW176" s="627">
        <v>0</v>
      </c>
      <c r="KX176" s="627">
        <v>0</v>
      </c>
      <c r="KY176" s="627">
        <v>0</v>
      </c>
      <c r="KZ176" s="627">
        <v>0</v>
      </c>
      <c r="LA176" s="627">
        <v>0</v>
      </c>
      <c r="LB176" s="627">
        <v>0</v>
      </c>
      <c r="LC176" s="627">
        <v>0</v>
      </c>
      <c r="LD176" s="627">
        <v>0</v>
      </c>
      <c r="LE176" s="627">
        <v>0</v>
      </c>
      <c r="LF176" s="627">
        <v>0</v>
      </c>
    </row>
    <row r="177" spans="1:318" x14ac:dyDescent="0.25">
      <c r="A177" s="627">
        <v>42602</v>
      </c>
      <c r="B177" s="627">
        <v>101861</v>
      </c>
      <c r="D177" s="627">
        <v>9</v>
      </c>
      <c r="E177" s="627">
        <v>2024</v>
      </c>
      <c r="F177" s="627">
        <v>6160</v>
      </c>
      <c r="G177" s="627">
        <v>0</v>
      </c>
      <c r="H177" s="627">
        <v>490.11500000000001</v>
      </c>
      <c r="I177" s="627">
        <v>467.77200000000005</v>
      </c>
      <c r="J177" s="627">
        <v>467.77200000000005</v>
      </c>
      <c r="K177" s="627">
        <v>490.11500000000001</v>
      </c>
      <c r="L177" s="627">
        <v>0</v>
      </c>
      <c r="M177" s="627">
        <v>6160</v>
      </c>
      <c r="N177" s="627">
        <v>0</v>
      </c>
      <c r="O177" s="627">
        <v>0</v>
      </c>
      <c r="P177" s="627">
        <v>0</v>
      </c>
      <c r="Q177" s="627">
        <v>494.56</v>
      </c>
      <c r="R177" s="627">
        <v>0</v>
      </c>
      <c r="S177" s="627">
        <v>205185</v>
      </c>
      <c r="T177" s="627">
        <v>414.88400000000001</v>
      </c>
      <c r="U177" s="627">
        <v>0</v>
      </c>
      <c r="V177" s="627">
        <v>106483</v>
      </c>
      <c r="W177" s="627">
        <v>16.25</v>
      </c>
      <c r="X177" s="627">
        <v>10010</v>
      </c>
      <c r="Y177" s="627">
        <v>10010</v>
      </c>
      <c r="Z177" s="627">
        <v>0</v>
      </c>
      <c r="AA177" s="627">
        <v>0</v>
      </c>
      <c r="AB177" s="627">
        <v>0</v>
      </c>
      <c r="AC177" s="627">
        <v>0</v>
      </c>
      <c r="AD177" s="627">
        <v>0</v>
      </c>
      <c r="AE177" s="627" t="s">
        <v>314</v>
      </c>
      <c r="AF177" s="627">
        <v>0</v>
      </c>
      <c r="AG177" s="627">
        <v>0</v>
      </c>
      <c r="AH177" s="627">
        <v>0</v>
      </c>
      <c r="AI177" s="627">
        <v>0</v>
      </c>
      <c r="AJ177" s="627">
        <v>0</v>
      </c>
      <c r="AK177" s="627">
        <v>6160</v>
      </c>
      <c r="AL177" s="627" t="s">
        <v>651</v>
      </c>
      <c r="AM177" s="627" t="s">
        <v>704</v>
      </c>
      <c r="AN177" s="627">
        <v>0</v>
      </c>
      <c r="AO177" s="627">
        <v>0</v>
      </c>
      <c r="AP177" s="627">
        <v>0</v>
      </c>
      <c r="AQ177" s="627">
        <v>0</v>
      </c>
      <c r="AR177" s="627">
        <v>0</v>
      </c>
      <c r="AS177" s="627">
        <v>0</v>
      </c>
      <c r="AT177" s="627">
        <v>0</v>
      </c>
      <c r="AU177" s="627">
        <v>0</v>
      </c>
      <c r="AV177" s="627">
        <v>0</v>
      </c>
      <c r="AW177" s="627">
        <v>0</v>
      </c>
      <c r="AX177" s="627">
        <v>5601938</v>
      </c>
      <c r="AY177" s="627">
        <v>5525175</v>
      </c>
      <c r="AZ177" s="627">
        <v>2840387</v>
      </c>
      <c r="BA177" s="627">
        <v>205185</v>
      </c>
      <c r="BB177" s="627">
        <v>0</v>
      </c>
      <c r="BC177" s="627">
        <v>3409</v>
      </c>
      <c r="BD177" s="627">
        <v>3387</v>
      </c>
      <c r="BE177" s="627">
        <v>8</v>
      </c>
      <c r="BF177" s="627">
        <v>22</v>
      </c>
      <c r="BG177" s="627">
        <v>4820595</v>
      </c>
      <c r="BH177" s="627">
        <v>0</v>
      </c>
      <c r="BI177" s="627">
        <v>0</v>
      </c>
      <c r="BJ177" s="627">
        <v>0</v>
      </c>
      <c r="BK177" s="627">
        <v>12</v>
      </c>
      <c r="BL177" s="627">
        <v>0</v>
      </c>
      <c r="BM177" s="627">
        <v>0</v>
      </c>
      <c r="BN177" s="627">
        <v>0</v>
      </c>
      <c r="BO177" s="627">
        <v>0</v>
      </c>
      <c r="BP177" s="627">
        <v>0</v>
      </c>
      <c r="BQ177" s="627">
        <v>0</v>
      </c>
      <c r="BR177" s="627">
        <v>698</v>
      </c>
      <c r="BS177" s="627">
        <v>0</v>
      </c>
      <c r="BT177" s="627">
        <v>0</v>
      </c>
      <c r="BU177" s="627">
        <v>0</v>
      </c>
      <c r="BV177" s="627">
        <v>0</v>
      </c>
      <c r="BW177" s="627">
        <v>0</v>
      </c>
      <c r="BX177" s="627">
        <v>0</v>
      </c>
      <c r="BY177" s="627">
        <v>0</v>
      </c>
      <c r="BZ177" s="627">
        <v>0</v>
      </c>
      <c r="CA177" s="627">
        <v>0</v>
      </c>
      <c r="CB177" s="627">
        <v>0</v>
      </c>
      <c r="CC177" s="627">
        <v>0</v>
      </c>
      <c r="CD177" s="627">
        <v>0</v>
      </c>
      <c r="CE177" s="627">
        <v>0</v>
      </c>
      <c r="CF177" s="627">
        <v>0</v>
      </c>
      <c r="CG177" s="627">
        <v>0</v>
      </c>
      <c r="CH177" s="627">
        <v>0</v>
      </c>
      <c r="CI177" s="627">
        <v>78383</v>
      </c>
      <c r="CJ177" s="627">
        <v>0</v>
      </c>
      <c r="CK177" s="627">
        <v>4</v>
      </c>
      <c r="CL177" s="627">
        <v>0</v>
      </c>
      <c r="CM177" s="627">
        <v>0</v>
      </c>
      <c r="CN177" s="627">
        <v>0</v>
      </c>
      <c r="CO177" s="627">
        <v>0</v>
      </c>
      <c r="CP177" s="627">
        <v>1</v>
      </c>
      <c r="CQ177" s="627">
        <v>0</v>
      </c>
      <c r="CR177" s="627">
        <v>0</v>
      </c>
      <c r="CS177" s="627">
        <v>491.88</v>
      </c>
      <c r="CT177" s="627">
        <v>0</v>
      </c>
      <c r="CU177" s="627">
        <v>0</v>
      </c>
      <c r="CV177" s="627">
        <v>0</v>
      </c>
      <c r="CW177" s="627">
        <v>0</v>
      </c>
      <c r="CX177" s="627">
        <v>0</v>
      </c>
      <c r="CY177" s="627">
        <v>0</v>
      </c>
      <c r="CZ177" s="627">
        <v>0</v>
      </c>
      <c r="DA177" s="627">
        <v>0</v>
      </c>
      <c r="DB177" s="627">
        <v>0</v>
      </c>
      <c r="DC177" s="627">
        <v>2820729</v>
      </c>
      <c r="DD177" s="627">
        <v>0</v>
      </c>
      <c r="DE177" s="627">
        <v>0</v>
      </c>
      <c r="DF177" s="627">
        <v>782397</v>
      </c>
      <c r="DG177" s="627">
        <v>782397</v>
      </c>
      <c r="DH177" s="627">
        <v>127.01300000000001</v>
      </c>
      <c r="DI177" s="627">
        <v>0</v>
      </c>
      <c r="DJ177" s="627">
        <v>0</v>
      </c>
      <c r="DK177" s="627">
        <v>0</v>
      </c>
      <c r="DL177" s="627">
        <v>2790</v>
      </c>
      <c r="DM177" s="627">
        <v>0</v>
      </c>
      <c r="DN177" s="627">
        <v>529751</v>
      </c>
      <c r="DO177" s="627">
        <v>1599</v>
      </c>
      <c r="DP177" s="627">
        <v>0</v>
      </c>
      <c r="DQ177" s="627">
        <v>0</v>
      </c>
      <c r="DR177" s="627">
        <v>0</v>
      </c>
      <c r="DS177" s="627">
        <v>0</v>
      </c>
      <c r="DT177" s="627">
        <v>0</v>
      </c>
      <c r="DU177" s="627">
        <v>0</v>
      </c>
      <c r="DV177" s="627">
        <v>0</v>
      </c>
      <c r="DW177" s="627">
        <v>0</v>
      </c>
      <c r="DX177" s="627">
        <v>0</v>
      </c>
      <c r="DY177" s="627">
        <v>0</v>
      </c>
      <c r="DZ177" s="627">
        <v>0</v>
      </c>
      <c r="EA177" s="627">
        <v>0</v>
      </c>
      <c r="EB177" s="627">
        <v>0</v>
      </c>
      <c r="EC177" s="627">
        <v>0</v>
      </c>
      <c r="ED177" s="627">
        <v>6.0710000000000006</v>
      </c>
      <c r="EE177" s="627">
        <v>43007</v>
      </c>
      <c r="EF177" s="627">
        <v>0</v>
      </c>
      <c r="EG177" s="627">
        <v>0</v>
      </c>
      <c r="EH177" s="627">
        <v>0</v>
      </c>
      <c r="EI177" s="627">
        <v>427596</v>
      </c>
      <c r="EJ177" s="627">
        <v>0</v>
      </c>
      <c r="EK177" s="627">
        <v>0</v>
      </c>
      <c r="EL177" s="627">
        <v>21.150000000000002</v>
      </c>
      <c r="EM177" s="627">
        <v>0</v>
      </c>
      <c r="EN177" s="627">
        <v>0</v>
      </c>
      <c r="EO177" s="627">
        <v>1.1930000000000001</v>
      </c>
      <c r="EP177" s="627">
        <v>0</v>
      </c>
      <c r="EQ177" s="627">
        <v>0</v>
      </c>
      <c r="ER177" s="627">
        <v>22.343</v>
      </c>
      <c r="ES177" s="627">
        <v>0</v>
      </c>
      <c r="ET177" s="627">
        <v>69.415000000000006</v>
      </c>
      <c r="EU177" s="627">
        <v>0</v>
      </c>
      <c r="EV177" s="627">
        <v>0</v>
      </c>
      <c r="EW177" s="627">
        <v>0</v>
      </c>
      <c r="EX177" s="627">
        <v>0</v>
      </c>
      <c r="EY177" s="627">
        <v>0</v>
      </c>
      <c r="EZ177" s="627">
        <v>0</v>
      </c>
      <c r="FA177" s="627">
        <v>4710810</v>
      </c>
      <c r="FB177" s="627">
        <v>0</v>
      </c>
      <c r="FC177" s="627">
        <v>4914375</v>
      </c>
      <c r="FD177" s="627">
        <v>0</v>
      </c>
      <c r="FE177" s="627">
        <v>0</v>
      </c>
      <c r="FF177" s="627">
        <v>694147</v>
      </c>
      <c r="FG177" s="627">
        <v>120218</v>
      </c>
      <c r="FH177" s="627">
        <v>7.0280999999999996E-2</v>
      </c>
      <c r="FI177" s="627">
        <v>3.1172999999999999E-2</v>
      </c>
      <c r="FJ177" s="627">
        <v>0</v>
      </c>
      <c r="FK177" s="627">
        <v>0</v>
      </c>
      <c r="FL177" s="627">
        <v>782.56400000000008</v>
      </c>
      <c r="FM177" s="627">
        <v>5807123</v>
      </c>
      <c r="FN177" s="627">
        <v>0</v>
      </c>
      <c r="FO177" s="627">
        <v>0</v>
      </c>
      <c r="FP177" s="627">
        <v>95400</v>
      </c>
      <c r="FQ177" s="627">
        <v>0</v>
      </c>
      <c r="FR177" s="627">
        <v>95400</v>
      </c>
      <c r="FS177" s="627">
        <v>95400</v>
      </c>
      <c r="FT177" s="627">
        <v>0</v>
      </c>
      <c r="FU177" s="627">
        <v>0</v>
      </c>
      <c r="FV177" s="627">
        <v>0</v>
      </c>
      <c r="FW177" s="627">
        <v>0</v>
      </c>
      <c r="FX177" s="627">
        <v>0</v>
      </c>
      <c r="FY177" s="627">
        <v>0</v>
      </c>
      <c r="FZ177" s="627">
        <v>0</v>
      </c>
      <c r="GA177" s="627">
        <v>0</v>
      </c>
      <c r="GB177" s="627">
        <v>0</v>
      </c>
      <c r="GC177" s="627">
        <v>0</v>
      </c>
      <c r="GD177" s="627">
        <v>0</v>
      </c>
      <c r="GE177" s="627">
        <v>0</v>
      </c>
      <c r="GF177" s="627">
        <v>0</v>
      </c>
      <c r="GG177" s="627">
        <v>0</v>
      </c>
      <c r="GH177" s="627">
        <v>0</v>
      </c>
      <c r="GI177" s="627">
        <v>0</v>
      </c>
      <c r="GJ177" s="627">
        <v>0</v>
      </c>
      <c r="GK177" s="627">
        <v>0</v>
      </c>
      <c r="GL177" s="627">
        <v>0</v>
      </c>
      <c r="GM177" s="627">
        <v>0</v>
      </c>
      <c r="GN177" s="627">
        <v>0</v>
      </c>
      <c r="GO177" s="627">
        <v>0</v>
      </c>
      <c r="GP177" s="627">
        <v>0</v>
      </c>
      <c r="GQ177" s="627">
        <v>0</v>
      </c>
      <c r="GR177" s="627">
        <v>5523555</v>
      </c>
      <c r="GS177" s="627">
        <v>0</v>
      </c>
      <c r="GT177" s="627">
        <v>0</v>
      </c>
      <c r="GU177" s="627">
        <v>0</v>
      </c>
      <c r="GV177" s="627">
        <v>0</v>
      </c>
      <c r="GW177" s="627">
        <v>0</v>
      </c>
      <c r="GX177" s="627">
        <v>0</v>
      </c>
      <c r="GY177" s="627">
        <v>0</v>
      </c>
      <c r="GZ177" s="627">
        <v>0</v>
      </c>
      <c r="HA177" s="627">
        <v>0</v>
      </c>
      <c r="HB177" s="627">
        <v>0</v>
      </c>
      <c r="HC177" s="627">
        <v>361151439</v>
      </c>
      <c r="HD177" s="627">
        <v>3.9981999999999997E-2</v>
      </c>
      <c r="HE177" s="627">
        <v>78383</v>
      </c>
      <c r="HF177" s="627">
        <v>0</v>
      </c>
      <c r="HG177" s="627">
        <v>515485</v>
      </c>
      <c r="HH177" s="627">
        <v>18480</v>
      </c>
      <c r="HI177" s="627">
        <v>103834</v>
      </c>
      <c r="HJ177" s="627">
        <v>0</v>
      </c>
      <c r="HK177" s="627">
        <v>34901</v>
      </c>
      <c r="HL177" s="627">
        <v>0</v>
      </c>
      <c r="HM177" s="627">
        <v>0</v>
      </c>
      <c r="HN177" s="627">
        <v>0</v>
      </c>
      <c r="HO177" s="627">
        <v>0</v>
      </c>
      <c r="HP177" s="627">
        <v>0</v>
      </c>
      <c r="HQ177" s="627">
        <v>0</v>
      </c>
      <c r="HR177" s="627">
        <v>0</v>
      </c>
      <c r="HS177" s="627">
        <v>0</v>
      </c>
      <c r="HT177" s="627">
        <v>4709190</v>
      </c>
      <c r="HU177" s="627">
        <v>120218</v>
      </c>
      <c r="HV177" s="627">
        <v>0</v>
      </c>
      <c r="HW177" s="627">
        <v>0</v>
      </c>
      <c r="HX177" s="627">
        <v>0</v>
      </c>
      <c r="HY177" s="627">
        <v>57</v>
      </c>
      <c r="HZ177" s="627">
        <v>72</v>
      </c>
      <c r="IA177" s="627">
        <v>70</v>
      </c>
      <c r="IB177" s="627">
        <v>57</v>
      </c>
      <c r="IC177" s="627">
        <v>235</v>
      </c>
      <c r="ID177" s="627">
        <v>491</v>
      </c>
      <c r="IE177" s="627">
        <v>0</v>
      </c>
      <c r="IF177" s="627">
        <v>0</v>
      </c>
      <c r="IG177" s="627">
        <v>0</v>
      </c>
      <c r="IH177" s="627">
        <v>30</v>
      </c>
      <c r="II177" s="627">
        <v>168.56200000000001</v>
      </c>
      <c r="IJ177" s="627">
        <v>0</v>
      </c>
      <c r="IK177" s="627">
        <v>16.25</v>
      </c>
      <c r="IL177" s="627">
        <v>0</v>
      </c>
      <c r="IM177" s="627">
        <v>0</v>
      </c>
      <c r="IN177" s="627">
        <v>0</v>
      </c>
      <c r="IO177" s="627">
        <v>0</v>
      </c>
      <c r="IP177" s="627">
        <v>0</v>
      </c>
      <c r="IQ177" s="627">
        <v>0</v>
      </c>
      <c r="IR177" s="627">
        <v>16.25</v>
      </c>
      <c r="IS177" s="627">
        <v>10010</v>
      </c>
      <c r="IT177" s="627">
        <v>0</v>
      </c>
      <c r="IU177" s="627">
        <v>0</v>
      </c>
      <c r="IV177" s="627">
        <v>0</v>
      </c>
      <c r="IW177" s="627">
        <v>0</v>
      </c>
      <c r="IX177" s="627">
        <v>6160</v>
      </c>
      <c r="IY177" s="627">
        <v>0</v>
      </c>
      <c r="IZ177" s="627">
        <v>0</v>
      </c>
      <c r="JA177" s="627">
        <v>0</v>
      </c>
      <c r="JB177" s="627">
        <v>0</v>
      </c>
      <c r="JC177" s="627">
        <v>0</v>
      </c>
      <c r="JD177" s="627">
        <v>0</v>
      </c>
      <c r="JE177" s="627">
        <v>0</v>
      </c>
      <c r="JF177" s="627">
        <v>0</v>
      </c>
      <c r="JG177" s="627">
        <v>0</v>
      </c>
      <c r="JH177" s="627">
        <v>0</v>
      </c>
      <c r="JI177" s="627">
        <v>0</v>
      </c>
      <c r="JJ177" s="627">
        <v>0</v>
      </c>
      <c r="JK177" s="627">
        <v>0</v>
      </c>
      <c r="JL177" s="627">
        <v>0</v>
      </c>
      <c r="JM177" s="627">
        <v>0</v>
      </c>
      <c r="JN177" s="627">
        <v>0</v>
      </c>
      <c r="JO177" s="627">
        <v>32469</v>
      </c>
      <c r="JP177" s="627">
        <v>0</v>
      </c>
      <c r="JQ177" s="627">
        <v>0</v>
      </c>
      <c r="JR177" s="627">
        <v>0</v>
      </c>
      <c r="JS177" s="627">
        <v>0</v>
      </c>
      <c r="JT177" s="627">
        <v>0</v>
      </c>
      <c r="JU177" s="627">
        <v>0</v>
      </c>
      <c r="JV177" s="627">
        <v>3450</v>
      </c>
      <c r="JW177" s="627">
        <v>0</v>
      </c>
      <c r="JX177" s="627">
        <v>0</v>
      </c>
      <c r="JY177" s="627">
        <v>0</v>
      </c>
      <c r="JZ177" s="627">
        <v>0</v>
      </c>
      <c r="KA177" s="627">
        <v>0</v>
      </c>
      <c r="KB177" s="627">
        <v>0</v>
      </c>
      <c r="KC177" s="627">
        <v>0</v>
      </c>
      <c r="KD177" s="627">
        <v>0</v>
      </c>
      <c r="KE177" s="627">
        <v>3450</v>
      </c>
      <c r="KF177" s="627">
        <v>7262</v>
      </c>
      <c r="KG177" s="627">
        <v>0</v>
      </c>
      <c r="KH177" s="627">
        <v>0</v>
      </c>
      <c r="KI177" s="627">
        <v>5523555</v>
      </c>
      <c r="KJ177" s="627">
        <v>0</v>
      </c>
      <c r="KK177" s="627">
        <v>25</v>
      </c>
      <c r="KL177" s="627">
        <v>5</v>
      </c>
      <c r="KM177" s="627">
        <v>15400</v>
      </c>
      <c r="KN177" s="627">
        <v>3080</v>
      </c>
      <c r="KO177" s="627">
        <v>0</v>
      </c>
      <c r="KP177" s="627">
        <v>0</v>
      </c>
      <c r="KQ177" s="627">
        <v>5523555</v>
      </c>
      <c r="KR177" s="627">
        <v>0</v>
      </c>
      <c r="KS177" s="627">
        <v>0</v>
      </c>
      <c r="KT177" s="627">
        <v>0</v>
      </c>
      <c r="KU177" s="627">
        <v>0</v>
      </c>
      <c r="KV177" s="627">
        <v>0</v>
      </c>
      <c r="KW177" s="627">
        <v>0</v>
      </c>
      <c r="KX177" s="627">
        <v>0</v>
      </c>
      <c r="KY177" s="627">
        <v>0</v>
      </c>
      <c r="KZ177" s="627">
        <v>0</v>
      </c>
      <c r="LA177" s="627">
        <v>0</v>
      </c>
      <c r="LB177" s="627">
        <v>0</v>
      </c>
      <c r="LC177" s="627">
        <v>0</v>
      </c>
      <c r="LD177" s="627">
        <v>0</v>
      </c>
      <c r="LE177" s="627">
        <v>0</v>
      </c>
      <c r="LF177" s="627">
        <v>0</v>
      </c>
    </row>
    <row r="178" spans="1:318" x14ac:dyDescent="0.25">
      <c r="A178" s="627">
        <v>42602</v>
      </c>
      <c r="B178" s="627">
        <v>101862</v>
      </c>
      <c r="D178" s="627">
        <v>9</v>
      </c>
      <c r="E178" s="627">
        <v>2024</v>
      </c>
      <c r="F178" s="627">
        <v>6160</v>
      </c>
      <c r="G178" s="627">
        <v>0</v>
      </c>
      <c r="H178" s="627">
        <v>5553.5450000000001</v>
      </c>
      <c r="I178" s="627">
        <v>5079.0780000000004</v>
      </c>
      <c r="J178" s="627">
        <v>5079.0780000000004</v>
      </c>
      <c r="K178" s="627">
        <v>5553.5450000000001</v>
      </c>
      <c r="L178" s="627">
        <v>0</v>
      </c>
      <c r="M178" s="627">
        <v>6160</v>
      </c>
      <c r="N178" s="627">
        <v>0</v>
      </c>
      <c r="O178" s="627">
        <v>0</v>
      </c>
      <c r="P178" s="627">
        <v>0</v>
      </c>
      <c r="Q178" s="627">
        <v>5105.2240000000002</v>
      </c>
      <c r="R178" s="627">
        <v>0</v>
      </c>
      <c r="S178" s="627">
        <v>2118076</v>
      </c>
      <c r="T178" s="627">
        <v>414.88400000000001</v>
      </c>
      <c r="U178" s="627">
        <v>0</v>
      </c>
      <c r="V178" s="627">
        <v>1099195</v>
      </c>
      <c r="W178" s="627">
        <v>1448.848</v>
      </c>
      <c r="X178" s="627">
        <v>892490</v>
      </c>
      <c r="Y178" s="627">
        <v>892490</v>
      </c>
      <c r="Z178" s="627">
        <v>0</v>
      </c>
      <c r="AA178" s="627">
        <v>0</v>
      </c>
      <c r="AB178" s="627">
        <v>0</v>
      </c>
      <c r="AC178" s="627">
        <v>0</v>
      </c>
      <c r="AD178" s="627">
        <v>0</v>
      </c>
      <c r="AE178" s="627" t="s">
        <v>314</v>
      </c>
      <c r="AF178" s="627">
        <v>0</v>
      </c>
      <c r="AG178" s="627">
        <v>0</v>
      </c>
      <c r="AH178" s="627">
        <v>0</v>
      </c>
      <c r="AI178" s="627">
        <v>0</v>
      </c>
      <c r="AJ178" s="627">
        <v>0</v>
      </c>
      <c r="AK178" s="627">
        <v>6160</v>
      </c>
      <c r="AL178" s="627" t="s">
        <v>651</v>
      </c>
      <c r="AM178" s="627" t="s">
        <v>765</v>
      </c>
      <c r="AN178" s="627">
        <v>0</v>
      </c>
      <c r="AO178" s="627">
        <v>0</v>
      </c>
      <c r="AP178" s="627">
        <v>0</v>
      </c>
      <c r="AQ178" s="627">
        <v>0</v>
      </c>
      <c r="AR178" s="627">
        <v>0</v>
      </c>
      <c r="AS178" s="627">
        <v>0</v>
      </c>
      <c r="AT178" s="627">
        <v>0</v>
      </c>
      <c r="AU178" s="627">
        <v>0</v>
      </c>
      <c r="AV178" s="627">
        <v>0</v>
      </c>
      <c r="AW178" s="627">
        <v>0</v>
      </c>
      <c r="AX178" s="627">
        <v>60544378</v>
      </c>
      <c r="AY178" s="627">
        <v>59667871</v>
      </c>
      <c r="AZ178" s="627">
        <v>29536094</v>
      </c>
      <c r="BA178" s="627">
        <v>2118076</v>
      </c>
      <c r="BB178" s="627">
        <v>86.417000000000002</v>
      </c>
      <c r="BC178" s="627">
        <v>118306</v>
      </c>
      <c r="BD178" s="627">
        <v>117552</v>
      </c>
      <c r="BE178" s="627">
        <v>277.67700000000002</v>
      </c>
      <c r="BF178" s="627">
        <v>754</v>
      </c>
      <c r="BG178" s="627">
        <v>52646153</v>
      </c>
      <c r="BH178" s="627">
        <v>0</v>
      </c>
      <c r="BI178" s="627">
        <v>0</v>
      </c>
      <c r="BJ178" s="627">
        <v>0</v>
      </c>
      <c r="BK178" s="627">
        <v>12</v>
      </c>
      <c r="BL178" s="627">
        <v>0</v>
      </c>
      <c r="BM178" s="627">
        <v>0</v>
      </c>
      <c r="BN178" s="627">
        <v>0</v>
      </c>
      <c r="BO178" s="627">
        <v>0</v>
      </c>
      <c r="BP178" s="627">
        <v>0</v>
      </c>
      <c r="BQ178" s="627">
        <v>0</v>
      </c>
      <c r="BR178" s="627">
        <v>0</v>
      </c>
      <c r="BS178" s="627">
        <v>0</v>
      </c>
      <c r="BT178" s="627">
        <v>0</v>
      </c>
      <c r="BU178" s="627">
        <v>0</v>
      </c>
      <c r="BV178" s="627">
        <v>0</v>
      </c>
      <c r="BW178" s="627">
        <v>0</v>
      </c>
      <c r="BX178" s="627">
        <v>0</v>
      </c>
      <c r="BY178" s="627">
        <v>0</v>
      </c>
      <c r="BZ178" s="627">
        <v>0</v>
      </c>
      <c r="CA178" s="627">
        <v>0</v>
      </c>
      <c r="CB178" s="627">
        <v>222.17400000000001</v>
      </c>
      <c r="CC178" s="627">
        <v>222174</v>
      </c>
      <c r="CD178" s="627">
        <v>0</v>
      </c>
      <c r="CE178" s="627">
        <v>0</v>
      </c>
      <c r="CF178" s="627">
        <v>0</v>
      </c>
      <c r="CG178" s="627">
        <v>0</v>
      </c>
      <c r="CH178" s="627">
        <v>0</v>
      </c>
      <c r="CI178" s="627">
        <v>888171</v>
      </c>
      <c r="CJ178" s="627">
        <v>0</v>
      </c>
      <c r="CK178" s="627">
        <v>4</v>
      </c>
      <c r="CL178" s="627">
        <v>0</v>
      </c>
      <c r="CM178" s="627">
        <v>0</v>
      </c>
      <c r="CN178" s="627">
        <v>0</v>
      </c>
      <c r="CO178" s="627">
        <v>0</v>
      </c>
      <c r="CP178" s="627">
        <v>1</v>
      </c>
      <c r="CQ178" s="627">
        <v>0</v>
      </c>
      <c r="CR178" s="627">
        <v>0</v>
      </c>
      <c r="CS178" s="627">
        <v>5085.6400000000003</v>
      </c>
      <c r="CT178" s="627">
        <v>0</v>
      </c>
      <c r="CU178" s="627">
        <v>0</v>
      </c>
      <c r="CV178" s="627">
        <v>0</v>
      </c>
      <c r="CW178" s="627">
        <v>0</v>
      </c>
      <c r="CX178" s="627">
        <v>0</v>
      </c>
      <c r="CY178" s="627">
        <v>0</v>
      </c>
      <c r="CZ178" s="627">
        <v>0</v>
      </c>
      <c r="DA178" s="627">
        <v>0</v>
      </c>
      <c r="DB178" s="627">
        <v>0</v>
      </c>
      <c r="DC178" s="627">
        <v>31287120</v>
      </c>
      <c r="DD178" s="627">
        <v>0</v>
      </c>
      <c r="DE178" s="627">
        <v>0</v>
      </c>
      <c r="DF178" s="627">
        <v>5205893</v>
      </c>
      <c r="DG178" s="627">
        <v>5205893</v>
      </c>
      <c r="DH178" s="627">
        <v>845.11300000000006</v>
      </c>
      <c r="DI178" s="627">
        <v>0</v>
      </c>
      <c r="DJ178" s="627">
        <v>0</v>
      </c>
      <c r="DK178" s="627">
        <v>0</v>
      </c>
      <c r="DL178" s="627">
        <v>0</v>
      </c>
      <c r="DM178" s="627">
        <v>0</v>
      </c>
      <c r="DN178" s="627">
        <v>3200926</v>
      </c>
      <c r="DO178" s="627">
        <v>10910</v>
      </c>
      <c r="DP178" s="627">
        <v>0</v>
      </c>
      <c r="DQ178" s="627">
        <v>0</v>
      </c>
      <c r="DR178" s="627">
        <v>0</v>
      </c>
      <c r="DS178" s="627">
        <v>0</v>
      </c>
      <c r="DT178" s="627">
        <v>0</v>
      </c>
      <c r="DU178" s="627">
        <v>0</v>
      </c>
      <c r="DV178" s="627">
        <v>0</v>
      </c>
      <c r="DW178" s="627">
        <v>0</v>
      </c>
      <c r="DX178" s="627">
        <v>0</v>
      </c>
      <c r="DY178" s="627">
        <v>0</v>
      </c>
      <c r="DZ178" s="627">
        <v>0</v>
      </c>
      <c r="EA178" s="627">
        <v>0</v>
      </c>
      <c r="EB178" s="627">
        <v>2.1000000000000001E-2</v>
      </c>
      <c r="EC178" s="627">
        <v>0</v>
      </c>
      <c r="ED178" s="627">
        <v>81.14200000000001</v>
      </c>
      <c r="EE178" s="627">
        <v>574810</v>
      </c>
      <c r="EF178" s="627">
        <v>12566</v>
      </c>
      <c r="EG178" s="627">
        <v>1.2</v>
      </c>
      <c r="EH178" s="627">
        <v>0</v>
      </c>
      <c r="EI178" s="627">
        <v>2621821</v>
      </c>
      <c r="EJ178" s="627">
        <v>0</v>
      </c>
      <c r="EK178" s="627">
        <v>0</v>
      </c>
      <c r="EL178" s="627">
        <v>101.197</v>
      </c>
      <c r="EM178" s="627">
        <v>0</v>
      </c>
      <c r="EN178" s="627">
        <v>25.758000000000003</v>
      </c>
      <c r="EO178" s="627">
        <v>8.8789999999999996</v>
      </c>
      <c r="EP178" s="627">
        <v>2639</v>
      </c>
      <c r="EQ178" s="627">
        <v>0.153</v>
      </c>
      <c r="ER178" s="627">
        <v>136.119</v>
      </c>
      <c r="ES178" s="627">
        <v>0.111</v>
      </c>
      <c r="ET178" s="627">
        <v>425.62</v>
      </c>
      <c r="EU178" s="627">
        <v>0</v>
      </c>
      <c r="EV178" s="627">
        <v>0</v>
      </c>
      <c r="EW178" s="627">
        <v>0</v>
      </c>
      <c r="EX178" s="627">
        <v>0</v>
      </c>
      <c r="EY178" s="627">
        <v>0</v>
      </c>
      <c r="EZ178" s="627">
        <v>0</v>
      </c>
      <c r="FA178" s="627">
        <v>50774115</v>
      </c>
      <c r="FB178" s="627">
        <v>0</v>
      </c>
      <c r="FC178" s="627">
        <v>52880527</v>
      </c>
      <c r="FD178" s="627">
        <v>0</v>
      </c>
      <c r="FE178" s="627">
        <v>0</v>
      </c>
      <c r="FF178" s="627">
        <v>7580845</v>
      </c>
      <c r="FG178" s="627">
        <v>1312911</v>
      </c>
      <c r="FH178" s="627">
        <v>7.0280999999999996E-2</v>
      </c>
      <c r="FI178" s="627">
        <v>3.1172999999999999E-2</v>
      </c>
      <c r="FJ178" s="627">
        <v>0</v>
      </c>
      <c r="FK178" s="627">
        <v>0</v>
      </c>
      <c r="FL178" s="627">
        <v>8546.4529999999995</v>
      </c>
      <c r="FM178" s="627">
        <v>62662454</v>
      </c>
      <c r="FN178" s="627">
        <v>0</v>
      </c>
      <c r="FO178" s="627">
        <v>0</v>
      </c>
      <c r="FP178" s="627">
        <v>0</v>
      </c>
      <c r="FQ178" s="627">
        <v>0</v>
      </c>
      <c r="FR178" s="627">
        <v>0</v>
      </c>
      <c r="FS178" s="627">
        <v>0</v>
      </c>
      <c r="FT178" s="627">
        <v>0</v>
      </c>
      <c r="FU178" s="627">
        <v>0</v>
      </c>
      <c r="FV178" s="627">
        <v>0</v>
      </c>
      <c r="FW178" s="627">
        <v>0</v>
      </c>
      <c r="FX178" s="627">
        <v>0</v>
      </c>
      <c r="FY178" s="627">
        <v>0</v>
      </c>
      <c r="FZ178" s="627">
        <v>0</v>
      </c>
      <c r="GA178" s="627">
        <v>0</v>
      </c>
      <c r="GB178" s="627">
        <v>0</v>
      </c>
      <c r="GC178" s="627">
        <v>3311210</v>
      </c>
      <c r="GD178" s="627">
        <v>3311210</v>
      </c>
      <c r="GE178" s="627">
        <v>338.34800000000001</v>
      </c>
      <c r="GF178" s="627">
        <v>0</v>
      </c>
      <c r="GG178" s="627">
        <v>0</v>
      </c>
      <c r="GH178" s="627">
        <v>0</v>
      </c>
      <c r="GI178" s="627">
        <v>0</v>
      </c>
      <c r="GJ178" s="627">
        <v>0</v>
      </c>
      <c r="GK178" s="627">
        <v>0</v>
      </c>
      <c r="GL178" s="627">
        <v>0</v>
      </c>
      <c r="GM178" s="627">
        <v>0</v>
      </c>
      <c r="GN178" s="627">
        <v>0</v>
      </c>
      <c r="GO178" s="627">
        <v>0</v>
      </c>
      <c r="GP178" s="627">
        <v>0</v>
      </c>
      <c r="GQ178" s="627">
        <v>0</v>
      </c>
      <c r="GR178" s="627">
        <v>59656207</v>
      </c>
      <c r="GS178" s="627">
        <v>0</v>
      </c>
      <c r="GT178" s="627">
        <v>0</v>
      </c>
      <c r="GU178" s="627">
        <v>0</v>
      </c>
      <c r="GV178" s="627">
        <v>0</v>
      </c>
      <c r="GW178" s="627">
        <v>0</v>
      </c>
      <c r="GX178" s="627">
        <v>0</v>
      </c>
      <c r="GY178" s="627">
        <v>0</v>
      </c>
      <c r="GZ178" s="627">
        <v>0</v>
      </c>
      <c r="HA178" s="627">
        <v>0</v>
      </c>
      <c r="HB178" s="627">
        <v>0</v>
      </c>
      <c r="HC178" s="627">
        <v>361151439</v>
      </c>
      <c r="HD178" s="627">
        <v>3.9981999999999997E-2</v>
      </c>
      <c r="HE178" s="627">
        <v>888171</v>
      </c>
      <c r="HF178" s="627">
        <v>0</v>
      </c>
      <c r="HG178" s="627">
        <v>5597144</v>
      </c>
      <c r="HH178" s="627">
        <v>32648</v>
      </c>
      <c r="HI178" s="627">
        <v>939730</v>
      </c>
      <c r="HJ178" s="627">
        <v>0</v>
      </c>
      <c r="HK178" s="627">
        <v>145535</v>
      </c>
      <c r="HL178" s="627">
        <v>13468</v>
      </c>
      <c r="HM178" s="627">
        <v>10396</v>
      </c>
      <c r="HN178" s="627">
        <v>488000</v>
      </c>
      <c r="HO178" s="627">
        <v>1416241</v>
      </c>
      <c r="HP178" s="627">
        <v>0</v>
      </c>
      <c r="HQ178" s="627">
        <v>0</v>
      </c>
      <c r="HR178" s="627">
        <v>0</v>
      </c>
      <c r="HS178" s="627">
        <v>0</v>
      </c>
      <c r="HT178" s="627">
        <v>50762451</v>
      </c>
      <c r="HU178" s="627">
        <v>1312911</v>
      </c>
      <c r="HV178" s="627">
        <v>0</v>
      </c>
      <c r="HW178" s="627">
        <v>0</v>
      </c>
      <c r="HX178" s="627">
        <v>0</v>
      </c>
      <c r="HY178" s="627">
        <v>1393</v>
      </c>
      <c r="HZ178" s="627">
        <v>834</v>
      </c>
      <c r="IA178" s="627">
        <v>419</v>
      </c>
      <c r="IB178" s="627">
        <v>523</v>
      </c>
      <c r="IC178" s="627">
        <v>333</v>
      </c>
      <c r="ID178" s="627">
        <v>3502</v>
      </c>
      <c r="IE178" s="627">
        <v>0</v>
      </c>
      <c r="IF178" s="627">
        <v>0</v>
      </c>
      <c r="IG178" s="627">
        <v>0</v>
      </c>
      <c r="IH178" s="627">
        <v>53</v>
      </c>
      <c r="II178" s="627">
        <v>1525.5350000000001</v>
      </c>
      <c r="IJ178" s="627">
        <v>0</v>
      </c>
      <c r="IK178" s="627">
        <v>1448.848</v>
      </c>
      <c r="IL178" s="627">
        <v>0</v>
      </c>
      <c r="IM178" s="627">
        <v>69</v>
      </c>
      <c r="IN178" s="627">
        <v>45</v>
      </c>
      <c r="IO178" s="627">
        <v>4</v>
      </c>
      <c r="IP178" s="627">
        <v>118</v>
      </c>
      <c r="IQ178" s="627">
        <v>0</v>
      </c>
      <c r="IR178" s="627">
        <v>1448.848</v>
      </c>
      <c r="IS178" s="627">
        <v>892490</v>
      </c>
      <c r="IT178" s="627">
        <v>0</v>
      </c>
      <c r="IU178" s="627">
        <v>345000</v>
      </c>
      <c r="IV178" s="627">
        <v>135000</v>
      </c>
      <c r="IW178" s="627">
        <v>8000</v>
      </c>
      <c r="IX178" s="627">
        <v>6160</v>
      </c>
      <c r="IY178" s="627">
        <v>0</v>
      </c>
      <c r="IZ178" s="627">
        <v>0</v>
      </c>
      <c r="JA178" s="627">
        <v>0</v>
      </c>
      <c r="JB178" s="627">
        <v>0</v>
      </c>
      <c r="JC178" s="627">
        <v>41</v>
      </c>
      <c r="JD178" s="627">
        <v>668564</v>
      </c>
      <c r="JE178" s="627">
        <v>60</v>
      </c>
      <c r="JF178" s="627">
        <v>520293</v>
      </c>
      <c r="JG178" s="627">
        <v>43</v>
      </c>
      <c r="JH178" s="627">
        <v>184384</v>
      </c>
      <c r="JI178" s="627">
        <v>43000</v>
      </c>
      <c r="JJ178" s="627">
        <v>0</v>
      </c>
      <c r="JK178" s="627">
        <v>0</v>
      </c>
      <c r="JL178" s="627">
        <v>0</v>
      </c>
      <c r="JM178" s="627">
        <v>0</v>
      </c>
      <c r="JN178" s="627">
        <v>0</v>
      </c>
      <c r="JO178" s="627">
        <v>32469</v>
      </c>
      <c r="JP178" s="627">
        <v>0</v>
      </c>
      <c r="JQ178" s="627">
        <v>217.935</v>
      </c>
      <c r="JR178" s="627">
        <v>120.41300000000001</v>
      </c>
      <c r="JS178" s="627">
        <v>0</v>
      </c>
      <c r="JT178" s="627">
        <v>2025784</v>
      </c>
      <c r="JU178" s="627">
        <v>1285426</v>
      </c>
      <c r="JV178" s="627">
        <v>119734</v>
      </c>
      <c r="JW178" s="627">
        <v>0</v>
      </c>
      <c r="JX178" s="627">
        <v>0</v>
      </c>
      <c r="JY178" s="627">
        <v>0</v>
      </c>
      <c r="JZ178" s="627">
        <v>0</v>
      </c>
      <c r="KA178" s="627">
        <v>0</v>
      </c>
      <c r="KB178" s="627">
        <v>0</v>
      </c>
      <c r="KC178" s="627">
        <v>0</v>
      </c>
      <c r="KD178" s="627">
        <v>0</v>
      </c>
      <c r="KE178" s="627">
        <v>119874</v>
      </c>
      <c r="KF178" s="627">
        <v>7262</v>
      </c>
      <c r="KG178" s="627">
        <v>0</v>
      </c>
      <c r="KH178" s="627">
        <v>0</v>
      </c>
      <c r="KI178" s="627">
        <v>59656207</v>
      </c>
      <c r="KJ178" s="627">
        <v>0</v>
      </c>
      <c r="KK178" s="627">
        <v>35</v>
      </c>
      <c r="KL178" s="627">
        <v>18</v>
      </c>
      <c r="KM178" s="627">
        <v>21560</v>
      </c>
      <c r="KN178" s="627">
        <v>11088</v>
      </c>
      <c r="KO178" s="627">
        <v>0</v>
      </c>
      <c r="KP178" s="627">
        <v>0</v>
      </c>
      <c r="KQ178" s="627">
        <v>59656207</v>
      </c>
      <c r="KR178" s="627">
        <v>0</v>
      </c>
      <c r="KS178" s="627">
        <v>0</v>
      </c>
      <c r="KT178" s="627">
        <v>0</v>
      </c>
      <c r="KU178" s="627">
        <v>0</v>
      </c>
      <c r="KV178" s="627">
        <v>0</v>
      </c>
      <c r="KW178" s="627">
        <v>0</v>
      </c>
      <c r="KX178" s="627">
        <v>0</v>
      </c>
      <c r="KY178" s="627">
        <v>0</v>
      </c>
      <c r="KZ178" s="627">
        <v>0</v>
      </c>
      <c r="LA178" s="627">
        <v>0</v>
      </c>
      <c r="LB178" s="627">
        <v>0</v>
      </c>
      <c r="LC178" s="627">
        <v>0</v>
      </c>
      <c r="LD178" s="627">
        <v>0</v>
      </c>
      <c r="LE178" s="627">
        <v>0</v>
      </c>
      <c r="LF178" s="627">
        <v>0</v>
      </c>
    </row>
    <row r="179" spans="1:318" x14ac:dyDescent="0.25">
      <c r="A179" s="627">
        <v>42602</v>
      </c>
      <c r="B179" s="627">
        <v>101864</v>
      </c>
      <c r="D179" s="627">
        <v>9</v>
      </c>
      <c r="E179" s="627">
        <v>2024</v>
      </c>
      <c r="F179" s="627">
        <v>6160</v>
      </c>
      <c r="G179" s="627">
        <v>0</v>
      </c>
      <c r="H179" s="627">
        <v>145.602</v>
      </c>
      <c r="I179" s="627">
        <v>142.191</v>
      </c>
      <c r="J179" s="627">
        <v>142.191</v>
      </c>
      <c r="K179" s="627">
        <v>145.602</v>
      </c>
      <c r="L179" s="627">
        <v>0</v>
      </c>
      <c r="M179" s="627">
        <v>6160</v>
      </c>
      <c r="N179" s="627">
        <v>0</v>
      </c>
      <c r="O179" s="627">
        <v>0</v>
      </c>
      <c r="P179" s="627">
        <v>0</v>
      </c>
      <c r="Q179" s="627">
        <v>120.00700000000001</v>
      </c>
      <c r="R179" s="627">
        <v>0</v>
      </c>
      <c r="S179" s="627">
        <v>49789</v>
      </c>
      <c r="T179" s="627">
        <v>414.88400000000001</v>
      </c>
      <c r="U179" s="627">
        <v>0</v>
      </c>
      <c r="V179" s="627">
        <v>25840</v>
      </c>
      <c r="W179" s="627">
        <v>0</v>
      </c>
      <c r="X179" s="627">
        <v>0</v>
      </c>
      <c r="Y179" s="627">
        <v>0</v>
      </c>
      <c r="Z179" s="627">
        <v>0</v>
      </c>
      <c r="AA179" s="627">
        <v>0</v>
      </c>
      <c r="AB179" s="627">
        <v>0</v>
      </c>
      <c r="AC179" s="627">
        <v>0</v>
      </c>
      <c r="AD179" s="627">
        <v>0</v>
      </c>
      <c r="AE179" s="627" t="s">
        <v>314</v>
      </c>
      <c r="AF179" s="627">
        <v>0</v>
      </c>
      <c r="AG179" s="627">
        <v>0</v>
      </c>
      <c r="AH179" s="627">
        <v>0</v>
      </c>
      <c r="AI179" s="627">
        <v>0</v>
      </c>
      <c r="AJ179" s="627">
        <v>0</v>
      </c>
      <c r="AK179" s="627">
        <v>6160</v>
      </c>
      <c r="AL179" s="627" t="s">
        <v>651</v>
      </c>
      <c r="AM179" s="627" t="s">
        <v>350</v>
      </c>
      <c r="AN179" s="627">
        <v>0</v>
      </c>
      <c r="AO179" s="627">
        <v>0</v>
      </c>
      <c r="AP179" s="627">
        <v>0</v>
      </c>
      <c r="AQ179" s="627">
        <v>0</v>
      </c>
      <c r="AR179" s="627">
        <v>0</v>
      </c>
      <c r="AS179" s="627">
        <v>0</v>
      </c>
      <c r="AT179" s="627">
        <v>0</v>
      </c>
      <c r="AU179" s="627">
        <v>0</v>
      </c>
      <c r="AV179" s="627">
        <v>0</v>
      </c>
      <c r="AW179" s="627">
        <v>0</v>
      </c>
      <c r="AX179" s="627">
        <v>1666518</v>
      </c>
      <c r="AY179" s="627">
        <v>1643563</v>
      </c>
      <c r="AZ179" s="627">
        <v>750638</v>
      </c>
      <c r="BA179" s="627">
        <v>49789</v>
      </c>
      <c r="BB179" s="627">
        <v>0</v>
      </c>
      <c r="BC179" s="627">
        <v>0</v>
      </c>
      <c r="BD179" s="627">
        <v>0</v>
      </c>
      <c r="BE179" s="627">
        <v>0</v>
      </c>
      <c r="BF179" s="627">
        <v>0</v>
      </c>
      <c r="BG179" s="627">
        <v>1441037</v>
      </c>
      <c r="BH179" s="627">
        <v>0</v>
      </c>
      <c r="BI179" s="627">
        <v>0</v>
      </c>
      <c r="BJ179" s="627">
        <v>0</v>
      </c>
      <c r="BK179" s="627">
        <v>12</v>
      </c>
      <c r="BL179" s="627">
        <v>0</v>
      </c>
      <c r="BM179" s="627">
        <v>0</v>
      </c>
      <c r="BN179" s="627">
        <v>0</v>
      </c>
      <c r="BO179" s="627">
        <v>0</v>
      </c>
      <c r="BP179" s="627">
        <v>0</v>
      </c>
      <c r="BQ179" s="627">
        <v>0</v>
      </c>
      <c r="BR179" s="627">
        <v>748</v>
      </c>
      <c r="BS179" s="627">
        <v>0</v>
      </c>
      <c r="BT179" s="627">
        <v>0</v>
      </c>
      <c r="BU179" s="627">
        <v>0</v>
      </c>
      <c r="BV179" s="627">
        <v>0</v>
      </c>
      <c r="BW179" s="627">
        <v>0</v>
      </c>
      <c r="BX179" s="627">
        <v>0</v>
      </c>
      <c r="BY179" s="627">
        <v>0</v>
      </c>
      <c r="BZ179" s="627">
        <v>0</v>
      </c>
      <c r="CA179" s="627">
        <v>0</v>
      </c>
      <c r="CB179" s="627">
        <v>0</v>
      </c>
      <c r="CC179" s="627">
        <v>0</v>
      </c>
      <c r="CD179" s="627">
        <v>0</v>
      </c>
      <c r="CE179" s="627">
        <v>0</v>
      </c>
      <c r="CF179" s="627">
        <v>0</v>
      </c>
      <c r="CG179" s="627">
        <v>0</v>
      </c>
      <c r="CH179" s="627">
        <v>0</v>
      </c>
      <c r="CI179" s="627">
        <v>23286</v>
      </c>
      <c r="CJ179" s="627">
        <v>0</v>
      </c>
      <c r="CK179" s="627">
        <v>4</v>
      </c>
      <c r="CL179" s="627">
        <v>0</v>
      </c>
      <c r="CM179" s="627">
        <v>0</v>
      </c>
      <c r="CN179" s="627">
        <v>0</v>
      </c>
      <c r="CO179" s="627">
        <v>0</v>
      </c>
      <c r="CP179" s="627">
        <v>1</v>
      </c>
      <c r="CQ179" s="627">
        <v>0</v>
      </c>
      <c r="CR179" s="627">
        <v>0</v>
      </c>
      <c r="CS179" s="627">
        <v>120.25</v>
      </c>
      <c r="CT179" s="627">
        <v>0</v>
      </c>
      <c r="CU179" s="627">
        <v>0</v>
      </c>
      <c r="CV179" s="627">
        <v>0</v>
      </c>
      <c r="CW179" s="627">
        <v>0</v>
      </c>
      <c r="CX179" s="627">
        <v>0</v>
      </c>
      <c r="CY179" s="627">
        <v>0</v>
      </c>
      <c r="CZ179" s="627">
        <v>0</v>
      </c>
      <c r="DA179" s="627">
        <v>0</v>
      </c>
      <c r="DB179" s="627">
        <v>0</v>
      </c>
      <c r="DC179" s="627">
        <v>862492</v>
      </c>
      <c r="DD179" s="627">
        <v>0</v>
      </c>
      <c r="DE179" s="627">
        <v>0</v>
      </c>
      <c r="DF179" s="627">
        <v>292831</v>
      </c>
      <c r="DG179" s="627">
        <v>292831</v>
      </c>
      <c r="DH179" s="627">
        <v>47.538000000000004</v>
      </c>
      <c r="DI179" s="627">
        <v>0</v>
      </c>
      <c r="DJ179" s="627">
        <v>0</v>
      </c>
      <c r="DK179" s="627">
        <v>0</v>
      </c>
      <c r="DL179" s="627">
        <v>3592</v>
      </c>
      <c r="DM179" s="627">
        <v>0</v>
      </c>
      <c r="DN179" s="627">
        <v>110385</v>
      </c>
      <c r="DO179" s="627">
        <v>331</v>
      </c>
      <c r="DP179" s="627">
        <v>0</v>
      </c>
      <c r="DQ179" s="627">
        <v>0</v>
      </c>
      <c r="DR179" s="627">
        <v>0</v>
      </c>
      <c r="DS179" s="627">
        <v>0</v>
      </c>
      <c r="DT179" s="627">
        <v>0</v>
      </c>
      <c r="DU179" s="627">
        <v>0</v>
      </c>
      <c r="DV179" s="627">
        <v>0</v>
      </c>
      <c r="DW179" s="627">
        <v>0</v>
      </c>
      <c r="DX179" s="627">
        <v>0</v>
      </c>
      <c r="DY179" s="627">
        <v>0</v>
      </c>
      <c r="DZ179" s="627">
        <v>0</v>
      </c>
      <c r="EA179" s="627">
        <v>0</v>
      </c>
      <c r="EB179" s="627">
        <v>0</v>
      </c>
      <c r="EC179" s="627">
        <v>0</v>
      </c>
      <c r="ED179" s="627">
        <v>4.7810000000000006</v>
      </c>
      <c r="EE179" s="627">
        <v>33869</v>
      </c>
      <c r="EF179" s="627">
        <v>0</v>
      </c>
      <c r="EG179" s="627">
        <v>0</v>
      </c>
      <c r="EH179" s="627">
        <v>0</v>
      </c>
      <c r="EI179" s="627">
        <v>63442</v>
      </c>
      <c r="EJ179" s="627">
        <v>0</v>
      </c>
      <c r="EK179" s="627">
        <v>0</v>
      </c>
      <c r="EL179" s="627">
        <v>3.3780000000000001</v>
      </c>
      <c r="EM179" s="627">
        <v>0</v>
      </c>
      <c r="EN179" s="627">
        <v>0</v>
      </c>
      <c r="EO179" s="627">
        <v>3.3000000000000002E-2</v>
      </c>
      <c r="EP179" s="627">
        <v>0</v>
      </c>
      <c r="EQ179" s="627">
        <v>0</v>
      </c>
      <c r="ER179" s="627">
        <v>3.411</v>
      </c>
      <c r="ES179" s="627">
        <v>0</v>
      </c>
      <c r="ET179" s="627">
        <v>10.299000000000001</v>
      </c>
      <c r="EU179" s="627">
        <v>0</v>
      </c>
      <c r="EV179" s="627">
        <v>0</v>
      </c>
      <c r="EW179" s="627">
        <v>0</v>
      </c>
      <c r="EX179" s="627">
        <v>0</v>
      </c>
      <c r="EY179" s="627">
        <v>0</v>
      </c>
      <c r="EZ179" s="627">
        <v>0</v>
      </c>
      <c r="FA179" s="627">
        <v>1400122</v>
      </c>
      <c r="FB179" s="627">
        <v>0</v>
      </c>
      <c r="FC179" s="627">
        <v>1449580</v>
      </c>
      <c r="FD179" s="627">
        <v>0</v>
      </c>
      <c r="FE179" s="627">
        <v>0</v>
      </c>
      <c r="FF179" s="627">
        <v>207504</v>
      </c>
      <c r="FG179" s="627">
        <v>35937</v>
      </c>
      <c r="FH179" s="627">
        <v>7.0280999999999996E-2</v>
      </c>
      <c r="FI179" s="627">
        <v>3.1172999999999999E-2</v>
      </c>
      <c r="FJ179" s="627">
        <v>0</v>
      </c>
      <c r="FK179" s="627">
        <v>0</v>
      </c>
      <c r="FL179" s="627">
        <v>233.935</v>
      </c>
      <c r="FM179" s="627">
        <v>1716307</v>
      </c>
      <c r="FN179" s="627">
        <v>0</v>
      </c>
      <c r="FO179" s="627">
        <v>0</v>
      </c>
      <c r="FP179" s="627">
        <v>8874</v>
      </c>
      <c r="FQ179" s="627">
        <v>0</v>
      </c>
      <c r="FR179" s="627">
        <v>8874</v>
      </c>
      <c r="FS179" s="627">
        <v>8874</v>
      </c>
      <c r="FT179" s="627">
        <v>0</v>
      </c>
      <c r="FU179" s="627">
        <v>0</v>
      </c>
      <c r="FV179" s="627">
        <v>0</v>
      </c>
      <c r="FW179" s="627">
        <v>0</v>
      </c>
      <c r="FX179" s="627">
        <v>0</v>
      </c>
      <c r="FY179" s="627">
        <v>0</v>
      </c>
      <c r="FZ179" s="627">
        <v>0</v>
      </c>
      <c r="GA179" s="627">
        <v>0</v>
      </c>
      <c r="GB179" s="627">
        <v>0</v>
      </c>
      <c r="GC179" s="627">
        <v>0</v>
      </c>
      <c r="GD179" s="627">
        <v>0</v>
      </c>
      <c r="GE179" s="627">
        <v>0</v>
      </c>
      <c r="GF179" s="627">
        <v>0</v>
      </c>
      <c r="GG179" s="627">
        <v>0</v>
      </c>
      <c r="GH179" s="627">
        <v>0</v>
      </c>
      <c r="GI179" s="627">
        <v>0</v>
      </c>
      <c r="GJ179" s="627">
        <v>0</v>
      </c>
      <c r="GK179" s="627">
        <v>0</v>
      </c>
      <c r="GL179" s="627">
        <v>0</v>
      </c>
      <c r="GM179" s="627">
        <v>0</v>
      </c>
      <c r="GN179" s="627">
        <v>0</v>
      </c>
      <c r="GO179" s="627">
        <v>0</v>
      </c>
      <c r="GP179" s="627">
        <v>0</v>
      </c>
      <c r="GQ179" s="627">
        <v>0</v>
      </c>
      <c r="GR179" s="627">
        <v>1643232</v>
      </c>
      <c r="GS179" s="627">
        <v>0</v>
      </c>
      <c r="GT179" s="627">
        <v>0</v>
      </c>
      <c r="GU179" s="627">
        <v>0</v>
      </c>
      <c r="GV179" s="627">
        <v>0</v>
      </c>
      <c r="GW179" s="627">
        <v>0</v>
      </c>
      <c r="GX179" s="627">
        <v>0</v>
      </c>
      <c r="GY179" s="627">
        <v>0</v>
      </c>
      <c r="GZ179" s="627">
        <v>0</v>
      </c>
      <c r="HA179" s="627">
        <v>0</v>
      </c>
      <c r="HB179" s="627">
        <v>0</v>
      </c>
      <c r="HC179" s="627">
        <v>361151439</v>
      </c>
      <c r="HD179" s="627">
        <v>3.9981999999999997E-2</v>
      </c>
      <c r="HE179" s="627">
        <v>23286</v>
      </c>
      <c r="HF179" s="627">
        <v>0</v>
      </c>
      <c r="HG179" s="627">
        <v>156694</v>
      </c>
      <c r="HH179" s="627">
        <v>1848</v>
      </c>
      <c r="HI179" s="627">
        <v>0</v>
      </c>
      <c r="HJ179" s="627">
        <v>0</v>
      </c>
      <c r="HK179" s="627">
        <v>16456</v>
      </c>
      <c r="HL179" s="627">
        <v>0</v>
      </c>
      <c r="HM179" s="627">
        <v>0</v>
      </c>
      <c r="HN179" s="627">
        <v>0</v>
      </c>
      <c r="HO179" s="627">
        <v>0</v>
      </c>
      <c r="HP179" s="627">
        <v>0</v>
      </c>
      <c r="HQ179" s="627">
        <v>0</v>
      </c>
      <c r="HR179" s="627">
        <v>0</v>
      </c>
      <c r="HS179" s="627">
        <v>0</v>
      </c>
      <c r="HT179" s="627">
        <v>1399791</v>
      </c>
      <c r="HU179" s="627">
        <v>35937</v>
      </c>
      <c r="HV179" s="627">
        <v>0</v>
      </c>
      <c r="HW179" s="627">
        <v>0</v>
      </c>
      <c r="HX179" s="627">
        <v>0</v>
      </c>
      <c r="HY179" s="627">
        <v>10</v>
      </c>
      <c r="HZ179" s="627">
        <v>28</v>
      </c>
      <c r="IA179" s="627">
        <v>48</v>
      </c>
      <c r="IB179" s="627">
        <v>25</v>
      </c>
      <c r="IC179" s="627">
        <v>73</v>
      </c>
      <c r="ID179" s="627">
        <v>184</v>
      </c>
      <c r="IE179" s="627">
        <v>0</v>
      </c>
      <c r="IF179" s="627">
        <v>0</v>
      </c>
      <c r="IG179" s="627">
        <v>0</v>
      </c>
      <c r="IH179" s="627">
        <v>3</v>
      </c>
      <c r="II179" s="627">
        <v>0</v>
      </c>
      <c r="IJ179" s="627">
        <v>0</v>
      </c>
      <c r="IK179" s="627">
        <v>0</v>
      </c>
      <c r="IL179" s="627">
        <v>0</v>
      </c>
      <c r="IM179" s="627">
        <v>0</v>
      </c>
      <c r="IN179" s="627">
        <v>0</v>
      </c>
      <c r="IO179" s="627">
        <v>0</v>
      </c>
      <c r="IP179" s="627">
        <v>0</v>
      </c>
      <c r="IQ179" s="627">
        <v>0</v>
      </c>
      <c r="IR179" s="627">
        <v>0</v>
      </c>
      <c r="IS179" s="627">
        <v>0</v>
      </c>
      <c r="IT179" s="627">
        <v>0</v>
      </c>
      <c r="IU179" s="627">
        <v>0</v>
      </c>
      <c r="IV179" s="627">
        <v>0</v>
      </c>
      <c r="IW179" s="627">
        <v>0</v>
      </c>
      <c r="IX179" s="627">
        <v>6160</v>
      </c>
      <c r="IY179" s="627">
        <v>0</v>
      </c>
      <c r="IZ179" s="627">
        <v>0</v>
      </c>
      <c r="JA179" s="627">
        <v>0</v>
      </c>
      <c r="JB179" s="627">
        <v>0</v>
      </c>
      <c r="JC179" s="627">
        <v>0</v>
      </c>
      <c r="JD179" s="627">
        <v>0</v>
      </c>
      <c r="JE179" s="627">
        <v>0</v>
      </c>
      <c r="JF179" s="627">
        <v>0</v>
      </c>
      <c r="JG179" s="627">
        <v>0</v>
      </c>
      <c r="JH179" s="627">
        <v>0</v>
      </c>
      <c r="JI179" s="627">
        <v>0</v>
      </c>
      <c r="JJ179" s="627">
        <v>0</v>
      </c>
      <c r="JK179" s="627">
        <v>0</v>
      </c>
      <c r="JL179" s="627">
        <v>0</v>
      </c>
      <c r="JM179" s="627">
        <v>0</v>
      </c>
      <c r="JN179" s="627">
        <v>0</v>
      </c>
      <c r="JO179" s="627">
        <v>32469</v>
      </c>
      <c r="JP179" s="627">
        <v>0</v>
      </c>
      <c r="JQ179" s="627">
        <v>0</v>
      </c>
      <c r="JR179" s="627">
        <v>0</v>
      </c>
      <c r="JS179" s="627">
        <v>0</v>
      </c>
      <c r="JT179" s="627">
        <v>0</v>
      </c>
      <c r="JU179" s="627">
        <v>0</v>
      </c>
      <c r="JV179" s="627">
        <v>0</v>
      </c>
      <c r="JW179" s="627">
        <v>0</v>
      </c>
      <c r="JX179" s="627">
        <v>0</v>
      </c>
      <c r="JY179" s="627">
        <v>0</v>
      </c>
      <c r="JZ179" s="627">
        <v>0</v>
      </c>
      <c r="KA179" s="627">
        <v>0</v>
      </c>
      <c r="KB179" s="627">
        <v>0</v>
      </c>
      <c r="KC179" s="627">
        <v>0</v>
      </c>
      <c r="KD179" s="627">
        <v>0</v>
      </c>
      <c r="KE179" s="627">
        <v>0</v>
      </c>
      <c r="KF179" s="627">
        <v>7262</v>
      </c>
      <c r="KG179" s="627">
        <v>0</v>
      </c>
      <c r="KH179" s="627">
        <v>0</v>
      </c>
      <c r="KI179" s="627">
        <v>1643232</v>
      </c>
      <c r="KJ179" s="627">
        <v>0</v>
      </c>
      <c r="KK179" s="627">
        <v>2</v>
      </c>
      <c r="KL179" s="627">
        <v>1</v>
      </c>
      <c r="KM179" s="627">
        <v>1232</v>
      </c>
      <c r="KN179" s="627">
        <v>616</v>
      </c>
      <c r="KO179" s="627">
        <v>0</v>
      </c>
      <c r="KP179" s="627">
        <v>0</v>
      </c>
      <c r="KQ179" s="627">
        <v>1643232</v>
      </c>
      <c r="KR179" s="627">
        <v>0</v>
      </c>
      <c r="KS179" s="627">
        <v>0</v>
      </c>
      <c r="KT179" s="627">
        <v>0</v>
      </c>
      <c r="KU179" s="627">
        <v>0</v>
      </c>
      <c r="KV179" s="627">
        <v>0</v>
      </c>
      <c r="KW179" s="627">
        <v>0</v>
      </c>
      <c r="KX179" s="627">
        <v>0</v>
      </c>
      <c r="KY179" s="627">
        <v>0</v>
      </c>
      <c r="KZ179" s="627">
        <v>0</v>
      </c>
      <c r="LA179" s="627">
        <v>0</v>
      </c>
      <c r="LB179" s="627">
        <v>0</v>
      </c>
      <c r="LC179" s="627">
        <v>0</v>
      </c>
      <c r="LD179" s="627">
        <v>0</v>
      </c>
      <c r="LE179" s="627">
        <v>0</v>
      </c>
      <c r="LF179" s="627">
        <v>0</v>
      </c>
    </row>
    <row r="180" spans="1:318" x14ac:dyDescent="0.25">
      <c r="A180" s="627">
        <v>42602</v>
      </c>
      <c r="B180" s="627">
        <v>101868</v>
      </c>
      <c r="D180" s="627">
        <v>9</v>
      </c>
      <c r="E180" s="627">
        <v>2024</v>
      </c>
      <c r="F180" s="627">
        <v>6160</v>
      </c>
      <c r="G180" s="627">
        <v>0</v>
      </c>
      <c r="H180" s="627">
        <v>336.78800000000001</v>
      </c>
      <c r="I180" s="627">
        <v>313.97700000000003</v>
      </c>
      <c r="J180" s="627">
        <v>313.97700000000003</v>
      </c>
      <c r="K180" s="627">
        <v>336.78800000000001</v>
      </c>
      <c r="L180" s="627">
        <v>0</v>
      </c>
      <c r="M180" s="627">
        <v>6160</v>
      </c>
      <c r="N180" s="627">
        <v>0</v>
      </c>
      <c r="O180" s="627">
        <v>0</v>
      </c>
      <c r="P180" s="627">
        <v>0</v>
      </c>
      <c r="Q180" s="627">
        <v>332.22700000000003</v>
      </c>
      <c r="R180" s="627">
        <v>0</v>
      </c>
      <c r="S180" s="627">
        <v>137836</v>
      </c>
      <c r="T180" s="627">
        <v>414.88400000000001</v>
      </c>
      <c r="U180" s="627">
        <v>0</v>
      </c>
      <c r="V180" s="627">
        <v>71531</v>
      </c>
      <c r="W180" s="627">
        <v>0.88300000000000001</v>
      </c>
      <c r="X180" s="627">
        <v>1403</v>
      </c>
      <c r="Y180" s="627">
        <v>1403</v>
      </c>
      <c r="Z180" s="627">
        <v>0</v>
      </c>
      <c r="AA180" s="627">
        <v>0</v>
      </c>
      <c r="AB180" s="627">
        <v>0</v>
      </c>
      <c r="AC180" s="627">
        <v>0</v>
      </c>
      <c r="AD180" s="627">
        <v>0</v>
      </c>
      <c r="AE180" s="627" t="s">
        <v>314</v>
      </c>
      <c r="AF180" s="627">
        <v>0</v>
      </c>
      <c r="AG180" s="627">
        <v>0</v>
      </c>
      <c r="AH180" s="627">
        <v>0</v>
      </c>
      <c r="AI180" s="627">
        <v>0</v>
      </c>
      <c r="AJ180" s="627">
        <v>0</v>
      </c>
      <c r="AK180" s="627">
        <v>6160</v>
      </c>
      <c r="AL180" s="627" t="s">
        <v>651</v>
      </c>
      <c r="AM180" s="627" t="s">
        <v>351</v>
      </c>
      <c r="AN180" s="627">
        <v>0</v>
      </c>
      <c r="AO180" s="627">
        <v>0</v>
      </c>
      <c r="AP180" s="627">
        <v>0</v>
      </c>
      <c r="AQ180" s="627">
        <v>0</v>
      </c>
      <c r="AR180" s="627">
        <v>0</v>
      </c>
      <c r="AS180" s="627">
        <v>0</v>
      </c>
      <c r="AT180" s="627">
        <v>0</v>
      </c>
      <c r="AU180" s="627">
        <v>0</v>
      </c>
      <c r="AV180" s="627">
        <v>0</v>
      </c>
      <c r="AW180" s="627">
        <v>0</v>
      </c>
      <c r="AX180" s="627">
        <v>4083332</v>
      </c>
      <c r="AY180" s="627">
        <v>4030768</v>
      </c>
      <c r="AZ180" s="627">
        <v>2087257</v>
      </c>
      <c r="BA180" s="627">
        <v>137836</v>
      </c>
      <c r="BB180" s="627">
        <v>0</v>
      </c>
      <c r="BC180" s="627">
        <v>0</v>
      </c>
      <c r="BD180" s="627">
        <v>0</v>
      </c>
      <c r="BE180" s="627">
        <v>0</v>
      </c>
      <c r="BF180" s="627">
        <v>0</v>
      </c>
      <c r="BG180" s="627">
        <v>3526803</v>
      </c>
      <c r="BH180" s="627">
        <v>0</v>
      </c>
      <c r="BI180" s="627">
        <v>0</v>
      </c>
      <c r="BJ180" s="627">
        <v>0</v>
      </c>
      <c r="BK180" s="627">
        <v>12</v>
      </c>
      <c r="BL180" s="627">
        <v>0</v>
      </c>
      <c r="BM180" s="627">
        <v>0</v>
      </c>
      <c r="BN180" s="627">
        <v>0</v>
      </c>
      <c r="BO180" s="627">
        <v>0</v>
      </c>
      <c r="BP180" s="627">
        <v>0</v>
      </c>
      <c r="BQ180" s="627">
        <v>0</v>
      </c>
      <c r="BR180" s="627">
        <v>722</v>
      </c>
      <c r="BS180" s="627">
        <v>0</v>
      </c>
      <c r="BT180" s="627">
        <v>0</v>
      </c>
      <c r="BU180" s="627">
        <v>0</v>
      </c>
      <c r="BV180" s="627">
        <v>0</v>
      </c>
      <c r="BW180" s="627">
        <v>0</v>
      </c>
      <c r="BX180" s="627">
        <v>0</v>
      </c>
      <c r="BY180" s="627">
        <v>0</v>
      </c>
      <c r="BZ180" s="627">
        <v>0</v>
      </c>
      <c r="CA180" s="627">
        <v>0</v>
      </c>
      <c r="CB180" s="627">
        <v>0</v>
      </c>
      <c r="CC180" s="627">
        <v>0</v>
      </c>
      <c r="CD180" s="627">
        <v>0</v>
      </c>
      <c r="CE180" s="627">
        <v>0</v>
      </c>
      <c r="CF180" s="627">
        <v>0</v>
      </c>
      <c r="CG180" s="627">
        <v>0</v>
      </c>
      <c r="CH180" s="627">
        <v>0</v>
      </c>
      <c r="CI180" s="627">
        <v>53862</v>
      </c>
      <c r="CJ180" s="627">
        <v>0</v>
      </c>
      <c r="CK180" s="627">
        <v>4</v>
      </c>
      <c r="CL180" s="627">
        <v>0</v>
      </c>
      <c r="CM180" s="627">
        <v>0</v>
      </c>
      <c r="CN180" s="627">
        <v>0</v>
      </c>
      <c r="CO180" s="627">
        <v>0</v>
      </c>
      <c r="CP180" s="627">
        <v>1</v>
      </c>
      <c r="CQ180" s="627">
        <v>0.63700000000000001</v>
      </c>
      <c r="CR180" s="627">
        <v>0</v>
      </c>
      <c r="CS180" s="627">
        <v>331.41</v>
      </c>
      <c r="CT180" s="627">
        <v>0</v>
      </c>
      <c r="CU180" s="627">
        <v>0</v>
      </c>
      <c r="CV180" s="627">
        <v>0</v>
      </c>
      <c r="CW180" s="627">
        <v>0</v>
      </c>
      <c r="CX180" s="627">
        <v>0</v>
      </c>
      <c r="CY180" s="627">
        <v>0</v>
      </c>
      <c r="CZ180" s="627">
        <v>0</v>
      </c>
      <c r="DA180" s="627">
        <v>0</v>
      </c>
      <c r="DB180" s="627">
        <v>0</v>
      </c>
      <c r="DC180" s="627">
        <v>1803546</v>
      </c>
      <c r="DD180" s="627">
        <v>0</v>
      </c>
      <c r="DE180" s="627">
        <v>0</v>
      </c>
      <c r="DF180" s="627">
        <v>641102</v>
      </c>
      <c r="DG180" s="627">
        <v>650559</v>
      </c>
      <c r="DH180" s="627">
        <v>104.075</v>
      </c>
      <c r="DI180" s="627">
        <v>0</v>
      </c>
      <c r="DJ180" s="627">
        <v>9457</v>
      </c>
      <c r="DK180" s="627">
        <v>0</v>
      </c>
      <c r="DL180" s="627">
        <v>3169</v>
      </c>
      <c r="DM180" s="627">
        <v>0</v>
      </c>
      <c r="DN180" s="627">
        <v>511185</v>
      </c>
      <c r="DO180" s="627">
        <v>1297</v>
      </c>
      <c r="DP180" s="627">
        <v>0</v>
      </c>
      <c r="DQ180" s="627">
        <v>0</v>
      </c>
      <c r="DR180" s="627">
        <v>0</v>
      </c>
      <c r="DS180" s="627">
        <v>0</v>
      </c>
      <c r="DT180" s="627">
        <v>0</v>
      </c>
      <c r="DU180" s="627">
        <v>0</v>
      </c>
      <c r="DV180" s="627">
        <v>0</v>
      </c>
      <c r="DW180" s="627">
        <v>0</v>
      </c>
      <c r="DX180" s="627">
        <v>0</v>
      </c>
      <c r="DY180" s="627">
        <v>0</v>
      </c>
      <c r="DZ180" s="627">
        <v>0</v>
      </c>
      <c r="EA180" s="627">
        <v>0</v>
      </c>
      <c r="EB180" s="627">
        <v>0</v>
      </c>
      <c r="EC180" s="627">
        <v>0</v>
      </c>
      <c r="ED180" s="627">
        <v>40.71</v>
      </c>
      <c r="EE180" s="627">
        <v>288390</v>
      </c>
      <c r="EF180" s="627">
        <v>0</v>
      </c>
      <c r="EG180" s="627">
        <v>0</v>
      </c>
      <c r="EH180" s="627">
        <v>0</v>
      </c>
      <c r="EI180" s="627">
        <v>93540</v>
      </c>
      <c r="EJ180" s="627">
        <v>0</v>
      </c>
      <c r="EK180" s="627">
        <v>0</v>
      </c>
      <c r="EL180" s="627">
        <v>4.4950000000000001</v>
      </c>
      <c r="EM180" s="627">
        <v>0</v>
      </c>
      <c r="EN180" s="627">
        <v>0.36499999999999999</v>
      </c>
      <c r="EO180" s="627">
        <v>0.12100000000000001</v>
      </c>
      <c r="EP180" s="627">
        <v>0</v>
      </c>
      <c r="EQ180" s="627">
        <v>0</v>
      </c>
      <c r="ER180" s="627">
        <v>4.9809999999999999</v>
      </c>
      <c r="ES180" s="627">
        <v>0</v>
      </c>
      <c r="ET180" s="627">
        <v>15.185</v>
      </c>
      <c r="EU180" s="627">
        <v>0</v>
      </c>
      <c r="EV180" s="627">
        <v>0</v>
      </c>
      <c r="EW180" s="627">
        <v>0</v>
      </c>
      <c r="EX180" s="627">
        <v>0</v>
      </c>
      <c r="EY180" s="627">
        <v>0</v>
      </c>
      <c r="EZ180" s="627">
        <v>0</v>
      </c>
      <c r="FA180" s="627">
        <v>3434969</v>
      </c>
      <c r="FB180" s="627">
        <v>0</v>
      </c>
      <c r="FC180" s="627">
        <v>3571507</v>
      </c>
      <c r="FD180" s="627">
        <v>0</v>
      </c>
      <c r="FE180" s="627">
        <v>0</v>
      </c>
      <c r="FF180" s="627">
        <v>507846</v>
      </c>
      <c r="FG180" s="627">
        <v>87953</v>
      </c>
      <c r="FH180" s="627">
        <v>7.0280999999999996E-2</v>
      </c>
      <c r="FI180" s="627">
        <v>3.1172999999999999E-2</v>
      </c>
      <c r="FJ180" s="627">
        <v>0</v>
      </c>
      <c r="FK180" s="627">
        <v>0</v>
      </c>
      <c r="FL180" s="627">
        <v>572.53300000000002</v>
      </c>
      <c r="FM180" s="627">
        <v>4221168</v>
      </c>
      <c r="FN180" s="627">
        <v>0</v>
      </c>
      <c r="FO180" s="627">
        <v>0</v>
      </c>
      <c r="FP180" s="627">
        <v>40979</v>
      </c>
      <c r="FQ180" s="627">
        <v>0</v>
      </c>
      <c r="FR180" s="627">
        <v>40979</v>
      </c>
      <c r="FS180" s="627">
        <v>40979</v>
      </c>
      <c r="FT180" s="627">
        <v>0</v>
      </c>
      <c r="FU180" s="627">
        <v>0</v>
      </c>
      <c r="FV180" s="627">
        <v>0</v>
      </c>
      <c r="FW180" s="627">
        <v>0</v>
      </c>
      <c r="FX180" s="627">
        <v>0</v>
      </c>
      <c r="FY180" s="627">
        <v>0</v>
      </c>
      <c r="FZ180" s="627">
        <v>0</v>
      </c>
      <c r="GA180" s="627">
        <v>0</v>
      </c>
      <c r="GB180" s="627">
        <v>0</v>
      </c>
      <c r="GC180" s="627">
        <v>170202</v>
      </c>
      <c r="GD180" s="627">
        <v>170202</v>
      </c>
      <c r="GE180" s="627">
        <v>17.830000000000002</v>
      </c>
      <c r="GF180" s="627">
        <v>0</v>
      </c>
      <c r="GG180" s="627">
        <v>0</v>
      </c>
      <c r="GH180" s="627">
        <v>0</v>
      </c>
      <c r="GI180" s="627">
        <v>0</v>
      </c>
      <c r="GJ180" s="627">
        <v>0</v>
      </c>
      <c r="GK180" s="627">
        <v>0</v>
      </c>
      <c r="GL180" s="627">
        <v>0</v>
      </c>
      <c r="GM180" s="627">
        <v>0</v>
      </c>
      <c r="GN180" s="627">
        <v>0</v>
      </c>
      <c r="GO180" s="627">
        <v>0</v>
      </c>
      <c r="GP180" s="627">
        <v>0</v>
      </c>
      <c r="GQ180" s="627">
        <v>0</v>
      </c>
      <c r="GR180" s="627">
        <v>4029470</v>
      </c>
      <c r="GS180" s="627">
        <v>0</v>
      </c>
      <c r="GT180" s="627">
        <v>0</v>
      </c>
      <c r="GU180" s="627">
        <v>0</v>
      </c>
      <c r="GV180" s="627">
        <v>0</v>
      </c>
      <c r="GW180" s="627">
        <v>0</v>
      </c>
      <c r="GX180" s="627">
        <v>0</v>
      </c>
      <c r="GY180" s="627">
        <v>0</v>
      </c>
      <c r="GZ180" s="627">
        <v>0</v>
      </c>
      <c r="HA180" s="627">
        <v>0</v>
      </c>
      <c r="HB180" s="627">
        <v>0</v>
      </c>
      <c r="HC180" s="627">
        <v>361151439</v>
      </c>
      <c r="HD180" s="627">
        <v>3.9981999999999997E-2</v>
      </c>
      <c r="HE180" s="627">
        <v>53862</v>
      </c>
      <c r="HF180" s="627">
        <v>0</v>
      </c>
      <c r="HG180" s="627">
        <v>346003</v>
      </c>
      <c r="HH180" s="627">
        <v>9240</v>
      </c>
      <c r="HI180" s="627">
        <v>0</v>
      </c>
      <c r="HJ180" s="627">
        <v>0</v>
      </c>
      <c r="HK180" s="627">
        <v>33368</v>
      </c>
      <c r="HL180" s="627">
        <v>2396</v>
      </c>
      <c r="HM180" s="627">
        <v>1601</v>
      </c>
      <c r="HN180" s="627">
        <v>0</v>
      </c>
      <c r="HO180" s="627">
        <v>0</v>
      </c>
      <c r="HP180" s="627">
        <v>0</v>
      </c>
      <c r="HQ180" s="627">
        <v>0</v>
      </c>
      <c r="HR180" s="627">
        <v>0</v>
      </c>
      <c r="HS180" s="627">
        <v>0</v>
      </c>
      <c r="HT180" s="627">
        <v>3433671</v>
      </c>
      <c r="HU180" s="627">
        <v>87953</v>
      </c>
      <c r="HV180" s="627">
        <v>0</v>
      </c>
      <c r="HW180" s="627">
        <v>0</v>
      </c>
      <c r="HX180" s="627">
        <v>0</v>
      </c>
      <c r="HY180" s="627">
        <v>12</v>
      </c>
      <c r="HZ180" s="627">
        <v>35</v>
      </c>
      <c r="IA180" s="627">
        <v>45</v>
      </c>
      <c r="IB180" s="627">
        <v>77</v>
      </c>
      <c r="IC180" s="627">
        <v>224</v>
      </c>
      <c r="ID180" s="627">
        <v>393</v>
      </c>
      <c r="IE180" s="627">
        <v>0</v>
      </c>
      <c r="IF180" s="627">
        <v>0.93</v>
      </c>
      <c r="IG180" s="627">
        <v>0</v>
      </c>
      <c r="IH180" s="627">
        <v>15</v>
      </c>
      <c r="II180" s="627">
        <v>0</v>
      </c>
      <c r="IJ180" s="627">
        <v>0</v>
      </c>
      <c r="IK180" s="627">
        <v>1.8130000000000002</v>
      </c>
      <c r="IL180" s="627">
        <v>3.73</v>
      </c>
      <c r="IM180" s="627">
        <v>0</v>
      </c>
      <c r="IN180" s="627">
        <v>0</v>
      </c>
      <c r="IO180" s="627">
        <v>0</v>
      </c>
      <c r="IP180" s="627">
        <v>0</v>
      </c>
      <c r="IQ180" s="627">
        <v>3.73</v>
      </c>
      <c r="IR180" s="627">
        <v>0.88300000000000001</v>
      </c>
      <c r="IS180" s="627">
        <v>544</v>
      </c>
      <c r="IT180" s="627">
        <v>1026</v>
      </c>
      <c r="IU180" s="627">
        <v>0</v>
      </c>
      <c r="IV180" s="627">
        <v>0</v>
      </c>
      <c r="IW180" s="627">
        <v>0</v>
      </c>
      <c r="IX180" s="627">
        <v>6160</v>
      </c>
      <c r="IY180" s="627">
        <v>859</v>
      </c>
      <c r="IZ180" s="627">
        <v>0</v>
      </c>
      <c r="JA180" s="627">
        <v>1026</v>
      </c>
      <c r="JB180" s="627">
        <v>0</v>
      </c>
      <c r="JC180" s="627">
        <v>0</v>
      </c>
      <c r="JD180" s="627">
        <v>0</v>
      </c>
      <c r="JE180" s="627">
        <v>0</v>
      </c>
      <c r="JF180" s="627">
        <v>0</v>
      </c>
      <c r="JG180" s="627">
        <v>0</v>
      </c>
      <c r="JH180" s="627">
        <v>0</v>
      </c>
      <c r="JI180" s="627">
        <v>0</v>
      </c>
      <c r="JJ180" s="627">
        <v>0</v>
      </c>
      <c r="JK180" s="627">
        <v>0</v>
      </c>
      <c r="JL180" s="627">
        <v>0</v>
      </c>
      <c r="JM180" s="627">
        <v>0</v>
      </c>
      <c r="JN180" s="627">
        <v>0</v>
      </c>
      <c r="JO180" s="627">
        <v>32469</v>
      </c>
      <c r="JP180" s="627">
        <v>1.3880000000000001</v>
      </c>
      <c r="JQ180" s="627">
        <v>11.891</v>
      </c>
      <c r="JR180" s="627">
        <v>4.5510000000000002</v>
      </c>
      <c r="JS180" s="627">
        <v>11088</v>
      </c>
      <c r="JT180" s="627">
        <v>110531</v>
      </c>
      <c r="JU180" s="627">
        <v>48583</v>
      </c>
      <c r="JV180" s="627">
        <v>0</v>
      </c>
      <c r="JW180" s="627">
        <v>0</v>
      </c>
      <c r="JX180" s="627">
        <v>0</v>
      </c>
      <c r="JY180" s="627">
        <v>0</v>
      </c>
      <c r="JZ180" s="627">
        <v>0</v>
      </c>
      <c r="KA180" s="627">
        <v>0</v>
      </c>
      <c r="KB180" s="627">
        <v>0</v>
      </c>
      <c r="KC180" s="627">
        <v>0</v>
      </c>
      <c r="KD180" s="627">
        <v>0</v>
      </c>
      <c r="KE180" s="627">
        <v>0</v>
      </c>
      <c r="KF180" s="627">
        <v>7262</v>
      </c>
      <c r="KG180" s="627">
        <v>0</v>
      </c>
      <c r="KH180" s="627">
        <v>0</v>
      </c>
      <c r="KI180" s="627">
        <v>4029470</v>
      </c>
      <c r="KJ180" s="627">
        <v>0</v>
      </c>
      <c r="KK180" s="627">
        <v>9</v>
      </c>
      <c r="KL180" s="627">
        <v>6</v>
      </c>
      <c r="KM180" s="627">
        <v>5544</v>
      </c>
      <c r="KN180" s="627">
        <v>3696</v>
      </c>
      <c r="KO180" s="627">
        <v>0</v>
      </c>
      <c r="KP180" s="627">
        <v>0</v>
      </c>
      <c r="KQ180" s="627">
        <v>4029470</v>
      </c>
      <c r="KR180" s="627">
        <v>0</v>
      </c>
      <c r="KS180" s="627">
        <v>0</v>
      </c>
      <c r="KT180" s="627">
        <v>0</v>
      </c>
      <c r="KU180" s="627">
        <v>0</v>
      </c>
      <c r="KV180" s="627">
        <v>0</v>
      </c>
      <c r="KW180" s="627">
        <v>0</v>
      </c>
      <c r="KX180" s="627">
        <v>0</v>
      </c>
      <c r="KY180" s="627">
        <v>0</v>
      </c>
      <c r="KZ180" s="627">
        <v>0</v>
      </c>
      <c r="LA180" s="627">
        <v>0</v>
      </c>
      <c r="LB180" s="627">
        <v>0</v>
      </c>
      <c r="LC180" s="627">
        <v>0</v>
      </c>
      <c r="LD180" s="627">
        <v>0</v>
      </c>
      <c r="LE180" s="627">
        <v>0</v>
      </c>
      <c r="LF180" s="627">
        <v>0</v>
      </c>
    </row>
    <row r="181" spans="1:318" x14ac:dyDescent="0.25">
      <c r="A181" s="627">
        <v>42602</v>
      </c>
      <c r="B181" s="627">
        <v>101870</v>
      </c>
      <c r="D181" s="627">
        <v>9</v>
      </c>
      <c r="E181" s="627">
        <v>2024</v>
      </c>
      <c r="F181" s="627">
        <v>6160</v>
      </c>
      <c r="G181" s="627">
        <v>0</v>
      </c>
      <c r="H181" s="627">
        <v>1328.52</v>
      </c>
      <c r="I181" s="627">
        <v>1305.886</v>
      </c>
      <c r="J181" s="627">
        <v>1305.886</v>
      </c>
      <c r="K181" s="627">
        <v>1328.52</v>
      </c>
      <c r="L181" s="627">
        <v>0</v>
      </c>
      <c r="M181" s="627">
        <v>6160</v>
      </c>
      <c r="N181" s="627">
        <v>0</v>
      </c>
      <c r="O181" s="627">
        <v>0</v>
      </c>
      <c r="P181" s="627">
        <v>0</v>
      </c>
      <c r="Q181" s="627">
        <v>1301.8920000000001</v>
      </c>
      <c r="R181" s="627">
        <v>0</v>
      </c>
      <c r="S181" s="627">
        <v>540134</v>
      </c>
      <c r="T181" s="627">
        <v>414.88400000000001</v>
      </c>
      <c r="U181" s="627">
        <v>0</v>
      </c>
      <c r="V181" s="627">
        <v>280309</v>
      </c>
      <c r="W181" s="627">
        <v>290.21899999999999</v>
      </c>
      <c r="X181" s="627">
        <v>178775</v>
      </c>
      <c r="Y181" s="627">
        <v>178775</v>
      </c>
      <c r="Z181" s="627">
        <v>0</v>
      </c>
      <c r="AA181" s="627">
        <v>0</v>
      </c>
      <c r="AB181" s="627">
        <v>0</v>
      </c>
      <c r="AC181" s="627">
        <v>0</v>
      </c>
      <c r="AD181" s="627">
        <v>0</v>
      </c>
      <c r="AE181" s="627" t="s">
        <v>314</v>
      </c>
      <c r="AF181" s="627">
        <v>0</v>
      </c>
      <c r="AG181" s="627">
        <v>0</v>
      </c>
      <c r="AH181" s="627">
        <v>0</v>
      </c>
      <c r="AI181" s="627">
        <v>0</v>
      </c>
      <c r="AJ181" s="627">
        <v>0</v>
      </c>
      <c r="AK181" s="627">
        <v>6160</v>
      </c>
      <c r="AL181" s="627" t="s">
        <v>651</v>
      </c>
      <c r="AM181" s="627" t="s">
        <v>368</v>
      </c>
      <c r="AN181" s="627">
        <v>0</v>
      </c>
      <c r="AO181" s="627">
        <v>0</v>
      </c>
      <c r="AP181" s="627">
        <v>0</v>
      </c>
      <c r="AQ181" s="627">
        <v>0</v>
      </c>
      <c r="AR181" s="627">
        <v>0</v>
      </c>
      <c r="AS181" s="627">
        <v>0</v>
      </c>
      <c r="AT181" s="627">
        <v>0</v>
      </c>
      <c r="AU181" s="627">
        <v>0</v>
      </c>
      <c r="AV181" s="627">
        <v>0</v>
      </c>
      <c r="AW181" s="627">
        <v>0</v>
      </c>
      <c r="AX181" s="627">
        <v>14207228</v>
      </c>
      <c r="AY181" s="627">
        <v>13996906</v>
      </c>
      <c r="AZ181" s="627">
        <v>6935734</v>
      </c>
      <c r="BA181" s="627">
        <v>540134</v>
      </c>
      <c r="BB181" s="627">
        <v>0</v>
      </c>
      <c r="BC181" s="627">
        <v>0</v>
      </c>
      <c r="BD181" s="627">
        <v>0</v>
      </c>
      <c r="BE181" s="627">
        <v>0</v>
      </c>
      <c r="BF181" s="627">
        <v>0</v>
      </c>
      <c r="BG181" s="627">
        <v>12433902</v>
      </c>
      <c r="BH181" s="627">
        <v>0</v>
      </c>
      <c r="BI181" s="627">
        <v>0</v>
      </c>
      <c r="BJ181" s="627">
        <v>0</v>
      </c>
      <c r="BK181" s="627">
        <v>12</v>
      </c>
      <c r="BL181" s="627">
        <v>0</v>
      </c>
      <c r="BM181" s="627">
        <v>0</v>
      </c>
      <c r="BN181" s="627">
        <v>0</v>
      </c>
      <c r="BO181" s="627">
        <v>0</v>
      </c>
      <c r="BP181" s="627">
        <v>0</v>
      </c>
      <c r="BQ181" s="627">
        <v>0</v>
      </c>
      <c r="BR181" s="627">
        <v>569</v>
      </c>
      <c r="BS181" s="627">
        <v>0</v>
      </c>
      <c r="BT181" s="627">
        <v>0</v>
      </c>
      <c r="BU181" s="627">
        <v>0</v>
      </c>
      <c r="BV181" s="627">
        <v>0</v>
      </c>
      <c r="BW181" s="627">
        <v>0</v>
      </c>
      <c r="BX181" s="627">
        <v>0</v>
      </c>
      <c r="BY181" s="627">
        <v>0</v>
      </c>
      <c r="BZ181" s="627">
        <v>0</v>
      </c>
      <c r="CA181" s="627">
        <v>0</v>
      </c>
      <c r="CB181" s="627">
        <v>0</v>
      </c>
      <c r="CC181" s="627">
        <v>0</v>
      </c>
      <c r="CD181" s="627">
        <v>0</v>
      </c>
      <c r="CE181" s="627">
        <v>0</v>
      </c>
      <c r="CF181" s="627">
        <v>0</v>
      </c>
      <c r="CG181" s="627">
        <v>0</v>
      </c>
      <c r="CH181" s="627">
        <v>0</v>
      </c>
      <c r="CI181" s="627">
        <v>212468</v>
      </c>
      <c r="CJ181" s="627">
        <v>0</v>
      </c>
      <c r="CK181" s="627">
        <v>4</v>
      </c>
      <c r="CL181" s="627">
        <v>0</v>
      </c>
      <c r="CM181" s="627">
        <v>0</v>
      </c>
      <c r="CN181" s="627">
        <v>0</v>
      </c>
      <c r="CO181" s="627">
        <v>0</v>
      </c>
      <c r="CP181" s="627">
        <v>1</v>
      </c>
      <c r="CQ181" s="627">
        <v>0</v>
      </c>
      <c r="CR181" s="627">
        <v>0</v>
      </c>
      <c r="CS181" s="627">
        <v>1300.51</v>
      </c>
      <c r="CT181" s="627">
        <v>0</v>
      </c>
      <c r="CU181" s="627">
        <v>0</v>
      </c>
      <c r="CV181" s="627">
        <v>0</v>
      </c>
      <c r="CW181" s="627">
        <v>0</v>
      </c>
      <c r="CX181" s="627">
        <v>0</v>
      </c>
      <c r="CY181" s="627">
        <v>0</v>
      </c>
      <c r="CZ181" s="627">
        <v>0</v>
      </c>
      <c r="DA181" s="627">
        <v>0</v>
      </c>
      <c r="DB181" s="627">
        <v>0</v>
      </c>
      <c r="DC181" s="627">
        <v>8044258</v>
      </c>
      <c r="DD181" s="627">
        <v>0</v>
      </c>
      <c r="DE181" s="627">
        <v>0</v>
      </c>
      <c r="DF181" s="627">
        <v>1653960</v>
      </c>
      <c r="DG181" s="627">
        <v>1653960</v>
      </c>
      <c r="DH181" s="627">
        <v>268.5</v>
      </c>
      <c r="DI181" s="627">
        <v>0</v>
      </c>
      <c r="DJ181" s="627">
        <v>0</v>
      </c>
      <c r="DK181" s="627">
        <v>0</v>
      </c>
      <c r="DL181" s="627">
        <v>725</v>
      </c>
      <c r="DM181" s="627">
        <v>0</v>
      </c>
      <c r="DN181" s="627">
        <v>629671</v>
      </c>
      <c r="DO181" s="627">
        <v>2146</v>
      </c>
      <c r="DP181" s="627">
        <v>0</v>
      </c>
      <c r="DQ181" s="627">
        <v>0</v>
      </c>
      <c r="DR181" s="627">
        <v>0</v>
      </c>
      <c r="DS181" s="627">
        <v>0</v>
      </c>
      <c r="DT181" s="627">
        <v>0</v>
      </c>
      <c r="DU181" s="627">
        <v>0</v>
      </c>
      <c r="DV181" s="627">
        <v>0</v>
      </c>
      <c r="DW181" s="627">
        <v>0</v>
      </c>
      <c r="DX181" s="627">
        <v>0</v>
      </c>
      <c r="DY181" s="627">
        <v>0</v>
      </c>
      <c r="DZ181" s="627">
        <v>0</v>
      </c>
      <c r="EA181" s="627">
        <v>0</v>
      </c>
      <c r="EB181" s="627">
        <v>0</v>
      </c>
      <c r="EC181" s="627">
        <v>0</v>
      </c>
      <c r="ED181" s="627">
        <v>41.065000000000005</v>
      </c>
      <c r="EE181" s="627">
        <v>290904</v>
      </c>
      <c r="EF181" s="627">
        <v>0</v>
      </c>
      <c r="EG181" s="627">
        <v>0</v>
      </c>
      <c r="EH181" s="627">
        <v>0</v>
      </c>
      <c r="EI181" s="627">
        <v>340913</v>
      </c>
      <c r="EJ181" s="627">
        <v>0</v>
      </c>
      <c r="EK181" s="627">
        <v>0</v>
      </c>
      <c r="EL181" s="627">
        <v>12.646000000000001</v>
      </c>
      <c r="EM181" s="627">
        <v>0.13700000000000001</v>
      </c>
      <c r="EN181" s="627">
        <v>1.9000000000000001</v>
      </c>
      <c r="EO181" s="627">
        <v>2.3410000000000002</v>
      </c>
      <c r="EP181" s="627">
        <v>0</v>
      </c>
      <c r="EQ181" s="627">
        <v>0</v>
      </c>
      <c r="ER181" s="627">
        <v>16.887</v>
      </c>
      <c r="ES181" s="627">
        <v>0</v>
      </c>
      <c r="ET181" s="627">
        <v>55.343000000000004</v>
      </c>
      <c r="EU181" s="627">
        <v>0</v>
      </c>
      <c r="EV181" s="627">
        <v>0</v>
      </c>
      <c r="EW181" s="627">
        <v>0</v>
      </c>
      <c r="EX181" s="627">
        <v>0</v>
      </c>
      <c r="EY181" s="627">
        <v>0</v>
      </c>
      <c r="EZ181" s="627">
        <v>0</v>
      </c>
      <c r="FA181" s="627">
        <v>11896389</v>
      </c>
      <c r="FB181" s="627">
        <v>0</v>
      </c>
      <c r="FC181" s="627">
        <v>12434377</v>
      </c>
      <c r="FD181" s="627">
        <v>0</v>
      </c>
      <c r="FE181" s="627">
        <v>0</v>
      </c>
      <c r="FF181" s="627">
        <v>1790435</v>
      </c>
      <c r="FG181" s="627">
        <v>310082</v>
      </c>
      <c r="FH181" s="627">
        <v>7.0280999999999996E-2</v>
      </c>
      <c r="FI181" s="627">
        <v>3.1172999999999999E-2</v>
      </c>
      <c r="FJ181" s="627">
        <v>0</v>
      </c>
      <c r="FK181" s="627">
        <v>0</v>
      </c>
      <c r="FL181" s="627">
        <v>2018.491</v>
      </c>
      <c r="FM181" s="627">
        <v>14747362</v>
      </c>
      <c r="FN181" s="627">
        <v>0</v>
      </c>
      <c r="FO181" s="627">
        <v>0</v>
      </c>
      <c r="FP181" s="627">
        <v>0</v>
      </c>
      <c r="FQ181" s="627">
        <v>0</v>
      </c>
      <c r="FR181" s="627">
        <v>0</v>
      </c>
      <c r="FS181" s="627">
        <v>0</v>
      </c>
      <c r="FT181" s="627">
        <v>0</v>
      </c>
      <c r="FU181" s="627">
        <v>0</v>
      </c>
      <c r="FV181" s="627">
        <v>0</v>
      </c>
      <c r="FW181" s="627">
        <v>0</v>
      </c>
      <c r="FX181" s="627">
        <v>0</v>
      </c>
      <c r="FY181" s="627">
        <v>0</v>
      </c>
      <c r="FZ181" s="627">
        <v>0</v>
      </c>
      <c r="GA181" s="627">
        <v>0</v>
      </c>
      <c r="GB181" s="627">
        <v>0</v>
      </c>
      <c r="GC181" s="627">
        <v>53129</v>
      </c>
      <c r="GD181" s="627">
        <v>53129</v>
      </c>
      <c r="GE181" s="627">
        <v>5.7469999999999999</v>
      </c>
      <c r="GF181" s="627">
        <v>0</v>
      </c>
      <c r="GG181" s="627">
        <v>0</v>
      </c>
      <c r="GH181" s="627">
        <v>0</v>
      </c>
      <c r="GI181" s="627">
        <v>0</v>
      </c>
      <c r="GJ181" s="627">
        <v>0</v>
      </c>
      <c r="GK181" s="627">
        <v>0</v>
      </c>
      <c r="GL181" s="627">
        <v>0</v>
      </c>
      <c r="GM181" s="627">
        <v>0</v>
      </c>
      <c r="GN181" s="627">
        <v>0</v>
      </c>
      <c r="GO181" s="627">
        <v>0</v>
      </c>
      <c r="GP181" s="627">
        <v>0</v>
      </c>
      <c r="GQ181" s="627">
        <v>0</v>
      </c>
      <c r="GR181" s="627">
        <v>13994760</v>
      </c>
      <c r="GS181" s="627">
        <v>0</v>
      </c>
      <c r="GT181" s="627">
        <v>0</v>
      </c>
      <c r="GU181" s="627">
        <v>0</v>
      </c>
      <c r="GV181" s="627">
        <v>0</v>
      </c>
      <c r="GW181" s="627">
        <v>0</v>
      </c>
      <c r="GX181" s="627">
        <v>0</v>
      </c>
      <c r="GY181" s="627">
        <v>0</v>
      </c>
      <c r="GZ181" s="627">
        <v>0</v>
      </c>
      <c r="HA181" s="627">
        <v>0</v>
      </c>
      <c r="HB181" s="627">
        <v>0</v>
      </c>
      <c r="HC181" s="627">
        <v>361151439</v>
      </c>
      <c r="HD181" s="627">
        <v>3.9981999999999997E-2</v>
      </c>
      <c r="HE181" s="627">
        <v>212468</v>
      </c>
      <c r="HF181" s="627">
        <v>0</v>
      </c>
      <c r="HG181" s="627">
        <v>1439086</v>
      </c>
      <c r="HH181" s="627">
        <v>12320</v>
      </c>
      <c r="HI181" s="627">
        <v>336398</v>
      </c>
      <c r="HJ181" s="627">
        <v>0</v>
      </c>
      <c r="HK181" s="627">
        <v>43285</v>
      </c>
      <c r="HL181" s="627">
        <v>1554</v>
      </c>
      <c r="HM181" s="627">
        <v>1067</v>
      </c>
      <c r="HN181" s="627">
        <v>0</v>
      </c>
      <c r="HO181" s="627">
        <v>40874</v>
      </c>
      <c r="HP181" s="627">
        <v>0</v>
      </c>
      <c r="HQ181" s="627">
        <v>0</v>
      </c>
      <c r="HR181" s="627">
        <v>0</v>
      </c>
      <c r="HS181" s="627">
        <v>0</v>
      </c>
      <c r="HT181" s="627">
        <v>11894243</v>
      </c>
      <c r="HU181" s="627">
        <v>310082</v>
      </c>
      <c r="HV181" s="627">
        <v>0</v>
      </c>
      <c r="HW181" s="627">
        <v>0</v>
      </c>
      <c r="HX181" s="627">
        <v>0</v>
      </c>
      <c r="HY181" s="627">
        <v>112</v>
      </c>
      <c r="HZ181" s="627">
        <v>245</v>
      </c>
      <c r="IA181" s="627">
        <v>263</v>
      </c>
      <c r="IB181" s="627">
        <v>219</v>
      </c>
      <c r="IC181" s="627">
        <v>225</v>
      </c>
      <c r="ID181" s="627">
        <v>1064</v>
      </c>
      <c r="IE181" s="627">
        <v>0</v>
      </c>
      <c r="IF181" s="627">
        <v>0</v>
      </c>
      <c r="IG181" s="627">
        <v>0</v>
      </c>
      <c r="IH181" s="627">
        <v>20</v>
      </c>
      <c r="II181" s="627">
        <v>546.101</v>
      </c>
      <c r="IJ181" s="627">
        <v>0</v>
      </c>
      <c r="IK181" s="627">
        <v>290.21899999999999</v>
      </c>
      <c r="IL181" s="627">
        <v>0</v>
      </c>
      <c r="IM181" s="627">
        <v>0</v>
      </c>
      <c r="IN181" s="627">
        <v>0</v>
      </c>
      <c r="IO181" s="627">
        <v>0</v>
      </c>
      <c r="IP181" s="627">
        <v>0</v>
      </c>
      <c r="IQ181" s="627">
        <v>0</v>
      </c>
      <c r="IR181" s="627">
        <v>290.21899999999999</v>
      </c>
      <c r="IS181" s="627">
        <v>178775</v>
      </c>
      <c r="IT181" s="627">
        <v>0</v>
      </c>
      <c r="IU181" s="627">
        <v>0</v>
      </c>
      <c r="IV181" s="627">
        <v>0</v>
      </c>
      <c r="IW181" s="627">
        <v>0</v>
      </c>
      <c r="IX181" s="627">
        <v>6160</v>
      </c>
      <c r="IY181" s="627">
        <v>0</v>
      </c>
      <c r="IZ181" s="627">
        <v>0</v>
      </c>
      <c r="JA181" s="627">
        <v>0</v>
      </c>
      <c r="JB181" s="627">
        <v>0</v>
      </c>
      <c r="JC181" s="627">
        <v>1</v>
      </c>
      <c r="JD181" s="627">
        <v>19406</v>
      </c>
      <c r="JE181" s="627">
        <v>2</v>
      </c>
      <c r="JF181" s="627">
        <v>21468</v>
      </c>
      <c r="JG181" s="627">
        <v>0</v>
      </c>
      <c r="JH181" s="627">
        <v>0</v>
      </c>
      <c r="JI181" s="627">
        <v>0</v>
      </c>
      <c r="JJ181" s="627">
        <v>0</v>
      </c>
      <c r="JK181" s="627">
        <v>0</v>
      </c>
      <c r="JL181" s="627">
        <v>0</v>
      </c>
      <c r="JM181" s="627">
        <v>0</v>
      </c>
      <c r="JN181" s="627">
        <v>0</v>
      </c>
      <c r="JO181" s="627">
        <v>32469</v>
      </c>
      <c r="JP181" s="627">
        <v>0.33500000000000002</v>
      </c>
      <c r="JQ181" s="627">
        <v>5.298</v>
      </c>
      <c r="JR181" s="627">
        <v>0.113</v>
      </c>
      <c r="JS181" s="627">
        <v>2676</v>
      </c>
      <c r="JT181" s="627">
        <v>49247</v>
      </c>
      <c r="JU181" s="627">
        <v>1206</v>
      </c>
      <c r="JV181" s="627">
        <v>0</v>
      </c>
      <c r="JW181" s="627">
        <v>0</v>
      </c>
      <c r="JX181" s="627">
        <v>0</v>
      </c>
      <c r="JY181" s="627">
        <v>0</v>
      </c>
      <c r="JZ181" s="627">
        <v>0</v>
      </c>
      <c r="KA181" s="627">
        <v>0</v>
      </c>
      <c r="KB181" s="627">
        <v>0</v>
      </c>
      <c r="KC181" s="627">
        <v>0</v>
      </c>
      <c r="KD181" s="627">
        <v>0</v>
      </c>
      <c r="KE181" s="627">
        <v>0</v>
      </c>
      <c r="KF181" s="627">
        <v>7262</v>
      </c>
      <c r="KG181" s="627">
        <v>0</v>
      </c>
      <c r="KH181" s="627">
        <v>0</v>
      </c>
      <c r="KI181" s="627">
        <v>13994760</v>
      </c>
      <c r="KJ181" s="627">
        <v>0</v>
      </c>
      <c r="KK181" s="627">
        <v>10</v>
      </c>
      <c r="KL181" s="627">
        <v>10</v>
      </c>
      <c r="KM181" s="627">
        <v>6160</v>
      </c>
      <c r="KN181" s="627">
        <v>6160</v>
      </c>
      <c r="KO181" s="627">
        <v>0</v>
      </c>
      <c r="KP181" s="627">
        <v>0</v>
      </c>
      <c r="KQ181" s="627">
        <v>13994760</v>
      </c>
      <c r="KR181" s="627">
        <v>0</v>
      </c>
      <c r="KS181" s="627">
        <v>0</v>
      </c>
      <c r="KT181" s="627">
        <v>0</v>
      </c>
      <c r="KU181" s="627">
        <v>0</v>
      </c>
      <c r="KV181" s="627">
        <v>0</v>
      </c>
      <c r="KW181" s="627">
        <v>0</v>
      </c>
      <c r="KX181" s="627">
        <v>0</v>
      </c>
      <c r="KY181" s="627">
        <v>0</v>
      </c>
      <c r="KZ181" s="627">
        <v>0</v>
      </c>
      <c r="LA181" s="627">
        <v>0</v>
      </c>
      <c r="LB181" s="627">
        <v>0</v>
      </c>
      <c r="LC181" s="627">
        <v>0</v>
      </c>
      <c r="LD181" s="627">
        <v>0</v>
      </c>
      <c r="LE181" s="627">
        <v>0</v>
      </c>
      <c r="LF181" s="627">
        <v>0</v>
      </c>
    </row>
    <row r="182" spans="1:318" x14ac:dyDescent="0.25">
      <c r="A182" s="627">
        <v>42602</v>
      </c>
      <c r="B182" s="627">
        <v>101871</v>
      </c>
      <c r="D182" s="627">
        <v>9</v>
      </c>
      <c r="E182" s="627">
        <v>2024</v>
      </c>
      <c r="F182" s="627">
        <v>6160</v>
      </c>
      <c r="G182" s="627">
        <v>0</v>
      </c>
      <c r="H182" s="627">
        <v>134.49299999999999</v>
      </c>
      <c r="I182" s="627">
        <v>134.125</v>
      </c>
      <c r="J182" s="627">
        <v>134.125</v>
      </c>
      <c r="K182" s="627">
        <v>134.49299999999999</v>
      </c>
      <c r="L182" s="627">
        <v>0</v>
      </c>
      <c r="M182" s="627">
        <v>6160</v>
      </c>
      <c r="N182" s="627">
        <v>0</v>
      </c>
      <c r="O182" s="627">
        <v>0</v>
      </c>
      <c r="P182" s="627">
        <v>0</v>
      </c>
      <c r="Q182" s="627">
        <v>141.10500000000002</v>
      </c>
      <c r="R182" s="627">
        <v>0</v>
      </c>
      <c r="S182" s="627">
        <v>58542</v>
      </c>
      <c r="T182" s="627">
        <v>414.88400000000001</v>
      </c>
      <c r="U182" s="627">
        <v>0</v>
      </c>
      <c r="V182" s="627">
        <v>30380</v>
      </c>
      <c r="W182" s="627">
        <v>8.1720000000000006</v>
      </c>
      <c r="X182" s="627">
        <v>5034</v>
      </c>
      <c r="Y182" s="627">
        <v>5034</v>
      </c>
      <c r="Z182" s="627">
        <v>0</v>
      </c>
      <c r="AA182" s="627">
        <v>0</v>
      </c>
      <c r="AB182" s="627">
        <v>0</v>
      </c>
      <c r="AC182" s="627">
        <v>0</v>
      </c>
      <c r="AD182" s="627">
        <v>0</v>
      </c>
      <c r="AE182" s="627" t="s">
        <v>314</v>
      </c>
      <c r="AF182" s="627">
        <v>0</v>
      </c>
      <c r="AG182" s="627">
        <v>0</v>
      </c>
      <c r="AH182" s="627">
        <v>0</v>
      </c>
      <c r="AI182" s="627">
        <v>0</v>
      </c>
      <c r="AJ182" s="627">
        <v>0</v>
      </c>
      <c r="AK182" s="627">
        <v>6160</v>
      </c>
      <c r="AL182" s="627" t="s">
        <v>651</v>
      </c>
      <c r="AM182" s="627" t="s">
        <v>382</v>
      </c>
      <c r="AN182" s="627">
        <v>0</v>
      </c>
      <c r="AO182" s="627">
        <v>0</v>
      </c>
      <c r="AP182" s="627">
        <v>0</v>
      </c>
      <c r="AQ182" s="627">
        <v>0</v>
      </c>
      <c r="AR182" s="627">
        <v>0</v>
      </c>
      <c r="AS182" s="627">
        <v>0</v>
      </c>
      <c r="AT182" s="627">
        <v>0</v>
      </c>
      <c r="AU182" s="627">
        <v>0</v>
      </c>
      <c r="AV182" s="627">
        <v>0</v>
      </c>
      <c r="AW182" s="627">
        <v>0</v>
      </c>
      <c r="AX182" s="627">
        <v>1536826</v>
      </c>
      <c r="AY182" s="627">
        <v>1515822</v>
      </c>
      <c r="AZ182" s="627">
        <v>778833</v>
      </c>
      <c r="BA182" s="627">
        <v>58542</v>
      </c>
      <c r="BB182" s="627">
        <v>0</v>
      </c>
      <c r="BC182" s="627">
        <v>0</v>
      </c>
      <c r="BD182" s="627">
        <v>0</v>
      </c>
      <c r="BE182" s="627">
        <v>0</v>
      </c>
      <c r="BF182" s="627">
        <v>0</v>
      </c>
      <c r="BG182" s="627">
        <v>1346837</v>
      </c>
      <c r="BH182" s="627">
        <v>0</v>
      </c>
      <c r="BI182" s="627">
        <v>0</v>
      </c>
      <c r="BJ182" s="627">
        <v>0</v>
      </c>
      <c r="BK182" s="627">
        <v>12</v>
      </c>
      <c r="BL182" s="627">
        <v>0</v>
      </c>
      <c r="BM182" s="627">
        <v>0</v>
      </c>
      <c r="BN182" s="627">
        <v>0</v>
      </c>
      <c r="BO182" s="627">
        <v>0</v>
      </c>
      <c r="BP182" s="627">
        <v>0</v>
      </c>
      <c r="BQ182" s="627">
        <v>0</v>
      </c>
      <c r="BR182" s="627">
        <v>749</v>
      </c>
      <c r="BS182" s="627">
        <v>0</v>
      </c>
      <c r="BT182" s="627">
        <v>0</v>
      </c>
      <c r="BU182" s="627">
        <v>0</v>
      </c>
      <c r="BV182" s="627">
        <v>0</v>
      </c>
      <c r="BW182" s="627">
        <v>0</v>
      </c>
      <c r="BX182" s="627">
        <v>0</v>
      </c>
      <c r="BY182" s="627">
        <v>0</v>
      </c>
      <c r="BZ182" s="627">
        <v>0</v>
      </c>
      <c r="CA182" s="627">
        <v>0</v>
      </c>
      <c r="CB182" s="627">
        <v>0</v>
      </c>
      <c r="CC182" s="627">
        <v>0</v>
      </c>
      <c r="CD182" s="627">
        <v>0</v>
      </c>
      <c r="CE182" s="627">
        <v>0</v>
      </c>
      <c r="CF182" s="627">
        <v>0</v>
      </c>
      <c r="CG182" s="627">
        <v>0</v>
      </c>
      <c r="CH182" s="627">
        <v>0</v>
      </c>
      <c r="CI182" s="627">
        <v>21509</v>
      </c>
      <c r="CJ182" s="627">
        <v>0</v>
      </c>
      <c r="CK182" s="627">
        <v>4</v>
      </c>
      <c r="CL182" s="627">
        <v>0</v>
      </c>
      <c r="CM182" s="627">
        <v>0</v>
      </c>
      <c r="CN182" s="627">
        <v>0</v>
      </c>
      <c r="CO182" s="627">
        <v>0</v>
      </c>
      <c r="CP182" s="627">
        <v>1</v>
      </c>
      <c r="CQ182" s="627">
        <v>0</v>
      </c>
      <c r="CR182" s="627">
        <v>0</v>
      </c>
      <c r="CS182" s="627">
        <v>141.43</v>
      </c>
      <c r="CT182" s="627">
        <v>0</v>
      </c>
      <c r="CU182" s="627">
        <v>0</v>
      </c>
      <c r="CV182" s="627">
        <v>0</v>
      </c>
      <c r="CW182" s="627">
        <v>0</v>
      </c>
      <c r="CX182" s="627">
        <v>0</v>
      </c>
      <c r="CY182" s="627">
        <v>0</v>
      </c>
      <c r="CZ182" s="627">
        <v>0</v>
      </c>
      <c r="DA182" s="627">
        <v>0</v>
      </c>
      <c r="DB182" s="627">
        <v>0</v>
      </c>
      <c r="DC182" s="627">
        <v>786630</v>
      </c>
      <c r="DD182" s="627">
        <v>0</v>
      </c>
      <c r="DE182" s="627">
        <v>0</v>
      </c>
      <c r="DF182" s="627">
        <v>201432</v>
      </c>
      <c r="DG182" s="627">
        <v>201432</v>
      </c>
      <c r="DH182" s="627">
        <v>32.700000000000003</v>
      </c>
      <c r="DI182" s="627">
        <v>0</v>
      </c>
      <c r="DJ182" s="627">
        <v>0</v>
      </c>
      <c r="DK182" s="627">
        <v>0</v>
      </c>
      <c r="DL182" s="627">
        <v>3612</v>
      </c>
      <c r="DM182" s="627">
        <v>0</v>
      </c>
      <c r="DN182" s="627">
        <v>187853</v>
      </c>
      <c r="DO182" s="627">
        <v>505</v>
      </c>
      <c r="DP182" s="627">
        <v>0</v>
      </c>
      <c r="DQ182" s="627">
        <v>0</v>
      </c>
      <c r="DR182" s="627">
        <v>0</v>
      </c>
      <c r="DS182" s="627">
        <v>0</v>
      </c>
      <c r="DT182" s="627">
        <v>0</v>
      </c>
      <c r="DU182" s="627">
        <v>0</v>
      </c>
      <c r="DV182" s="627">
        <v>0</v>
      </c>
      <c r="DW182" s="627">
        <v>0</v>
      </c>
      <c r="DX182" s="627">
        <v>0</v>
      </c>
      <c r="DY182" s="627">
        <v>0</v>
      </c>
      <c r="DZ182" s="627">
        <v>0</v>
      </c>
      <c r="EA182" s="627">
        <v>0</v>
      </c>
      <c r="EB182" s="627">
        <v>0</v>
      </c>
      <c r="EC182" s="627">
        <v>0</v>
      </c>
      <c r="ED182" s="627">
        <v>19.402000000000001</v>
      </c>
      <c r="EE182" s="627">
        <v>137444</v>
      </c>
      <c r="EF182" s="627">
        <v>0</v>
      </c>
      <c r="EG182" s="627">
        <v>0</v>
      </c>
      <c r="EH182" s="627">
        <v>0</v>
      </c>
      <c r="EI182" s="627">
        <v>11334</v>
      </c>
      <c r="EJ182" s="627">
        <v>0</v>
      </c>
      <c r="EK182" s="627">
        <v>0</v>
      </c>
      <c r="EL182" s="627">
        <v>0</v>
      </c>
      <c r="EM182" s="627">
        <v>0</v>
      </c>
      <c r="EN182" s="627">
        <v>0</v>
      </c>
      <c r="EO182" s="627">
        <v>0.36799999999999999</v>
      </c>
      <c r="EP182" s="627">
        <v>0</v>
      </c>
      <c r="EQ182" s="627">
        <v>0</v>
      </c>
      <c r="ER182" s="627">
        <v>0.36799999999999999</v>
      </c>
      <c r="ES182" s="627">
        <v>0</v>
      </c>
      <c r="ET182" s="627">
        <v>1.84</v>
      </c>
      <c r="EU182" s="627">
        <v>0</v>
      </c>
      <c r="EV182" s="627">
        <v>0</v>
      </c>
      <c r="EW182" s="627">
        <v>0</v>
      </c>
      <c r="EX182" s="627">
        <v>0</v>
      </c>
      <c r="EY182" s="627">
        <v>0</v>
      </c>
      <c r="EZ182" s="627">
        <v>0</v>
      </c>
      <c r="FA182" s="627">
        <v>1288295</v>
      </c>
      <c r="FB182" s="627">
        <v>0</v>
      </c>
      <c r="FC182" s="627">
        <v>1346332</v>
      </c>
      <c r="FD182" s="627">
        <v>0</v>
      </c>
      <c r="FE182" s="627">
        <v>0</v>
      </c>
      <c r="FF182" s="627">
        <v>193939</v>
      </c>
      <c r="FG182" s="627">
        <v>33588</v>
      </c>
      <c r="FH182" s="627">
        <v>7.0280999999999996E-2</v>
      </c>
      <c r="FI182" s="627">
        <v>3.1172999999999999E-2</v>
      </c>
      <c r="FJ182" s="627">
        <v>0</v>
      </c>
      <c r="FK182" s="627">
        <v>0</v>
      </c>
      <c r="FL182" s="627">
        <v>218.64200000000002</v>
      </c>
      <c r="FM182" s="627">
        <v>1595368</v>
      </c>
      <c r="FN182" s="627">
        <v>0</v>
      </c>
      <c r="FO182" s="627">
        <v>0</v>
      </c>
      <c r="FP182" s="627">
        <v>0</v>
      </c>
      <c r="FQ182" s="627">
        <v>0</v>
      </c>
      <c r="FR182" s="627">
        <v>0</v>
      </c>
      <c r="FS182" s="627">
        <v>0</v>
      </c>
      <c r="FT182" s="627">
        <v>0</v>
      </c>
      <c r="FU182" s="627">
        <v>0</v>
      </c>
      <c r="FV182" s="627">
        <v>0</v>
      </c>
      <c r="FW182" s="627">
        <v>0</v>
      </c>
      <c r="FX182" s="627">
        <v>0</v>
      </c>
      <c r="FY182" s="627">
        <v>0</v>
      </c>
      <c r="FZ182" s="627">
        <v>0</v>
      </c>
      <c r="GA182" s="627">
        <v>0</v>
      </c>
      <c r="GB182" s="627">
        <v>0</v>
      </c>
      <c r="GC182" s="627">
        <v>0</v>
      </c>
      <c r="GD182" s="627">
        <v>0</v>
      </c>
      <c r="GE182" s="627">
        <v>0</v>
      </c>
      <c r="GF182" s="627">
        <v>0</v>
      </c>
      <c r="GG182" s="627">
        <v>0</v>
      </c>
      <c r="GH182" s="627">
        <v>0</v>
      </c>
      <c r="GI182" s="627">
        <v>0</v>
      </c>
      <c r="GJ182" s="627">
        <v>0</v>
      </c>
      <c r="GK182" s="627">
        <v>0</v>
      </c>
      <c r="GL182" s="627">
        <v>0</v>
      </c>
      <c r="GM182" s="627">
        <v>0</v>
      </c>
      <c r="GN182" s="627">
        <v>0</v>
      </c>
      <c r="GO182" s="627">
        <v>0</v>
      </c>
      <c r="GP182" s="627">
        <v>0</v>
      </c>
      <c r="GQ182" s="627">
        <v>0</v>
      </c>
      <c r="GR182" s="627">
        <v>1515317</v>
      </c>
      <c r="GS182" s="627">
        <v>0</v>
      </c>
      <c r="GT182" s="627">
        <v>0</v>
      </c>
      <c r="GU182" s="627">
        <v>0</v>
      </c>
      <c r="GV182" s="627">
        <v>0</v>
      </c>
      <c r="GW182" s="627">
        <v>0</v>
      </c>
      <c r="GX182" s="627">
        <v>0</v>
      </c>
      <c r="GY182" s="627">
        <v>0</v>
      </c>
      <c r="GZ182" s="627">
        <v>0</v>
      </c>
      <c r="HA182" s="627">
        <v>0</v>
      </c>
      <c r="HB182" s="627">
        <v>0</v>
      </c>
      <c r="HC182" s="627">
        <v>361151439</v>
      </c>
      <c r="HD182" s="627">
        <v>3.9981999999999997E-2</v>
      </c>
      <c r="HE182" s="627">
        <v>21509</v>
      </c>
      <c r="HF182" s="627">
        <v>0</v>
      </c>
      <c r="HG182" s="627">
        <v>147806</v>
      </c>
      <c r="HH182" s="627">
        <v>1232</v>
      </c>
      <c r="HI182" s="627">
        <v>0</v>
      </c>
      <c r="HJ182" s="627">
        <v>0</v>
      </c>
      <c r="HK182" s="627">
        <v>16345</v>
      </c>
      <c r="HL182" s="627">
        <v>0</v>
      </c>
      <c r="HM182" s="627">
        <v>0</v>
      </c>
      <c r="HN182" s="627">
        <v>0</v>
      </c>
      <c r="HO182" s="627">
        <v>0</v>
      </c>
      <c r="HP182" s="627">
        <v>0</v>
      </c>
      <c r="HQ182" s="627">
        <v>0</v>
      </c>
      <c r="HR182" s="627">
        <v>0</v>
      </c>
      <c r="HS182" s="627">
        <v>0</v>
      </c>
      <c r="HT182" s="627">
        <v>1287790</v>
      </c>
      <c r="HU182" s="627">
        <v>33588</v>
      </c>
      <c r="HV182" s="627">
        <v>0</v>
      </c>
      <c r="HW182" s="627">
        <v>0</v>
      </c>
      <c r="HX182" s="627">
        <v>0</v>
      </c>
      <c r="HY182" s="627">
        <v>6</v>
      </c>
      <c r="HZ182" s="627">
        <v>9</v>
      </c>
      <c r="IA182" s="627">
        <v>14</v>
      </c>
      <c r="IB182" s="627">
        <v>33</v>
      </c>
      <c r="IC182" s="627">
        <v>62</v>
      </c>
      <c r="ID182" s="627">
        <v>124</v>
      </c>
      <c r="IE182" s="627">
        <v>0</v>
      </c>
      <c r="IF182" s="627">
        <v>0</v>
      </c>
      <c r="IG182" s="627">
        <v>0</v>
      </c>
      <c r="IH182" s="627">
        <v>2</v>
      </c>
      <c r="II182" s="627">
        <v>0</v>
      </c>
      <c r="IJ182" s="627">
        <v>0</v>
      </c>
      <c r="IK182" s="627">
        <v>8.1720000000000006</v>
      </c>
      <c r="IL182" s="627">
        <v>0</v>
      </c>
      <c r="IM182" s="627">
        <v>0</v>
      </c>
      <c r="IN182" s="627">
        <v>0</v>
      </c>
      <c r="IO182" s="627">
        <v>0</v>
      </c>
      <c r="IP182" s="627">
        <v>0</v>
      </c>
      <c r="IQ182" s="627">
        <v>0</v>
      </c>
      <c r="IR182" s="627">
        <v>8.1720000000000006</v>
      </c>
      <c r="IS182" s="627">
        <v>5034</v>
      </c>
      <c r="IT182" s="627">
        <v>0</v>
      </c>
      <c r="IU182" s="627">
        <v>0</v>
      </c>
      <c r="IV182" s="627">
        <v>0</v>
      </c>
      <c r="IW182" s="627">
        <v>0</v>
      </c>
      <c r="IX182" s="627">
        <v>6160</v>
      </c>
      <c r="IY182" s="627">
        <v>0</v>
      </c>
      <c r="IZ182" s="627">
        <v>0</v>
      </c>
      <c r="JA182" s="627">
        <v>0</v>
      </c>
      <c r="JB182" s="627">
        <v>0</v>
      </c>
      <c r="JC182" s="627">
        <v>0</v>
      </c>
      <c r="JD182" s="627">
        <v>0</v>
      </c>
      <c r="JE182" s="627">
        <v>0</v>
      </c>
      <c r="JF182" s="627">
        <v>0</v>
      </c>
      <c r="JG182" s="627">
        <v>0</v>
      </c>
      <c r="JH182" s="627">
        <v>0</v>
      </c>
      <c r="JI182" s="627">
        <v>0</v>
      </c>
      <c r="JJ182" s="627">
        <v>0</v>
      </c>
      <c r="JK182" s="627">
        <v>0</v>
      </c>
      <c r="JL182" s="627">
        <v>0</v>
      </c>
      <c r="JM182" s="627">
        <v>0</v>
      </c>
      <c r="JN182" s="627">
        <v>0</v>
      </c>
      <c r="JO182" s="627">
        <v>32469</v>
      </c>
      <c r="JP182" s="627">
        <v>0</v>
      </c>
      <c r="JQ182" s="627">
        <v>0</v>
      </c>
      <c r="JR182" s="627">
        <v>0</v>
      </c>
      <c r="JS182" s="627">
        <v>0</v>
      </c>
      <c r="JT182" s="627">
        <v>0</v>
      </c>
      <c r="JU182" s="627">
        <v>0</v>
      </c>
      <c r="JV182" s="627">
        <v>0</v>
      </c>
      <c r="JW182" s="627">
        <v>0</v>
      </c>
      <c r="JX182" s="627">
        <v>0</v>
      </c>
      <c r="JY182" s="627">
        <v>0</v>
      </c>
      <c r="JZ182" s="627">
        <v>0</v>
      </c>
      <c r="KA182" s="627">
        <v>0</v>
      </c>
      <c r="KB182" s="627">
        <v>0</v>
      </c>
      <c r="KC182" s="627">
        <v>0</v>
      </c>
      <c r="KD182" s="627">
        <v>0</v>
      </c>
      <c r="KE182" s="627">
        <v>0</v>
      </c>
      <c r="KF182" s="627">
        <v>7262</v>
      </c>
      <c r="KG182" s="627">
        <v>0</v>
      </c>
      <c r="KH182" s="627">
        <v>0</v>
      </c>
      <c r="KI182" s="627">
        <v>1515317</v>
      </c>
      <c r="KJ182" s="627">
        <v>0</v>
      </c>
      <c r="KK182" s="627">
        <v>2</v>
      </c>
      <c r="KL182" s="627">
        <v>0</v>
      </c>
      <c r="KM182" s="627">
        <v>1232</v>
      </c>
      <c r="KN182" s="627">
        <v>0</v>
      </c>
      <c r="KO182" s="627">
        <v>0</v>
      </c>
      <c r="KP182" s="627">
        <v>0</v>
      </c>
      <c r="KQ182" s="627">
        <v>1515317</v>
      </c>
      <c r="KR182" s="627">
        <v>0</v>
      </c>
      <c r="KS182" s="627">
        <v>0</v>
      </c>
      <c r="KT182" s="627">
        <v>0</v>
      </c>
      <c r="KU182" s="627">
        <v>0</v>
      </c>
      <c r="KV182" s="627">
        <v>0</v>
      </c>
      <c r="KW182" s="627">
        <v>0</v>
      </c>
      <c r="KX182" s="627">
        <v>0</v>
      </c>
      <c r="KY182" s="627">
        <v>0</v>
      </c>
      <c r="KZ182" s="627">
        <v>0</v>
      </c>
      <c r="LA182" s="627">
        <v>0</v>
      </c>
      <c r="LB182" s="627">
        <v>0</v>
      </c>
      <c r="LC182" s="627">
        <v>0</v>
      </c>
      <c r="LD182" s="627">
        <v>0</v>
      </c>
      <c r="LE182" s="627">
        <v>0</v>
      </c>
      <c r="LF182" s="627">
        <v>0</v>
      </c>
    </row>
    <row r="183" spans="1:318" x14ac:dyDescent="0.25">
      <c r="A183" s="627">
        <v>42602</v>
      </c>
      <c r="B183" s="627">
        <v>101872</v>
      </c>
      <c r="D183" s="627">
        <v>9</v>
      </c>
      <c r="E183" s="627">
        <v>2024</v>
      </c>
      <c r="F183" s="627">
        <v>6160</v>
      </c>
      <c r="G183" s="627">
        <v>0</v>
      </c>
      <c r="H183" s="627">
        <v>769.71500000000003</v>
      </c>
      <c r="I183" s="627">
        <v>748.00700000000006</v>
      </c>
      <c r="J183" s="627">
        <v>748.00700000000006</v>
      </c>
      <c r="K183" s="627">
        <v>769.71500000000003</v>
      </c>
      <c r="L183" s="627">
        <v>0</v>
      </c>
      <c r="M183" s="627">
        <v>6160</v>
      </c>
      <c r="N183" s="627">
        <v>0</v>
      </c>
      <c r="O183" s="627">
        <v>0</v>
      </c>
      <c r="P183" s="627">
        <v>0</v>
      </c>
      <c r="Q183" s="627">
        <v>482.65300000000002</v>
      </c>
      <c r="R183" s="627">
        <v>0</v>
      </c>
      <c r="S183" s="627">
        <v>200245</v>
      </c>
      <c r="T183" s="627">
        <v>414.88400000000001</v>
      </c>
      <c r="U183" s="627">
        <v>0</v>
      </c>
      <c r="V183" s="627">
        <v>103918</v>
      </c>
      <c r="W183" s="627">
        <v>580.59</v>
      </c>
      <c r="X183" s="627">
        <v>357643</v>
      </c>
      <c r="Y183" s="627">
        <v>357643</v>
      </c>
      <c r="Z183" s="627">
        <v>0</v>
      </c>
      <c r="AA183" s="627">
        <v>0</v>
      </c>
      <c r="AB183" s="627">
        <v>0</v>
      </c>
      <c r="AC183" s="627">
        <v>0</v>
      </c>
      <c r="AD183" s="627">
        <v>0</v>
      </c>
      <c r="AE183" s="627" t="s">
        <v>314</v>
      </c>
      <c r="AF183" s="627">
        <v>0</v>
      </c>
      <c r="AG183" s="627">
        <v>0</v>
      </c>
      <c r="AH183" s="627">
        <v>0</v>
      </c>
      <c r="AI183" s="627">
        <v>0</v>
      </c>
      <c r="AJ183" s="627">
        <v>0</v>
      </c>
      <c r="AK183" s="627">
        <v>6160</v>
      </c>
      <c r="AL183" s="627" t="s">
        <v>651</v>
      </c>
      <c r="AM183" s="627" t="s">
        <v>437</v>
      </c>
      <c r="AN183" s="627">
        <v>0</v>
      </c>
      <c r="AO183" s="627">
        <v>0</v>
      </c>
      <c r="AP183" s="627">
        <v>0</v>
      </c>
      <c r="AQ183" s="627">
        <v>0</v>
      </c>
      <c r="AR183" s="627">
        <v>0</v>
      </c>
      <c r="AS183" s="627">
        <v>0</v>
      </c>
      <c r="AT183" s="627">
        <v>0</v>
      </c>
      <c r="AU183" s="627">
        <v>0</v>
      </c>
      <c r="AV183" s="627">
        <v>0</v>
      </c>
      <c r="AW183" s="627">
        <v>0</v>
      </c>
      <c r="AX183" s="627">
        <v>9430582</v>
      </c>
      <c r="AY183" s="627">
        <v>9309159</v>
      </c>
      <c r="AZ183" s="627">
        <v>5068610</v>
      </c>
      <c r="BA183" s="627">
        <v>200245</v>
      </c>
      <c r="BB183" s="627">
        <v>0</v>
      </c>
      <c r="BC183" s="627">
        <v>0</v>
      </c>
      <c r="BD183" s="627">
        <v>0</v>
      </c>
      <c r="BE183" s="627">
        <v>0</v>
      </c>
      <c r="BF183" s="627">
        <v>0</v>
      </c>
      <c r="BG183" s="627">
        <v>7847421</v>
      </c>
      <c r="BH183" s="627">
        <v>0</v>
      </c>
      <c r="BI183" s="627">
        <v>0</v>
      </c>
      <c r="BJ183" s="627">
        <v>0</v>
      </c>
      <c r="BK183" s="627">
        <v>12</v>
      </c>
      <c r="BL183" s="627">
        <v>0</v>
      </c>
      <c r="BM183" s="627">
        <v>0</v>
      </c>
      <c r="BN183" s="627">
        <v>0</v>
      </c>
      <c r="BO183" s="627">
        <v>0</v>
      </c>
      <c r="BP183" s="627">
        <v>0</v>
      </c>
      <c r="BQ183" s="627">
        <v>0</v>
      </c>
      <c r="BR183" s="627">
        <v>655</v>
      </c>
      <c r="BS183" s="627">
        <v>0</v>
      </c>
      <c r="BT183" s="627">
        <v>0</v>
      </c>
      <c r="BU183" s="627">
        <v>0</v>
      </c>
      <c r="BV183" s="627">
        <v>0</v>
      </c>
      <c r="BW183" s="627">
        <v>0</v>
      </c>
      <c r="BX183" s="627">
        <v>0</v>
      </c>
      <c r="BY183" s="627">
        <v>0</v>
      </c>
      <c r="BZ183" s="627">
        <v>0</v>
      </c>
      <c r="CA183" s="627">
        <v>0</v>
      </c>
      <c r="CB183" s="627">
        <v>320.51800000000003</v>
      </c>
      <c r="CC183" s="627">
        <v>320518</v>
      </c>
      <c r="CD183" s="627">
        <v>0</v>
      </c>
      <c r="CE183" s="627">
        <v>0</v>
      </c>
      <c r="CF183" s="627">
        <v>0</v>
      </c>
      <c r="CG183" s="627">
        <v>0</v>
      </c>
      <c r="CH183" s="627">
        <v>0</v>
      </c>
      <c r="CI183" s="627">
        <v>123099</v>
      </c>
      <c r="CJ183" s="627">
        <v>0</v>
      </c>
      <c r="CK183" s="627">
        <v>5</v>
      </c>
      <c r="CL183" s="627">
        <v>0</v>
      </c>
      <c r="CM183" s="627">
        <v>0</v>
      </c>
      <c r="CN183" s="627">
        <v>0</v>
      </c>
      <c r="CO183" s="627">
        <v>0</v>
      </c>
      <c r="CP183" s="627">
        <v>1</v>
      </c>
      <c r="CQ183" s="627">
        <v>0</v>
      </c>
      <c r="CR183" s="627">
        <v>0</v>
      </c>
      <c r="CS183" s="627">
        <v>481.36</v>
      </c>
      <c r="CT183" s="627">
        <v>0</v>
      </c>
      <c r="CU183" s="627">
        <v>0</v>
      </c>
      <c r="CV183" s="627">
        <v>0</v>
      </c>
      <c r="CW183" s="627">
        <v>0</v>
      </c>
      <c r="CX183" s="627">
        <v>0</v>
      </c>
      <c r="CY183" s="627">
        <v>0</v>
      </c>
      <c r="CZ183" s="627">
        <v>0</v>
      </c>
      <c r="DA183" s="627">
        <v>0</v>
      </c>
      <c r="DB183" s="627">
        <v>0</v>
      </c>
      <c r="DC183" s="627">
        <v>4607723</v>
      </c>
      <c r="DD183" s="627">
        <v>0</v>
      </c>
      <c r="DE183" s="627">
        <v>0</v>
      </c>
      <c r="DF183" s="627">
        <v>1299529</v>
      </c>
      <c r="DG183" s="627">
        <v>1299529</v>
      </c>
      <c r="DH183" s="627">
        <v>210.96300000000002</v>
      </c>
      <c r="DI183" s="627">
        <v>0</v>
      </c>
      <c r="DJ183" s="627">
        <v>0</v>
      </c>
      <c r="DK183" s="627">
        <v>0</v>
      </c>
      <c r="DL183" s="627">
        <v>2099</v>
      </c>
      <c r="DM183" s="627">
        <v>0</v>
      </c>
      <c r="DN183" s="627">
        <v>491680</v>
      </c>
      <c r="DO183" s="627">
        <v>1676</v>
      </c>
      <c r="DP183" s="627">
        <v>0</v>
      </c>
      <c r="DQ183" s="627">
        <v>0</v>
      </c>
      <c r="DR183" s="627">
        <v>0</v>
      </c>
      <c r="DS183" s="627">
        <v>0</v>
      </c>
      <c r="DT183" s="627">
        <v>0</v>
      </c>
      <c r="DU183" s="627">
        <v>0</v>
      </c>
      <c r="DV183" s="627">
        <v>0</v>
      </c>
      <c r="DW183" s="627">
        <v>0</v>
      </c>
      <c r="DX183" s="627">
        <v>0</v>
      </c>
      <c r="DY183" s="627">
        <v>0</v>
      </c>
      <c r="DZ183" s="627">
        <v>0</v>
      </c>
      <c r="EA183" s="627">
        <v>0</v>
      </c>
      <c r="EB183" s="627">
        <v>0</v>
      </c>
      <c r="EC183" s="627">
        <v>0</v>
      </c>
      <c r="ED183" s="627">
        <v>10.268000000000001</v>
      </c>
      <c r="EE183" s="627">
        <v>72739</v>
      </c>
      <c r="EF183" s="627">
        <v>0</v>
      </c>
      <c r="EG183" s="627">
        <v>0</v>
      </c>
      <c r="EH183" s="627">
        <v>0</v>
      </c>
      <c r="EI183" s="627">
        <v>420617</v>
      </c>
      <c r="EJ183" s="627">
        <v>0</v>
      </c>
      <c r="EK183" s="627">
        <v>0</v>
      </c>
      <c r="EL183" s="627">
        <v>15.251000000000001</v>
      </c>
      <c r="EM183" s="627">
        <v>0</v>
      </c>
      <c r="EN183" s="627">
        <v>4.8780000000000001</v>
      </c>
      <c r="EO183" s="627">
        <v>1.5790000000000002</v>
      </c>
      <c r="EP183" s="627">
        <v>0</v>
      </c>
      <c r="EQ183" s="627">
        <v>0</v>
      </c>
      <c r="ER183" s="627">
        <v>21.708000000000002</v>
      </c>
      <c r="ES183" s="627">
        <v>0</v>
      </c>
      <c r="ET183" s="627">
        <v>68.281999999999996</v>
      </c>
      <c r="EU183" s="627">
        <v>0</v>
      </c>
      <c r="EV183" s="627">
        <v>0</v>
      </c>
      <c r="EW183" s="627">
        <v>0</v>
      </c>
      <c r="EX183" s="627">
        <v>0</v>
      </c>
      <c r="EY183" s="627">
        <v>0</v>
      </c>
      <c r="EZ183" s="627">
        <v>0</v>
      </c>
      <c r="FA183" s="627">
        <v>7983458</v>
      </c>
      <c r="FB183" s="627">
        <v>0</v>
      </c>
      <c r="FC183" s="627">
        <v>8182027</v>
      </c>
      <c r="FD183" s="627">
        <v>0</v>
      </c>
      <c r="FE183" s="627">
        <v>0</v>
      </c>
      <c r="FF183" s="627">
        <v>1129999</v>
      </c>
      <c r="FG183" s="627">
        <v>195702</v>
      </c>
      <c r="FH183" s="627">
        <v>7.0280999999999996E-2</v>
      </c>
      <c r="FI183" s="627">
        <v>3.1172999999999999E-2</v>
      </c>
      <c r="FJ183" s="627">
        <v>0</v>
      </c>
      <c r="FK183" s="627">
        <v>0</v>
      </c>
      <c r="FL183" s="627">
        <v>1273.932</v>
      </c>
      <c r="FM183" s="627">
        <v>9630827</v>
      </c>
      <c r="FN183" s="627">
        <v>0</v>
      </c>
      <c r="FO183" s="627">
        <v>0</v>
      </c>
      <c r="FP183" s="627">
        <v>15764</v>
      </c>
      <c r="FQ183" s="627">
        <v>0</v>
      </c>
      <c r="FR183" s="627">
        <v>15764</v>
      </c>
      <c r="FS183" s="627">
        <v>15764</v>
      </c>
      <c r="FT183" s="627">
        <v>0</v>
      </c>
      <c r="FU183" s="627">
        <v>0</v>
      </c>
      <c r="FV183" s="627">
        <v>0</v>
      </c>
      <c r="FW183" s="627">
        <v>0</v>
      </c>
      <c r="FX183" s="627">
        <v>0</v>
      </c>
      <c r="FY183" s="627">
        <v>0</v>
      </c>
      <c r="FZ183" s="627">
        <v>0</v>
      </c>
      <c r="GA183" s="627">
        <v>0</v>
      </c>
      <c r="GB183" s="627">
        <v>0</v>
      </c>
      <c r="GC183" s="627">
        <v>0</v>
      </c>
      <c r="GD183" s="627">
        <v>0</v>
      </c>
      <c r="GE183" s="627">
        <v>0</v>
      </c>
      <c r="GF183" s="627">
        <v>0</v>
      </c>
      <c r="GG183" s="627">
        <v>0</v>
      </c>
      <c r="GH183" s="627">
        <v>0</v>
      </c>
      <c r="GI183" s="627">
        <v>0</v>
      </c>
      <c r="GJ183" s="627">
        <v>0</v>
      </c>
      <c r="GK183" s="627">
        <v>0</v>
      </c>
      <c r="GL183" s="627">
        <v>0</v>
      </c>
      <c r="GM183" s="627">
        <v>0</v>
      </c>
      <c r="GN183" s="627">
        <v>0</v>
      </c>
      <c r="GO183" s="627">
        <v>0</v>
      </c>
      <c r="GP183" s="627">
        <v>0</v>
      </c>
      <c r="GQ183" s="627">
        <v>0</v>
      </c>
      <c r="GR183" s="627">
        <v>9307483</v>
      </c>
      <c r="GS183" s="627">
        <v>0</v>
      </c>
      <c r="GT183" s="627">
        <v>0</v>
      </c>
      <c r="GU183" s="627">
        <v>0</v>
      </c>
      <c r="GV183" s="627">
        <v>0</v>
      </c>
      <c r="GW183" s="627">
        <v>0</v>
      </c>
      <c r="GX183" s="627">
        <v>0</v>
      </c>
      <c r="GY183" s="627">
        <v>0</v>
      </c>
      <c r="GZ183" s="627">
        <v>0</v>
      </c>
      <c r="HA183" s="627">
        <v>0</v>
      </c>
      <c r="HB183" s="627">
        <v>0</v>
      </c>
      <c r="HC183" s="627">
        <v>361151439</v>
      </c>
      <c r="HD183" s="627">
        <v>3.9981999999999997E-2</v>
      </c>
      <c r="HE183" s="627">
        <v>123099</v>
      </c>
      <c r="HF183" s="627">
        <v>0</v>
      </c>
      <c r="HG183" s="627">
        <v>824304</v>
      </c>
      <c r="HH183" s="627">
        <v>0</v>
      </c>
      <c r="HI183" s="627">
        <v>160966</v>
      </c>
      <c r="HJ183" s="627">
        <v>0</v>
      </c>
      <c r="HK183" s="627">
        <v>22697</v>
      </c>
      <c r="HL183" s="627">
        <v>0</v>
      </c>
      <c r="HM183" s="627">
        <v>0</v>
      </c>
      <c r="HN183" s="627">
        <v>0</v>
      </c>
      <c r="HO183" s="627">
        <v>81203</v>
      </c>
      <c r="HP183" s="627">
        <v>0</v>
      </c>
      <c r="HQ183" s="627">
        <v>0</v>
      </c>
      <c r="HR183" s="627">
        <v>0</v>
      </c>
      <c r="HS183" s="627">
        <v>0</v>
      </c>
      <c r="HT183" s="627">
        <v>7981782</v>
      </c>
      <c r="HU183" s="627">
        <v>195702</v>
      </c>
      <c r="HV183" s="627">
        <v>0</v>
      </c>
      <c r="HW183" s="627">
        <v>0</v>
      </c>
      <c r="HX183" s="627">
        <v>0</v>
      </c>
      <c r="HY183" s="627">
        <v>26</v>
      </c>
      <c r="HZ183" s="627">
        <v>25</v>
      </c>
      <c r="IA183" s="627">
        <v>39</v>
      </c>
      <c r="IB183" s="627">
        <v>268</v>
      </c>
      <c r="IC183" s="627">
        <v>433</v>
      </c>
      <c r="ID183" s="627">
        <v>791</v>
      </c>
      <c r="IE183" s="627">
        <v>0</v>
      </c>
      <c r="IF183" s="627">
        <v>0</v>
      </c>
      <c r="IG183" s="627">
        <v>0</v>
      </c>
      <c r="IH183" s="627">
        <v>0</v>
      </c>
      <c r="II183" s="627">
        <v>261.30799999999999</v>
      </c>
      <c r="IJ183" s="627">
        <v>0</v>
      </c>
      <c r="IK183" s="627">
        <v>580.59</v>
      </c>
      <c r="IL183" s="627">
        <v>0</v>
      </c>
      <c r="IM183" s="627">
        <v>0</v>
      </c>
      <c r="IN183" s="627">
        <v>0</v>
      </c>
      <c r="IO183" s="627">
        <v>0</v>
      </c>
      <c r="IP183" s="627">
        <v>0</v>
      </c>
      <c r="IQ183" s="627">
        <v>0</v>
      </c>
      <c r="IR183" s="627">
        <v>580.59</v>
      </c>
      <c r="IS183" s="627">
        <v>357643</v>
      </c>
      <c r="IT183" s="627">
        <v>0</v>
      </c>
      <c r="IU183" s="627">
        <v>0</v>
      </c>
      <c r="IV183" s="627">
        <v>0</v>
      </c>
      <c r="IW183" s="627">
        <v>0</v>
      </c>
      <c r="IX183" s="627">
        <v>6160</v>
      </c>
      <c r="IY183" s="627">
        <v>0</v>
      </c>
      <c r="IZ183" s="627">
        <v>0</v>
      </c>
      <c r="JA183" s="627">
        <v>0</v>
      </c>
      <c r="JB183" s="627">
        <v>0</v>
      </c>
      <c r="JC183" s="627">
        <v>2</v>
      </c>
      <c r="JD183" s="627">
        <v>50690</v>
      </c>
      <c r="JE183" s="627">
        <v>1</v>
      </c>
      <c r="JF183" s="627">
        <v>14007</v>
      </c>
      <c r="JG183" s="627">
        <v>2</v>
      </c>
      <c r="JH183" s="627">
        <v>14006</v>
      </c>
      <c r="JI183" s="627">
        <v>2500</v>
      </c>
      <c r="JJ183" s="627">
        <v>0</v>
      </c>
      <c r="JK183" s="627">
        <v>0</v>
      </c>
      <c r="JL183" s="627">
        <v>0</v>
      </c>
      <c r="JM183" s="627">
        <v>0</v>
      </c>
      <c r="JN183" s="627">
        <v>0</v>
      </c>
      <c r="JO183" s="627">
        <v>32469</v>
      </c>
      <c r="JP183" s="627">
        <v>0</v>
      </c>
      <c r="JQ183" s="627">
        <v>0</v>
      </c>
      <c r="JR183" s="627">
        <v>0</v>
      </c>
      <c r="JS183" s="627">
        <v>0</v>
      </c>
      <c r="JT183" s="627">
        <v>0</v>
      </c>
      <c r="JU183" s="627">
        <v>0</v>
      </c>
      <c r="JV183" s="627">
        <v>0</v>
      </c>
      <c r="JW183" s="627">
        <v>0</v>
      </c>
      <c r="JX183" s="627">
        <v>0</v>
      </c>
      <c r="JY183" s="627">
        <v>0</v>
      </c>
      <c r="JZ183" s="627">
        <v>0</v>
      </c>
      <c r="KA183" s="627">
        <v>0</v>
      </c>
      <c r="KB183" s="627">
        <v>0</v>
      </c>
      <c r="KC183" s="627">
        <v>0</v>
      </c>
      <c r="KD183" s="627">
        <v>0</v>
      </c>
      <c r="KE183" s="627">
        <v>0</v>
      </c>
      <c r="KF183" s="627">
        <v>7262</v>
      </c>
      <c r="KG183" s="627">
        <v>0</v>
      </c>
      <c r="KH183" s="627">
        <v>0</v>
      </c>
      <c r="KI183" s="627">
        <v>9307483</v>
      </c>
      <c r="KJ183" s="627">
        <v>0</v>
      </c>
      <c r="KK183" s="627">
        <v>0</v>
      </c>
      <c r="KL183" s="627">
        <v>0</v>
      </c>
      <c r="KM183" s="627">
        <v>0</v>
      </c>
      <c r="KN183" s="627">
        <v>0</v>
      </c>
      <c r="KO183" s="627">
        <v>0</v>
      </c>
      <c r="KP183" s="627">
        <v>0</v>
      </c>
      <c r="KQ183" s="627">
        <v>9307483</v>
      </c>
      <c r="KR183" s="627">
        <v>0</v>
      </c>
      <c r="KS183" s="627">
        <v>0</v>
      </c>
      <c r="KT183" s="627">
        <v>0</v>
      </c>
      <c r="KU183" s="627">
        <v>0</v>
      </c>
      <c r="KV183" s="627">
        <v>0</v>
      </c>
      <c r="KW183" s="627">
        <v>0</v>
      </c>
      <c r="KX183" s="627">
        <v>0</v>
      </c>
      <c r="KY183" s="627">
        <v>0</v>
      </c>
      <c r="KZ183" s="627">
        <v>0</v>
      </c>
      <c r="LA183" s="627">
        <v>0</v>
      </c>
      <c r="LB183" s="627">
        <v>0</v>
      </c>
      <c r="LC183" s="627">
        <v>0</v>
      </c>
      <c r="LD183" s="627">
        <v>0</v>
      </c>
      <c r="LE183" s="627">
        <v>0</v>
      </c>
      <c r="LF183" s="627">
        <v>0</v>
      </c>
    </row>
    <row r="184" spans="1:318" x14ac:dyDescent="0.25">
      <c r="A184" s="627">
        <v>42602</v>
      </c>
      <c r="B184" s="627">
        <v>101873</v>
      </c>
      <c r="D184" s="627">
        <v>9</v>
      </c>
      <c r="E184" s="627">
        <v>2024</v>
      </c>
      <c r="F184" s="627">
        <v>6160</v>
      </c>
      <c r="G184" s="627">
        <v>0</v>
      </c>
      <c r="H184" s="627">
        <v>254.21800000000002</v>
      </c>
      <c r="I184" s="627">
        <v>238.93300000000002</v>
      </c>
      <c r="J184" s="627">
        <v>238.93300000000002</v>
      </c>
      <c r="K184" s="627">
        <v>254.21800000000002</v>
      </c>
      <c r="L184" s="627">
        <v>0</v>
      </c>
      <c r="M184" s="627">
        <v>6160</v>
      </c>
      <c r="N184" s="627">
        <v>0</v>
      </c>
      <c r="O184" s="627">
        <v>0</v>
      </c>
      <c r="P184" s="627">
        <v>0</v>
      </c>
      <c r="Q184" s="627">
        <v>181.86700000000002</v>
      </c>
      <c r="R184" s="627">
        <v>0</v>
      </c>
      <c r="S184" s="627">
        <v>75454</v>
      </c>
      <c r="T184" s="627">
        <v>414.88400000000001</v>
      </c>
      <c r="U184" s="627">
        <v>0</v>
      </c>
      <c r="V184" s="627">
        <v>39157</v>
      </c>
      <c r="W184" s="627">
        <v>0</v>
      </c>
      <c r="X184" s="627">
        <v>0</v>
      </c>
      <c r="Y184" s="627">
        <v>0</v>
      </c>
      <c r="Z184" s="627">
        <v>0</v>
      </c>
      <c r="AA184" s="627">
        <v>0</v>
      </c>
      <c r="AB184" s="627">
        <v>0</v>
      </c>
      <c r="AC184" s="627">
        <v>0</v>
      </c>
      <c r="AD184" s="627">
        <v>0</v>
      </c>
      <c r="AE184" s="627" t="s">
        <v>314</v>
      </c>
      <c r="AF184" s="627">
        <v>0</v>
      </c>
      <c r="AG184" s="627">
        <v>0</v>
      </c>
      <c r="AH184" s="627">
        <v>0</v>
      </c>
      <c r="AI184" s="627">
        <v>0</v>
      </c>
      <c r="AJ184" s="627">
        <v>0</v>
      </c>
      <c r="AK184" s="627">
        <v>6160</v>
      </c>
      <c r="AL184" s="627" t="s">
        <v>651</v>
      </c>
      <c r="AM184" s="627" t="s">
        <v>446</v>
      </c>
      <c r="AN184" s="627">
        <v>0</v>
      </c>
      <c r="AO184" s="627">
        <v>0</v>
      </c>
      <c r="AP184" s="627">
        <v>0</v>
      </c>
      <c r="AQ184" s="627">
        <v>0</v>
      </c>
      <c r="AR184" s="627">
        <v>0</v>
      </c>
      <c r="AS184" s="627">
        <v>0</v>
      </c>
      <c r="AT184" s="627">
        <v>0</v>
      </c>
      <c r="AU184" s="627">
        <v>0</v>
      </c>
      <c r="AV184" s="627">
        <v>0</v>
      </c>
      <c r="AW184" s="627">
        <v>0</v>
      </c>
      <c r="AX184" s="627">
        <v>2886020</v>
      </c>
      <c r="AY184" s="627">
        <v>2846342</v>
      </c>
      <c r="AZ184" s="627">
        <v>1385005</v>
      </c>
      <c r="BA184" s="627">
        <v>75454</v>
      </c>
      <c r="BB184" s="627">
        <v>0</v>
      </c>
      <c r="BC184" s="627">
        <v>0</v>
      </c>
      <c r="BD184" s="627">
        <v>0</v>
      </c>
      <c r="BE184" s="627">
        <v>0</v>
      </c>
      <c r="BF184" s="627">
        <v>0</v>
      </c>
      <c r="BG184" s="627">
        <v>2481650</v>
      </c>
      <c r="BH184" s="627">
        <v>0</v>
      </c>
      <c r="BI184" s="627">
        <v>0</v>
      </c>
      <c r="BJ184" s="627">
        <v>0</v>
      </c>
      <c r="BK184" s="627">
        <v>12</v>
      </c>
      <c r="BL184" s="627">
        <v>0</v>
      </c>
      <c r="BM184" s="627">
        <v>0</v>
      </c>
      <c r="BN184" s="627">
        <v>0</v>
      </c>
      <c r="BO184" s="627">
        <v>0</v>
      </c>
      <c r="BP184" s="627">
        <v>0</v>
      </c>
      <c r="BQ184" s="627">
        <v>0</v>
      </c>
      <c r="BR184" s="627">
        <v>733</v>
      </c>
      <c r="BS184" s="627">
        <v>0</v>
      </c>
      <c r="BT184" s="627">
        <v>0</v>
      </c>
      <c r="BU184" s="627">
        <v>0</v>
      </c>
      <c r="BV184" s="627">
        <v>0</v>
      </c>
      <c r="BW184" s="627">
        <v>0</v>
      </c>
      <c r="BX184" s="627">
        <v>0</v>
      </c>
      <c r="BY184" s="627">
        <v>0</v>
      </c>
      <c r="BZ184" s="627">
        <v>0</v>
      </c>
      <c r="CA184" s="627">
        <v>0</v>
      </c>
      <c r="CB184" s="627">
        <v>0</v>
      </c>
      <c r="CC184" s="627">
        <v>0</v>
      </c>
      <c r="CD184" s="627">
        <v>0</v>
      </c>
      <c r="CE184" s="627">
        <v>0</v>
      </c>
      <c r="CF184" s="627">
        <v>0</v>
      </c>
      <c r="CG184" s="627">
        <v>0</v>
      </c>
      <c r="CH184" s="627">
        <v>0</v>
      </c>
      <c r="CI184" s="627">
        <v>40657</v>
      </c>
      <c r="CJ184" s="627">
        <v>0</v>
      </c>
      <c r="CK184" s="627">
        <v>4</v>
      </c>
      <c r="CL184" s="627">
        <v>0</v>
      </c>
      <c r="CM184" s="627">
        <v>0</v>
      </c>
      <c r="CN184" s="627">
        <v>0</v>
      </c>
      <c r="CO184" s="627">
        <v>0</v>
      </c>
      <c r="CP184" s="627">
        <v>1</v>
      </c>
      <c r="CQ184" s="627">
        <v>0</v>
      </c>
      <c r="CR184" s="627">
        <v>0</v>
      </c>
      <c r="CS184" s="627">
        <v>183.98</v>
      </c>
      <c r="CT184" s="627">
        <v>0</v>
      </c>
      <c r="CU184" s="627">
        <v>0</v>
      </c>
      <c r="CV184" s="627">
        <v>0</v>
      </c>
      <c r="CW184" s="627">
        <v>0</v>
      </c>
      <c r="CX184" s="627">
        <v>0</v>
      </c>
      <c r="CY184" s="627">
        <v>0</v>
      </c>
      <c r="CZ184" s="627">
        <v>0</v>
      </c>
      <c r="DA184" s="627">
        <v>0</v>
      </c>
      <c r="DB184" s="627">
        <v>0</v>
      </c>
      <c r="DC184" s="627">
        <v>1471827</v>
      </c>
      <c r="DD184" s="627">
        <v>0</v>
      </c>
      <c r="DE184" s="627">
        <v>0</v>
      </c>
      <c r="DF184" s="627">
        <v>434742</v>
      </c>
      <c r="DG184" s="627">
        <v>434742</v>
      </c>
      <c r="DH184" s="627">
        <v>70.575000000000003</v>
      </c>
      <c r="DI184" s="627">
        <v>0</v>
      </c>
      <c r="DJ184" s="627">
        <v>0</v>
      </c>
      <c r="DK184" s="627">
        <v>0</v>
      </c>
      <c r="DL184" s="627">
        <v>3354</v>
      </c>
      <c r="DM184" s="627">
        <v>0</v>
      </c>
      <c r="DN184" s="627">
        <v>287096</v>
      </c>
      <c r="DO184" s="627">
        <v>979</v>
      </c>
      <c r="DP184" s="627">
        <v>0</v>
      </c>
      <c r="DQ184" s="627">
        <v>0</v>
      </c>
      <c r="DR184" s="627">
        <v>0</v>
      </c>
      <c r="DS184" s="627">
        <v>0</v>
      </c>
      <c r="DT184" s="627">
        <v>0</v>
      </c>
      <c r="DU184" s="627">
        <v>0</v>
      </c>
      <c r="DV184" s="627">
        <v>0</v>
      </c>
      <c r="DW184" s="627">
        <v>0</v>
      </c>
      <c r="DX184" s="627">
        <v>0</v>
      </c>
      <c r="DY184" s="627">
        <v>0</v>
      </c>
      <c r="DZ184" s="627">
        <v>0</v>
      </c>
      <c r="EA184" s="627">
        <v>0</v>
      </c>
      <c r="EB184" s="627">
        <v>0</v>
      </c>
      <c r="EC184" s="627">
        <v>0</v>
      </c>
      <c r="ED184" s="627">
        <v>0.58300000000000007</v>
      </c>
      <c r="EE184" s="627">
        <v>4130</v>
      </c>
      <c r="EF184" s="627">
        <v>0</v>
      </c>
      <c r="EG184" s="627">
        <v>0</v>
      </c>
      <c r="EH184" s="627">
        <v>0</v>
      </c>
      <c r="EI184" s="627">
        <v>283945</v>
      </c>
      <c r="EJ184" s="627">
        <v>0</v>
      </c>
      <c r="EK184" s="627">
        <v>0</v>
      </c>
      <c r="EL184" s="627">
        <v>15.165000000000001</v>
      </c>
      <c r="EM184" s="627">
        <v>0</v>
      </c>
      <c r="EN184" s="627">
        <v>0</v>
      </c>
      <c r="EO184" s="627">
        <v>0.12</v>
      </c>
      <c r="EP184" s="627">
        <v>0</v>
      </c>
      <c r="EQ184" s="627">
        <v>0</v>
      </c>
      <c r="ER184" s="627">
        <v>15.285</v>
      </c>
      <c r="ES184" s="627">
        <v>0</v>
      </c>
      <c r="ET184" s="627">
        <v>46.094999999999999</v>
      </c>
      <c r="EU184" s="627">
        <v>0</v>
      </c>
      <c r="EV184" s="627">
        <v>0</v>
      </c>
      <c r="EW184" s="627">
        <v>0</v>
      </c>
      <c r="EX184" s="627">
        <v>0</v>
      </c>
      <c r="EY184" s="627">
        <v>0</v>
      </c>
      <c r="EZ184" s="627">
        <v>0</v>
      </c>
      <c r="FA184" s="627">
        <v>2427106</v>
      </c>
      <c r="FB184" s="627">
        <v>0</v>
      </c>
      <c r="FC184" s="627">
        <v>2501581</v>
      </c>
      <c r="FD184" s="627">
        <v>0</v>
      </c>
      <c r="FE184" s="627">
        <v>0</v>
      </c>
      <c r="FF184" s="627">
        <v>357348</v>
      </c>
      <c r="FG184" s="627">
        <v>61888</v>
      </c>
      <c r="FH184" s="627">
        <v>7.0280999999999996E-2</v>
      </c>
      <c r="FI184" s="627">
        <v>3.1172999999999999E-2</v>
      </c>
      <c r="FJ184" s="627">
        <v>0</v>
      </c>
      <c r="FK184" s="627">
        <v>0</v>
      </c>
      <c r="FL184" s="627">
        <v>402.86500000000001</v>
      </c>
      <c r="FM184" s="627">
        <v>2961474</v>
      </c>
      <c r="FN184" s="627">
        <v>0</v>
      </c>
      <c r="FO184" s="627">
        <v>0</v>
      </c>
      <c r="FP184" s="627">
        <v>20910</v>
      </c>
      <c r="FQ184" s="627">
        <v>0</v>
      </c>
      <c r="FR184" s="627">
        <v>20910</v>
      </c>
      <c r="FS184" s="627">
        <v>20910</v>
      </c>
      <c r="FT184" s="627">
        <v>0</v>
      </c>
      <c r="FU184" s="627">
        <v>0</v>
      </c>
      <c r="FV184" s="627">
        <v>0</v>
      </c>
      <c r="FW184" s="627">
        <v>0</v>
      </c>
      <c r="FX184" s="627">
        <v>0</v>
      </c>
      <c r="FY184" s="627">
        <v>0</v>
      </c>
      <c r="FZ184" s="627">
        <v>0</v>
      </c>
      <c r="GA184" s="627">
        <v>0</v>
      </c>
      <c r="GB184" s="627">
        <v>0</v>
      </c>
      <c r="GC184" s="627">
        <v>0</v>
      </c>
      <c r="GD184" s="627">
        <v>0</v>
      </c>
      <c r="GE184" s="627">
        <v>0</v>
      </c>
      <c r="GF184" s="627">
        <v>0</v>
      </c>
      <c r="GG184" s="627">
        <v>0</v>
      </c>
      <c r="GH184" s="627">
        <v>0</v>
      </c>
      <c r="GI184" s="627">
        <v>0</v>
      </c>
      <c r="GJ184" s="627">
        <v>0</v>
      </c>
      <c r="GK184" s="627">
        <v>0</v>
      </c>
      <c r="GL184" s="627">
        <v>0</v>
      </c>
      <c r="GM184" s="627">
        <v>0</v>
      </c>
      <c r="GN184" s="627">
        <v>0</v>
      </c>
      <c r="GO184" s="627">
        <v>0</v>
      </c>
      <c r="GP184" s="627">
        <v>0</v>
      </c>
      <c r="GQ184" s="627">
        <v>0</v>
      </c>
      <c r="GR184" s="627">
        <v>2845363</v>
      </c>
      <c r="GS184" s="627">
        <v>0</v>
      </c>
      <c r="GT184" s="627">
        <v>0</v>
      </c>
      <c r="GU184" s="627">
        <v>0</v>
      </c>
      <c r="GV184" s="627">
        <v>0</v>
      </c>
      <c r="GW184" s="627">
        <v>0</v>
      </c>
      <c r="GX184" s="627">
        <v>0</v>
      </c>
      <c r="GY184" s="627">
        <v>0</v>
      </c>
      <c r="GZ184" s="627">
        <v>0</v>
      </c>
      <c r="HA184" s="627">
        <v>0</v>
      </c>
      <c r="HB184" s="627">
        <v>0</v>
      </c>
      <c r="HC184" s="627">
        <v>361151439</v>
      </c>
      <c r="HD184" s="627">
        <v>3.9981999999999997E-2</v>
      </c>
      <c r="HE184" s="627">
        <v>40657</v>
      </c>
      <c r="HF184" s="627">
        <v>0</v>
      </c>
      <c r="HG184" s="627">
        <v>263304</v>
      </c>
      <c r="HH184" s="627">
        <v>6160</v>
      </c>
      <c r="HI184" s="627">
        <v>0</v>
      </c>
      <c r="HJ184" s="627">
        <v>0</v>
      </c>
      <c r="HK184" s="627">
        <v>17542</v>
      </c>
      <c r="HL184" s="627">
        <v>0</v>
      </c>
      <c r="HM184" s="627">
        <v>0</v>
      </c>
      <c r="HN184" s="627">
        <v>0</v>
      </c>
      <c r="HO184" s="627">
        <v>0</v>
      </c>
      <c r="HP184" s="627">
        <v>0</v>
      </c>
      <c r="HQ184" s="627">
        <v>0</v>
      </c>
      <c r="HR184" s="627">
        <v>0</v>
      </c>
      <c r="HS184" s="627">
        <v>0</v>
      </c>
      <c r="HT184" s="627">
        <v>2426127</v>
      </c>
      <c r="HU184" s="627">
        <v>61888</v>
      </c>
      <c r="HV184" s="627">
        <v>0</v>
      </c>
      <c r="HW184" s="627">
        <v>0</v>
      </c>
      <c r="HX184" s="627">
        <v>0</v>
      </c>
      <c r="HY184" s="627">
        <v>16</v>
      </c>
      <c r="HZ184" s="627">
        <v>30</v>
      </c>
      <c r="IA184" s="627">
        <v>29</v>
      </c>
      <c r="IB184" s="627">
        <v>60</v>
      </c>
      <c r="IC184" s="627">
        <v>134</v>
      </c>
      <c r="ID184" s="627">
        <v>269</v>
      </c>
      <c r="IE184" s="627">
        <v>0</v>
      </c>
      <c r="IF184" s="627">
        <v>0</v>
      </c>
      <c r="IG184" s="627">
        <v>0</v>
      </c>
      <c r="IH184" s="627">
        <v>10</v>
      </c>
      <c r="II184" s="627">
        <v>0</v>
      </c>
      <c r="IJ184" s="627">
        <v>0</v>
      </c>
      <c r="IK184" s="627">
        <v>0</v>
      </c>
      <c r="IL184" s="627">
        <v>0</v>
      </c>
      <c r="IM184" s="627">
        <v>0</v>
      </c>
      <c r="IN184" s="627">
        <v>0</v>
      </c>
      <c r="IO184" s="627">
        <v>0</v>
      </c>
      <c r="IP184" s="627">
        <v>0</v>
      </c>
      <c r="IQ184" s="627">
        <v>0</v>
      </c>
      <c r="IR184" s="627">
        <v>0</v>
      </c>
      <c r="IS184" s="627">
        <v>0</v>
      </c>
      <c r="IT184" s="627">
        <v>0</v>
      </c>
      <c r="IU184" s="627">
        <v>0</v>
      </c>
      <c r="IV184" s="627">
        <v>0</v>
      </c>
      <c r="IW184" s="627">
        <v>0</v>
      </c>
      <c r="IX184" s="627">
        <v>6160</v>
      </c>
      <c r="IY184" s="627">
        <v>0</v>
      </c>
      <c r="IZ184" s="627">
        <v>0</v>
      </c>
      <c r="JA184" s="627">
        <v>0</v>
      </c>
      <c r="JB184" s="627">
        <v>0</v>
      </c>
      <c r="JC184" s="627">
        <v>0</v>
      </c>
      <c r="JD184" s="627">
        <v>0</v>
      </c>
      <c r="JE184" s="627">
        <v>0</v>
      </c>
      <c r="JF184" s="627">
        <v>0</v>
      </c>
      <c r="JG184" s="627">
        <v>0</v>
      </c>
      <c r="JH184" s="627">
        <v>0</v>
      </c>
      <c r="JI184" s="627">
        <v>0</v>
      </c>
      <c r="JJ184" s="627">
        <v>0</v>
      </c>
      <c r="JK184" s="627">
        <v>0</v>
      </c>
      <c r="JL184" s="627">
        <v>0</v>
      </c>
      <c r="JM184" s="627">
        <v>0</v>
      </c>
      <c r="JN184" s="627">
        <v>0</v>
      </c>
      <c r="JO184" s="627">
        <v>32469</v>
      </c>
      <c r="JP184" s="627">
        <v>0</v>
      </c>
      <c r="JQ184" s="627">
        <v>0</v>
      </c>
      <c r="JR184" s="627">
        <v>0</v>
      </c>
      <c r="JS184" s="627">
        <v>0</v>
      </c>
      <c r="JT184" s="627">
        <v>0</v>
      </c>
      <c r="JU184" s="627">
        <v>0</v>
      </c>
      <c r="JV184" s="627">
        <v>0</v>
      </c>
      <c r="JW184" s="627">
        <v>0</v>
      </c>
      <c r="JX184" s="627">
        <v>0</v>
      </c>
      <c r="JY184" s="627">
        <v>0</v>
      </c>
      <c r="JZ184" s="627">
        <v>0</v>
      </c>
      <c r="KA184" s="627">
        <v>0</v>
      </c>
      <c r="KB184" s="627">
        <v>0</v>
      </c>
      <c r="KC184" s="627">
        <v>0</v>
      </c>
      <c r="KD184" s="627">
        <v>0</v>
      </c>
      <c r="KE184" s="627">
        <v>0</v>
      </c>
      <c r="KF184" s="627">
        <v>7262</v>
      </c>
      <c r="KG184" s="627">
        <v>0</v>
      </c>
      <c r="KH184" s="627">
        <v>0</v>
      </c>
      <c r="KI184" s="627">
        <v>2845363</v>
      </c>
      <c r="KJ184" s="627">
        <v>0</v>
      </c>
      <c r="KK184" s="627">
        <v>10</v>
      </c>
      <c r="KL184" s="627">
        <v>0</v>
      </c>
      <c r="KM184" s="627">
        <v>6160</v>
      </c>
      <c r="KN184" s="627">
        <v>0</v>
      </c>
      <c r="KO184" s="627">
        <v>0</v>
      </c>
      <c r="KP184" s="627">
        <v>0</v>
      </c>
      <c r="KQ184" s="627">
        <v>2845363</v>
      </c>
      <c r="KR184" s="627">
        <v>0</v>
      </c>
      <c r="KS184" s="627">
        <v>0</v>
      </c>
      <c r="KT184" s="627">
        <v>0</v>
      </c>
      <c r="KU184" s="627">
        <v>0</v>
      </c>
      <c r="KV184" s="627">
        <v>0</v>
      </c>
      <c r="KW184" s="627">
        <v>0</v>
      </c>
      <c r="KX184" s="627">
        <v>0</v>
      </c>
      <c r="KY184" s="627">
        <v>0</v>
      </c>
      <c r="KZ184" s="627">
        <v>0</v>
      </c>
      <c r="LA184" s="627">
        <v>0</v>
      </c>
      <c r="LB184" s="627">
        <v>0</v>
      </c>
      <c r="LC184" s="627">
        <v>0</v>
      </c>
      <c r="LD184" s="627">
        <v>0</v>
      </c>
      <c r="LE184" s="627">
        <v>0</v>
      </c>
      <c r="LF184" s="627">
        <v>0</v>
      </c>
    </row>
    <row r="185" spans="1:318" x14ac:dyDescent="0.25">
      <c r="A185" s="627">
        <v>42602</v>
      </c>
      <c r="B185" s="627">
        <v>101874</v>
      </c>
      <c r="D185" s="627">
        <v>9</v>
      </c>
      <c r="E185" s="627">
        <v>2024</v>
      </c>
      <c r="F185" s="627">
        <v>6160</v>
      </c>
      <c r="G185" s="627">
        <v>0</v>
      </c>
      <c r="H185" s="627">
        <v>445.75800000000004</v>
      </c>
      <c r="I185" s="627">
        <v>366.096</v>
      </c>
      <c r="J185" s="627">
        <v>366.096</v>
      </c>
      <c r="K185" s="627">
        <v>445.75800000000004</v>
      </c>
      <c r="L185" s="627">
        <v>0</v>
      </c>
      <c r="M185" s="627">
        <v>6160</v>
      </c>
      <c r="N185" s="627">
        <v>0</v>
      </c>
      <c r="O185" s="627">
        <v>0</v>
      </c>
      <c r="P185" s="627">
        <v>0</v>
      </c>
      <c r="Q185" s="627">
        <v>390.88200000000001</v>
      </c>
      <c r="R185" s="627">
        <v>0</v>
      </c>
      <c r="S185" s="627">
        <v>162171</v>
      </c>
      <c r="T185" s="627">
        <v>414.88400000000001</v>
      </c>
      <c r="U185" s="627">
        <v>0</v>
      </c>
      <c r="V185" s="627">
        <v>84160</v>
      </c>
      <c r="W185" s="627">
        <v>17.839000000000002</v>
      </c>
      <c r="X185" s="627">
        <v>10989</v>
      </c>
      <c r="Y185" s="627">
        <v>10989</v>
      </c>
      <c r="Z185" s="627">
        <v>0</v>
      </c>
      <c r="AA185" s="627">
        <v>0</v>
      </c>
      <c r="AB185" s="627">
        <v>0</v>
      </c>
      <c r="AC185" s="627">
        <v>0</v>
      </c>
      <c r="AD185" s="627">
        <v>0</v>
      </c>
      <c r="AE185" s="627" t="s">
        <v>314</v>
      </c>
      <c r="AF185" s="627">
        <v>0</v>
      </c>
      <c r="AG185" s="627">
        <v>0</v>
      </c>
      <c r="AH185" s="627">
        <v>0</v>
      </c>
      <c r="AI185" s="627">
        <v>0</v>
      </c>
      <c r="AJ185" s="627">
        <v>0</v>
      </c>
      <c r="AK185" s="627">
        <v>6160</v>
      </c>
      <c r="AL185" s="627" t="s">
        <v>651</v>
      </c>
      <c r="AM185" s="627" t="s">
        <v>439</v>
      </c>
      <c r="AN185" s="627">
        <v>0</v>
      </c>
      <c r="AO185" s="627">
        <v>0</v>
      </c>
      <c r="AP185" s="627">
        <v>0</v>
      </c>
      <c r="AQ185" s="627">
        <v>0</v>
      </c>
      <c r="AR185" s="627">
        <v>0</v>
      </c>
      <c r="AS185" s="627">
        <v>0</v>
      </c>
      <c r="AT185" s="627">
        <v>0</v>
      </c>
      <c r="AU185" s="627">
        <v>0</v>
      </c>
      <c r="AV185" s="627">
        <v>0</v>
      </c>
      <c r="AW185" s="627">
        <v>0</v>
      </c>
      <c r="AX185" s="627">
        <v>4849720</v>
      </c>
      <c r="AY185" s="627">
        <v>4779334</v>
      </c>
      <c r="AZ185" s="627">
        <v>2385442</v>
      </c>
      <c r="BA185" s="627">
        <v>162171</v>
      </c>
      <c r="BB185" s="627">
        <v>0</v>
      </c>
      <c r="BC185" s="627">
        <v>0</v>
      </c>
      <c r="BD185" s="627">
        <v>0</v>
      </c>
      <c r="BE185" s="627">
        <v>0</v>
      </c>
      <c r="BF185" s="627">
        <v>0</v>
      </c>
      <c r="BG185" s="627">
        <v>4222978</v>
      </c>
      <c r="BH185" s="627">
        <v>0</v>
      </c>
      <c r="BI185" s="627">
        <v>0</v>
      </c>
      <c r="BJ185" s="627">
        <v>0</v>
      </c>
      <c r="BK185" s="627">
        <v>12</v>
      </c>
      <c r="BL185" s="627">
        <v>0</v>
      </c>
      <c r="BM185" s="627">
        <v>0</v>
      </c>
      <c r="BN185" s="627">
        <v>0</v>
      </c>
      <c r="BO185" s="627">
        <v>0</v>
      </c>
      <c r="BP185" s="627">
        <v>0</v>
      </c>
      <c r="BQ185" s="627">
        <v>0</v>
      </c>
      <c r="BR185" s="627">
        <v>714</v>
      </c>
      <c r="BS185" s="627">
        <v>0</v>
      </c>
      <c r="BT185" s="627">
        <v>0</v>
      </c>
      <c r="BU185" s="627">
        <v>0</v>
      </c>
      <c r="BV185" s="627">
        <v>0</v>
      </c>
      <c r="BW185" s="627">
        <v>0</v>
      </c>
      <c r="BX185" s="627">
        <v>0</v>
      </c>
      <c r="BY185" s="627">
        <v>0</v>
      </c>
      <c r="BZ185" s="627">
        <v>0</v>
      </c>
      <c r="CA185" s="627">
        <v>0</v>
      </c>
      <c r="CB185" s="627">
        <v>0</v>
      </c>
      <c r="CC185" s="627">
        <v>0</v>
      </c>
      <c r="CD185" s="627">
        <v>0</v>
      </c>
      <c r="CE185" s="627">
        <v>0</v>
      </c>
      <c r="CF185" s="627">
        <v>0</v>
      </c>
      <c r="CG185" s="627">
        <v>0</v>
      </c>
      <c r="CH185" s="627">
        <v>0</v>
      </c>
      <c r="CI185" s="627">
        <v>71289</v>
      </c>
      <c r="CJ185" s="627">
        <v>0</v>
      </c>
      <c r="CK185" s="627">
        <v>4</v>
      </c>
      <c r="CL185" s="627">
        <v>0</v>
      </c>
      <c r="CM185" s="627">
        <v>0</v>
      </c>
      <c r="CN185" s="627">
        <v>0</v>
      </c>
      <c r="CO185" s="627">
        <v>0</v>
      </c>
      <c r="CP185" s="627">
        <v>1</v>
      </c>
      <c r="CQ185" s="627">
        <v>0</v>
      </c>
      <c r="CR185" s="627">
        <v>0</v>
      </c>
      <c r="CS185" s="627">
        <v>389</v>
      </c>
      <c r="CT185" s="627">
        <v>0</v>
      </c>
      <c r="CU185" s="627">
        <v>0</v>
      </c>
      <c r="CV185" s="627">
        <v>0</v>
      </c>
      <c r="CW185" s="627">
        <v>0</v>
      </c>
      <c r="CX185" s="627">
        <v>0</v>
      </c>
      <c r="CY185" s="627">
        <v>0</v>
      </c>
      <c r="CZ185" s="627">
        <v>0</v>
      </c>
      <c r="DA185" s="627">
        <v>0</v>
      </c>
      <c r="DB185" s="627">
        <v>0</v>
      </c>
      <c r="DC185" s="627">
        <v>2255151</v>
      </c>
      <c r="DD185" s="627">
        <v>0</v>
      </c>
      <c r="DE185" s="627">
        <v>0</v>
      </c>
      <c r="DF185" s="627">
        <v>531300</v>
      </c>
      <c r="DG185" s="627">
        <v>531300</v>
      </c>
      <c r="DH185" s="627">
        <v>86.25</v>
      </c>
      <c r="DI185" s="627">
        <v>0</v>
      </c>
      <c r="DJ185" s="627">
        <v>0</v>
      </c>
      <c r="DK185" s="627">
        <v>0</v>
      </c>
      <c r="DL185" s="627">
        <v>3040</v>
      </c>
      <c r="DM185" s="627">
        <v>0</v>
      </c>
      <c r="DN185" s="627">
        <v>264916</v>
      </c>
      <c r="DO185" s="627">
        <v>903</v>
      </c>
      <c r="DP185" s="627">
        <v>0</v>
      </c>
      <c r="DQ185" s="627">
        <v>0</v>
      </c>
      <c r="DR185" s="627">
        <v>0</v>
      </c>
      <c r="DS185" s="627">
        <v>0</v>
      </c>
      <c r="DT185" s="627">
        <v>0</v>
      </c>
      <c r="DU185" s="627">
        <v>0</v>
      </c>
      <c r="DV185" s="627">
        <v>0</v>
      </c>
      <c r="DW185" s="627">
        <v>0</v>
      </c>
      <c r="DX185" s="627">
        <v>0</v>
      </c>
      <c r="DY185" s="627">
        <v>0</v>
      </c>
      <c r="DZ185" s="627">
        <v>0</v>
      </c>
      <c r="EA185" s="627">
        <v>0</v>
      </c>
      <c r="EB185" s="627">
        <v>0</v>
      </c>
      <c r="EC185" s="627">
        <v>0</v>
      </c>
      <c r="ED185" s="627">
        <v>25.936</v>
      </c>
      <c r="EE185" s="627">
        <v>183731</v>
      </c>
      <c r="EF185" s="627">
        <v>0</v>
      </c>
      <c r="EG185" s="627">
        <v>0</v>
      </c>
      <c r="EH185" s="627">
        <v>0</v>
      </c>
      <c r="EI185" s="627">
        <v>82088</v>
      </c>
      <c r="EJ185" s="627">
        <v>0</v>
      </c>
      <c r="EK185" s="627">
        <v>0</v>
      </c>
      <c r="EL185" s="627">
        <v>3.9620000000000002</v>
      </c>
      <c r="EM185" s="627">
        <v>0</v>
      </c>
      <c r="EN185" s="627">
        <v>0</v>
      </c>
      <c r="EO185" s="627">
        <v>0.28800000000000003</v>
      </c>
      <c r="EP185" s="627">
        <v>0</v>
      </c>
      <c r="EQ185" s="627">
        <v>0</v>
      </c>
      <c r="ER185" s="627">
        <v>4.25</v>
      </c>
      <c r="ES185" s="627">
        <v>0</v>
      </c>
      <c r="ET185" s="627">
        <v>13.326000000000001</v>
      </c>
      <c r="EU185" s="627">
        <v>0</v>
      </c>
      <c r="EV185" s="627">
        <v>0</v>
      </c>
      <c r="EW185" s="627">
        <v>0</v>
      </c>
      <c r="EX185" s="627">
        <v>0</v>
      </c>
      <c r="EY185" s="627">
        <v>0</v>
      </c>
      <c r="EZ185" s="627">
        <v>0</v>
      </c>
      <c r="FA185" s="627">
        <v>4065928</v>
      </c>
      <c r="FB185" s="627">
        <v>0</v>
      </c>
      <c r="FC185" s="627">
        <v>4227196</v>
      </c>
      <c r="FD185" s="627">
        <v>0</v>
      </c>
      <c r="FE185" s="627">
        <v>0</v>
      </c>
      <c r="FF185" s="627">
        <v>608092</v>
      </c>
      <c r="FG185" s="627">
        <v>105314</v>
      </c>
      <c r="FH185" s="627">
        <v>7.0280999999999996E-2</v>
      </c>
      <c r="FI185" s="627">
        <v>3.1172999999999999E-2</v>
      </c>
      <c r="FJ185" s="627">
        <v>0</v>
      </c>
      <c r="FK185" s="627">
        <v>0</v>
      </c>
      <c r="FL185" s="627">
        <v>685.548</v>
      </c>
      <c r="FM185" s="627">
        <v>5011891</v>
      </c>
      <c r="FN185" s="627">
        <v>0</v>
      </c>
      <c r="FO185" s="627">
        <v>0</v>
      </c>
      <c r="FP185" s="627">
        <v>0</v>
      </c>
      <c r="FQ185" s="627">
        <v>0</v>
      </c>
      <c r="FR185" s="627">
        <v>0</v>
      </c>
      <c r="FS185" s="627">
        <v>0</v>
      </c>
      <c r="FT185" s="627">
        <v>0</v>
      </c>
      <c r="FU185" s="627">
        <v>0</v>
      </c>
      <c r="FV185" s="627">
        <v>0</v>
      </c>
      <c r="FW185" s="627">
        <v>0</v>
      </c>
      <c r="FX185" s="627">
        <v>0</v>
      </c>
      <c r="FY185" s="627">
        <v>0</v>
      </c>
      <c r="FZ185" s="627">
        <v>0</v>
      </c>
      <c r="GA185" s="627">
        <v>0</v>
      </c>
      <c r="GB185" s="627">
        <v>0</v>
      </c>
      <c r="GC185" s="627">
        <v>723815</v>
      </c>
      <c r="GD185" s="627">
        <v>723815</v>
      </c>
      <c r="GE185" s="627">
        <v>75.412000000000006</v>
      </c>
      <c r="GF185" s="627">
        <v>0</v>
      </c>
      <c r="GG185" s="627">
        <v>0</v>
      </c>
      <c r="GH185" s="627">
        <v>0</v>
      </c>
      <c r="GI185" s="627">
        <v>0</v>
      </c>
      <c r="GJ185" s="627">
        <v>0</v>
      </c>
      <c r="GK185" s="627">
        <v>0</v>
      </c>
      <c r="GL185" s="627">
        <v>0</v>
      </c>
      <c r="GM185" s="627">
        <v>0</v>
      </c>
      <c r="GN185" s="627">
        <v>0</v>
      </c>
      <c r="GO185" s="627">
        <v>0</v>
      </c>
      <c r="GP185" s="627">
        <v>0</v>
      </c>
      <c r="GQ185" s="627">
        <v>0</v>
      </c>
      <c r="GR185" s="627">
        <v>4778431</v>
      </c>
      <c r="GS185" s="627">
        <v>0</v>
      </c>
      <c r="GT185" s="627">
        <v>0</v>
      </c>
      <c r="GU185" s="627">
        <v>0</v>
      </c>
      <c r="GV185" s="627">
        <v>0</v>
      </c>
      <c r="GW185" s="627">
        <v>0</v>
      </c>
      <c r="GX185" s="627">
        <v>0</v>
      </c>
      <c r="GY185" s="627">
        <v>0</v>
      </c>
      <c r="GZ185" s="627">
        <v>0</v>
      </c>
      <c r="HA185" s="627">
        <v>0</v>
      </c>
      <c r="HB185" s="627">
        <v>0</v>
      </c>
      <c r="HC185" s="627">
        <v>361151439</v>
      </c>
      <c r="HD185" s="627">
        <v>3.9981999999999997E-2</v>
      </c>
      <c r="HE185" s="627">
        <v>71289</v>
      </c>
      <c r="HF185" s="627">
        <v>0</v>
      </c>
      <c r="HG185" s="627">
        <v>403438</v>
      </c>
      <c r="HH185" s="627">
        <v>8008</v>
      </c>
      <c r="HI185" s="627">
        <v>0</v>
      </c>
      <c r="HJ185" s="627">
        <v>0</v>
      </c>
      <c r="HK185" s="627">
        <v>19458</v>
      </c>
      <c r="HL185" s="627">
        <v>2821</v>
      </c>
      <c r="HM185" s="627">
        <v>2300</v>
      </c>
      <c r="HN185" s="627">
        <v>5000</v>
      </c>
      <c r="HO185" s="627">
        <v>0</v>
      </c>
      <c r="HP185" s="627">
        <v>0</v>
      </c>
      <c r="HQ185" s="627">
        <v>0</v>
      </c>
      <c r="HR185" s="627">
        <v>0</v>
      </c>
      <c r="HS185" s="627">
        <v>0</v>
      </c>
      <c r="HT185" s="627">
        <v>4065025</v>
      </c>
      <c r="HU185" s="627">
        <v>105314</v>
      </c>
      <c r="HV185" s="627">
        <v>0</v>
      </c>
      <c r="HW185" s="627">
        <v>0</v>
      </c>
      <c r="HX185" s="627">
        <v>0</v>
      </c>
      <c r="HY185" s="627">
        <v>88</v>
      </c>
      <c r="HZ185" s="627">
        <v>106</v>
      </c>
      <c r="IA185" s="627">
        <v>77</v>
      </c>
      <c r="IB185" s="627">
        <v>42</v>
      </c>
      <c r="IC185" s="627">
        <v>40</v>
      </c>
      <c r="ID185" s="627">
        <v>353</v>
      </c>
      <c r="IE185" s="627">
        <v>0</v>
      </c>
      <c r="IF185" s="627">
        <v>0</v>
      </c>
      <c r="IG185" s="627">
        <v>0</v>
      </c>
      <c r="IH185" s="627">
        <v>13</v>
      </c>
      <c r="II185" s="627">
        <v>0</v>
      </c>
      <c r="IJ185" s="627">
        <v>0</v>
      </c>
      <c r="IK185" s="627">
        <v>17.839000000000002</v>
      </c>
      <c r="IL185" s="627">
        <v>0</v>
      </c>
      <c r="IM185" s="627">
        <v>1</v>
      </c>
      <c r="IN185" s="627">
        <v>0</v>
      </c>
      <c r="IO185" s="627">
        <v>0</v>
      </c>
      <c r="IP185" s="627">
        <v>1</v>
      </c>
      <c r="IQ185" s="627">
        <v>0</v>
      </c>
      <c r="IR185" s="627">
        <v>17.839000000000002</v>
      </c>
      <c r="IS185" s="627">
        <v>10989</v>
      </c>
      <c r="IT185" s="627">
        <v>0</v>
      </c>
      <c r="IU185" s="627">
        <v>5000</v>
      </c>
      <c r="IV185" s="627">
        <v>0</v>
      </c>
      <c r="IW185" s="627">
        <v>0</v>
      </c>
      <c r="IX185" s="627">
        <v>6160</v>
      </c>
      <c r="IY185" s="627">
        <v>0</v>
      </c>
      <c r="IZ185" s="627">
        <v>0</v>
      </c>
      <c r="JA185" s="627">
        <v>0</v>
      </c>
      <c r="JB185" s="627">
        <v>0</v>
      </c>
      <c r="JC185" s="627">
        <v>0</v>
      </c>
      <c r="JD185" s="627">
        <v>0</v>
      </c>
      <c r="JE185" s="627">
        <v>0</v>
      </c>
      <c r="JF185" s="627">
        <v>0</v>
      </c>
      <c r="JG185" s="627">
        <v>0</v>
      </c>
      <c r="JH185" s="627">
        <v>0</v>
      </c>
      <c r="JI185" s="627">
        <v>0</v>
      </c>
      <c r="JJ185" s="627">
        <v>0</v>
      </c>
      <c r="JK185" s="627">
        <v>0</v>
      </c>
      <c r="JL185" s="627">
        <v>0</v>
      </c>
      <c r="JM185" s="627">
        <v>0</v>
      </c>
      <c r="JN185" s="627">
        <v>0</v>
      </c>
      <c r="JO185" s="627">
        <v>32469</v>
      </c>
      <c r="JP185" s="627">
        <v>0</v>
      </c>
      <c r="JQ185" s="627">
        <v>58.856000000000002</v>
      </c>
      <c r="JR185" s="627">
        <v>16.555</v>
      </c>
      <c r="JS185" s="627">
        <v>0</v>
      </c>
      <c r="JT185" s="627">
        <v>547088</v>
      </c>
      <c r="JU185" s="627">
        <v>176727</v>
      </c>
      <c r="JV185" s="627">
        <v>0</v>
      </c>
      <c r="JW185" s="627">
        <v>0</v>
      </c>
      <c r="JX185" s="627">
        <v>0</v>
      </c>
      <c r="JY185" s="627">
        <v>0</v>
      </c>
      <c r="JZ185" s="627">
        <v>0</v>
      </c>
      <c r="KA185" s="627">
        <v>0</v>
      </c>
      <c r="KB185" s="627">
        <v>0</v>
      </c>
      <c r="KC185" s="627">
        <v>0</v>
      </c>
      <c r="KD185" s="627">
        <v>0</v>
      </c>
      <c r="KE185" s="627">
        <v>0</v>
      </c>
      <c r="KF185" s="627">
        <v>7262</v>
      </c>
      <c r="KG185" s="627">
        <v>0</v>
      </c>
      <c r="KH185" s="627">
        <v>0</v>
      </c>
      <c r="KI185" s="627">
        <v>4778431</v>
      </c>
      <c r="KJ185" s="627">
        <v>0</v>
      </c>
      <c r="KK185" s="627">
        <v>8</v>
      </c>
      <c r="KL185" s="627">
        <v>5</v>
      </c>
      <c r="KM185" s="627">
        <v>4928</v>
      </c>
      <c r="KN185" s="627">
        <v>3080</v>
      </c>
      <c r="KO185" s="627">
        <v>0</v>
      </c>
      <c r="KP185" s="627">
        <v>0</v>
      </c>
      <c r="KQ185" s="627">
        <v>4778431</v>
      </c>
      <c r="KR185" s="627">
        <v>0</v>
      </c>
      <c r="KS185" s="627">
        <v>0</v>
      </c>
      <c r="KT185" s="627">
        <v>0</v>
      </c>
      <c r="KU185" s="627">
        <v>0</v>
      </c>
      <c r="KV185" s="627">
        <v>0</v>
      </c>
      <c r="KW185" s="627">
        <v>0</v>
      </c>
      <c r="KX185" s="627">
        <v>0</v>
      </c>
      <c r="KY185" s="627">
        <v>0</v>
      </c>
      <c r="KZ185" s="627">
        <v>0</v>
      </c>
      <c r="LA185" s="627">
        <v>0</v>
      </c>
      <c r="LB185" s="627">
        <v>0</v>
      </c>
      <c r="LC185" s="627">
        <v>0</v>
      </c>
      <c r="LD185" s="627">
        <v>0</v>
      </c>
      <c r="LE185" s="627">
        <v>0</v>
      </c>
      <c r="LF185" s="627">
        <v>0</v>
      </c>
    </row>
    <row r="186" spans="1:318" x14ac:dyDescent="0.25">
      <c r="A186" s="627">
        <v>42602</v>
      </c>
      <c r="B186" s="627">
        <v>101875</v>
      </c>
      <c r="D186" s="627">
        <v>9</v>
      </c>
      <c r="E186" s="627">
        <v>2024</v>
      </c>
      <c r="F186" s="627">
        <v>6160</v>
      </c>
      <c r="G186" s="627">
        <v>0</v>
      </c>
      <c r="H186" s="627">
        <v>343.07400000000001</v>
      </c>
      <c r="I186" s="627">
        <v>330.10599999999999</v>
      </c>
      <c r="J186" s="627">
        <v>330.10599999999999</v>
      </c>
      <c r="K186" s="627">
        <v>343.07400000000001</v>
      </c>
      <c r="L186" s="627">
        <v>0</v>
      </c>
      <c r="M186" s="627">
        <v>6160</v>
      </c>
      <c r="N186" s="627">
        <v>0</v>
      </c>
      <c r="O186" s="627">
        <v>0</v>
      </c>
      <c r="P186" s="627">
        <v>0</v>
      </c>
      <c r="Q186" s="627">
        <v>284.67200000000003</v>
      </c>
      <c r="R186" s="627">
        <v>0</v>
      </c>
      <c r="S186" s="627">
        <v>118106</v>
      </c>
      <c r="T186" s="627">
        <v>414.88400000000001</v>
      </c>
      <c r="U186" s="627">
        <v>0</v>
      </c>
      <c r="V186" s="627">
        <v>61292</v>
      </c>
      <c r="W186" s="627">
        <v>0</v>
      </c>
      <c r="X186" s="627">
        <v>0</v>
      </c>
      <c r="Y186" s="627">
        <v>0</v>
      </c>
      <c r="Z186" s="627">
        <v>0</v>
      </c>
      <c r="AA186" s="627">
        <v>0</v>
      </c>
      <c r="AB186" s="627">
        <v>0</v>
      </c>
      <c r="AC186" s="627">
        <v>0</v>
      </c>
      <c r="AD186" s="627">
        <v>0</v>
      </c>
      <c r="AE186" s="627" t="s">
        <v>314</v>
      </c>
      <c r="AF186" s="627">
        <v>0</v>
      </c>
      <c r="AG186" s="627">
        <v>0</v>
      </c>
      <c r="AH186" s="627">
        <v>0</v>
      </c>
      <c r="AI186" s="627">
        <v>0</v>
      </c>
      <c r="AJ186" s="627">
        <v>0</v>
      </c>
      <c r="AK186" s="627">
        <v>6160</v>
      </c>
      <c r="AL186" s="627" t="s">
        <v>651</v>
      </c>
      <c r="AM186" s="627" t="s">
        <v>458</v>
      </c>
      <c r="AN186" s="627">
        <v>0</v>
      </c>
      <c r="AO186" s="627">
        <v>0</v>
      </c>
      <c r="AP186" s="627">
        <v>0</v>
      </c>
      <c r="AQ186" s="627">
        <v>0</v>
      </c>
      <c r="AR186" s="627">
        <v>0</v>
      </c>
      <c r="AS186" s="627">
        <v>0</v>
      </c>
      <c r="AT186" s="627">
        <v>0</v>
      </c>
      <c r="AU186" s="627">
        <v>0</v>
      </c>
      <c r="AV186" s="627">
        <v>0</v>
      </c>
      <c r="AW186" s="627">
        <v>-274749</v>
      </c>
      <c r="AX186" s="627">
        <v>3887213</v>
      </c>
      <c r="AY186" s="627">
        <v>3888345</v>
      </c>
      <c r="AZ186" s="627">
        <v>1831063</v>
      </c>
      <c r="BA186" s="627">
        <v>118106</v>
      </c>
      <c r="BB186" s="627">
        <v>0</v>
      </c>
      <c r="BC186" s="627">
        <v>0</v>
      </c>
      <c r="BD186" s="627">
        <v>0</v>
      </c>
      <c r="BE186" s="627">
        <v>0</v>
      </c>
      <c r="BF186" s="627">
        <v>0</v>
      </c>
      <c r="BG186" s="627">
        <v>3407451</v>
      </c>
      <c r="BH186" s="627">
        <v>0</v>
      </c>
      <c r="BI186" s="627">
        <v>0</v>
      </c>
      <c r="BJ186" s="627">
        <v>0</v>
      </c>
      <c r="BK186" s="627">
        <v>12</v>
      </c>
      <c r="BL186" s="627">
        <v>0</v>
      </c>
      <c r="BM186" s="627">
        <v>0</v>
      </c>
      <c r="BN186" s="627">
        <v>0</v>
      </c>
      <c r="BO186" s="627">
        <v>0</v>
      </c>
      <c r="BP186" s="627">
        <v>0</v>
      </c>
      <c r="BQ186" s="627">
        <v>0</v>
      </c>
      <c r="BR186" s="627">
        <v>719</v>
      </c>
      <c r="BS186" s="627">
        <v>0</v>
      </c>
      <c r="BT186" s="627">
        <v>0</v>
      </c>
      <c r="BU186" s="627">
        <v>0</v>
      </c>
      <c r="BV186" s="627">
        <v>0</v>
      </c>
      <c r="BW186" s="627">
        <v>0</v>
      </c>
      <c r="BX186" s="627">
        <v>0</v>
      </c>
      <c r="BY186" s="627">
        <v>0</v>
      </c>
      <c r="BZ186" s="627">
        <v>0</v>
      </c>
      <c r="CA186" s="627">
        <v>0</v>
      </c>
      <c r="CB186" s="627">
        <v>0</v>
      </c>
      <c r="CC186" s="627">
        <v>0</v>
      </c>
      <c r="CD186" s="627">
        <v>0</v>
      </c>
      <c r="CE186" s="627">
        <v>0</v>
      </c>
      <c r="CF186" s="627">
        <v>0</v>
      </c>
      <c r="CG186" s="627">
        <v>0</v>
      </c>
      <c r="CH186" s="627">
        <v>0</v>
      </c>
      <c r="CI186" s="627">
        <v>0</v>
      </c>
      <c r="CJ186" s="627">
        <v>0</v>
      </c>
      <c r="CK186" s="627">
        <v>4</v>
      </c>
      <c r="CL186" s="627">
        <v>0</v>
      </c>
      <c r="CM186" s="627">
        <v>0</v>
      </c>
      <c r="CN186" s="627">
        <v>0</v>
      </c>
      <c r="CO186" s="627">
        <v>0</v>
      </c>
      <c r="CP186" s="627">
        <v>1</v>
      </c>
      <c r="CQ186" s="627">
        <v>0</v>
      </c>
      <c r="CR186" s="627">
        <v>0</v>
      </c>
      <c r="CS186" s="627">
        <v>280.45800000000003</v>
      </c>
      <c r="CT186" s="627">
        <v>0</v>
      </c>
      <c r="CU186" s="627">
        <v>0</v>
      </c>
      <c r="CV186" s="627">
        <v>0</v>
      </c>
      <c r="CW186" s="627">
        <v>0</v>
      </c>
      <c r="CX186" s="627">
        <v>0</v>
      </c>
      <c r="CY186" s="627">
        <v>0</v>
      </c>
      <c r="CZ186" s="627">
        <v>0</v>
      </c>
      <c r="DA186" s="627">
        <v>0</v>
      </c>
      <c r="DB186" s="627">
        <v>0</v>
      </c>
      <c r="DC186" s="627">
        <v>2033453</v>
      </c>
      <c r="DD186" s="627">
        <v>0</v>
      </c>
      <c r="DE186" s="627">
        <v>0</v>
      </c>
      <c r="DF186" s="627">
        <v>535843</v>
      </c>
      <c r="DG186" s="627">
        <v>535843</v>
      </c>
      <c r="DH186" s="627">
        <v>86.988</v>
      </c>
      <c r="DI186" s="627">
        <v>0</v>
      </c>
      <c r="DJ186" s="627">
        <v>0</v>
      </c>
      <c r="DK186" s="627">
        <v>0</v>
      </c>
      <c r="DL186" s="627">
        <v>3129</v>
      </c>
      <c r="DM186" s="627">
        <v>0</v>
      </c>
      <c r="DN186" s="627">
        <v>332047</v>
      </c>
      <c r="DO186" s="627">
        <v>1132</v>
      </c>
      <c r="DP186" s="627">
        <v>0</v>
      </c>
      <c r="DQ186" s="627">
        <v>0</v>
      </c>
      <c r="DR186" s="627">
        <v>0</v>
      </c>
      <c r="DS186" s="627">
        <v>0</v>
      </c>
      <c r="DT186" s="627">
        <v>0</v>
      </c>
      <c r="DU186" s="627">
        <v>0</v>
      </c>
      <c r="DV186" s="627">
        <v>0</v>
      </c>
      <c r="DW186" s="627">
        <v>0</v>
      </c>
      <c r="DX186" s="627">
        <v>0</v>
      </c>
      <c r="DY186" s="627">
        <v>0</v>
      </c>
      <c r="DZ186" s="627">
        <v>0</v>
      </c>
      <c r="EA186" s="627">
        <v>0</v>
      </c>
      <c r="EB186" s="627">
        <v>0</v>
      </c>
      <c r="EC186" s="627">
        <v>0</v>
      </c>
      <c r="ED186" s="627">
        <v>10.763</v>
      </c>
      <c r="EE186" s="627">
        <v>76245</v>
      </c>
      <c r="EF186" s="627">
        <v>0</v>
      </c>
      <c r="EG186" s="627">
        <v>0</v>
      </c>
      <c r="EH186" s="627">
        <v>0</v>
      </c>
      <c r="EI186" s="627">
        <v>256934</v>
      </c>
      <c r="EJ186" s="627">
        <v>0</v>
      </c>
      <c r="EK186" s="627">
        <v>0</v>
      </c>
      <c r="EL186" s="627">
        <v>8.0359999999999996</v>
      </c>
      <c r="EM186" s="627">
        <v>0.47700000000000004</v>
      </c>
      <c r="EN186" s="627">
        <v>3.5290000000000004</v>
      </c>
      <c r="EO186" s="627">
        <v>1.403</v>
      </c>
      <c r="EP186" s="627">
        <v>0</v>
      </c>
      <c r="EQ186" s="627">
        <v>0</v>
      </c>
      <c r="ER186" s="627">
        <v>12.968</v>
      </c>
      <c r="ES186" s="627">
        <v>0</v>
      </c>
      <c r="ET186" s="627">
        <v>41.71</v>
      </c>
      <c r="EU186" s="627">
        <v>0</v>
      </c>
      <c r="EV186" s="627">
        <v>0</v>
      </c>
      <c r="EW186" s="627">
        <v>0</v>
      </c>
      <c r="EX186" s="627">
        <v>0</v>
      </c>
      <c r="EY186" s="627">
        <v>0</v>
      </c>
      <c r="EZ186" s="627">
        <v>0</v>
      </c>
      <c r="FA186" s="627">
        <v>3312709</v>
      </c>
      <c r="FB186" s="627">
        <v>0</v>
      </c>
      <c r="FC186" s="627">
        <v>3429683</v>
      </c>
      <c r="FD186" s="627">
        <v>0</v>
      </c>
      <c r="FE186" s="627">
        <v>0</v>
      </c>
      <c r="FF186" s="627">
        <v>490660</v>
      </c>
      <c r="FG186" s="627">
        <v>84976</v>
      </c>
      <c r="FH186" s="627">
        <v>7.0280999999999996E-2</v>
      </c>
      <c r="FI186" s="627">
        <v>3.1172999999999999E-2</v>
      </c>
      <c r="FJ186" s="627">
        <v>0</v>
      </c>
      <c r="FK186" s="627">
        <v>0</v>
      </c>
      <c r="FL186" s="627">
        <v>553.15800000000002</v>
      </c>
      <c r="FM186" s="627">
        <v>4005319</v>
      </c>
      <c r="FN186" s="627">
        <v>0</v>
      </c>
      <c r="FO186" s="627">
        <v>0</v>
      </c>
      <c r="FP186" s="627">
        <v>23364</v>
      </c>
      <c r="FQ186" s="627">
        <v>0</v>
      </c>
      <c r="FR186" s="627">
        <v>23364</v>
      </c>
      <c r="FS186" s="627">
        <v>23364</v>
      </c>
      <c r="FT186" s="627">
        <v>0</v>
      </c>
      <c r="FU186" s="627">
        <v>0</v>
      </c>
      <c r="FV186" s="627">
        <v>0</v>
      </c>
      <c r="FW186" s="627">
        <v>0</v>
      </c>
      <c r="FX186" s="627">
        <v>0</v>
      </c>
      <c r="FY186" s="627">
        <v>0</v>
      </c>
      <c r="FZ186" s="627">
        <v>0</v>
      </c>
      <c r="GA186" s="627">
        <v>0</v>
      </c>
      <c r="GB186" s="627">
        <v>0</v>
      </c>
      <c r="GC186" s="627">
        <v>0</v>
      </c>
      <c r="GD186" s="627">
        <v>0</v>
      </c>
      <c r="GE186" s="627">
        <v>0</v>
      </c>
      <c r="GF186" s="627">
        <v>0</v>
      </c>
      <c r="GG186" s="627">
        <v>0</v>
      </c>
      <c r="GH186" s="627">
        <v>0</v>
      </c>
      <c r="GI186" s="627">
        <v>0</v>
      </c>
      <c r="GJ186" s="627">
        <v>0</v>
      </c>
      <c r="GK186" s="627">
        <v>0</v>
      </c>
      <c r="GL186" s="627">
        <v>0</v>
      </c>
      <c r="GM186" s="627">
        <v>0</v>
      </c>
      <c r="GN186" s="627">
        <v>0</v>
      </c>
      <c r="GO186" s="627">
        <v>0</v>
      </c>
      <c r="GP186" s="627">
        <v>0</v>
      </c>
      <c r="GQ186" s="627">
        <v>0</v>
      </c>
      <c r="GR186" s="627">
        <v>3887213</v>
      </c>
      <c r="GS186" s="627">
        <v>0</v>
      </c>
      <c r="GT186" s="627">
        <v>0</v>
      </c>
      <c r="GU186" s="627">
        <v>0</v>
      </c>
      <c r="GV186" s="627">
        <v>0</v>
      </c>
      <c r="GW186" s="627">
        <v>0</v>
      </c>
      <c r="GX186" s="627">
        <v>0</v>
      </c>
      <c r="GY186" s="627">
        <v>0</v>
      </c>
      <c r="GZ186" s="627">
        <v>0</v>
      </c>
      <c r="HA186" s="627">
        <v>0</v>
      </c>
      <c r="HB186" s="627">
        <v>0</v>
      </c>
      <c r="HC186" s="627">
        <v>0</v>
      </c>
      <c r="HD186" s="627">
        <v>3.9981999999999997E-2</v>
      </c>
      <c r="HE186" s="627">
        <v>0</v>
      </c>
      <c r="HF186" s="627">
        <v>0</v>
      </c>
      <c r="HG186" s="627">
        <v>363777</v>
      </c>
      <c r="HH186" s="627">
        <v>4928</v>
      </c>
      <c r="HI186" s="627">
        <v>117840</v>
      </c>
      <c r="HJ186" s="627">
        <v>0</v>
      </c>
      <c r="HK186" s="627">
        <v>18431</v>
      </c>
      <c r="HL186" s="627">
        <v>0</v>
      </c>
      <c r="HM186" s="627">
        <v>0</v>
      </c>
      <c r="HN186" s="627">
        <v>0</v>
      </c>
      <c r="HO186" s="627">
        <v>0</v>
      </c>
      <c r="HP186" s="627">
        <v>0</v>
      </c>
      <c r="HQ186" s="627">
        <v>0</v>
      </c>
      <c r="HR186" s="627">
        <v>0</v>
      </c>
      <c r="HS186" s="627">
        <v>0</v>
      </c>
      <c r="HT186" s="627">
        <v>3311577</v>
      </c>
      <c r="HU186" s="627">
        <v>84976</v>
      </c>
      <c r="HV186" s="627">
        <v>0</v>
      </c>
      <c r="HW186" s="627">
        <v>0</v>
      </c>
      <c r="HX186" s="627">
        <v>0</v>
      </c>
      <c r="HY186" s="627">
        <v>32</v>
      </c>
      <c r="HZ186" s="627">
        <v>65</v>
      </c>
      <c r="IA186" s="627">
        <v>85</v>
      </c>
      <c r="IB186" s="627">
        <v>50</v>
      </c>
      <c r="IC186" s="627">
        <v>109</v>
      </c>
      <c r="ID186" s="627">
        <v>341</v>
      </c>
      <c r="IE186" s="627">
        <v>0</v>
      </c>
      <c r="IF186" s="627">
        <v>0</v>
      </c>
      <c r="IG186" s="627">
        <v>0</v>
      </c>
      <c r="IH186" s="627">
        <v>8</v>
      </c>
      <c r="II186" s="627">
        <v>191.298</v>
      </c>
      <c r="IJ186" s="627">
        <v>0</v>
      </c>
      <c r="IK186" s="627">
        <v>0</v>
      </c>
      <c r="IL186" s="627">
        <v>0</v>
      </c>
      <c r="IM186" s="627">
        <v>0</v>
      </c>
      <c r="IN186" s="627">
        <v>0</v>
      </c>
      <c r="IO186" s="627">
        <v>0</v>
      </c>
      <c r="IP186" s="627">
        <v>0</v>
      </c>
      <c r="IQ186" s="627">
        <v>0</v>
      </c>
      <c r="IR186" s="627">
        <v>0</v>
      </c>
      <c r="IS186" s="627">
        <v>0</v>
      </c>
      <c r="IT186" s="627">
        <v>0</v>
      </c>
      <c r="IU186" s="627">
        <v>0</v>
      </c>
      <c r="IV186" s="627">
        <v>0</v>
      </c>
      <c r="IW186" s="627">
        <v>0</v>
      </c>
      <c r="IX186" s="627">
        <v>6160</v>
      </c>
      <c r="IY186" s="627">
        <v>0</v>
      </c>
      <c r="IZ186" s="627">
        <v>0</v>
      </c>
      <c r="JA186" s="627">
        <v>0</v>
      </c>
      <c r="JB186" s="627">
        <v>0</v>
      </c>
      <c r="JC186" s="627">
        <v>0</v>
      </c>
      <c r="JD186" s="627">
        <v>0</v>
      </c>
      <c r="JE186" s="627">
        <v>0</v>
      </c>
      <c r="JF186" s="627">
        <v>0</v>
      </c>
      <c r="JG186" s="627">
        <v>0</v>
      </c>
      <c r="JH186" s="627">
        <v>0</v>
      </c>
      <c r="JI186" s="627">
        <v>0</v>
      </c>
      <c r="JJ186" s="627">
        <v>0</v>
      </c>
      <c r="JK186" s="627">
        <v>0</v>
      </c>
      <c r="JL186" s="627">
        <v>0</v>
      </c>
      <c r="JM186" s="627">
        <v>0</v>
      </c>
      <c r="JN186" s="627">
        <v>0</v>
      </c>
      <c r="JO186" s="627">
        <v>32469</v>
      </c>
      <c r="JP186" s="627">
        <v>0</v>
      </c>
      <c r="JQ186" s="627">
        <v>0</v>
      </c>
      <c r="JR186" s="627">
        <v>0</v>
      </c>
      <c r="JS186" s="627">
        <v>0</v>
      </c>
      <c r="JT186" s="627">
        <v>0</v>
      </c>
      <c r="JU186" s="627">
        <v>0</v>
      </c>
      <c r="JV186" s="627">
        <v>0</v>
      </c>
      <c r="JW186" s="627">
        <v>0</v>
      </c>
      <c r="JX186" s="627">
        <v>0</v>
      </c>
      <c r="JY186" s="627">
        <v>0</v>
      </c>
      <c r="JZ186" s="627">
        <v>0</v>
      </c>
      <c r="KA186" s="627">
        <v>0</v>
      </c>
      <c r="KB186" s="627">
        <v>0</v>
      </c>
      <c r="KC186" s="627">
        <v>0</v>
      </c>
      <c r="KD186" s="627">
        <v>0</v>
      </c>
      <c r="KE186" s="627">
        <v>0</v>
      </c>
      <c r="KF186" s="627">
        <v>7262</v>
      </c>
      <c r="KG186" s="627">
        <v>0</v>
      </c>
      <c r="KH186" s="627">
        <v>0</v>
      </c>
      <c r="KI186" s="627">
        <v>3887213</v>
      </c>
      <c r="KJ186" s="627">
        <v>0</v>
      </c>
      <c r="KK186" s="627">
        <v>6</v>
      </c>
      <c r="KL186" s="627">
        <v>2</v>
      </c>
      <c r="KM186" s="627">
        <v>3696</v>
      </c>
      <c r="KN186" s="627">
        <v>1232</v>
      </c>
      <c r="KO186" s="627">
        <v>0</v>
      </c>
      <c r="KP186" s="627">
        <v>0</v>
      </c>
      <c r="KQ186" s="627">
        <v>3887213</v>
      </c>
      <c r="KR186" s="627">
        <v>0</v>
      </c>
      <c r="KS186" s="627">
        <v>0</v>
      </c>
      <c r="KT186" s="627">
        <v>0</v>
      </c>
      <c r="KU186" s="627">
        <v>0</v>
      </c>
      <c r="KV186" s="627">
        <v>0</v>
      </c>
      <c r="KW186" s="627">
        <v>0</v>
      </c>
      <c r="KX186" s="627">
        <v>0</v>
      </c>
      <c r="KY186" s="627">
        <v>0</v>
      </c>
      <c r="KZ186" s="627">
        <v>0</v>
      </c>
      <c r="LA186" s="627">
        <v>0</v>
      </c>
      <c r="LB186" s="627">
        <v>0</v>
      </c>
      <c r="LC186" s="627">
        <v>0</v>
      </c>
      <c r="LD186" s="627">
        <v>0</v>
      </c>
      <c r="LE186" s="627">
        <v>0</v>
      </c>
      <c r="LF186" s="627">
        <v>0</v>
      </c>
    </row>
    <row r="187" spans="1:318" x14ac:dyDescent="0.25">
      <c r="A187" s="627">
        <v>42602</v>
      </c>
      <c r="B187" s="627">
        <v>101876</v>
      </c>
      <c r="D187" s="627">
        <v>9</v>
      </c>
      <c r="E187" s="627">
        <v>2024</v>
      </c>
      <c r="F187" s="627">
        <v>6160</v>
      </c>
      <c r="G187" s="627">
        <v>0</v>
      </c>
      <c r="H187" s="627">
        <v>202.39700000000002</v>
      </c>
      <c r="I187" s="627">
        <v>192.91300000000001</v>
      </c>
      <c r="J187" s="627">
        <v>192.91300000000001</v>
      </c>
      <c r="K187" s="627">
        <v>202.39700000000002</v>
      </c>
      <c r="L187" s="627">
        <v>0</v>
      </c>
      <c r="M187" s="627">
        <v>6160</v>
      </c>
      <c r="N187" s="627">
        <v>0</v>
      </c>
      <c r="O187" s="627">
        <v>0</v>
      </c>
      <c r="P187" s="627">
        <v>0</v>
      </c>
      <c r="Q187" s="627">
        <v>201.63500000000002</v>
      </c>
      <c r="R187" s="627">
        <v>0</v>
      </c>
      <c r="S187" s="627">
        <v>83655</v>
      </c>
      <c r="T187" s="627">
        <v>414.88400000000001</v>
      </c>
      <c r="U187" s="627">
        <v>0</v>
      </c>
      <c r="V187" s="627">
        <v>43412</v>
      </c>
      <c r="W187" s="627">
        <v>36.011000000000003</v>
      </c>
      <c r="X187" s="627">
        <v>22183</v>
      </c>
      <c r="Y187" s="627">
        <v>22183</v>
      </c>
      <c r="Z187" s="627">
        <v>0</v>
      </c>
      <c r="AA187" s="627">
        <v>0</v>
      </c>
      <c r="AB187" s="627">
        <v>0</v>
      </c>
      <c r="AC187" s="627">
        <v>0</v>
      </c>
      <c r="AD187" s="627">
        <v>0</v>
      </c>
      <c r="AE187" s="627" t="s">
        <v>314</v>
      </c>
      <c r="AF187" s="627">
        <v>0</v>
      </c>
      <c r="AG187" s="627">
        <v>0</v>
      </c>
      <c r="AH187" s="627">
        <v>0</v>
      </c>
      <c r="AI187" s="627">
        <v>0</v>
      </c>
      <c r="AJ187" s="627">
        <v>0</v>
      </c>
      <c r="AK187" s="627">
        <v>6160</v>
      </c>
      <c r="AL187" s="627" t="s">
        <v>651</v>
      </c>
      <c r="AM187" s="627" t="s">
        <v>459</v>
      </c>
      <c r="AN187" s="627">
        <v>0</v>
      </c>
      <c r="AO187" s="627">
        <v>0</v>
      </c>
      <c r="AP187" s="627">
        <v>0</v>
      </c>
      <c r="AQ187" s="627">
        <v>0</v>
      </c>
      <c r="AR187" s="627">
        <v>0</v>
      </c>
      <c r="AS187" s="627">
        <v>0</v>
      </c>
      <c r="AT187" s="627">
        <v>0</v>
      </c>
      <c r="AU187" s="627">
        <v>0</v>
      </c>
      <c r="AV187" s="627">
        <v>0</v>
      </c>
      <c r="AW187" s="627">
        <v>-299907</v>
      </c>
      <c r="AX187" s="627">
        <v>2330184</v>
      </c>
      <c r="AY187" s="627">
        <v>2330904</v>
      </c>
      <c r="AZ187" s="627">
        <v>1167938</v>
      </c>
      <c r="BA187" s="627">
        <v>83655</v>
      </c>
      <c r="BB187" s="627">
        <v>0</v>
      </c>
      <c r="BC187" s="627">
        <v>0</v>
      </c>
      <c r="BD187" s="627">
        <v>0</v>
      </c>
      <c r="BE187" s="627">
        <v>0</v>
      </c>
      <c r="BF187" s="627">
        <v>0</v>
      </c>
      <c r="BG187" s="627">
        <v>2053750</v>
      </c>
      <c r="BH187" s="627">
        <v>0</v>
      </c>
      <c r="BI187" s="627">
        <v>0</v>
      </c>
      <c r="BJ187" s="627">
        <v>0</v>
      </c>
      <c r="BK187" s="627">
        <v>12</v>
      </c>
      <c r="BL187" s="627">
        <v>0</v>
      </c>
      <c r="BM187" s="627">
        <v>0</v>
      </c>
      <c r="BN187" s="627">
        <v>0</v>
      </c>
      <c r="BO187" s="627">
        <v>0</v>
      </c>
      <c r="BP187" s="627">
        <v>0</v>
      </c>
      <c r="BQ187" s="627">
        <v>0</v>
      </c>
      <c r="BR187" s="627">
        <v>740</v>
      </c>
      <c r="BS187" s="627">
        <v>0</v>
      </c>
      <c r="BT187" s="627">
        <v>0</v>
      </c>
      <c r="BU187" s="627">
        <v>0</v>
      </c>
      <c r="BV187" s="627">
        <v>0</v>
      </c>
      <c r="BW187" s="627">
        <v>0</v>
      </c>
      <c r="BX187" s="627">
        <v>0</v>
      </c>
      <c r="BY187" s="627">
        <v>0</v>
      </c>
      <c r="BZ187" s="627">
        <v>0</v>
      </c>
      <c r="CA187" s="627">
        <v>0</v>
      </c>
      <c r="CB187" s="627">
        <v>0</v>
      </c>
      <c r="CC187" s="627">
        <v>0</v>
      </c>
      <c r="CD187" s="627">
        <v>0</v>
      </c>
      <c r="CE187" s="627">
        <v>0</v>
      </c>
      <c r="CF187" s="627">
        <v>0</v>
      </c>
      <c r="CG187" s="627">
        <v>0</v>
      </c>
      <c r="CH187" s="627">
        <v>0</v>
      </c>
      <c r="CI187" s="627">
        <v>0</v>
      </c>
      <c r="CJ187" s="627">
        <v>0</v>
      </c>
      <c r="CK187" s="627">
        <v>5</v>
      </c>
      <c r="CL187" s="627">
        <v>0</v>
      </c>
      <c r="CM187" s="627">
        <v>0</v>
      </c>
      <c r="CN187" s="627">
        <v>0</v>
      </c>
      <c r="CO187" s="627">
        <v>0</v>
      </c>
      <c r="CP187" s="627">
        <v>1</v>
      </c>
      <c r="CQ187" s="627">
        <v>0</v>
      </c>
      <c r="CR187" s="627">
        <v>0</v>
      </c>
      <c r="CS187" s="627">
        <v>168.87</v>
      </c>
      <c r="CT187" s="627">
        <v>0</v>
      </c>
      <c r="CU187" s="627">
        <v>0</v>
      </c>
      <c r="CV187" s="627">
        <v>0</v>
      </c>
      <c r="CW187" s="627">
        <v>0</v>
      </c>
      <c r="CX187" s="627">
        <v>0</v>
      </c>
      <c r="CY187" s="627">
        <v>0</v>
      </c>
      <c r="CZ187" s="627">
        <v>0</v>
      </c>
      <c r="DA187" s="627">
        <v>0</v>
      </c>
      <c r="DB187" s="627">
        <v>0</v>
      </c>
      <c r="DC187" s="627">
        <v>1188344</v>
      </c>
      <c r="DD187" s="627">
        <v>0</v>
      </c>
      <c r="DE187" s="627">
        <v>0</v>
      </c>
      <c r="DF187" s="627">
        <v>344113</v>
      </c>
      <c r="DG187" s="627">
        <v>344113</v>
      </c>
      <c r="DH187" s="627">
        <v>55.863</v>
      </c>
      <c r="DI187" s="627">
        <v>0</v>
      </c>
      <c r="DJ187" s="627">
        <v>0</v>
      </c>
      <c r="DK187" s="627">
        <v>0</v>
      </c>
      <c r="DL187" s="627">
        <v>3467</v>
      </c>
      <c r="DM187" s="627">
        <v>0</v>
      </c>
      <c r="DN187" s="627">
        <v>211344</v>
      </c>
      <c r="DO187" s="627">
        <v>720</v>
      </c>
      <c r="DP187" s="627">
        <v>0</v>
      </c>
      <c r="DQ187" s="627">
        <v>0</v>
      </c>
      <c r="DR187" s="627">
        <v>0</v>
      </c>
      <c r="DS187" s="627">
        <v>0</v>
      </c>
      <c r="DT187" s="627">
        <v>0</v>
      </c>
      <c r="DU187" s="627">
        <v>0</v>
      </c>
      <c r="DV187" s="627">
        <v>0</v>
      </c>
      <c r="DW187" s="627">
        <v>0</v>
      </c>
      <c r="DX187" s="627">
        <v>0</v>
      </c>
      <c r="DY187" s="627">
        <v>0</v>
      </c>
      <c r="DZ187" s="627">
        <v>0</v>
      </c>
      <c r="EA187" s="627">
        <v>0</v>
      </c>
      <c r="EB187" s="627">
        <v>0</v>
      </c>
      <c r="EC187" s="627">
        <v>0</v>
      </c>
      <c r="ED187" s="627">
        <v>1.6</v>
      </c>
      <c r="EE187" s="627">
        <v>11334</v>
      </c>
      <c r="EF187" s="627">
        <v>0</v>
      </c>
      <c r="EG187" s="627">
        <v>0</v>
      </c>
      <c r="EH187" s="627">
        <v>0</v>
      </c>
      <c r="EI187" s="627">
        <v>200730</v>
      </c>
      <c r="EJ187" s="627">
        <v>0</v>
      </c>
      <c r="EK187" s="627">
        <v>0</v>
      </c>
      <c r="EL187" s="627">
        <v>1.667</v>
      </c>
      <c r="EM187" s="627">
        <v>3.25</v>
      </c>
      <c r="EN187" s="627">
        <v>5.75</v>
      </c>
      <c r="EO187" s="627">
        <v>2.0670000000000002</v>
      </c>
      <c r="EP187" s="627">
        <v>0</v>
      </c>
      <c r="EQ187" s="627">
        <v>0</v>
      </c>
      <c r="ER187" s="627">
        <v>9.484</v>
      </c>
      <c r="ES187" s="627">
        <v>0</v>
      </c>
      <c r="ET187" s="627">
        <v>32.585999999999999</v>
      </c>
      <c r="EU187" s="627">
        <v>0</v>
      </c>
      <c r="EV187" s="627">
        <v>0</v>
      </c>
      <c r="EW187" s="627">
        <v>0</v>
      </c>
      <c r="EX187" s="627">
        <v>0</v>
      </c>
      <c r="EY187" s="627">
        <v>0</v>
      </c>
      <c r="EZ187" s="627">
        <v>0</v>
      </c>
      <c r="FA187" s="627">
        <v>1983955</v>
      </c>
      <c r="FB187" s="627">
        <v>0</v>
      </c>
      <c r="FC187" s="627">
        <v>2066890</v>
      </c>
      <c r="FD187" s="627">
        <v>0</v>
      </c>
      <c r="FE187" s="627">
        <v>0</v>
      </c>
      <c r="FF187" s="627">
        <v>295732</v>
      </c>
      <c r="FG187" s="627">
        <v>51217</v>
      </c>
      <c r="FH187" s="627">
        <v>7.0280999999999996E-2</v>
      </c>
      <c r="FI187" s="627">
        <v>3.1172999999999999E-2</v>
      </c>
      <c r="FJ187" s="627">
        <v>0</v>
      </c>
      <c r="FK187" s="627">
        <v>0</v>
      </c>
      <c r="FL187" s="627">
        <v>333.40100000000001</v>
      </c>
      <c r="FM187" s="627">
        <v>2413839</v>
      </c>
      <c r="FN187" s="627">
        <v>0</v>
      </c>
      <c r="FO187" s="627">
        <v>0</v>
      </c>
      <c r="FP187" s="627">
        <v>13860</v>
      </c>
      <c r="FQ187" s="627">
        <v>0</v>
      </c>
      <c r="FR187" s="627">
        <v>13860</v>
      </c>
      <c r="FS187" s="627">
        <v>13860</v>
      </c>
      <c r="FT187" s="627">
        <v>0</v>
      </c>
      <c r="FU187" s="627">
        <v>0</v>
      </c>
      <c r="FV187" s="627">
        <v>0</v>
      </c>
      <c r="FW187" s="627">
        <v>0</v>
      </c>
      <c r="FX187" s="627">
        <v>0</v>
      </c>
      <c r="FY187" s="627">
        <v>0</v>
      </c>
      <c r="FZ187" s="627">
        <v>0</v>
      </c>
      <c r="GA187" s="627">
        <v>0</v>
      </c>
      <c r="GB187" s="627">
        <v>0</v>
      </c>
      <c r="GC187" s="627">
        <v>0</v>
      </c>
      <c r="GD187" s="627">
        <v>0</v>
      </c>
      <c r="GE187" s="627">
        <v>0</v>
      </c>
      <c r="GF187" s="627">
        <v>0</v>
      </c>
      <c r="GG187" s="627">
        <v>0</v>
      </c>
      <c r="GH187" s="627">
        <v>0</v>
      </c>
      <c r="GI187" s="627">
        <v>0</v>
      </c>
      <c r="GJ187" s="627">
        <v>0</v>
      </c>
      <c r="GK187" s="627">
        <v>0</v>
      </c>
      <c r="GL187" s="627">
        <v>0</v>
      </c>
      <c r="GM187" s="627">
        <v>0</v>
      </c>
      <c r="GN187" s="627">
        <v>0</v>
      </c>
      <c r="GO187" s="627">
        <v>0</v>
      </c>
      <c r="GP187" s="627">
        <v>0</v>
      </c>
      <c r="GQ187" s="627">
        <v>0</v>
      </c>
      <c r="GR187" s="627">
        <v>2330184</v>
      </c>
      <c r="GS187" s="627">
        <v>0</v>
      </c>
      <c r="GT187" s="627">
        <v>0</v>
      </c>
      <c r="GU187" s="627">
        <v>0</v>
      </c>
      <c r="GV187" s="627">
        <v>0</v>
      </c>
      <c r="GW187" s="627">
        <v>0</v>
      </c>
      <c r="GX187" s="627">
        <v>0</v>
      </c>
      <c r="GY187" s="627">
        <v>0</v>
      </c>
      <c r="GZ187" s="627">
        <v>0</v>
      </c>
      <c r="HA187" s="627">
        <v>0</v>
      </c>
      <c r="HB187" s="627">
        <v>0</v>
      </c>
      <c r="HC187" s="627">
        <v>0</v>
      </c>
      <c r="HD187" s="627">
        <v>3.9981999999999997E-2</v>
      </c>
      <c r="HE187" s="627">
        <v>0</v>
      </c>
      <c r="HF187" s="627">
        <v>0</v>
      </c>
      <c r="HG187" s="627">
        <v>212590</v>
      </c>
      <c r="HH187" s="627">
        <v>0</v>
      </c>
      <c r="HI187" s="627">
        <v>57432</v>
      </c>
      <c r="HJ187" s="627">
        <v>0</v>
      </c>
      <c r="HK187" s="627">
        <v>17024</v>
      </c>
      <c r="HL187" s="627">
        <v>0</v>
      </c>
      <c r="HM187" s="627">
        <v>0</v>
      </c>
      <c r="HN187" s="627">
        <v>0</v>
      </c>
      <c r="HO187" s="627">
        <v>0</v>
      </c>
      <c r="HP187" s="627">
        <v>0</v>
      </c>
      <c r="HQ187" s="627">
        <v>0</v>
      </c>
      <c r="HR187" s="627">
        <v>0</v>
      </c>
      <c r="HS187" s="627">
        <v>0</v>
      </c>
      <c r="HT187" s="627">
        <v>1983235</v>
      </c>
      <c r="HU187" s="627">
        <v>51217</v>
      </c>
      <c r="HV187" s="627">
        <v>0</v>
      </c>
      <c r="HW187" s="627">
        <v>0</v>
      </c>
      <c r="HX187" s="627">
        <v>0</v>
      </c>
      <c r="HY187" s="627">
        <v>8</v>
      </c>
      <c r="HZ187" s="627">
        <v>16</v>
      </c>
      <c r="IA187" s="627">
        <v>89</v>
      </c>
      <c r="IB187" s="627">
        <v>69</v>
      </c>
      <c r="IC187" s="627">
        <v>36</v>
      </c>
      <c r="ID187" s="627">
        <v>218</v>
      </c>
      <c r="IE187" s="627">
        <v>0</v>
      </c>
      <c r="IF187" s="627">
        <v>0</v>
      </c>
      <c r="IG187" s="627">
        <v>0</v>
      </c>
      <c r="IH187" s="627">
        <v>0</v>
      </c>
      <c r="II187" s="627">
        <v>93.233000000000004</v>
      </c>
      <c r="IJ187" s="627">
        <v>0</v>
      </c>
      <c r="IK187" s="627">
        <v>36.011000000000003</v>
      </c>
      <c r="IL187" s="627">
        <v>0</v>
      </c>
      <c r="IM187" s="627">
        <v>0</v>
      </c>
      <c r="IN187" s="627">
        <v>0</v>
      </c>
      <c r="IO187" s="627">
        <v>0</v>
      </c>
      <c r="IP187" s="627">
        <v>0</v>
      </c>
      <c r="IQ187" s="627">
        <v>0</v>
      </c>
      <c r="IR187" s="627">
        <v>36.011000000000003</v>
      </c>
      <c r="IS187" s="627">
        <v>22183</v>
      </c>
      <c r="IT187" s="627">
        <v>0</v>
      </c>
      <c r="IU187" s="627">
        <v>0</v>
      </c>
      <c r="IV187" s="627">
        <v>0</v>
      </c>
      <c r="IW187" s="627">
        <v>0</v>
      </c>
      <c r="IX187" s="627">
        <v>6160</v>
      </c>
      <c r="IY187" s="627">
        <v>0</v>
      </c>
      <c r="IZ187" s="627">
        <v>0</v>
      </c>
      <c r="JA187" s="627">
        <v>0</v>
      </c>
      <c r="JB187" s="627">
        <v>0</v>
      </c>
      <c r="JC187" s="627">
        <v>0</v>
      </c>
      <c r="JD187" s="627">
        <v>0</v>
      </c>
      <c r="JE187" s="627">
        <v>0</v>
      </c>
      <c r="JF187" s="627">
        <v>0</v>
      </c>
      <c r="JG187" s="627">
        <v>0</v>
      </c>
      <c r="JH187" s="627">
        <v>0</v>
      </c>
      <c r="JI187" s="627">
        <v>0</v>
      </c>
      <c r="JJ187" s="627">
        <v>0</v>
      </c>
      <c r="JK187" s="627">
        <v>0</v>
      </c>
      <c r="JL187" s="627">
        <v>0</v>
      </c>
      <c r="JM187" s="627">
        <v>0</v>
      </c>
      <c r="JN187" s="627">
        <v>0</v>
      </c>
      <c r="JO187" s="627">
        <v>32469</v>
      </c>
      <c r="JP187" s="627">
        <v>0</v>
      </c>
      <c r="JQ187" s="627">
        <v>0</v>
      </c>
      <c r="JR187" s="627">
        <v>0</v>
      </c>
      <c r="JS187" s="627">
        <v>0</v>
      </c>
      <c r="JT187" s="627">
        <v>0</v>
      </c>
      <c r="JU187" s="627">
        <v>0</v>
      </c>
      <c r="JV187" s="627">
        <v>0</v>
      </c>
      <c r="JW187" s="627">
        <v>0</v>
      </c>
      <c r="JX187" s="627">
        <v>0</v>
      </c>
      <c r="JY187" s="627">
        <v>0</v>
      </c>
      <c r="JZ187" s="627">
        <v>0</v>
      </c>
      <c r="KA187" s="627">
        <v>0</v>
      </c>
      <c r="KB187" s="627">
        <v>0</v>
      </c>
      <c r="KC187" s="627">
        <v>0</v>
      </c>
      <c r="KD187" s="627">
        <v>0</v>
      </c>
      <c r="KE187" s="627">
        <v>0</v>
      </c>
      <c r="KF187" s="627">
        <v>7262</v>
      </c>
      <c r="KG187" s="627">
        <v>0</v>
      </c>
      <c r="KH187" s="627">
        <v>0</v>
      </c>
      <c r="KI187" s="627">
        <v>2330184</v>
      </c>
      <c r="KJ187" s="627">
        <v>0</v>
      </c>
      <c r="KK187" s="627">
        <v>0</v>
      </c>
      <c r="KL187" s="627">
        <v>0</v>
      </c>
      <c r="KM187" s="627">
        <v>0</v>
      </c>
      <c r="KN187" s="627">
        <v>0</v>
      </c>
      <c r="KO187" s="627">
        <v>0</v>
      </c>
      <c r="KP187" s="627">
        <v>0</v>
      </c>
      <c r="KQ187" s="627">
        <v>2330184</v>
      </c>
      <c r="KR187" s="627">
        <v>0</v>
      </c>
      <c r="KS187" s="627">
        <v>0</v>
      </c>
      <c r="KT187" s="627">
        <v>0</v>
      </c>
      <c r="KU187" s="627">
        <v>0</v>
      </c>
      <c r="KV187" s="627">
        <v>0</v>
      </c>
      <c r="KW187" s="627">
        <v>0</v>
      </c>
      <c r="KX187" s="627">
        <v>0</v>
      </c>
      <c r="KY187" s="627">
        <v>0</v>
      </c>
      <c r="KZ187" s="627">
        <v>0</v>
      </c>
      <c r="LA187" s="627">
        <v>0</v>
      </c>
      <c r="LB187" s="627">
        <v>0</v>
      </c>
      <c r="LC187" s="627">
        <v>0</v>
      </c>
      <c r="LD187" s="627">
        <v>0</v>
      </c>
      <c r="LE187" s="627">
        <v>0</v>
      </c>
      <c r="LF187" s="627">
        <v>0</v>
      </c>
    </row>
    <row r="188" spans="1:318" x14ac:dyDescent="0.25">
      <c r="A188" s="627">
        <v>42602</v>
      </c>
      <c r="B188" s="627">
        <v>101877</v>
      </c>
      <c r="D188" s="627">
        <v>9</v>
      </c>
      <c r="E188" s="627">
        <v>2024</v>
      </c>
      <c r="F188" s="627">
        <v>6160</v>
      </c>
      <c r="G188" s="627">
        <v>0</v>
      </c>
      <c r="H188" s="627">
        <v>141.56300000000002</v>
      </c>
      <c r="I188" s="627">
        <v>140.33500000000001</v>
      </c>
      <c r="J188" s="627">
        <v>140.33500000000001</v>
      </c>
      <c r="K188" s="627">
        <v>141.56300000000002</v>
      </c>
      <c r="L188" s="627">
        <v>0</v>
      </c>
      <c r="M188" s="627">
        <v>6160</v>
      </c>
      <c r="N188" s="627">
        <v>0</v>
      </c>
      <c r="O188" s="627">
        <v>0</v>
      </c>
      <c r="P188" s="627">
        <v>0</v>
      </c>
      <c r="Q188" s="627">
        <v>93.388000000000005</v>
      </c>
      <c r="R188" s="627">
        <v>0</v>
      </c>
      <c r="S188" s="627">
        <v>38745</v>
      </c>
      <c r="T188" s="627">
        <v>414.88400000000001</v>
      </c>
      <c r="U188" s="627">
        <v>0</v>
      </c>
      <c r="V188" s="627">
        <v>20108</v>
      </c>
      <c r="W188" s="627">
        <v>0</v>
      </c>
      <c r="X188" s="627">
        <v>0</v>
      </c>
      <c r="Y188" s="627">
        <v>0</v>
      </c>
      <c r="Z188" s="627">
        <v>0</v>
      </c>
      <c r="AA188" s="627">
        <v>0</v>
      </c>
      <c r="AB188" s="627">
        <v>0</v>
      </c>
      <c r="AC188" s="627">
        <v>0</v>
      </c>
      <c r="AD188" s="627">
        <v>0</v>
      </c>
      <c r="AE188" s="627" t="s">
        <v>314</v>
      </c>
      <c r="AF188" s="627">
        <v>0</v>
      </c>
      <c r="AG188" s="627">
        <v>0</v>
      </c>
      <c r="AH188" s="627">
        <v>0</v>
      </c>
      <c r="AI188" s="627">
        <v>0</v>
      </c>
      <c r="AJ188" s="627">
        <v>0</v>
      </c>
      <c r="AK188" s="627">
        <v>6160</v>
      </c>
      <c r="AL188" s="627" t="s">
        <v>651</v>
      </c>
      <c r="AM188" s="627" t="s">
        <v>539</v>
      </c>
      <c r="AN188" s="627">
        <v>0</v>
      </c>
      <c r="AO188" s="627">
        <v>0</v>
      </c>
      <c r="AP188" s="627">
        <v>0</v>
      </c>
      <c r="AQ188" s="627">
        <v>0</v>
      </c>
      <c r="AR188" s="627">
        <v>0</v>
      </c>
      <c r="AS188" s="627">
        <v>0</v>
      </c>
      <c r="AT188" s="627">
        <v>0</v>
      </c>
      <c r="AU188" s="627">
        <v>0</v>
      </c>
      <c r="AV188" s="627">
        <v>0</v>
      </c>
      <c r="AW188" s="627">
        <v>-320275</v>
      </c>
      <c r="AX188" s="627">
        <v>1599145</v>
      </c>
      <c r="AY188" s="627">
        <v>1599276</v>
      </c>
      <c r="AZ188" s="627">
        <v>606121</v>
      </c>
      <c r="BA188" s="627">
        <v>38745</v>
      </c>
      <c r="BB188" s="627">
        <v>0</v>
      </c>
      <c r="BC188" s="627">
        <v>0</v>
      </c>
      <c r="BD188" s="627">
        <v>0</v>
      </c>
      <c r="BE188" s="627">
        <v>0</v>
      </c>
      <c r="BF188" s="627">
        <v>0</v>
      </c>
      <c r="BG188" s="627">
        <v>1401294</v>
      </c>
      <c r="BH188" s="627">
        <v>0</v>
      </c>
      <c r="BI188" s="627">
        <v>0</v>
      </c>
      <c r="BJ188" s="627">
        <v>0</v>
      </c>
      <c r="BK188" s="627">
        <v>12</v>
      </c>
      <c r="BL188" s="627">
        <v>0</v>
      </c>
      <c r="BM188" s="627">
        <v>0</v>
      </c>
      <c r="BN188" s="627">
        <v>0</v>
      </c>
      <c r="BO188" s="627">
        <v>0</v>
      </c>
      <c r="BP188" s="627">
        <v>0</v>
      </c>
      <c r="BQ188" s="627">
        <v>0</v>
      </c>
      <c r="BR188" s="627">
        <v>748</v>
      </c>
      <c r="BS188" s="627">
        <v>0</v>
      </c>
      <c r="BT188" s="627">
        <v>0</v>
      </c>
      <c r="BU188" s="627">
        <v>0</v>
      </c>
      <c r="BV188" s="627">
        <v>0</v>
      </c>
      <c r="BW188" s="627">
        <v>0</v>
      </c>
      <c r="BX188" s="627">
        <v>0</v>
      </c>
      <c r="BY188" s="627">
        <v>0</v>
      </c>
      <c r="BZ188" s="627">
        <v>0</v>
      </c>
      <c r="CA188" s="627">
        <v>0</v>
      </c>
      <c r="CB188" s="627">
        <v>0</v>
      </c>
      <c r="CC188" s="627">
        <v>0</v>
      </c>
      <c r="CD188" s="627">
        <v>0</v>
      </c>
      <c r="CE188" s="627">
        <v>0</v>
      </c>
      <c r="CF188" s="627">
        <v>0</v>
      </c>
      <c r="CG188" s="627">
        <v>0</v>
      </c>
      <c r="CH188" s="627">
        <v>0</v>
      </c>
      <c r="CI188" s="627">
        <v>0</v>
      </c>
      <c r="CJ188" s="627">
        <v>0</v>
      </c>
      <c r="CK188" s="627">
        <v>4</v>
      </c>
      <c r="CL188" s="627">
        <v>0</v>
      </c>
      <c r="CM188" s="627">
        <v>0</v>
      </c>
      <c r="CN188" s="627">
        <v>0</v>
      </c>
      <c r="CO188" s="627">
        <v>0</v>
      </c>
      <c r="CP188" s="627">
        <v>1</v>
      </c>
      <c r="CQ188" s="627">
        <v>0</v>
      </c>
      <c r="CR188" s="627">
        <v>0</v>
      </c>
      <c r="CS188" s="627">
        <v>55.96</v>
      </c>
      <c r="CT188" s="627">
        <v>0</v>
      </c>
      <c r="CU188" s="627">
        <v>0</v>
      </c>
      <c r="CV188" s="627">
        <v>0</v>
      </c>
      <c r="CW188" s="627">
        <v>0</v>
      </c>
      <c r="CX188" s="627">
        <v>0</v>
      </c>
      <c r="CY188" s="627">
        <v>0</v>
      </c>
      <c r="CZ188" s="627">
        <v>0</v>
      </c>
      <c r="DA188" s="627">
        <v>0</v>
      </c>
      <c r="DB188" s="627">
        <v>0</v>
      </c>
      <c r="DC188" s="627">
        <v>864464</v>
      </c>
      <c r="DD188" s="627">
        <v>0</v>
      </c>
      <c r="DE188" s="627">
        <v>0</v>
      </c>
      <c r="DF188" s="627">
        <v>266266</v>
      </c>
      <c r="DG188" s="627">
        <v>266266</v>
      </c>
      <c r="DH188" s="627">
        <v>43.225000000000001</v>
      </c>
      <c r="DI188" s="627">
        <v>0</v>
      </c>
      <c r="DJ188" s="627">
        <v>0</v>
      </c>
      <c r="DK188" s="627">
        <v>0</v>
      </c>
      <c r="DL188" s="627">
        <v>3597</v>
      </c>
      <c r="DM188" s="627">
        <v>0</v>
      </c>
      <c r="DN188" s="627">
        <v>38560</v>
      </c>
      <c r="DO188" s="627">
        <v>131</v>
      </c>
      <c r="DP188" s="627">
        <v>0</v>
      </c>
      <c r="DQ188" s="627">
        <v>0</v>
      </c>
      <c r="DR188" s="627">
        <v>0</v>
      </c>
      <c r="DS188" s="627">
        <v>0</v>
      </c>
      <c r="DT188" s="627">
        <v>0</v>
      </c>
      <c r="DU188" s="627">
        <v>0</v>
      </c>
      <c r="DV188" s="627">
        <v>0</v>
      </c>
      <c r="DW188" s="627">
        <v>0</v>
      </c>
      <c r="DX188" s="627">
        <v>0</v>
      </c>
      <c r="DY188" s="627">
        <v>0</v>
      </c>
      <c r="DZ188" s="627">
        <v>0</v>
      </c>
      <c r="EA188" s="627">
        <v>0</v>
      </c>
      <c r="EB188" s="627">
        <v>0</v>
      </c>
      <c r="EC188" s="627">
        <v>0</v>
      </c>
      <c r="ED188" s="627">
        <v>2.173</v>
      </c>
      <c r="EE188" s="627">
        <v>15394</v>
      </c>
      <c r="EF188" s="627">
        <v>0</v>
      </c>
      <c r="EG188" s="627">
        <v>0</v>
      </c>
      <c r="EH188" s="627">
        <v>0</v>
      </c>
      <c r="EI188" s="627">
        <v>23297</v>
      </c>
      <c r="EJ188" s="627">
        <v>0</v>
      </c>
      <c r="EK188" s="627">
        <v>0</v>
      </c>
      <c r="EL188" s="627">
        <v>1.179</v>
      </c>
      <c r="EM188" s="627">
        <v>0</v>
      </c>
      <c r="EN188" s="627">
        <v>0</v>
      </c>
      <c r="EO188" s="627">
        <v>4.9000000000000002E-2</v>
      </c>
      <c r="EP188" s="627">
        <v>0</v>
      </c>
      <c r="EQ188" s="627">
        <v>0</v>
      </c>
      <c r="ER188" s="627">
        <v>1.228</v>
      </c>
      <c r="ES188" s="627">
        <v>0</v>
      </c>
      <c r="ET188" s="627">
        <v>3.782</v>
      </c>
      <c r="EU188" s="627">
        <v>0</v>
      </c>
      <c r="EV188" s="627">
        <v>0</v>
      </c>
      <c r="EW188" s="627">
        <v>0</v>
      </c>
      <c r="EX188" s="627">
        <v>0</v>
      </c>
      <c r="EY188" s="627">
        <v>0</v>
      </c>
      <c r="EZ188" s="627">
        <v>0</v>
      </c>
      <c r="FA188" s="627">
        <v>1362549</v>
      </c>
      <c r="FB188" s="627">
        <v>0</v>
      </c>
      <c r="FC188" s="627">
        <v>1401163</v>
      </c>
      <c r="FD188" s="627">
        <v>0</v>
      </c>
      <c r="FE188" s="627">
        <v>0</v>
      </c>
      <c r="FF188" s="627">
        <v>201781</v>
      </c>
      <c r="FG188" s="627">
        <v>34946</v>
      </c>
      <c r="FH188" s="627">
        <v>7.0280999999999996E-2</v>
      </c>
      <c r="FI188" s="627">
        <v>3.1172999999999999E-2</v>
      </c>
      <c r="FJ188" s="627">
        <v>0</v>
      </c>
      <c r="FK188" s="627">
        <v>0</v>
      </c>
      <c r="FL188" s="627">
        <v>227.483</v>
      </c>
      <c r="FM188" s="627">
        <v>1637890</v>
      </c>
      <c r="FN188" s="627">
        <v>0</v>
      </c>
      <c r="FO188" s="627">
        <v>0</v>
      </c>
      <c r="FP188" s="627">
        <v>0</v>
      </c>
      <c r="FQ188" s="627">
        <v>0</v>
      </c>
      <c r="FR188" s="627">
        <v>0</v>
      </c>
      <c r="FS188" s="627">
        <v>0</v>
      </c>
      <c r="FT188" s="627">
        <v>0</v>
      </c>
      <c r="FU188" s="627">
        <v>0</v>
      </c>
      <c r="FV188" s="627">
        <v>0</v>
      </c>
      <c r="FW188" s="627">
        <v>0</v>
      </c>
      <c r="FX188" s="627">
        <v>0</v>
      </c>
      <c r="FY188" s="627">
        <v>0</v>
      </c>
      <c r="FZ188" s="627">
        <v>0</v>
      </c>
      <c r="GA188" s="627">
        <v>0</v>
      </c>
      <c r="GB188" s="627">
        <v>0</v>
      </c>
      <c r="GC188" s="627">
        <v>0</v>
      </c>
      <c r="GD188" s="627">
        <v>0</v>
      </c>
      <c r="GE188" s="627">
        <v>0</v>
      </c>
      <c r="GF188" s="627">
        <v>0</v>
      </c>
      <c r="GG188" s="627">
        <v>0</v>
      </c>
      <c r="GH188" s="627">
        <v>0</v>
      </c>
      <c r="GI188" s="627">
        <v>0</v>
      </c>
      <c r="GJ188" s="627">
        <v>0</v>
      </c>
      <c r="GK188" s="627">
        <v>0</v>
      </c>
      <c r="GL188" s="627">
        <v>0</v>
      </c>
      <c r="GM188" s="627">
        <v>0</v>
      </c>
      <c r="GN188" s="627">
        <v>0</v>
      </c>
      <c r="GO188" s="627">
        <v>0</v>
      </c>
      <c r="GP188" s="627">
        <v>0</v>
      </c>
      <c r="GQ188" s="627">
        <v>0</v>
      </c>
      <c r="GR188" s="627">
        <v>1599145</v>
      </c>
      <c r="GS188" s="627">
        <v>0</v>
      </c>
      <c r="GT188" s="627">
        <v>0</v>
      </c>
      <c r="GU188" s="627">
        <v>0</v>
      </c>
      <c r="GV188" s="627">
        <v>0</v>
      </c>
      <c r="GW188" s="627">
        <v>0</v>
      </c>
      <c r="GX188" s="627">
        <v>0</v>
      </c>
      <c r="GY188" s="627">
        <v>0</v>
      </c>
      <c r="GZ188" s="627">
        <v>0</v>
      </c>
      <c r="HA188" s="627">
        <v>0</v>
      </c>
      <c r="HB188" s="627">
        <v>0</v>
      </c>
      <c r="HC188" s="627">
        <v>0</v>
      </c>
      <c r="HD188" s="627">
        <v>3.9981999999999997E-2</v>
      </c>
      <c r="HE188" s="627">
        <v>0</v>
      </c>
      <c r="HF188" s="627">
        <v>0</v>
      </c>
      <c r="HG188" s="627">
        <v>154649</v>
      </c>
      <c r="HH188" s="627">
        <v>2464</v>
      </c>
      <c r="HI188" s="627">
        <v>58344</v>
      </c>
      <c r="HJ188" s="627">
        <v>0</v>
      </c>
      <c r="HK188" s="627">
        <v>16416</v>
      </c>
      <c r="HL188" s="627">
        <v>0</v>
      </c>
      <c r="HM188" s="627">
        <v>0</v>
      </c>
      <c r="HN188" s="627">
        <v>0</v>
      </c>
      <c r="HO188" s="627">
        <v>0</v>
      </c>
      <c r="HP188" s="627">
        <v>0</v>
      </c>
      <c r="HQ188" s="627">
        <v>0</v>
      </c>
      <c r="HR188" s="627">
        <v>0</v>
      </c>
      <c r="HS188" s="627">
        <v>0</v>
      </c>
      <c r="HT188" s="627">
        <v>1362418</v>
      </c>
      <c r="HU188" s="627">
        <v>34946</v>
      </c>
      <c r="HV188" s="627">
        <v>0</v>
      </c>
      <c r="HW188" s="627">
        <v>0</v>
      </c>
      <c r="HX188" s="627">
        <v>0</v>
      </c>
      <c r="HY188" s="627">
        <v>17</v>
      </c>
      <c r="HZ188" s="627">
        <v>23</v>
      </c>
      <c r="IA188" s="627">
        <v>25</v>
      </c>
      <c r="IB188" s="627">
        <v>29</v>
      </c>
      <c r="IC188" s="627">
        <v>73</v>
      </c>
      <c r="ID188" s="627">
        <v>167</v>
      </c>
      <c r="IE188" s="627">
        <v>0</v>
      </c>
      <c r="IF188" s="627">
        <v>0</v>
      </c>
      <c r="IG188" s="627">
        <v>0</v>
      </c>
      <c r="IH188" s="627">
        <v>4</v>
      </c>
      <c r="II188" s="627">
        <v>94.715000000000003</v>
      </c>
      <c r="IJ188" s="627">
        <v>0</v>
      </c>
      <c r="IK188" s="627">
        <v>0</v>
      </c>
      <c r="IL188" s="627">
        <v>0</v>
      </c>
      <c r="IM188" s="627">
        <v>0</v>
      </c>
      <c r="IN188" s="627">
        <v>0</v>
      </c>
      <c r="IO188" s="627">
        <v>0</v>
      </c>
      <c r="IP188" s="627">
        <v>0</v>
      </c>
      <c r="IQ188" s="627">
        <v>0</v>
      </c>
      <c r="IR188" s="627">
        <v>0</v>
      </c>
      <c r="IS188" s="627">
        <v>0</v>
      </c>
      <c r="IT188" s="627">
        <v>0</v>
      </c>
      <c r="IU188" s="627">
        <v>0</v>
      </c>
      <c r="IV188" s="627">
        <v>0</v>
      </c>
      <c r="IW188" s="627">
        <v>0</v>
      </c>
      <c r="IX188" s="627">
        <v>6160</v>
      </c>
      <c r="IY188" s="627">
        <v>0</v>
      </c>
      <c r="IZ188" s="627">
        <v>0</v>
      </c>
      <c r="JA188" s="627">
        <v>0</v>
      </c>
      <c r="JB188" s="627">
        <v>0</v>
      </c>
      <c r="JC188" s="627">
        <v>0</v>
      </c>
      <c r="JD188" s="627">
        <v>0</v>
      </c>
      <c r="JE188" s="627">
        <v>0</v>
      </c>
      <c r="JF188" s="627">
        <v>0</v>
      </c>
      <c r="JG188" s="627">
        <v>0</v>
      </c>
      <c r="JH188" s="627">
        <v>0</v>
      </c>
      <c r="JI188" s="627">
        <v>0</v>
      </c>
      <c r="JJ188" s="627">
        <v>0</v>
      </c>
      <c r="JK188" s="627">
        <v>0</v>
      </c>
      <c r="JL188" s="627">
        <v>0</v>
      </c>
      <c r="JM188" s="627">
        <v>0</v>
      </c>
      <c r="JN188" s="627">
        <v>0</v>
      </c>
      <c r="JO188" s="627">
        <v>0</v>
      </c>
      <c r="JP188" s="627">
        <v>0</v>
      </c>
      <c r="JQ188" s="627">
        <v>0</v>
      </c>
      <c r="JR188" s="627">
        <v>0</v>
      </c>
      <c r="JS188" s="627">
        <v>0</v>
      </c>
      <c r="JT188" s="627">
        <v>0</v>
      </c>
      <c r="JU188" s="627">
        <v>0</v>
      </c>
      <c r="JV188" s="627">
        <v>0</v>
      </c>
      <c r="JW188" s="627">
        <v>0</v>
      </c>
      <c r="JX188" s="627">
        <v>0</v>
      </c>
      <c r="JY188" s="627">
        <v>0</v>
      </c>
      <c r="JZ188" s="627">
        <v>0</v>
      </c>
      <c r="KA188" s="627">
        <v>0</v>
      </c>
      <c r="KB188" s="627">
        <v>0</v>
      </c>
      <c r="KC188" s="627">
        <v>0</v>
      </c>
      <c r="KD188" s="627">
        <v>0</v>
      </c>
      <c r="KE188" s="627">
        <v>0</v>
      </c>
      <c r="KF188" s="627">
        <v>7262</v>
      </c>
      <c r="KG188" s="627">
        <v>0</v>
      </c>
      <c r="KH188" s="627">
        <v>0</v>
      </c>
      <c r="KI188" s="627">
        <v>1599145</v>
      </c>
      <c r="KJ188" s="627">
        <v>0</v>
      </c>
      <c r="KK188" s="627">
        <v>4</v>
      </c>
      <c r="KL188" s="627">
        <v>0</v>
      </c>
      <c r="KM188" s="627">
        <v>2464</v>
      </c>
      <c r="KN188" s="627">
        <v>0</v>
      </c>
      <c r="KO188" s="627">
        <v>0</v>
      </c>
      <c r="KP188" s="627">
        <v>0</v>
      </c>
      <c r="KQ188" s="627">
        <v>1599145</v>
      </c>
      <c r="KR188" s="627">
        <v>0</v>
      </c>
      <c r="KS188" s="627">
        <v>0</v>
      </c>
      <c r="KT188" s="627">
        <v>0</v>
      </c>
      <c r="KU188" s="627">
        <v>0</v>
      </c>
      <c r="KV188" s="627">
        <v>0</v>
      </c>
      <c r="KW188" s="627">
        <v>0</v>
      </c>
      <c r="KX188" s="627">
        <v>0</v>
      </c>
      <c r="KY188" s="627">
        <v>0</v>
      </c>
      <c r="KZ188" s="627">
        <v>0</v>
      </c>
      <c r="LA188" s="627">
        <v>0</v>
      </c>
      <c r="LB188" s="627">
        <v>0</v>
      </c>
      <c r="LC188" s="627">
        <v>0</v>
      </c>
      <c r="LD188" s="627">
        <v>0</v>
      </c>
      <c r="LE188" s="627">
        <v>0</v>
      </c>
      <c r="LF188" s="627">
        <v>0</v>
      </c>
    </row>
    <row r="189" spans="1:318" x14ac:dyDescent="0.25">
      <c r="A189" s="627">
        <v>42602</v>
      </c>
      <c r="B189" s="627">
        <v>101878</v>
      </c>
      <c r="D189" s="627">
        <v>9</v>
      </c>
      <c r="E189" s="627">
        <v>2024</v>
      </c>
      <c r="F189" s="627">
        <v>6160</v>
      </c>
      <c r="G189" s="627">
        <v>0</v>
      </c>
      <c r="H189" s="627">
        <v>245.68200000000002</v>
      </c>
      <c r="I189" s="627">
        <v>234.41400000000002</v>
      </c>
      <c r="J189" s="627">
        <v>234.41400000000002</v>
      </c>
      <c r="K189" s="627">
        <v>245.68200000000002</v>
      </c>
      <c r="L189" s="627">
        <v>0</v>
      </c>
      <c r="M189" s="627">
        <v>6160</v>
      </c>
      <c r="N189" s="627">
        <v>0</v>
      </c>
      <c r="O189" s="627">
        <v>0</v>
      </c>
      <c r="P189" s="627">
        <v>0</v>
      </c>
      <c r="Q189" s="627">
        <v>165.768</v>
      </c>
      <c r="R189" s="627">
        <v>0</v>
      </c>
      <c r="S189" s="627">
        <v>68774</v>
      </c>
      <c r="T189" s="627">
        <v>414.88400000000001</v>
      </c>
      <c r="U189" s="627">
        <v>0</v>
      </c>
      <c r="V189" s="627">
        <v>35692</v>
      </c>
      <c r="W189" s="627">
        <v>35.562000000000005</v>
      </c>
      <c r="X189" s="627">
        <v>21906</v>
      </c>
      <c r="Y189" s="627">
        <v>21906</v>
      </c>
      <c r="Z189" s="627">
        <v>0</v>
      </c>
      <c r="AA189" s="627">
        <v>0</v>
      </c>
      <c r="AB189" s="627">
        <v>0</v>
      </c>
      <c r="AC189" s="627">
        <v>0</v>
      </c>
      <c r="AD189" s="627">
        <v>0</v>
      </c>
      <c r="AE189" s="627" t="s">
        <v>314</v>
      </c>
      <c r="AF189" s="627">
        <v>0</v>
      </c>
      <c r="AG189" s="627">
        <v>0</v>
      </c>
      <c r="AH189" s="627">
        <v>0</v>
      </c>
      <c r="AI189" s="627">
        <v>0</v>
      </c>
      <c r="AJ189" s="627">
        <v>0</v>
      </c>
      <c r="AK189" s="627">
        <v>6160</v>
      </c>
      <c r="AL189" s="627" t="s">
        <v>651</v>
      </c>
      <c r="AM189" s="627" t="s">
        <v>540</v>
      </c>
      <c r="AN189" s="627">
        <v>0</v>
      </c>
      <c r="AO189" s="627">
        <v>0</v>
      </c>
      <c r="AP189" s="627">
        <v>0</v>
      </c>
      <c r="AQ189" s="627">
        <v>0</v>
      </c>
      <c r="AR189" s="627">
        <v>0</v>
      </c>
      <c r="AS189" s="627">
        <v>0</v>
      </c>
      <c r="AT189" s="627">
        <v>0</v>
      </c>
      <c r="AU189" s="627">
        <v>0</v>
      </c>
      <c r="AV189" s="627">
        <v>0</v>
      </c>
      <c r="AW189" s="627">
        <v>0</v>
      </c>
      <c r="AX189" s="627">
        <v>3010927</v>
      </c>
      <c r="AY189" s="627">
        <v>3011699</v>
      </c>
      <c r="AZ189" s="627">
        <v>1304484</v>
      </c>
      <c r="BA189" s="627">
        <v>68774</v>
      </c>
      <c r="BB189" s="627">
        <v>0</v>
      </c>
      <c r="BC189" s="627">
        <v>0</v>
      </c>
      <c r="BD189" s="627">
        <v>0</v>
      </c>
      <c r="BE189" s="627">
        <v>0</v>
      </c>
      <c r="BF189" s="627">
        <v>0</v>
      </c>
      <c r="BG189" s="627">
        <v>2346938</v>
      </c>
      <c r="BH189" s="627">
        <v>0</v>
      </c>
      <c r="BI189" s="627">
        <v>0</v>
      </c>
      <c r="BJ189" s="627">
        <v>0</v>
      </c>
      <c r="BK189" s="627">
        <v>12</v>
      </c>
      <c r="BL189" s="627">
        <v>0</v>
      </c>
      <c r="BM189" s="627">
        <v>0</v>
      </c>
      <c r="BN189" s="627">
        <v>0</v>
      </c>
      <c r="BO189" s="627">
        <v>0</v>
      </c>
      <c r="BP189" s="627">
        <v>0</v>
      </c>
      <c r="BQ189" s="627">
        <v>0</v>
      </c>
      <c r="BR189" s="627">
        <v>734</v>
      </c>
      <c r="BS189" s="627">
        <v>0</v>
      </c>
      <c r="BT189" s="627">
        <v>0</v>
      </c>
      <c r="BU189" s="627">
        <v>0</v>
      </c>
      <c r="BV189" s="627">
        <v>0</v>
      </c>
      <c r="BW189" s="627">
        <v>0</v>
      </c>
      <c r="BX189" s="627">
        <v>0</v>
      </c>
      <c r="BY189" s="627">
        <v>0</v>
      </c>
      <c r="BZ189" s="627">
        <v>0</v>
      </c>
      <c r="CA189" s="627">
        <v>0</v>
      </c>
      <c r="CB189" s="627">
        <v>324.13499999999999</v>
      </c>
      <c r="CC189" s="627">
        <v>324135</v>
      </c>
      <c r="CD189" s="627">
        <v>0</v>
      </c>
      <c r="CE189" s="627">
        <v>0</v>
      </c>
      <c r="CF189" s="627">
        <v>0</v>
      </c>
      <c r="CG189" s="627">
        <v>0</v>
      </c>
      <c r="CH189" s="627">
        <v>0</v>
      </c>
      <c r="CI189" s="627">
        <v>0</v>
      </c>
      <c r="CJ189" s="627">
        <v>0</v>
      </c>
      <c r="CK189" s="627">
        <v>4</v>
      </c>
      <c r="CL189" s="627">
        <v>0</v>
      </c>
      <c r="CM189" s="627">
        <v>0</v>
      </c>
      <c r="CN189" s="627">
        <v>0</v>
      </c>
      <c r="CO189" s="627">
        <v>0</v>
      </c>
      <c r="CP189" s="627">
        <v>1</v>
      </c>
      <c r="CQ189" s="627">
        <v>0</v>
      </c>
      <c r="CR189" s="627">
        <v>0</v>
      </c>
      <c r="CS189" s="627">
        <v>169.29600000000002</v>
      </c>
      <c r="CT189" s="627">
        <v>0</v>
      </c>
      <c r="CU189" s="627">
        <v>0</v>
      </c>
      <c r="CV189" s="627">
        <v>0</v>
      </c>
      <c r="CW189" s="627">
        <v>0</v>
      </c>
      <c r="CX189" s="627">
        <v>0</v>
      </c>
      <c r="CY189" s="627">
        <v>0</v>
      </c>
      <c r="CZ189" s="627">
        <v>0</v>
      </c>
      <c r="DA189" s="627">
        <v>0</v>
      </c>
      <c r="DB189" s="627">
        <v>0</v>
      </c>
      <c r="DC189" s="627">
        <v>1443990</v>
      </c>
      <c r="DD189" s="627">
        <v>0</v>
      </c>
      <c r="DE189" s="627">
        <v>0</v>
      </c>
      <c r="DF189" s="627">
        <v>284130</v>
      </c>
      <c r="DG189" s="627">
        <v>284130</v>
      </c>
      <c r="DH189" s="627">
        <v>46.125</v>
      </c>
      <c r="DI189" s="627">
        <v>0</v>
      </c>
      <c r="DJ189" s="627">
        <v>0</v>
      </c>
      <c r="DK189" s="627">
        <v>0</v>
      </c>
      <c r="DL189" s="627">
        <v>3365</v>
      </c>
      <c r="DM189" s="627">
        <v>0</v>
      </c>
      <c r="DN189" s="627">
        <v>226496</v>
      </c>
      <c r="DO189" s="627">
        <v>772</v>
      </c>
      <c r="DP189" s="627">
        <v>0</v>
      </c>
      <c r="DQ189" s="627">
        <v>0</v>
      </c>
      <c r="DR189" s="627">
        <v>0</v>
      </c>
      <c r="DS189" s="627">
        <v>0</v>
      </c>
      <c r="DT189" s="627">
        <v>0</v>
      </c>
      <c r="DU189" s="627">
        <v>0</v>
      </c>
      <c r="DV189" s="627">
        <v>0</v>
      </c>
      <c r="DW189" s="627">
        <v>0</v>
      </c>
      <c r="DX189" s="627">
        <v>0</v>
      </c>
      <c r="DY189" s="627">
        <v>0</v>
      </c>
      <c r="DZ189" s="627">
        <v>0</v>
      </c>
      <c r="EA189" s="627">
        <v>0</v>
      </c>
      <c r="EB189" s="627">
        <v>0</v>
      </c>
      <c r="EC189" s="627">
        <v>0</v>
      </c>
      <c r="ED189" s="627">
        <v>1.7080000000000002</v>
      </c>
      <c r="EE189" s="627">
        <v>12099</v>
      </c>
      <c r="EF189" s="627">
        <v>0</v>
      </c>
      <c r="EG189" s="627">
        <v>0</v>
      </c>
      <c r="EH189" s="627">
        <v>0</v>
      </c>
      <c r="EI189" s="627">
        <v>215169</v>
      </c>
      <c r="EJ189" s="627">
        <v>0</v>
      </c>
      <c r="EK189" s="627">
        <v>0</v>
      </c>
      <c r="EL189" s="627">
        <v>9.9580000000000002</v>
      </c>
      <c r="EM189" s="627">
        <v>0</v>
      </c>
      <c r="EN189" s="627">
        <v>0.747</v>
      </c>
      <c r="EO189" s="627">
        <v>0.56300000000000006</v>
      </c>
      <c r="EP189" s="627">
        <v>0</v>
      </c>
      <c r="EQ189" s="627">
        <v>0</v>
      </c>
      <c r="ER189" s="627">
        <v>11.268000000000001</v>
      </c>
      <c r="ES189" s="627">
        <v>0</v>
      </c>
      <c r="ET189" s="627">
        <v>34.93</v>
      </c>
      <c r="EU189" s="627">
        <v>0</v>
      </c>
      <c r="EV189" s="627">
        <v>0</v>
      </c>
      <c r="EW189" s="627">
        <v>0</v>
      </c>
      <c r="EX189" s="627">
        <v>0</v>
      </c>
      <c r="EY189" s="627">
        <v>0</v>
      </c>
      <c r="EZ189" s="627">
        <v>0</v>
      </c>
      <c r="FA189" s="627">
        <v>2615220</v>
      </c>
      <c r="FB189" s="627">
        <v>0</v>
      </c>
      <c r="FC189" s="627">
        <v>2683222</v>
      </c>
      <c r="FD189" s="627">
        <v>0</v>
      </c>
      <c r="FE189" s="627">
        <v>0</v>
      </c>
      <c r="FF189" s="627">
        <v>337950</v>
      </c>
      <c r="FG189" s="627">
        <v>58529</v>
      </c>
      <c r="FH189" s="627">
        <v>7.0280999999999996E-2</v>
      </c>
      <c r="FI189" s="627">
        <v>3.1172999999999999E-2</v>
      </c>
      <c r="FJ189" s="627">
        <v>0</v>
      </c>
      <c r="FK189" s="627">
        <v>0</v>
      </c>
      <c r="FL189" s="627">
        <v>380.99600000000004</v>
      </c>
      <c r="FM189" s="627">
        <v>3079701</v>
      </c>
      <c r="FN189" s="627">
        <v>0</v>
      </c>
      <c r="FO189" s="627">
        <v>0</v>
      </c>
      <c r="FP189" s="627">
        <v>12921</v>
      </c>
      <c r="FQ189" s="627">
        <v>0</v>
      </c>
      <c r="FR189" s="627">
        <v>12921</v>
      </c>
      <c r="FS189" s="627">
        <v>12921</v>
      </c>
      <c r="FT189" s="627">
        <v>0</v>
      </c>
      <c r="FU189" s="627">
        <v>0</v>
      </c>
      <c r="FV189" s="627">
        <v>0</v>
      </c>
      <c r="FW189" s="627">
        <v>0</v>
      </c>
      <c r="FX189" s="627">
        <v>0</v>
      </c>
      <c r="FY189" s="627">
        <v>0</v>
      </c>
      <c r="FZ189" s="627">
        <v>0</v>
      </c>
      <c r="GA189" s="627">
        <v>0</v>
      </c>
      <c r="GB189" s="627">
        <v>0</v>
      </c>
      <c r="GC189" s="627">
        <v>0</v>
      </c>
      <c r="GD189" s="627">
        <v>0</v>
      </c>
      <c r="GE189" s="627">
        <v>0</v>
      </c>
      <c r="GF189" s="627">
        <v>0</v>
      </c>
      <c r="GG189" s="627">
        <v>0</v>
      </c>
      <c r="GH189" s="627">
        <v>0</v>
      </c>
      <c r="GI189" s="627">
        <v>0</v>
      </c>
      <c r="GJ189" s="627">
        <v>0</v>
      </c>
      <c r="GK189" s="627">
        <v>0</v>
      </c>
      <c r="GL189" s="627">
        <v>0</v>
      </c>
      <c r="GM189" s="627">
        <v>0</v>
      </c>
      <c r="GN189" s="627">
        <v>0</v>
      </c>
      <c r="GO189" s="627">
        <v>0</v>
      </c>
      <c r="GP189" s="627">
        <v>0</v>
      </c>
      <c r="GQ189" s="627">
        <v>0</v>
      </c>
      <c r="GR189" s="627">
        <v>3010927</v>
      </c>
      <c r="GS189" s="627">
        <v>0</v>
      </c>
      <c r="GT189" s="627">
        <v>0</v>
      </c>
      <c r="GU189" s="627">
        <v>0</v>
      </c>
      <c r="GV189" s="627">
        <v>0</v>
      </c>
      <c r="GW189" s="627">
        <v>0</v>
      </c>
      <c r="GX189" s="627">
        <v>0</v>
      </c>
      <c r="GY189" s="627">
        <v>0</v>
      </c>
      <c r="GZ189" s="627">
        <v>0</v>
      </c>
      <c r="HA189" s="627">
        <v>0</v>
      </c>
      <c r="HB189" s="627">
        <v>0</v>
      </c>
      <c r="HC189" s="627">
        <v>0</v>
      </c>
      <c r="HD189" s="627">
        <v>3.9981999999999997E-2</v>
      </c>
      <c r="HE189" s="627">
        <v>0</v>
      </c>
      <c r="HF189" s="627">
        <v>0</v>
      </c>
      <c r="HG189" s="627">
        <v>258324</v>
      </c>
      <c r="HH189" s="627">
        <v>0</v>
      </c>
      <c r="HI189" s="627">
        <v>93863</v>
      </c>
      <c r="HJ189" s="627">
        <v>0</v>
      </c>
      <c r="HK189" s="627">
        <v>17457</v>
      </c>
      <c r="HL189" s="627">
        <v>0</v>
      </c>
      <c r="HM189" s="627">
        <v>0</v>
      </c>
      <c r="HN189" s="627">
        <v>0</v>
      </c>
      <c r="HO189" s="627">
        <v>0</v>
      </c>
      <c r="HP189" s="627">
        <v>0</v>
      </c>
      <c r="HQ189" s="627">
        <v>0</v>
      </c>
      <c r="HR189" s="627">
        <v>0</v>
      </c>
      <c r="HS189" s="627">
        <v>0</v>
      </c>
      <c r="HT189" s="627">
        <v>2614448</v>
      </c>
      <c r="HU189" s="627">
        <v>58529</v>
      </c>
      <c r="HV189" s="627">
        <v>0</v>
      </c>
      <c r="HW189" s="627">
        <v>0</v>
      </c>
      <c r="HX189" s="627">
        <v>0</v>
      </c>
      <c r="HY189" s="627">
        <v>33</v>
      </c>
      <c r="HZ189" s="627">
        <v>40</v>
      </c>
      <c r="IA189" s="627">
        <v>27</v>
      </c>
      <c r="IB189" s="627">
        <v>52</v>
      </c>
      <c r="IC189" s="627">
        <v>32</v>
      </c>
      <c r="ID189" s="627">
        <v>184</v>
      </c>
      <c r="IE189" s="627">
        <v>0</v>
      </c>
      <c r="IF189" s="627">
        <v>0</v>
      </c>
      <c r="IG189" s="627">
        <v>0</v>
      </c>
      <c r="IH189" s="627">
        <v>0</v>
      </c>
      <c r="II189" s="627">
        <v>152.375</v>
      </c>
      <c r="IJ189" s="627">
        <v>0</v>
      </c>
      <c r="IK189" s="627">
        <v>35.562000000000005</v>
      </c>
      <c r="IL189" s="627">
        <v>0</v>
      </c>
      <c r="IM189" s="627">
        <v>0</v>
      </c>
      <c r="IN189" s="627">
        <v>0</v>
      </c>
      <c r="IO189" s="627">
        <v>0</v>
      </c>
      <c r="IP189" s="627">
        <v>0</v>
      </c>
      <c r="IQ189" s="627">
        <v>0</v>
      </c>
      <c r="IR189" s="627">
        <v>35.562000000000005</v>
      </c>
      <c r="IS189" s="627">
        <v>21906</v>
      </c>
      <c r="IT189" s="627">
        <v>0</v>
      </c>
      <c r="IU189" s="627">
        <v>0</v>
      </c>
      <c r="IV189" s="627">
        <v>0</v>
      </c>
      <c r="IW189" s="627">
        <v>0</v>
      </c>
      <c r="IX189" s="627">
        <v>6160</v>
      </c>
      <c r="IY189" s="627">
        <v>0</v>
      </c>
      <c r="IZ189" s="627">
        <v>0</v>
      </c>
      <c r="JA189" s="627">
        <v>0</v>
      </c>
      <c r="JB189" s="627">
        <v>0</v>
      </c>
      <c r="JC189" s="627">
        <v>0</v>
      </c>
      <c r="JD189" s="627">
        <v>0</v>
      </c>
      <c r="JE189" s="627">
        <v>0</v>
      </c>
      <c r="JF189" s="627">
        <v>0</v>
      </c>
      <c r="JG189" s="627">
        <v>0</v>
      </c>
      <c r="JH189" s="627">
        <v>0</v>
      </c>
      <c r="JI189" s="627">
        <v>0</v>
      </c>
      <c r="JJ189" s="627">
        <v>0</v>
      </c>
      <c r="JK189" s="627">
        <v>0</v>
      </c>
      <c r="JL189" s="627">
        <v>0</v>
      </c>
      <c r="JM189" s="627">
        <v>0</v>
      </c>
      <c r="JN189" s="627">
        <v>0</v>
      </c>
      <c r="JO189" s="627">
        <v>0</v>
      </c>
      <c r="JP189" s="627">
        <v>0</v>
      </c>
      <c r="JQ189" s="627">
        <v>0</v>
      </c>
      <c r="JR189" s="627">
        <v>0</v>
      </c>
      <c r="JS189" s="627">
        <v>0</v>
      </c>
      <c r="JT189" s="627">
        <v>0</v>
      </c>
      <c r="JU189" s="627">
        <v>0</v>
      </c>
      <c r="JV189" s="627">
        <v>0</v>
      </c>
      <c r="JW189" s="627">
        <v>0</v>
      </c>
      <c r="JX189" s="627">
        <v>0</v>
      </c>
      <c r="JY189" s="627">
        <v>0</v>
      </c>
      <c r="JZ189" s="627">
        <v>0</v>
      </c>
      <c r="KA189" s="627">
        <v>0</v>
      </c>
      <c r="KB189" s="627">
        <v>0</v>
      </c>
      <c r="KC189" s="627">
        <v>0</v>
      </c>
      <c r="KD189" s="627">
        <v>0</v>
      </c>
      <c r="KE189" s="627">
        <v>0</v>
      </c>
      <c r="KF189" s="627">
        <v>7262</v>
      </c>
      <c r="KG189" s="627">
        <v>0</v>
      </c>
      <c r="KH189" s="627">
        <v>0</v>
      </c>
      <c r="KI189" s="627">
        <v>3010927</v>
      </c>
      <c r="KJ189" s="627">
        <v>0</v>
      </c>
      <c r="KK189" s="627">
        <v>0</v>
      </c>
      <c r="KL189" s="627">
        <v>0</v>
      </c>
      <c r="KM189" s="627">
        <v>0</v>
      </c>
      <c r="KN189" s="627">
        <v>0</v>
      </c>
      <c r="KO189" s="627">
        <v>0</v>
      </c>
      <c r="KP189" s="627">
        <v>0</v>
      </c>
      <c r="KQ189" s="627">
        <v>3010927</v>
      </c>
      <c r="KR189" s="627">
        <v>0</v>
      </c>
      <c r="KS189" s="627">
        <v>0</v>
      </c>
      <c r="KT189" s="627">
        <v>0</v>
      </c>
      <c r="KU189" s="627">
        <v>0</v>
      </c>
      <c r="KV189" s="627">
        <v>0</v>
      </c>
      <c r="KW189" s="627">
        <v>0</v>
      </c>
      <c r="KX189" s="627">
        <v>0</v>
      </c>
      <c r="KY189" s="627">
        <v>0</v>
      </c>
      <c r="KZ189" s="627">
        <v>0</v>
      </c>
      <c r="LA189" s="627">
        <v>0</v>
      </c>
      <c r="LB189" s="627">
        <v>0</v>
      </c>
      <c r="LC189" s="627">
        <v>0</v>
      </c>
      <c r="LD189" s="627">
        <v>0</v>
      </c>
      <c r="LE189" s="627">
        <v>0</v>
      </c>
      <c r="LF189" s="627">
        <v>0</v>
      </c>
    </row>
  </sheetData>
  <sheetProtection algorithmName="SHA-512" hashValue="489iXDvcyKhnvFQx1/8p7qAdCkNvyKAs9OuIBCCgPd8CGgfUoq6lnVVRUVVJ8uu8Ky2JC8bl2ZD7W7F8A3rFKQ==" saltValue="ZwLvIiOfqbAaDdoxAFVfeg==" spinCount="100000" sheet="1" objects="1" scenarios="1"/>
  <sortState xmlns:xlrd2="http://schemas.microsoft.com/office/spreadsheetml/2017/richdata2" ref="A190:KN1620">
    <sortCondition descending="1" ref="ID190:ID1620"/>
  </sortState>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63CA-4677-4FAB-9BF7-F5DC0B3B755A}">
  <dimension ref="A1:KF193"/>
  <sheetViews>
    <sheetView workbookViewId="0"/>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2"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2"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658</v>
      </c>
      <c r="JC2" s="9" t="s">
        <v>659</v>
      </c>
      <c r="JD2" s="9" t="s">
        <v>660</v>
      </c>
      <c r="JE2" s="9" t="s">
        <v>661</v>
      </c>
      <c r="JF2" s="9" t="s">
        <v>662</v>
      </c>
      <c r="JG2" s="9" t="s">
        <v>663</v>
      </c>
      <c r="JH2" s="9" t="s">
        <v>664</v>
      </c>
      <c r="JI2" s="9" t="s">
        <v>665</v>
      </c>
      <c r="JJ2" s="9" t="s">
        <v>666</v>
      </c>
      <c r="JK2" s="9" t="s">
        <v>667</v>
      </c>
      <c r="JL2" s="9" t="s">
        <v>668</v>
      </c>
      <c r="JM2" s="9" t="s">
        <v>669</v>
      </c>
      <c r="JN2" s="9" t="s">
        <v>692</v>
      </c>
    </row>
    <row r="3" spans="1:292"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650</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2" ht="13" x14ac:dyDescent="0.3">
      <c r="A4" s="9">
        <v>3801</v>
      </c>
      <c r="B4" s="9">
        <v>32570</v>
      </c>
      <c r="C4" s="9">
        <v>35</v>
      </c>
      <c r="D4" s="9">
        <v>2022</v>
      </c>
      <c r="E4" s="9">
        <v>5392</v>
      </c>
      <c r="F4" s="9">
        <v>0</v>
      </c>
      <c r="G4" s="9">
        <v>987.399</v>
      </c>
      <c r="H4" s="9">
        <v>935.399</v>
      </c>
      <c r="I4" s="9">
        <v>935.399</v>
      </c>
      <c r="J4" s="9">
        <v>987.399</v>
      </c>
      <c r="K4" s="9">
        <v>0</v>
      </c>
      <c r="L4" s="9">
        <v>6554</v>
      </c>
      <c r="M4" s="9">
        <v>0</v>
      </c>
      <c r="N4" s="9">
        <v>0</v>
      </c>
      <c r="O4" s="9">
        <v>0</v>
      </c>
      <c r="P4" s="9">
        <v>973.41300000000001</v>
      </c>
      <c r="Q4" s="9">
        <v>0</v>
      </c>
      <c r="R4" s="10">
        <v>311213</v>
      </c>
      <c r="S4" s="9">
        <v>319.71300000000002</v>
      </c>
      <c r="T4" s="9">
        <v>0</v>
      </c>
      <c r="U4" s="10">
        <v>311213</v>
      </c>
      <c r="V4" s="10">
        <v>40.398000000000003</v>
      </c>
      <c r="W4" s="10">
        <v>26477</v>
      </c>
      <c r="X4" s="10">
        <v>26477</v>
      </c>
      <c r="Y4" s="9">
        <v>0</v>
      </c>
      <c r="Z4" s="9">
        <v>0</v>
      </c>
      <c r="AA4" s="9">
        <v>1</v>
      </c>
      <c r="AB4" s="9">
        <v>1</v>
      </c>
      <c r="AC4" s="9">
        <v>0</v>
      </c>
      <c r="AD4" s="9" t="s">
        <v>314</v>
      </c>
      <c r="AE4" s="9">
        <v>0</v>
      </c>
      <c r="AF4" s="9">
        <v>0</v>
      </c>
      <c r="AG4" s="9">
        <v>0</v>
      </c>
      <c r="AH4" s="9">
        <v>0</v>
      </c>
      <c r="AI4" s="9">
        <v>0</v>
      </c>
      <c r="AJ4" s="9">
        <v>5104</v>
      </c>
      <c r="AK4" s="9" t="s">
        <v>651</v>
      </c>
      <c r="AL4" s="9" t="s">
        <v>53</v>
      </c>
      <c r="AM4" s="9">
        <v>0</v>
      </c>
      <c r="AN4" s="9">
        <v>0</v>
      </c>
      <c r="AO4" s="9">
        <v>0</v>
      </c>
      <c r="AP4" s="9">
        <v>0</v>
      </c>
      <c r="AQ4" s="9">
        <v>0</v>
      </c>
      <c r="AR4" s="9">
        <v>0</v>
      </c>
      <c r="AS4" s="9">
        <v>0</v>
      </c>
      <c r="AT4" s="9">
        <v>0</v>
      </c>
      <c r="AU4" s="9">
        <v>0</v>
      </c>
      <c r="AV4" s="9">
        <v>552</v>
      </c>
      <c r="AW4" s="9">
        <v>9343570</v>
      </c>
      <c r="AX4" s="9">
        <v>9049948</v>
      </c>
      <c r="AY4" s="9">
        <v>9524235</v>
      </c>
      <c r="AZ4" s="9">
        <v>386679</v>
      </c>
      <c r="BA4" s="10">
        <v>47.083000000000006</v>
      </c>
      <c r="BB4" s="9">
        <v>38828</v>
      </c>
      <c r="BC4" s="9">
        <v>38828</v>
      </c>
      <c r="BD4" s="9">
        <v>49.370000000000005</v>
      </c>
      <c r="BE4" s="9">
        <v>0</v>
      </c>
      <c r="BF4" s="9">
        <v>7705577</v>
      </c>
      <c r="BG4" s="9">
        <v>0</v>
      </c>
      <c r="BH4" s="10">
        <v>274.423</v>
      </c>
      <c r="BI4" s="10">
        <v>75466</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218156</v>
      </c>
      <c r="CI4" s="9">
        <v>0</v>
      </c>
      <c r="CJ4" s="9">
        <v>4</v>
      </c>
      <c r="CK4" s="9">
        <v>0</v>
      </c>
      <c r="CL4" s="9">
        <v>0</v>
      </c>
      <c r="CM4" s="9">
        <v>0</v>
      </c>
      <c r="CN4" s="9">
        <v>0</v>
      </c>
      <c r="CO4" s="9">
        <v>0</v>
      </c>
      <c r="CP4" s="9">
        <v>0</v>
      </c>
      <c r="CQ4" s="9">
        <v>8.3000000000000004E-2</v>
      </c>
      <c r="CR4" s="9">
        <v>973.41300000000001</v>
      </c>
      <c r="CS4" s="9">
        <v>0</v>
      </c>
      <c r="CT4" s="9">
        <v>0</v>
      </c>
      <c r="CU4" s="9">
        <v>0</v>
      </c>
      <c r="CV4" s="9">
        <v>0</v>
      </c>
      <c r="CW4" s="9">
        <v>0</v>
      </c>
      <c r="CX4" s="9">
        <v>0</v>
      </c>
      <c r="CY4" s="9">
        <v>0</v>
      </c>
      <c r="CZ4" s="9">
        <v>0</v>
      </c>
      <c r="DA4" s="9">
        <v>1</v>
      </c>
      <c r="DB4" s="9">
        <v>6130605</v>
      </c>
      <c r="DC4" s="9">
        <v>0</v>
      </c>
      <c r="DD4" s="9">
        <v>0</v>
      </c>
      <c r="DE4" s="9">
        <v>751967</v>
      </c>
      <c r="DF4" s="9">
        <v>751967</v>
      </c>
      <c r="DG4" s="9">
        <v>573.66999999999996</v>
      </c>
      <c r="DH4" s="9">
        <v>0</v>
      </c>
      <c r="DI4" s="9">
        <v>0</v>
      </c>
      <c r="DJ4" s="9">
        <v>0</v>
      </c>
      <c r="DK4" s="9">
        <v>5392</v>
      </c>
      <c r="DL4" s="9">
        <v>0</v>
      </c>
      <c r="DM4" s="9">
        <v>670908</v>
      </c>
      <c r="DN4" s="9">
        <v>0</v>
      </c>
      <c r="DO4" s="9">
        <v>0</v>
      </c>
      <c r="DP4" s="9">
        <v>0</v>
      </c>
      <c r="DQ4" s="9">
        <v>0</v>
      </c>
      <c r="DR4" s="9">
        <v>0</v>
      </c>
      <c r="DS4" s="9">
        <v>0</v>
      </c>
      <c r="DT4" s="9">
        <v>0</v>
      </c>
      <c r="DU4" s="9">
        <v>0</v>
      </c>
      <c r="DV4" s="9">
        <v>0</v>
      </c>
      <c r="DW4" s="9">
        <v>0</v>
      </c>
      <c r="DX4" s="9">
        <v>0</v>
      </c>
      <c r="DY4" s="9">
        <v>0</v>
      </c>
      <c r="DZ4" s="9">
        <v>0</v>
      </c>
      <c r="EA4" s="9">
        <v>0</v>
      </c>
      <c r="EB4" s="9">
        <v>0</v>
      </c>
      <c r="EC4" s="9">
        <v>41.752000000000002</v>
      </c>
      <c r="ED4" s="9">
        <v>301007</v>
      </c>
      <c r="EE4" s="9">
        <v>0</v>
      </c>
      <c r="EF4" s="9">
        <v>0</v>
      </c>
      <c r="EG4" s="9">
        <v>0</v>
      </c>
      <c r="EH4" s="9">
        <v>369901</v>
      </c>
      <c r="EI4" s="9">
        <v>0</v>
      </c>
      <c r="EJ4" s="9">
        <v>0</v>
      </c>
      <c r="EK4" s="9">
        <v>17.518000000000001</v>
      </c>
      <c r="EL4" s="9">
        <v>0</v>
      </c>
      <c r="EM4" s="9">
        <v>0</v>
      </c>
      <c r="EN4" s="9">
        <v>0.77700000000000002</v>
      </c>
      <c r="EO4" s="9">
        <v>0</v>
      </c>
      <c r="EP4" s="9">
        <v>0</v>
      </c>
      <c r="EQ4" s="9">
        <v>18.295000000000002</v>
      </c>
      <c r="ER4" s="9">
        <v>0</v>
      </c>
      <c r="ES4" s="9">
        <v>56.439</v>
      </c>
      <c r="ET4" s="10">
        <v>23562</v>
      </c>
      <c r="EU4" s="9">
        <v>386679</v>
      </c>
      <c r="EV4" s="9">
        <v>0</v>
      </c>
      <c r="EW4" s="9">
        <v>0</v>
      </c>
      <c r="EX4" s="9">
        <v>0</v>
      </c>
      <c r="EY4" s="9">
        <v>0</v>
      </c>
      <c r="EZ4" s="9">
        <v>7612477</v>
      </c>
      <c r="FA4" s="9">
        <v>0</v>
      </c>
      <c r="FB4" s="10">
        <v>7999156</v>
      </c>
      <c r="FC4" s="9">
        <v>0.97327799999999998</v>
      </c>
      <c r="FD4" s="9">
        <v>0</v>
      </c>
      <c r="FE4" s="9">
        <v>1173112</v>
      </c>
      <c r="FF4" s="9">
        <v>264359</v>
      </c>
      <c r="FG4" s="9">
        <v>6.1239999999999996E-2</v>
      </c>
      <c r="FH4" s="9">
        <v>5.4803999999999999E-2</v>
      </c>
      <c r="FI4" s="9">
        <v>0</v>
      </c>
      <c r="FJ4" s="9">
        <v>0</v>
      </c>
      <c r="FK4" s="9">
        <v>1509.7650000000001</v>
      </c>
      <c r="FL4" s="9">
        <v>9654783</v>
      </c>
      <c r="FM4" s="9">
        <v>0</v>
      </c>
      <c r="FN4" s="9">
        <v>0</v>
      </c>
      <c r="FO4" s="9">
        <v>6547</v>
      </c>
      <c r="FP4" s="9">
        <v>0</v>
      </c>
      <c r="FQ4" s="9">
        <v>6547</v>
      </c>
      <c r="FR4" s="9">
        <v>6547</v>
      </c>
      <c r="FS4" s="9">
        <v>0</v>
      </c>
      <c r="FT4" s="9">
        <v>0</v>
      </c>
      <c r="FU4" s="9">
        <v>0</v>
      </c>
      <c r="FV4" s="9">
        <v>0</v>
      </c>
      <c r="FW4" s="9">
        <v>0</v>
      </c>
      <c r="FX4" s="9">
        <v>0</v>
      </c>
      <c r="FY4" s="9">
        <v>0</v>
      </c>
      <c r="FZ4" s="9">
        <v>140</v>
      </c>
      <c r="GA4" s="9">
        <v>2.7909999999999999</v>
      </c>
      <c r="GB4" s="10">
        <v>298358</v>
      </c>
      <c r="GC4" s="10">
        <v>298358</v>
      </c>
      <c r="GD4" s="10">
        <v>33.704999999999998</v>
      </c>
      <c r="GE4" s="9">
        <v>0</v>
      </c>
      <c r="GF4" s="9">
        <v>0</v>
      </c>
      <c r="GG4" s="9">
        <v>0</v>
      </c>
      <c r="GH4" s="9">
        <v>0</v>
      </c>
      <c r="GI4" s="9">
        <v>0</v>
      </c>
      <c r="GJ4" s="9">
        <v>0</v>
      </c>
      <c r="GK4" s="9">
        <v>4999</v>
      </c>
      <c r="GL4" s="9">
        <v>9474</v>
      </c>
      <c r="GM4" s="9">
        <v>0</v>
      </c>
      <c r="GN4" s="9">
        <v>0</v>
      </c>
      <c r="GO4" s="9">
        <v>0</v>
      </c>
      <c r="GP4" s="9">
        <v>9436627</v>
      </c>
      <c r="GQ4" s="9">
        <v>9436627</v>
      </c>
      <c r="GR4" s="9">
        <v>0</v>
      </c>
      <c r="GS4" s="9">
        <v>0</v>
      </c>
      <c r="GT4" s="9">
        <v>0</v>
      </c>
      <c r="GU4" s="9">
        <v>0</v>
      </c>
      <c r="GV4" s="9">
        <v>0</v>
      </c>
      <c r="GW4" s="9">
        <v>0</v>
      </c>
      <c r="GX4" s="9">
        <v>0</v>
      </c>
      <c r="GY4" s="9">
        <v>0</v>
      </c>
      <c r="GZ4" s="9">
        <v>0</v>
      </c>
      <c r="HA4" s="9">
        <v>0</v>
      </c>
      <c r="HB4" s="9">
        <v>260786259</v>
      </c>
      <c r="HC4" s="9">
        <v>5.0923999999999997E-2</v>
      </c>
      <c r="HD4" s="10">
        <v>194594</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32469</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row>
    <row r="5" spans="1:292" ht="13" x14ac:dyDescent="0.3">
      <c r="A5" s="9">
        <v>13801</v>
      </c>
      <c r="B5" s="9">
        <v>32570</v>
      </c>
      <c r="C5" s="9">
        <v>35</v>
      </c>
      <c r="D5" s="9">
        <v>2022</v>
      </c>
      <c r="E5" s="9">
        <v>5392</v>
      </c>
      <c r="F5" s="9">
        <v>0</v>
      </c>
      <c r="G5" s="9">
        <v>404.56800000000004</v>
      </c>
      <c r="H5" s="9">
        <v>395.35400000000004</v>
      </c>
      <c r="I5" s="9">
        <v>395.35400000000004</v>
      </c>
      <c r="J5" s="9">
        <v>404.56800000000004</v>
      </c>
      <c r="K5" s="9">
        <v>0</v>
      </c>
      <c r="L5" s="9">
        <v>6554</v>
      </c>
      <c r="M5" s="9">
        <v>0</v>
      </c>
      <c r="N5" s="9">
        <v>0</v>
      </c>
      <c r="O5" s="9">
        <v>0</v>
      </c>
      <c r="P5" s="9">
        <v>407.24200000000002</v>
      </c>
      <c r="Q5" s="9">
        <v>0</v>
      </c>
      <c r="R5" s="10">
        <v>130201</v>
      </c>
      <c r="S5" s="9">
        <v>319.71300000000002</v>
      </c>
      <c r="T5" s="9">
        <v>0</v>
      </c>
      <c r="U5" s="10">
        <v>130201</v>
      </c>
      <c r="V5" s="10">
        <v>6.875</v>
      </c>
      <c r="W5" s="10">
        <v>4506</v>
      </c>
      <c r="X5" s="10">
        <v>4506</v>
      </c>
      <c r="Y5" s="9">
        <v>0</v>
      </c>
      <c r="Z5" s="9">
        <v>0</v>
      </c>
      <c r="AA5" s="9">
        <v>1</v>
      </c>
      <c r="AB5" s="9">
        <v>1</v>
      </c>
      <c r="AC5" s="9">
        <v>0</v>
      </c>
      <c r="AD5" s="9" t="s">
        <v>314</v>
      </c>
      <c r="AE5" s="9">
        <v>0</v>
      </c>
      <c r="AF5" s="9">
        <v>0</v>
      </c>
      <c r="AG5" s="9">
        <v>0</v>
      </c>
      <c r="AH5" s="9">
        <v>0</v>
      </c>
      <c r="AI5" s="9">
        <v>0</v>
      </c>
      <c r="AJ5" s="9">
        <v>5104</v>
      </c>
      <c r="AK5" s="9" t="s">
        <v>651</v>
      </c>
      <c r="AL5" s="9" t="s">
        <v>54</v>
      </c>
      <c r="AM5" s="9">
        <v>0</v>
      </c>
      <c r="AN5" s="9">
        <v>0</v>
      </c>
      <c r="AO5" s="9">
        <v>0</v>
      </c>
      <c r="AP5" s="9">
        <v>0</v>
      </c>
      <c r="AQ5" s="9">
        <v>0</v>
      </c>
      <c r="AR5" s="9">
        <v>0</v>
      </c>
      <c r="AS5" s="9">
        <v>0</v>
      </c>
      <c r="AT5" s="9">
        <v>0</v>
      </c>
      <c r="AU5" s="9">
        <v>0</v>
      </c>
      <c r="AV5" s="9">
        <v>190994</v>
      </c>
      <c r="AW5" s="9">
        <v>3860022</v>
      </c>
      <c r="AX5" s="9">
        <v>3760207</v>
      </c>
      <c r="AY5" s="9">
        <v>4077512</v>
      </c>
      <c r="AZ5" s="9">
        <v>130201</v>
      </c>
      <c r="BA5" s="10">
        <v>39.167000000000002</v>
      </c>
      <c r="BB5" s="9">
        <v>15909</v>
      </c>
      <c r="BC5" s="9">
        <v>15909</v>
      </c>
      <c r="BD5" s="9">
        <v>20.228000000000002</v>
      </c>
      <c r="BE5" s="9">
        <v>0</v>
      </c>
      <c r="BF5" s="9">
        <v>3204605</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99815</v>
      </c>
      <c r="CI5" s="9">
        <v>0</v>
      </c>
      <c r="CJ5" s="9">
        <v>4</v>
      </c>
      <c r="CK5" s="9">
        <v>0</v>
      </c>
      <c r="CL5" s="9">
        <v>0</v>
      </c>
      <c r="CM5" s="9">
        <v>0</v>
      </c>
      <c r="CN5" s="9">
        <v>0</v>
      </c>
      <c r="CO5" s="9">
        <v>0</v>
      </c>
      <c r="CP5" s="9">
        <v>0</v>
      </c>
      <c r="CQ5" s="9">
        <v>2</v>
      </c>
      <c r="CR5" s="9">
        <v>407.24200000000002</v>
      </c>
      <c r="CS5" s="9">
        <v>0</v>
      </c>
      <c r="CT5" s="9">
        <v>0</v>
      </c>
      <c r="CU5" s="9">
        <v>0</v>
      </c>
      <c r="CV5" s="9">
        <v>0</v>
      </c>
      <c r="CW5" s="9">
        <v>0</v>
      </c>
      <c r="CX5" s="9">
        <v>0</v>
      </c>
      <c r="CY5" s="9">
        <v>0</v>
      </c>
      <c r="CZ5" s="9">
        <v>0</v>
      </c>
      <c r="DA5" s="9">
        <v>1</v>
      </c>
      <c r="DB5" s="9">
        <v>2591150</v>
      </c>
      <c r="DC5" s="9">
        <v>0</v>
      </c>
      <c r="DD5" s="9">
        <v>0</v>
      </c>
      <c r="DE5" s="9">
        <v>485219</v>
      </c>
      <c r="DF5" s="9">
        <v>485219</v>
      </c>
      <c r="DG5" s="9">
        <v>370.17</v>
      </c>
      <c r="DH5" s="9">
        <v>0</v>
      </c>
      <c r="DI5" s="9">
        <v>0</v>
      </c>
      <c r="DJ5" s="9">
        <v>0</v>
      </c>
      <c r="DK5" s="9">
        <v>5392</v>
      </c>
      <c r="DL5" s="9">
        <v>0</v>
      </c>
      <c r="DM5" s="9">
        <v>195807</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195807</v>
      </c>
      <c r="EI5" s="9">
        <v>0</v>
      </c>
      <c r="EJ5" s="9">
        <v>0</v>
      </c>
      <c r="EK5" s="9">
        <v>7.6310000000000002</v>
      </c>
      <c r="EL5" s="9">
        <v>0</v>
      </c>
      <c r="EM5" s="9">
        <v>0.46600000000000003</v>
      </c>
      <c r="EN5" s="9">
        <v>1.117</v>
      </c>
      <c r="EO5" s="9">
        <v>0</v>
      </c>
      <c r="EP5" s="9">
        <v>0</v>
      </c>
      <c r="EQ5" s="9">
        <v>9.2140000000000004</v>
      </c>
      <c r="ER5" s="9">
        <v>0</v>
      </c>
      <c r="ES5" s="9">
        <v>29.876000000000001</v>
      </c>
      <c r="ET5" s="10">
        <v>20084</v>
      </c>
      <c r="EU5" s="9">
        <v>130201</v>
      </c>
      <c r="EV5" s="9">
        <v>0</v>
      </c>
      <c r="EW5" s="9">
        <v>0</v>
      </c>
      <c r="EX5" s="9">
        <v>0</v>
      </c>
      <c r="EY5" s="9">
        <v>0</v>
      </c>
      <c r="EZ5" s="9">
        <v>3162390</v>
      </c>
      <c r="FA5" s="9">
        <v>0</v>
      </c>
      <c r="FB5" s="10">
        <v>3292591</v>
      </c>
      <c r="FC5" s="9">
        <v>0.97327799999999998</v>
      </c>
      <c r="FD5" s="9">
        <v>0</v>
      </c>
      <c r="FE5" s="9">
        <v>487875</v>
      </c>
      <c r="FF5" s="9">
        <v>109942</v>
      </c>
      <c r="FG5" s="9">
        <v>6.1239999999999996E-2</v>
      </c>
      <c r="FH5" s="9">
        <v>5.4803999999999999E-2</v>
      </c>
      <c r="FI5" s="9">
        <v>0</v>
      </c>
      <c r="FJ5" s="9">
        <v>0</v>
      </c>
      <c r="FK5" s="9">
        <v>627.88300000000004</v>
      </c>
      <c r="FL5" s="9">
        <v>3990223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3890408</v>
      </c>
      <c r="GQ5" s="9">
        <v>3890408</v>
      </c>
      <c r="GR5" s="9">
        <v>0</v>
      </c>
      <c r="GS5" s="9">
        <v>0</v>
      </c>
      <c r="GT5" s="9">
        <v>0</v>
      </c>
      <c r="GU5" s="9">
        <v>0</v>
      </c>
      <c r="GV5" s="9">
        <v>0</v>
      </c>
      <c r="GW5" s="9">
        <v>0</v>
      </c>
      <c r="GX5" s="9">
        <v>0</v>
      </c>
      <c r="GY5" s="9">
        <v>0</v>
      </c>
      <c r="GZ5" s="9">
        <v>0</v>
      </c>
      <c r="HA5" s="9">
        <v>0</v>
      </c>
      <c r="HB5" s="9">
        <v>260786259</v>
      </c>
      <c r="HC5" s="9">
        <v>5.0923999999999997E-2</v>
      </c>
      <c r="HD5" s="10">
        <v>79731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32469</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row>
    <row r="6" spans="1:292" ht="13" x14ac:dyDescent="0.3">
      <c r="A6" s="9">
        <v>14801</v>
      </c>
      <c r="B6" s="9">
        <v>32570</v>
      </c>
      <c r="C6" s="9">
        <v>35</v>
      </c>
      <c r="D6" s="9">
        <v>2022</v>
      </c>
      <c r="E6" s="9">
        <v>5392</v>
      </c>
      <c r="F6" s="9">
        <v>0</v>
      </c>
      <c r="G6" s="9">
        <v>1537.7640000000001</v>
      </c>
      <c r="H6" s="9">
        <v>1369.6410000000001</v>
      </c>
      <c r="I6" s="9">
        <v>1369.6410000000001</v>
      </c>
      <c r="J6" s="9">
        <v>1537.7640000000001</v>
      </c>
      <c r="K6" s="9">
        <v>0</v>
      </c>
      <c r="L6" s="9">
        <v>6554</v>
      </c>
      <c r="M6" s="9">
        <v>0</v>
      </c>
      <c r="N6" s="9">
        <v>0</v>
      </c>
      <c r="O6" s="9">
        <v>0</v>
      </c>
      <c r="P6" s="9">
        <v>1568.856</v>
      </c>
      <c r="Q6" s="9">
        <v>0</v>
      </c>
      <c r="R6" s="10">
        <v>501584</v>
      </c>
      <c r="S6" s="9">
        <v>319.71300000000002</v>
      </c>
      <c r="T6" s="9">
        <v>0</v>
      </c>
      <c r="U6" s="10">
        <v>501584</v>
      </c>
      <c r="V6" s="10">
        <v>109.599</v>
      </c>
      <c r="W6" s="10">
        <v>71831</v>
      </c>
      <c r="X6" s="10">
        <v>71831</v>
      </c>
      <c r="Y6" s="9">
        <v>0</v>
      </c>
      <c r="Z6" s="9">
        <v>0</v>
      </c>
      <c r="AA6" s="9">
        <v>1</v>
      </c>
      <c r="AB6" s="9">
        <v>1</v>
      </c>
      <c r="AC6" s="9">
        <v>0</v>
      </c>
      <c r="AD6" s="9" t="s">
        <v>314</v>
      </c>
      <c r="AE6" s="9">
        <v>0</v>
      </c>
      <c r="AF6" s="9">
        <v>0</v>
      </c>
      <c r="AG6" s="9">
        <v>0</v>
      </c>
      <c r="AH6" s="9">
        <v>0</v>
      </c>
      <c r="AI6" s="9">
        <v>0</v>
      </c>
      <c r="AJ6" s="9">
        <v>5104</v>
      </c>
      <c r="AK6" s="9" t="s">
        <v>651</v>
      </c>
      <c r="AL6" s="9" t="s">
        <v>35</v>
      </c>
      <c r="AM6" s="9">
        <v>0</v>
      </c>
      <c r="AN6" s="9">
        <v>0</v>
      </c>
      <c r="AO6" s="9">
        <v>0</v>
      </c>
      <c r="AP6" s="9">
        <v>0</v>
      </c>
      <c r="AQ6" s="9">
        <v>0</v>
      </c>
      <c r="AR6" s="9">
        <v>0</v>
      </c>
      <c r="AS6" s="9">
        <v>0</v>
      </c>
      <c r="AT6" s="9">
        <v>0</v>
      </c>
      <c r="AU6" s="9">
        <v>0</v>
      </c>
      <c r="AV6" s="9">
        <v>63778</v>
      </c>
      <c r="AW6" s="9">
        <v>17048276</v>
      </c>
      <c r="AX6" s="9">
        <v>16322340</v>
      </c>
      <c r="AY6" s="9">
        <v>17247999</v>
      </c>
      <c r="AZ6" s="9">
        <v>924461</v>
      </c>
      <c r="BA6" s="10">
        <v>0</v>
      </c>
      <c r="BB6" s="9">
        <v>0</v>
      </c>
      <c r="BC6" s="9">
        <v>0</v>
      </c>
      <c r="BD6" s="9">
        <v>0</v>
      </c>
      <c r="BE6" s="9">
        <v>0</v>
      </c>
      <c r="BF6" s="9">
        <v>13858193</v>
      </c>
      <c r="BG6" s="9">
        <v>0</v>
      </c>
      <c r="BH6" s="10">
        <v>1537.7340000000002</v>
      </c>
      <c r="BI6" s="10">
        <v>422877</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0</v>
      </c>
      <c r="CB6" s="9">
        <v>0</v>
      </c>
      <c r="CC6" s="9">
        <v>0</v>
      </c>
      <c r="CD6" s="9">
        <v>0</v>
      </c>
      <c r="CE6" s="9">
        <v>0</v>
      </c>
      <c r="CF6" s="9">
        <v>0</v>
      </c>
      <c r="CG6" s="9">
        <v>0</v>
      </c>
      <c r="CH6" s="10">
        <v>303059</v>
      </c>
      <c r="CI6" s="9">
        <v>0</v>
      </c>
      <c r="CJ6" s="9">
        <v>4</v>
      </c>
      <c r="CK6" s="9">
        <v>0</v>
      </c>
      <c r="CL6" s="9">
        <v>0</v>
      </c>
      <c r="CM6" s="9">
        <v>0</v>
      </c>
      <c r="CN6" s="9">
        <v>0</v>
      </c>
      <c r="CO6" s="9">
        <v>0</v>
      </c>
      <c r="CP6" s="9">
        <v>8.5650000000000013</v>
      </c>
      <c r="CQ6" s="9">
        <v>0</v>
      </c>
      <c r="CR6" s="9">
        <v>1568.856</v>
      </c>
      <c r="CS6" s="9">
        <v>0</v>
      </c>
      <c r="CT6" s="9">
        <v>0</v>
      </c>
      <c r="CU6" s="9">
        <v>0</v>
      </c>
      <c r="CV6" s="9">
        <v>0</v>
      </c>
      <c r="CW6" s="9">
        <v>0</v>
      </c>
      <c r="CX6" s="9">
        <v>0</v>
      </c>
      <c r="CY6" s="9">
        <v>0</v>
      </c>
      <c r="CZ6" s="9">
        <v>0</v>
      </c>
      <c r="DA6" s="9">
        <v>1</v>
      </c>
      <c r="DB6" s="9">
        <v>8976627</v>
      </c>
      <c r="DC6" s="9">
        <v>0</v>
      </c>
      <c r="DD6" s="9">
        <v>0</v>
      </c>
      <c r="DE6" s="9">
        <v>2263319</v>
      </c>
      <c r="DF6" s="9">
        <v>2398604</v>
      </c>
      <c r="DG6" s="9">
        <v>1726.67</v>
      </c>
      <c r="DH6" s="9">
        <v>0</v>
      </c>
      <c r="DI6" s="9">
        <v>135285</v>
      </c>
      <c r="DJ6" s="9">
        <v>0</v>
      </c>
      <c r="DK6" s="9">
        <v>5392</v>
      </c>
      <c r="DL6" s="9">
        <v>0</v>
      </c>
      <c r="DM6" s="9">
        <v>1437075</v>
      </c>
      <c r="DN6" s="9">
        <v>0</v>
      </c>
      <c r="DO6" s="9">
        <v>0</v>
      </c>
      <c r="DP6" s="9">
        <v>0</v>
      </c>
      <c r="DQ6" s="9">
        <v>0</v>
      </c>
      <c r="DR6" s="9">
        <v>0</v>
      </c>
      <c r="DS6" s="9">
        <v>0</v>
      </c>
      <c r="DT6" s="9">
        <v>0</v>
      </c>
      <c r="DU6" s="9">
        <v>0</v>
      </c>
      <c r="DV6" s="9">
        <v>0</v>
      </c>
      <c r="DW6" s="9">
        <v>0</v>
      </c>
      <c r="DX6" s="9">
        <v>0</v>
      </c>
      <c r="DY6" s="9">
        <v>0</v>
      </c>
      <c r="DZ6" s="9">
        <v>0</v>
      </c>
      <c r="EA6" s="9">
        <v>0</v>
      </c>
      <c r="EB6" s="9">
        <v>0</v>
      </c>
      <c r="EC6" s="9">
        <v>157.768</v>
      </c>
      <c r="ED6" s="9">
        <v>1137413</v>
      </c>
      <c r="EE6" s="9">
        <v>0</v>
      </c>
      <c r="EF6" s="9">
        <v>0</v>
      </c>
      <c r="EG6" s="9">
        <v>0</v>
      </c>
      <c r="EH6" s="9">
        <v>299662</v>
      </c>
      <c r="EI6" s="9">
        <v>0</v>
      </c>
      <c r="EJ6" s="9">
        <v>0</v>
      </c>
      <c r="EK6" s="9">
        <v>14.719000000000001</v>
      </c>
      <c r="EL6" s="9">
        <v>0</v>
      </c>
      <c r="EM6" s="9">
        <v>0</v>
      </c>
      <c r="EN6" s="9">
        <v>0.313</v>
      </c>
      <c r="EO6" s="9">
        <v>0</v>
      </c>
      <c r="EP6" s="9">
        <v>0</v>
      </c>
      <c r="EQ6" s="9">
        <v>15.032</v>
      </c>
      <c r="ER6" s="9">
        <v>0</v>
      </c>
      <c r="ES6" s="9">
        <v>45.722000000000001</v>
      </c>
      <c r="ET6" s="10">
        <v>0</v>
      </c>
      <c r="EU6" s="9">
        <v>924461</v>
      </c>
      <c r="EV6" s="9">
        <v>0</v>
      </c>
      <c r="EW6" s="9">
        <v>0</v>
      </c>
      <c r="EX6" s="9">
        <v>0</v>
      </c>
      <c r="EY6" s="9">
        <v>0</v>
      </c>
      <c r="EZ6" s="9">
        <v>13737102</v>
      </c>
      <c r="FA6" s="9">
        <v>0</v>
      </c>
      <c r="FB6" s="10">
        <v>14661563</v>
      </c>
      <c r="FC6" s="9">
        <v>0.97327799999999998</v>
      </c>
      <c r="FD6" s="9">
        <v>0</v>
      </c>
      <c r="FE6" s="9">
        <v>2109798</v>
      </c>
      <c r="FF6" s="9">
        <v>475440</v>
      </c>
      <c r="FG6" s="9">
        <v>6.1239999999999996E-2</v>
      </c>
      <c r="FH6" s="9">
        <v>5.4803999999999999E-2</v>
      </c>
      <c r="FI6" s="9">
        <v>0</v>
      </c>
      <c r="FJ6" s="9">
        <v>0</v>
      </c>
      <c r="FK6" s="9">
        <v>2715.2560000000003</v>
      </c>
      <c r="FL6" s="9">
        <v>17549860</v>
      </c>
      <c r="FM6" s="9">
        <v>0</v>
      </c>
      <c r="FN6" s="9">
        <v>0</v>
      </c>
      <c r="FO6" s="9">
        <v>0</v>
      </c>
      <c r="FP6" s="9">
        <v>0</v>
      </c>
      <c r="FQ6" s="9">
        <v>0</v>
      </c>
      <c r="FR6" s="9">
        <v>0</v>
      </c>
      <c r="FS6" s="9">
        <v>0</v>
      </c>
      <c r="FT6" s="9">
        <v>0</v>
      </c>
      <c r="FU6" s="9">
        <v>0</v>
      </c>
      <c r="FV6" s="9">
        <v>0</v>
      </c>
      <c r="FW6" s="9">
        <v>0</v>
      </c>
      <c r="FX6" s="9">
        <v>0</v>
      </c>
      <c r="FY6" s="9">
        <v>0</v>
      </c>
      <c r="FZ6" s="9">
        <v>15</v>
      </c>
      <c r="GA6" s="9">
        <v>0.309</v>
      </c>
      <c r="GB6" s="10">
        <v>1354549</v>
      </c>
      <c r="GC6" s="10">
        <v>1354549</v>
      </c>
      <c r="GD6" s="10">
        <v>153.09100000000001</v>
      </c>
      <c r="GE6" s="9">
        <v>0</v>
      </c>
      <c r="GF6" s="9">
        <v>0</v>
      </c>
      <c r="GG6" s="9">
        <v>0</v>
      </c>
      <c r="GH6" s="9">
        <v>0</v>
      </c>
      <c r="GI6" s="9">
        <v>0</v>
      </c>
      <c r="GJ6" s="9">
        <v>0</v>
      </c>
      <c r="GK6" s="9">
        <v>5111</v>
      </c>
      <c r="GL6" s="9">
        <v>5764</v>
      </c>
      <c r="GM6" s="9">
        <v>0</v>
      </c>
      <c r="GN6" s="9">
        <v>0</v>
      </c>
      <c r="GO6" s="9">
        <v>0</v>
      </c>
      <c r="GP6" s="9">
        <v>17246801</v>
      </c>
      <c r="GQ6" s="9">
        <v>17246801</v>
      </c>
      <c r="GR6" s="9">
        <v>0</v>
      </c>
      <c r="GS6" s="9">
        <v>0</v>
      </c>
      <c r="GT6" s="9">
        <v>0</v>
      </c>
      <c r="GU6" s="9">
        <v>0</v>
      </c>
      <c r="GV6" s="9">
        <v>0</v>
      </c>
      <c r="GW6" s="9">
        <v>0</v>
      </c>
      <c r="GX6" s="9">
        <v>0</v>
      </c>
      <c r="GY6" s="9">
        <v>0</v>
      </c>
      <c r="GZ6" s="9">
        <v>0</v>
      </c>
      <c r="HA6" s="9">
        <v>0</v>
      </c>
      <c r="HB6" s="9">
        <v>260786259</v>
      </c>
      <c r="HC6" s="9">
        <v>5.0923999999999997E-2</v>
      </c>
      <c r="HD6" s="10">
        <v>303059</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32469</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row>
    <row r="7" spans="1:292" x14ac:dyDescent="0.25">
      <c r="A7" s="9">
        <v>14803</v>
      </c>
      <c r="B7" s="9">
        <v>32570</v>
      </c>
      <c r="C7" s="9">
        <v>35</v>
      </c>
      <c r="D7" s="9">
        <v>2022</v>
      </c>
      <c r="E7" s="9">
        <v>5392</v>
      </c>
      <c r="F7" s="9">
        <v>0</v>
      </c>
      <c r="G7" s="9">
        <v>706.88600000000008</v>
      </c>
      <c r="H7" s="9">
        <v>648.16700000000003</v>
      </c>
      <c r="I7" s="9">
        <v>648.16700000000003</v>
      </c>
      <c r="J7" s="9">
        <v>706.88600000000008</v>
      </c>
      <c r="K7" s="9">
        <v>0</v>
      </c>
      <c r="L7" s="9">
        <v>6554</v>
      </c>
      <c r="M7" s="9">
        <v>0</v>
      </c>
      <c r="N7" s="9">
        <v>0</v>
      </c>
      <c r="O7" s="9">
        <v>0</v>
      </c>
      <c r="P7" s="9">
        <v>693.79899999999998</v>
      </c>
      <c r="Q7" s="9">
        <v>0</v>
      </c>
      <c r="R7" s="9">
        <v>221817</v>
      </c>
      <c r="S7" s="9">
        <v>319.71300000000002</v>
      </c>
      <c r="T7" s="9">
        <v>0</v>
      </c>
      <c r="U7" s="9">
        <v>221817</v>
      </c>
      <c r="V7" s="9">
        <v>30.66</v>
      </c>
      <c r="W7" s="9">
        <v>20095</v>
      </c>
      <c r="X7" s="9">
        <v>20095</v>
      </c>
      <c r="Y7" s="9">
        <v>0</v>
      </c>
      <c r="Z7" s="9">
        <v>0</v>
      </c>
      <c r="AA7" s="9">
        <v>1</v>
      </c>
      <c r="AB7" s="9">
        <v>1</v>
      </c>
      <c r="AC7" s="9">
        <v>0</v>
      </c>
      <c r="AD7" s="9" t="s">
        <v>314</v>
      </c>
      <c r="AE7" s="9">
        <v>0</v>
      </c>
      <c r="AF7" s="9">
        <v>0</v>
      </c>
      <c r="AG7" s="9">
        <v>0</v>
      </c>
      <c r="AH7" s="9">
        <v>0</v>
      </c>
      <c r="AI7" s="9">
        <v>0</v>
      </c>
      <c r="AJ7" s="9">
        <v>5104</v>
      </c>
      <c r="AK7" s="9" t="s">
        <v>651</v>
      </c>
      <c r="AL7" s="9" t="s">
        <v>315</v>
      </c>
      <c r="AM7" s="9">
        <v>0</v>
      </c>
      <c r="AN7" s="9">
        <v>0</v>
      </c>
      <c r="AO7" s="9">
        <v>0</v>
      </c>
      <c r="AP7" s="9">
        <v>0</v>
      </c>
      <c r="AQ7" s="9">
        <v>0</v>
      </c>
      <c r="AR7" s="9">
        <v>0</v>
      </c>
      <c r="AS7" s="9">
        <v>0</v>
      </c>
      <c r="AT7" s="9">
        <v>0</v>
      </c>
      <c r="AU7" s="9">
        <v>0</v>
      </c>
      <c r="AV7" s="9">
        <v>220203</v>
      </c>
      <c r="AW7" s="9">
        <v>6887346</v>
      </c>
      <c r="AX7" s="9">
        <v>6701146</v>
      </c>
      <c r="AY7" s="9">
        <v>7213900</v>
      </c>
      <c r="AZ7" s="9">
        <v>251206</v>
      </c>
      <c r="BA7" s="9">
        <v>34.5</v>
      </c>
      <c r="BB7" s="9">
        <v>27798</v>
      </c>
      <c r="BC7" s="9">
        <v>27798</v>
      </c>
      <c r="BD7" s="9">
        <v>35.344000000000001</v>
      </c>
      <c r="BE7" s="9">
        <v>0</v>
      </c>
      <c r="BF7" s="9">
        <v>5655032</v>
      </c>
      <c r="BG7" s="9">
        <v>0</v>
      </c>
      <c r="BH7" s="9">
        <v>106.86800000000001</v>
      </c>
      <c r="BI7" s="9">
        <v>29389</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156811</v>
      </c>
      <c r="CI7" s="9">
        <v>0</v>
      </c>
      <c r="CJ7" s="9">
        <v>5</v>
      </c>
      <c r="CK7" s="9">
        <v>0</v>
      </c>
      <c r="CL7" s="9">
        <v>0</v>
      </c>
      <c r="CM7" s="9">
        <v>0</v>
      </c>
      <c r="CN7" s="9">
        <v>0</v>
      </c>
      <c r="CO7" s="9">
        <v>0</v>
      </c>
      <c r="CP7" s="9">
        <v>0</v>
      </c>
      <c r="CQ7" s="9">
        <v>1</v>
      </c>
      <c r="CR7" s="9">
        <v>693.79899999999998</v>
      </c>
      <c r="CS7" s="9">
        <v>0</v>
      </c>
      <c r="CT7" s="9">
        <v>0</v>
      </c>
      <c r="CU7" s="9">
        <v>0</v>
      </c>
      <c r="CV7" s="9">
        <v>0</v>
      </c>
      <c r="CW7" s="9">
        <v>0</v>
      </c>
      <c r="CX7" s="9">
        <v>0</v>
      </c>
      <c r="CY7" s="9">
        <v>0</v>
      </c>
      <c r="CZ7" s="9">
        <v>0</v>
      </c>
      <c r="DA7" s="9">
        <v>1</v>
      </c>
      <c r="DB7" s="9">
        <v>4248087</v>
      </c>
      <c r="DC7" s="9">
        <v>0</v>
      </c>
      <c r="DD7" s="9">
        <v>0</v>
      </c>
      <c r="DE7" s="9">
        <v>550759</v>
      </c>
      <c r="DF7" s="9">
        <v>550759</v>
      </c>
      <c r="DG7" s="9">
        <v>420.17</v>
      </c>
      <c r="DH7" s="9">
        <v>0</v>
      </c>
      <c r="DI7" s="9">
        <v>0</v>
      </c>
      <c r="DJ7" s="9">
        <v>0</v>
      </c>
      <c r="DK7" s="9">
        <v>5392</v>
      </c>
      <c r="DL7" s="9">
        <v>0</v>
      </c>
      <c r="DM7" s="9">
        <v>715657</v>
      </c>
      <c r="DN7" s="9">
        <v>0</v>
      </c>
      <c r="DO7" s="9">
        <v>1666</v>
      </c>
      <c r="DP7" s="9">
        <v>0</v>
      </c>
      <c r="DQ7" s="9">
        <v>0</v>
      </c>
      <c r="DR7" s="9">
        <v>0</v>
      </c>
      <c r="DS7" s="9">
        <v>0</v>
      </c>
      <c r="DT7" s="9">
        <v>0.113</v>
      </c>
      <c r="DU7" s="9">
        <v>0</v>
      </c>
      <c r="DV7" s="9">
        <v>0</v>
      </c>
      <c r="DW7" s="9">
        <v>0</v>
      </c>
      <c r="DX7" s="9">
        <v>0</v>
      </c>
      <c r="DY7" s="9">
        <v>0</v>
      </c>
      <c r="DZ7" s="9">
        <v>0.33900000000000002</v>
      </c>
      <c r="EA7" s="9">
        <v>0</v>
      </c>
      <c r="EB7" s="9">
        <v>0</v>
      </c>
      <c r="EC7" s="9">
        <v>12.637</v>
      </c>
      <c r="ED7" s="9">
        <v>91105</v>
      </c>
      <c r="EE7" s="9">
        <v>0</v>
      </c>
      <c r="EF7" s="9">
        <v>0</v>
      </c>
      <c r="EG7" s="9">
        <v>0</v>
      </c>
      <c r="EH7" s="9">
        <v>622886</v>
      </c>
      <c r="EI7" s="9">
        <v>0</v>
      </c>
      <c r="EJ7" s="9">
        <v>0</v>
      </c>
      <c r="EK7" s="9">
        <v>29.268000000000001</v>
      </c>
      <c r="EL7" s="9">
        <v>0</v>
      </c>
      <c r="EM7" s="9">
        <v>0</v>
      </c>
      <c r="EN7" s="9">
        <v>1.4470000000000001</v>
      </c>
      <c r="EO7" s="9">
        <v>0</v>
      </c>
      <c r="EP7" s="9">
        <v>0</v>
      </c>
      <c r="EQ7" s="9">
        <v>30.715</v>
      </c>
      <c r="ER7" s="9">
        <v>0</v>
      </c>
      <c r="ES7" s="9">
        <v>95.039000000000001</v>
      </c>
      <c r="ET7" s="9">
        <v>17500</v>
      </c>
      <c r="EU7" s="9">
        <v>251206</v>
      </c>
      <c r="EV7" s="9">
        <v>0</v>
      </c>
      <c r="EW7" s="9">
        <v>0</v>
      </c>
      <c r="EX7" s="9">
        <v>0</v>
      </c>
      <c r="EY7" s="9">
        <v>0</v>
      </c>
      <c r="EZ7" s="9">
        <v>5646203</v>
      </c>
      <c r="FA7" s="9">
        <v>0</v>
      </c>
      <c r="FB7" s="9">
        <v>5897409</v>
      </c>
      <c r="FC7" s="9">
        <v>0.97327799999999998</v>
      </c>
      <c r="FD7" s="9">
        <v>0</v>
      </c>
      <c r="FE7" s="9">
        <v>860933</v>
      </c>
      <c r="FF7" s="9">
        <v>194010</v>
      </c>
      <c r="FG7" s="9">
        <v>6.1239999999999996E-2</v>
      </c>
      <c r="FH7" s="9">
        <v>5.4803999999999999E-2</v>
      </c>
      <c r="FI7" s="9">
        <v>0</v>
      </c>
      <c r="FJ7" s="9">
        <v>0</v>
      </c>
      <c r="FK7" s="9">
        <v>1107.999</v>
      </c>
      <c r="FL7" s="9">
        <v>7109163</v>
      </c>
      <c r="FM7" s="9">
        <v>0</v>
      </c>
      <c r="FN7" s="9">
        <v>0</v>
      </c>
      <c r="FO7" s="9">
        <v>47558</v>
      </c>
      <c r="FP7" s="9">
        <v>0</v>
      </c>
      <c r="FQ7" s="9">
        <v>57722</v>
      </c>
      <c r="FR7" s="9">
        <v>47558</v>
      </c>
      <c r="FS7" s="9">
        <v>10164</v>
      </c>
      <c r="FT7" s="9">
        <v>0</v>
      </c>
      <c r="FU7" s="9">
        <v>0</v>
      </c>
      <c r="FV7" s="9">
        <v>0</v>
      </c>
      <c r="FW7" s="9">
        <v>0</v>
      </c>
      <c r="FX7" s="9">
        <v>0</v>
      </c>
      <c r="FY7" s="9">
        <v>0</v>
      </c>
      <c r="FZ7" s="9">
        <v>125</v>
      </c>
      <c r="GA7" s="9">
        <v>2.4990000000000001</v>
      </c>
      <c r="GB7" s="9">
        <v>247902</v>
      </c>
      <c r="GC7" s="9">
        <v>247902</v>
      </c>
      <c r="GD7" s="9">
        <v>28.004000000000001</v>
      </c>
      <c r="GE7" s="9">
        <v>0</v>
      </c>
      <c r="GF7" s="9">
        <v>0</v>
      </c>
      <c r="GG7" s="9">
        <v>0</v>
      </c>
      <c r="GH7" s="9">
        <v>0</v>
      </c>
      <c r="GI7" s="9">
        <v>0</v>
      </c>
      <c r="GJ7" s="9">
        <v>0</v>
      </c>
      <c r="GK7" s="9">
        <v>5042</v>
      </c>
      <c r="GL7" s="9">
        <v>5162</v>
      </c>
      <c r="GM7" s="9">
        <v>0</v>
      </c>
      <c r="GN7" s="9">
        <v>0</v>
      </c>
      <c r="GO7" s="9">
        <v>0</v>
      </c>
      <c r="GP7" s="9">
        <v>6952352</v>
      </c>
      <c r="GQ7" s="9">
        <v>6952352</v>
      </c>
      <c r="GR7" s="9">
        <v>0</v>
      </c>
      <c r="GS7" s="9">
        <v>0</v>
      </c>
      <c r="GT7" s="9">
        <v>0</v>
      </c>
      <c r="GU7" s="9">
        <v>0</v>
      </c>
      <c r="GV7" s="9">
        <v>0</v>
      </c>
      <c r="GW7" s="9">
        <v>0</v>
      </c>
      <c r="GX7" s="9">
        <v>0</v>
      </c>
      <c r="GY7" s="9">
        <v>0</v>
      </c>
      <c r="GZ7" s="9">
        <v>0</v>
      </c>
      <c r="HA7" s="9">
        <v>0</v>
      </c>
      <c r="HB7" s="9">
        <v>260786259</v>
      </c>
      <c r="HC7" s="9">
        <v>5.0923999999999997E-2</v>
      </c>
      <c r="HD7" s="9">
        <v>139311</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32469</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row>
    <row r="8" spans="1:292" x14ac:dyDescent="0.25">
      <c r="A8" s="9">
        <v>14804</v>
      </c>
      <c r="B8" s="9">
        <v>32570</v>
      </c>
      <c r="C8" s="9">
        <v>35</v>
      </c>
      <c r="D8" s="9">
        <v>2022</v>
      </c>
      <c r="E8" s="9">
        <v>5392</v>
      </c>
      <c r="F8" s="9">
        <v>0</v>
      </c>
      <c r="G8" s="9">
        <v>1737.817</v>
      </c>
      <c r="H8" s="9">
        <v>1615.2640000000001</v>
      </c>
      <c r="I8" s="9">
        <v>1615.2640000000001</v>
      </c>
      <c r="J8" s="9">
        <v>1737.817</v>
      </c>
      <c r="K8" s="9">
        <v>0</v>
      </c>
      <c r="L8" s="9">
        <v>6554</v>
      </c>
      <c r="M8" s="9">
        <v>0</v>
      </c>
      <c r="N8" s="9">
        <v>0</v>
      </c>
      <c r="O8" s="9">
        <v>0</v>
      </c>
      <c r="P8" s="9">
        <v>1657.922</v>
      </c>
      <c r="Q8" s="9">
        <v>0</v>
      </c>
      <c r="R8" s="9">
        <v>530059</v>
      </c>
      <c r="S8" s="9">
        <v>319.71300000000002</v>
      </c>
      <c r="T8" s="9">
        <v>0</v>
      </c>
      <c r="U8" s="9">
        <v>530059</v>
      </c>
      <c r="V8" s="9">
        <v>17.423999999999999</v>
      </c>
      <c r="W8" s="9">
        <v>11420</v>
      </c>
      <c r="X8" s="9">
        <v>11420</v>
      </c>
      <c r="Y8" s="9">
        <v>0</v>
      </c>
      <c r="Z8" s="9">
        <v>0</v>
      </c>
      <c r="AA8" s="9">
        <v>1</v>
      </c>
      <c r="AB8" s="9">
        <v>1</v>
      </c>
      <c r="AC8" s="9">
        <v>0</v>
      </c>
      <c r="AD8" s="9" t="s">
        <v>314</v>
      </c>
      <c r="AE8" s="9">
        <v>0</v>
      </c>
      <c r="AF8" s="9">
        <v>0</v>
      </c>
      <c r="AG8" s="9">
        <v>0</v>
      </c>
      <c r="AH8" s="9">
        <v>0</v>
      </c>
      <c r="AI8" s="9">
        <v>0</v>
      </c>
      <c r="AJ8" s="9">
        <v>5104</v>
      </c>
      <c r="AK8" s="9" t="s">
        <v>651</v>
      </c>
      <c r="AL8" s="11" t="s">
        <v>1</v>
      </c>
      <c r="AM8" s="9">
        <v>0</v>
      </c>
      <c r="AN8" s="9">
        <v>0</v>
      </c>
      <c r="AO8" s="9">
        <v>0</v>
      </c>
      <c r="AP8" s="9">
        <v>0</v>
      </c>
      <c r="AQ8" s="9">
        <v>0</v>
      </c>
      <c r="AR8" s="9">
        <v>0</v>
      </c>
      <c r="AS8" s="9">
        <v>0</v>
      </c>
      <c r="AT8" s="9">
        <v>0</v>
      </c>
      <c r="AU8" s="9">
        <v>0</v>
      </c>
      <c r="AV8" s="9">
        <v>208498</v>
      </c>
      <c r="AW8" s="9">
        <v>15745168</v>
      </c>
      <c r="AX8" s="9">
        <v>15263149</v>
      </c>
      <c r="AY8" s="9">
        <v>16242743</v>
      </c>
      <c r="AZ8" s="9">
        <v>648906</v>
      </c>
      <c r="BA8" s="9">
        <v>36.332999999999998</v>
      </c>
      <c r="BB8" s="9">
        <v>0</v>
      </c>
      <c r="BC8" s="9">
        <v>0</v>
      </c>
      <c r="BD8" s="9">
        <v>0</v>
      </c>
      <c r="BE8" s="9">
        <v>0</v>
      </c>
      <c r="BF8" s="9">
        <v>13009172</v>
      </c>
      <c r="BG8" s="9">
        <v>0</v>
      </c>
      <c r="BH8" s="9">
        <v>432.17200000000003</v>
      </c>
      <c r="BI8" s="9">
        <v>118847</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363172</v>
      </c>
      <c r="CI8" s="9">
        <v>0</v>
      </c>
      <c r="CJ8" s="9">
        <v>4</v>
      </c>
      <c r="CK8" s="9">
        <v>0</v>
      </c>
      <c r="CL8" s="9">
        <v>0</v>
      </c>
      <c r="CM8" s="9">
        <v>0</v>
      </c>
      <c r="CN8" s="9">
        <v>0</v>
      </c>
      <c r="CO8" s="9">
        <v>0</v>
      </c>
      <c r="CP8" s="9">
        <v>0</v>
      </c>
      <c r="CQ8" s="9">
        <v>10.083</v>
      </c>
      <c r="CR8" s="9">
        <v>1657.922</v>
      </c>
      <c r="CS8" s="9">
        <v>0</v>
      </c>
      <c r="CT8" s="9">
        <v>0</v>
      </c>
      <c r="CU8" s="9">
        <v>0</v>
      </c>
      <c r="CV8" s="9">
        <v>0</v>
      </c>
      <c r="CW8" s="9">
        <v>0</v>
      </c>
      <c r="CX8" s="9">
        <v>0</v>
      </c>
      <c r="CY8" s="9">
        <v>0</v>
      </c>
      <c r="CZ8" s="9">
        <v>0</v>
      </c>
      <c r="DA8" s="9">
        <v>1</v>
      </c>
      <c r="DB8" s="9">
        <v>10586440</v>
      </c>
      <c r="DC8" s="9">
        <v>0</v>
      </c>
      <c r="DD8" s="9">
        <v>0</v>
      </c>
      <c r="DE8" s="9">
        <v>359159</v>
      </c>
      <c r="DF8" s="9">
        <v>359159</v>
      </c>
      <c r="DG8" s="9">
        <v>274</v>
      </c>
      <c r="DH8" s="9">
        <v>0</v>
      </c>
      <c r="DI8" s="9">
        <v>0</v>
      </c>
      <c r="DJ8" s="9">
        <v>0</v>
      </c>
      <c r="DK8" s="9">
        <v>5392</v>
      </c>
      <c r="DL8" s="9">
        <v>0</v>
      </c>
      <c r="DM8" s="9">
        <v>2058837</v>
      </c>
      <c r="DN8" s="9">
        <v>0</v>
      </c>
      <c r="DO8" s="9">
        <v>0</v>
      </c>
      <c r="DP8" s="9">
        <v>0</v>
      </c>
      <c r="DQ8" s="9">
        <v>0</v>
      </c>
      <c r="DR8" s="9">
        <v>0</v>
      </c>
      <c r="DS8" s="9">
        <v>0</v>
      </c>
      <c r="DT8" s="9">
        <v>0</v>
      </c>
      <c r="DU8" s="9">
        <v>0</v>
      </c>
      <c r="DV8" s="9">
        <v>0</v>
      </c>
      <c r="DW8" s="9">
        <v>0</v>
      </c>
      <c r="DX8" s="9">
        <v>0</v>
      </c>
      <c r="DY8" s="9">
        <v>0</v>
      </c>
      <c r="DZ8" s="9">
        <v>0</v>
      </c>
      <c r="EA8" s="9">
        <v>0</v>
      </c>
      <c r="EB8" s="9">
        <v>0</v>
      </c>
      <c r="EC8" s="9">
        <v>18.664000000000001</v>
      </c>
      <c r="ED8" s="9">
        <v>134556</v>
      </c>
      <c r="EE8" s="9">
        <v>0</v>
      </c>
      <c r="EF8" s="9">
        <v>0</v>
      </c>
      <c r="EG8" s="9">
        <v>0</v>
      </c>
      <c r="EH8" s="9">
        <v>924193</v>
      </c>
      <c r="EI8" s="9">
        <v>1000088</v>
      </c>
      <c r="EJ8" s="9">
        <v>38.148000000000003</v>
      </c>
      <c r="EK8" s="9">
        <v>40.850999999999999</v>
      </c>
      <c r="EL8" s="9">
        <v>0</v>
      </c>
      <c r="EM8" s="9">
        <v>0.64300000000000002</v>
      </c>
      <c r="EN8" s="9">
        <v>3.306</v>
      </c>
      <c r="EO8" s="9">
        <v>0</v>
      </c>
      <c r="EP8" s="9">
        <v>0</v>
      </c>
      <c r="EQ8" s="9">
        <v>82.948000000000008</v>
      </c>
      <c r="ER8" s="9">
        <v>0</v>
      </c>
      <c r="ES8" s="9">
        <v>141.012</v>
      </c>
      <c r="ET8" s="9">
        <v>20687</v>
      </c>
      <c r="EU8" s="9">
        <v>648906</v>
      </c>
      <c r="EV8" s="9">
        <v>0</v>
      </c>
      <c r="EW8" s="9">
        <v>0</v>
      </c>
      <c r="EX8" s="9">
        <v>0</v>
      </c>
      <c r="EY8" s="9">
        <v>0</v>
      </c>
      <c r="EZ8" s="9">
        <v>12836295</v>
      </c>
      <c r="FA8" s="9">
        <v>0</v>
      </c>
      <c r="FB8" s="9">
        <v>13485201</v>
      </c>
      <c r="FC8" s="9">
        <v>0.97327799999999998</v>
      </c>
      <c r="FD8" s="9">
        <v>0</v>
      </c>
      <c r="FE8" s="9">
        <v>1980542</v>
      </c>
      <c r="FF8" s="9">
        <v>446312</v>
      </c>
      <c r="FG8" s="9">
        <v>6.1239999999999996E-2</v>
      </c>
      <c r="FH8" s="9">
        <v>5.4803999999999999E-2</v>
      </c>
      <c r="FI8" s="9">
        <v>0</v>
      </c>
      <c r="FJ8" s="9">
        <v>0</v>
      </c>
      <c r="FK8" s="9">
        <v>2548.9059999999999</v>
      </c>
      <c r="FL8" s="9">
        <v>16275227</v>
      </c>
      <c r="FM8" s="9">
        <v>0</v>
      </c>
      <c r="FN8" s="9">
        <v>0</v>
      </c>
      <c r="FO8" s="9">
        <v>0</v>
      </c>
      <c r="FP8" s="9">
        <v>0</v>
      </c>
      <c r="FQ8" s="9">
        <v>0</v>
      </c>
      <c r="FR8" s="9">
        <v>0</v>
      </c>
      <c r="FS8" s="9">
        <v>0</v>
      </c>
      <c r="FT8" s="9">
        <v>0</v>
      </c>
      <c r="FU8" s="9">
        <v>0</v>
      </c>
      <c r="FV8" s="9">
        <v>0</v>
      </c>
      <c r="FW8" s="9">
        <v>0</v>
      </c>
      <c r="FX8" s="9">
        <v>0</v>
      </c>
      <c r="FY8" s="9">
        <v>0</v>
      </c>
      <c r="FZ8" s="9">
        <v>77</v>
      </c>
      <c r="GA8" s="9">
        <v>1.5410000000000001</v>
      </c>
      <c r="GB8" s="9">
        <v>350498</v>
      </c>
      <c r="GC8" s="9">
        <v>350498</v>
      </c>
      <c r="GD8" s="9">
        <v>39.605000000000004</v>
      </c>
      <c r="GE8" s="9">
        <v>0</v>
      </c>
      <c r="GF8" s="9">
        <v>0</v>
      </c>
      <c r="GG8" s="9">
        <v>0</v>
      </c>
      <c r="GH8" s="9">
        <v>0</v>
      </c>
      <c r="GI8" s="9">
        <v>0</v>
      </c>
      <c r="GJ8" s="9">
        <v>0</v>
      </c>
      <c r="GK8" s="9">
        <v>5134</v>
      </c>
      <c r="GL8" s="9">
        <v>8046</v>
      </c>
      <c r="GM8" s="9">
        <v>0</v>
      </c>
      <c r="GN8" s="9">
        <v>0</v>
      </c>
      <c r="GO8" s="9">
        <v>0</v>
      </c>
      <c r="GP8" s="9">
        <v>15912055</v>
      </c>
      <c r="GQ8" s="9">
        <v>15912055</v>
      </c>
      <c r="GR8" s="9">
        <v>0</v>
      </c>
      <c r="GS8" s="9">
        <v>0</v>
      </c>
      <c r="GT8" s="9">
        <v>0</v>
      </c>
      <c r="GU8" s="9">
        <v>0</v>
      </c>
      <c r="GV8" s="9">
        <v>0</v>
      </c>
      <c r="GW8" s="9">
        <v>0</v>
      </c>
      <c r="GX8" s="9">
        <v>0</v>
      </c>
      <c r="GY8" s="9">
        <v>0</v>
      </c>
      <c r="GZ8" s="9">
        <v>0</v>
      </c>
      <c r="HA8" s="9">
        <v>0</v>
      </c>
      <c r="HB8" s="9">
        <v>260786259</v>
      </c>
      <c r="HC8" s="9">
        <v>5.0923999999999997E-2</v>
      </c>
      <c r="HD8" s="9">
        <v>342485</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32469</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row>
    <row r="9" spans="1:292" ht="13" x14ac:dyDescent="0.3">
      <c r="A9" s="9">
        <v>15801</v>
      </c>
      <c r="B9" s="9">
        <v>32570</v>
      </c>
      <c r="C9" s="9">
        <v>35</v>
      </c>
      <c r="D9" s="9">
        <v>2022</v>
      </c>
      <c r="E9" s="9">
        <v>5392</v>
      </c>
      <c r="F9" s="9">
        <v>0</v>
      </c>
      <c r="G9" s="9">
        <v>177.261</v>
      </c>
      <c r="H9" s="9">
        <v>86.528000000000006</v>
      </c>
      <c r="I9" s="9">
        <v>86.528000000000006</v>
      </c>
      <c r="J9" s="9">
        <v>177.261</v>
      </c>
      <c r="K9" s="9">
        <v>0</v>
      </c>
      <c r="L9" s="9">
        <v>6554</v>
      </c>
      <c r="M9" s="9">
        <v>0</v>
      </c>
      <c r="N9" s="9">
        <v>0</v>
      </c>
      <c r="O9" s="9">
        <v>0</v>
      </c>
      <c r="P9" s="9">
        <v>199.816</v>
      </c>
      <c r="Q9" s="9">
        <v>0</v>
      </c>
      <c r="R9" s="10">
        <v>63884</v>
      </c>
      <c r="S9" s="9">
        <v>319.71300000000002</v>
      </c>
      <c r="T9" s="9">
        <v>0</v>
      </c>
      <c r="U9" s="10">
        <v>63884</v>
      </c>
      <c r="V9" s="10">
        <v>2.9570000000000003</v>
      </c>
      <c r="W9" s="10">
        <v>1938</v>
      </c>
      <c r="X9" s="10">
        <v>1938</v>
      </c>
      <c r="Y9" s="9">
        <v>0</v>
      </c>
      <c r="Z9" s="9">
        <v>0</v>
      </c>
      <c r="AA9" s="9">
        <v>1</v>
      </c>
      <c r="AB9" s="9">
        <v>1</v>
      </c>
      <c r="AC9" s="9">
        <v>0</v>
      </c>
      <c r="AD9" s="9" t="s">
        <v>314</v>
      </c>
      <c r="AE9" s="9">
        <v>0</v>
      </c>
      <c r="AF9" s="9">
        <v>0</v>
      </c>
      <c r="AG9" s="9">
        <v>0</v>
      </c>
      <c r="AH9" s="9">
        <v>0</v>
      </c>
      <c r="AI9" s="9">
        <v>0</v>
      </c>
      <c r="AJ9" s="9">
        <v>5104</v>
      </c>
      <c r="AK9" s="9" t="s">
        <v>651</v>
      </c>
      <c r="AL9" s="11" t="s">
        <v>36</v>
      </c>
      <c r="AM9" s="9">
        <v>0</v>
      </c>
      <c r="AN9" s="9">
        <v>0</v>
      </c>
      <c r="AO9" s="9">
        <v>0</v>
      </c>
      <c r="AP9" s="9">
        <v>0</v>
      </c>
      <c r="AQ9" s="9">
        <v>0</v>
      </c>
      <c r="AR9" s="9">
        <v>0</v>
      </c>
      <c r="AS9" s="9">
        <v>0</v>
      </c>
      <c r="AT9" s="9">
        <v>0</v>
      </c>
      <c r="AU9" s="9">
        <v>0</v>
      </c>
      <c r="AV9" s="9">
        <v>23702</v>
      </c>
      <c r="AW9" s="9">
        <v>2141727</v>
      </c>
      <c r="AX9" s="9">
        <v>2050131</v>
      </c>
      <c r="AY9" s="9">
        <v>2090381</v>
      </c>
      <c r="AZ9" s="9">
        <v>112629</v>
      </c>
      <c r="BA9" s="10">
        <v>15.75</v>
      </c>
      <c r="BB9" s="9">
        <v>0</v>
      </c>
      <c r="BC9" s="9">
        <v>0</v>
      </c>
      <c r="BD9" s="9">
        <v>0</v>
      </c>
      <c r="BE9" s="9">
        <v>0</v>
      </c>
      <c r="BF9" s="9">
        <v>1741355</v>
      </c>
      <c r="BG9" s="9">
        <v>0</v>
      </c>
      <c r="BH9" s="10">
        <v>177.255</v>
      </c>
      <c r="BI9" s="10">
        <v>48745</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10">
        <v>42851</v>
      </c>
      <c r="CI9" s="9">
        <v>0</v>
      </c>
      <c r="CJ9" s="9">
        <v>4</v>
      </c>
      <c r="CK9" s="9">
        <v>0</v>
      </c>
      <c r="CL9" s="9">
        <v>0</v>
      </c>
      <c r="CM9" s="9">
        <v>0</v>
      </c>
      <c r="CN9" s="9">
        <v>0</v>
      </c>
      <c r="CO9" s="9">
        <v>0</v>
      </c>
      <c r="CP9" s="9">
        <v>0.81600000000000006</v>
      </c>
      <c r="CQ9" s="9">
        <v>0.16700000000000001</v>
      </c>
      <c r="CR9" s="9">
        <v>199.816</v>
      </c>
      <c r="CS9" s="9">
        <v>0</v>
      </c>
      <c r="CT9" s="9">
        <v>0</v>
      </c>
      <c r="CU9" s="9">
        <v>0</v>
      </c>
      <c r="CV9" s="9">
        <v>0</v>
      </c>
      <c r="CW9" s="9">
        <v>0</v>
      </c>
      <c r="CX9" s="9">
        <v>0</v>
      </c>
      <c r="CY9" s="9">
        <v>0</v>
      </c>
      <c r="CZ9" s="9">
        <v>0</v>
      </c>
      <c r="DA9" s="9">
        <v>1</v>
      </c>
      <c r="DB9" s="9">
        <v>567105</v>
      </c>
      <c r="DC9" s="9">
        <v>0</v>
      </c>
      <c r="DD9" s="9">
        <v>0</v>
      </c>
      <c r="DE9" s="9">
        <v>274180</v>
      </c>
      <c r="DF9" s="9">
        <v>287069</v>
      </c>
      <c r="DG9" s="9">
        <v>209.17000000000002</v>
      </c>
      <c r="DH9" s="9">
        <v>0</v>
      </c>
      <c r="DI9" s="9">
        <v>12889</v>
      </c>
      <c r="DJ9" s="9">
        <v>0</v>
      </c>
      <c r="DK9" s="9">
        <v>5392</v>
      </c>
      <c r="DL9" s="9">
        <v>0</v>
      </c>
      <c r="DM9" s="9">
        <v>138019</v>
      </c>
      <c r="DN9" s="9">
        <v>0</v>
      </c>
      <c r="DO9" s="9">
        <v>0</v>
      </c>
      <c r="DP9" s="9">
        <v>0</v>
      </c>
      <c r="DQ9" s="9">
        <v>0</v>
      </c>
      <c r="DR9" s="9">
        <v>0</v>
      </c>
      <c r="DS9" s="9">
        <v>0</v>
      </c>
      <c r="DT9" s="9">
        <v>0</v>
      </c>
      <c r="DU9" s="9">
        <v>0</v>
      </c>
      <c r="DV9" s="9">
        <v>0</v>
      </c>
      <c r="DW9" s="9">
        <v>0</v>
      </c>
      <c r="DX9" s="9">
        <v>0</v>
      </c>
      <c r="DY9" s="9">
        <v>0</v>
      </c>
      <c r="DZ9" s="9">
        <v>0</v>
      </c>
      <c r="EA9" s="9">
        <v>0</v>
      </c>
      <c r="EB9" s="9">
        <v>0</v>
      </c>
      <c r="EC9" s="9">
        <v>16.117000000000001</v>
      </c>
      <c r="ED9" s="9">
        <v>116194</v>
      </c>
      <c r="EE9" s="9">
        <v>0</v>
      </c>
      <c r="EF9" s="9">
        <v>0</v>
      </c>
      <c r="EG9" s="9">
        <v>0</v>
      </c>
      <c r="EH9" s="9">
        <v>21825</v>
      </c>
      <c r="EI9" s="9">
        <v>0</v>
      </c>
      <c r="EJ9" s="9">
        <v>0</v>
      </c>
      <c r="EK9" s="9">
        <v>1.1100000000000001</v>
      </c>
      <c r="EL9" s="9">
        <v>0</v>
      </c>
      <c r="EM9" s="9">
        <v>0</v>
      </c>
      <c r="EN9" s="9">
        <v>0</v>
      </c>
      <c r="EO9" s="9">
        <v>0</v>
      </c>
      <c r="EP9" s="9">
        <v>0</v>
      </c>
      <c r="EQ9" s="9">
        <v>1.1100000000000001</v>
      </c>
      <c r="ER9" s="9">
        <v>0</v>
      </c>
      <c r="ES9" s="9">
        <v>3.33</v>
      </c>
      <c r="ET9" s="10">
        <v>7917</v>
      </c>
      <c r="EU9" s="9">
        <v>112629</v>
      </c>
      <c r="EV9" s="9">
        <v>0</v>
      </c>
      <c r="EW9" s="9">
        <v>0</v>
      </c>
      <c r="EX9" s="9">
        <v>0</v>
      </c>
      <c r="EY9" s="9">
        <v>0</v>
      </c>
      <c r="EZ9" s="9">
        <v>1725282</v>
      </c>
      <c r="FA9" s="9">
        <v>0</v>
      </c>
      <c r="FB9" s="10">
        <v>1837911</v>
      </c>
      <c r="FC9" s="9">
        <v>0.97327799999999998</v>
      </c>
      <c r="FD9" s="9">
        <v>0</v>
      </c>
      <c r="FE9" s="9">
        <v>265107</v>
      </c>
      <c r="FF9" s="9">
        <v>59742</v>
      </c>
      <c r="FG9" s="9">
        <v>6.1239999999999996E-2</v>
      </c>
      <c r="FH9" s="9">
        <v>5.4803999999999999E-2</v>
      </c>
      <c r="FI9" s="9">
        <v>0</v>
      </c>
      <c r="FJ9" s="9">
        <v>0</v>
      </c>
      <c r="FK9" s="9">
        <v>341.18600000000004</v>
      </c>
      <c r="FL9" s="9">
        <v>2205611</v>
      </c>
      <c r="FM9" s="9">
        <v>0</v>
      </c>
      <c r="FN9" s="9">
        <v>0</v>
      </c>
      <c r="FO9" s="9">
        <v>0</v>
      </c>
      <c r="FP9" s="9">
        <v>0</v>
      </c>
      <c r="FQ9" s="9">
        <v>0</v>
      </c>
      <c r="FR9" s="9">
        <v>0</v>
      </c>
      <c r="FS9" s="9">
        <v>0</v>
      </c>
      <c r="FT9" s="9">
        <v>0</v>
      </c>
      <c r="FU9" s="9">
        <v>0</v>
      </c>
      <c r="FV9" s="9">
        <v>0</v>
      </c>
      <c r="FW9" s="9">
        <v>0</v>
      </c>
      <c r="FX9" s="9">
        <v>0</v>
      </c>
      <c r="FY9" s="9">
        <v>0</v>
      </c>
      <c r="FZ9" s="9">
        <v>2060</v>
      </c>
      <c r="GA9" s="9">
        <v>41.197000000000003</v>
      </c>
      <c r="GB9" s="10">
        <v>795035</v>
      </c>
      <c r="GC9" s="10">
        <v>795035</v>
      </c>
      <c r="GD9" s="10">
        <v>89.623000000000005</v>
      </c>
      <c r="GE9" s="9">
        <v>0</v>
      </c>
      <c r="GF9" s="9">
        <v>0</v>
      </c>
      <c r="GG9" s="9">
        <v>0</v>
      </c>
      <c r="GH9" s="9">
        <v>0</v>
      </c>
      <c r="GI9" s="9">
        <v>0</v>
      </c>
      <c r="GJ9" s="9">
        <v>0</v>
      </c>
      <c r="GK9" s="9">
        <v>5236</v>
      </c>
      <c r="GL9" s="9">
        <v>11659</v>
      </c>
      <c r="GM9" s="9">
        <v>0</v>
      </c>
      <c r="GN9" s="9">
        <v>30454</v>
      </c>
      <c r="GO9" s="9">
        <v>0</v>
      </c>
      <c r="GP9" s="9">
        <v>2162760</v>
      </c>
      <c r="GQ9" s="9">
        <v>2162760</v>
      </c>
      <c r="GR9" s="9">
        <v>0</v>
      </c>
      <c r="GS9" s="9">
        <v>0</v>
      </c>
      <c r="GT9" s="9">
        <v>0</v>
      </c>
      <c r="GU9" s="9">
        <v>0</v>
      </c>
      <c r="GV9" s="9">
        <v>0</v>
      </c>
      <c r="GW9" s="9">
        <v>0</v>
      </c>
      <c r="GX9" s="9">
        <v>0</v>
      </c>
      <c r="GY9" s="9">
        <v>0</v>
      </c>
      <c r="GZ9" s="9">
        <v>0</v>
      </c>
      <c r="HA9" s="9">
        <v>0</v>
      </c>
      <c r="HB9" s="9">
        <v>260786259</v>
      </c>
      <c r="HC9" s="9">
        <v>5.0923999999999997E-2</v>
      </c>
      <c r="HD9" s="10">
        <v>34934</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32469</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row>
    <row r="10" spans="1:292" ht="13" x14ac:dyDescent="0.3">
      <c r="A10" s="9">
        <v>15802</v>
      </c>
      <c r="B10" s="9">
        <v>32570</v>
      </c>
      <c r="C10" s="9">
        <v>35</v>
      </c>
      <c r="D10" s="9">
        <v>2022</v>
      </c>
      <c r="E10" s="9">
        <v>5392</v>
      </c>
      <c r="F10" s="9">
        <v>0</v>
      </c>
      <c r="G10" s="9">
        <v>755.45500000000004</v>
      </c>
      <c r="H10" s="9">
        <v>702.13800000000003</v>
      </c>
      <c r="I10" s="9">
        <v>702.13800000000003</v>
      </c>
      <c r="J10" s="9">
        <v>755.45500000000004</v>
      </c>
      <c r="K10" s="9">
        <v>0</v>
      </c>
      <c r="L10" s="9">
        <v>6554</v>
      </c>
      <c r="M10" s="9">
        <v>0</v>
      </c>
      <c r="N10" s="9">
        <v>0</v>
      </c>
      <c r="O10" s="9">
        <v>0</v>
      </c>
      <c r="P10" s="9">
        <v>804.81400000000008</v>
      </c>
      <c r="Q10" s="9">
        <v>0</v>
      </c>
      <c r="R10" s="10">
        <v>257309</v>
      </c>
      <c r="S10" s="9">
        <v>319.71300000000002</v>
      </c>
      <c r="T10" s="9">
        <v>0</v>
      </c>
      <c r="U10" s="10">
        <v>257309</v>
      </c>
      <c r="V10" s="10">
        <v>55.654000000000003</v>
      </c>
      <c r="W10" s="10">
        <v>36476</v>
      </c>
      <c r="X10" s="10">
        <v>36476</v>
      </c>
      <c r="Y10" s="9">
        <v>0</v>
      </c>
      <c r="Z10" s="9">
        <v>0</v>
      </c>
      <c r="AA10" s="9">
        <v>1</v>
      </c>
      <c r="AB10" s="9">
        <v>1</v>
      </c>
      <c r="AC10" s="9">
        <v>0</v>
      </c>
      <c r="AD10" s="9" t="s">
        <v>314</v>
      </c>
      <c r="AE10" s="9">
        <v>0</v>
      </c>
      <c r="AF10" s="9">
        <v>0</v>
      </c>
      <c r="AG10" s="9">
        <v>0</v>
      </c>
      <c r="AH10" s="9">
        <v>0</v>
      </c>
      <c r="AI10" s="9">
        <v>0</v>
      </c>
      <c r="AJ10" s="9">
        <v>5104</v>
      </c>
      <c r="AK10" s="9" t="s">
        <v>651</v>
      </c>
      <c r="AL10" s="11" t="s">
        <v>55</v>
      </c>
      <c r="AM10" s="9">
        <v>0</v>
      </c>
      <c r="AN10" s="9">
        <v>0</v>
      </c>
      <c r="AO10" s="9">
        <v>0</v>
      </c>
      <c r="AP10" s="9">
        <v>0</v>
      </c>
      <c r="AQ10" s="9">
        <v>0</v>
      </c>
      <c r="AR10" s="9">
        <v>0</v>
      </c>
      <c r="AS10" s="9">
        <v>0</v>
      </c>
      <c r="AT10" s="9">
        <v>0</v>
      </c>
      <c r="AU10" s="9">
        <v>0</v>
      </c>
      <c r="AV10" s="9">
        <v>330703</v>
      </c>
      <c r="AW10" s="9">
        <v>8215259</v>
      </c>
      <c r="AX10" s="9">
        <v>8017795</v>
      </c>
      <c r="AY10" s="9">
        <v>8730277</v>
      </c>
      <c r="AZ10" s="9">
        <v>282473</v>
      </c>
      <c r="BA10" s="10">
        <v>46.833000000000006</v>
      </c>
      <c r="BB10" s="9">
        <v>14924</v>
      </c>
      <c r="BC10" s="9">
        <v>14924</v>
      </c>
      <c r="BD10" s="9">
        <v>18.976000000000003</v>
      </c>
      <c r="BE10" s="9">
        <v>0</v>
      </c>
      <c r="BF10" s="9">
        <v>6771812</v>
      </c>
      <c r="BG10" s="9">
        <v>0</v>
      </c>
      <c r="BH10" s="10">
        <v>91.507000000000005</v>
      </c>
      <c r="BI10" s="10">
        <v>25164</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10">
        <v>172300</v>
      </c>
      <c r="CI10" s="9">
        <v>0</v>
      </c>
      <c r="CJ10" s="9">
        <v>4</v>
      </c>
      <c r="CK10" s="9">
        <v>0</v>
      </c>
      <c r="CL10" s="9">
        <v>0</v>
      </c>
      <c r="CM10" s="9">
        <v>0</v>
      </c>
      <c r="CN10" s="9">
        <v>0</v>
      </c>
      <c r="CO10" s="9">
        <v>0</v>
      </c>
      <c r="CP10" s="9">
        <v>0</v>
      </c>
      <c r="CQ10" s="9">
        <v>0</v>
      </c>
      <c r="CR10" s="9">
        <v>804.81400000000008</v>
      </c>
      <c r="CS10" s="9">
        <v>0</v>
      </c>
      <c r="CT10" s="9">
        <v>0</v>
      </c>
      <c r="CU10" s="9">
        <v>0</v>
      </c>
      <c r="CV10" s="9">
        <v>0</v>
      </c>
      <c r="CW10" s="9">
        <v>0</v>
      </c>
      <c r="CX10" s="9">
        <v>0</v>
      </c>
      <c r="CY10" s="9">
        <v>0</v>
      </c>
      <c r="CZ10" s="9">
        <v>0</v>
      </c>
      <c r="DA10" s="9">
        <v>1</v>
      </c>
      <c r="DB10" s="9">
        <v>4601812</v>
      </c>
      <c r="DC10" s="9">
        <v>0</v>
      </c>
      <c r="DD10" s="9">
        <v>0</v>
      </c>
      <c r="DE10" s="9">
        <v>1391414</v>
      </c>
      <c r="DF10" s="9">
        <v>1391414</v>
      </c>
      <c r="DG10" s="9">
        <v>1061.5</v>
      </c>
      <c r="DH10" s="9">
        <v>0</v>
      </c>
      <c r="DI10" s="9">
        <v>0</v>
      </c>
      <c r="DJ10" s="9">
        <v>0</v>
      </c>
      <c r="DK10" s="9">
        <v>5392</v>
      </c>
      <c r="DL10" s="9">
        <v>0</v>
      </c>
      <c r="DM10" s="9">
        <v>563794</v>
      </c>
      <c r="DN10" s="9">
        <v>0</v>
      </c>
      <c r="DO10" s="9">
        <v>0</v>
      </c>
      <c r="DP10" s="9">
        <v>0</v>
      </c>
      <c r="DQ10" s="9">
        <v>0</v>
      </c>
      <c r="DR10" s="9">
        <v>0</v>
      </c>
      <c r="DS10" s="9">
        <v>0</v>
      </c>
      <c r="DT10" s="9">
        <v>0</v>
      </c>
      <c r="DU10" s="9">
        <v>0</v>
      </c>
      <c r="DV10" s="9">
        <v>0</v>
      </c>
      <c r="DW10" s="9">
        <v>0</v>
      </c>
      <c r="DX10" s="9">
        <v>0</v>
      </c>
      <c r="DY10" s="9">
        <v>0</v>
      </c>
      <c r="DZ10" s="9">
        <v>0</v>
      </c>
      <c r="EA10" s="9">
        <v>0</v>
      </c>
      <c r="EB10" s="9">
        <v>0</v>
      </c>
      <c r="EC10" s="9">
        <v>38.24</v>
      </c>
      <c r="ED10" s="9">
        <v>275687</v>
      </c>
      <c r="EE10" s="9">
        <v>0</v>
      </c>
      <c r="EF10" s="9">
        <v>0</v>
      </c>
      <c r="EG10" s="9">
        <v>0</v>
      </c>
      <c r="EH10" s="9">
        <v>283939</v>
      </c>
      <c r="EI10" s="9">
        <v>4168</v>
      </c>
      <c r="EJ10" s="9">
        <v>0.159</v>
      </c>
      <c r="EK10" s="9">
        <v>12.641</v>
      </c>
      <c r="EL10" s="9">
        <v>0</v>
      </c>
      <c r="EM10" s="9">
        <v>0</v>
      </c>
      <c r="EN10" s="9">
        <v>1.08</v>
      </c>
      <c r="EO10" s="9">
        <v>0</v>
      </c>
      <c r="EP10" s="9">
        <v>0</v>
      </c>
      <c r="EQ10" s="9">
        <v>13.88</v>
      </c>
      <c r="ER10" s="9">
        <v>0</v>
      </c>
      <c r="ES10" s="9">
        <v>43.323</v>
      </c>
      <c r="ET10" s="10">
        <v>23417</v>
      </c>
      <c r="EU10" s="9">
        <v>282473</v>
      </c>
      <c r="EV10" s="9">
        <v>0</v>
      </c>
      <c r="EW10" s="9">
        <v>0</v>
      </c>
      <c r="EX10" s="9">
        <v>0</v>
      </c>
      <c r="EY10" s="9">
        <v>0</v>
      </c>
      <c r="EZ10" s="9">
        <v>6754517</v>
      </c>
      <c r="FA10" s="9">
        <v>0</v>
      </c>
      <c r="FB10" s="10">
        <v>7036990</v>
      </c>
      <c r="FC10" s="9">
        <v>0.97327799999999998</v>
      </c>
      <c r="FD10" s="9">
        <v>0</v>
      </c>
      <c r="FE10" s="9">
        <v>1030954</v>
      </c>
      <c r="FF10" s="9">
        <v>232324</v>
      </c>
      <c r="FG10" s="9">
        <v>6.1239999999999996E-2</v>
      </c>
      <c r="FH10" s="9">
        <v>5.4803999999999999E-2</v>
      </c>
      <c r="FI10" s="9">
        <v>0</v>
      </c>
      <c r="FJ10" s="9">
        <v>0</v>
      </c>
      <c r="FK10" s="9">
        <v>1326.8110000000001</v>
      </c>
      <c r="FL10" s="9">
        <v>8472568</v>
      </c>
      <c r="FM10" s="9">
        <v>0</v>
      </c>
      <c r="FN10" s="9">
        <v>0</v>
      </c>
      <c r="FO10" s="9">
        <v>54086</v>
      </c>
      <c r="FP10" s="9">
        <v>0</v>
      </c>
      <c r="FQ10" s="9">
        <v>54086</v>
      </c>
      <c r="FR10" s="9">
        <v>54086</v>
      </c>
      <c r="FS10" s="9">
        <v>0</v>
      </c>
      <c r="FT10" s="9">
        <v>0</v>
      </c>
      <c r="FU10" s="9">
        <v>0</v>
      </c>
      <c r="FV10" s="9">
        <v>0</v>
      </c>
      <c r="FW10" s="9">
        <v>0</v>
      </c>
      <c r="FX10" s="9">
        <v>0</v>
      </c>
      <c r="FY10" s="9">
        <v>0</v>
      </c>
      <c r="FZ10" s="9">
        <v>385</v>
      </c>
      <c r="GA10" s="9">
        <v>7.702</v>
      </c>
      <c r="GB10" s="10">
        <v>349320</v>
      </c>
      <c r="GC10" s="10">
        <v>349320</v>
      </c>
      <c r="GD10" s="10">
        <v>39.437000000000005</v>
      </c>
      <c r="GE10" s="9">
        <v>0</v>
      </c>
      <c r="GF10" s="9">
        <v>0</v>
      </c>
      <c r="GG10" s="9">
        <v>0</v>
      </c>
      <c r="GH10" s="9">
        <v>0</v>
      </c>
      <c r="GI10" s="9">
        <v>0</v>
      </c>
      <c r="GJ10" s="9">
        <v>0</v>
      </c>
      <c r="GK10" s="9">
        <v>5220</v>
      </c>
      <c r="GL10" s="9">
        <v>15410</v>
      </c>
      <c r="GM10" s="9">
        <v>0</v>
      </c>
      <c r="GN10" s="9">
        <v>78951</v>
      </c>
      <c r="GO10" s="9">
        <v>0</v>
      </c>
      <c r="GP10" s="9">
        <v>8300268</v>
      </c>
      <c r="GQ10" s="9">
        <v>8300268</v>
      </c>
      <c r="GR10" s="9">
        <v>0</v>
      </c>
      <c r="GS10" s="9">
        <v>0</v>
      </c>
      <c r="GT10" s="9">
        <v>0</v>
      </c>
      <c r="GU10" s="9">
        <v>0</v>
      </c>
      <c r="GV10" s="9">
        <v>0</v>
      </c>
      <c r="GW10" s="9">
        <v>0</v>
      </c>
      <c r="GX10" s="9">
        <v>0</v>
      </c>
      <c r="GY10" s="9">
        <v>0</v>
      </c>
      <c r="GZ10" s="9">
        <v>0</v>
      </c>
      <c r="HA10" s="9">
        <v>0</v>
      </c>
      <c r="HB10" s="9">
        <v>260786259</v>
      </c>
      <c r="HC10" s="9">
        <v>5.0923999999999997E-2</v>
      </c>
      <c r="HD10" s="10">
        <v>148883</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15.846</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32469</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row>
    <row r="11" spans="1:292" x14ac:dyDescent="0.25">
      <c r="A11" s="9">
        <v>15805</v>
      </c>
      <c r="B11" s="9">
        <v>32570</v>
      </c>
      <c r="C11" s="9">
        <v>35</v>
      </c>
      <c r="D11" s="9">
        <v>2022</v>
      </c>
      <c r="E11" s="9">
        <v>5392</v>
      </c>
      <c r="F11" s="9">
        <v>0</v>
      </c>
      <c r="G11" s="9">
        <v>526.24099999999999</v>
      </c>
      <c r="H11" s="9">
        <v>522.20500000000004</v>
      </c>
      <c r="I11" s="9">
        <v>522.20500000000004</v>
      </c>
      <c r="J11" s="9">
        <v>526.24099999999999</v>
      </c>
      <c r="K11" s="9">
        <v>0</v>
      </c>
      <c r="L11" s="9">
        <v>6554</v>
      </c>
      <c r="M11" s="9">
        <v>0</v>
      </c>
      <c r="N11" s="9">
        <v>0</v>
      </c>
      <c r="O11" s="9">
        <v>0</v>
      </c>
      <c r="P11" s="9">
        <v>573.60300000000007</v>
      </c>
      <c r="Q11" s="9">
        <v>0</v>
      </c>
      <c r="R11" s="9">
        <v>183388</v>
      </c>
      <c r="S11" s="9">
        <v>319.71300000000002</v>
      </c>
      <c r="T11" s="9">
        <v>0</v>
      </c>
      <c r="U11" s="9">
        <v>183388</v>
      </c>
      <c r="V11" s="9">
        <v>63.122</v>
      </c>
      <c r="W11" s="9">
        <v>41370</v>
      </c>
      <c r="X11" s="9">
        <v>41370</v>
      </c>
      <c r="Y11" s="9">
        <v>0</v>
      </c>
      <c r="Z11" s="9">
        <v>0</v>
      </c>
      <c r="AA11" s="9">
        <v>1</v>
      </c>
      <c r="AB11" s="9">
        <v>1</v>
      </c>
      <c r="AC11" s="9">
        <v>0</v>
      </c>
      <c r="AD11" s="9" t="s">
        <v>314</v>
      </c>
      <c r="AE11" s="9">
        <v>0</v>
      </c>
      <c r="AF11" s="9">
        <v>0</v>
      </c>
      <c r="AG11" s="9">
        <v>0</v>
      </c>
      <c r="AH11" s="9">
        <v>0</v>
      </c>
      <c r="AI11" s="9">
        <v>0</v>
      </c>
      <c r="AJ11" s="9">
        <v>5104</v>
      </c>
      <c r="AK11" s="9" t="s">
        <v>651</v>
      </c>
      <c r="AL11" s="11" t="s">
        <v>453</v>
      </c>
      <c r="AM11" s="9">
        <v>0</v>
      </c>
      <c r="AN11" s="9">
        <v>0</v>
      </c>
      <c r="AO11" s="9">
        <v>0</v>
      </c>
      <c r="AP11" s="9">
        <v>0</v>
      </c>
      <c r="AQ11" s="9">
        <v>0</v>
      </c>
      <c r="AR11" s="9">
        <v>0</v>
      </c>
      <c r="AS11" s="9">
        <v>0</v>
      </c>
      <c r="AT11" s="9">
        <v>0</v>
      </c>
      <c r="AU11" s="9">
        <v>0</v>
      </c>
      <c r="AV11" s="9">
        <v>356050</v>
      </c>
      <c r="AW11" s="9">
        <v>5142973</v>
      </c>
      <c r="AX11" s="9">
        <v>4988496</v>
      </c>
      <c r="AY11" s="9">
        <v>5683916</v>
      </c>
      <c r="AZ11" s="9">
        <v>234155</v>
      </c>
      <c r="BA11" s="9">
        <v>0</v>
      </c>
      <c r="BB11" s="9">
        <v>0</v>
      </c>
      <c r="BC11" s="9">
        <v>0</v>
      </c>
      <c r="BD11" s="9">
        <v>0</v>
      </c>
      <c r="BE11" s="9">
        <v>0</v>
      </c>
      <c r="BF11" s="9">
        <v>4258616</v>
      </c>
      <c r="BG11" s="9">
        <v>0</v>
      </c>
      <c r="BH11" s="9">
        <v>184.60900000000001</v>
      </c>
      <c r="BI11" s="9">
        <v>50767</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103710</v>
      </c>
      <c r="CI11" s="9">
        <v>0</v>
      </c>
      <c r="CJ11" s="9">
        <v>4</v>
      </c>
      <c r="CK11" s="9">
        <v>0</v>
      </c>
      <c r="CL11" s="9">
        <v>0</v>
      </c>
      <c r="CM11" s="9">
        <v>0</v>
      </c>
      <c r="CN11" s="9">
        <v>0</v>
      </c>
      <c r="CO11" s="9">
        <v>0</v>
      </c>
      <c r="CP11" s="9">
        <v>0</v>
      </c>
      <c r="CQ11" s="9">
        <v>0</v>
      </c>
      <c r="CR11" s="9">
        <v>573.60300000000007</v>
      </c>
      <c r="CS11" s="9">
        <v>0</v>
      </c>
      <c r="CT11" s="9">
        <v>0</v>
      </c>
      <c r="CU11" s="9">
        <v>0</v>
      </c>
      <c r="CV11" s="9">
        <v>0</v>
      </c>
      <c r="CW11" s="9">
        <v>0</v>
      </c>
      <c r="CX11" s="9">
        <v>0</v>
      </c>
      <c r="CY11" s="9">
        <v>0</v>
      </c>
      <c r="CZ11" s="9">
        <v>0</v>
      </c>
      <c r="DA11" s="9">
        <v>1</v>
      </c>
      <c r="DB11" s="9">
        <v>3422532</v>
      </c>
      <c r="DC11" s="9">
        <v>0</v>
      </c>
      <c r="DD11" s="9">
        <v>0</v>
      </c>
      <c r="DE11" s="9">
        <v>682494</v>
      </c>
      <c r="DF11" s="9">
        <v>682494</v>
      </c>
      <c r="DG11" s="9">
        <v>520.66999999999996</v>
      </c>
      <c r="DH11" s="9">
        <v>0</v>
      </c>
      <c r="DI11" s="9">
        <v>0</v>
      </c>
      <c r="DJ11" s="9">
        <v>0</v>
      </c>
      <c r="DK11" s="9">
        <v>5392</v>
      </c>
      <c r="DL11" s="9">
        <v>0</v>
      </c>
      <c r="DM11" s="9">
        <v>229145</v>
      </c>
      <c r="DN11" s="9">
        <v>0</v>
      </c>
      <c r="DO11" s="9">
        <v>0</v>
      </c>
      <c r="DP11" s="9">
        <v>0</v>
      </c>
      <c r="DQ11" s="9">
        <v>0</v>
      </c>
      <c r="DR11" s="9">
        <v>0</v>
      </c>
      <c r="DS11" s="9">
        <v>0</v>
      </c>
      <c r="DT11" s="9">
        <v>0</v>
      </c>
      <c r="DU11" s="9">
        <v>0</v>
      </c>
      <c r="DV11" s="9">
        <v>0</v>
      </c>
      <c r="DW11" s="9">
        <v>0</v>
      </c>
      <c r="DX11" s="9">
        <v>0</v>
      </c>
      <c r="DY11" s="9">
        <v>0</v>
      </c>
      <c r="DZ11" s="9">
        <v>0</v>
      </c>
      <c r="EA11" s="9">
        <v>0</v>
      </c>
      <c r="EB11" s="9">
        <v>0</v>
      </c>
      <c r="EC11" s="9">
        <v>19.806000000000001</v>
      </c>
      <c r="ED11" s="9">
        <v>142789</v>
      </c>
      <c r="EE11" s="9">
        <v>0</v>
      </c>
      <c r="EF11" s="9">
        <v>0</v>
      </c>
      <c r="EG11" s="9">
        <v>0</v>
      </c>
      <c r="EH11" s="9">
        <v>86356</v>
      </c>
      <c r="EI11" s="9">
        <v>0</v>
      </c>
      <c r="EJ11" s="9">
        <v>0</v>
      </c>
      <c r="EK11" s="9">
        <v>0.57500000000000007</v>
      </c>
      <c r="EL11" s="9">
        <v>0</v>
      </c>
      <c r="EM11" s="9">
        <v>2.927</v>
      </c>
      <c r="EN11" s="9">
        <v>0.53400000000000003</v>
      </c>
      <c r="EO11" s="9">
        <v>0</v>
      </c>
      <c r="EP11" s="9">
        <v>0</v>
      </c>
      <c r="EQ11" s="9">
        <v>4.0360000000000005</v>
      </c>
      <c r="ER11" s="9">
        <v>0</v>
      </c>
      <c r="ES11" s="9">
        <v>13.176</v>
      </c>
      <c r="ET11" s="9">
        <v>0</v>
      </c>
      <c r="EU11" s="9">
        <v>234155</v>
      </c>
      <c r="EV11" s="9">
        <v>0</v>
      </c>
      <c r="EW11" s="9">
        <v>0</v>
      </c>
      <c r="EX11" s="9">
        <v>0</v>
      </c>
      <c r="EY11" s="9">
        <v>0</v>
      </c>
      <c r="EZ11" s="9">
        <v>4194053</v>
      </c>
      <c r="FA11" s="9">
        <v>0</v>
      </c>
      <c r="FB11" s="9">
        <v>4428208</v>
      </c>
      <c r="FC11" s="9">
        <v>0.97327799999999998</v>
      </c>
      <c r="FD11" s="9">
        <v>0</v>
      </c>
      <c r="FE11" s="9">
        <v>648340</v>
      </c>
      <c r="FF11" s="9">
        <v>146103</v>
      </c>
      <c r="FG11" s="9">
        <v>6.1239999999999996E-2</v>
      </c>
      <c r="FH11" s="9">
        <v>5.4803999999999999E-2</v>
      </c>
      <c r="FI11" s="9">
        <v>0</v>
      </c>
      <c r="FJ11" s="9">
        <v>0</v>
      </c>
      <c r="FK11" s="9">
        <v>834.39700000000005</v>
      </c>
      <c r="FL11" s="9">
        <v>5326361</v>
      </c>
      <c r="FM11" s="9">
        <v>0</v>
      </c>
      <c r="FN11" s="9">
        <v>0</v>
      </c>
      <c r="FO11" s="9">
        <v>1900</v>
      </c>
      <c r="FP11" s="9">
        <v>0</v>
      </c>
      <c r="FQ11" s="9">
        <v>1900</v>
      </c>
      <c r="FR11" s="9">
        <v>1900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5222651</v>
      </c>
      <c r="GQ11" s="9">
        <v>5222651</v>
      </c>
      <c r="GR11" s="9">
        <v>0</v>
      </c>
      <c r="GS11" s="9">
        <v>0</v>
      </c>
      <c r="GT11" s="9">
        <v>0</v>
      </c>
      <c r="GU11" s="9">
        <v>0</v>
      </c>
      <c r="GV11" s="9">
        <v>0</v>
      </c>
      <c r="GW11" s="9">
        <v>0</v>
      </c>
      <c r="GX11" s="9">
        <v>0</v>
      </c>
      <c r="GY11" s="9">
        <v>0</v>
      </c>
      <c r="GZ11" s="9">
        <v>0</v>
      </c>
      <c r="HA11" s="9">
        <v>0</v>
      </c>
      <c r="HB11" s="9">
        <v>260786259</v>
      </c>
      <c r="HC11" s="9">
        <v>5.0923999999999997E-2</v>
      </c>
      <c r="HD11" s="9">
        <v>103710</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32469</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row>
    <row r="12" spans="1:292" x14ac:dyDescent="0.25">
      <c r="A12" s="9">
        <v>15806</v>
      </c>
      <c r="B12" s="9">
        <v>32570</v>
      </c>
      <c r="C12" s="9">
        <v>35</v>
      </c>
      <c r="D12" s="9">
        <v>2022</v>
      </c>
      <c r="E12" s="9">
        <v>5392</v>
      </c>
      <c r="F12" s="9">
        <v>0</v>
      </c>
      <c r="G12" s="9">
        <v>405.83300000000003</v>
      </c>
      <c r="H12" s="9">
        <v>362.06700000000001</v>
      </c>
      <c r="I12" s="9">
        <v>362.06700000000001</v>
      </c>
      <c r="J12" s="9">
        <v>405.83300000000003</v>
      </c>
      <c r="K12" s="9">
        <v>0</v>
      </c>
      <c r="L12" s="9">
        <v>6554</v>
      </c>
      <c r="M12" s="9">
        <v>0</v>
      </c>
      <c r="N12" s="9">
        <v>0</v>
      </c>
      <c r="O12" s="9">
        <v>0</v>
      </c>
      <c r="P12" s="9">
        <v>556.54500000000007</v>
      </c>
      <c r="Q12" s="9">
        <v>0</v>
      </c>
      <c r="R12" s="9">
        <v>177935</v>
      </c>
      <c r="S12" s="9">
        <v>319.71300000000002</v>
      </c>
      <c r="T12" s="9">
        <v>0</v>
      </c>
      <c r="U12" s="9">
        <v>177935</v>
      </c>
      <c r="V12" s="9">
        <v>80.683999999999997</v>
      </c>
      <c r="W12" s="9">
        <v>52880</v>
      </c>
      <c r="X12" s="9">
        <v>52880</v>
      </c>
      <c r="Y12" s="9">
        <v>0</v>
      </c>
      <c r="Z12" s="9">
        <v>0</v>
      </c>
      <c r="AA12" s="9">
        <v>1</v>
      </c>
      <c r="AB12" s="9">
        <v>1</v>
      </c>
      <c r="AC12" s="9">
        <v>0</v>
      </c>
      <c r="AD12" s="9" t="s">
        <v>314</v>
      </c>
      <c r="AE12" s="9">
        <v>0</v>
      </c>
      <c r="AF12" s="9">
        <v>0</v>
      </c>
      <c r="AG12" s="9">
        <v>0</v>
      </c>
      <c r="AH12" s="9">
        <v>0</v>
      </c>
      <c r="AI12" s="9">
        <v>0</v>
      </c>
      <c r="AJ12" s="9">
        <v>5104</v>
      </c>
      <c r="AK12" s="9" t="s">
        <v>651</v>
      </c>
      <c r="AL12" s="9" t="s">
        <v>56</v>
      </c>
      <c r="AM12" s="9">
        <v>0</v>
      </c>
      <c r="AN12" s="9">
        <v>0</v>
      </c>
      <c r="AO12" s="9">
        <v>0</v>
      </c>
      <c r="AP12" s="9">
        <v>0</v>
      </c>
      <c r="AQ12" s="9">
        <v>0</v>
      </c>
      <c r="AR12" s="9">
        <v>0</v>
      </c>
      <c r="AS12" s="9">
        <v>0</v>
      </c>
      <c r="AT12" s="9">
        <v>0</v>
      </c>
      <c r="AU12" s="9">
        <v>0</v>
      </c>
      <c r="AV12" s="9">
        <v>417374</v>
      </c>
      <c r="AW12" s="9">
        <v>4535731</v>
      </c>
      <c r="AX12" s="9">
        <v>4407514</v>
      </c>
      <c r="AY12" s="9">
        <v>4644581</v>
      </c>
      <c r="AZ12" s="9">
        <v>202775</v>
      </c>
      <c r="BA12" s="9">
        <v>46.5</v>
      </c>
      <c r="BB12" s="9">
        <v>0</v>
      </c>
      <c r="BC12" s="9">
        <v>0</v>
      </c>
      <c r="BD12" s="9">
        <v>0</v>
      </c>
      <c r="BE12" s="9">
        <v>0</v>
      </c>
      <c r="BF12" s="9">
        <v>3747587</v>
      </c>
      <c r="BG12" s="9">
        <v>0</v>
      </c>
      <c r="BH12" s="9">
        <v>90.326000000000008</v>
      </c>
      <c r="BI12" s="9">
        <v>24840</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103377</v>
      </c>
      <c r="CI12" s="9">
        <v>0</v>
      </c>
      <c r="CJ12" s="9">
        <v>4</v>
      </c>
      <c r="CK12" s="9">
        <v>0</v>
      </c>
      <c r="CL12" s="9">
        <v>0</v>
      </c>
      <c r="CM12" s="9">
        <v>0</v>
      </c>
      <c r="CN12" s="9">
        <v>0</v>
      </c>
      <c r="CO12" s="9">
        <v>0</v>
      </c>
      <c r="CP12" s="9">
        <v>0</v>
      </c>
      <c r="CQ12" s="9">
        <v>0.58300000000000007</v>
      </c>
      <c r="CR12" s="9">
        <v>556.54500000000007</v>
      </c>
      <c r="CS12" s="9">
        <v>0</v>
      </c>
      <c r="CT12" s="9">
        <v>0</v>
      </c>
      <c r="CU12" s="9">
        <v>0</v>
      </c>
      <c r="CV12" s="9">
        <v>0</v>
      </c>
      <c r="CW12" s="9">
        <v>0</v>
      </c>
      <c r="CX12" s="9">
        <v>0</v>
      </c>
      <c r="CY12" s="9">
        <v>0</v>
      </c>
      <c r="CZ12" s="9">
        <v>0</v>
      </c>
      <c r="DA12" s="9">
        <v>1</v>
      </c>
      <c r="DB12" s="9">
        <v>2372987</v>
      </c>
      <c r="DC12" s="9">
        <v>0</v>
      </c>
      <c r="DD12" s="9">
        <v>0</v>
      </c>
      <c r="DE12" s="9">
        <v>820128</v>
      </c>
      <c r="DF12" s="9">
        <v>820128</v>
      </c>
      <c r="DG12" s="9">
        <v>625.66999999999996</v>
      </c>
      <c r="DH12" s="9">
        <v>0</v>
      </c>
      <c r="DI12" s="9">
        <v>0</v>
      </c>
      <c r="DJ12" s="9">
        <v>0</v>
      </c>
      <c r="DK12" s="9">
        <v>5392</v>
      </c>
      <c r="DL12" s="9">
        <v>0</v>
      </c>
      <c r="DM12" s="9">
        <v>272405</v>
      </c>
      <c r="DN12" s="9">
        <v>0</v>
      </c>
      <c r="DO12" s="9">
        <v>0</v>
      </c>
      <c r="DP12" s="9">
        <v>0</v>
      </c>
      <c r="DQ12" s="9">
        <v>0</v>
      </c>
      <c r="DR12" s="9">
        <v>0</v>
      </c>
      <c r="DS12" s="9">
        <v>0</v>
      </c>
      <c r="DT12" s="9">
        <v>0</v>
      </c>
      <c r="DU12" s="9">
        <v>0</v>
      </c>
      <c r="DV12" s="9">
        <v>0</v>
      </c>
      <c r="DW12" s="9">
        <v>0</v>
      </c>
      <c r="DX12" s="9">
        <v>0</v>
      </c>
      <c r="DY12" s="9">
        <v>0</v>
      </c>
      <c r="DZ12" s="9">
        <v>0</v>
      </c>
      <c r="EA12" s="9">
        <v>0</v>
      </c>
      <c r="EB12" s="9">
        <v>0</v>
      </c>
      <c r="EC12" s="9">
        <v>19.741</v>
      </c>
      <c r="ED12" s="9">
        <v>142321</v>
      </c>
      <c r="EE12" s="9">
        <v>0</v>
      </c>
      <c r="EF12" s="9">
        <v>0</v>
      </c>
      <c r="EG12" s="9">
        <v>0</v>
      </c>
      <c r="EH12" s="9">
        <v>130084</v>
      </c>
      <c r="EI12" s="9">
        <v>0</v>
      </c>
      <c r="EJ12" s="9">
        <v>0</v>
      </c>
      <c r="EK12" s="9">
        <v>3.9740000000000002</v>
      </c>
      <c r="EL12" s="9">
        <v>0</v>
      </c>
      <c r="EM12" s="9">
        <v>1.8620000000000001</v>
      </c>
      <c r="EN12" s="9">
        <v>0.46800000000000003</v>
      </c>
      <c r="EO12" s="9">
        <v>0</v>
      </c>
      <c r="EP12" s="9">
        <v>0</v>
      </c>
      <c r="EQ12" s="9">
        <v>6.3040000000000003</v>
      </c>
      <c r="ER12" s="9">
        <v>0</v>
      </c>
      <c r="ES12" s="9">
        <v>19.848000000000003</v>
      </c>
      <c r="ET12" s="9">
        <v>23396</v>
      </c>
      <c r="EU12" s="9">
        <v>202775</v>
      </c>
      <c r="EV12" s="9">
        <v>0</v>
      </c>
      <c r="EW12" s="9">
        <v>0</v>
      </c>
      <c r="EX12" s="9">
        <v>0</v>
      </c>
      <c r="EY12" s="9">
        <v>0</v>
      </c>
      <c r="EZ12" s="9">
        <v>3708404</v>
      </c>
      <c r="FA12" s="9">
        <v>0</v>
      </c>
      <c r="FB12" s="9">
        <v>3911179</v>
      </c>
      <c r="FC12" s="9">
        <v>0.97327799999999998</v>
      </c>
      <c r="FD12" s="9">
        <v>0</v>
      </c>
      <c r="FE12" s="9">
        <v>570540</v>
      </c>
      <c r="FF12" s="9">
        <v>128570</v>
      </c>
      <c r="FG12" s="9">
        <v>6.1239999999999996E-2</v>
      </c>
      <c r="FH12" s="9">
        <v>5.4803999999999999E-2</v>
      </c>
      <c r="FI12" s="9">
        <v>0</v>
      </c>
      <c r="FJ12" s="9">
        <v>0</v>
      </c>
      <c r="FK12" s="9">
        <v>734.27</v>
      </c>
      <c r="FL12" s="9">
        <v>4713666</v>
      </c>
      <c r="FM12" s="9">
        <v>0</v>
      </c>
      <c r="FN12" s="9">
        <v>0</v>
      </c>
      <c r="FO12" s="9">
        <v>35858</v>
      </c>
      <c r="FP12" s="9">
        <v>0</v>
      </c>
      <c r="FQ12" s="9">
        <v>35858</v>
      </c>
      <c r="FR12" s="9">
        <v>35858</v>
      </c>
      <c r="FS12" s="9">
        <v>0</v>
      </c>
      <c r="FT12" s="9">
        <v>0</v>
      </c>
      <c r="FU12" s="9">
        <v>0</v>
      </c>
      <c r="FV12" s="9">
        <v>0</v>
      </c>
      <c r="FW12" s="9">
        <v>0</v>
      </c>
      <c r="FX12" s="9">
        <v>0</v>
      </c>
      <c r="FY12" s="9">
        <v>0</v>
      </c>
      <c r="FZ12" s="9">
        <v>621</v>
      </c>
      <c r="GA12" s="9">
        <v>12.429</v>
      </c>
      <c r="GB12" s="9">
        <v>332081</v>
      </c>
      <c r="GC12" s="9">
        <v>332081</v>
      </c>
      <c r="GD12" s="9">
        <v>37.462000000000003</v>
      </c>
      <c r="GE12" s="9">
        <v>0</v>
      </c>
      <c r="GF12" s="9">
        <v>0</v>
      </c>
      <c r="GG12" s="9">
        <v>0</v>
      </c>
      <c r="GH12" s="9">
        <v>0</v>
      </c>
      <c r="GI12" s="9">
        <v>0</v>
      </c>
      <c r="GJ12" s="9">
        <v>0</v>
      </c>
      <c r="GK12" s="9">
        <v>5180</v>
      </c>
      <c r="GL12" s="9">
        <v>80006</v>
      </c>
      <c r="GM12" s="9">
        <v>0</v>
      </c>
      <c r="GN12" s="9">
        <v>248790</v>
      </c>
      <c r="GO12" s="9">
        <v>0</v>
      </c>
      <c r="GP12" s="9">
        <v>4610289</v>
      </c>
      <c r="GQ12" s="9">
        <v>4610289</v>
      </c>
      <c r="GR12" s="9">
        <v>0</v>
      </c>
      <c r="GS12" s="9">
        <v>0</v>
      </c>
      <c r="GT12" s="9">
        <v>0</v>
      </c>
      <c r="GU12" s="9">
        <v>0</v>
      </c>
      <c r="GV12" s="9">
        <v>0</v>
      </c>
      <c r="GW12" s="9">
        <v>0</v>
      </c>
      <c r="GX12" s="9">
        <v>0</v>
      </c>
      <c r="GY12" s="9">
        <v>0</v>
      </c>
      <c r="GZ12" s="9">
        <v>0</v>
      </c>
      <c r="HA12" s="9">
        <v>0</v>
      </c>
      <c r="HB12" s="9">
        <v>260786259</v>
      </c>
      <c r="HC12" s="9">
        <v>5.0923999999999997E-2</v>
      </c>
      <c r="HD12" s="9">
        <v>79981</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32469</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row>
    <row r="13" spans="1:292" x14ac:dyDescent="0.25">
      <c r="A13" s="9">
        <v>15807</v>
      </c>
      <c r="B13" s="9">
        <v>32570</v>
      </c>
      <c r="C13" s="9">
        <v>35</v>
      </c>
      <c r="D13" s="9">
        <v>2022</v>
      </c>
      <c r="E13" s="9">
        <v>5392</v>
      </c>
      <c r="F13" s="9">
        <v>0</v>
      </c>
      <c r="G13" s="9">
        <v>835.51</v>
      </c>
      <c r="H13" s="9">
        <v>754.81100000000004</v>
      </c>
      <c r="I13" s="9">
        <v>754.81100000000004</v>
      </c>
      <c r="J13" s="9">
        <v>835.51</v>
      </c>
      <c r="K13" s="9">
        <v>0</v>
      </c>
      <c r="L13" s="9">
        <v>6554</v>
      </c>
      <c r="M13" s="9">
        <v>0</v>
      </c>
      <c r="N13" s="9">
        <v>0</v>
      </c>
      <c r="O13" s="9">
        <v>0</v>
      </c>
      <c r="P13" s="9">
        <v>857.90200000000004</v>
      </c>
      <c r="Q13" s="9">
        <v>0</v>
      </c>
      <c r="R13" s="9">
        <v>274282</v>
      </c>
      <c r="S13" s="9">
        <v>319.71300000000002</v>
      </c>
      <c r="T13" s="9">
        <v>0</v>
      </c>
      <c r="U13" s="9">
        <v>274282</v>
      </c>
      <c r="V13" s="9">
        <v>71.153999999999996</v>
      </c>
      <c r="W13" s="9">
        <v>46634</v>
      </c>
      <c r="X13" s="9">
        <v>46634</v>
      </c>
      <c r="Y13" s="9">
        <v>0</v>
      </c>
      <c r="Z13" s="9">
        <v>0</v>
      </c>
      <c r="AA13" s="9">
        <v>1</v>
      </c>
      <c r="AB13" s="9">
        <v>1</v>
      </c>
      <c r="AC13" s="9">
        <v>0</v>
      </c>
      <c r="AD13" s="9" t="s">
        <v>314</v>
      </c>
      <c r="AE13" s="9">
        <v>0</v>
      </c>
      <c r="AF13" s="9">
        <v>0</v>
      </c>
      <c r="AG13" s="9">
        <v>0</v>
      </c>
      <c r="AH13" s="9">
        <v>0</v>
      </c>
      <c r="AI13" s="9">
        <v>0</v>
      </c>
      <c r="AJ13" s="9">
        <v>5104</v>
      </c>
      <c r="AK13" s="9" t="s">
        <v>651</v>
      </c>
      <c r="AL13" s="9" t="s">
        <v>38</v>
      </c>
      <c r="AM13" s="9">
        <v>0</v>
      </c>
      <c r="AN13" s="9">
        <v>0</v>
      </c>
      <c r="AO13" s="9">
        <v>0</v>
      </c>
      <c r="AP13" s="9">
        <v>0</v>
      </c>
      <c r="AQ13" s="9">
        <v>0</v>
      </c>
      <c r="AR13" s="9">
        <v>0</v>
      </c>
      <c r="AS13" s="9">
        <v>0</v>
      </c>
      <c r="AT13" s="9">
        <v>0</v>
      </c>
      <c r="AU13" s="9">
        <v>0</v>
      </c>
      <c r="AV13" s="9">
        <v>232102</v>
      </c>
      <c r="AW13" s="9">
        <v>8706541</v>
      </c>
      <c r="AX13" s="9">
        <v>8456391</v>
      </c>
      <c r="AY13" s="9">
        <v>8994293</v>
      </c>
      <c r="AZ13" s="9">
        <v>341480</v>
      </c>
      <c r="BA13" s="9">
        <v>36.082999999999998</v>
      </c>
      <c r="BB13" s="9">
        <v>32856</v>
      </c>
      <c r="BC13" s="9">
        <v>32856</v>
      </c>
      <c r="BD13" s="9">
        <v>41.776000000000003</v>
      </c>
      <c r="BE13" s="9">
        <v>0</v>
      </c>
      <c r="BF13" s="9">
        <v>7175934</v>
      </c>
      <c r="BG13" s="9">
        <v>0</v>
      </c>
      <c r="BH13" s="9">
        <v>244.358</v>
      </c>
      <c r="BI13" s="9">
        <v>67198</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182952</v>
      </c>
      <c r="CI13" s="9">
        <v>0</v>
      </c>
      <c r="CJ13" s="9">
        <v>4</v>
      </c>
      <c r="CK13" s="9">
        <v>0</v>
      </c>
      <c r="CL13" s="9">
        <v>0</v>
      </c>
      <c r="CM13" s="9">
        <v>0</v>
      </c>
      <c r="CN13" s="9">
        <v>0</v>
      </c>
      <c r="CO13" s="9">
        <v>0</v>
      </c>
      <c r="CP13" s="9">
        <v>0</v>
      </c>
      <c r="CQ13" s="9">
        <v>1</v>
      </c>
      <c r="CR13" s="9">
        <v>857.90200000000004</v>
      </c>
      <c r="CS13" s="9">
        <v>0</v>
      </c>
      <c r="CT13" s="9">
        <v>0</v>
      </c>
      <c r="CU13" s="9">
        <v>0</v>
      </c>
      <c r="CV13" s="9">
        <v>0</v>
      </c>
      <c r="CW13" s="9">
        <v>0</v>
      </c>
      <c r="CX13" s="9">
        <v>0</v>
      </c>
      <c r="CY13" s="9">
        <v>0</v>
      </c>
      <c r="CZ13" s="9">
        <v>0</v>
      </c>
      <c r="DA13" s="9">
        <v>1</v>
      </c>
      <c r="DB13" s="9">
        <v>4947031</v>
      </c>
      <c r="DC13" s="9">
        <v>0</v>
      </c>
      <c r="DD13" s="9">
        <v>0</v>
      </c>
      <c r="DE13" s="9">
        <v>1073545</v>
      </c>
      <c r="DF13" s="9">
        <v>1073545</v>
      </c>
      <c r="DG13" s="9">
        <v>819</v>
      </c>
      <c r="DH13" s="9">
        <v>0</v>
      </c>
      <c r="DI13" s="9">
        <v>0</v>
      </c>
      <c r="DJ13" s="9">
        <v>0</v>
      </c>
      <c r="DK13" s="9">
        <v>5392</v>
      </c>
      <c r="DL13" s="9">
        <v>0</v>
      </c>
      <c r="DM13" s="9">
        <v>778632</v>
      </c>
      <c r="DN13" s="9">
        <v>0</v>
      </c>
      <c r="DO13" s="9">
        <v>0</v>
      </c>
      <c r="DP13" s="9">
        <v>0</v>
      </c>
      <c r="DQ13" s="9">
        <v>0</v>
      </c>
      <c r="DR13" s="9">
        <v>0</v>
      </c>
      <c r="DS13" s="9">
        <v>0</v>
      </c>
      <c r="DT13" s="9">
        <v>0</v>
      </c>
      <c r="DU13" s="9">
        <v>0</v>
      </c>
      <c r="DV13" s="9">
        <v>0</v>
      </c>
      <c r="DW13" s="9">
        <v>0</v>
      </c>
      <c r="DX13" s="9">
        <v>0</v>
      </c>
      <c r="DY13" s="9">
        <v>0</v>
      </c>
      <c r="DZ13" s="9">
        <v>0</v>
      </c>
      <c r="EA13" s="9">
        <v>0</v>
      </c>
      <c r="EB13" s="9">
        <v>0</v>
      </c>
      <c r="EC13" s="9">
        <v>36.315000000000005</v>
      </c>
      <c r="ED13" s="9">
        <v>261809</v>
      </c>
      <c r="EE13" s="9">
        <v>0</v>
      </c>
      <c r="EF13" s="9">
        <v>0</v>
      </c>
      <c r="EG13" s="9">
        <v>0</v>
      </c>
      <c r="EH13" s="9">
        <v>488221</v>
      </c>
      <c r="EI13" s="9">
        <v>28602</v>
      </c>
      <c r="EJ13" s="9">
        <v>1.091</v>
      </c>
      <c r="EK13" s="9">
        <v>21.567</v>
      </c>
      <c r="EL13" s="9">
        <v>0</v>
      </c>
      <c r="EM13" s="9">
        <v>0.65700000000000003</v>
      </c>
      <c r="EN13" s="9">
        <v>1.5640000000000001</v>
      </c>
      <c r="EO13" s="9">
        <v>0</v>
      </c>
      <c r="EP13" s="9">
        <v>0</v>
      </c>
      <c r="EQ13" s="9">
        <v>24.879000000000001</v>
      </c>
      <c r="ER13" s="9">
        <v>0</v>
      </c>
      <c r="ES13" s="9">
        <v>74.492000000000004</v>
      </c>
      <c r="ET13" s="9">
        <v>18292</v>
      </c>
      <c r="EU13" s="9">
        <v>341480</v>
      </c>
      <c r="EV13" s="9">
        <v>0</v>
      </c>
      <c r="EW13" s="9">
        <v>0</v>
      </c>
      <c r="EX13" s="9">
        <v>0</v>
      </c>
      <c r="EY13" s="9">
        <v>0</v>
      </c>
      <c r="EZ13" s="9">
        <v>7117723</v>
      </c>
      <c r="FA13" s="9">
        <v>0</v>
      </c>
      <c r="FB13" s="9">
        <v>7459203</v>
      </c>
      <c r="FC13" s="9">
        <v>0.97327799999999998</v>
      </c>
      <c r="FD13" s="9">
        <v>0</v>
      </c>
      <c r="FE13" s="9">
        <v>1092479</v>
      </c>
      <c r="FF13" s="9">
        <v>246189</v>
      </c>
      <c r="FG13" s="9">
        <v>6.1239999999999996E-2</v>
      </c>
      <c r="FH13" s="9">
        <v>5.4803999999999999E-2</v>
      </c>
      <c r="FI13" s="9">
        <v>0</v>
      </c>
      <c r="FJ13" s="9">
        <v>0</v>
      </c>
      <c r="FK13" s="9">
        <v>1405.992</v>
      </c>
      <c r="FL13" s="9">
        <v>8980823</v>
      </c>
      <c r="FM13" s="9">
        <v>0</v>
      </c>
      <c r="FN13" s="9">
        <v>0</v>
      </c>
      <c r="FO13" s="9">
        <v>19047</v>
      </c>
      <c r="FP13" s="9">
        <v>0</v>
      </c>
      <c r="FQ13" s="9">
        <v>19047</v>
      </c>
      <c r="FR13" s="9">
        <v>19047</v>
      </c>
      <c r="FS13" s="9">
        <v>0</v>
      </c>
      <c r="FT13" s="9">
        <v>0</v>
      </c>
      <c r="FU13" s="9">
        <v>0</v>
      </c>
      <c r="FV13" s="9">
        <v>0</v>
      </c>
      <c r="FW13" s="9">
        <v>0</v>
      </c>
      <c r="FX13" s="9">
        <v>0</v>
      </c>
      <c r="FY13" s="9">
        <v>0</v>
      </c>
      <c r="FZ13" s="9">
        <v>370</v>
      </c>
      <c r="GA13" s="9">
        <v>7.4</v>
      </c>
      <c r="GB13" s="9">
        <v>494260</v>
      </c>
      <c r="GC13" s="9">
        <v>494260</v>
      </c>
      <c r="GD13" s="9">
        <v>55.82</v>
      </c>
      <c r="GE13" s="9">
        <v>0</v>
      </c>
      <c r="GF13" s="9">
        <v>0</v>
      </c>
      <c r="GG13" s="9">
        <v>0</v>
      </c>
      <c r="GH13" s="9">
        <v>0</v>
      </c>
      <c r="GI13" s="9">
        <v>0</v>
      </c>
      <c r="GJ13" s="9">
        <v>0</v>
      </c>
      <c r="GK13" s="9">
        <v>5220</v>
      </c>
      <c r="GL13" s="9">
        <v>23309</v>
      </c>
      <c r="GM13" s="9">
        <v>0</v>
      </c>
      <c r="GN13" s="9">
        <v>0</v>
      </c>
      <c r="GO13" s="9">
        <v>0</v>
      </c>
      <c r="GP13" s="9">
        <v>8797871</v>
      </c>
      <c r="GQ13" s="9">
        <v>8797871</v>
      </c>
      <c r="GR13" s="9">
        <v>0</v>
      </c>
      <c r="GS13" s="9">
        <v>0</v>
      </c>
      <c r="GT13" s="9">
        <v>0</v>
      </c>
      <c r="GU13" s="9">
        <v>0</v>
      </c>
      <c r="GV13" s="9">
        <v>0</v>
      </c>
      <c r="GW13" s="9">
        <v>0</v>
      </c>
      <c r="GX13" s="9">
        <v>0</v>
      </c>
      <c r="GY13" s="9">
        <v>0</v>
      </c>
      <c r="GZ13" s="9">
        <v>0</v>
      </c>
      <c r="HA13" s="9">
        <v>0</v>
      </c>
      <c r="HB13" s="9">
        <v>260786259</v>
      </c>
      <c r="HC13" s="9">
        <v>5.0923999999999997E-2</v>
      </c>
      <c r="HD13" s="9">
        <v>164660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32469</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row>
    <row r="14" spans="1:292" x14ac:dyDescent="0.25">
      <c r="A14" s="9">
        <v>15808</v>
      </c>
      <c r="B14" s="9">
        <v>32570</v>
      </c>
      <c r="C14" s="9">
        <v>35</v>
      </c>
      <c r="D14" s="9">
        <v>2022</v>
      </c>
      <c r="E14" s="9">
        <v>5392</v>
      </c>
      <c r="F14" s="9">
        <v>0</v>
      </c>
      <c r="G14" s="9">
        <v>768.048</v>
      </c>
      <c r="H14" s="9">
        <v>621.35300000000007</v>
      </c>
      <c r="I14" s="9">
        <v>621.35300000000007</v>
      </c>
      <c r="J14" s="9">
        <v>768.048</v>
      </c>
      <c r="K14" s="9">
        <v>0</v>
      </c>
      <c r="L14" s="9">
        <v>6554</v>
      </c>
      <c r="M14" s="9">
        <v>0</v>
      </c>
      <c r="N14" s="9">
        <v>0</v>
      </c>
      <c r="O14" s="9">
        <v>0</v>
      </c>
      <c r="P14" s="9">
        <v>806.97900000000004</v>
      </c>
      <c r="Q14" s="9">
        <v>0</v>
      </c>
      <c r="R14" s="9">
        <v>258002</v>
      </c>
      <c r="S14" s="9">
        <v>319.71300000000002</v>
      </c>
      <c r="T14" s="9">
        <v>0</v>
      </c>
      <c r="U14" s="9">
        <v>258002</v>
      </c>
      <c r="V14" s="9">
        <v>8.1150000000000002</v>
      </c>
      <c r="W14" s="9">
        <v>5319</v>
      </c>
      <c r="X14" s="9">
        <v>5319</v>
      </c>
      <c r="Y14" s="9">
        <v>0</v>
      </c>
      <c r="Z14" s="9">
        <v>0</v>
      </c>
      <c r="AA14" s="9">
        <v>1</v>
      </c>
      <c r="AB14" s="9">
        <v>1</v>
      </c>
      <c r="AC14" s="9">
        <v>0</v>
      </c>
      <c r="AD14" s="9" t="s">
        <v>314</v>
      </c>
      <c r="AE14" s="9">
        <v>0</v>
      </c>
      <c r="AF14" s="9">
        <v>0</v>
      </c>
      <c r="AG14" s="9">
        <v>0</v>
      </c>
      <c r="AH14" s="9">
        <v>0</v>
      </c>
      <c r="AI14" s="9">
        <v>0</v>
      </c>
      <c r="AJ14" s="9">
        <v>5104</v>
      </c>
      <c r="AK14" s="9" t="s">
        <v>651</v>
      </c>
      <c r="AL14" s="9" t="s">
        <v>438</v>
      </c>
      <c r="AM14" s="9">
        <v>0</v>
      </c>
      <c r="AN14" s="9">
        <v>0</v>
      </c>
      <c r="AO14" s="9">
        <v>0</v>
      </c>
      <c r="AP14" s="9">
        <v>0</v>
      </c>
      <c r="AQ14" s="9">
        <v>0</v>
      </c>
      <c r="AR14" s="9">
        <v>0</v>
      </c>
      <c r="AS14" s="9">
        <v>0</v>
      </c>
      <c r="AT14" s="9">
        <v>0</v>
      </c>
      <c r="AU14" s="9">
        <v>0</v>
      </c>
      <c r="AV14" s="9">
        <v>415669</v>
      </c>
      <c r="AW14" s="9">
        <v>10468941</v>
      </c>
      <c r="AX14" s="9">
        <v>10213249</v>
      </c>
      <c r="AY14" s="9">
        <v>10555878</v>
      </c>
      <c r="AZ14" s="9">
        <v>362329</v>
      </c>
      <c r="BA14" s="9">
        <v>0</v>
      </c>
      <c r="BB14" s="9">
        <v>0</v>
      </c>
      <c r="BC14" s="9">
        <v>0</v>
      </c>
      <c r="BD14" s="9">
        <v>0</v>
      </c>
      <c r="BE14" s="9">
        <v>0</v>
      </c>
      <c r="BF14" s="9">
        <v>8625372</v>
      </c>
      <c r="BG14" s="9">
        <v>0</v>
      </c>
      <c r="BH14" s="9">
        <v>379.37100000000004</v>
      </c>
      <c r="BI14" s="9">
        <v>104327</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151365</v>
      </c>
      <c r="CI14" s="9">
        <v>0</v>
      </c>
      <c r="CJ14" s="9">
        <v>4</v>
      </c>
      <c r="CK14" s="9">
        <v>0</v>
      </c>
      <c r="CL14" s="9">
        <v>0</v>
      </c>
      <c r="CM14" s="9">
        <v>0</v>
      </c>
      <c r="CN14" s="9">
        <v>0</v>
      </c>
      <c r="CO14" s="9">
        <v>0</v>
      </c>
      <c r="CP14" s="9">
        <v>0</v>
      </c>
      <c r="CQ14" s="9">
        <v>0</v>
      </c>
      <c r="CR14" s="9">
        <v>806.97900000000004</v>
      </c>
      <c r="CS14" s="9">
        <v>0</v>
      </c>
      <c r="CT14" s="9">
        <v>0</v>
      </c>
      <c r="CU14" s="9">
        <v>0</v>
      </c>
      <c r="CV14" s="9">
        <v>0</v>
      </c>
      <c r="CW14" s="9">
        <v>0</v>
      </c>
      <c r="CX14" s="9">
        <v>0</v>
      </c>
      <c r="CY14" s="9">
        <v>0</v>
      </c>
      <c r="CZ14" s="9">
        <v>0</v>
      </c>
      <c r="DA14" s="9">
        <v>1</v>
      </c>
      <c r="DB14" s="9">
        <v>4072348</v>
      </c>
      <c r="DC14" s="9">
        <v>0</v>
      </c>
      <c r="DD14" s="9">
        <v>0</v>
      </c>
      <c r="DE14" s="9">
        <v>757420</v>
      </c>
      <c r="DF14" s="9">
        <v>757420</v>
      </c>
      <c r="DG14" s="9">
        <v>577.83000000000004</v>
      </c>
      <c r="DH14" s="9">
        <v>0</v>
      </c>
      <c r="DI14" s="9">
        <v>0</v>
      </c>
      <c r="DJ14" s="9">
        <v>0</v>
      </c>
      <c r="DK14" s="9">
        <v>5392</v>
      </c>
      <c r="DL14" s="9">
        <v>0</v>
      </c>
      <c r="DM14" s="9">
        <v>4027105</v>
      </c>
      <c r="DN14" s="9">
        <v>0</v>
      </c>
      <c r="DO14" s="9">
        <v>0</v>
      </c>
      <c r="DP14" s="9">
        <v>0</v>
      </c>
      <c r="DQ14" s="9">
        <v>0</v>
      </c>
      <c r="DR14" s="9">
        <v>0</v>
      </c>
      <c r="DS14" s="9">
        <v>0</v>
      </c>
      <c r="DT14" s="9">
        <v>0</v>
      </c>
      <c r="DU14" s="9">
        <v>0</v>
      </c>
      <c r="DV14" s="9">
        <v>0</v>
      </c>
      <c r="DW14" s="9">
        <v>0</v>
      </c>
      <c r="DX14" s="9">
        <v>0</v>
      </c>
      <c r="DY14" s="9">
        <v>0</v>
      </c>
      <c r="DZ14" s="9">
        <v>0</v>
      </c>
      <c r="EA14" s="9">
        <v>5.5E-2</v>
      </c>
      <c r="EB14" s="9">
        <v>0</v>
      </c>
      <c r="EC14" s="9">
        <v>30.809000000000001</v>
      </c>
      <c r="ED14" s="9">
        <v>222114</v>
      </c>
      <c r="EE14" s="9">
        <v>0</v>
      </c>
      <c r="EF14" s="9">
        <v>0</v>
      </c>
      <c r="EG14" s="9">
        <v>0</v>
      </c>
      <c r="EH14" s="9">
        <v>197538</v>
      </c>
      <c r="EI14" s="9">
        <v>3607453</v>
      </c>
      <c r="EJ14" s="9">
        <v>137.60500000000002</v>
      </c>
      <c r="EK14" s="9">
        <v>7.6550000000000002</v>
      </c>
      <c r="EL14" s="9">
        <v>0</v>
      </c>
      <c r="EM14" s="9">
        <v>0</v>
      </c>
      <c r="EN14" s="9">
        <v>1.3800000000000001</v>
      </c>
      <c r="EO14" s="9">
        <v>0</v>
      </c>
      <c r="EP14" s="9">
        <v>0</v>
      </c>
      <c r="EQ14" s="9">
        <v>146.69499999999999</v>
      </c>
      <c r="ER14" s="9">
        <v>0</v>
      </c>
      <c r="ES14" s="9">
        <v>30.14</v>
      </c>
      <c r="ET14" s="9">
        <v>0</v>
      </c>
      <c r="EU14" s="9">
        <v>362329</v>
      </c>
      <c r="EV14" s="9">
        <v>0</v>
      </c>
      <c r="EW14" s="9">
        <v>0</v>
      </c>
      <c r="EX14" s="9">
        <v>0</v>
      </c>
      <c r="EY14" s="9">
        <v>0</v>
      </c>
      <c r="EZ14" s="9">
        <v>8604190</v>
      </c>
      <c r="FA14" s="9">
        <v>0</v>
      </c>
      <c r="FB14" s="9">
        <v>8966519</v>
      </c>
      <c r="FC14" s="9">
        <v>0.97327799999999998</v>
      </c>
      <c r="FD14" s="9">
        <v>0</v>
      </c>
      <c r="FE14" s="9">
        <v>1313144</v>
      </c>
      <c r="FF14" s="9">
        <v>295915</v>
      </c>
      <c r="FG14" s="9">
        <v>6.1239999999999996E-2</v>
      </c>
      <c r="FH14" s="9">
        <v>5.4803999999999999E-2</v>
      </c>
      <c r="FI14" s="9">
        <v>0</v>
      </c>
      <c r="FJ14" s="9">
        <v>0</v>
      </c>
      <c r="FK14" s="9">
        <v>1689.982</v>
      </c>
      <c r="FL14" s="9">
        <v>10726943</v>
      </c>
      <c r="FM14" s="9">
        <v>0</v>
      </c>
      <c r="FN14" s="9">
        <v>0</v>
      </c>
      <c r="FO14" s="9">
        <v>0</v>
      </c>
      <c r="FP14" s="9">
        <v>0</v>
      </c>
      <c r="FQ14" s="9">
        <v>0</v>
      </c>
      <c r="FR14" s="9">
        <v>0</v>
      </c>
      <c r="FS14" s="9">
        <v>0</v>
      </c>
      <c r="FT14" s="9">
        <v>0</v>
      </c>
      <c r="FU14" s="9">
        <v>0</v>
      </c>
      <c r="FV14" s="9">
        <v>0</v>
      </c>
      <c r="FW14" s="9">
        <v>0</v>
      </c>
      <c r="FX14" s="9">
        <v>0</v>
      </c>
      <c r="FY14" s="9">
        <v>0</v>
      </c>
      <c r="FZ14" s="9">
        <v>0</v>
      </c>
      <c r="GA14" s="9">
        <v>0</v>
      </c>
      <c r="GB14" s="9">
        <v>0</v>
      </c>
      <c r="GC14" s="9">
        <v>0</v>
      </c>
      <c r="GD14" s="9">
        <v>0</v>
      </c>
      <c r="GE14" s="9">
        <v>0</v>
      </c>
      <c r="GF14" s="9">
        <v>0</v>
      </c>
      <c r="GG14" s="9">
        <v>0</v>
      </c>
      <c r="GH14" s="9">
        <v>0</v>
      </c>
      <c r="GI14" s="9">
        <v>0</v>
      </c>
      <c r="GJ14" s="9">
        <v>0</v>
      </c>
      <c r="GK14" s="9">
        <v>5115</v>
      </c>
      <c r="GL14" s="9">
        <v>21253</v>
      </c>
      <c r="GM14" s="9">
        <v>0</v>
      </c>
      <c r="GN14" s="9">
        <v>0</v>
      </c>
      <c r="GO14" s="9">
        <v>0</v>
      </c>
      <c r="GP14" s="9">
        <v>10575578</v>
      </c>
      <c r="GQ14" s="9">
        <v>10575578</v>
      </c>
      <c r="GR14" s="9">
        <v>0</v>
      </c>
      <c r="GS14" s="9">
        <v>0</v>
      </c>
      <c r="GT14" s="9">
        <v>0</v>
      </c>
      <c r="GU14" s="9">
        <v>0</v>
      </c>
      <c r="GV14" s="9">
        <v>0</v>
      </c>
      <c r="GW14" s="9">
        <v>0</v>
      </c>
      <c r="GX14" s="9">
        <v>0</v>
      </c>
      <c r="GY14" s="9">
        <v>0</v>
      </c>
      <c r="GZ14" s="9">
        <v>0</v>
      </c>
      <c r="HA14" s="9">
        <v>0</v>
      </c>
      <c r="HB14" s="9">
        <v>260786259</v>
      </c>
      <c r="HC14" s="9">
        <v>5.0923999999999997E-2</v>
      </c>
      <c r="HD14" s="9">
        <v>151365</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32469</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row>
    <row r="15" spans="1:292" x14ac:dyDescent="0.25">
      <c r="A15" s="9">
        <v>15809</v>
      </c>
      <c r="B15" s="9">
        <v>32570</v>
      </c>
      <c r="C15" s="9">
        <v>35</v>
      </c>
      <c r="D15" s="9">
        <v>2022</v>
      </c>
      <c r="E15" s="9">
        <v>5392</v>
      </c>
      <c r="F15" s="9">
        <v>0</v>
      </c>
      <c r="G15" s="9">
        <v>278.81100000000004</v>
      </c>
      <c r="H15" s="9">
        <v>267.69900000000001</v>
      </c>
      <c r="I15" s="9">
        <v>267.69900000000001</v>
      </c>
      <c r="J15" s="9">
        <v>278.81100000000004</v>
      </c>
      <c r="K15" s="9">
        <v>0</v>
      </c>
      <c r="L15" s="9">
        <v>6554</v>
      </c>
      <c r="M15" s="9">
        <v>0</v>
      </c>
      <c r="N15" s="9">
        <v>0</v>
      </c>
      <c r="O15" s="9">
        <v>0</v>
      </c>
      <c r="P15" s="9">
        <v>270.78300000000002</v>
      </c>
      <c r="Q15" s="9">
        <v>0</v>
      </c>
      <c r="R15" s="9">
        <v>86573</v>
      </c>
      <c r="S15" s="9">
        <v>319.71300000000002</v>
      </c>
      <c r="T15" s="9">
        <v>0</v>
      </c>
      <c r="U15" s="9">
        <v>86573</v>
      </c>
      <c r="V15" s="9">
        <v>77.537999999999997</v>
      </c>
      <c r="W15" s="9">
        <v>50818</v>
      </c>
      <c r="X15" s="9">
        <v>50818</v>
      </c>
      <c r="Y15" s="9">
        <v>0</v>
      </c>
      <c r="Z15" s="9">
        <v>0</v>
      </c>
      <c r="AA15" s="9">
        <v>1</v>
      </c>
      <c r="AB15" s="9">
        <v>1</v>
      </c>
      <c r="AC15" s="9">
        <v>0</v>
      </c>
      <c r="AD15" s="9" t="s">
        <v>314</v>
      </c>
      <c r="AE15" s="9">
        <v>0</v>
      </c>
      <c r="AF15" s="9">
        <v>0</v>
      </c>
      <c r="AG15" s="9">
        <v>0</v>
      </c>
      <c r="AH15" s="9">
        <v>0</v>
      </c>
      <c r="AI15" s="9">
        <v>0</v>
      </c>
      <c r="AJ15" s="9">
        <v>5104</v>
      </c>
      <c r="AK15" s="9" t="s">
        <v>651</v>
      </c>
      <c r="AL15" s="9" t="s">
        <v>37</v>
      </c>
      <c r="AM15" s="9">
        <v>0</v>
      </c>
      <c r="AN15" s="9">
        <v>0</v>
      </c>
      <c r="AO15" s="9">
        <v>0</v>
      </c>
      <c r="AP15" s="9">
        <v>0</v>
      </c>
      <c r="AQ15" s="9">
        <v>0</v>
      </c>
      <c r="AR15" s="9">
        <v>0</v>
      </c>
      <c r="AS15" s="9">
        <v>0</v>
      </c>
      <c r="AT15" s="9">
        <v>0</v>
      </c>
      <c r="AU15" s="9">
        <v>0</v>
      </c>
      <c r="AV15" s="9">
        <v>204960</v>
      </c>
      <c r="AW15" s="9">
        <v>2945529</v>
      </c>
      <c r="AX15" s="9">
        <v>2890582</v>
      </c>
      <c r="AY15" s="9">
        <v>3277193</v>
      </c>
      <c r="AZ15" s="9">
        <v>86573</v>
      </c>
      <c r="BA15" s="9">
        <v>0</v>
      </c>
      <c r="BB15" s="9">
        <v>0</v>
      </c>
      <c r="BC15" s="9">
        <v>0</v>
      </c>
      <c r="BD15" s="9">
        <v>0</v>
      </c>
      <c r="BE15" s="9">
        <v>0</v>
      </c>
      <c r="BF15" s="9">
        <v>2452340</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54947</v>
      </c>
      <c r="CI15" s="9">
        <v>0</v>
      </c>
      <c r="CJ15" s="9">
        <v>4</v>
      </c>
      <c r="CK15" s="9">
        <v>0</v>
      </c>
      <c r="CL15" s="9">
        <v>0</v>
      </c>
      <c r="CM15" s="9">
        <v>0</v>
      </c>
      <c r="CN15" s="9">
        <v>0</v>
      </c>
      <c r="CO15" s="9">
        <v>0</v>
      </c>
      <c r="CP15" s="9">
        <v>0</v>
      </c>
      <c r="CQ15" s="9">
        <v>0</v>
      </c>
      <c r="CR15" s="9">
        <v>270.78300000000002</v>
      </c>
      <c r="CS15" s="9">
        <v>0</v>
      </c>
      <c r="CT15" s="9">
        <v>0</v>
      </c>
      <c r="CU15" s="9">
        <v>0</v>
      </c>
      <c r="CV15" s="9">
        <v>0</v>
      </c>
      <c r="CW15" s="9">
        <v>0</v>
      </c>
      <c r="CX15" s="9">
        <v>0</v>
      </c>
      <c r="CY15" s="9">
        <v>0</v>
      </c>
      <c r="CZ15" s="9">
        <v>0</v>
      </c>
      <c r="DA15" s="9">
        <v>1</v>
      </c>
      <c r="DB15" s="9">
        <v>1754499</v>
      </c>
      <c r="DC15" s="9">
        <v>0</v>
      </c>
      <c r="DD15" s="9">
        <v>0</v>
      </c>
      <c r="DE15" s="9">
        <v>458780</v>
      </c>
      <c r="DF15" s="9">
        <v>458780</v>
      </c>
      <c r="DG15" s="9">
        <v>350</v>
      </c>
      <c r="DH15" s="9">
        <v>0</v>
      </c>
      <c r="DI15" s="9">
        <v>0</v>
      </c>
      <c r="DJ15" s="9">
        <v>0</v>
      </c>
      <c r="DK15" s="9">
        <v>5392</v>
      </c>
      <c r="DL15" s="9">
        <v>0</v>
      </c>
      <c r="DM15" s="9">
        <v>255575</v>
      </c>
      <c r="DN15" s="9">
        <v>0</v>
      </c>
      <c r="DO15" s="9">
        <v>0</v>
      </c>
      <c r="DP15" s="9">
        <v>0</v>
      </c>
      <c r="DQ15" s="9">
        <v>0</v>
      </c>
      <c r="DR15" s="9">
        <v>0</v>
      </c>
      <c r="DS15" s="9">
        <v>0</v>
      </c>
      <c r="DT15" s="9">
        <v>0</v>
      </c>
      <c r="DU15" s="9">
        <v>0</v>
      </c>
      <c r="DV15" s="9">
        <v>0</v>
      </c>
      <c r="DW15" s="9">
        <v>0</v>
      </c>
      <c r="DX15" s="9">
        <v>0</v>
      </c>
      <c r="DY15" s="9">
        <v>0</v>
      </c>
      <c r="DZ15" s="9">
        <v>0</v>
      </c>
      <c r="EA15" s="9">
        <v>0</v>
      </c>
      <c r="EB15" s="9">
        <v>0</v>
      </c>
      <c r="EC15" s="9">
        <v>3.8940000000000001</v>
      </c>
      <c r="ED15" s="9">
        <v>28073</v>
      </c>
      <c r="EE15" s="9">
        <v>0</v>
      </c>
      <c r="EF15" s="9">
        <v>0</v>
      </c>
      <c r="EG15" s="9">
        <v>0</v>
      </c>
      <c r="EH15" s="9">
        <v>227502</v>
      </c>
      <c r="EI15" s="9">
        <v>0</v>
      </c>
      <c r="EJ15" s="9">
        <v>0</v>
      </c>
      <c r="EK15" s="9">
        <v>10.267000000000001</v>
      </c>
      <c r="EL15" s="9">
        <v>0</v>
      </c>
      <c r="EM15" s="9">
        <v>0.157</v>
      </c>
      <c r="EN15" s="9">
        <v>0.68800000000000006</v>
      </c>
      <c r="EO15" s="9">
        <v>0</v>
      </c>
      <c r="EP15" s="9">
        <v>0</v>
      </c>
      <c r="EQ15" s="9">
        <v>11.112</v>
      </c>
      <c r="ER15" s="9">
        <v>0</v>
      </c>
      <c r="ES15" s="9">
        <v>34.712000000000003</v>
      </c>
      <c r="ET15" s="9">
        <v>0</v>
      </c>
      <c r="EU15" s="9">
        <v>86573</v>
      </c>
      <c r="EV15" s="9">
        <v>0</v>
      </c>
      <c r="EW15" s="9">
        <v>0</v>
      </c>
      <c r="EX15" s="9">
        <v>0</v>
      </c>
      <c r="EY15" s="9">
        <v>0</v>
      </c>
      <c r="EZ15" s="9">
        <v>2433099</v>
      </c>
      <c r="FA15" s="9">
        <v>0</v>
      </c>
      <c r="FB15" s="9">
        <v>2519672</v>
      </c>
      <c r="FC15" s="9">
        <v>0.97327799999999998</v>
      </c>
      <c r="FD15" s="9">
        <v>0</v>
      </c>
      <c r="FE15" s="9">
        <v>373349</v>
      </c>
      <c r="FF15" s="9">
        <v>84134</v>
      </c>
      <c r="FG15" s="9">
        <v>6.1239999999999996E-2</v>
      </c>
      <c r="FH15" s="9">
        <v>5.4803999999999999E-2</v>
      </c>
      <c r="FI15" s="9">
        <v>0</v>
      </c>
      <c r="FJ15" s="9">
        <v>0</v>
      </c>
      <c r="FK15" s="9">
        <v>480.49100000000004</v>
      </c>
      <c r="FL15" s="9">
        <v>3032102</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2977155</v>
      </c>
      <c r="GQ15" s="9">
        <v>2977155</v>
      </c>
      <c r="GR15" s="9">
        <v>0</v>
      </c>
      <c r="GS15" s="9">
        <v>0</v>
      </c>
      <c r="GT15" s="9">
        <v>0</v>
      </c>
      <c r="GU15" s="9">
        <v>0</v>
      </c>
      <c r="GV15" s="9">
        <v>0</v>
      </c>
      <c r="GW15" s="9">
        <v>0</v>
      </c>
      <c r="GX15" s="9">
        <v>0</v>
      </c>
      <c r="GY15" s="9">
        <v>0</v>
      </c>
      <c r="GZ15" s="9">
        <v>0</v>
      </c>
      <c r="HA15" s="9">
        <v>0</v>
      </c>
      <c r="HB15" s="9">
        <v>260786259</v>
      </c>
      <c r="HC15" s="9">
        <v>5.0923999999999997E-2</v>
      </c>
      <c r="HD15" s="9">
        <v>54947</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34493</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row>
    <row r="16" spans="1:292" x14ac:dyDescent="0.25">
      <c r="A16" s="9">
        <v>15814</v>
      </c>
      <c r="B16" s="9">
        <v>32570</v>
      </c>
      <c r="C16" s="9">
        <v>35</v>
      </c>
      <c r="D16" s="9">
        <v>2022</v>
      </c>
      <c r="E16" s="9">
        <v>5392</v>
      </c>
      <c r="F16" s="9">
        <v>0</v>
      </c>
      <c r="G16" s="9">
        <v>111.08500000000001</v>
      </c>
      <c r="H16" s="9">
        <v>108.35300000000001</v>
      </c>
      <c r="I16" s="9">
        <v>108.35300000000001</v>
      </c>
      <c r="J16" s="9">
        <v>111.08500000000001</v>
      </c>
      <c r="K16" s="9">
        <v>0</v>
      </c>
      <c r="L16" s="9">
        <v>6554</v>
      </c>
      <c r="M16" s="9">
        <v>0</v>
      </c>
      <c r="N16" s="9">
        <v>0</v>
      </c>
      <c r="O16" s="9">
        <v>0</v>
      </c>
      <c r="P16" s="9">
        <v>102.14200000000001</v>
      </c>
      <c r="Q16" s="9">
        <v>0</v>
      </c>
      <c r="R16" s="9">
        <v>32656</v>
      </c>
      <c r="S16" s="9">
        <v>319.71300000000002</v>
      </c>
      <c r="T16" s="9">
        <v>0</v>
      </c>
      <c r="U16" s="9">
        <v>32656</v>
      </c>
      <c r="V16" s="9">
        <v>0</v>
      </c>
      <c r="W16" s="9">
        <v>0</v>
      </c>
      <c r="X16" s="9">
        <v>0</v>
      </c>
      <c r="Y16" s="9">
        <v>0</v>
      </c>
      <c r="Z16" s="9">
        <v>0</v>
      </c>
      <c r="AA16" s="9">
        <v>1</v>
      </c>
      <c r="AB16" s="9">
        <v>1</v>
      </c>
      <c r="AC16" s="9">
        <v>0</v>
      </c>
      <c r="AD16" s="9" t="s">
        <v>314</v>
      </c>
      <c r="AE16" s="9">
        <v>0</v>
      </c>
      <c r="AF16" s="9">
        <v>0</v>
      </c>
      <c r="AG16" s="9">
        <v>0</v>
      </c>
      <c r="AH16" s="9">
        <v>0</v>
      </c>
      <c r="AI16" s="9">
        <v>0</v>
      </c>
      <c r="AJ16" s="9">
        <v>5104</v>
      </c>
      <c r="AK16" s="9" t="s">
        <v>651</v>
      </c>
      <c r="AL16" s="9" t="s">
        <v>39</v>
      </c>
      <c r="AM16" s="9">
        <v>0</v>
      </c>
      <c r="AN16" s="9">
        <v>0</v>
      </c>
      <c r="AO16" s="9">
        <v>0</v>
      </c>
      <c r="AP16" s="9">
        <v>0</v>
      </c>
      <c r="AQ16" s="9">
        <v>0</v>
      </c>
      <c r="AR16" s="9">
        <v>0</v>
      </c>
      <c r="AS16" s="9">
        <v>0</v>
      </c>
      <c r="AT16" s="9">
        <v>0</v>
      </c>
      <c r="AU16" s="9">
        <v>0</v>
      </c>
      <c r="AV16" s="9">
        <v>1599</v>
      </c>
      <c r="AW16" s="9">
        <v>1231363</v>
      </c>
      <c r="AX16" s="9">
        <v>1178924</v>
      </c>
      <c r="AY16" s="9">
        <v>1229669</v>
      </c>
      <c r="AZ16" s="9">
        <v>63203</v>
      </c>
      <c r="BA16" s="9">
        <v>0</v>
      </c>
      <c r="BB16" s="9">
        <v>0</v>
      </c>
      <c r="BC16" s="9">
        <v>0</v>
      </c>
      <c r="BD16" s="9">
        <v>0</v>
      </c>
      <c r="BE16" s="9">
        <v>0</v>
      </c>
      <c r="BF16" s="9">
        <v>993965</v>
      </c>
      <c r="BG16" s="9">
        <v>0</v>
      </c>
      <c r="BH16" s="9">
        <v>111.081</v>
      </c>
      <c r="BI16" s="9">
        <v>30547</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21892</v>
      </c>
      <c r="CI16" s="9">
        <v>0</v>
      </c>
      <c r="CJ16" s="9">
        <v>4</v>
      </c>
      <c r="CK16" s="9">
        <v>0</v>
      </c>
      <c r="CL16" s="9">
        <v>0</v>
      </c>
      <c r="CM16" s="9">
        <v>0</v>
      </c>
      <c r="CN16" s="9">
        <v>0</v>
      </c>
      <c r="CO16" s="9">
        <v>0</v>
      </c>
      <c r="CP16" s="9">
        <v>0.47500000000000003</v>
      </c>
      <c r="CQ16" s="9">
        <v>0</v>
      </c>
      <c r="CR16" s="9">
        <v>102.14200000000001</v>
      </c>
      <c r="CS16" s="9">
        <v>0</v>
      </c>
      <c r="CT16" s="9">
        <v>0</v>
      </c>
      <c r="CU16" s="9">
        <v>0</v>
      </c>
      <c r="CV16" s="9">
        <v>0</v>
      </c>
      <c r="CW16" s="9">
        <v>0</v>
      </c>
      <c r="CX16" s="9">
        <v>0</v>
      </c>
      <c r="CY16" s="9">
        <v>0</v>
      </c>
      <c r="CZ16" s="9">
        <v>0</v>
      </c>
      <c r="DA16" s="9">
        <v>1</v>
      </c>
      <c r="DB16" s="9">
        <v>710146</v>
      </c>
      <c r="DC16" s="9">
        <v>0</v>
      </c>
      <c r="DD16" s="9">
        <v>0</v>
      </c>
      <c r="DE16" s="9">
        <v>164938</v>
      </c>
      <c r="DF16" s="9">
        <v>172441</v>
      </c>
      <c r="DG16" s="9">
        <v>125.83</v>
      </c>
      <c r="DH16" s="9">
        <v>0</v>
      </c>
      <c r="DI16" s="9">
        <v>7503</v>
      </c>
      <c r="DJ16" s="9">
        <v>0</v>
      </c>
      <c r="DK16" s="9">
        <v>5392</v>
      </c>
      <c r="DL16" s="9">
        <v>0</v>
      </c>
      <c r="DM16" s="9">
        <v>114593</v>
      </c>
      <c r="DN16" s="9">
        <v>0</v>
      </c>
      <c r="DO16" s="9">
        <v>0</v>
      </c>
      <c r="DP16" s="9">
        <v>0</v>
      </c>
      <c r="DQ16" s="9">
        <v>0</v>
      </c>
      <c r="DR16" s="9">
        <v>0</v>
      </c>
      <c r="DS16" s="9">
        <v>0</v>
      </c>
      <c r="DT16" s="9">
        <v>0</v>
      </c>
      <c r="DU16" s="9">
        <v>0</v>
      </c>
      <c r="DV16" s="9">
        <v>0</v>
      </c>
      <c r="DW16" s="9">
        <v>0</v>
      </c>
      <c r="DX16" s="9">
        <v>0</v>
      </c>
      <c r="DY16" s="9">
        <v>0</v>
      </c>
      <c r="DZ16" s="9">
        <v>0</v>
      </c>
      <c r="EA16" s="9">
        <v>0</v>
      </c>
      <c r="EB16" s="9">
        <v>0</v>
      </c>
      <c r="EC16" s="9">
        <v>15.845000000000001</v>
      </c>
      <c r="ED16" s="9">
        <v>114233</v>
      </c>
      <c r="EE16" s="9">
        <v>0</v>
      </c>
      <c r="EF16" s="9">
        <v>0</v>
      </c>
      <c r="EG16" s="9">
        <v>0</v>
      </c>
      <c r="EH16" s="9">
        <v>360</v>
      </c>
      <c r="EI16" s="9">
        <v>0</v>
      </c>
      <c r="EJ16" s="9">
        <v>0</v>
      </c>
      <c r="EK16" s="9">
        <v>0</v>
      </c>
      <c r="EL16" s="9">
        <v>0</v>
      </c>
      <c r="EM16" s="9">
        <v>0</v>
      </c>
      <c r="EN16" s="9">
        <v>1.1000000000000001E-2</v>
      </c>
      <c r="EO16" s="9">
        <v>0</v>
      </c>
      <c r="EP16" s="9">
        <v>0</v>
      </c>
      <c r="EQ16" s="9">
        <v>1.1000000000000001E-2</v>
      </c>
      <c r="ER16" s="9">
        <v>0</v>
      </c>
      <c r="ES16" s="9">
        <v>5.5E-2</v>
      </c>
      <c r="ET16" s="9">
        <v>0</v>
      </c>
      <c r="EU16" s="9">
        <v>63203</v>
      </c>
      <c r="EV16" s="9">
        <v>0</v>
      </c>
      <c r="EW16" s="9">
        <v>0</v>
      </c>
      <c r="EX16" s="9">
        <v>0</v>
      </c>
      <c r="EY16" s="9">
        <v>0</v>
      </c>
      <c r="EZ16" s="9">
        <v>993501</v>
      </c>
      <c r="FA16" s="9">
        <v>0</v>
      </c>
      <c r="FB16" s="9">
        <v>1056704</v>
      </c>
      <c r="FC16" s="9">
        <v>0.97327799999999998</v>
      </c>
      <c r="FD16" s="9">
        <v>0</v>
      </c>
      <c r="FE16" s="9">
        <v>151323</v>
      </c>
      <c r="FF16" s="9">
        <v>34100</v>
      </c>
      <c r="FG16" s="9">
        <v>6.1239999999999996E-2</v>
      </c>
      <c r="FH16" s="9">
        <v>5.4803999999999999E-2</v>
      </c>
      <c r="FI16" s="9">
        <v>0</v>
      </c>
      <c r="FJ16" s="9">
        <v>0</v>
      </c>
      <c r="FK16" s="9">
        <v>194.749</v>
      </c>
      <c r="FL16" s="9">
        <v>1264019</v>
      </c>
      <c r="FM16" s="9">
        <v>0</v>
      </c>
      <c r="FN16" s="9">
        <v>0</v>
      </c>
      <c r="FO16" s="9">
        <v>4902</v>
      </c>
      <c r="FP16" s="9">
        <v>0</v>
      </c>
      <c r="FQ16" s="9">
        <v>4902</v>
      </c>
      <c r="FR16" s="9">
        <v>4902</v>
      </c>
      <c r="FS16" s="9">
        <v>0</v>
      </c>
      <c r="FT16" s="9">
        <v>0</v>
      </c>
      <c r="FU16" s="9">
        <v>0</v>
      </c>
      <c r="FV16" s="9">
        <v>0</v>
      </c>
      <c r="FW16" s="9">
        <v>0</v>
      </c>
      <c r="FX16" s="9">
        <v>0</v>
      </c>
      <c r="FY16" s="9">
        <v>0</v>
      </c>
      <c r="FZ16" s="9">
        <v>0</v>
      </c>
      <c r="GA16" s="9">
        <v>0</v>
      </c>
      <c r="GB16" s="9">
        <v>24075</v>
      </c>
      <c r="GC16" s="9">
        <v>24075</v>
      </c>
      <c r="GD16" s="9">
        <v>2.7210000000000001</v>
      </c>
      <c r="GE16" s="9">
        <v>0</v>
      </c>
      <c r="GF16" s="9">
        <v>0</v>
      </c>
      <c r="GG16" s="9">
        <v>0</v>
      </c>
      <c r="GH16" s="9">
        <v>0</v>
      </c>
      <c r="GI16" s="9">
        <v>0</v>
      </c>
      <c r="GJ16" s="9">
        <v>0</v>
      </c>
      <c r="GK16" s="9">
        <v>5225</v>
      </c>
      <c r="GL16" s="9">
        <v>4759</v>
      </c>
      <c r="GM16" s="9">
        <v>0</v>
      </c>
      <c r="GN16" s="9">
        <v>13245</v>
      </c>
      <c r="GO16" s="9">
        <v>0</v>
      </c>
      <c r="GP16" s="9">
        <v>1242127</v>
      </c>
      <c r="GQ16" s="9">
        <v>1242127</v>
      </c>
      <c r="GR16" s="9">
        <v>0</v>
      </c>
      <c r="GS16" s="9">
        <v>0</v>
      </c>
      <c r="GT16" s="9">
        <v>0</v>
      </c>
      <c r="GU16" s="9">
        <v>0</v>
      </c>
      <c r="GV16" s="9">
        <v>0</v>
      </c>
      <c r="GW16" s="9">
        <v>0</v>
      </c>
      <c r="GX16" s="9">
        <v>0</v>
      </c>
      <c r="GY16" s="9">
        <v>0</v>
      </c>
      <c r="GZ16" s="9">
        <v>0</v>
      </c>
      <c r="HA16" s="9">
        <v>0</v>
      </c>
      <c r="HB16" s="9">
        <v>260786259</v>
      </c>
      <c r="HC16" s="9">
        <v>5.0923999999999997E-2</v>
      </c>
      <c r="HD16" s="9">
        <v>21892</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32469</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row>
    <row r="17" spans="1:292" x14ac:dyDescent="0.25">
      <c r="A17" s="9">
        <v>15815</v>
      </c>
      <c r="B17" s="9">
        <v>32570</v>
      </c>
      <c r="C17" s="9">
        <v>35</v>
      </c>
      <c r="D17" s="9">
        <v>2022</v>
      </c>
      <c r="E17" s="9">
        <v>5392</v>
      </c>
      <c r="F17" s="9">
        <v>0</v>
      </c>
      <c r="G17" s="9">
        <v>607.85900000000004</v>
      </c>
      <c r="H17" s="9">
        <v>563.43900000000008</v>
      </c>
      <c r="I17" s="9">
        <v>563.43900000000008</v>
      </c>
      <c r="J17" s="9">
        <v>607.85900000000004</v>
      </c>
      <c r="K17" s="9">
        <v>0</v>
      </c>
      <c r="L17" s="9">
        <v>6554</v>
      </c>
      <c r="M17" s="9">
        <v>0</v>
      </c>
      <c r="N17" s="9">
        <v>0</v>
      </c>
      <c r="O17" s="9">
        <v>0</v>
      </c>
      <c r="P17" s="9">
        <v>585.303</v>
      </c>
      <c r="Q17" s="9">
        <v>0</v>
      </c>
      <c r="R17" s="9">
        <v>187129</v>
      </c>
      <c r="S17" s="9">
        <v>319.71300000000002</v>
      </c>
      <c r="T17" s="9">
        <v>0</v>
      </c>
      <c r="U17" s="9">
        <v>187129</v>
      </c>
      <c r="V17" s="9">
        <v>243.309</v>
      </c>
      <c r="W17" s="9">
        <v>159465</v>
      </c>
      <c r="X17" s="9">
        <v>159465</v>
      </c>
      <c r="Y17" s="9">
        <v>0</v>
      </c>
      <c r="Z17" s="9">
        <v>0</v>
      </c>
      <c r="AA17" s="9">
        <v>1</v>
      </c>
      <c r="AB17" s="9">
        <v>1</v>
      </c>
      <c r="AC17" s="9">
        <v>0</v>
      </c>
      <c r="AD17" s="9" t="s">
        <v>314</v>
      </c>
      <c r="AE17" s="9">
        <v>0</v>
      </c>
      <c r="AF17" s="9">
        <v>0</v>
      </c>
      <c r="AG17" s="9">
        <v>0</v>
      </c>
      <c r="AH17" s="9">
        <v>0</v>
      </c>
      <c r="AI17" s="9">
        <v>0</v>
      </c>
      <c r="AJ17" s="9">
        <v>5104</v>
      </c>
      <c r="AK17" s="9" t="s">
        <v>651</v>
      </c>
      <c r="AL17" s="9" t="s">
        <v>386</v>
      </c>
      <c r="AM17" s="9">
        <v>0</v>
      </c>
      <c r="AN17" s="9">
        <v>0</v>
      </c>
      <c r="AO17" s="9">
        <v>0</v>
      </c>
      <c r="AP17" s="9">
        <v>0</v>
      </c>
      <c r="AQ17" s="9">
        <v>0</v>
      </c>
      <c r="AR17" s="9">
        <v>0</v>
      </c>
      <c r="AS17" s="9">
        <v>0</v>
      </c>
      <c r="AT17" s="9">
        <v>0</v>
      </c>
      <c r="AU17" s="9">
        <v>0</v>
      </c>
      <c r="AV17" s="9">
        <v>145766</v>
      </c>
      <c r="AW17" s="9">
        <v>6124879</v>
      </c>
      <c r="AX17" s="9">
        <v>5940607</v>
      </c>
      <c r="AY17" s="9">
        <v>6336429</v>
      </c>
      <c r="AZ17" s="9">
        <v>244981</v>
      </c>
      <c r="BA17" s="9">
        <v>13.25</v>
      </c>
      <c r="BB17" s="9">
        <v>15658</v>
      </c>
      <c r="BC17" s="9">
        <v>15658</v>
      </c>
      <c r="BD17" s="9">
        <v>19.909000000000002</v>
      </c>
      <c r="BE17" s="9">
        <v>0</v>
      </c>
      <c r="BF17" s="9">
        <v>5047535</v>
      </c>
      <c r="BG17" s="9">
        <v>0</v>
      </c>
      <c r="BH17" s="9">
        <v>153.43100000000001</v>
      </c>
      <c r="BI17" s="9">
        <v>42194</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40.960999999999999</v>
      </c>
      <c r="CB17" s="9">
        <v>15658</v>
      </c>
      <c r="CC17" s="9">
        <v>0</v>
      </c>
      <c r="CD17" s="9">
        <v>0</v>
      </c>
      <c r="CE17" s="9">
        <v>0</v>
      </c>
      <c r="CF17" s="9">
        <v>0</v>
      </c>
      <c r="CG17" s="9">
        <v>0</v>
      </c>
      <c r="CH17" s="9">
        <v>126420</v>
      </c>
      <c r="CI17" s="9">
        <v>0</v>
      </c>
      <c r="CJ17" s="9">
        <v>4</v>
      </c>
      <c r="CK17" s="9">
        <v>0</v>
      </c>
      <c r="CL17" s="9">
        <v>0</v>
      </c>
      <c r="CM17" s="9">
        <v>0</v>
      </c>
      <c r="CN17" s="9">
        <v>0</v>
      </c>
      <c r="CO17" s="9">
        <v>0</v>
      </c>
      <c r="CP17" s="9">
        <v>0</v>
      </c>
      <c r="CQ17" s="9">
        <v>0</v>
      </c>
      <c r="CR17" s="9">
        <v>585.303</v>
      </c>
      <c r="CS17" s="9">
        <v>0</v>
      </c>
      <c r="CT17" s="9">
        <v>0</v>
      </c>
      <c r="CU17" s="9">
        <v>0</v>
      </c>
      <c r="CV17" s="9">
        <v>0</v>
      </c>
      <c r="CW17" s="9">
        <v>0</v>
      </c>
      <c r="CX17" s="9">
        <v>0</v>
      </c>
      <c r="CY17" s="9">
        <v>0</v>
      </c>
      <c r="CZ17" s="9">
        <v>0</v>
      </c>
      <c r="DA17" s="9">
        <v>1</v>
      </c>
      <c r="DB17" s="9">
        <v>3692779</v>
      </c>
      <c r="DC17" s="9">
        <v>0</v>
      </c>
      <c r="DD17" s="9">
        <v>0</v>
      </c>
      <c r="DE17" s="9">
        <v>680305</v>
      </c>
      <c r="DF17" s="9">
        <v>680305</v>
      </c>
      <c r="DG17" s="9">
        <v>519</v>
      </c>
      <c r="DH17" s="9">
        <v>0</v>
      </c>
      <c r="DI17" s="9">
        <v>0</v>
      </c>
      <c r="DJ17" s="9">
        <v>0</v>
      </c>
      <c r="DK17" s="9">
        <v>5392</v>
      </c>
      <c r="DL17" s="9">
        <v>0</v>
      </c>
      <c r="DM17" s="9">
        <v>347322</v>
      </c>
      <c r="DN17" s="9">
        <v>0</v>
      </c>
      <c r="DO17" s="9">
        <v>0</v>
      </c>
      <c r="DP17" s="9">
        <v>0</v>
      </c>
      <c r="DQ17" s="9">
        <v>0</v>
      </c>
      <c r="DR17" s="9">
        <v>0</v>
      </c>
      <c r="DS17" s="9">
        <v>0</v>
      </c>
      <c r="DT17" s="9">
        <v>0</v>
      </c>
      <c r="DU17" s="9">
        <v>0</v>
      </c>
      <c r="DV17" s="9">
        <v>0</v>
      </c>
      <c r="DW17" s="9">
        <v>0</v>
      </c>
      <c r="DX17" s="9">
        <v>0</v>
      </c>
      <c r="DY17" s="9">
        <v>0</v>
      </c>
      <c r="DZ17" s="9">
        <v>0</v>
      </c>
      <c r="EA17" s="9">
        <v>0</v>
      </c>
      <c r="EB17" s="9">
        <v>0</v>
      </c>
      <c r="EC17" s="9">
        <v>15.008000000000001</v>
      </c>
      <c r="ED17" s="9">
        <v>108199</v>
      </c>
      <c r="EE17" s="9">
        <v>0</v>
      </c>
      <c r="EF17" s="9">
        <v>0</v>
      </c>
      <c r="EG17" s="9">
        <v>0</v>
      </c>
      <c r="EH17" s="9">
        <v>239123</v>
      </c>
      <c r="EI17" s="9">
        <v>0</v>
      </c>
      <c r="EJ17" s="9">
        <v>0</v>
      </c>
      <c r="EK17" s="9">
        <v>8.1270000000000007</v>
      </c>
      <c r="EL17" s="9">
        <v>0</v>
      </c>
      <c r="EM17" s="9">
        <v>2.573</v>
      </c>
      <c r="EN17" s="9">
        <v>0.877</v>
      </c>
      <c r="EO17" s="9">
        <v>0</v>
      </c>
      <c r="EP17" s="9">
        <v>0</v>
      </c>
      <c r="EQ17" s="9">
        <v>11.577</v>
      </c>
      <c r="ER17" s="9">
        <v>0</v>
      </c>
      <c r="ES17" s="9">
        <v>36.484999999999999</v>
      </c>
      <c r="ET17" s="9">
        <v>6625</v>
      </c>
      <c r="EU17" s="9">
        <v>244981</v>
      </c>
      <c r="EV17" s="9">
        <v>0</v>
      </c>
      <c r="EW17" s="9">
        <v>0</v>
      </c>
      <c r="EX17" s="9">
        <v>0</v>
      </c>
      <c r="EY17" s="9">
        <v>0</v>
      </c>
      <c r="EZ17" s="9">
        <v>4998992</v>
      </c>
      <c r="FA17" s="9">
        <v>0</v>
      </c>
      <c r="FB17" s="9">
        <v>5243973</v>
      </c>
      <c r="FC17" s="9">
        <v>0.97327799999999998</v>
      </c>
      <c r="FD17" s="9">
        <v>0</v>
      </c>
      <c r="FE17" s="9">
        <v>768447</v>
      </c>
      <c r="FF17" s="9">
        <v>173168</v>
      </c>
      <c r="FG17" s="9">
        <v>6.1239999999999996E-2</v>
      </c>
      <c r="FH17" s="9">
        <v>5.4803999999999999E-2</v>
      </c>
      <c r="FI17" s="9">
        <v>0</v>
      </c>
      <c r="FJ17" s="9">
        <v>0</v>
      </c>
      <c r="FK17" s="9">
        <v>988.971</v>
      </c>
      <c r="FL17" s="9">
        <v>6312008</v>
      </c>
      <c r="FM17" s="9">
        <v>0</v>
      </c>
      <c r="FN17" s="9">
        <v>0</v>
      </c>
      <c r="FO17" s="9">
        <v>0</v>
      </c>
      <c r="FP17" s="9">
        <v>0</v>
      </c>
      <c r="FQ17" s="9">
        <v>0</v>
      </c>
      <c r="FR17" s="9">
        <v>0</v>
      </c>
      <c r="FS17" s="9">
        <v>0</v>
      </c>
      <c r="FT17" s="9">
        <v>0</v>
      </c>
      <c r="FU17" s="9">
        <v>0</v>
      </c>
      <c r="FV17" s="9">
        <v>0</v>
      </c>
      <c r="FW17" s="9">
        <v>0</v>
      </c>
      <c r="FX17" s="9">
        <v>0</v>
      </c>
      <c r="FY17" s="9">
        <v>0</v>
      </c>
      <c r="FZ17" s="9">
        <v>0</v>
      </c>
      <c r="GA17" s="9">
        <v>0</v>
      </c>
      <c r="GB17" s="9">
        <v>290592</v>
      </c>
      <c r="GC17" s="9">
        <v>290592</v>
      </c>
      <c r="GD17" s="9">
        <v>32.843000000000004</v>
      </c>
      <c r="GE17" s="9">
        <v>0</v>
      </c>
      <c r="GF17" s="9">
        <v>0</v>
      </c>
      <c r="GG17" s="9">
        <v>0</v>
      </c>
      <c r="GH17" s="9">
        <v>0</v>
      </c>
      <c r="GI17" s="9">
        <v>0</v>
      </c>
      <c r="GJ17" s="9">
        <v>0</v>
      </c>
      <c r="GK17" s="9">
        <v>5063</v>
      </c>
      <c r="GL17" s="9">
        <v>24155</v>
      </c>
      <c r="GM17" s="9">
        <v>0</v>
      </c>
      <c r="GN17" s="9">
        <v>6455</v>
      </c>
      <c r="GO17" s="9">
        <v>0</v>
      </c>
      <c r="GP17" s="9">
        <v>6185588</v>
      </c>
      <c r="GQ17" s="9">
        <v>6185588</v>
      </c>
      <c r="GR17" s="9">
        <v>0</v>
      </c>
      <c r="GS17" s="9">
        <v>0</v>
      </c>
      <c r="GT17" s="9">
        <v>0</v>
      </c>
      <c r="GU17" s="9">
        <v>0</v>
      </c>
      <c r="GV17" s="9">
        <v>0</v>
      </c>
      <c r="GW17" s="9">
        <v>0</v>
      </c>
      <c r="GX17" s="9">
        <v>0</v>
      </c>
      <c r="GY17" s="9">
        <v>0</v>
      </c>
      <c r="GZ17" s="9">
        <v>0</v>
      </c>
      <c r="HA17" s="9">
        <v>0</v>
      </c>
      <c r="HB17" s="9">
        <v>260786259</v>
      </c>
      <c r="HC17" s="9">
        <v>5.0923999999999997E-2</v>
      </c>
      <c r="HD17" s="9">
        <v>119795</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32469</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row>
    <row r="18" spans="1:292" x14ac:dyDescent="0.25">
      <c r="A18" s="9">
        <v>15822</v>
      </c>
      <c r="B18" s="9">
        <v>32570</v>
      </c>
      <c r="C18" s="9">
        <v>35</v>
      </c>
      <c r="D18" s="9">
        <v>2022</v>
      </c>
      <c r="E18" s="9">
        <v>5392</v>
      </c>
      <c r="F18" s="9">
        <v>0</v>
      </c>
      <c r="G18" s="9">
        <v>5959.4009999999998</v>
      </c>
      <c r="H18" s="9">
        <v>5722.6910000000007</v>
      </c>
      <c r="I18" s="9">
        <v>5722.6910000000007</v>
      </c>
      <c r="J18" s="9">
        <v>5959.4009999999998</v>
      </c>
      <c r="K18" s="9">
        <v>0</v>
      </c>
      <c r="L18" s="9">
        <v>6554</v>
      </c>
      <c r="M18" s="9">
        <v>0</v>
      </c>
      <c r="N18" s="9">
        <v>0</v>
      </c>
      <c r="O18" s="9">
        <v>0</v>
      </c>
      <c r="P18" s="9">
        <v>5469.125</v>
      </c>
      <c r="Q18" s="9">
        <v>0</v>
      </c>
      <c r="R18" s="9">
        <v>1748550</v>
      </c>
      <c r="S18" s="9">
        <v>319.71300000000002</v>
      </c>
      <c r="T18" s="9">
        <v>0</v>
      </c>
      <c r="U18" s="9">
        <v>1748550</v>
      </c>
      <c r="V18" s="9">
        <v>1227.116</v>
      </c>
      <c r="W18" s="9">
        <v>804252</v>
      </c>
      <c r="X18" s="9">
        <v>804252</v>
      </c>
      <c r="Y18" s="9">
        <v>0</v>
      </c>
      <c r="Z18" s="9">
        <v>0</v>
      </c>
      <c r="AA18" s="9">
        <v>1</v>
      </c>
      <c r="AB18" s="9">
        <v>1</v>
      </c>
      <c r="AC18" s="9">
        <v>0</v>
      </c>
      <c r="AD18" s="9" t="s">
        <v>314</v>
      </c>
      <c r="AE18" s="9">
        <v>0</v>
      </c>
      <c r="AF18" s="9">
        <v>0</v>
      </c>
      <c r="AG18" s="9">
        <v>0</v>
      </c>
      <c r="AH18" s="9">
        <v>0</v>
      </c>
      <c r="AI18" s="9">
        <v>0</v>
      </c>
      <c r="AJ18" s="9">
        <v>5104</v>
      </c>
      <c r="AK18" s="9" t="s">
        <v>651</v>
      </c>
      <c r="AL18" s="9" t="s">
        <v>424</v>
      </c>
      <c r="AM18" s="9">
        <v>0</v>
      </c>
      <c r="AN18" s="9">
        <v>0</v>
      </c>
      <c r="AO18" s="9">
        <v>0</v>
      </c>
      <c r="AP18" s="9">
        <v>0</v>
      </c>
      <c r="AQ18" s="9">
        <v>0</v>
      </c>
      <c r="AR18" s="9">
        <v>0</v>
      </c>
      <c r="AS18" s="9">
        <v>0</v>
      </c>
      <c r="AT18" s="9">
        <v>0</v>
      </c>
      <c r="AU18" s="9">
        <v>0</v>
      </c>
      <c r="AV18" s="9">
        <v>1018853</v>
      </c>
      <c r="AW18" s="9">
        <v>58778779</v>
      </c>
      <c r="AX18" s="9">
        <v>57146659</v>
      </c>
      <c r="AY18" s="9">
        <v>63031416</v>
      </c>
      <c r="AZ18" s="9">
        <v>2206205</v>
      </c>
      <c r="BA18" s="9">
        <v>0</v>
      </c>
      <c r="BB18" s="9">
        <v>234347</v>
      </c>
      <c r="BC18" s="9">
        <v>234347</v>
      </c>
      <c r="BD18" s="9">
        <v>297.97000000000003</v>
      </c>
      <c r="BE18" s="9">
        <v>0</v>
      </c>
      <c r="BF18" s="9">
        <v>48479967</v>
      </c>
      <c r="BG18" s="9">
        <v>0</v>
      </c>
      <c r="BH18" s="9">
        <v>685.52600000000007</v>
      </c>
      <c r="BI18" s="9">
        <v>188520</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704.06299999999999</v>
      </c>
      <c r="CB18" s="9">
        <v>269135</v>
      </c>
      <c r="CC18" s="9">
        <v>0</v>
      </c>
      <c r="CD18" s="9">
        <v>0</v>
      </c>
      <c r="CE18" s="9">
        <v>0</v>
      </c>
      <c r="CF18" s="9">
        <v>0</v>
      </c>
      <c r="CG18" s="9">
        <v>0</v>
      </c>
      <c r="CH18" s="9">
        <v>1174465</v>
      </c>
      <c r="CI18" s="9">
        <v>0</v>
      </c>
      <c r="CJ18" s="9">
        <v>5</v>
      </c>
      <c r="CK18" s="9">
        <v>0</v>
      </c>
      <c r="CL18" s="9">
        <v>0</v>
      </c>
      <c r="CM18" s="9">
        <v>0</v>
      </c>
      <c r="CN18" s="9">
        <v>0</v>
      </c>
      <c r="CO18" s="9">
        <v>0</v>
      </c>
      <c r="CP18" s="9">
        <v>0</v>
      </c>
      <c r="CQ18" s="9">
        <v>0</v>
      </c>
      <c r="CR18" s="9">
        <v>5469.125</v>
      </c>
      <c r="CS18" s="9">
        <v>0</v>
      </c>
      <c r="CT18" s="9">
        <v>0</v>
      </c>
      <c r="CU18" s="9">
        <v>0</v>
      </c>
      <c r="CV18" s="9">
        <v>0</v>
      </c>
      <c r="CW18" s="9">
        <v>0</v>
      </c>
      <c r="CX18" s="9">
        <v>0</v>
      </c>
      <c r="CY18" s="9">
        <v>0</v>
      </c>
      <c r="CZ18" s="9">
        <v>0</v>
      </c>
      <c r="DA18" s="9">
        <v>1</v>
      </c>
      <c r="DB18" s="9">
        <v>37506517</v>
      </c>
      <c r="DC18" s="9">
        <v>0</v>
      </c>
      <c r="DD18" s="9">
        <v>0</v>
      </c>
      <c r="DE18" s="9">
        <v>6885632</v>
      </c>
      <c r="DF18" s="9">
        <v>6885632</v>
      </c>
      <c r="DG18" s="9">
        <v>5253</v>
      </c>
      <c r="DH18" s="9">
        <v>0</v>
      </c>
      <c r="DI18" s="9">
        <v>0</v>
      </c>
      <c r="DJ18" s="9">
        <v>0</v>
      </c>
      <c r="DK18" s="9">
        <v>5392</v>
      </c>
      <c r="DL18" s="9">
        <v>0</v>
      </c>
      <c r="DM18" s="9">
        <v>3258556</v>
      </c>
      <c r="DN18" s="9">
        <v>0</v>
      </c>
      <c r="DO18" s="9">
        <v>0</v>
      </c>
      <c r="DP18" s="9">
        <v>0</v>
      </c>
      <c r="DQ18" s="9">
        <v>0</v>
      </c>
      <c r="DR18" s="9">
        <v>0</v>
      </c>
      <c r="DS18" s="9">
        <v>0</v>
      </c>
      <c r="DT18" s="9">
        <v>0</v>
      </c>
      <c r="DU18" s="9">
        <v>0</v>
      </c>
      <c r="DV18" s="9">
        <v>0</v>
      </c>
      <c r="DW18" s="9">
        <v>0</v>
      </c>
      <c r="DX18" s="9">
        <v>0</v>
      </c>
      <c r="DY18" s="9">
        <v>0</v>
      </c>
      <c r="DZ18" s="9">
        <v>0</v>
      </c>
      <c r="EA18" s="9">
        <v>0.23300000000000001</v>
      </c>
      <c r="EB18" s="9">
        <v>0</v>
      </c>
      <c r="EC18" s="9">
        <v>136.09800000000001</v>
      </c>
      <c r="ED18" s="9">
        <v>981185</v>
      </c>
      <c r="EE18" s="9">
        <v>0</v>
      </c>
      <c r="EF18" s="9">
        <v>0</v>
      </c>
      <c r="EG18" s="9">
        <v>0</v>
      </c>
      <c r="EH18" s="9">
        <v>2277371</v>
      </c>
      <c r="EI18" s="9">
        <v>0</v>
      </c>
      <c r="EJ18" s="9">
        <v>0</v>
      </c>
      <c r="EK18" s="9">
        <v>87.843000000000004</v>
      </c>
      <c r="EL18" s="9">
        <v>0</v>
      </c>
      <c r="EM18" s="9">
        <v>13.248000000000001</v>
      </c>
      <c r="EN18" s="9">
        <v>8.6080000000000005</v>
      </c>
      <c r="EO18" s="9">
        <v>0</v>
      </c>
      <c r="EP18" s="9">
        <v>0</v>
      </c>
      <c r="EQ18" s="9">
        <v>109.932</v>
      </c>
      <c r="ER18" s="9">
        <v>0</v>
      </c>
      <c r="ES18" s="9">
        <v>347.47800000000001</v>
      </c>
      <c r="ET18" s="9">
        <v>0</v>
      </c>
      <c r="EU18" s="9">
        <v>2206205</v>
      </c>
      <c r="EV18" s="9">
        <v>0</v>
      </c>
      <c r="EW18" s="9">
        <v>0</v>
      </c>
      <c r="EX18" s="9">
        <v>0</v>
      </c>
      <c r="EY18" s="9">
        <v>0</v>
      </c>
      <c r="EZ18" s="9">
        <v>48102746</v>
      </c>
      <c r="FA18" s="9">
        <v>0</v>
      </c>
      <c r="FB18" s="9">
        <v>50308951</v>
      </c>
      <c r="FC18" s="9">
        <v>0.97327799999999998</v>
      </c>
      <c r="FD18" s="9">
        <v>0</v>
      </c>
      <c r="FE18" s="9">
        <v>7380686</v>
      </c>
      <c r="FF18" s="9">
        <v>1663227</v>
      </c>
      <c r="FG18" s="9">
        <v>6.1239999999999996E-2</v>
      </c>
      <c r="FH18" s="9">
        <v>5.4803999999999999E-2</v>
      </c>
      <c r="FI18" s="9">
        <v>0</v>
      </c>
      <c r="FJ18" s="9">
        <v>0</v>
      </c>
      <c r="FK18" s="9">
        <v>9498.7520000000004</v>
      </c>
      <c r="FL18" s="9">
        <v>60527329</v>
      </c>
      <c r="FM18" s="9">
        <v>0</v>
      </c>
      <c r="FN18" s="9">
        <v>0</v>
      </c>
      <c r="FO18" s="9">
        <v>40254</v>
      </c>
      <c r="FP18" s="9">
        <v>0</v>
      </c>
      <c r="FQ18" s="9">
        <v>40254</v>
      </c>
      <c r="FR18" s="9">
        <v>40254</v>
      </c>
      <c r="FS18" s="9">
        <v>0</v>
      </c>
      <c r="FT18" s="9">
        <v>0</v>
      </c>
      <c r="FU18" s="9">
        <v>0</v>
      </c>
      <c r="FV18" s="9">
        <v>0</v>
      </c>
      <c r="FW18" s="9">
        <v>0</v>
      </c>
      <c r="FX18" s="9">
        <v>0</v>
      </c>
      <c r="FY18" s="9">
        <v>0</v>
      </c>
      <c r="FZ18" s="9">
        <v>18</v>
      </c>
      <c r="GA18" s="9">
        <v>0.36899999999999999</v>
      </c>
      <c r="GB18" s="9">
        <v>1121738</v>
      </c>
      <c r="GC18" s="9">
        <v>1121738</v>
      </c>
      <c r="GD18" s="9">
        <v>126.77800000000001</v>
      </c>
      <c r="GE18" s="9">
        <v>0</v>
      </c>
      <c r="GF18" s="9">
        <v>0</v>
      </c>
      <c r="GG18" s="9">
        <v>0</v>
      </c>
      <c r="GH18" s="9">
        <v>0</v>
      </c>
      <c r="GI18" s="9">
        <v>0</v>
      </c>
      <c r="GJ18" s="9">
        <v>0</v>
      </c>
      <c r="GK18" s="9">
        <v>5015</v>
      </c>
      <c r="GL18" s="9">
        <v>20669</v>
      </c>
      <c r="GM18" s="9">
        <v>0</v>
      </c>
      <c r="GN18" s="9">
        <v>0</v>
      </c>
      <c r="GO18" s="9">
        <v>0</v>
      </c>
      <c r="GP18" s="9">
        <v>59352864</v>
      </c>
      <c r="GQ18" s="9">
        <v>59352864</v>
      </c>
      <c r="GR18" s="9">
        <v>0</v>
      </c>
      <c r="GS18" s="9">
        <v>0</v>
      </c>
      <c r="GT18" s="9">
        <v>0</v>
      </c>
      <c r="GU18" s="9">
        <v>0</v>
      </c>
      <c r="GV18" s="9">
        <v>0</v>
      </c>
      <c r="GW18" s="9">
        <v>0</v>
      </c>
      <c r="GX18" s="9">
        <v>0</v>
      </c>
      <c r="GY18" s="9">
        <v>0</v>
      </c>
      <c r="GZ18" s="9">
        <v>0</v>
      </c>
      <c r="HA18" s="9">
        <v>0</v>
      </c>
      <c r="HB18" s="9">
        <v>260786259</v>
      </c>
      <c r="HC18" s="9">
        <v>5.0923999999999997E-2</v>
      </c>
      <c r="HD18" s="9">
        <v>1174465</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32469</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row>
    <row r="19" spans="1:292" x14ac:dyDescent="0.25">
      <c r="A19" s="9">
        <v>15825</v>
      </c>
      <c r="B19" s="9">
        <v>32570</v>
      </c>
      <c r="C19" s="9">
        <v>35</v>
      </c>
      <c r="D19" s="9">
        <v>2022</v>
      </c>
      <c r="E19" s="9">
        <v>5392</v>
      </c>
      <c r="F19" s="9">
        <v>0</v>
      </c>
      <c r="G19" s="9">
        <v>281.44800000000004</v>
      </c>
      <c r="H19" s="9">
        <v>270.94200000000001</v>
      </c>
      <c r="I19" s="9">
        <v>270.94200000000001</v>
      </c>
      <c r="J19" s="9">
        <v>281.44800000000004</v>
      </c>
      <c r="K19" s="9">
        <v>0</v>
      </c>
      <c r="L19" s="9">
        <v>6554</v>
      </c>
      <c r="M19" s="9">
        <v>0</v>
      </c>
      <c r="N19" s="9">
        <v>0</v>
      </c>
      <c r="O19" s="9">
        <v>0</v>
      </c>
      <c r="P19" s="9">
        <v>293.13300000000004</v>
      </c>
      <c r="Q19" s="9">
        <v>0</v>
      </c>
      <c r="R19" s="9">
        <v>93718</v>
      </c>
      <c r="S19" s="9">
        <v>319.71300000000002</v>
      </c>
      <c r="T19" s="9">
        <v>0</v>
      </c>
      <c r="U19" s="9">
        <v>93718</v>
      </c>
      <c r="V19" s="9">
        <v>75.296999999999997</v>
      </c>
      <c r="W19" s="9">
        <v>49350</v>
      </c>
      <c r="X19" s="9">
        <v>49350</v>
      </c>
      <c r="Y19" s="9">
        <v>0</v>
      </c>
      <c r="Z19" s="9">
        <v>0</v>
      </c>
      <c r="AA19" s="9">
        <v>1</v>
      </c>
      <c r="AB19" s="9">
        <v>1</v>
      </c>
      <c r="AC19" s="9">
        <v>0</v>
      </c>
      <c r="AD19" s="9" t="s">
        <v>314</v>
      </c>
      <c r="AE19" s="9">
        <v>0</v>
      </c>
      <c r="AF19" s="9">
        <v>0</v>
      </c>
      <c r="AG19" s="9">
        <v>0</v>
      </c>
      <c r="AH19" s="9">
        <v>0</v>
      </c>
      <c r="AI19" s="9">
        <v>0</v>
      </c>
      <c r="AJ19" s="9">
        <v>5104</v>
      </c>
      <c r="AK19" s="9" t="s">
        <v>651</v>
      </c>
      <c r="AL19" s="9" t="s">
        <v>61</v>
      </c>
      <c r="AM19" s="9">
        <v>0</v>
      </c>
      <c r="AN19" s="9">
        <v>0</v>
      </c>
      <c r="AO19" s="9">
        <v>0</v>
      </c>
      <c r="AP19" s="9">
        <v>0</v>
      </c>
      <c r="AQ19" s="9">
        <v>0</v>
      </c>
      <c r="AR19" s="9">
        <v>0</v>
      </c>
      <c r="AS19" s="9">
        <v>0</v>
      </c>
      <c r="AT19" s="9">
        <v>0</v>
      </c>
      <c r="AU19" s="9">
        <v>0</v>
      </c>
      <c r="AV19" s="9">
        <v>193079</v>
      </c>
      <c r="AW19" s="9">
        <v>2860077</v>
      </c>
      <c r="AX19" s="9">
        <v>2799568</v>
      </c>
      <c r="AY19" s="9">
        <v>3119033</v>
      </c>
      <c r="AZ19" s="9">
        <v>93718</v>
      </c>
      <c r="BA19" s="9">
        <v>9.5830000000000002</v>
      </c>
      <c r="BB19" s="9">
        <v>11068</v>
      </c>
      <c r="BC19" s="9">
        <v>11068</v>
      </c>
      <c r="BD19" s="9">
        <v>14.072000000000001</v>
      </c>
      <c r="BE19" s="9">
        <v>0</v>
      </c>
      <c r="BF19" s="9">
        <v>2383255</v>
      </c>
      <c r="BG19" s="9">
        <v>0</v>
      </c>
      <c r="BH19" s="9">
        <v>0</v>
      </c>
      <c r="BI19" s="9">
        <v>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60509</v>
      </c>
      <c r="CI19" s="9">
        <v>0</v>
      </c>
      <c r="CJ19" s="9">
        <v>4</v>
      </c>
      <c r="CK19" s="9">
        <v>0</v>
      </c>
      <c r="CL19" s="9">
        <v>0</v>
      </c>
      <c r="CM19" s="9">
        <v>0</v>
      </c>
      <c r="CN19" s="9">
        <v>0</v>
      </c>
      <c r="CO19" s="9">
        <v>0</v>
      </c>
      <c r="CP19" s="9">
        <v>0</v>
      </c>
      <c r="CQ19" s="9">
        <v>1</v>
      </c>
      <c r="CR19" s="9">
        <v>293.13300000000004</v>
      </c>
      <c r="CS19" s="9">
        <v>0</v>
      </c>
      <c r="CT19" s="9">
        <v>0</v>
      </c>
      <c r="CU19" s="9">
        <v>0</v>
      </c>
      <c r="CV19" s="9">
        <v>0</v>
      </c>
      <c r="CW19" s="9">
        <v>0</v>
      </c>
      <c r="CX19" s="9">
        <v>0</v>
      </c>
      <c r="CY19" s="9">
        <v>0</v>
      </c>
      <c r="CZ19" s="9">
        <v>0</v>
      </c>
      <c r="DA19" s="9">
        <v>1</v>
      </c>
      <c r="DB19" s="9">
        <v>1775754</v>
      </c>
      <c r="DC19" s="9">
        <v>0</v>
      </c>
      <c r="DD19" s="9">
        <v>0</v>
      </c>
      <c r="DE19" s="9">
        <v>398260</v>
      </c>
      <c r="DF19" s="9">
        <v>398260</v>
      </c>
      <c r="DG19" s="9">
        <v>303.83</v>
      </c>
      <c r="DH19" s="9">
        <v>0</v>
      </c>
      <c r="DI19" s="9">
        <v>0</v>
      </c>
      <c r="DJ19" s="9">
        <v>0</v>
      </c>
      <c r="DK19" s="9">
        <v>5392</v>
      </c>
      <c r="DL19" s="9">
        <v>0</v>
      </c>
      <c r="DM19" s="9">
        <v>214258</v>
      </c>
      <c r="DN19" s="9">
        <v>0</v>
      </c>
      <c r="DO19" s="9">
        <v>0</v>
      </c>
      <c r="DP19" s="9">
        <v>0</v>
      </c>
      <c r="DQ19" s="9">
        <v>0</v>
      </c>
      <c r="DR19" s="9">
        <v>0</v>
      </c>
      <c r="DS19" s="9">
        <v>0</v>
      </c>
      <c r="DT19" s="9">
        <v>0</v>
      </c>
      <c r="DU19" s="9">
        <v>0</v>
      </c>
      <c r="DV19" s="9">
        <v>0</v>
      </c>
      <c r="DW19" s="9">
        <v>0</v>
      </c>
      <c r="DX19" s="9">
        <v>0</v>
      </c>
      <c r="DY19" s="9">
        <v>0</v>
      </c>
      <c r="DZ19" s="9">
        <v>0</v>
      </c>
      <c r="EA19" s="9">
        <v>0</v>
      </c>
      <c r="EB19" s="9">
        <v>0</v>
      </c>
      <c r="EC19" s="9">
        <v>0.40100000000000002</v>
      </c>
      <c r="ED19" s="9">
        <v>2891</v>
      </c>
      <c r="EE19" s="9">
        <v>0</v>
      </c>
      <c r="EF19" s="9">
        <v>0</v>
      </c>
      <c r="EG19" s="9">
        <v>0</v>
      </c>
      <c r="EH19" s="9">
        <v>211367</v>
      </c>
      <c r="EI19" s="9">
        <v>0</v>
      </c>
      <c r="EJ19" s="9">
        <v>0</v>
      </c>
      <c r="EK19" s="9">
        <v>10.14</v>
      </c>
      <c r="EL19" s="9">
        <v>0</v>
      </c>
      <c r="EM19" s="9">
        <v>0</v>
      </c>
      <c r="EN19" s="9">
        <v>0.36599999999999999</v>
      </c>
      <c r="EO19" s="9">
        <v>0</v>
      </c>
      <c r="EP19" s="9">
        <v>0</v>
      </c>
      <c r="EQ19" s="9">
        <v>10.506</v>
      </c>
      <c r="ER19" s="9">
        <v>0</v>
      </c>
      <c r="ES19" s="9">
        <v>32.25</v>
      </c>
      <c r="ET19" s="9">
        <v>5042</v>
      </c>
      <c r="EU19" s="9">
        <v>93718</v>
      </c>
      <c r="EV19" s="9">
        <v>0</v>
      </c>
      <c r="EW19" s="9">
        <v>0</v>
      </c>
      <c r="EX19" s="9">
        <v>0</v>
      </c>
      <c r="EY19" s="9">
        <v>0</v>
      </c>
      <c r="EZ19" s="9">
        <v>2354972</v>
      </c>
      <c r="FA19" s="9">
        <v>0</v>
      </c>
      <c r="FB19" s="9">
        <v>2448690</v>
      </c>
      <c r="FC19" s="9">
        <v>0.97327799999999998</v>
      </c>
      <c r="FD19" s="9">
        <v>0</v>
      </c>
      <c r="FE19" s="9">
        <v>362832</v>
      </c>
      <c r="FF19" s="9">
        <v>81764</v>
      </c>
      <c r="FG19" s="9">
        <v>6.1239999999999996E-2</v>
      </c>
      <c r="FH19" s="9">
        <v>5.4803999999999999E-2</v>
      </c>
      <c r="FI19" s="9">
        <v>0</v>
      </c>
      <c r="FJ19" s="9">
        <v>0</v>
      </c>
      <c r="FK19" s="9">
        <v>466.95500000000004</v>
      </c>
      <c r="FL19" s="9">
        <v>2953795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2893286</v>
      </c>
      <c r="GQ19" s="9">
        <v>2893286</v>
      </c>
      <c r="GR19" s="9">
        <v>0</v>
      </c>
      <c r="GS19" s="9">
        <v>0</v>
      </c>
      <c r="GT19" s="9">
        <v>0</v>
      </c>
      <c r="GU19" s="9">
        <v>0</v>
      </c>
      <c r="GV19" s="9">
        <v>0</v>
      </c>
      <c r="GW19" s="9">
        <v>0</v>
      </c>
      <c r="GX19" s="9">
        <v>0</v>
      </c>
      <c r="GY19" s="9">
        <v>0</v>
      </c>
      <c r="GZ19" s="9">
        <v>0</v>
      </c>
      <c r="HA19" s="9">
        <v>0</v>
      </c>
      <c r="HB19" s="9">
        <v>260786259</v>
      </c>
      <c r="HC19" s="9">
        <v>5.0923999999999997E-2</v>
      </c>
      <c r="HD19" s="9">
        <v>55467</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32469</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row>
    <row r="20" spans="1:292" x14ac:dyDescent="0.25">
      <c r="A20" s="9">
        <v>15827</v>
      </c>
      <c r="B20" s="9">
        <v>32570</v>
      </c>
      <c r="C20" s="9">
        <v>35</v>
      </c>
      <c r="D20" s="9">
        <v>2022</v>
      </c>
      <c r="E20" s="9">
        <v>5392</v>
      </c>
      <c r="F20" s="9">
        <v>0</v>
      </c>
      <c r="G20" s="9">
        <v>2052.6770000000001</v>
      </c>
      <c r="H20" s="9">
        <v>1953.3970000000002</v>
      </c>
      <c r="I20" s="9">
        <v>1953.3970000000002</v>
      </c>
      <c r="J20" s="9">
        <v>2052.6770000000001</v>
      </c>
      <c r="K20" s="9">
        <v>0</v>
      </c>
      <c r="L20" s="9">
        <v>6554</v>
      </c>
      <c r="M20" s="9">
        <v>0</v>
      </c>
      <c r="N20" s="9">
        <v>0</v>
      </c>
      <c r="O20" s="9">
        <v>0</v>
      </c>
      <c r="P20" s="9">
        <v>1708.173</v>
      </c>
      <c r="Q20" s="9">
        <v>0</v>
      </c>
      <c r="R20" s="9">
        <v>546125</v>
      </c>
      <c r="S20" s="9">
        <v>319.71300000000002</v>
      </c>
      <c r="T20" s="9">
        <v>0</v>
      </c>
      <c r="U20" s="9">
        <v>546125</v>
      </c>
      <c r="V20" s="9">
        <v>359.86099999999999</v>
      </c>
      <c r="W20" s="9">
        <v>235853</v>
      </c>
      <c r="X20" s="9">
        <v>235853</v>
      </c>
      <c r="Y20" s="9">
        <v>0</v>
      </c>
      <c r="Z20" s="9">
        <v>0</v>
      </c>
      <c r="AA20" s="9">
        <v>1</v>
      </c>
      <c r="AB20" s="9">
        <v>1</v>
      </c>
      <c r="AC20" s="9">
        <v>0</v>
      </c>
      <c r="AD20" s="9" t="s">
        <v>314</v>
      </c>
      <c r="AE20" s="9">
        <v>0</v>
      </c>
      <c r="AF20" s="9">
        <v>0</v>
      </c>
      <c r="AG20" s="9">
        <v>0</v>
      </c>
      <c r="AH20" s="9">
        <v>0</v>
      </c>
      <c r="AI20" s="9">
        <v>0</v>
      </c>
      <c r="AJ20" s="9">
        <v>5104</v>
      </c>
      <c r="AK20" s="9" t="s">
        <v>651</v>
      </c>
      <c r="AL20" s="9" t="s">
        <v>15</v>
      </c>
      <c r="AM20" s="9">
        <v>0</v>
      </c>
      <c r="AN20" s="9">
        <v>0</v>
      </c>
      <c r="AO20" s="9">
        <v>0</v>
      </c>
      <c r="AP20" s="9">
        <v>0</v>
      </c>
      <c r="AQ20" s="9">
        <v>0</v>
      </c>
      <c r="AR20" s="9">
        <v>0</v>
      </c>
      <c r="AS20" s="9">
        <v>0</v>
      </c>
      <c r="AT20" s="9">
        <v>0</v>
      </c>
      <c r="AU20" s="9">
        <v>0</v>
      </c>
      <c r="AV20" s="9">
        <v>-445553</v>
      </c>
      <c r="AW20" s="9">
        <v>19637644</v>
      </c>
      <c r="AX20" s="9">
        <v>19004664</v>
      </c>
      <c r="AY20" s="9">
        <v>20516949</v>
      </c>
      <c r="AZ20" s="9">
        <v>752359</v>
      </c>
      <c r="BA20" s="9">
        <v>44.417000000000002</v>
      </c>
      <c r="BB20" s="9">
        <v>80719</v>
      </c>
      <c r="BC20" s="9">
        <v>80719</v>
      </c>
      <c r="BD20" s="9">
        <v>102.634</v>
      </c>
      <c r="BE20" s="9">
        <v>0</v>
      </c>
      <c r="BF20" s="9">
        <v>16104364</v>
      </c>
      <c r="BG20" s="9">
        <v>0</v>
      </c>
      <c r="BH20" s="9">
        <v>284.50800000000004</v>
      </c>
      <c r="BI20" s="9">
        <v>78240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334.83600000000001</v>
      </c>
      <c r="CB20" s="9">
        <v>127994</v>
      </c>
      <c r="CC20" s="9">
        <v>0</v>
      </c>
      <c r="CD20" s="9">
        <v>0</v>
      </c>
      <c r="CE20" s="9">
        <v>0</v>
      </c>
      <c r="CF20" s="9">
        <v>0</v>
      </c>
      <c r="CG20" s="9">
        <v>0</v>
      </c>
      <c r="CH20" s="9">
        <v>426746</v>
      </c>
      <c r="CI20" s="9">
        <v>0</v>
      </c>
      <c r="CJ20" s="9">
        <v>4</v>
      </c>
      <c r="CK20" s="9">
        <v>0</v>
      </c>
      <c r="CL20" s="9">
        <v>0</v>
      </c>
      <c r="CM20" s="9">
        <v>0</v>
      </c>
      <c r="CN20" s="9">
        <v>0</v>
      </c>
      <c r="CO20" s="9">
        <v>0</v>
      </c>
      <c r="CP20" s="9">
        <v>0</v>
      </c>
      <c r="CQ20" s="9">
        <v>0</v>
      </c>
      <c r="CR20" s="9">
        <v>1708.173</v>
      </c>
      <c r="CS20" s="9">
        <v>0</v>
      </c>
      <c r="CT20" s="9">
        <v>0</v>
      </c>
      <c r="CU20" s="9">
        <v>0</v>
      </c>
      <c r="CV20" s="9">
        <v>0</v>
      </c>
      <c r="CW20" s="9">
        <v>0</v>
      </c>
      <c r="CX20" s="9">
        <v>0</v>
      </c>
      <c r="CY20" s="9">
        <v>0</v>
      </c>
      <c r="CZ20" s="9">
        <v>0</v>
      </c>
      <c r="DA20" s="9">
        <v>1</v>
      </c>
      <c r="DB20" s="9">
        <v>12802564</v>
      </c>
      <c r="DC20" s="9">
        <v>0</v>
      </c>
      <c r="DD20" s="9">
        <v>0</v>
      </c>
      <c r="DE20" s="9">
        <v>1657729</v>
      </c>
      <c r="DF20" s="9">
        <v>1657729</v>
      </c>
      <c r="DG20" s="9">
        <v>1264.67</v>
      </c>
      <c r="DH20" s="9">
        <v>0</v>
      </c>
      <c r="DI20" s="9">
        <v>0</v>
      </c>
      <c r="DJ20" s="9">
        <v>0</v>
      </c>
      <c r="DK20" s="9">
        <v>5392</v>
      </c>
      <c r="DL20" s="9">
        <v>0</v>
      </c>
      <c r="DM20" s="9">
        <v>1251831</v>
      </c>
      <c r="DN20" s="9">
        <v>0</v>
      </c>
      <c r="DO20" s="9">
        <v>0</v>
      </c>
      <c r="DP20" s="9">
        <v>0</v>
      </c>
      <c r="DQ20" s="9">
        <v>0</v>
      </c>
      <c r="DR20" s="9">
        <v>0</v>
      </c>
      <c r="DS20" s="9">
        <v>0</v>
      </c>
      <c r="DT20" s="9">
        <v>0</v>
      </c>
      <c r="DU20" s="9">
        <v>0</v>
      </c>
      <c r="DV20" s="9">
        <v>0</v>
      </c>
      <c r="DW20" s="9">
        <v>0</v>
      </c>
      <c r="DX20" s="9">
        <v>0</v>
      </c>
      <c r="DY20" s="9">
        <v>0</v>
      </c>
      <c r="DZ20" s="9">
        <v>0</v>
      </c>
      <c r="EA20" s="9">
        <v>0</v>
      </c>
      <c r="EB20" s="9">
        <v>0</v>
      </c>
      <c r="EC20" s="9">
        <v>56.155000000000001</v>
      </c>
      <c r="ED20" s="9">
        <v>404844</v>
      </c>
      <c r="EE20" s="9">
        <v>0</v>
      </c>
      <c r="EF20" s="9">
        <v>0</v>
      </c>
      <c r="EG20" s="9">
        <v>0</v>
      </c>
      <c r="EH20" s="9">
        <v>846987</v>
      </c>
      <c r="EI20" s="9">
        <v>0</v>
      </c>
      <c r="EJ20" s="9">
        <v>0</v>
      </c>
      <c r="EK20" s="9">
        <v>34.914000000000001</v>
      </c>
      <c r="EL20" s="9">
        <v>0</v>
      </c>
      <c r="EM20" s="9">
        <v>2.5100000000000002</v>
      </c>
      <c r="EN20" s="9">
        <v>3.3920000000000003</v>
      </c>
      <c r="EO20" s="9">
        <v>0</v>
      </c>
      <c r="EP20" s="9">
        <v>0</v>
      </c>
      <c r="EQ20" s="9">
        <v>40.816000000000003</v>
      </c>
      <c r="ER20" s="9">
        <v>0</v>
      </c>
      <c r="ES20" s="9">
        <v>129.232</v>
      </c>
      <c r="ET20" s="9">
        <v>22209</v>
      </c>
      <c r="EU20" s="9">
        <v>752359</v>
      </c>
      <c r="EV20" s="9">
        <v>0</v>
      </c>
      <c r="EW20" s="9">
        <v>0</v>
      </c>
      <c r="EX20" s="9">
        <v>0</v>
      </c>
      <c r="EY20" s="9">
        <v>0</v>
      </c>
      <c r="EZ20" s="9">
        <v>16000403</v>
      </c>
      <c r="FA20" s="9">
        <v>0</v>
      </c>
      <c r="FB20" s="9">
        <v>16752762</v>
      </c>
      <c r="FC20" s="9">
        <v>0.97327799999999998</v>
      </c>
      <c r="FD20" s="9">
        <v>0</v>
      </c>
      <c r="FE20" s="9">
        <v>2451760</v>
      </c>
      <c r="FF20" s="9">
        <v>552501</v>
      </c>
      <c r="FG20" s="9">
        <v>6.1239999999999996E-2</v>
      </c>
      <c r="FH20" s="9">
        <v>5.4803999999999999E-2</v>
      </c>
      <c r="FI20" s="9">
        <v>0</v>
      </c>
      <c r="FJ20" s="9">
        <v>0</v>
      </c>
      <c r="FK20" s="9">
        <v>3155.3520000000003</v>
      </c>
      <c r="FL20" s="9">
        <v>20183769</v>
      </c>
      <c r="FM20" s="9">
        <v>0</v>
      </c>
      <c r="FN20" s="9">
        <v>0</v>
      </c>
      <c r="FO20" s="9">
        <v>0</v>
      </c>
      <c r="FP20" s="9">
        <v>0</v>
      </c>
      <c r="FQ20" s="9">
        <v>0</v>
      </c>
      <c r="FR20" s="9">
        <v>0</v>
      </c>
      <c r="FS20" s="9">
        <v>0</v>
      </c>
      <c r="FT20" s="9">
        <v>0</v>
      </c>
      <c r="FU20" s="9">
        <v>0</v>
      </c>
      <c r="FV20" s="9">
        <v>0</v>
      </c>
      <c r="FW20" s="9">
        <v>0</v>
      </c>
      <c r="FX20" s="9">
        <v>0</v>
      </c>
      <c r="FY20" s="9">
        <v>0</v>
      </c>
      <c r="FZ20" s="9">
        <v>548</v>
      </c>
      <c r="GA20" s="9">
        <v>10.963000000000001</v>
      </c>
      <c r="GB20" s="9">
        <v>517832</v>
      </c>
      <c r="GC20" s="9">
        <v>517832</v>
      </c>
      <c r="GD20" s="9">
        <v>58.464000000000006</v>
      </c>
      <c r="GE20" s="9">
        <v>0</v>
      </c>
      <c r="GF20" s="9">
        <v>0</v>
      </c>
      <c r="GG20" s="9">
        <v>0</v>
      </c>
      <c r="GH20" s="9">
        <v>0</v>
      </c>
      <c r="GI20" s="9">
        <v>0</v>
      </c>
      <c r="GJ20" s="9">
        <v>0</v>
      </c>
      <c r="GK20" s="9">
        <v>5177</v>
      </c>
      <c r="GL20" s="9">
        <v>11947</v>
      </c>
      <c r="GM20" s="9">
        <v>0</v>
      </c>
      <c r="GN20" s="9">
        <v>0</v>
      </c>
      <c r="GO20" s="9">
        <v>0</v>
      </c>
      <c r="GP20" s="9">
        <v>19757023</v>
      </c>
      <c r="GQ20" s="9">
        <v>19757023</v>
      </c>
      <c r="GR20" s="9">
        <v>0</v>
      </c>
      <c r="GS20" s="9">
        <v>0</v>
      </c>
      <c r="GT20" s="9">
        <v>0</v>
      </c>
      <c r="GU20" s="9">
        <v>0</v>
      </c>
      <c r="GV20" s="9">
        <v>0</v>
      </c>
      <c r="GW20" s="9">
        <v>0</v>
      </c>
      <c r="GX20" s="9">
        <v>0</v>
      </c>
      <c r="GY20" s="9">
        <v>0</v>
      </c>
      <c r="GZ20" s="9">
        <v>0</v>
      </c>
      <c r="HA20" s="9">
        <v>0</v>
      </c>
      <c r="HB20" s="9">
        <v>260786259</v>
      </c>
      <c r="HC20" s="9">
        <v>5.0923999999999997E-2</v>
      </c>
      <c r="HD20" s="9">
        <v>404537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32469</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row>
    <row r="21" spans="1:292" x14ac:dyDescent="0.25">
      <c r="A21" s="9">
        <v>15828</v>
      </c>
      <c r="B21" s="9">
        <v>32570</v>
      </c>
      <c r="C21" s="9">
        <v>35</v>
      </c>
      <c r="D21" s="9">
        <v>2022</v>
      </c>
      <c r="E21" s="9">
        <v>5392</v>
      </c>
      <c r="F21" s="9">
        <v>0</v>
      </c>
      <c r="G21" s="9">
        <v>4146.1860000000006</v>
      </c>
      <c r="H21" s="9">
        <v>3747.9630000000002</v>
      </c>
      <c r="I21" s="9">
        <v>3747.9630000000002</v>
      </c>
      <c r="J21" s="9">
        <v>4146.1860000000006</v>
      </c>
      <c r="K21" s="9">
        <v>0</v>
      </c>
      <c r="L21" s="9">
        <v>6554</v>
      </c>
      <c r="M21" s="9">
        <v>0</v>
      </c>
      <c r="N21" s="9">
        <v>0</v>
      </c>
      <c r="O21" s="9">
        <v>0</v>
      </c>
      <c r="P21" s="9">
        <v>4226.0600000000004</v>
      </c>
      <c r="Q21" s="9">
        <v>0</v>
      </c>
      <c r="R21" s="9">
        <v>1351126</v>
      </c>
      <c r="S21" s="9">
        <v>319.71300000000002</v>
      </c>
      <c r="T21" s="9">
        <v>0</v>
      </c>
      <c r="U21" s="9">
        <v>1351126</v>
      </c>
      <c r="V21" s="9">
        <v>1325.066</v>
      </c>
      <c r="W21" s="9">
        <v>868448</v>
      </c>
      <c r="X21" s="9">
        <v>868448</v>
      </c>
      <c r="Y21" s="9">
        <v>0</v>
      </c>
      <c r="Z21" s="9">
        <v>0</v>
      </c>
      <c r="AA21" s="9">
        <v>1</v>
      </c>
      <c r="AB21" s="9">
        <v>1</v>
      </c>
      <c r="AC21" s="9">
        <v>0</v>
      </c>
      <c r="AD21" s="9" t="s">
        <v>314</v>
      </c>
      <c r="AE21" s="9">
        <v>0</v>
      </c>
      <c r="AF21" s="9">
        <v>0</v>
      </c>
      <c r="AG21" s="9">
        <v>0</v>
      </c>
      <c r="AH21" s="9">
        <v>0</v>
      </c>
      <c r="AI21" s="9">
        <v>0</v>
      </c>
      <c r="AJ21" s="9">
        <v>5104</v>
      </c>
      <c r="AK21" s="9" t="s">
        <v>651</v>
      </c>
      <c r="AL21" s="9" t="s">
        <v>16</v>
      </c>
      <c r="AM21" s="9">
        <v>0</v>
      </c>
      <c r="AN21" s="9">
        <v>0</v>
      </c>
      <c r="AO21" s="9">
        <v>0</v>
      </c>
      <c r="AP21" s="9">
        <v>0</v>
      </c>
      <c r="AQ21" s="9">
        <v>0</v>
      </c>
      <c r="AR21" s="9">
        <v>0</v>
      </c>
      <c r="AS21" s="9">
        <v>0</v>
      </c>
      <c r="AT21" s="9">
        <v>0</v>
      </c>
      <c r="AU21" s="9">
        <v>0</v>
      </c>
      <c r="AV21" s="9">
        <v>787778</v>
      </c>
      <c r="AW21" s="9">
        <v>42426015</v>
      </c>
      <c r="AX21" s="9">
        <v>41262892</v>
      </c>
      <c r="AY21" s="9">
        <v>44335585</v>
      </c>
      <c r="AZ21" s="9">
        <v>1646169</v>
      </c>
      <c r="BA21" s="9">
        <v>101.917</v>
      </c>
      <c r="BB21" s="9">
        <v>163045</v>
      </c>
      <c r="BC21" s="9">
        <v>163045</v>
      </c>
      <c r="BD21" s="9">
        <v>207.309</v>
      </c>
      <c r="BE21" s="9">
        <v>0</v>
      </c>
      <c r="BF21" s="9">
        <v>35101992</v>
      </c>
      <c r="BG21" s="9">
        <v>0</v>
      </c>
      <c r="BH21" s="9">
        <v>1072.8820000000001</v>
      </c>
      <c r="BI21" s="9">
        <v>295043</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868080</v>
      </c>
      <c r="CI21" s="9">
        <v>0</v>
      </c>
      <c r="CJ21" s="9">
        <v>4</v>
      </c>
      <c r="CK21" s="9">
        <v>0</v>
      </c>
      <c r="CL21" s="9">
        <v>0</v>
      </c>
      <c r="CM21" s="9">
        <v>0</v>
      </c>
      <c r="CN21" s="9">
        <v>0</v>
      </c>
      <c r="CO21" s="9">
        <v>0</v>
      </c>
      <c r="CP21" s="9">
        <v>0</v>
      </c>
      <c r="CQ21" s="9">
        <v>0</v>
      </c>
      <c r="CR21" s="9">
        <v>4226.0600000000004</v>
      </c>
      <c r="CS21" s="9">
        <v>0</v>
      </c>
      <c r="CT21" s="9">
        <v>0</v>
      </c>
      <c r="CU21" s="9">
        <v>0</v>
      </c>
      <c r="CV21" s="9">
        <v>0</v>
      </c>
      <c r="CW21" s="9">
        <v>0</v>
      </c>
      <c r="CX21" s="9">
        <v>0</v>
      </c>
      <c r="CY21" s="9">
        <v>0</v>
      </c>
      <c r="CZ21" s="9">
        <v>0</v>
      </c>
      <c r="DA21" s="9">
        <v>1</v>
      </c>
      <c r="DB21" s="9">
        <v>24564150</v>
      </c>
      <c r="DC21" s="9">
        <v>0</v>
      </c>
      <c r="DD21" s="9">
        <v>0</v>
      </c>
      <c r="DE21" s="9">
        <v>4912446</v>
      </c>
      <c r="DF21" s="9">
        <v>4912446</v>
      </c>
      <c r="DG21" s="9">
        <v>3747.67</v>
      </c>
      <c r="DH21" s="9">
        <v>0</v>
      </c>
      <c r="DI21" s="9">
        <v>0</v>
      </c>
      <c r="DJ21" s="9">
        <v>0</v>
      </c>
      <c r="DK21" s="9">
        <v>5392</v>
      </c>
      <c r="DL21" s="9">
        <v>0</v>
      </c>
      <c r="DM21" s="9">
        <v>3196337</v>
      </c>
      <c r="DN21" s="9">
        <v>0</v>
      </c>
      <c r="DO21" s="9">
        <v>0</v>
      </c>
      <c r="DP21" s="9">
        <v>0</v>
      </c>
      <c r="DQ21" s="9">
        <v>0</v>
      </c>
      <c r="DR21" s="9">
        <v>0</v>
      </c>
      <c r="DS21" s="9">
        <v>0</v>
      </c>
      <c r="DT21" s="9">
        <v>0</v>
      </c>
      <c r="DU21" s="9">
        <v>0</v>
      </c>
      <c r="DV21" s="9">
        <v>0</v>
      </c>
      <c r="DW21" s="9">
        <v>0</v>
      </c>
      <c r="DX21" s="9">
        <v>0</v>
      </c>
      <c r="DY21" s="9">
        <v>0</v>
      </c>
      <c r="DZ21" s="9">
        <v>0</v>
      </c>
      <c r="EA21" s="9">
        <v>0.29100000000000004</v>
      </c>
      <c r="EB21" s="9">
        <v>0</v>
      </c>
      <c r="EC21" s="9">
        <v>70.356000000000009</v>
      </c>
      <c r="ED21" s="9">
        <v>507225</v>
      </c>
      <c r="EE21" s="9">
        <v>0</v>
      </c>
      <c r="EF21" s="9">
        <v>0</v>
      </c>
      <c r="EG21" s="9">
        <v>0</v>
      </c>
      <c r="EH21" s="9">
        <v>2681300</v>
      </c>
      <c r="EI21" s="9">
        <v>7812</v>
      </c>
      <c r="EJ21" s="9">
        <v>0.29799999999999999</v>
      </c>
      <c r="EK21" s="9">
        <v>103.173</v>
      </c>
      <c r="EL21" s="9">
        <v>0</v>
      </c>
      <c r="EM21" s="9">
        <v>20.775000000000002</v>
      </c>
      <c r="EN21" s="9">
        <v>7.1619999999999999</v>
      </c>
      <c r="EO21" s="9">
        <v>0</v>
      </c>
      <c r="EP21" s="9">
        <v>0</v>
      </c>
      <c r="EQ21" s="9">
        <v>131.69900000000001</v>
      </c>
      <c r="ER21" s="9">
        <v>0</v>
      </c>
      <c r="ES21" s="9">
        <v>409.10900000000004</v>
      </c>
      <c r="ET21" s="9">
        <v>50959</v>
      </c>
      <c r="EU21" s="9">
        <v>1646169</v>
      </c>
      <c r="EV21" s="9">
        <v>0</v>
      </c>
      <c r="EW21" s="9">
        <v>0</v>
      </c>
      <c r="EX21" s="9">
        <v>0</v>
      </c>
      <c r="EY21" s="9">
        <v>0</v>
      </c>
      <c r="EZ21" s="9">
        <v>34714633</v>
      </c>
      <c r="FA21" s="9">
        <v>0</v>
      </c>
      <c r="FB21" s="9">
        <v>36360802</v>
      </c>
      <c r="FC21" s="9">
        <v>0.97327799999999998</v>
      </c>
      <c r="FD21" s="9">
        <v>0</v>
      </c>
      <c r="FE21" s="9">
        <v>5343997</v>
      </c>
      <c r="FF21" s="9">
        <v>1204262</v>
      </c>
      <c r="FG21" s="9">
        <v>6.1239999999999996E-2</v>
      </c>
      <c r="FH21" s="9">
        <v>5.4803999999999999E-2</v>
      </c>
      <c r="FI21" s="9">
        <v>0</v>
      </c>
      <c r="FJ21" s="9">
        <v>0</v>
      </c>
      <c r="FK21" s="9">
        <v>6877.5860000000002</v>
      </c>
      <c r="FL21" s="9">
        <v>43777141</v>
      </c>
      <c r="FM21" s="9">
        <v>0</v>
      </c>
      <c r="FN21" s="9">
        <v>0</v>
      </c>
      <c r="FO21" s="9">
        <v>0</v>
      </c>
      <c r="FP21" s="9">
        <v>0</v>
      </c>
      <c r="FQ21" s="9">
        <v>0</v>
      </c>
      <c r="FR21" s="9">
        <v>0</v>
      </c>
      <c r="FS21" s="9">
        <v>0</v>
      </c>
      <c r="FT21" s="9">
        <v>0</v>
      </c>
      <c r="FU21" s="9">
        <v>0</v>
      </c>
      <c r="FV21" s="9">
        <v>0</v>
      </c>
      <c r="FW21" s="9">
        <v>0</v>
      </c>
      <c r="FX21" s="9">
        <v>0</v>
      </c>
      <c r="FY21" s="9">
        <v>0</v>
      </c>
      <c r="FZ21" s="9">
        <v>3156</v>
      </c>
      <c r="GA21" s="9">
        <v>63.113</v>
      </c>
      <c r="GB21" s="9">
        <v>2361333</v>
      </c>
      <c r="GC21" s="9">
        <v>2361333</v>
      </c>
      <c r="GD21" s="9">
        <v>266.524</v>
      </c>
      <c r="GE21" s="9">
        <v>0</v>
      </c>
      <c r="GF21" s="9">
        <v>0</v>
      </c>
      <c r="GG21" s="9">
        <v>0</v>
      </c>
      <c r="GH21" s="9">
        <v>0</v>
      </c>
      <c r="GI21" s="9">
        <v>0</v>
      </c>
      <c r="GJ21" s="9">
        <v>0</v>
      </c>
      <c r="GK21" s="9">
        <v>5112.5940000000001</v>
      </c>
      <c r="GL21" s="9">
        <v>17957</v>
      </c>
      <c r="GM21" s="9">
        <v>0</v>
      </c>
      <c r="GN21" s="9">
        <v>0</v>
      </c>
      <c r="GO21" s="9">
        <v>0</v>
      </c>
      <c r="GP21" s="9">
        <v>42909061</v>
      </c>
      <c r="GQ21" s="9">
        <v>42909061</v>
      </c>
      <c r="GR21" s="9">
        <v>0</v>
      </c>
      <c r="GS21" s="9">
        <v>0</v>
      </c>
      <c r="GT21" s="9">
        <v>0</v>
      </c>
      <c r="GU21" s="9">
        <v>0</v>
      </c>
      <c r="GV21" s="9">
        <v>0</v>
      </c>
      <c r="GW21" s="9">
        <v>0</v>
      </c>
      <c r="GX21" s="9">
        <v>0</v>
      </c>
      <c r="GY21" s="9">
        <v>0</v>
      </c>
      <c r="GZ21" s="9">
        <v>0</v>
      </c>
      <c r="HA21" s="9">
        <v>0</v>
      </c>
      <c r="HB21" s="9">
        <v>260786259</v>
      </c>
      <c r="HC21" s="9">
        <v>5.0923999999999997E-2</v>
      </c>
      <c r="HD21" s="9">
        <v>817121</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32469</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row>
    <row r="22" spans="1:292" x14ac:dyDescent="0.25">
      <c r="A22" s="9">
        <v>15830</v>
      </c>
      <c r="B22" s="9">
        <v>32570</v>
      </c>
      <c r="C22" s="9">
        <v>35</v>
      </c>
      <c r="D22" s="9">
        <v>2022</v>
      </c>
      <c r="E22" s="9">
        <v>5392</v>
      </c>
      <c r="F22" s="9">
        <v>0</v>
      </c>
      <c r="G22" s="9">
        <v>3041.2960000000003</v>
      </c>
      <c r="H22" s="9">
        <v>2783.9850000000001</v>
      </c>
      <c r="I22" s="9">
        <v>2783.9850000000001</v>
      </c>
      <c r="J22" s="9">
        <v>3041.2960000000003</v>
      </c>
      <c r="K22" s="9">
        <v>0</v>
      </c>
      <c r="L22" s="9">
        <v>6554</v>
      </c>
      <c r="M22" s="9">
        <v>0</v>
      </c>
      <c r="N22" s="9">
        <v>0</v>
      </c>
      <c r="O22" s="9">
        <v>0</v>
      </c>
      <c r="P22" s="9">
        <v>3018.06</v>
      </c>
      <c r="Q22" s="9">
        <v>0</v>
      </c>
      <c r="R22" s="9">
        <v>964913</v>
      </c>
      <c r="S22" s="9">
        <v>319.71300000000002</v>
      </c>
      <c r="T22" s="9">
        <v>0</v>
      </c>
      <c r="U22" s="9">
        <v>964913</v>
      </c>
      <c r="V22" s="9">
        <v>191.084</v>
      </c>
      <c r="W22" s="9">
        <v>125236</v>
      </c>
      <c r="X22" s="9">
        <v>125236</v>
      </c>
      <c r="Y22" s="9">
        <v>0</v>
      </c>
      <c r="Z22" s="9">
        <v>0</v>
      </c>
      <c r="AA22" s="9">
        <v>1</v>
      </c>
      <c r="AB22" s="9">
        <v>1</v>
      </c>
      <c r="AC22" s="9">
        <v>0</v>
      </c>
      <c r="AD22" s="9" t="s">
        <v>314</v>
      </c>
      <c r="AE22" s="9">
        <v>0</v>
      </c>
      <c r="AF22" s="9">
        <v>0</v>
      </c>
      <c r="AG22" s="9">
        <v>0</v>
      </c>
      <c r="AH22" s="9">
        <v>0</v>
      </c>
      <c r="AI22" s="9">
        <v>0</v>
      </c>
      <c r="AJ22" s="9">
        <v>5104</v>
      </c>
      <c r="AK22" s="9" t="s">
        <v>651</v>
      </c>
      <c r="AL22" s="9" t="s">
        <v>454</v>
      </c>
      <c r="AM22" s="9">
        <v>0</v>
      </c>
      <c r="AN22" s="9">
        <v>0</v>
      </c>
      <c r="AO22" s="9">
        <v>0</v>
      </c>
      <c r="AP22" s="9">
        <v>0</v>
      </c>
      <c r="AQ22" s="9">
        <v>0</v>
      </c>
      <c r="AR22" s="9">
        <v>0</v>
      </c>
      <c r="AS22" s="9">
        <v>0</v>
      </c>
      <c r="AT22" s="9">
        <v>0</v>
      </c>
      <c r="AU22" s="9">
        <v>0</v>
      </c>
      <c r="AV22" s="9">
        <v>617258</v>
      </c>
      <c r="AW22" s="9">
        <v>30356873</v>
      </c>
      <c r="AX22" s="9">
        <v>29548967</v>
      </c>
      <c r="AY22" s="9">
        <v>31958802</v>
      </c>
      <c r="AZ22" s="9">
        <v>1173447</v>
      </c>
      <c r="BA22" s="9">
        <v>0</v>
      </c>
      <c r="BB22" s="9">
        <v>119596</v>
      </c>
      <c r="BC22" s="9">
        <v>119596</v>
      </c>
      <c r="BD22" s="9">
        <v>152.065</v>
      </c>
      <c r="BE22" s="9">
        <v>0</v>
      </c>
      <c r="BF22" s="9">
        <v>25134874</v>
      </c>
      <c r="BG22" s="9">
        <v>0</v>
      </c>
      <c r="BH22" s="9">
        <v>658.28700000000003</v>
      </c>
      <c r="BI22" s="9">
        <v>181029</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71.953000000000003</v>
      </c>
      <c r="CB22" s="9">
        <v>27505</v>
      </c>
      <c r="CC22" s="9">
        <v>0</v>
      </c>
      <c r="CD22" s="9">
        <v>0</v>
      </c>
      <c r="CE22" s="9">
        <v>0</v>
      </c>
      <c r="CF22" s="9">
        <v>0</v>
      </c>
      <c r="CG22" s="9">
        <v>0</v>
      </c>
      <c r="CH22" s="9">
        <v>599372</v>
      </c>
      <c r="CI22" s="9">
        <v>0</v>
      </c>
      <c r="CJ22" s="9">
        <v>4</v>
      </c>
      <c r="CK22" s="9">
        <v>0</v>
      </c>
      <c r="CL22" s="9">
        <v>0</v>
      </c>
      <c r="CM22" s="9">
        <v>0</v>
      </c>
      <c r="CN22" s="9">
        <v>0</v>
      </c>
      <c r="CO22" s="9">
        <v>0</v>
      </c>
      <c r="CP22" s="9">
        <v>0</v>
      </c>
      <c r="CQ22" s="9">
        <v>0</v>
      </c>
      <c r="CR22" s="9">
        <v>3018.06</v>
      </c>
      <c r="CS22" s="9">
        <v>0</v>
      </c>
      <c r="CT22" s="9">
        <v>0</v>
      </c>
      <c r="CU22" s="9">
        <v>0</v>
      </c>
      <c r="CV22" s="9">
        <v>0</v>
      </c>
      <c r="CW22" s="9">
        <v>0</v>
      </c>
      <c r="CX22" s="9">
        <v>0</v>
      </c>
      <c r="CY22" s="9">
        <v>0</v>
      </c>
      <c r="CZ22" s="9">
        <v>0</v>
      </c>
      <c r="DA22" s="9">
        <v>1</v>
      </c>
      <c r="DB22" s="9">
        <v>18246238</v>
      </c>
      <c r="DC22" s="9">
        <v>0</v>
      </c>
      <c r="DD22" s="9">
        <v>0</v>
      </c>
      <c r="DE22" s="9">
        <v>2934658</v>
      </c>
      <c r="DF22" s="9">
        <v>2934658</v>
      </c>
      <c r="DG22" s="9">
        <v>2238.83</v>
      </c>
      <c r="DH22" s="9">
        <v>0</v>
      </c>
      <c r="DI22" s="9">
        <v>0</v>
      </c>
      <c r="DJ22" s="9">
        <v>0</v>
      </c>
      <c r="DK22" s="9">
        <v>5392</v>
      </c>
      <c r="DL22" s="9">
        <v>0</v>
      </c>
      <c r="DM22" s="9">
        <v>3108863</v>
      </c>
      <c r="DN22" s="9">
        <v>0</v>
      </c>
      <c r="DO22" s="9">
        <v>2743</v>
      </c>
      <c r="DP22" s="9">
        <v>0</v>
      </c>
      <c r="DQ22" s="9">
        <v>0</v>
      </c>
      <c r="DR22" s="9">
        <v>0</v>
      </c>
      <c r="DS22" s="9">
        <v>0</v>
      </c>
      <c r="DT22" s="9">
        <v>7.400000000000001E-2</v>
      </c>
      <c r="DU22" s="9">
        <v>0</v>
      </c>
      <c r="DV22" s="9">
        <v>0.112</v>
      </c>
      <c r="DW22" s="9">
        <v>0</v>
      </c>
      <c r="DX22" s="9">
        <v>0</v>
      </c>
      <c r="DY22" s="9">
        <v>0</v>
      </c>
      <c r="DZ22" s="9">
        <v>0.55800000000000005</v>
      </c>
      <c r="EA22" s="9">
        <v>0.69500000000000006</v>
      </c>
      <c r="EB22" s="9">
        <v>0</v>
      </c>
      <c r="EC22" s="9">
        <v>112.35300000000001</v>
      </c>
      <c r="ED22" s="9">
        <v>809998</v>
      </c>
      <c r="EE22" s="9">
        <v>0</v>
      </c>
      <c r="EF22" s="9">
        <v>0</v>
      </c>
      <c r="EG22" s="9">
        <v>0</v>
      </c>
      <c r="EH22" s="9">
        <v>2296122</v>
      </c>
      <c r="EI22" s="9">
        <v>0</v>
      </c>
      <c r="EJ22" s="9">
        <v>0</v>
      </c>
      <c r="EK22" s="9">
        <v>68.855000000000004</v>
      </c>
      <c r="EL22" s="9">
        <v>2.5390000000000001</v>
      </c>
      <c r="EM22" s="9">
        <v>35.078000000000003</v>
      </c>
      <c r="EN22" s="9">
        <v>7.0129999999999999</v>
      </c>
      <c r="EO22" s="9">
        <v>0</v>
      </c>
      <c r="EP22" s="9">
        <v>0</v>
      </c>
      <c r="EQ22" s="9">
        <v>111.64100000000001</v>
      </c>
      <c r="ER22" s="9">
        <v>0</v>
      </c>
      <c r="ES22" s="9">
        <v>350.339</v>
      </c>
      <c r="ET22" s="9">
        <v>0</v>
      </c>
      <c r="EU22" s="9">
        <v>1173447</v>
      </c>
      <c r="EV22" s="9">
        <v>0</v>
      </c>
      <c r="EW22" s="9">
        <v>0</v>
      </c>
      <c r="EX22" s="9">
        <v>0</v>
      </c>
      <c r="EY22" s="9">
        <v>0</v>
      </c>
      <c r="EZ22" s="9">
        <v>24860069</v>
      </c>
      <c r="FA22" s="9">
        <v>0</v>
      </c>
      <c r="FB22" s="9">
        <v>26033516</v>
      </c>
      <c r="FC22" s="9">
        <v>0.97327799999999998</v>
      </c>
      <c r="FD22" s="9">
        <v>0</v>
      </c>
      <c r="FE22" s="9">
        <v>3826583</v>
      </c>
      <c r="FF22" s="9">
        <v>862315</v>
      </c>
      <c r="FG22" s="9">
        <v>6.1239999999999996E-2</v>
      </c>
      <c r="FH22" s="9">
        <v>5.4803999999999999E-2</v>
      </c>
      <c r="FI22" s="9">
        <v>0</v>
      </c>
      <c r="FJ22" s="9">
        <v>0</v>
      </c>
      <c r="FK22" s="9">
        <v>4924.7130000000006</v>
      </c>
      <c r="FL22" s="9">
        <v>31321786</v>
      </c>
      <c r="FM22" s="9">
        <v>0</v>
      </c>
      <c r="FN22" s="9">
        <v>0</v>
      </c>
      <c r="FO22" s="9">
        <v>0</v>
      </c>
      <c r="FP22" s="9">
        <v>0</v>
      </c>
      <c r="FQ22" s="9">
        <v>0</v>
      </c>
      <c r="FR22" s="9">
        <v>0</v>
      </c>
      <c r="FS22" s="9">
        <v>0</v>
      </c>
      <c r="FT22" s="9">
        <v>0</v>
      </c>
      <c r="FU22" s="9">
        <v>0</v>
      </c>
      <c r="FV22" s="9">
        <v>0</v>
      </c>
      <c r="FW22" s="9">
        <v>0</v>
      </c>
      <c r="FX22" s="9">
        <v>0</v>
      </c>
      <c r="FY22" s="9">
        <v>0</v>
      </c>
      <c r="FZ22" s="9">
        <v>1517</v>
      </c>
      <c r="GA22" s="9">
        <v>30.347000000000001</v>
      </c>
      <c r="GB22" s="9">
        <v>1290391</v>
      </c>
      <c r="GC22" s="9">
        <v>1290391</v>
      </c>
      <c r="GD22" s="9">
        <v>145.67000000000002</v>
      </c>
      <c r="GE22" s="9">
        <v>0</v>
      </c>
      <c r="GF22" s="9">
        <v>0</v>
      </c>
      <c r="GG22" s="9">
        <v>0</v>
      </c>
      <c r="GH22" s="9">
        <v>0</v>
      </c>
      <c r="GI22" s="9">
        <v>0</v>
      </c>
      <c r="GJ22" s="9">
        <v>0</v>
      </c>
      <c r="GK22" s="9">
        <v>5043</v>
      </c>
      <c r="GL22" s="9">
        <v>19083</v>
      </c>
      <c r="GM22" s="9">
        <v>0</v>
      </c>
      <c r="GN22" s="9">
        <v>0</v>
      </c>
      <c r="GO22" s="9">
        <v>0</v>
      </c>
      <c r="GP22" s="9">
        <v>30722414</v>
      </c>
      <c r="GQ22" s="9">
        <v>30722414</v>
      </c>
      <c r="GR22" s="9">
        <v>0</v>
      </c>
      <c r="GS22" s="9">
        <v>0</v>
      </c>
      <c r="GT22" s="9">
        <v>0</v>
      </c>
      <c r="GU22" s="9">
        <v>0</v>
      </c>
      <c r="GV22" s="9">
        <v>0</v>
      </c>
      <c r="GW22" s="9">
        <v>0</v>
      </c>
      <c r="GX22" s="9">
        <v>0</v>
      </c>
      <c r="GY22" s="9">
        <v>0</v>
      </c>
      <c r="GZ22" s="9">
        <v>0</v>
      </c>
      <c r="HA22" s="9">
        <v>0</v>
      </c>
      <c r="HB22" s="9">
        <v>260786259</v>
      </c>
      <c r="HC22" s="9">
        <v>5.0923999999999997E-2</v>
      </c>
      <c r="HD22" s="9">
        <v>599372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32469</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row>
    <row r="23" spans="1:292" x14ac:dyDescent="0.25">
      <c r="A23" s="9">
        <v>15831</v>
      </c>
      <c r="B23" s="9">
        <v>32570</v>
      </c>
      <c r="C23" s="9">
        <v>35</v>
      </c>
      <c r="D23" s="9">
        <v>2022</v>
      </c>
      <c r="E23" s="9">
        <v>5392</v>
      </c>
      <c r="F23" s="9">
        <v>0</v>
      </c>
      <c r="G23" s="9">
        <v>3049.1060000000002</v>
      </c>
      <c r="H23" s="9">
        <v>2959.6220000000003</v>
      </c>
      <c r="I23" s="9">
        <v>2959.6220000000003</v>
      </c>
      <c r="J23" s="9">
        <v>3049.1060000000002</v>
      </c>
      <c r="K23" s="9">
        <v>0</v>
      </c>
      <c r="L23" s="9">
        <v>6554</v>
      </c>
      <c r="M23" s="9">
        <v>0</v>
      </c>
      <c r="N23" s="9">
        <v>0</v>
      </c>
      <c r="O23" s="9">
        <v>0</v>
      </c>
      <c r="P23" s="9">
        <v>2172.5350000000003</v>
      </c>
      <c r="Q23" s="9">
        <v>0</v>
      </c>
      <c r="R23" s="9">
        <v>694588</v>
      </c>
      <c r="S23" s="9">
        <v>319.71300000000002</v>
      </c>
      <c r="T23" s="9">
        <v>0</v>
      </c>
      <c r="U23" s="9">
        <v>694588</v>
      </c>
      <c r="V23" s="9">
        <v>418.39</v>
      </c>
      <c r="W23" s="9">
        <v>274213</v>
      </c>
      <c r="X23" s="9">
        <v>274213</v>
      </c>
      <c r="Y23" s="9">
        <v>0</v>
      </c>
      <c r="Z23" s="9">
        <v>0</v>
      </c>
      <c r="AA23" s="9">
        <v>1</v>
      </c>
      <c r="AB23" s="9">
        <v>1</v>
      </c>
      <c r="AC23" s="9">
        <v>0</v>
      </c>
      <c r="AD23" s="9" t="s">
        <v>314</v>
      </c>
      <c r="AE23" s="9">
        <v>0</v>
      </c>
      <c r="AF23" s="9">
        <v>0</v>
      </c>
      <c r="AG23" s="9">
        <v>0</v>
      </c>
      <c r="AH23" s="9">
        <v>0</v>
      </c>
      <c r="AI23" s="9">
        <v>0</v>
      </c>
      <c r="AJ23" s="9">
        <v>5104</v>
      </c>
      <c r="AK23" s="9" t="s">
        <v>651</v>
      </c>
      <c r="AL23" s="9" t="s">
        <v>316</v>
      </c>
      <c r="AM23" s="9">
        <v>0</v>
      </c>
      <c r="AN23" s="9">
        <v>0</v>
      </c>
      <c r="AO23" s="9">
        <v>0</v>
      </c>
      <c r="AP23" s="9">
        <v>0</v>
      </c>
      <c r="AQ23" s="9">
        <v>0</v>
      </c>
      <c r="AR23" s="9">
        <v>0</v>
      </c>
      <c r="AS23" s="9">
        <v>0</v>
      </c>
      <c r="AT23" s="9">
        <v>0</v>
      </c>
      <c r="AU23" s="9">
        <v>0</v>
      </c>
      <c r="AV23" s="9">
        <v>397104</v>
      </c>
      <c r="AW23" s="9">
        <v>28928185</v>
      </c>
      <c r="AX23" s="9">
        <v>27868471</v>
      </c>
      <c r="AY23" s="9">
        <v>31606645</v>
      </c>
      <c r="AZ23" s="9">
        <v>1117932</v>
      </c>
      <c r="BA23" s="9">
        <v>70.917000000000002</v>
      </c>
      <c r="BB23" s="9">
        <v>119903</v>
      </c>
      <c r="BC23" s="9">
        <v>119903</v>
      </c>
      <c r="BD23" s="9">
        <v>152.45500000000001</v>
      </c>
      <c r="BE23" s="9">
        <v>0</v>
      </c>
      <c r="BF23" s="9">
        <v>23527945</v>
      </c>
      <c r="BG23" s="9">
        <v>0</v>
      </c>
      <c r="BH23" s="9">
        <v>169.14500000000001</v>
      </c>
      <c r="BI23" s="9">
        <v>46515</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985.79300000000001</v>
      </c>
      <c r="CB23" s="9">
        <v>376829</v>
      </c>
      <c r="CC23" s="9">
        <v>0</v>
      </c>
      <c r="CD23" s="9">
        <v>0</v>
      </c>
      <c r="CE23" s="9">
        <v>0</v>
      </c>
      <c r="CF23" s="9">
        <v>0</v>
      </c>
      <c r="CG23" s="9">
        <v>0</v>
      </c>
      <c r="CH23" s="9">
        <v>636370</v>
      </c>
      <c r="CI23" s="9">
        <v>0</v>
      </c>
      <c r="CJ23" s="9">
        <v>4</v>
      </c>
      <c r="CK23" s="9">
        <v>0</v>
      </c>
      <c r="CL23" s="9">
        <v>0</v>
      </c>
      <c r="CM23" s="9">
        <v>0</v>
      </c>
      <c r="CN23" s="9">
        <v>0</v>
      </c>
      <c r="CO23" s="9">
        <v>0</v>
      </c>
      <c r="CP23" s="9">
        <v>0</v>
      </c>
      <c r="CQ23" s="9">
        <v>0</v>
      </c>
      <c r="CR23" s="9">
        <v>2172.5350000000003</v>
      </c>
      <c r="CS23" s="9">
        <v>0</v>
      </c>
      <c r="CT23" s="9">
        <v>0</v>
      </c>
      <c r="CU23" s="9">
        <v>0</v>
      </c>
      <c r="CV23" s="9">
        <v>0</v>
      </c>
      <c r="CW23" s="9">
        <v>0</v>
      </c>
      <c r="CX23" s="9">
        <v>0</v>
      </c>
      <c r="CY23" s="9">
        <v>0</v>
      </c>
      <c r="CZ23" s="9">
        <v>0</v>
      </c>
      <c r="DA23" s="9">
        <v>1</v>
      </c>
      <c r="DB23" s="9">
        <v>19397363</v>
      </c>
      <c r="DC23" s="9">
        <v>0</v>
      </c>
      <c r="DD23" s="9">
        <v>0</v>
      </c>
      <c r="DE23" s="9">
        <v>2366872</v>
      </c>
      <c r="DF23" s="9">
        <v>2366872</v>
      </c>
      <c r="DG23" s="9">
        <v>1805.67</v>
      </c>
      <c r="DH23" s="9">
        <v>0</v>
      </c>
      <c r="DI23" s="9">
        <v>0</v>
      </c>
      <c r="DJ23" s="9">
        <v>0</v>
      </c>
      <c r="DK23" s="9">
        <v>5392</v>
      </c>
      <c r="DL23" s="9">
        <v>0</v>
      </c>
      <c r="DM23" s="9">
        <v>1844215</v>
      </c>
      <c r="DN23" s="9">
        <v>0</v>
      </c>
      <c r="DO23" s="9">
        <v>0</v>
      </c>
      <c r="DP23" s="9">
        <v>0</v>
      </c>
      <c r="DQ23" s="9">
        <v>0</v>
      </c>
      <c r="DR23" s="9">
        <v>0</v>
      </c>
      <c r="DS23" s="9">
        <v>0</v>
      </c>
      <c r="DT23" s="9">
        <v>0</v>
      </c>
      <c r="DU23" s="9">
        <v>0</v>
      </c>
      <c r="DV23" s="9">
        <v>0</v>
      </c>
      <c r="DW23" s="9">
        <v>0</v>
      </c>
      <c r="DX23" s="9">
        <v>0</v>
      </c>
      <c r="DY23" s="9">
        <v>0</v>
      </c>
      <c r="DZ23" s="9">
        <v>0</v>
      </c>
      <c r="EA23" s="9">
        <v>0</v>
      </c>
      <c r="EB23" s="9">
        <v>0</v>
      </c>
      <c r="EC23" s="9">
        <v>54.627000000000002</v>
      </c>
      <c r="ED23" s="9">
        <v>393828</v>
      </c>
      <c r="EE23" s="9">
        <v>0</v>
      </c>
      <c r="EF23" s="9">
        <v>0</v>
      </c>
      <c r="EG23" s="9">
        <v>0</v>
      </c>
      <c r="EH23" s="9">
        <v>1450387</v>
      </c>
      <c r="EI23" s="9">
        <v>0</v>
      </c>
      <c r="EJ23" s="9">
        <v>0</v>
      </c>
      <c r="EK23" s="9">
        <v>56.886000000000003</v>
      </c>
      <c r="EL23" s="9">
        <v>0</v>
      </c>
      <c r="EM23" s="9">
        <v>7.7750000000000004</v>
      </c>
      <c r="EN23" s="9">
        <v>5.4630000000000001</v>
      </c>
      <c r="EO23" s="9">
        <v>0</v>
      </c>
      <c r="EP23" s="9">
        <v>0</v>
      </c>
      <c r="EQ23" s="9">
        <v>70.124000000000009</v>
      </c>
      <c r="ER23" s="9">
        <v>0</v>
      </c>
      <c r="ES23" s="9">
        <v>221.298</v>
      </c>
      <c r="ET23" s="9">
        <v>35459</v>
      </c>
      <c r="EU23" s="9">
        <v>1117932</v>
      </c>
      <c r="EV23" s="9">
        <v>0</v>
      </c>
      <c r="EW23" s="9">
        <v>0</v>
      </c>
      <c r="EX23" s="9">
        <v>0</v>
      </c>
      <c r="EY23" s="9">
        <v>0</v>
      </c>
      <c r="EZ23" s="9">
        <v>23479345</v>
      </c>
      <c r="FA23" s="9">
        <v>0</v>
      </c>
      <c r="FB23" s="9">
        <v>24597277</v>
      </c>
      <c r="FC23" s="9">
        <v>0.97327799999999998</v>
      </c>
      <c r="FD23" s="9">
        <v>0</v>
      </c>
      <c r="FE23" s="9">
        <v>3581941</v>
      </c>
      <c r="FF23" s="9">
        <v>807185</v>
      </c>
      <c r="FG23" s="9">
        <v>6.1239999999999996E-2</v>
      </c>
      <c r="FH23" s="9">
        <v>5.4803999999999999E-2</v>
      </c>
      <c r="FI23" s="9">
        <v>0</v>
      </c>
      <c r="FJ23" s="9">
        <v>0</v>
      </c>
      <c r="FK23" s="9">
        <v>4609.8649999999998</v>
      </c>
      <c r="FL23" s="9">
        <v>29622773</v>
      </c>
      <c r="FM23" s="9">
        <v>0</v>
      </c>
      <c r="FN23" s="9">
        <v>0</v>
      </c>
      <c r="FO23" s="9">
        <v>0</v>
      </c>
      <c r="FP23" s="9">
        <v>0</v>
      </c>
      <c r="FQ23" s="9">
        <v>0</v>
      </c>
      <c r="FR23" s="9">
        <v>0</v>
      </c>
      <c r="FS23" s="9">
        <v>0</v>
      </c>
      <c r="FT23" s="9">
        <v>0</v>
      </c>
      <c r="FU23" s="9">
        <v>0</v>
      </c>
      <c r="FV23" s="9">
        <v>0</v>
      </c>
      <c r="FW23" s="9">
        <v>0</v>
      </c>
      <c r="FX23" s="9">
        <v>0</v>
      </c>
      <c r="FY23" s="9">
        <v>0</v>
      </c>
      <c r="FZ23" s="9">
        <v>71</v>
      </c>
      <c r="GA23" s="9">
        <v>1.4240000000000002</v>
      </c>
      <c r="GB23" s="9">
        <v>171367</v>
      </c>
      <c r="GC23" s="9">
        <v>171367</v>
      </c>
      <c r="GD23" s="9">
        <v>19.36</v>
      </c>
      <c r="GE23" s="9">
        <v>0</v>
      </c>
      <c r="GF23" s="9">
        <v>0</v>
      </c>
      <c r="GG23" s="9">
        <v>0</v>
      </c>
      <c r="GH23" s="9">
        <v>0</v>
      </c>
      <c r="GI23" s="9">
        <v>0</v>
      </c>
      <c r="GJ23" s="9">
        <v>0</v>
      </c>
      <c r="GK23" s="9">
        <v>5104.8670000000002</v>
      </c>
      <c r="GL23" s="9">
        <v>8860</v>
      </c>
      <c r="GM23" s="9">
        <v>0</v>
      </c>
      <c r="GN23" s="9">
        <v>0</v>
      </c>
      <c r="GO23" s="9">
        <v>0</v>
      </c>
      <c r="GP23" s="9">
        <v>28986403</v>
      </c>
      <c r="GQ23" s="9">
        <v>28986403</v>
      </c>
      <c r="GR23" s="9">
        <v>0</v>
      </c>
      <c r="GS23" s="9">
        <v>0</v>
      </c>
      <c r="GT23" s="9">
        <v>0</v>
      </c>
      <c r="GU23" s="9">
        <v>0</v>
      </c>
      <c r="GV23" s="9">
        <v>0</v>
      </c>
      <c r="GW23" s="9">
        <v>0</v>
      </c>
      <c r="GX23" s="9">
        <v>0</v>
      </c>
      <c r="GY23" s="9">
        <v>0</v>
      </c>
      <c r="GZ23" s="9">
        <v>0</v>
      </c>
      <c r="HA23" s="9">
        <v>0</v>
      </c>
      <c r="HB23" s="9">
        <v>260786259</v>
      </c>
      <c r="HC23" s="9">
        <v>5.0923999999999997E-2</v>
      </c>
      <c r="HD23" s="9">
        <v>600911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32469</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row>
    <row r="24" spans="1:292" x14ac:dyDescent="0.25">
      <c r="A24" s="9">
        <v>15833</v>
      </c>
      <c r="B24" s="9">
        <v>32570</v>
      </c>
      <c r="C24" s="9">
        <v>35</v>
      </c>
      <c r="D24" s="9">
        <v>2022</v>
      </c>
      <c r="E24" s="9">
        <v>5392</v>
      </c>
      <c r="F24" s="9">
        <v>0</v>
      </c>
      <c r="G24" s="9">
        <v>105.376</v>
      </c>
      <c r="H24" s="9">
        <v>93.874000000000009</v>
      </c>
      <c r="I24" s="9">
        <v>93.874000000000009</v>
      </c>
      <c r="J24" s="9">
        <v>105.376</v>
      </c>
      <c r="K24" s="9">
        <v>0</v>
      </c>
      <c r="L24" s="9">
        <v>6554</v>
      </c>
      <c r="M24" s="9">
        <v>0</v>
      </c>
      <c r="N24" s="9">
        <v>0</v>
      </c>
      <c r="O24" s="9">
        <v>0</v>
      </c>
      <c r="P24" s="9">
        <v>118.378</v>
      </c>
      <c r="Q24" s="9">
        <v>0</v>
      </c>
      <c r="R24" s="9">
        <v>37847</v>
      </c>
      <c r="S24" s="9">
        <v>319.71300000000002</v>
      </c>
      <c r="T24" s="9">
        <v>0</v>
      </c>
      <c r="U24" s="9">
        <v>37847</v>
      </c>
      <c r="V24" s="9">
        <v>0</v>
      </c>
      <c r="W24" s="9">
        <v>0</v>
      </c>
      <c r="X24" s="9">
        <v>0</v>
      </c>
      <c r="Y24" s="9">
        <v>0</v>
      </c>
      <c r="Z24" s="9">
        <v>0</v>
      </c>
      <c r="AA24" s="9">
        <v>1</v>
      </c>
      <c r="AB24" s="9">
        <v>1</v>
      </c>
      <c r="AC24" s="9">
        <v>0</v>
      </c>
      <c r="AD24" s="9" t="s">
        <v>314</v>
      </c>
      <c r="AE24" s="9">
        <v>0</v>
      </c>
      <c r="AF24" s="9">
        <v>0</v>
      </c>
      <c r="AG24" s="9">
        <v>0</v>
      </c>
      <c r="AH24" s="9">
        <v>0</v>
      </c>
      <c r="AI24" s="9">
        <v>0</v>
      </c>
      <c r="AJ24" s="9">
        <v>5104</v>
      </c>
      <c r="AK24" s="9" t="s">
        <v>651</v>
      </c>
      <c r="AL24" s="9" t="s">
        <v>94</v>
      </c>
      <c r="AM24" s="9">
        <v>0</v>
      </c>
      <c r="AN24" s="9">
        <v>0</v>
      </c>
      <c r="AO24" s="9">
        <v>0</v>
      </c>
      <c r="AP24" s="9">
        <v>0</v>
      </c>
      <c r="AQ24" s="9">
        <v>0</v>
      </c>
      <c r="AR24" s="9">
        <v>0</v>
      </c>
      <c r="AS24" s="9">
        <v>0</v>
      </c>
      <c r="AT24" s="9">
        <v>0</v>
      </c>
      <c r="AU24" s="9">
        <v>0</v>
      </c>
      <c r="AV24" s="9">
        <v>36225</v>
      </c>
      <c r="AW24" s="9">
        <v>1045668</v>
      </c>
      <c r="AX24" s="9">
        <v>995923</v>
      </c>
      <c r="AY24" s="9">
        <v>1086419</v>
      </c>
      <c r="AZ24" s="9">
        <v>66825</v>
      </c>
      <c r="BA24" s="9">
        <v>0</v>
      </c>
      <c r="BB24" s="9">
        <v>0</v>
      </c>
      <c r="BC24" s="9">
        <v>0</v>
      </c>
      <c r="BD24" s="9">
        <v>0</v>
      </c>
      <c r="BE24" s="9">
        <v>0</v>
      </c>
      <c r="BF24" s="9">
        <v>847154</v>
      </c>
      <c r="BG24" s="9">
        <v>0</v>
      </c>
      <c r="BH24" s="9">
        <v>105.37400000000001</v>
      </c>
      <c r="BI24" s="9">
        <v>28978</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9">
        <v>20767</v>
      </c>
      <c r="CI24" s="9">
        <v>0</v>
      </c>
      <c r="CJ24" s="9">
        <v>4</v>
      </c>
      <c r="CK24" s="9">
        <v>0</v>
      </c>
      <c r="CL24" s="9">
        <v>0</v>
      </c>
      <c r="CM24" s="9">
        <v>0</v>
      </c>
      <c r="CN24" s="9">
        <v>0</v>
      </c>
      <c r="CO24" s="9">
        <v>0</v>
      </c>
      <c r="CP24" s="9">
        <v>0</v>
      </c>
      <c r="CQ24" s="9">
        <v>0</v>
      </c>
      <c r="CR24" s="9">
        <v>118.378</v>
      </c>
      <c r="CS24" s="9">
        <v>0</v>
      </c>
      <c r="CT24" s="9">
        <v>0</v>
      </c>
      <c r="CU24" s="9">
        <v>0</v>
      </c>
      <c r="CV24" s="9">
        <v>0</v>
      </c>
      <c r="CW24" s="9">
        <v>0</v>
      </c>
      <c r="CX24" s="9">
        <v>0</v>
      </c>
      <c r="CY24" s="9">
        <v>0</v>
      </c>
      <c r="CZ24" s="9">
        <v>0</v>
      </c>
      <c r="DA24" s="9">
        <v>1</v>
      </c>
      <c r="DB24" s="9">
        <v>615250</v>
      </c>
      <c r="DC24" s="9">
        <v>0</v>
      </c>
      <c r="DD24" s="9">
        <v>0</v>
      </c>
      <c r="DE24" s="9">
        <v>92844</v>
      </c>
      <c r="DF24" s="9">
        <v>92844</v>
      </c>
      <c r="DG24" s="9">
        <v>70.83</v>
      </c>
      <c r="DH24" s="9">
        <v>0</v>
      </c>
      <c r="DI24" s="9">
        <v>0</v>
      </c>
      <c r="DJ24" s="9">
        <v>0</v>
      </c>
      <c r="DK24" s="9">
        <v>5392</v>
      </c>
      <c r="DL24" s="9">
        <v>0</v>
      </c>
      <c r="DM24" s="9">
        <v>81874</v>
      </c>
      <c r="DN24" s="9">
        <v>0</v>
      </c>
      <c r="DO24" s="9">
        <v>0</v>
      </c>
      <c r="DP24" s="9">
        <v>0</v>
      </c>
      <c r="DQ24" s="9">
        <v>0</v>
      </c>
      <c r="DR24" s="9">
        <v>0</v>
      </c>
      <c r="DS24" s="9">
        <v>0</v>
      </c>
      <c r="DT24" s="9">
        <v>0</v>
      </c>
      <c r="DU24" s="9">
        <v>0</v>
      </c>
      <c r="DV24" s="9">
        <v>0</v>
      </c>
      <c r="DW24" s="9">
        <v>0</v>
      </c>
      <c r="DX24" s="9">
        <v>0</v>
      </c>
      <c r="DY24" s="9">
        <v>0</v>
      </c>
      <c r="DZ24" s="9">
        <v>0</v>
      </c>
      <c r="EA24" s="9">
        <v>0</v>
      </c>
      <c r="EB24" s="9">
        <v>0</v>
      </c>
      <c r="EC24" s="9">
        <v>4.7730000000000006</v>
      </c>
      <c r="ED24" s="9">
        <v>34410</v>
      </c>
      <c r="EE24" s="9">
        <v>0</v>
      </c>
      <c r="EF24" s="9">
        <v>0</v>
      </c>
      <c r="EG24" s="9">
        <v>0</v>
      </c>
      <c r="EH24" s="9">
        <v>47464</v>
      </c>
      <c r="EI24" s="9">
        <v>0</v>
      </c>
      <c r="EJ24" s="9">
        <v>0</v>
      </c>
      <c r="EK24" s="9">
        <v>2.4140000000000001</v>
      </c>
      <c r="EL24" s="9">
        <v>0</v>
      </c>
      <c r="EM24" s="9">
        <v>0</v>
      </c>
      <c r="EN24" s="9">
        <v>0</v>
      </c>
      <c r="EO24" s="9">
        <v>0</v>
      </c>
      <c r="EP24" s="9">
        <v>0</v>
      </c>
      <c r="EQ24" s="9">
        <v>2.4140000000000001</v>
      </c>
      <c r="ER24" s="9">
        <v>0</v>
      </c>
      <c r="ES24" s="9">
        <v>7.242</v>
      </c>
      <c r="ET24" s="9">
        <v>0</v>
      </c>
      <c r="EU24" s="9">
        <v>66825</v>
      </c>
      <c r="EV24" s="9">
        <v>0</v>
      </c>
      <c r="EW24" s="9">
        <v>0</v>
      </c>
      <c r="EX24" s="9">
        <v>0</v>
      </c>
      <c r="EY24" s="9">
        <v>0</v>
      </c>
      <c r="EZ24" s="9">
        <v>837887</v>
      </c>
      <c r="FA24" s="9">
        <v>0</v>
      </c>
      <c r="FB24" s="9">
        <v>904712</v>
      </c>
      <c r="FC24" s="9">
        <v>0.97327799999999998</v>
      </c>
      <c r="FD24" s="9">
        <v>0</v>
      </c>
      <c r="FE24" s="9">
        <v>128972</v>
      </c>
      <c r="FF24" s="9">
        <v>29064</v>
      </c>
      <c r="FG24" s="9">
        <v>6.1239999999999996E-2</v>
      </c>
      <c r="FH24" s="9">
        <v>5.4803999999999999E-2</v>
      </c>
      <c r="FI24" s="9">
        <v>0</v>
      </c>
      <c r="FJ24" s="9">
        <v>0</v>
      </c>
      <c r="FK24" s="9">
        <v>165.98400000000001</v>
      </c>
      <c r="FL24" s="9">
        <v>1083515</v>
      </c>
      <c r="FM24" s="9">
        <v>0</v>
      </c>
      <c r="FN24" s="9">
        <v>0</v>
      </c>
      <c r="FO24" s="9">
        <v>5320</v>
      </c>
      <c r="FP24" s="9">
        <v>0</v>
      </c>
      <c r="FQ24" s="9">
        <v>5320</v>
      </c>
      <c r="FR24" s="9">
        <v>5320</v>
      </c>
      <c r="FS24" s="9">
        <v>0</v>
      </c>
      <c r="FT24" s="9">
        <v>0</v>
      </c>
      <c r="FU24" s="9">
        <v>0</v>
      </c>
      <c r="FV24" s="9">
        <v>0</v>
      </c>
      <c r="FW24" s="9">
        <v>0</v>
      </c>
      <c r="FX24" s="9">
        <v>0</v>
      </c>
      <c r="FY24" s="9">
        <v>0</v>
      </c>
      <c r="FZ24" s="9">
        <v>36</v>
      </c>
      <c r="GA24" s="9">
        <v>0.72400000000000009</v>
      </c>
      <c r="GB24" s="9">
        <v>80446</v>
      </c>
      <c r="GC24" s="9">
        <v>80446</v>
      </c>
      <c r="GD24" s="9">
        <v>9.088000000000001</v>
      </c>
      <c r="GE24" s="9">
        <v>0</v>
      </c>
      <c r="GF24" s="9">
        <v>0</v>
      </c>
      <c r="GG24" s="9">
        <v>0</v>
      </c>
      <c r="GH24" s="9">
        <v>0</v>
      </c>
      <c r="GI24" s="9">
        <v>0</v>
      </c>
      <c r="GJ24" s="9">
        <v>0</v>
      </c>
      <c r="GK24" s="9">
        <v>5153</v>
      </c>
      <c r="GL24" s="9">
        <v>0</v>
      </c>
      <c r="GM24" s="9">
        <v>0</v>
      </c>
      <c r="GN24" s="9">
        <v>0</v>
      </c>
      <c r="GO24" s="9">
        <v>0</v>
      </c>
      <c r="GP24" s="9">
        <v>1062748</v>
      </c>
      <c r="GQ24" s="9">
        <v>1062748</v>
      </c>
      <c r="GR24" s="9">
        <v>0</v>
      </c>
      <c r="GS24" s="9">
        <v>0</v>
      </c>
      <c r="GT24" s="9">
        <v>0</v>
      </c>
      <c r="GU24" s="9">
        <v>0</v>
      </c>
      <c r="GV24" s="9">
        <v>0</v>
      </c>
      <c r="GW24" s="9">
        <v>0</v>
      </c>
      <c r="GX24" s="9">
        <v>0</v>
      </c>
      <c r="GY24" s="9">
        <v>0</v>
      </c>
      <c r="GZ24" s="9">
        <v>0</v>
      </c>
      <c r="HA24" s="9">
        <v>0</v>
      </c>
      <c r="HB24" s="9">
        <v>260786259</v>
      </c>
      <c r="HC24" s="9">
        <v>5.0923999999999997E-2</v>
      </c>
      <c r="HD24" s="9">
        <v>20767</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32469</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row>
    <row r="25" spans="1:292" x14ac:dyDescent="0.25">
      <c r="A25" s="9">
        <v>15834</v>
      </c>
      <c r="B25" s="9">
        <v>32570</v>
      </c>
      <c r="C25" s="9">
        <v>35</v>
      </c>
      <c r="D25" s="9">
        <v>2022</v>
      </c>
      <c r="E25" s="9">
        <v>5392</v>
      </c>
      <c r="F25" s="9">
        <v>0</v>
      </c>
      <c r="G25" s="9">
        <v>2444.9949999999999</v>
      </c>
      <c r="H25" s="9">
        <v>2436.2380000000003</v>
      </c>
      <c r="I25" s="9">
        <v>2436.2380000000003</v>
      </c>
      <c r="J25" s="9">
        <v>2444.9949999999999</v>
      </c>
      <c r="K25" s="9">
        <v>0</v>
      </c>
      <c r="L25" s="9">
        <v>6554</v>
      </c>
      <c r="M25" s="9">
        <v>0</v>
      </c>
      <c r="N25" s="9">
        <v>0</v>
      </c>
      <c r="O25" s="9">
        <v>0</v>
      </c>
      <c r="P25" s="9">
        <v>2464.2560000000003</v>
      </c>
      <c r="Q25" s="9">
        <v>0</v>
      </c>
      <c r="R25" s="9">
        <v>787855</v>
      </c>
      <c r="S25" s="9">
        <v>319.71300000000002</v>
      </c>
      <c r="T25" s="9">
        <v>0</v>
      </c>
      <c r="U25" s="9">
        <v>787855</v>
      </c>
      <c r="V25" s="9">
        <v>314.60400000000004</v>
      </c>
      <c r="W25" s="9">
        <v>206191</v>
      </c>
      <c r="X25" s="9">
        <v>206191</v>
      </c>
      <c r="Y25" s="9">
        <v>0</v>
      </c>
      <c r="Z25" s="9">
        <v>0</v>
      </c>
      <c r="AA25" s="9">
        <v>1</v>
      </c>
      <c r="AB25" s="9">
        <v>1</v>
      </c>
      <c r="AC25" s="9">
        <v>0</v>
      </c>
      <c r="AD25" s="9" t="s">
        <v>314</v>
      </c>
      <c r="AE25" s="9">
        <v>0</v>
      </c>
      <c r="AF25" s="9">
        <v>0</v>
      </c>
      <c r="AG25" s="9">
        <v>0</v>
      </c>
      <c r="AH25" s="9">
        <v>0</v>
      </c>
      <c r="AI25" s="9">
        <v>0</v>
      </c>
      <c r="AJ25" s="9">
        <v>5104</v>
      </c>
      <c r="AK25" s="9" t="s">
        <v>651</v>
      </c>
      <c r="AL25" s="9" t="s">
        <v>317</v>
      </c>
      <c r="AM25" s="9">
        <v>0</v>
      </c>
      <c r="AN25" s="9">
        <v>0</v>
      </c>
      <c r="AO25" s="9">
        <v>0</v>
      </c>
      <c r="AP25" s="9">
        <v>0</v>
      </c>
      <c r="AQ25" s="9">
        <v>0</v>
      </c>
      <c r="AR25" s="9">
        <v>0</v>
      </c>
      <c r="AS25" s="9">
        <v>0</v>
      </c>
      <c r="AT25" s="9">
        <v>0</v>
      </c>
      <c r="AU25" s="9">
        <v>0</v>
      </c>
      <c r="AV25" s="9">
        <v>456083</v>
      </c>
      <c r="AW25" s="9">
        <v>19201713</v>
      </c>
      <c r="AX25" s="9">
        <v>18626062</v>
      </c>
      <c r="AY25" s="9">
        <v>21037682</v>
      </c>
      <c r="AZ25" s="9">
        <v>881652</v>
      </c>
      <c r="BA25" s="9">
        <v>0</v>
      </c>
      <c r="BB25" s="9">
        <v>0</v>
      </c>
      <c r="BC25" s="9">
        <v>0</v>
      </c>
      <c r="BD25" s="9">
        <v>0</v>
      </c>
      <c r="BE25" s="9">
        <v>0</v>
      </c>
      <c r="BF25" s="9">
        <v>15991619</v>
      </c>
      <c r="BG25" s="9">
        <v>0</v>
      </c>
      <c r="BH25" s="9">
        <v>341.08</v>
      </c>
      <c r="BI25" s="9">
        <v>93797</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0</v>
      </c>
      <c r="CB25" s="9">
        <v>0</v>
      </c>
      <c r="CC25" s="9">
        <v>0</v>
      </c>
      <c r="CD25" s="9">
        <v>0</v>
      </c>
      <c r="CE25" s="9">
        <v>0</v>
      </c>
      <c r="CF25" s="9">
        <v>0</v>
      </c>
      <c r="CG25" s="9">
        <v>0</v>
      </c>
      <c r="CH25" s="9">
        <v>481854</v>
      </c>
      <c r="CI25" s="9">
        <v>0</v>
      </c>
      <c r="CJ25" s="9">
        <v>5</v>
      </c>
      <c r="CK25" s="9">
        <v>0</v>
      </c>
      <c r="CL25" s="9">
        <v>0</v>
      </c>
      <c r="CM25" s="9">
        <v>0</v>
      </c>
      <c r="CN25" s="9">
        <v>0</v>
      </c>
      <c r="CO25" s="9">
        <v>0</v>
      </c>
      <c r="CP25" s="9">
        <v>0</v>
      </c>
      <c r="CQ25" s="9">
        <v>0</v>
      </c>
      <c r="CR25" s="9">
        <v>2464.2560000000003</v>
      </c>
      <c r="CS25" s="9">
        <v>0</v>
      </c>
      <c r="CT25" s="9">
        <v>0</v>
      </c>
      <c r="CU25" s="9">
        <v>0</v>
      </c>
      <c r="CV25" s="9">
        <v>0</v>
      </c>
      <c r="CW25" s="9">
        <v>0</v>
      </c>
      <c r="CX25" s="9">
        <v>0</v>
      </c>
      <c r="CY25" s="9">
        <v>0</v>
      </c>
      <c r="CZ25" s="9">
        <v>0</v>
      </c>
      <c r="DA25" s="9">
        <v>1</v>
      </c>
      <c r="DB25" s="9">
        <v>15967104</v>
      </c>
      <c r="DC25" s="9">
        <v>0</v>
      </c>
      <c r="DD25" s="9">
        <v>0</v>
      </c>
      <c r="DE25" s="9">
        <v>0</v>
      </c>
      <c r="DF25" s="9">
        <v>0</v>
      </c>
      <c r="DG25" s="9">
        <v>0</v>
      </c>
      <c r="DH25" s="9">
        <v>0</v>
      </c>
      <c r="DI25" s="9">
        <v>0</v>
      </c>
      <c r="DJ25" s="9">
        <v>0</v>
      </c>
      <c r="DK25" s="9">
        <v>5392</v>
      </c>
      <c r="DL25" s="9">
        <v>0</v>
      </c>
      <c r="DM25" s="9">
        <v>257393</v>
      </c>
      <c r="DN25" s="9">
        <v>0</v>
      </c>
      <c r="DO25" s="9">
        <v>0</v>
      </c>
      <c r="DP25" s="9">
        <v>0</v>
      </c>
      <c r="DQ25" s="9">
        <v>0</v>
      </c>
      <c r="DR25" s="9">
        <v>0</v>
      </c>
      <c r="DS25" s="9">
        <v>0</v>
      </c>
      <c r="DT25" s="9">
        <v>0</v>
      </c>
      <c r="DU25" s="9">
        <v>0</v>
      </c>
      <c r="DV25" s="9">
        <v>0</v>
      </c>
      <c r="DW25" s="9">
        <v>0</v>
      </c>
      <c r="DX25" s="9">
        <v>0</v>
      </c>
      <c r="DY25" s="9">
        <v>0</v>
      </c>
      <c r="DZ25" s="9">
        <v>0</v>
      </c>
      <c r="EA25" s="9">
        <v>0</v>
      </c>
      <c r="EB25" s="9">
        <v>0</v>
      </c>
      <c r="EC25" s="9">
        <v>9.8559999999999999</v>
      </c>
      <c r="ED25" s="9">
        <v>71056</v>
      </c>
      <c r="EE25" s="9">
        <v>0</v>
      </c>
      <c r="EF25" s="9">
        <v>0</v>
      </c>
      <c r="EG25" s="9">
        <v>0</v>
      </c>
      <c r="EH25" s="9">
        <v>186337</v>
      </c>
      <c r="EI25" s="9">
        <v>0</v>
      </c>
      <c r="EJ25" s="9">
        <v>0</v>
      </c>
      <c r="EK25" s="9">
        <v>7.6770000000000005</v>
      </c>
      <c r="EL25" s="9">
        <v>0</v>
      </c>
      <c r="EM25" s="9">
        <v>0</v>
      </c>
      <c r="EN25" s="9">
        <v>1.08</v>
      </c>
      <c r="EO25" s="9">
        <v>0</v>
      </c>
      <c r="EP25" s="9">
        <v>0</v>
      </c>
      <c r="EQ25" s="9">
        <v>8.7569999999999997</v>
      </c>
      <c r="ER25" s="9">
        <v>0</v>
      </c>
      <c r="ES25" s="9">
        <v>28.431000000000001</v>
      </c>
      <c r="ET25" s="9">
        <v>0</v>
      </c>
      <c r="EU25" s="9">
        <v>881652</v>
      </c>
      <c r="EV25" s="9">
        <v>0</v>
      </c>
      <c r="EW25" s="9">
        <v>0</v>
      </c>
      <c r="EX25" s="9">
        <v>0</v>
      </c>
      <c r="EY25" s="9">
        <v>0</v>
      </c>
      <c r="EZ25" s="9">
        <v>15642833</v>
      </c>
      <c r="FA25" s="9">
        <v>0</v>
      </c>
      <c r="FB25" s="9">
        <v>16524485</v>
      </c>
      <c r="FC25" s="9">
        <v>0.97327799999999998</v>
      </c>
      <c r="FD25" s="9">
        <v>0</v>
      </c>
      <c r="FE25" s="9">
        <v>2434596</v>
      </c>
      <c r="FF25" s="9">
        <v>548633</v>
      </c>
      <c r="FG25" s="9">
        <v>6.1239999999999996E-2</v>
      </c>
      <c r="FH25" s="9">
        <v>5.4803999999999999E-2</v>
      </c>
      <c r="FI25" s="9">
        <v>0</v>
      </c>
      <c r="FJ25" s="9">
        <v>0</v>
      </c>
      <c r="FK25" s="9">
        <v>3133.2620000000002</v>
      </c>
      <c r="FL25" s="9">
        <v>19989568</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19507714</v>
      </c>
      <c r="GQ25" s="9">
        <v>19507714</v>
      </c>
      <c r="GR25" s="9">
        <v>0</v>
      </c>
      <c r="GS25" s="9">
        <v>0</v>
      </c>
      <c r="GT25" s="9">
        <v>0</v>
      </c>
      <c r="GU25" s="9">
        <v>0</v>
      </c>
      <c r="GV25" s="9">
        <v>0</v>
      </c>
      <c r="GW25" s="9">
        <v>0</v>
      </c>
      <c r="GX25" s="9">
        <v>0</v>
      </c>
      <c r="GY25" s="9">
        <v>0</v>
      </c>
      <c r="GZ25" s="9">
        <v>0</v>
      </c>
      <c r="HA25" s="9">
        <v>0</v>
      </c>
      <c r="HB25" s="9">
        <v>260786259</v>
      </c>
      <c r="HC25" s="9">
        <v>5.0923999999999997E-2</v>
      </c>
      <c r="HD25" s="9">
        <v>481854</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32469</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row>
    <row r="26" spans="1:292" x14ac:dyDescent="0.25">
      <c r="A26" s="9">
        <v>15835</v>
      </c>
      <c r="B26" s="9">
        <v>32570</v>
      </c>
      <c r="C26" s="9">
        <v>35</v>
      </c>
      <c r="D26" s="9">
        <v>2022</v>
      </c>
      <c r="E26" s="9">
        <v>5392</v>
      </c>
      <c r="F26" s="9">
        <v>0</v>
      </c>
      <c r="G26" s="9">
        <v>4610.0110000000004</v>
      </c>
      <c r="H26" s="9">
        <v>4517.1720000000005</v>
      </c>
      <c r="I26" s="9">
        <v>4517.1720000000005</v>
      </c>
      <c r="J26" s="9">
        <v>4610.0110000000004</v>
      </c>
      <c r="K26" s="9">
        <v>0</v>
      </c>
      <c r="L26" s="9">
        <v>6554</v>
      </c>
      <c r="M26" s="9">
        <v>0</v>
      </c>
      <c r="N26" s="9">
        <v>0</v>
      </c>
      <c r="O26" s="9">
        <v>0</v>
      </c>
      <c r="P26" s="9">
        <v>3437.5420000000004</v>
      </c>
      <c r="Q26" s="9">
        <v>0</v>
      </c>
      <c r="R26" s="9">
        <v>1099027</v>
      </c>
      <c r="S26" s="9">
        <v>319.71300000000002</v>
      </c>
      <c r="T26" s="9">
        <v>0</v>
      </c>
      <c r="U26" s="9">
        <v>1099027</v>
      </c>
      <c r="V26" s="9">
        <v>288.47900000000004</v>
      </c>
      <c r="W26" s="9">
        <v>189069</v>
      </c>
      <c r="X26" s="9">
        <v>189069</v>
      </c>
      <c r="Y26" s="9">
        <v>0</v>
      </c>
      <c r="Z26" s="9">
        <v>0</v>
      </c>
      <c r="AA26" s="9">
        <v>1</v>
      </c>
      <c r="AB26" s="9">
        <v>1</v>
      </c>
      <c r="AC26" s="9">
        <v>0</v>
      </c>
      <c r="AD26" s="9" t="s">
        <v>314</v>
      </c>
      <c r="AE26" s="9">
        <v>0</v>
      </c>
      <c r="AF26" s="9">
        <v>0</v>
      </c>
      <c r="AG26" s="9">
        <v>0</v>
      </c>
      <c r="AH26" s="9">
        <v>0</v>
      </c>
      <c r="AI26" s="9">
        <v>0</v>
      </c>
      <c r="AJ26" s="9">
        <v>5104</v>
      </c>
      <c r="AK26" s="9" t="s">
        <v>651</v>
      </c>
      <c r="AL26" s="9" t="s">
        <v>318</v>
      </c>
      <c r="AM26" s="9">
        <v>0</v>
      </c>
      <c r="AN26" s="9">
        <v>0</v>
      </c>
      <c r="AO26" s="9">
        <v>0</v>
      </c>
      <c r="AP26" s="9">
        <v>0</v>
      </c>
      <c r="AQ26" s="9">
        <v>0</v>
      </c>
      <c r="AR26" s="9">
        <v>0</v>
      </c>
      <c r="AS26" s="9">
        <v>0</v>
      </c>
      <c r="AT26" s="9">
        <v>0</v>
      </c>
      <c r="AU26" s="9">
        <v>0</v>
      </c>
      <c r="AV26" s="9">
        <v>809</v>
      </c>
      <c r="AW26" s="9">
        <v>39378821</v>
      </c>
      <c r="AX26" s="9">
        <v>37880279</v>
      </c>
      <c r="AY26" s="9">
        <v>42014839</v>
      </c>
      <c r="AZ26" s="9">
        <v>1689039</v>
      </c>
      <c r="BA26" s="9">
        <v>0</v>
      </c>
      <c r="BB26" s="9">
        <v>0</v>
      </c>
      <c r="BC26" s="9">
        <v>0</v>
      </c>
      <c r="BD26" s="9">
        <v>0</v>
      </c>
      <c r="BE26" s="9">
        <v>0</v>
      </c>
      <c r="BF26" s="9">
        <v>32108010</v>
      </c>
      <c r="BG26" s="9">
        <v>0</v>
      </c>
      <c r="BH26" s="9">
        <v>549.53399999999999</v>
      </c>
      <c r="BI26" s="9">
        <v>151122</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1148.144</v>
      </c>
      <c r="CB26" s="9">
        <v>438890</v>
      </c>
      <c r="CC26" s="9">
        <v>0</v>
      </c>
      <c r="CD26" s="9">
        <v>0</v>
      </c>
      <c r="CE26" s="9">
        <v>0</v>
      </c>
      <c r="CF26" s="9">
        <v>0</v>
      </c>
      <c r="CG26" s="9">
        <v>0</v>
      </c>
      <c r="CH26" s="9">
        <v>908530</v>
      </c>
      <c r="CI26" s="9">
        <v>0</v>
      </c>
      <c r="CJ26" s="9">
        <v>4</v>
      </c>
      <c r="CK26" s="9">
        <v>0</v>
      </c>
      <c r="CL26" s="9">
        <v>0</v>
      </c>
      <c r="CM26" s="9">
        <v>0</v>
      </c>
      <c r="CN26" s="9">
        <v>0</v>
      </c>
      <c r="CO26" s="9">
        <v>0</v>
      </c>
      <c r="CP26" s="9">
        <v>0</v>
      </c>
      <c r="CQ26" s="9">
        <v>0</v>
      </c>
      <c r="CR26" s="9">
        <v>3437.5420000000004</v>
      </c>
      <c r="CS26" s="9">
        <v>0</v>
      </c>
      <c r="CT26" s="9">
        <v>0</v>
      </c>
      <c r="CU26" s="9">
        <v>0</v>
      </c>
      <c r="CV26" s="9">
        <v>0</v>
      </c>
      <c r="CW26" s="9">
        <v>0</v>
      </c>
      <c r="CX26" s="9">
        <v>0</v>
      </c>
      <c r="CY26" s="9">
        <v>0</v>
      </c>
      <c r="CZ26" s="9">
        <v>0</v>
      </c>
      <c r="DA26" s="9">
        <v>1</v>
      </c>
      <c r="DB26" s="9">
        <v>29605545</v>
      </c>
      <c r="DC26" s="9">
        <v>0</v>
      </c>
      <c r="DD26" s="9">
        <v>0</v>
      </c>
      <c r="DE26" s="9">
        <v>1001451</v>
      </c>
      <c r="DF26" s="9">
        <v>1001451</v>
      </c>
      <c r="DG26" s="9">
        <v>764</v>
      </c>
      <c r="DH26" s="9">
        <v>0</v>
      </c>
      <c r="DI26" s="9">
        <v>0</v>
      </c>
      <c r="DJ26" s="9">
        <v>0</v>
      </c>
      <c r="DK26" s="9">
        <v>5392</v>
      </c>
      <c r="DL26" s="9">
        <v>0</v>
      </c>
      <c r="DM26" s="9">
        <v>2193508</v>
      </c>
      <c r="DN26" s="9">
        <v>0</v>
      </c>
      <c r="DO26" s="9">
        <v>0</v>
      </c>
      <c r="DP26" s="9">
        <v>0</v>
      </c>
      <c r="DQ26" s="9">
        <v>0</v>
      </c>
      <c r="DR26" s="9">
        <v>0</v>
      </c>
      <c r="DS26" s="9">
        <v>0</v>
      </c>
      <c r="DT26" s="9">
        <v>0</v>
      </c>
      <c r="DU26" s="9">
        <v>0</v>
      </c>
      <c r="DV26" s="9">
        <v>0</v>
      </c>
      <c r="DW26" s="9">
        <v>0</v>
      </c>
      <c r="DX26" s="9">
        <v>0</v>
      </c>
      <c r="DY26" s="9">
        <v>0</v>
      </c>
      <c r="DZ26" s="9">
        <v>0</v>
      </c>
      <c r="EA26" s="9">
        <v>5.2000000000000005E-2</v>
      </c>
      <c r="EB26" s="9">
        <v>0</v>
      </c>
      <c r="EC26" s="9">
        <v>37.483000000000004</v>
      </c>
      <c r="ED26" s="9">
        <v>270230</v>
      </c>
      <c r="EE26" s="9">
        <v>0</v>
      </c>
      <c r="EF26" s="9">
        <v>0</v>
      </c>
      <c r="EG26" s="9">
        <v>0</v>
      </c>
      <c r="EH26" s="9">
        <v>1923278</v>
      </c>
      <c r="EI26" s="9">
        <v>0</v>
      </c>
      <c r="EJ26" s="9">
        <v>0</v>
      </c>
      <c r="EK26" s="9">
        <v>74.996000000000009</v>
      </c>
      <c r="EL26" s="9">
        <v>0</v>
      </c>
      <c r="EM26" s="9">
        <v>10.376000000000001</v>
      </c>
      <c r="EN26" s="9">
        <v>7.415</v>
      </c>
      <c r="EO26" s="9">
        <v>0</v>
      </c>
      <c r="EP26" s="9">
        <v>0</v>
      </c>
      <c r="EQ26" s="9">
        <v>92.838999999999999</v>
      </c>
      <c r="ER26" s="9">
        <v>0</v>
      </c>
      <c r="ES26" s="9">
        <v>293.45100000000002</v>
      </c>
      <c r="ET26" s="9">
        <v>0</v>
      </c>
      <c r="EU26" s="9">
        <v>1689039</v>
      </c>
      <c r="EV26" s="9">
        <v>0</v>
      </c>
      <c r="EW26" s="9">
        <v>0</v>
      </c>
      <c r="EX26" s="9">
        <v>0</v>
      </c>
      <c r="EY26" s="9">
        <v>0</v>
      </c>
      <c r="EZ26" s="9">
        <v>31890546</v>
      </c>
      <c r="FA26" s="9">
        <v>0</v>
      </c>
      <c r="FB26" s="9">
        <v>33579585</v>
      </c>
      <c r="FC26" s="9">
        <v>0.97327799999999998</v>
      </c>
      <c r="FD26" s="9">
        <v>0</v>
      </c>
      <c r="FE26" s="9">
        <v>4888187</v>
      </c>
      <c r="FF26" s="9">
        <v>1101546</v>
      </c>
      <c r="FG26" s="9">
        <v>6.1239999999999996E-2</v>
      </c>
      <c r="FH26" s="9">
        <v>5.4803999999999999E-2</v>
      </c>
      <c r="FI26" s="9">
        <v>0</v>
      </c>
      <c r="FJ26" s="9">
        <v>0</v>
      </c>
      <c r="FK26" s="9">
        <v>6290.97</v>
      </c>
      <c r="FL26" s="9">
        <v>40477848</v>
      </c>
      <c r="FM26" s="9">
        <v>0</v>
      </c>
      <c r="FN26" s="9">
        <v>0</v>
      </c>
      <c r="FO26" s="9">
        <v>0</v>
      </c>
      <c r="FP26" s="9">
        <v>0</v>
      </c>
      <c r="FQ26" s="9">
        <v>0</v>
      </c>
      <c r="FR26" s="9">
        <v>0</v>
      </c>
      <c r="FS26" s="9">
        <v>0</v>
      </c>
      <c r="FT26" s="9">
        <v>0</v>
      </c>
      <c r="FU26" s="9">
        <v>0</v>
      </c>
      <c r="FV26" s="9">
        <v>0</v>
      </c>
      <c r="FW26" s="9">
        <v>0</v>
      </c>
      <c r="FX26" s="9">
        <v>0</v>
      </c>
      <c r="FY26" s="9">
        <v>0</v>
      </c>
      <c r="FZ26" s="9">
        <v>0</v>
      </c>
      <c r="GA26" s="9">
        <v>0</v>
      </c>
      <c r="GB26" s="9">
        <v>0</v>
      </c>
      <c r="GC26" s="9">
        <v>0</v>
      </c>
      <c r="GD26" s="9">
        <v>0</v>
      </c>
      <c r="GE26" s="9">
        <v>0</v>
      </c>
      <c r="GF26" s="9">
        <v>0</v>
      </c>
      <c r="GG26" s="9">
        <v>0</v>
      </c>
      <c r="GH26" s="9">
        <v>0</v>
      </c>
      <c r="GI26" s="9">
        <v>0</v>
      </c>
      <c r="GJ26" s="9">
        <v>0</v>
      </c>
      <c r="GK26" s="9">
        <v>0</v>
      </c>
      <c r="GL26" s="9">
        <v>0</v>
      </c>
      <c r="GM26" s="9">
        <v>0</v>
      </c>
      <c r="GN26" s="9">
        <v>0</v>
      </c>
      <c r="GO26" s="9">
        <v>0</v>
      </c>
      <c r="GP26" s="9">
        <v>39569318</v>
      </c>
      <c r="GQ26" s="9">
        <v>39569318</v>
      </c>
      <c r="GR26" s="9">
        <v>0</v>
      </c>
      <c r="GS26" s="9">
        <v>0</v>
      </c>
      <c r="GT26" s="9">
        <v>0</v>
      </c>
      <c r="GU26" s="9">
        <v>0</v>
      </c>
      <c r="GV26" s="9">
        <v>0</v>
      </c>
      <c r="GW26" s="9">
        <v>0</v>
      </c>
      <c r="GX26" s="9">
        <v>0</v>
      </c>
      <c r="GY26" s="9">
        <v>0</v>
      </c>
      <c r="GZ26" s="9">
        <v>0</v>
      </c>
      <c r="HA26" s="9">
        <v>0</v>
      </c>
      <c r="HB26" s="9">
        <v>260786259</v>
      </c>
      <c r="HC26" s="9">
        <v>5.0923999999999997E-2</v>
      </c>
      <c r="HD26" s="9">
        <v>908530</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32469</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row>
    <row r="27" spans="1:292" x14ac:dyDescent="0.25">
      <c r="A27" s="9">
        <v>15836</v>
      </c>
      <c r="B27" s="9">
        <v>32570</v>
      </c>
      <c r="C27" s="9">
        <v>35</v>
      </c>
      <c r="D27" s="9">
        <v>2022</v>
      </c>
      <c r="E27" s="9">
        <v>5392</v>
      </c>
      <c r="F27" s="9">
        <v>0</v>
      </c>
      <c r="G27" s="9">
        <v>408.84700000000004</v>
      </c>
      <c r="H27" s="9">
        <v>401.37100000000004</v>
      </c>
      <c r="I27" s="9">
        <v>401.37100000000004</v>
      </c>
      <c r="J27" s="9">
        <v>408.84700000000004</v>
      </c>
      <c r="K27" s="9">
        <v>0</v>
      </c>
      <c r="L27" s="9">
        <v>6554</v>
      </c>
      <c r="M27" s="9">
        <v>0</v>
      </c>
      <c r="N27" s="9">
        <v>0</v>
      </c>
      <c r="O27" s="9">
        <v>0</v>
      </c>
      <c r="P27" s="9">
        <v>325.017</v>
      </c>
      <c r="Q27" s="9">
        <v>0</v>
      </c>
      <c r="R27" s="9">
        <v>103912</v>
      </c>
      <c r="S27" s="9">
        <v>319.71300000000002</v>
      </c>
      <c r="T27" s="9">
        <v>0</v>
      </c>
      <c r="U27" s="9">
        <v>103912</v>
      </c>
      <c r="V27" s="9">
        <v>20.628</v>
      </c>
      <c r="W27" s="9">
        <v>13520</v>
      </c>
      <c r="X27" s="9">
        <v>13520</v>
      </c>
      <c r="Y27" s="9">
        <v>0</v>
      </c>
      <c r="Z27" s="9">
        <v>0</v>
      </c>
      <c r="AA27" s="9">
        <v>1</v>
      </c>
      <c r="AB27" s="9">
        <v>1</v>
      </c>
      <c r="AC27" s="9">
        <v>0</v>
      </c>
      <c r="AD27" s="9" t="s">
        <v>314</v>
      </c>
      <c r="AE27" s="9">
        <v>0</v>
      </c>
      <c r="AF27" s="9">
        <v>0</v>
      </c>
      <c r="AG27" s="9">
        <v>0</v>
      </c>
      <c r="AH27" s="9">
        <v>0</v>
      </c>
      <c r="AI27" s="9">
        <v>0</v>
      </c>
      <c r="AJ27" s="9">
        <v>5104</v>
      </c>
      <c r="AK27" s="9" t="s">
        <v>651</v>
      </c>
      <c r="AL27" s="9" t="s">
        <v>319</v>
      </c>
      <c r="AM27" s="9">
        <v>0</v>
      </c>
      <c r="AN27" s="9">
        <v>0</v>
      </c>
      <c r="AO27" s="9">
        <v>0</v>
      </c>
      <c r="AP27" s="9">
        <v>0</v>
      </c>
      <c r="AQ27" s="9">
        <v>0</v>
      </c>
      <c r="AR27" s="9">
        <v>0</v>
      </c>
      <c r="AS27" s="9">
        <v>0</v>
      </c>
      <c r="AT27" s="9">
        <v>0</v>
      </c>
      <c r="AU27" s="9">
        <v>0</v>
      </c>
      <c r="AV27" s="9">
        <v>73</v>
      </c>
      <c r="AW27" s="9">
        <v>3410772</v>
      </c>
      <c r="AX27" s="9">
        <v>3330197</v>
      </c>
      <c r="AY27" s="9">
        <v>3599610</v>
      </c>
      <c r="AZ27" s="9">
        <v>103912</v>
      </c>
      <c r="BA27" s="9">
        <v>0</v>
      </c>
      <c r="BB27" s="9">
        <v>0</v>
      </c>
      <c r="BC27" s="9">
        <v>0</v>
      </c>
      <c r="BD27" s="9">
        <v>0</v>
      </c>
      <c r="BE27" s="9">
        <v>0</v>
      </c>
      <c r="BF27" s="9">
        <v>2828742</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80575</v>
      </c>
      <c r="CI27" s="9">
        <v>0</v>
      </c>
      <c r="CJ27" s="9">
        <v>4</v>
      </c>
      <c r="CK27" s="9">
        <v>0</v>
      </c>
      <c r="CL27" s="9">
        <v>0</v>
      </c>
      <c r="CM27" s="9">
        <v>0</v>
      </c>
      <c r="CN27" s="9">
        <v>0</v>
      </c>
      <c r="CO27" s="9">
        <v>0</v>
      </c>
      <c r="CP27" s="9">
        <v>0</v>
      </c>
      <c r="CQ27" s="9">
        <v>0</v>
      </c>
      <c r="CR27" s="9">
        <v>325.017</v>
      </c>
      <c r="CS27" s="9">
        <v>0</v>
      </c>
      <c r="CT27" s="9">
        <v>0</v>
      </c>
      <c r="CU27" s="9">
        <v>0</v>
      </c>
      <c r="CV27" s="9">
        <v>0</v>
      </c>
      <c r="CW27" s="9">
        <v>0</v>
      </c>
      <c r="CX27" s="9">
        <v>0</v>
      </c>
      <c r="CY27" s="9">
        <v>0</v>
      </c>
      <c r="CZ27" s="9">
        <v>0</v>
      </c>
      <c r="DA27" s="9">
        <v>1</v>
      </c>
      <c r="DB27" s="9">
        <v>2630586</v>
      </c>
      <c r="DC27" s="9">
        <v>0</v>
      </c>
      <c r="DD27" s="9">
        <v>0</v>
      </c>
      <c r="DE27" s="9">
        <v>65973</v>
      </c>
      <c r="DF27" s="9">
        <v>65973</v>
      </c>
      <c r="DG27" s="9">
        <v>50.33</v>
      </c>
      <c r="DH27" s="9">
        <v>0</v>
      </c>
      <c r="DI27" s="9">
        <v>0</v>
      </c>
      <c r="DJ27" s="9">
        <v>0</v>
      </c>
      <c r="DK27" s="9">
        <v>5392</v>
      </c>
      <c r="DL27" s="9">
        <v>0</v>
      </c>
      <c r="DM27" s="9">
        <v>196329</v>
      </c>
      <c r="DN27" s="9">
        <v>0</v>
      </c>
      <c r="DO27" s="9">
        <v>0</v>
      </c>
      <c r="DP27" s="9">
        <v>0</v>
      </c>
      <c r="DQ27" s="9">
        <v>0</v>
      </c>
      <c r="DR27" s="9">
        <v>0</v>
      </c>
      <c r="DS27" s="9">
        <v>0</v>
      </c>
      <c r="DT27" s="9">
        <v>0</v>
      </c>
      <c r="DU27" s="9">
        <v>0</v>
      </c>
      <c r="DV27" s="9">
        <v>0</v>
      </c>
      <c r="DW27" s="9">
        <v>0</v>
      </c>
      <c r="DX27" s="9">
        <v>0</v>
      </c>
      <c r="DY27" s="9">
        <v>0</v>
      </c>
      <c r="DZ27" s="9">
        <v>0</v>
      </c>
      <c r="EA27" s="9">
        <v>0</v>
      </c>
      <c r="EB27" s="9">
        <v>0</v>
      </c>
      <c r="EC27" s="9">
        <v>5.5070000000000006</v>
      </c>
      <c r="ED27" s="9">
        <v>39702</v>
      </c>
      <c r="EE27" s="9">
        <v>0</v>
      </c>
      <c r="EF27" s="9">
        <v>0</v>
      </c>
      <c r="EG27" s="9">
        <v>0</v>
      </c>
      <c r="EH27" s="9">
        <v>156627</v>
      </c>
      <c r="EI27" s="9">
        <v>0</v>
      </c>
      <c r="EJ27" s="9">
        <v>0</v>
      </c>
      <c r="EK27" s="9">
        <v>6.5460000000000003</v>
      </c>
      <c r="EL27" s="9">
        <v>0</v>
      </c>
      <c r="EM27" s="9">
        <v>0.19500000000000001</v>
      </c>
      <c r="EN27" s="9">
        <v>0.73499999999999999</v>
      </c>
      <c r="EO27" s="9">
        <v>0</v>
      </c>
      <c r="EP27" s="9">
        <v>0</v>
      </c>
      <c r="EQ27" s="9">
        <v>7.476</v>
      </c>
      <c r="ER27" s="9">
        <v>0</v>
      </c>
      <c r="ES27" s="9">
        <v>23.898</v>
      </c>
      <c r="ET27" s="9">
        <v>0</v>
      </c>
      <c r="EU27" s="9">
        <v>103912</v>
      </c>
      <c r="EV27" s="9">
        <v>0</v>
      </c>
      <c r="EW27" s="9">
        <v>0</v>
      </c>
      <c r="EX27" s="9">
        <v>0</v>
      </c>
      <c r="EY27" s="9">
        <v>0</v>
      </c>
      <c r="EZ27" s="9">
        <v>2802496</v>
      </c>
      <c r="FA27" s="9">
        <v>0</v>
      </c>
      <c r="FB27" s="9">
        <v>2906408</v>
      </c>
      <c r="FC27" s="9">
        <v>0.97327799999999998</v>
      </c>
      <c r="FD27" s="9">
        <v>0</v>
      </c>
      <c r="FE27" s="9">
        <v>430654</v>
      </c>
      <c r="FF27" s="9">
        <v>97047</v>
      </c>
      <c r="FG27" s="9">
        <v>6.1239999999999996E-2</v>
      </c>
      <c r="FH27" s="9">
        <v>5.4803999999999999E-2</v>
      </c>
      <c r="FI27" s="9">
        <v>0</v>
      </c>
      <c r="FJ27" s="9">
        <v>0</v>
      </c>
      <c r="FK27" s="9">
        <v>554.24</v>
      </c>
      <c r="FL27" s="9">
        <v>3514684</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3434109</v>
      </c>
      <c r="GQ27" s="9">
        <v>3434109</v>
      </c>
      <c r="GR27" s="9">
        <v>0</v>
      </c>
      <c r="GS27" s="9">
        <v>0</v>
      </c>
      <c r="GT27" s="9">
        <v>0</v>
      </c>
      <c r="GU27" s="9">
        <v>0</v>
      </c>
      <c r="GV27" s="9">
        <v>0</v>
      </c>
      <c r="GW27" s="9">
        <v>0</v>
      </c>
      <c r="GX27" s="9">
        <v>0</v>
      </c>
      <c r="GY27" s="9">
        <v>0</v>
      </c>
      <c r="GZ27" s="9">
        <v>0</v>
      </c>
      <c r="HA27" s="9">
        <v>0</v>
      </c>
      <c r="HB27" s="9">
        <v>260786259</v>
      </c>
      <c r="HC27" s="9">
        <v>5.0923999999999997E-2</v>
      </c>
      <c r="HD27" s="9">
        <v>80575</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32469</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row>
    <row r="28" spans="1:292" x14ac:dyDescent="0.25">
      <c r="A28" s="9">
        <v>15838</v>
      </c>
      <c r="B28" s="9">
        <v>32570</v>
      </c>
      <c r="C28" s="9">
        <v>35</v>
      </c>
      <c r="D28" s="9">
        <v>2022</v>
      </c>
      <c r="E28" s="9">
        <v>5392</v>
      </c>
      <c r="F28" s="9">
        <v>0</v>
      </c>
      <c r="G28" s="9">
        <v>333.50600000000003</v>
      </c>
      <c r="H28" s="9">
        <v>318.76800000000003</v>
      </c>
      <c r="I28" s="9">
        <v>318.76800000000003</v>
      </c>
      <c r="J28" s="9">
        <v>333.50600000000003</v>
      </c>
      <c r="K28" s="9">
        <v>0</v>
      </c>
      <c r="L28" s="9">
        <v>6554</v>
      </c>
      <c r="M28" s="9">
        <v>0</v>
      </c>
      <c r="N28" s="9">
        <v>0</v>
      </c>
      <c r="O28" s="9">
        <v>0</v>
      </c>
      <c r="P28" s="9">
        <v>175.797</v>
      </c>
      <c r="Q28" s="9">
        <v>0</v>
      </c>
      <c r="R28" s="9">
        <v>56205</v>
      </c>
      <c r="S28" s="9">
        <v>319.71300000000002</v>
      </c>
      <c r="T28" s="9">
        <v>0</v>
      </c>
      <c r="U28" s="9">
        <v>56205</v>
      </c>
      <c r="V28" s="9">
        <v>13.044</v>
      </c>
      <c r="W28" s="9">
        <v>8549</v>
      </c>
      <c r="X28" s="9">
        <v>8549</v>
      </c>
      <c r="Y28" s="9">
        <v>0</v>
      </c>
      <c r="Z28" s="9">
        <v>0</v>
      </c>
      <c r="AA28" s="9">
        <v>1</v>
      </c>
      <c r="AB28" s="9">
        <v>1</v>
      </c>
      <c r="AC28" s="9">
        <v>0</v>
      </c>
      <c r="AD28" s="9" t="s">
        <v>314</v>
      </c>
      <c r="AE28" s="9">
        <v>0</v>
      </c>
      <c r="AF28" s="9">
        <v>0</v>
      </c>
      <c r="AG28" s="9">
        <v>0</v>
      </c>
      <c r="AH28" s="9">
        <v>0</v>
      </c>
      <c r="AI28" s="9">
        <v>0</v>
      </c>
      <c r="AJ28" s="9">
        <v>5104</v>
      </c>
      <c r="AK28" s="9" t="s">
        <v>651</v>
      </c>
      <c r="AL28" s="9" t="s">
        <v>413</v>
      </c>
      <c r="AM28" s="9">
        <v>0</v>
      </c>
      <c r="AN28" s="9">
        <v>0</v>
      </c>
      <c r="AO28" s="9">
        <v>0</v>
      </c>
      <c r="AP28" s="9">
        <v>0</v>
      </c>
      <c r="AQ28" s="9">
        <v>0</v>
      </c>
      <c r="AR28" s="9">
        <v>0</v>
      </c>
      <c r="AS28" s="9">
        <v>0</v>
      </c>
      <c r="AT28" s="9">
        <v>0</v>
      </c>
      <c r="AU28" s="9">
        <v>0</v>
      </c>
      <c r="AV28" s="9">
        <v>141456</v>
      </c>
      <c r="AW28" s="9">
        <v>3289647</v>
      </c>
      <c r="AX28" s="9">
        <v>3205362</v>
      </c>
      <c r="AY28" s="9">
        <v>3659035</v>
      </c>
      <c r="AZ28" s="9">
        <v>74763</v>
      </c>
      <c r="BA28" s="9">
        <v>0</v>
      </c>
      <c r="BB28" s="9">
        <v>0</v>
      </c>
      <c r="BC28" s="9">
        <v>0</v>
      </c>
      <c r="BD28" s="9">
        <v>0</v>
      </c>
      <c r="BE28" s="9">
        <v>0</v>
      </c>
      <c r="BF28" s="9">
        <v>2672816</v>
      </c>
      <c r="BG28" s="9">
        <v>0</v>
      </c>
      <c r="BH28" s="9">
        <v>67.484000000000009</v>
      </c>
      <c r="BI28" s="9">
        <v>18558</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0</v>
      </c>
      <c r="CB28" s="9">
        <v>0</v>
      </c>
      <c r="CC28" s="9">
        <v>0</v>
      </c>
      <c r="CD28" s="9">
        <v>0</v>
      </c>
      <c r="CE28" s="9">
        <v>0</v>
      </c>
      <c r="CF28" s="9">
        <v>0</v>
      </c>
      <c r="CG28" s="9">
        <v>0</v>
      </c>
      <c r="CH28" s="9">
        <v>65727</v>
      </c>
      <c r="CI28" s="9">
        <v>0</v>
      </c>
      <c r="CJ28" s="9">
        <v>5</v>
      </c>
      <c r="CK28" s="9">
        <v>0</v>
      </c>
      <c r="CL28" s="9">
        <v>0</v>
      </c>
      <c r="CM28" s="9">
        <v>0</v>
      </c>
      <c r="CN28" s="9">
        <v>0</v>
      </c>
      <c r="CO28" s="9">
        <v>0</v>
      </c>
      <c r="CP28" s="9">
        <v>0</v>
      </c>
      <c r="CQ28" s="9">
        <v>0</v>
      </c>
      <c r="CR28" s="9">
        <v>175.797</v>
      </c>
      <c r="CS28" s="9">
        <v>0</v>
      </c>
      <c r="CT28" s="9">
        <v>0</v>
      </c>
      <c r="CU28" s="9">
        <v>0</v>
      </c>
      <c r="CV28" s="9">
        <v>0</v>
      </c>
      <c r="CW28" s="9">
        <v>0</v>
      </c>
      <c r="CX28" s="9">
        <v>0</v>
      </c>
      <c r="CY28" s="9">
        <v>0</v>
      </c>
      <c r="CZ28" s="9">
        <v>0</v>
      </c>
      <c r="DA28" s="9">
        <v>1</v>
      </c>
      <c r="DB28" s="9">
        <v>2089205</v>
      </c>
      <c r="DC28" s="9">
        <v>0</v>
      </c>
      <c r="DD28" s="9">
        <v>0</v>
      </c>
      <c r="DE28" s="9">
        <v>277234</v>
      </c>
      <c r="DF28" s="9">
        <v>277234</v>
      </c>
      <c r="DG28" s="9">
        <v>211.5</v>
      </c>
      <c r="DH28" s="9">
        <v>0</v>
      </c>
      <c r="DI28" s="9">
        <v>0</v>
      </c>
      <c r="DJ28" s="9">
        <v>0</v>
      </c>
      <c r="DK28" s="9">
        <v>5392</v>
      </c>
      <c r="DL28" s="9">
        <v>0</v>
      </c>
      <c r="DM28" s="9">
        <v>273081</v>
      </c>
      <c r="DN28" s="9">
        <v>0</v>
      </c>
      <c r="DO28" s="9">
        <v>0</v>
      </c>
      <c r="DP28" s="9">
        <v>0</v>
      </c>
      <c r="DQ28" s="9">
        <v>0</v>
      </c>
      <c r="DR28" s="9">
        <v>0</v>
      </c>
      <c r="DS28" s="9">
        <v>0</v>
      </c>
      <c r="DT28" s="9">
        <v>0</v>
      </c>
      <c r="DU28" s="9">
        <v>0</v>
      </c>
      <c r="DV28" s="9">
        <v>0</v>
      </c>
      <c r="DW28" s="9">
        <v>0</v>
      </c>
      <c r="DX28" s="9">
        <v>0</v>
      </c>
      <c r="DY28" s="9">
        <v>0</v>
      </c>
      <c r="DZ28" s="9">
        <v>0</v>
      </c>
      <c r="EA28" s="9">
        <v>0</v>
      </c>
      <c r="EB28" s="9">
        <v>0</v>
      </c>
      <c r="EC28" s="9">
        <v>27.592000000000002</v>
      </c>
      <c r="ED28" s="9">
        <v>198922</v>
      </c>
      <c r="EE28" s="9">
        <v>0</v>
      </c>
      <c r="EF28" s="9">
        <v>0</v>
      </c>
      <c r="EG28" s="9">
        <v>0</v>
      </c>
      <c r="EH28" s="9">
        <v>74159</v>
      </c>
      <c r="EI28" s="9">
        <v>0</v>
      </c>
      <c r="EJ28" s="9">
        <v>0</v>
      </c>
      <c r="EK28" s="9">
        <v>0.88900000000000001</v>
      </c>
      <c r="EL28" s="9">
        <v>0</v>
      </c>
      <c r="EM28" s="9">
        <v>2.5710000000000002</v>
      </c>
      <c r="EN28" s="9">
        <v>0.187</v>
      </c>
      <c r="EO28" s="9">
        <v>0</v>
      </c>
      <c r="EP28" s="9">
        <v>0</v>
      </c>
      <c r="EQ28" s="9">
        <v>3.6470000000000002</v>
      </c>
      <c r="ER28" s="9">
        <v>0</v>
      </c>
      <c r="ES28" s="9">
        <v>11.315000000000001</v>
      </c>
      <c r="ET28" s="9">
        <v>0</v>
      </c>
      <c r="EU28" s="9">
        <v>74763</v>
      </c>
      <c r="EV28" s="9">
        <v>0</v>
      </c>
      <c r="EW28" s="9">
        <v>0</v>
      </c>
      <c r="EX28" s="9">
        <v>0</v>
      </c>
      <c r="EY28" s="9">
        <v>0</v>
      </c>
      <c r="EZ28" s="9">
        <v>2706749</v>
      </c>
      <c r="FA28" s="9">
        <v>0</v>
      </c>
      <c r="FB28" s="9">
        <v>2781512</v>
      </c>
      <c r="FC28" s="9">
        <v>0.97327799999999998</v>
      </c>
      <c r="FD28" s="9">
        <v>0</v>
      </c>
      <c r="FE28" s="9">
        <v>406915</v>
      </c>
      <c r="FF28" s="9">
        <v>91698</v>
      </c>
      <c r="FG28" s="9">
        <v>6.1239999999999996E-2</v>
      </c>
      <c r="FH28" s="9">
        <v>5.4803999999999999E-2</v>
      </c>
      <c r="FI28" s="9">
        <v>0</v>
      </c>
      <c r="FJ28" s="9">
        <v>0</v>
      </c>
      <c r="FK28" s="9">
        <v>523.68900000000008</v>
      </c>
      <c r="FL28" s="9">
        <v>3345852</v>
      </c>
      <c r="FM28" s="9">
        <v>0</v>
      </c>
      <c r="FN28" s="9">
        <v>0</v>
      </c>
      <c r="FO28" s="9">
        <v>16753</v>
      </c>
      <c r="FP28" s="9">
        <v>0</v>
      </c>
      <c r="FQ28" s="9">
        <v>16753</v>
      </c>
      <c r="FR28" s="9">
        <v>16753</v>
      </c>
      <c r="FS28" s="9">
        <v>0</v>
      </c>
      <c r="FT28" s="9">
        <v>0</v>
      </c>
      <c r="FU28" s="9">
        <v>0</v>
      </c>
      <c r="FV28" s="9">
        <v>0</v>
      </c>
      <c r="FW28" s="9">
        <v>0</v>
      </c>
      <c r="FX28" s="9">
        <v>0</v>
      </c>
      <c r="FY28" s="9">
        <v>0</v>
      </c>
      <c r="FZ28" s="9">
        <v>0</v>
      </c>
      <c r="GA28" s="9">
        <v>0</v>
      </c>
      <c r="GB28" s="9">
        <v>98132</v>
      </c>
      <c r="GC28" s="9">
        <v>98132</v>
      </c>
      <c r="GD28" s="9">
        <v>11.091000000000001</v>
      </c>
      <c r="GE28" s="9">
        <v>0</v>
      </c>
      <c r="GF28" s="9">
        <v>0</v>
      </c>
      <c r="GG28" s="9">
        <v>0</v>
      </c>
      <c r="GH28" s="9">
        <v>0</v>
      </c>
      <c r="GI28" s="9">
        <v>0</v>
      </c>
      <c r="GJ28" s="9">
        <v>0</v>
      </c>
      <c r="GK28" s="9">
        <v>0</v>
      </c>
      <c r="GL28" s="9">
        <v>0</v>
      </c>
      <c r="GM28" s="9">
        <v>0</v>
      </c>
      <c r="GN28" s="9">
        <v>0</v>
      </c>
      <c r="GO28" s="9">
        <v>0</v>
      </c>
      <c r="GP28" s="9">
        <v>3280125</v>
      </c>
      <c r="GQ28" s="9">
        <v>3280125</v>
      </c>
      <c r="GR28" s="9">
        <v>0</v>
      </c>
      <c r="GS28" s="9">
        <v>0</v>
      </c>
      <c r="GT28" s="9">
        <v>0</v>
      </c>
      <c r="GU28" s="9">
        <v>0</v>
      </c>
      <c r="GV28" s="9">
        <v>0</v>
      </c>
      <c r="GW28" s="9">
        <v>0</v>
      </c>
      <c r="GX28" s="9">
        <v>0</v>
      </c>
      <c r="GY28" s="9">
        <v>0</v>
      </c>
      <c r="GZ28" s="9">
        <v>0</v>
      </c>
      <c r="HA28" s="9">
        <v>0</v>
      </c>
      <c r="HB28" s="9">
        <v>260786259</v>
      </c>
      <c r="HC28" s="9">
        <v>5.0923999999999997E-2</v>
      </c>
      <c r="HD28" s="9">
        <v>65727</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32469</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row>
    <row r="29" spans="1:292" x14ac:dyDescent="0.25">
      <c r="A29" s="9">
        <v>15839</v>
      </c>
      <c r="B29" s="9">
        <v>32570</v>
      </c>
      <c r="C29" s="9">
        <v>35</v>
      </c>
      <c r="D29" s="9">
        <v>2022</v>
      </c>
      <c r="E29" s="9">
        <v>5392</v>
      </c>
      <c r="F29" s="9">
        <v>0</v>
      </c>
      <c r="G29" s="9">
        <v>0</v>
      </c>
      <c r="H29" s="9">
        <v>0</v>
      </c>
      <c r="I29" s="9">
        <v>0</v>
      </c>
      <c r="J29" s="9">
        <v>0</v>
      </c>
      <c r="K29" s="9">
        <v>0</v>
      </c>
      <c r="L29" s="9">
        <v>6554</v>
      </c>
      <c r="M29" s="9">
        <v>0</v>
      </c>
      <c r="N29" s="9">
        <v>0</v>
      </c>
      <c r="O29" s="9">
        <v>0</v>
      </c>
      <c r="P29" s="9">
        <v>0</v>
      </c>
      <c r="Q29" s="9">
        <v>0</v>
      </c>
      <c r="R29" s="9">
        <v>0</v>
      </c>
      <c r="S29" s="9">
        <v>319.71300000000002</v>
      </c>
      <c r="T29" s="9">
        <v>0</v>
      </c>
      <c r="U29" s="9">
        <v>0</v>
      </c>
      <c r="V29" s="9">
        <v>0</v>
      </c>
      <c r="W29" s="9">
        <v>0</v>
      </c>
      <c r="X29" s="9">
        <v>0</v>
      </c>
      <c r="Y29" s="9">
        <v>0</v>
      </c>
      <c r="Z29" s="9">
        <v>0</v>
      </c>
      <c r="AA29" s="9">
        <v>1</v>
      </c>
      <c r="AB29" s="9">
        <v>1</v>
      </c>
      <c r="AC29" s="9">
        <v>0</v>
      </c>
      <c r="AD29" s="9" t="s">
        <v>314</v>
      </c>
      <c r="AE29" s="9">
        <v>0</v>
      </c>
      <c r="AF29" s="9">
        <v>0</v>
      </c>
      <c r="AG29" s="9">
        <v>0</v>
      </c>
      <c r="AH29" s="9">
        <v>0</v>
      </c>
      <c r="AI29" s="9">
        <v>0</v>
      </c>
      <c r="AJ29" s="9">
        <v>5104</v>
      </c>
      <c r="AK29" s="9" t="s">
        <v>651</v>
      </c>
      <c r="AL29" s="9" t="s">
        <v>455</v>
      </c>
      <c r="AM29" s="9">
        <v>0</v>
      </c>
      <c r="AN29" s="9">
        <v>0</v>
      </c>
      <c r="AO29" s="9">
        <v>0</v>
      </c>
      <c r="AP29" s="9">
        <v>0</v>
      </c>
      <c r="AQ29" s="9">
        <v>0</v>
      </c>
      <c r="AR29" s="9">
        <v>0</v>
      </c>
      <c r="AS29" s="9">
        <v>0</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0</v>
      </c>
      <c r="CB29" s="9">
        <v>0</v>
      </c>
      <c r="CC29" s="9">
        <v>0</v>
      </c>
      <c r="CD29" s="9">
        <v>0</v>
      </c>
      <c r="CE29" s="9">
        <v>0</v>
      </c>
      <c r="CF29" s="9">
        <v>0</v>
      </c>
      <c r="CG29" s="9">
        <v>0</v>
      </c>
      <c r="CH29" s="9">
        <v>0</v>
      </c>
      <c r="CI29" s="9">
        <v>0</v>
      </c>
      <c r="CJ29" s="9">
        <v>4</v>
      </c>
      <c r="CK29" s="9">
        <v>0</v>
      </c>
      <c r="CL29" s="9">
        <v>0</v>
      </c>
      <c r="CM29" s="9">
        <v>0</v>
      </c>
      <c r="CN29" s="9">
        <v>0</v>
      </c>
      <c r="CO29" s="9">
        <v>1</v>
      </c>
      <c r="CP29" s="9">
        <v>0</v>
      </c>
      <c r="CQ29" s="9">
        <v>0</v>
      </c>
      <c r="CR29" s="9">
        <v>0</v>
      </c>
      <c r="CS29" s="9">
        <v>0</v>
      </c>
      <c r="CT29" s="9">
        <v>0</v>
      </c>
      <c r="CU29" s="9">
        <v>0</v>
      </c>
      <c r="CV29" s="9">
        <v>0</v>
      </c>
      <c r="CW29" s="9">
        <v>0</v>
      </c>
      <c r="CX29" s="9">
        <v>0</v>
      </c>
      <c r="CY29" s="9">
        <v>0</v>
      </c>
      <c r="CZ29" s="9">
        <v>0</v>
      </c>
      <c r="DA29" s="9">
        <v>1</v>
      </c>
      <c r="DB29" s="9">
        <v>0</v>
      </c>
      <c r="DC29" s="9">
        <v>0</v>
      </c>
      <c r="DD29" s="9">
        <v>0</v>
      </c>
      <c r="DE29" s="9">
        <v>0</v>
      </c>
      <c r="DF29" s="9">
        <v>0</v>
      </c>
      <c r="DG29" s="9">
        <v>0</v>
      </c>
      <c r="DH29" s="9">
        <v>0</v>
      </c>
      <c r="DI29" s="9">
        <v>0</v>
      </c>
      <c r="DJ29" s="9">
        <v>0</v>
      </c>
      <c r="DK29" s="9">
        <v>5392</v>
      </c>
      <c r="DL29" s="9">
        <v>0</v>
      </c>
      <c r="DM29" s="9">
        <v>0</v>
      </c>
      <c r="DN29" s="9">
        <v>0</v>
      </c>
      <c r="DO29" s="9">
        <v>0</v>
      </c>
      <c r="DP29" s="9">
        <v>0</v>
      </c>
      <c r="DQ29" s="9">
        <v>0</v>
      </c>
      <c r="DR29" s="9">
        <v>0</v>
      </c>
      <c r="DS29" s="9">
        <v>0</v>
      </c>
      <c r="DT29" s="9">
        <v>0</v>
      </c>
      <c r="DU29" s="9">
        <v>0</v>
      </c>
      <c r="DV29" s="9">
        <v>0</v>
      </c>
      <c r="DW29" s="9">
        <v>0</v>
      </c>
      <c r="DX29" s="9">
        <v>0</v>
      </c>
      <c r="DY29" s="9">
        <v>0</v>
      </c>
      <c r="DZ29" s="9">
        <v>0</v>
      </c>
      <c r="EA29" s="9">
        <v>0</v>
      </c>
      <c r="EB29" s="9">
        <v>0</v>
      </c>
      <c r="EC29" s="9">
        <v>0</v>
      </c>
      <c r="ED29" s="9">
        <v>0</v>
      </c>
      <c r="EE29" s="9">
        <v>0</v>
      </c>
      <c r="EF29" s="9">
        <v>0</v>
      </c>
      <c r="EG29" s="9">
        <v>0</v>
      </c>
      <c r="EH29" s="9">
        <v>0</v>
      </c>
      <c r="EI29" s="9">
        <v>0</v>
      </c>
      <c r="EJ29" s="9">
        <v>0</v>
      </c>
      <c r="EK29" s="9">
        <v>0</v>
      </c>
      <c r="EL29" s="9">
        <v>0</v>
      </c>
      <c r="EM29" s="9">
        <v>0</v>
      </c>
      <c r="EN29" s="9">
        <v>0</v>
      </c>
      <c r="EO29" s="9">
        <v>0</v>
      </c>
      <c r="EP29" s="9">
        <v>0</v>
      </c>
      <c r="EQ29" s="9">
        <v>0</v>
      </c>
      <c r="ER29" s="9">
        <v>0</v>
      </c>
      <c r="ES29" s="9">
        <v>0</v>
      </c>
      <c r="ET29" s="9">
        <v>0</v>
      </c>
      <c r="EU29" s="9">
        <v>0</v>
      </c>
      <c r="EV29" s="9">
        <v>0</v>
      </c>
      <c r="EW29" s="9">
        <v>0</v>
      </c>
      <c r="EX29" s="9">
        <v>0</v>
      </c>
      <c r="EY29" s="9">
        <v>0</v>
      </c>
      <c r="EZ29" s="9">
        <v>0</v>
      </c>
      <c r="FA29" s="9">
        <v>0</v>
      </c>
      <c r="FB29" s="9">
        <v>0</v>
      </c>
      <c r="FC29" s="9">
        <v>0.97327799999999998</v>
      </c>
      <c r="FD29" s="9">
        <v>0</v>
      </c>
      <c r="FE29" s="9">
        <v>0</v>
      </c>
      <c r="FF29" s="9">
        <v>0</v>
      </c>
      <c r="FG29" s="9">
        <v>6.0988999999999995E-2</v>
      </c>
      <c r="FH29" s="9">
        <v>5.4558999999999996E-2</v>
      </c>
      <c r="FI29" s="9">
        <v>0</v>
      </c>
      <c r="FJ29" s="9">
        <v>0</v>
      </c>
      <c r="FK29" s="9">
        <v>0</v>
      </c>
      <c r="FL29" s="9">
        <v>0</v>
      </c>
      <c r="FM29" s="9">
        <v>0</v>
      </c>
      <c r="FN29" s="9">
        <v>0</v>
      </c>
      <c r="FO29" s="9">
        <v>0</v>
      </c>
      <c r="FP29" s="9">
        <v>0</v>
      </c>
      <c r="FQ29" s="9">
        <v>0</v>
      </c>
      <c r="FR29" s="9">
        <v>0</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0</v>
      </c>
      <c r="GQ29" s="9">
        <v>0</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29136</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row>
    <row r="30" spans="1:292" ht="13" x14ac:dyDescent="0.3">
      <c r="A30" s="9">
        <v>15840</v>
      </c>
      <c r="B30" s="9">
        <v>32570</v>
      </c>
      <c r="C30" s="9">
        <v>35</v>
      </c>
      <c r="D30" s="9">
        <v>2022</v>
      </c>
      <c r="E30" s="9">
        <v>5392</v>
      </c>
      <c r="F30" s="9">
        <v>0</v>
      </c>
      <c r="G30" s="9">
        <v>0</v>
      </c>
      <c r="H30" s="9">
        <v>0</v>
      </c>
      <c r="I30" s="9">
        <v>0</v>
      </c>
      <c r="J30" s="9">
        <v>0</v>
      </c>
      <c r="K30" s="9">
        <v>0</v>
      </c>
      <c r="L30" s="9">
        <v>6554</v>
      </c>
      <c r="M30" s="9">
        <v>0</v>
      </c>
      <c r="N30" s="9">
        <v>0</v>
      </c>
      <c r="O30" s="9">
        <v>0</v>
      </c>
      <c r="P30" s="9">
        <v>0</v>
      </c>
      <c r="Q30" s="9">
        <v>0</v>
      </c>
      <c r="R30" s="10">
        <v>0</v>
      </c>
      <c r="S30" s="9">
        <v>319.71300000000002</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710</v>
      </c>
      <c r="AM30" s="9">
        <v>0</v>
      </c>
      <c r="AN30" s="9">
        <v>0</v>
      </c>
      <c r="AO30" s="9">
        <v>0</v>
      </c>
      <c r="AP30" s="9">
        <v>0</v>
      </c>
      <c r="AQ30" s="9">
        <v>0</v>
      </c>
      <c r="AR30" s="9">
        <v>0</v>
      </c>
      <c r="AS30" s="9">
        <v>0</v>
      </c>
      <c r="AT30" s="9">
        <v>0</v>
      </c>
      <c r="AU30" s="9">
        <v>0</v>
      </c>
      <c r="AV30" s="9">
        <v>0</v>
      </c>
      <c r="AW30" s="9">
        <v>0</v>
      </c>
      <c r="AX30" s="9">
        <v>0</v>
      </c>
      <c r="AY30" s="9">
        <v>0</v>
      </c>
      <c r="AZ30" s="9">
        <v>0</v>
      </c>
      <c r="BA30" s="10">
        <v>0</v>
      </c>
      <c r="BB30" s="9">
        <v>0</v>
      </c>
      <c r="BC30" s="9">
        <v>0</v>
      </c>
      <c r="BD30" s="9">
        <v>0</v>
      </c>
      <c r="BE30" s="9">
        <v>0</v>
      </c>
      <c r="BF30" s="9">
        <v>0</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0</v>
      </c>
      <c r="CB30" s="9">
        <v>0</v>
      </c>
      <c r="CC30" s="9">
        <v>0</v>
      </c>
      <c r="CD30" s="9">
        <v>0</v>
      </c>
      <c r="CE30" s="9">
        <v>0</v>
      </c>
      <c r="CF30" s="9">
        <v>0</v>
      </c>
      <c r="CG30" s="9">
        <v>0</v>
      </c>
      <c r="CH30" s="10">
        <v>0</v>
      </c>
      <c r="CI30" s="9">
        <v>0</v>
      </c>
      <c r="CJ30" s="9">
        <v>4</v>
      </c>
      <c r="CK30" s="9">
        <v>0</v>
      </c>
      <c r="CL30" s="9">
        <v>0</v>
      </c>
      <c r="CM30" s="9">
        <v>0</v>
      </c>
      <c r="CN30" s="9">
        <v>0</v>
      </c>
      <c r="CO30" s="9">
        <v>1</v>
      </c>
      <c r="CP30" s="9">
        <v>0</v>
      </c>
      <c r="CQ30" s="9">
        <v>0</v>
      </c>
      <c r="CR30" s="9">
        <v>0</v>
      </c>
      <c r="CS30" s="9">
        <v>0</v>
      </c>
      <c r="CT30" s="9">
        <v>0</v>
      </c>
      <c r="CU30" s="9">
        <v>0</v>
      </c>
      <c r="CV30" s="9">
        <v>0</v>
      </c>
      <c r="CW30" s="9">
        <v>0</v>
      </c>
      <c r="CX30" s="9">
        <v>0</v>
      </c>
      <c r="CY30" s="9">
        <v>0</v>
      </c>
      <c r="CZ30" s="9">
        <v>0</v>
      </c>
      <c r="DA30" s="9">
        <v>1</v>
      </c>
      <c r="DB30" s="9">
        <v>0</v>
      </c>
      <c r="DC30" s="9">
        <v>0</v>
      </c>
      <c r="DD30" s="9">
        <v>0</v>
      </c>
      <c r="DE30" s="9">
        <v>0</v>
      </c>
      <c r="DF30" s="9">
        <v>0</v>
      </c>
      <c r="DG30" s="9">
        <v>0</v>
      </c>
      <c r="DH30" s="9">
        <v>0</v>
      </c>
      <c r="DI30" s="9">
        <v>0</v>
      </c>
      <c r="DJ30" s="9">
        <v>0</v>
      </c>
      <c r="DK30" s="9">
        <v>5392</v>
      </c>
      <c r="DL30" s="9">
        <v>0</v>
      </c>
      <c r="DM30" s="9">
        <v>0</v>
      </c>
      <c r="DN30" s="9">
        <v>0</v>
      </c>
      <c r="DO30" s="9">
        <v>0</v>
      </c>
      <c r="DP30" s="9">
        <v>0</v>
      </c>
      <c r="DQ30" s="9">
        <v>0</v>
      </c>
      <c r="DR30" s="9">
        <v>0</v>
      </c>
      <c r="DS30" s="9">
        <v>0</v>
      </c>
      <c r="DT30" s="9">
        <v>0</v>
      </c>
      <c r="DU30" s="9">
        <v>0</v>
      </c>
      <c r="DV30" s="9">
        <v>0</v>
      </c>
      <c r="DW30" s="9">
        <v>0</v>
      </c>
      <c r="DX30" s="9">
        <v>0</v>
      </c>
      <c r="DY30" s="9">
        <v>0</v>
      </c>
      <c r="DZ30" s="9">
        <v>0</v>
      </c>
      <c r="EA30" s="9">
        <v>0</v>
      </c>
      <c r="EB30" s="9">
        <v>0</v>
      </c>
      <c r="EC30" s="9">
        <v>0</v>
      </c>
      <c r="ED30" s="9">
        <v>0</v>
      </c>
      <c r="EE30" s="9">
        <v>0</v>
      </c>
      <c r="EF30" s="9">
        <v>0</v>
      </c>
      <c r="EG30" s="9">
        <v>0</v>
      </c>
      <c r="EH30" s="9">
        <v>0</v>
      </c>
      <c r="EI30" s="9">
        <v>0</v>
      </c>
      <c r="EJ30" s="9">
        <v>0</v>
      </c>
      <c r="EK30" s="9">
        <v>0</v>
      </c>
      <c r="EL30" s="9">
        <v>0</v>
      </c>
      <c r="EM30" s="9">
        <v>0</v>
      </c>
      <c r="EN30" s="9">
        <v>0</v>
      </c>
      <c r="EO30" s="9">
        <v>0</v>
      </c>
      <c r="EP30" s="9">
        <v>0</v>
      </c>
      <c r="EQ30" s="9">
        <v>0</v>
      </c>
      <c r="ER30" s="9">
        <v>0</v>
      </c>
      <c r="ES30" s="9">
        <v>0</v>
      </c>
      <c r="ET30" s="10">
        <v>0</v>
      </c>
      <c r="EU30" s="9">
        <v>0</v>
      </c>
      <c r="EV30" s="9">
        <v>0</v>
      </c>
      <c r="EW30" s="9">
        <v>0</v>
      </c>
      <c r="EX30" s="9">
        <v>0</v>
      </c>
      <c r="EY30" s="9">
        <v>0</v>
      </c>
      <c r="EZ30" s="9">
        <v>0</v>
      </c>
      <c r="FA30" s="9">
        <v>0</v>
      </c>
      <c r="FB30" s="10">
        <v>0</v>
      </c>
      <c r="FC30" s="9">
        <v>0.97327799999999998</v>
      </c>
      <c r="FD30" s="9">
        <v>0</v>
      </c>
      <c r="FE30" s="9">
        <v>0</v>
      </c>
      <c r="FF30" s="9">
        <v>0</v>
      </c>
      <c r="FG30" s="9">
        <v>6.0988999999999995E-2</v>
      </c>
      <c r="FH30" s="9">
        <v>5.4558999999999996E-2</v>
      </c>
      <c r="FI30" s="9">
        <v>0</v>
      </c>
      <c r="FJ30" s="9">
        <v>0</v>
      </c>
      <c r="FK30" s="9">
        <v>0</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0</v>
      </c>
      <c r="GQ30" s="9">
        <v>0</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row>
    <row r="31" spans="1:292" ht="13" x14ac:dyDescent="0.3">
      <c r="A31" s="9">
        <v>15841</v>
      </c>
      <c r="B31" s="9">
        <v>32570</v>
      </c>
      <c r="C31" s="9">
        <v>35</v>
      </c>
      <c r="D31" s="9">
        <v>2022</v>
      </c>
      <c r="E31" s="9">
        <v>5392</v>
      </c>
      <c r="F31" s="9">
        <v>0</v>
      </c>
      <c r="G31" s="9">
        <v>0</v>
      </c>
      <c r="H31" s="9">
        <v>0</v>
      </c>
      <c r="I31" s="9">
        <v>0</v>
      </c>
      <c r="J31" s="9">
        <v>0</v>
      </c>
      <c r="K31" s="9">
        <v>0</v>
      </c>
      <c r="L31" s="9">
        <v>6554</v>
      </c>
      <c r="M31" s="9">
        <v>0</v>
      </c>
      <c r="N31" s="9">
        <v>0</v>
      </c>
      <c r="O31" s="9">
        <v>0</v>
      </c>
      <c r="P31" s="9">
        <v>0</v>
      </c>
      <c r="Q31" s="9">
        <v>0</v>
      </c>
      <c r="R31" s="10">
        <v>0</v>
      </c>
      <c r="S31" s="9">
        <v>319.71300000000002</v>
      </c>
      <c r="T31" s="9">
        <v>0</v>
      </c>
      <c r="U31" s="10">
        <v>0</v>
      </c>
      <c r="V31" s="10">
        <v>0</v>
      </c>
      <c r="W31" s="10">
        <v>0</v>
      </c>
      <c r="X31" s="10">
        <v>0</v>
      </c>
      <c r="Y31" s="9">
        <v>0</v>
      </c>
      <c r="Z31" s="9">
        <v>0</v>
      </c>
      <c r="AA31" s="9">
        <v>1</v>
      </c>
      <c r="AB31" s="9">
        <v>1</v>
      </c>
      <c r="AC31" s="9">
        <v>0</v>
      </c>
      <c r="AD31" s="9" t="s">
        <v>314</v>
      </c>
      <c r="AE31" s="9">
        <v>0</v>
      </c>
      <c r="AF31" s="9">
        <v>0</v>
      </c>
      <c r="AG31" s="9">
        <v>0</v>
      </c>
      <c r="AH31" s="9">
        <v>0</v>
      </c>
      <c r="AI31" s="9">
        <v>0</v>
      </c>
      <c r="AJ31" s="9">
        <v>5104</v>
      </c>
      <c r="AK31" s="9" t="s">
        <v>711</v>
      </c>
      <c r="AM31" s="9">
        <v>0</v>
      </c>
      <c r="AN31" s="9">
        <v>0</v>
      </c>
      <c r="AO31" s="9">
        <v>0</v>
      </c>
      <c r="AP31" s="9">
        <v>0</v>
      </c>
      <c r="AQ31" s="9">
        <v>0</v>
      </c>
      <c r="AR31" s="9">
        <v>0</v>
      </c>
      <c r="AS31" s="9">
        <v>0</v>
      </c>
      <c r="AT31" s="9">
        <v>0</v>
      </c>
      <c r="AU31" s="9">
        <v>0</v>
      </c>
      <c r="AV31" s="9">
        <v>0</v>
      </c>
      <c r="AW31" s="9">
        <v>0</v>
      </c>
      <c r="AX31" s="9">
        <v>0</v>
      </c>
      <c r="AY31" s="9">
        <v>0</v>
      </c>
      <c r="AZ31" s="9">
        <v>0</v>
      </c>
      <c r="BA31" s="10">
        <v>0</v>
      </c>
      <c r="BB31" s="9">
        <v>0</v>
      </c>
      <c r="BC31" s="9">
        <v>0</v>
      </c>
      <c r="BD31" s="9">
        <v>0</v>
      </c>
      <c r="BE31" s="9">
        <v>0</v>
      </c>
      <c r="BF31" s="9">
        <v>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0</v>
      </c>
      <c r="CB31" s="9">
        <v>0</v>
      </c>
      <c r="CC31" s="9">
        <v>0</v>
      </c>
      <c r="CD31" s="9">
        <v>0</v>
      </c>
      <c r="CE31" s="9">
        <v>0</v>
      </c>
      <c r="CF31" s="9">
        <v>0</v>
      </c>
      <c r="CG31" s="9">
        <v>0</v>
      </c>
      <c r="CH31" s="10">
        <v>0</v>
      </c>
      <c r="CI31" s="9">
        <v>0</v>
      </c>
      <c r="CJ31" s="9">
        <v>4</v>
      </c>
      <c r="CK31" s="9">
        <v>0</v>
      </c>
      <c r="CL31" s="9">
        <v>0</v>
      </c>
      <c r="CM31" s="9">
        <v>0</v>
      </c>
      <c r="CN31" s="9">
        <v>0</v>
      </c>
      <c r="CO31" s="9">
        <v>1</v>
      </c>
      <c r="CP31" s="9">
        <v>0</v>
      </c>
      <c r="CQ31" s="9">
        <v>0</v>
      </c>
      <c r="CR31" s="9">
        <v>0</v>
      </c>
      <c r="CS31" s="9">
        <v>0</v>
      </c>
      <c r="CT31" s="9">
        <v>0</v>
      </c>
      <c r="CU31" s="9">
        <v>0</v>
      </c>
      <c r="CV31" s="9">
        <v>0</v>
      </c>
      <c r="CW31" s="9">
        <v>0</v>
      </c>
      <c r="CX31" s="9">
        <v>0</v>
      </c>
      <c r="CY31" s="9">
        <v>0</v>
      </c>
      <c r="CZ31" s="9">
        <v>0</v>
      </c>
      <c r="DA31" s="9">
        <v>1</v>
      </c>
      <c r="DB31" s="9">
        <v>0</v>
      </c>
      <c r="DC31" s="9">
        <v>0</v>
      </c>
      <c r="DD31" s="9">
        <v>0</v>
      </c>
      <c r="DE31" s="9">
        <v>0</v>
      </c>
      <c r="DF31" s="9">
        <v>0</v>
      </c>
      <c r="DG31" s="9">
        <v>0</v>
      </c>
      <c r="DH31" s="9">
        <v>0</v>
      </c>
      <c r="DI31" s="9">
        <v>0</v>
      </c>
      <c r="DJ31" s="9">
        <v>0</v>
      </c>
      <c r="DK31" s="9">
        <v>5392</v>
      </c>
      <c r="DL31" s="9">
        <v>0</v>
      </c>
      <c r="DM31" s="9">
        <v>0</v>
      </c>
      <c r="DN31" s="9">
        <v>0</v>
      </c>
      <c r="DO31" s="9">
        <v>0</v>
      </c>
      <c r="DP31" s="9">
        <v>0</v>
      </c>
      <c r="DQ31" s="9">
        <v>0</v>
      </c>
      <c r="DR31" s="9">
        <v>0</v>
      </c>
      <c r="DS31" s="9">
        <v>0</v>
      </c>
      <c r="DT31" s="9">
        <v>0</v>
      </c>
      <c r="DU31" s="9">
        <v>0</v>
      </c>
      <c r="DV31" s="9">
        <v>0</v>
      </c>
      <c r="DW31" s="9">
        <v>0</v>
      </c>
      <c r="DX31" s="9">
        <v>0</v>
      </c>
      <c r="DY31" s="9">
        <v>0</v>
      </c>
      <c r="DZ31" s="9">
        <v>0</v>
      </c>
      <c r="EA31" s="9">
        <v>0</v>
      </c>
      <c r="EB31" s="9">
        <v>0</v>
      </c>
      <c r="EC31" s="9">
        <v>0</v>
      </c>
      <c r="ED31" s="9">
        <v>0</v>
      </c>
      <c r="EE31" s="9">
        <v>0</v>
      </c>
      <c r="EF31" s="9">
        <v>0</v>
      </c>
      <c r="EG31" s="9">
        <v>0</v>
      </c>
      <c r="EH31" s="9">
        <v>0</v>
      </c>
      <c r="EI31" s="9">
        <v>0</v>
      </c>
      <c r="EJ31" s="9">
        <v>0</v>
      </c>
      <c r="EK31" s="9">
        <v>0</v>
      </c>
      <c r="EL31" s="9">
        <v>0</v>
      </c>
      <c r="EM31" s="9">
        <v>0</v>
      </c>
      <c r="EN31" s="9">
        <v>0</v>
      </c>
      <c r="EO31" s="9">
        <v>0</v>
      </c>
      <c r="EP31" s="9">
        <v>0</v>
      </c>
      <c r="EQ31" s="9">
        <v>0</v>
      </c>
      <c r="ER31" s="9">
        <v>0</v>
      </c>
      <c r="ES31" s="9">
        <v>0</v>
      </c>
      <c r="ET31" s="10">
        <v>0</v>
      </c>
      <c r="EU31" s="9">
        <v>0</v>
      </c>
      <c r="EV31" s="9">
        <v>0</v>
      </c>
      <c r="EW31" s="9">
        <v>0</v>
      </c>
      <c r="EX31" s="9">
        <v>0</v>
      </c>
      <c r="EY31" s="9">
        <v>0</v>
      </c>
      <c r="EZ31" s="9">
        <v>0</v>
      </c>
      <c r="FA31" s="9">
        <v>0</v>
      </c>
      <c r="FB31" s="10">
        <v>0</v>
      </c>
      <c r="FC31" s="9">
        <v>0.97327799999999998</v>
      </c>
      <c r="FD31" s="9">
        <v>0</v>
      </c>
      <c r="FE31" s="9">
        <v>0</v>
      </c>
      <c r="FF31" s="9">
        <v>0</v>
      </c>
      <c r="FG31" s="9">
        <v>6.0988999999999995E-2</v>
      </c>
      <c r="FH31" s="9">
        <v>5.4558999999999996E-2</v>
      </c>
      <c r="FI31" s="9">
        <v>0</v>
      </c>
      <c r="FJ31" s="9">
        <v>0</v>
      </c>
      <c r="FK31" s="9">
        <v>0</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0</v>
      </c>
      <c r="GQ31" s="9">
        <v>0</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row>
    <row r="32" spans="1:292" ht="14.5" x14ac:dyDescent="0.35">
      <c r="A32" s="9">
        <v>15842</v>
      </c>
      <c r="B32" s="9">
        <v>32570</v>
      </c>
      <c r="C32" s="9">
        <v>0</v>
      </c>
      <c r="D32" s="9">
        <v>0</v>
      </c>
      <c r="E32" s="9">
        <v>5392</v>
      </c>
      <c r="F32" s="9">
        <v>0</v>
      </c>
      <c r="G32" s="9">
        <v>0</v>
      </c>
      <c r="H32" s="9">
        <v>0</v>
      </c>
      <c r="I32" s="9">
        <v>0</v>
      </c>
      <c r="J32" s="9">
        <v>0</v>
      </c>
      <c r="K32" s="9">
        <v>0</v>
      </c>
      <c r="L32" s="9">
        <v>6554</v>
      </c>
      <c r="M32" s="9">
        <v>0</v>
      </c>
      <c r="N32" s="9">
        <v>0</v>
      </c>
      <c r="O32" s="9">
        <v>0</v>
      </c>
      <c r="P32" s="9">
        <v>0</v>
      </c>
      <c r="Q32" s="9">
        <v>0</v>
      </c>
      <c r="R32" s="9">
        <v>0</v>
      </c>
      <c r="S32" s="9">
        <v>319.71300000000002</v>
      </c>
      <c r="T32" s="9">
        <v>0</v>
      </c>
      <c r="U32" s="9">
        <v>0</v>
      </c>
      <c r="V32" s="9">
        <v>0</v>
      </c>
      <c r="W32" s="9">
        <v>0</v>
      </c>
      <c r="X32" s="9">
        <v>0</v>
      </c>
      <c r="Y32" s="9">
        <v>0</v>
      </c>
      <c r="Z32" s="9">
        <v>0</v>
      </c>
      <c r="AA32" s="9">
        <v>0</v>
      </c>
      <c r="AB32" s="9">
        <v>0</v>
      </c>
      <c r="AC32" s="9">
        <v>0</v>
      </c>
      <c r="AD32" s="9">
        <v>0</v>
      </c>
      <c r="AE32" s="9">
        <v>0</v>
      </c>
      <c r="AF32" s="9">
        <v>0</v>
      </c>
      <c r="AG32" s="9">
        <v>0</v>
      </c>
      <c r="AH32" s="9">
        <v>0</v>
      </c>
      <c r="AI32" s="9">
        <v>0</v>
      </c>
      <c r="AJ32" s="9">
        <v>0</v>
      </c>
      <c r="AK32" s="9">
        <v>0</v>
      </c>
      <c r="AL32" s="12" t="s">
        <v>708</v>
      </c>
      <c r="AM32" s="9">
        <v>0</v>
      </c>
      <c r="AN32" s="9">
        <v>0</v>
      </c>
      <c r="AO32" s="9">
        <v>0</v>
      </c>
      <c r="AP32" s="9">
        <v>0</v>
      </c>
      <c r="AQ32" s="9">
        <v>0</v>
      </c>
      <c r="AR32" s="9">
        <v>0</v>
      </c>
      <c r="AS32" s="9">
        <v>0</v>
      </c>
      <c r="AT32" s="9">
        <v>0</v>
      </c>
      <c r="AU32" s="9">
        <v>0</v>
      </c>
      <c r="AV32" s="9">
        <v>0</v>
      </c>
      <c r="AW32" s="9">
        <v>0</v>
      </c>
      <c r="AX32" s="9">
        <v>0</v>
      </c>
      <c r="AY32" s="9">
        <v>0</v>
      </c>
      <c r="AZ32" s="9">
        <v>0</v>
      </c>
      <c r="BA32" s="9">
        <v>0</v>
      </c>
      <c r="BB32" s="9">
        <v>0</v>
      </c>
      <c r="BC32" s="9">
        <v>0</v>
      </c>
      <c r="BD32" s="9">
        <v>0</v>
      </c>
      <c r="BE32" s="9">
        <v>0</v>
      </c>
      <c r="BF32" s="9">
        <v>0</v>
      </c>
      <c r="BG32" s="9">
        <v>0</v>
      </c>
      <c r="BH32" s="9">
        <v>0</v>
      </c>
      <c r="BI32" s="9">
        <v>0</v>
      </c>
      <c r="BJ32" s="9">
        <v>0</v>
      </c>
      <c r="BK32" s="9">
        <v>0</v>
      </c>
      <c r="BL32" s="9">
        <v>0</v>
      </c>
      <c r="BM32" s="9">
        <v>0</v>
      </c>
      <c r="BN32" s="9">
        <v>0</v>
      </c>
      <c r="BO32" s="9">
        <v>0</v>
      </c>
      <c r="BP32" s="9">
        <v>0</v>
      </c>
      <c r="BQ32" s="9">
        <v>5392</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9">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5392</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9">
        <v>0</v>
      </c>
      <c r="EU32" s="9">
        <v>0</v>
      </c>
      <c r="EV32" s="9">
        <v>0</v>
      </c>
      <c r="EW32" s="9">
        <v>0</v>
      </c>
      <c r="EX32" s="9">
        <v>0</v>
      </c>
      <c r="EY32" s="9">
        <v>0</v>
      </c>
      <c r="EZ32" s="9">
        <v>0</v>
      </c>
      <c r="FA32" s="9">
        <v>0</v>
      </c>
      <c r="FB32" s="9">
        <v>0</v>
      </c>
      <c r="FC32" s="9">
        <v>0.97327799999999998</v>
      </c>
      <c r="FD32" s="9">
        <v>0</v>
      </c>
      <c r="FE32" s="9">
        <v>0</v>
      </c>
      <c r="FF32" s="9">
        <v>0</v>
      </c>
      <c r="FG32" s="9">
        <v>6.1239999999999996E-2</v>
      </c>
      <c r="FH32" s="9">
        <v>5.4803999999999999E-2</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9">
        <v>0</v>
      </c>
      <c r="GC32" s="9">
        <v>0</v>
      </c>
      <c r="GD32" s="9">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5.0923999999999997E-2</v>
      </c>
      <c r="HD32" s="9">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row>
    <row r="33" spans="1:292" ht="14.5" x14ac:dyDescent="0.35">
      <c r="A33" s="9">
        <v>15843</v>
      </c>
      <c r="B33" s="9">
        <v>32570</v>
      </c>
      <c r="C33" s="9">
        <v>0</v>
      </c>
      <c r="D33" s="9">
        <v>0</v>
      </c>
      <c r="E33" s="9">
        <v>5392</v>
      </c>
      <c r="F33" s="9">
        <v>0</v>
      </c>
      <c r="G33" s="9">
        <v>0</v>
      </c>
      <c r="H33" s="9">
        <v>0</v>
      </c>
      <c r="I33" s="9">
        <v>0</v>
      </c>
      <c r="J33" s="9">
        <v>0</v>
      </c>
      <c r="K33" s="9">
        <v>0</v>
      </c>
      <c r="L33" s="9">
        <v>6554</v>
      </c>
      <c r="M33" s="9">
        <v>0</v>
      </c>
      <c r="N33" s="9">
        <v>0</v>
      </c>
      <c r="O33" s="9">
        <v>0</v>
      </c>
      <c r="P33" s="9">
        <v>0</v>
      </c>
      <c r="Q33" s="9">
        <v>0</v>
      </c>
      <c r="R33" s="9">
        <v>0</v>
      </c>
      <c r="S33" s="9">
        <v>319.71300000000002</v>
      </c>
      <c r="T33" s="9">
        <v>0</v>
      </c>
      <c r="U33" s="9">
        <v>0</v>
      </c>
      <c r="V33" s="9">
        <v>0</v>
      </c>
      <c r="W33" s="9">
        <v>0</v>
      </c>
      <c r="X33" s="9">
        <v>0</v>
      </c>
      <c r="Y33" s="9">
        <v>0</v>
      </c>
      <c r="Z33" s="9">
        <v>0</v>
      </c>
      <c r="AA33" s="9">
        <v>0</v>
      </c>
      <c r="AB33" s="9">
        <v>0</v>
      </c>
      <c r="AC33" s="9">
        <v>0</v>
      </c>
      <c r="AD33" s="9">
        <v>0</v>
      </c>
      <c r="AE33" s="9">
        <v>0</v>
      </c>
      <c r="AF33" s="9">
        <v>0</v>
      </c>
      <c r="AG33" s="9">
        <v>0</v>
      </c>
      <c r="AH33" s="9">
        <v>0</v>
      </c>
      <c r="AI33" s="9">
        <v>0</v>
      </c>
      <c r="AJ33" s="9">
        <v>0</v>
      </c>
      <c r="AK33" s="9">
        <v>0</v>
      </c>
      <c r="AL33" s="12" t="s">
        <v>707</v>
      </c>
      <c r="AM33" s="9">
        <v>0</v>
      </c>
      <c r="AN33" s="9">
        <v>0</v>
      </c>
      <c r="AO33" s="9">
        <v>0</v>
      </c>
      <c r="AP33" s="9">
        <v>0</v>
      </c>
      <c r="AQ33" s="9">
        <v>0</v>
      </c>
      <c r="AR33" s="9">
        <v>0</v>
      </c>
      <c r="AS33" s="9">
        <v>0</v>
      </c>
      <c r="AT33" s="9">
        <v>0</v>
      </c>
      <c r="AU33" s="9">
        <v>0</v>
      </c>
      <c r="AV33" s="9">
        <v>0</v>
      </c>
      <c r="AW33" s="9">
        <v>0</v>
      </c>
      <c r="AX33" s="9">
        <v>0</v>
      </c>
      <c r="AY33" s="9">
        <v>0</v>
      </c>
      <c r="AZ33" s="9">
        <v>0</v>
      </c>
      <c r="BA33" s="9">
        <v>0</v>
      </c>
      <c r="BB33" s="9">
        <v>0</v>
      </c>
      <c r="BC33" s="9">
        <v>0</v>
      </c>
      <c r="BD33" s="9">
        <v>0</v>
      </c>
      <c r="BE33" s="9">
        <v>0</v>
      </c>
      <c r="BF33" s="9">
        <v>0</v>
      </c>
      <c r="BG33" s="9">
        <v>0</v>
      </c>
      <c r="BH33" s="9">
        <v>0</v>
      </c>
      <c r="BI33" s="9">
        <v>0</v>
      </c>
      <c r="BJ33" s="9">
        <v>0</v>
      </c>
      <c r="BK33" s="9">
        <v>0</v>
      </c>
      <c r="BL33" s="9">
        <v>0</v>
      </c>
      <c r="BM33" s="9">
        <v>0</v>
      </c>
      <c r="BN33" s="9">
        <v>0</v>
      </c>
      <c r="BO33" s="9">
        <v>0</v>
      </c>
      <c r="BP33" s="9">
        <v>0</v>
      </c>
      <c r="BQ33" s="9">
        <v>5392</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9">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5392</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9">
        <v>0</v>
      </c>
      <c r="EU33" s="9">
        <v>0</v>
      </c>
      <c r="EV33" s="9">
        <v>0</v>
      </c>
      <c r="EW33" s="9">
        <v>0</v>
      </c>
      <c r="EX33" s="9">
        <v>0</v>
      </c>
      <c r="EY33" s="9">
        <v>0</v>
      </c>
      <c r="EZ33" s="9">
        <v>0</v>
      </c>
      <c r="FA33" s="9">
        <v>0</v>
      </c>
      <c r="FB33" s="9">
        <v>0</v>
      </c>
      <c r="FC33" s="9">
        <v>0.97327799999999998</v>
      </c>
      <c r="FD33" s="9">
        <v>0</v>
      </c>
      <c r="FE33" s="9">
        <v>0</v>
      </c>
      <c r="FF33" s="9">
        <v>0</v>
      </c>
      <c r="FG33" s="9">
        <v>6.1239999999999996E-2</v>
      </c>
      <c r="FH33" s="9">
        <v>5.4803999999999999E-2</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9">
        <v>0</v>
      </c>
      <c r="GC33" s="9">
        <v>0</v>
      </c>
      <c r="GD33" s="9">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5.0923999999999997E-2</v>
      </c>
      <c r="HD33" s="9">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row>
    <row r="34" spans="1:292"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9">
        <v>0</v>
      </c>
      <c r="BB34" s="9">
        <v>0</v>
      </c>
      <c r="BC34" s="9">
        <v>0</v>
      </c>
      <c r="BD34" s="9">
        <v>0</v>
      </c>
      <c r="BE34" s="9">
        <v>0</v>
      </c>
      <c r="BF34" s="9">
        <v>0</v>
      </c>
      <c r="BG34" s="9">
        <v>0</v>
      </c>
      <c r="BH34" s="9">
        <v>0</v>
      </c>
      <c r="BI34" s="9">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9">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9">
        <v>0</v>
      </c>
      <c r="EU34" s="9">
        <v>0</v>
      </c>
      <c r="EV34" s="9">
        <v>0</v>
      </c>
      <c r="EW34" s="9">
        <v>0</v>
      </c>
      <c r="EX34" s="9">
        <v>0</v>
      </c>
      <c r="EY34" s="9">
        <v>0</v>
      </c>
      <c r="EZ34" s="9">
        <v>0</v>
      </c>
      <c r="FA34" s="9">
        <v>0</v>
      </c>
      <c r="FB34" s="9">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9">
        <v>0</v>
      </c>
      <c r="GC34" s="9">
        <v>0</v>
      </c>
      <c r="GD34" s="9">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9">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row>
    <row r="35" spans="1:292" x14ac:dyDescent="0.25">
      <c r="A35" s="9">
        <v>21803</v>
      </c>
      <c r="B35" s="9">
        <v>32570</v>
      </c>
      <c r="C35" s="9">
        <v>35</v>
      </c>
      <c r="D35" s="9">
        <v>2022</v>
      </c>
      <c r="E35" s="9">
        <v>5392</v>
      </c>
      <c r="F35" s="9">
        <v>0</v>
      </c>
      <c r="G35" s="9">
        <v>295.654</v>
      </c>
      <c r="H35" s="9">
        <v>287.81800000000004</v>
      </c>
      <c r="I35" s="9">
        <v>287.81800000000004</v>
      </c>
      <c r="J35" s="9">
        <v>295.654</v>
      </c>
      <c r="K35" s="9">
        <v>0</v>
      </c>
      <c r="L35" s="9">
        <v>6554</v>
      </c>
      <c r="M35" s="9">
        <v>0</v>
      </c>
      <c r="N35" s="9">
        <v>0</v>
      </c>
      <c r="O35" s="9">
        <v>0</v>
      </c>
      <c r="P35" s="9">
        <v>318.74600000000004</v>
      </c>
      <c r="Q35" s="9">
        <v>0</v>
      </c>
      <c r="R35" s="9">
        <v>101907</v>
      </c>
      <c r="S35" s="9">
        <v>319.71300000000002</v>
      </c>
      <c r="T35" s="9">
        <v>0</v>
      </c>
      <c r="U35" s="9">
        <v>101907</v>
      </c>
      <c r="V35" s="9">
        <v>104.105</v>
      </c>
      <c r="W35" s="9">
        <v>68230</v>
      </c>
      <c r="X35" s="9">
        <v>68230</v>
      </c>
      <c r="Y35" s="9">
        <v>0</v>
      </c>
      <c r="Z35" s="9">
        <v>0</v>
      </c>
      <c r="AA35" s="9">
        <v>1</v>
      </c>
      <c r="AB35" s="9">
        <v>1</v>
      </c>
      <c r="AC35" s="9">
        <v>0</v>
      </c>
      <c r="AD35" s="9" t="s">
        <v>314</v>
      </c>
      <c r="AE35" s="9">
        <v>0</v>
      </c>
      <c r="AF35" s="9">
        <v>0</v>
      </c>
      <c r="AG35" s="9">
        <v>0</v>
      </c>
      <c r="AH35" s="9">
        <v>0</v>
      </c>
      <c r="AI35" s="9">
        <v>0</v>
      </c>
      <c r="AJ35" s="9">
        <v>5104</v>
      </c>
      <c r="AK35" s="9" t="s">
        <v>651</v>
      </c>
      <c r="AL35" s="9" t="s">
        <v>40</v>
      </c>
      <c r="AM35" s="9">
        <v>0</v>
      </c>
      <c r="AN35" s="9">
        <v>0</v>
      </c>
      <c r="AO35" s="9">
        <v>0</v>
      </c>
      <c r="AP35" s="9">
        <v>0</v>
      </c>
      <c r="AQ35" s="9">
        <v>0</v>
      </c>
      <c r="AR35" s="9">
        <v>0</v>
      </c>
      <c r="AS35" s="9">
        <v>0</v>
      </c>
      <c r="AT35" s="9">
        <v>0</v>
      </c>
      <c r="AU35" s="9">
        <v>0</v>
      </c>
      <c r="AV35" s="9">
        <v>177943</v>
      </c>
      <c r="AW35" s="9">
        <v>3096450</v>
      </c>
      <c r="AX35" s="9">
        <v>3028766</v>
      </c>
      <c r="AY35" s="9">
        <v>3405530</v>
      </c>
      <c r="AZ35" s="9">
        <v>101907</v>
      </c>
      <c r="BA35" s="9">
        <v>17.833000000000002</v>
      </c>
      <c r="BB35" s="9">
        <v>0</v>
      </c>
      <c r="BC35" s="9">
        <v>0</v>
      </c>
      <c r="BD35" s="9">
        <v>0</v>
      </c>
      <c r="BE35" s="9">
        <v>0</v>
      </c>
      <c r="BF35" s="9">
        <v>2562791</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67684</v>
      </c>
      <c r="CI35" s="9">
        <v>0</v>
      </c>
      <c r="CJ35" s="9">
        <v>4</v>
      </c>
      <c r="CK35" s="9">
        <v>0</v>
      </c>
      <c r="CL35" s="9">
        <v>0</v>
      </c>
      <c r="CM35" s="9">
        <v>0</v>
      </c>
      <c r="CN35" s="9">
        <v>0</v>
      </c>
      <c r="CO35" s="9">
        <v>0</v>
      </c>
      <c r="CP35" s="9">
        <v>0</v>
      </c>
      <c r="CQ35" s="9">
        <v>2</v>
      </c>
      <c r="CR35" s="9">
        <v>318.74600000000004</v>
      </c>
      <c r="CS35" s="9">
        <v>0</v>
      </c>
      <c r="CT35" s="9">
        <v>0</v>
      </c>
      <c r="CU35" s="9">
        <v>0</v>
      </c>
      <c r="CV35" s="9">
        <v>0</v>
      </c>
      <c r="CW35" s="9">
        <v>0</v>
      </c>
      <c r="CX35" s="9">
        <v>0</v>
      </c>
      <c r="CY35" s="9">
        <v>0</v>
      </c>
      <c r="CZ35" s="9">
        <v>0</v>
      </c>
      <c r="DA35" s="9">
        <v>1</v>
      </c>
      <c r="DB35" s="9">
        <v>1886359</v>
      </c>
      <c r="DC35" s="9">
        <v>0</v>
      </c>
      <c r="DD35" s="9">
        <v>0</v>
      </c>
      <c r="DE35" s="9">
        <v>511645</v>
      </c>
      <c r="DF35" s="9">
        <v>511645</v>
      </c>
      <c r="DG35" s="9">
        <v>390.33</v>
      </c>
      <c r="DH35" s="9">
        <v>0</v>
      </c>
      <c r="DI35" s="9">
        <v>0</v>
      </c>
      <c r="DJ35" s="9">
        <v>0</v>
      </c>
      <c r="DK35" s="9">
        <v>5392</v>
      </c>
      <c r="DL35" s="9">
        <v>0</v>
      </c>
      <c r="DM35" s="9">
        <v>166921</v>
      </c>
      <c r="DN35" s="9">
        <v>0</v>
      </c>
      <c r="DO35" s="9">
        <v>4670</v>
      </c>
      <c r="DP35" s="9">
        <v>0</v>
      </c>
      <c r="DQ35" s="9">
        <v>0</v>
      </c>
      <c r="DR35" s="9">
        <v>0</v>
      </c>
      <c r="DS35" s="9">
        <v>0</v>
      </c>
      <c r="DT35" s="9">
        <v>0.09</v>
      </c>
      <c r="DU35" s="9">
        <v>0</v>
      </c>
      <c r="DV35" s="9">
        <v>0</v>
      </c>
      <c r="DW35" s="9">
        <v>0.13600000000000001</v>
      </c>
      <c r="DX35" s="9">
        <v>0</v>
      </c>
      <c r="DY35" s="9">
        <v>0</v>
      </c>
      <c r="DZ35" s="9">
        <v>0.95000000000000007</v>
      </c>
      <c r="EA35" s="9">
        <v>0</v>
      </c>
      <c r="EB35" s="9">
        <v>0</v>
      </c>
      <c r="EC35" s="9">
        <v>0</v>
      </c>
      <c r="ED35" s="9">
        <v>0</v>
      </c>
      <c r="EE35" s="9">
        <v>0</v>
      </c>
      <c r="EF35" s="9">
        <v>0</v>
      </c>
      <c r="EG35" s="9">
        <v>0</v>
      </c>
      <c r="EH35" s="9">
        <v>162251</v>
      </c>
      <c r="EI35" s="9">
        <v>0</v>
      </c>
      <c r="EJ35" s="9">
        <v>0</v>
      </c>
      <c r="EK35" s="9">
        <v>7.2120000000000006</v>
      </c>
      <c r="EL35" s="9">
        <v>0</v>
      </c>
      <c r="EM35" s="9">
        <v>0</v>
      </c>
      <c r="EN35" s="9">
        <v>0.624</v>
      </c>
      <c r="EO35" s="9">
        <v>0</v>
      </c>
      <c r="EP35" s="9">
        <v>0</v>
      </c>
      <c r="EQ35" s="9">
        <v>7.8360000000000003</v>
      </c>
      <c r="ER35" s="9">
        <v>0</v>
      </c>
      <c r="ES35" s="9">
        <v>24.756</v>
      </c>
      <c r="ET35" s="9">
        <v>9417</v>
      </c>
      <c r="EU35" s="9">
        <v>101907</v>
      </c>
      <c r="EV35" s="9">
        <v>0</v>
      </c>
      <c r="EW35" s="9">
        <v>0</v>
      </c>
      <c r="EX35" s="9">
        <v>0</v>
      </c>
      <c r="EY35" s="9">
        <v>0</v>
      </c>
      <c r="EZ35" s="9">
        <v>2550679</v>
      </c>
      <c r="FA35" s="9">
        <v>0</v>
      </c>
      <c r="FB35" s="9">
        <v>2652586</v>
      </c>
      <c r="FC35" s="9">
        <v>0.97327799999999998</v>
      </c>
      <c r="FD35" s="9">
        <v>0</v>
      </c>
      <c r="FE35" s="9">
        <v>390164</v>
      </c>
      <c r="FF35" s="9">
        <v>87923</v>
      </c>
      <c r="FG35" s="9">
        <v>6.1239999999999996E-2</v>
      </c>
      <c r="FH35" s="9">
        <v>5.4803999999999999E-2</v>
      </c>
      <c r="FI35" s="9">
        <v>0</v>
      </c>
      <c r="FJ35" s="9">
        <v>0</v>
      </c>
      <c r="FK35" s="9">
        <v>502.13100000000003</v>
      </c>
      <c r="FL35" s="9">
        <v>3198357</v>
      </c>
      <c r="FM35" s="9">
        <v>0</v>
      </c>
      <c r="FN35" s="9">
        <v>0</v>
      </c>
      <c r="FO35" s="9">
        <v>19431</v>
      </c>
      <c r="FP35" s="9">
        <v>0</v>
      </c>
      <c r="FQ35" s="9">
        <v>19431</v>
      </c>
      <c r="FR35" s="9">
        <v>19431</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3130673</v>
      </c>
      <c r="GQ35" s="9">
        <v>3130673</v>
      </c>
      <c r="GR35" s="9">
        <v>0</v>
      </c>
      <c r="GS35" s="9">
        <v>0</v>
      </c>
      <c r="GT35" s="9">
        <v>0</v>
      </c>
      <c r="GU35" s="9">
        <v>0</v>
      </c>
      <c r="GV35" s="9">
        <v>0</v>
      </c>
      <c r="GW35" s="9">
        <v>0</v>
      </c>
      <c r="GX35" s="9">
        <v>0</v>
      </c>
      <c r="GY35" s="9">
        <v>0</v>
      </c>
      <c r="GZ35" s="9">
        <v>0</v>
      </c>
      <c r="HA35" s="9">
        <v>0</v>
      </c>
      <c r="HB35" s="9">
        <v>260786259</v>
      </c>
      <c r="HC35" s="9">
        <v>5.0923999999999997E-2</v>
      </c>
      <c r="HD35" s="9">
        <v>58267</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32469</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row>
    <row r="36" spans="1:292" x14ac:dyDescent="0.25">
      <c r="A36" s="9">
        <v>21805</v>
      </c>
      <c r="B36" s="9">
        <v>32570</v>
      </c>
      <c r="C36" s="9">
        <v>35</v>
      </c>
      <c r="D36" s="9">
        <v>2022</v>
      </c>
      <c r="E36" s="9">
        <v>5392</v>
      </c>
      <c r="F36" s="9">
        <v>0</v>
      </c>
      <c r="G36" s="9">
        <v>711.49800000000005</v>
      </c>
      <c r="H36" s="9">
        <v>696.02100000000007</v>
      </c>
      <c r="I36" s="9">
        <v>696.02100000000007</v>
      </c>
      <c r="J36" s="9">
        <v>711.49800000000005</v>
      </c>
      <c r="K36" s="9">
        <v>0</v>
      </c>
      <c r="L36" s="9">
        <v>6554</v>
      </c>
      <c r="M36" s="9">
        <v>0</v>
      </c>
      <c r="N36" s="9">
        <v>0</v>
      </c>
      <c r="O36" s="9">
        <v>0</v>
      </c>
      <c r="P36" s="9">
        <v>644.125</v>
      </c>
      <c r="Q36" s="9">
        <v>0</v>
      </c>
      <c r="R36" s="9">
        <v>205935</v>
      </c>
      <c r="S36" s="9">
        <v>319.71300000000002</v>
      </c>
      <c r="T36" s="9">
        <v>0</v>
      </c>
      <c r="U36" s="9">
        <v>205935</v>
      </c>
      <c r="V36" s="9">
        <v>88.132000000000005</v>
      </c>
      <c r="W36" s="9">
        <v>57762</v>
      </c>
      <c r="X36" s="9">
        <v>57762</v>
      </c>
      <c r="Y36" s="9">
        <v>0</v>
      </c>
      <c r="Z36" s="9">
        <v>0</v>
      </c>
      <c r="AA36" s="9">
        <v>1</v>
      </c>
      <c r="AB36" s="9">
        <v>1</v>
      </c>
      <c r="AC36" s="9">
        <v>0</v>
      </c>
      <c r="AD36" s="9" t="s">
        <v>314</v>
      </c>
      <c r="AE36" s="9">
        <v>0</v>
      </c>
      <c r="AF36" s="9">
        <v>0</v>
      </c>
      <c r="AG36" s="9">
        <v>0</v>
      </c>
      <c r="AH36" s="9">
        <v>0</v>
      </c>
      <c r="AI36" s="9">
        <v>0</v>
      </c>
      <c r="AJ36" s="9">
        <v>5104</v>
      </c>
      <c r="AK36" s="9" t="s">
        <v>651</v>
      </c>
      <c r="AL36" s="9" t="s">
        <v>320</v>
      </c>
      <c r="AM36" s="9">
        <v>0</v>
      </c>
      <c r="AN36" s="9">
        <v>0</v>
      </c>
      <c r="AO36" s="9">
        <v>0</v>
      </c>
      <c r="AP36" s="9">
        <v>0</v>
      </c>
      <c r="AQ36" s="9">
        <v>0</v>
      </c>
      <c r="AR36" s="9">
        <v>0</v>
      </c>
      <c r="AS36" s="9">
        <v>0</v>
      </c>
      <c r="AT36" s="9">
        <v>0</v>
      </c>
      <c r="AU36" s="9">
        <v>0</v>
      </c>
      <c r="AV36" s="9">
        <v>291198</v>
      </c>
      <c r="AW36" s="9">
        <v>7079624</v>
      </c>
      <c r="AX36" s="9">
        <v>6939404</v>
      </c>
      <c r="AY36" s="9">
        <v>7589448</v>
      </c>
      <c r="AZ36" s="9">
        <v>205935</v>
      </c>
      <c r="BA36" s="9">
        <v>0</v>
      </c>
      <c r="BB36" s="9">
        <v>7666</v>
      </c>
      <c r="BC36" s="9">
        <v>7666</v>
      </c>
      <c r="BD36" s="9">
        <v>9.7469999999999999</v>
      </c>
      <c r="BE36" s="9">
        <v>0</v>
      </c>
      <c r="BF36" s="9">
        <v>5863696</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140220</v>
      </c>
      <c r="CI36" s="9">
        <v>0</v>
      </c>
      <c r="CJ36" s="9">
        <v>4</v>
      </c>
      <c r="CK36" s="9">
        <v>0</v>
      </c>
      <c r="CL36" s="9">
        <v>0</v>
      </c>
      <c r="CM36" s="9">
        <v>0</v>
      </c>
      <c r="CN36" s="9">
        <v>0</v>
      </c>
      <c r="CO36" s="9">
        <v>0</v>
      </c>
      <c r="CP36" s="9">
        <v>0</v>
      </c>
      <c r="CQ36" s="9">
        <v>0</v>
      </c>
      <c r="CR36" s="9">
        <v>644.125</v>
      </c>
      <c r="CS36" s="9">
        <v>0</v>
      </c>
      <c r="CT36" s="9">
        <v>0</v>
      </c>
      <c r="CU36" s="9">
        <v>0</v>
      </c>
      <c r="CV36" s="9">
        <v>0</v>
      </c>
      <c r="CW36" s="9">
        <v>0</v>
      </c>
      <c r="CX36" s="9">
        <v>0</v>
      </c>
      <c r="CY36" s="9">
        <v>0</v>
      </c>
      <c r="CZ36" s="9">
        <v>0</v>
      </c>
      <c r="DA36" s="9">
        <v>1</v>
      </c>
      <c r="DB36" s="9">
        <v>4561722</v>
      </c>
      <c r="DC36" s="9">
        <v>0</v>
      </c>
      <c r="DD36" s="9">
        <v>0</v>
      </c>
      <c r="DE36" s="9">
        <v>974803</v>
      </c>
      <c r="DF36" s="9">
        <v>974803</v>
      </c>
      <c r="DG36" s="9">
        <v>743.67</v>
      </c>
      <c r="DH36" s="9">
        <v>0</v>
      </c>
      <c r="DI36" s="9">
        <v>0</v>
      </c>
      <c r="DJ36" s="9">
        <v>0</v>
      </c>
      <c r="DK36" s="9">
        <v>5392</v>
      </c>
      <c r="DL36" s="9">
        <v>0</v>
      </c>
      <c r="DM36" s="9">
        <v>422738</v>
      </c>
      <c r="DN36" s="9">
        <v>0</v>
      </c>
      <c r="DO36" s="9">
        <v>147</v>
      </c>
      <c r="DP36" s="9">
        <v>0</v>
      </c>
      <c r="DQ36" s="9">
        <v>0</v>
      </c>
      <c r="DR36" s="9">
        <v>0</v>
      </c>
      <c r="DS36" s="9">
        <v>0</v>
      </c>
      <c r="DT36" s="9">
        <v>0</v>
      </c>
      <c r="DU36" s="9">
        <v>0</v>
      </c>
      <c r="DV36" s="9">
        <v>0</v>
      </c>
      <c r="DW36" s="9">
        <v>6.0000000000000001E-3</v>
      </c>
      <c r="DX36" s="9">
        <v>0</v>
      </c>
      <c r="DY36" s="9">
        <v>0</v>
      </c>
      <c r="DZ36" s="9">
        <v>0.03</v>
      </c>
      <c r="EA36" s="9">
        <v>0</v>
      </c>
      <c r="EB36" s="9">
        <v>0</v>
      </c>
      <c r="EC36" s="9">
        <v>14.843</v>
      </c>
      <c r="ED36" s="9">
        <v>107009</v>
      </c>
      <c r="EE36" s="9">
        <v>0</v>
      </c>
      <c r="EF36" s="9">
        <v>0</v>
      </c>
      <c r="EG36" s="9">
        <v>0</v>
      </c>
      <c r="EH36" s="9">
        <v>315582</v>
      </c>
      <c r="EI36" s="9">
        <v>0</v>
      </c>
      <c r="EJ36" s="9">
        <v>0</v>
      </c>
      <c r="EK36" s="9">
        <v>13.905000000000001</v>
      </c>
      <c r="EL36" s="9">
        <v>0</v>
      </c>
      <c r="EM36" s="9">
        <v>0.71200000000000008</v>
      </c>
      <c r="EN36" s="9">
        <v>0.86</v>
      </c>
      <c r="EO36" s="9">
        <v>0</v>
      </c>
      <c r="EP36" s="9">
        <v>0</v>
      </c>
      <c r="EQ36" s="9">
        <v>15.477</v>
      </c>
      <c r="ER36" s="9">
        <v>0</v>
      </c>
      <c r="ES36" s="9">
        <v>48.151000000000003</v>
      </c>
      <c r="ET36" s="9">
        <v>0</v>
      </c>
      <c r="EU36" s="9">
        <v>205935</v>
      </c>
      <c r="EV36" s="9">
        <v>0</v>
      </c>
      <c r="EW36" s="9">
        <v>0</v>
      </c>
      <c r="EX36" s="9">
        <v>0</v>
      </c>
      <c r="EY36" s="9">
        <v>0</v>
      </c>
      <c r="EZ36" s="9">
        <v>5845534</v>
      </c>
      <c r="FA36" s="9">
        <v>0</v>
      </c>
      <c r="FB36" s="9">
        <v>6051469</v>
      </c>
      <c r="FC36" s="9">
        <v>0.97327799999999998</v>
      </c>
      <c r="FD36" s="9">
        <v>0</v>
      </c>
      <c r="FE36" s="9">
        <v>892701</v>
      </c>
      <c r="FF36" s="9">
        <v>201169</v>
      </c>
      <c r="FG36" s="9">
        <v>6.1239999999999996E-2</v>
      </c>
      <c r="FH36" s="9">
        <v>5.4803999999999999E-2</v>
      </c>
      <c r="FI36" s="9">
        <v>0</v>
      </c>
      <c r="FJ36" s="9">
        <v>0</v>
      </c>
      <c r="FK36" s="9">
        <v>1148.883</v>
      </c>
      <c r="FL36" s="9">
        <v>7285559</v>
      </c>
      <c r="FM36" s="9">
        <v>0</v>
      </c>
      <c r="FN36" s="9">
        <v>0</v>
      </c>
      <c r="FO36" s="9">
        <v>26778</v>
      </c>
      <c r="FP36" s="9">
        <v>0</v>
      </c>
      <c r="FQ36" s="9">
        <v>26778</v>
      </c>
      <c r="FR36" s="9">
        <v>26778</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7145339</v>
      </c>
      <c r="GQ36" s="9">
        <v>7145339</v>
      </c>
      <c r="GR36" s="9">
        <v>0</v>
      </c>
      <c r="GS36" s="9">
        <v>0</v>
      </c>
      <c r="GT36" s="9">
        <v>0</v>
      </c>
      <c r="GU36" s="9">
        <v>0</v>
      </c>
      <c r="GV36" s="9">
        <v>0</v>
      </c>
      <c r="GW36" s="9">
        <v>0</v>
      </c>
      <c r="GX36" s="9">
        <v>0</v>
      </c>
      <c r="GY36" s="9">
        <v>0</v>
      </c>
      <c r="GZ36" s="9">
        <v>0</v>
      </c>
      <c r="HA36" s="9">
        <v>0</v>
      </c>
      <c r="HB36" s="9">
        <v>260786259</v>
      </c>
      <c r="HC36" s="9">
        <v>5.0923999999999997E-2</v>
      </c>
      <c r="HD36" s="9">
        <v>140220</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32469</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row>
    <row r="37" spans="1:292" ht="13" x14ac:dyDescent="0.3">
      <c r="A37" s="9">
        <v>43801</v>
      </c>
      <c r="B37" s="9">
        <v>32570</v>
      </c>
      <c r="C37" s="9">
        <v>35</v>
      </c>
      <c r="D37" s="9">
        <v>2022</v>
      </c>
      <c r="E37" s="9">
        <v>5392</v>
      </c>
      <c r="F37" s="9">
        <v>0</v>
      </c>
      <c r="G37" s="9">
        <v>1350.2250000000001</v>
      </c>
      <c r="H37" s="9">
        <v>1342.9870000000001</v>
      </c>
      <c r="I37" s="9">
        <v>1342.9870000000001</v>
      </c>
      <c r="J37" s="9">
        <v>1350.2250000000001</v>
      </c>
      <c r="K37" s="9">
        <v>0</v>
      </c>
      <c r="L37" s="9">
        <v>6554</v>
      </c>
      <c r="M37" s="9">
        <v>0</v>
      </c>
      <c r="N37" s="9">
        <v>0</v>
      </c>
      <c r="O37" s="9">
        <v>0</v>
      </c>
      <c r="P37" s="9">
        <v>1343.549</v>
      </c>
      <c r="Q37" s="9">
        <v>0</v>
      </c>
      <c r="R37" s="10">
        <v>429550</v>
      </c>
      <c r="S37" s="9">
        <v>319.71300000000002</v>
      </c>
      <c r="T37" s="9">
        <v>0</v>
      </c>
      <c r="U37" s="10">
        <v>429550</v>
      </c>
      <c r="V37" s="10">
        <v>135.12900000000002</v>
      </c>
      <c r="W37" s="10">
        <v>88564</v>
      </c>
      <c r="X37" s="10">
        <v>88564</v>
      </c>
      <c r="Y37" s="9">
        <v>0</v>
      </c>
      <c r="Z37" s="9">
        <v>0</v>
      </c>
      <c r="AA37" s="9">
        <v>1</v>
      </c>
      <c r="AB37" s="9">
        <v>1</v>
      </c>
      <c r="AC37" s="9">
        <v>0</v>
      </c>
      <c r="AD37" s="9" t="s">
        <v>314</v>
      </c>
      <c r="AE37" s="9">
        <v>0</v>
      </c>
      <c r="AF37" s="9">
        <v>0</v>
      </c>
      <c r="AG37" s="9">
        <v>0</v>
      </c>
      <c r="AH37" s="9">
        <v>0</v>
      </c>
      <c r="AI37" s="9">
        <v>0</v>
      </c>
      <c r="AJ37" s="9">
        <v>5104</v>
      </c>
      <c r="AK37" s="9" t="s">
        <v>651</v>
      </c>
      <c r="AL37" s="9" t="s">
        <v>321</v>
      </c>
      <c r="AM37" s="9">
        <v>0</v>
      </c>
      <c r="AN37" s="9">
        <v>0</v>
      </c>
      <c r="AO37" s="9">
        <v>0</v>
      </c>
      <c r="AP37" s="9">
        <v>0</v>
      </c>
      <c r="AQ37" s="9">
        <v>0</v>
      </c>
      <c r="AR37" s="9">
        <v>0</v>
      </c>
      <c r="AS37" s="9">
        <v>0</v>
      </c>
      <c r="AT37" s="9">
        <v>0</v>
      </c>
      <c r="AU37" s="9">
        <v>0</v>
      </c>
      <c r="AV37" s="9">
        <v>52440</v>
      </c>
      <c r="AW37" s="9">
        <v>11115215</v>
      </c>
      <c r="AX37" s="9">
        <v>10783167</v>
      </c>
      <c r="AY37" s="9">
        <v>11631291</v>
      </c>
      <c r="AZ37" s="9">
        <v>495499</v>
      </c>
      <c r="BA37" s="10">
        <v>0</v>
      </c>
      <c r="BB37" s="9">
        <v>0</v>
      </c>
      <c r="BC37" s="9">
        <v>0</v>
      </c>
      <c r="BD37" s="9">
        <v>0</v>
      </c>
      <c r="BE37" s="9">
        <v>0</v>
      </c>
      <c r="BF37" s="9">
        <v>9236132</v>
      </c>
      <c r="BG37" s="9">
        <v>0</v>
      </c>
      <c r="BH37" s="10">
        <v>239.816</v>
      </c>
      <c r="BI37" s="10">
        <v>65949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10">
        <v>266099</v>
      </c>
      <c r="CI37" s="9">
        <v>0</v>
      </c>
      <c r="CJ37" s="9">
        <v>4</v>
      </c>
      <c r="CK37" s="9">
        <v>0</v>
      </c>
      <c r="CL37" s="9">
        <v>0</v>
      </c>
      <c r="CM37" s="9">
        <v>0</v>
      </c>
      <c r="CN37" s="9">
        <v>0</v>
      </c>
      <c r="CO37" s="9">
        <v>0</v>
      </c>
      <c r="CP37" s="9">
        <v>0</v>
      </c>
      <c r="CQ37" s="9">
        <v>0</v>
      </c>
      <c r="CR37" s="9">
        <v>1343.549</v>
      </c>
      <c r="CS37" s="9">
        <v>0</v>
      </c>
      <c r="CT37" s="9">
        <v>0</v>
      </c>
      <c r="CU37" s="9">
        <v>0</v>
      </c>
      <c r="CV37" s="9">
        <v>0</v>
      </c>
      <c r="CW37" s="9">
        <v>0</v>
      </c>
      <c r="CX37" s="9">
        <v>0</v>
      </c>
      <c r="CY37" s="9">
        <v>0</v>
      </c>
      <c r="CZ37" s="9">
        <v>0</v>
      </c>
      <c r="DA37" s="9">
        <v>1</v>
      </c>
      <c r="DB37" s="9">
        <v>8801937</v>
      </c>
      <c r="DC37" s="9">
        <v>0</v>
      </c>
      <c r="DD37" s="9">
        <v>0</v>
      </c>
      <c r="DE37" s="9">
        <v>192688</v>
      </c>
      <c r="DF37" s="9">
        <v>192688</v>
      </c>
      <c r="DG37" s="9">
        <v>147</v>
      </c>
      <c r="DH37" s="9">
        <v>0</v>
      </c>
      <c r="DI37" s="9">
        <v>0</v>
      </c>
      <c r="DJ37" s="9">
        <v>0</v>
      </c>
      <c r="DK37" s="9">
        <v>5392</v>
      </c>
      <c r="DL37" s="9">
        <v>0</v>
      </c>
      <c r="DM37" s="9">
        <v>406532</v>
      </c>
      <c r="DN37" s="9">
        <v>0</v>
      </c>
      <c r="DO37" s="9">
        <v>796</v>
      </c>
      <c r="DP37" s="9">
        <v>0</v>
      </c>
      <c r="DQ37" s="9">
        <v>0</v>
      </c>
      <c r="DR37" s="9">
        <v>0</v>
      </c>
      <c r="DS37" s="9">
        <v>0</v>
      </c>
      <c r="DT37" s="9">
        <v>5.3999999999999999E-2</v>
      </c>
      <c r="DU37" s="9">
        <v>0</v>
      </c>
      <c r="DV37" s="9">
        <v>0</v>
      </c>
      <c r="DW37" s="9">
        <v>0</v>
      </c>
      <c r="DX37" s="9">
        <v>0</v>
      </c>
      <c r="DY37" s="9">
        <v>0</v>
      </c>
      <c r="DZ37" s="9">
        <v>0.16200000000000001</v>
      </c>
      <c r="EA37" s="9">
        <v>0</v>
      </c>
      <c r="EB37" s="9">
        <v>0</v>
      </c>
      <c r="EC37" s="9">
        <v>34.036999999999999</v>
      </c>
      <c r="ED37" s="9">
        <v>245386</v>
      </c>
      <c r="EE37" s="9">
        <v>0</v>
      </c>
      <c r="EF37" s="9">
        <v>0</v>
      </c>
      <c r="EG37" s="9">
        <v>0</v>
      </c>
      <c r="EH37" s="9">
        <v>160350</v>
      </c>
      <c r="EI37" s="9">
        <v>0</v>
      </c>
      <c r="EJ37" s="9">
        <v>0</v>
      </c>
      <c r="EK37" s="9">
        <v>5.7629999999999999</v>
      </c>
      <c r="EL37" s="9">
        <v>0</v>
      </c>
      <c r="EM37" s="9">
        <v>9.9000000000000005E-2</v>
      </c>
      <c r="EN37" s="9">
        <v>1.3760000000000001</v>
      </c>
      <c r="EO37" s="9">
        <v>0</v>
      </c>
      <c r="EP37" s="9">
        <v>0</v>
      </c>
      <c r="EQ37" s="9">
        <v>7.2380000000000004</v>
      </c>
      <c r="ER37" s="9">
        <v>0</v>
      </c>
      <c r="ES37" s="9">
        <v>24.466000000000001</v>
      </c>
      <c r="ET37" s="10">
        <v>0</v>
      </c>
      <c r="EU37" s="9">
        <v>495499</v>
      </c>
      <c r="EV37" s="9">
        <v>0</v>
      </c>
      <c r="EW37" s="9">
        <v>0</v>
      </c>
      <c r="EX37" s="9">
        <v>0</v>
      </c>
      <c r="EY37" s="9">
        <v>0</v>
      </c>
      <c r="EZ37" s="9">
        <v>9060171</v>
      </c>
      <c r="FA37" s="9">
        <v>0</v>
      </c>
      <c r="FB37" s="10">
        <v>9555670</v>
      </c>
      <c r="FC37" s="9">
        <v>0.97327799999999998</v>
      </c>
      <c r="FD37" s="9">
        <v>0</v>
      </c>
      <c r="FE37" s="9">
        <v>1406127</v>
      </c>
      <c r="FF37" s="9">
        <v>316869</v>
      </c>
      <c r="FG37" s="9">
        <v>6.1239999999999996E-2</v>
      </c>
      <c r="FH37" s="9">
        <v>5.4803999999999999E-2</v>
      </c>
      <c r="FI37" s="9">
        <v>0</v>
      </c>
      <c r="FJ37" s="9">
        <v>0</v>
      </c>
      <c r="FK37" s="9">
        <v>1809.6490000000001</v>
      </c>
      <c r="FL37" s="9">
        <v>11544765</v>
      </c>
      <c r="FM37" s="9">
        <v>0</v>
      </c>
      <c r="FN37" s="9">
        <v>0</v>
      </c>
      <c r="FO37" s="9">
        <v>0</v>
      </c>
      <c r="FP37" s="9">
        <v>0</v>
      </c>
      <c r="FQ37" s="9">
        <v>0</v>
      </c>
      <c r="FR37" s="9">
        <v>0</v>
      </c>
      <c r="FS37" s="9">
        <v>0</v>
      </c>
      <c r="FT37" s="9">
        <v>0</v>
      </c>
      <c r="FU37" s="9">
        <v>0</v>
      </c>
      <c r="FV37" s="9">
        <v>0</v>
      </c>
      <c r="FW37" s="9">
        <v>0</v>
      </c>
      <c r="FX37" s="9">
        <v>0</v>
      </c>
      <c r="FY37" s="9">
        <v>0</v>
      </c>
      <c r="FZ37" s="9">
        <v>0</v>
      </c>
      <c r="GA37" s="9">
        <v>0</v>
      </c>
      <c r="GB37" s="10">
        <v>0</v>
      </c>
      <c r="GC37" s="10">
        <v>0</v>
      </c>
      <c r="GD37" s="10">
        <v>0</v>
      </c>
      <c r="GE37" s="9">
        <v>0</v>
      </c>
      <c r="GF37" s="9">
        <v>0</v>
      </c>
      <c r="GG37" s="9">
        <v>0</v>
      </c>
      <c r="GH37" s="9">
        <v>0</v>
      </c>
      <c r="GI37" s="9">
        <v>0</v>
      </c>
      <c r="GJ37" s="9">
        <v>0</v>
      </c>
      <c r="GK37" s="9">
        <v>4971</v>
      </c>
      <c r="GL37" s="9">
        <v>0</v>
      </c>
      <c r="GM37" s="9">
        <v>0</v>
      </c>
      <c r="GN37" s="9">
        <v>0</v>
      </c>
      <c r="GO37" s="9">
        <v>0</v>
      </c>
      <c r="GP37" s="9">
        <v>11278666</v>
      </c>
      <c r="GQ37" s="9">
        <v>11278666</v>
      </c>
      <c r="GR37" s="9">
        <v>0</v>
      </c>
      <c r="GS37" s="9">
        <v>0</v>
      </c>
      <c r="GT37" s="9">
        <v>0</v>
      </c>
      <c r="GU37" s="9">
        <v>0</v>
      </c>
      <c r="GV37" s="9">
        <v>0</v>
      </c>
      <c r="GW37" s="9">
        <v>0</v>
      </c>
      <c r="GX37" s="9">
        <v>0</v>
      </c>
      <c r="GY37" s="9">
        <v>0</v>
      </c>
      <c r="GZ37" s="9">
        <v>0</v>
      </c>
      <c r="HA37" s="9">
        <v>0</v>
      </c>
      <c r="HB37" s="9">
        <v>260786259</v>
      </c>
      <c r="HC37" s="9">
        <v>5.0923999999999997E-2</v>
      </c>
      <c r="HD37" s="10">
        <v>266099</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32469</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row>
    <row r="38" spans="1:292" ht="13" x14ac:dyDescent="0.3">
      <c r="A38" s="9">
        <v>43802</v>
      </c>
      <c r="B38" s="9">
        <v>32570</v>
      </c>
      <c r="C38" s="9">
        <v>35</v>
      </c>
      <c r="D38" s="9">
        <v>2022</v>
      </c>
      <c r="E38" s="9">
        <v>5392</v>
      </c>
      <c r="F38" s="9">
        <v>0</v>
      </c>
      <c r="G38" s="9">
        <v>178.446</v>
      </c>
      <c r="H38" s="9">
        <v>174.636</v>
      </c>
      <c r="I38" s="9">
        <v>174.636</v>
      </c>
      <c r="J38" s="9">
        <v>178.446</v>
      </c>
      <c r="K38" s="9">
        <v>0</v>
      </c>
      <c r="L38" s="9">
        <v>6554</v>
      </c>
      <c r="M38" s="9">
        <v>0</v>
      </c>
      <c r="N38" s="9">
        <v>0</v>
      </c>
      <c r="O38" s="9">
        <v>0</v>
      </c>
      <c r="P38" s="9">
        <v>160.12100000000001</v>
      </c>
      <c r="Q38" s="9">
        <v>0</v>
      </c>
      <c r="R38" s="10">
        <v>51193</v>
      </c>
      <c r="S38" s="9">
        <v>319.71300000000002</v>
      </c>
      <c r="T38" s="9">
        <v>0</v>
      </c>
      <c r="U38" s="10">
        <v>51193</v>
      </c>
      <c r="V38" s="10">
        <v>18.958000000000002</v>
      </c>
      <c r="W38" s="10">
        <v>12425</v>
      </c>
      <c r="X38" s="10">
        <v>12425</v>
      </c>
      <c r="Y38" s="9">
        <v>0</v>
      </c>
      <c r="Z38" s="9">
        <v>0</v>
      </c>
      <c r="AA38" s="9">
        <v>1</v>
      </c>
      <c r="AB38" s="9">
        <v>1</v>
      </c>
      <c r="AC38" s="9">
        <v>0</v>
      </c>
      <c r="AD38" s="9" t="s">
        <v>314</v>
      </c>
      <c r="AE38" s="9">
        <v>0</v>
      </c>
      <c r="AF38" s="9">
        <v>0</v>
      </c>
      <c r="AG38" s="9">
        <v>0</v>
      </c>
      <c r="AH38" s="9">
        <v>0</v>
      </c>
      <c r="AI38" s="9">
        <v>0</v>
      </c>
      <c r="AJ38" s="9">
        <v>5104</v>
      </c>
      <c r="AK38" s="9" t="s">
        <v>651</v>
      </c>
      <c r="AL38" s="9" t="s">
        <v>440</v>
      </c>
      <c r="AM38" s="9">
        <v>0</v>
      </c>
      <c r="AN38" s="9">
        <v>0</v>
      </c>
      <c r="AO38" s="9">
        <v>0</v>
      </c>
      <c r="AP38" s="9">
        <v>0</v>
      </c>
      <c r="AQ38" s="9">
        <v>0</v>
      </c>
      <c r="AR38" s="9">
        <v>0</v>
      </c>
      <c r="AS38" s="9">
        <v>0</v>
      </c>
      <c r="AT38" s="9">
        <v>0</v>
      </c>
      <c r="AU38" s="9">
        <v>0</v>
      </c>
      <c r="AV38" s="9">
        <v>47360</v>
      </c>
      <c r="AW38" s="9">
        <v>1454098</v>
      </c>
      <c r="AX38" s="9">
        <v>1418930</v>
      </c>
      <c r="AY38" s="9">
        <v>1572026</v>
      </c>
      <c r="AZ38" s="9">
        <v>51193</v>
      </c>
      <c r="BA38" s="10">
        <v>0</v>
      </c>
      <c r="BB38" s="9">
        <v>7017</v>
      </c>
      <c r="BC38" s="9">
        <v>7017</v>
      </c>
      <c r="BD38" s="9">
        <v>8.9220000000000006</v>
      </c>
      <c r="BE38" s="9">
        <v>0</v>
      </c>
      <c r="BF38" s="9">
        <v>1210969</v>
      </c>
      <c r="BG38" s="9">
        <v>0</v>
      </c>
      <c r="BH38" s="10">
        <v>0</v>
      </c>
      <c r="BI38" s="10">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10">
        <v>35168</v>
      </c>
      <c r="CI38" s="9">
        <v>0</v>
      </c>
      <c r="CJ38" s="9">
        <v>5</v>
      </c>
      <c r="CK38" s="9">
        <v>0</v>
      </c>
      <c r="CL38" s="9">
        <v>0</v>
      </c>
      <c r="CM38" s="9">
        <v>0</v>
      </c>
      <c r="CN38" s="9">
        <v>0</v>
      </c>
      <c r="CO38" s="9">
        <v>0</v>
      </c>
      <c r="CP38" s="9">
        <v>0</v>
      </c>
      <c r="CQ38" s="9">
        <v>0</v>
      </c>
      <c r="CR38" s="9">
        <v>160.12100000000001</v>
      </c>
      <c r="CS38" s="9">
        <v>0</v>
      </c>
      <c r="CT38" s="9">
        <v>0</v>
      </c>
      <c r="CU38" s="9">
        <v>0</v>
      </c>
      <c r="CV38" s="9">
        <v>0</v>
      </c>
      <c r="CW38" s="9">
        <v>0</v>
      </c>
      <c r="CX38" s="9">
        <v>0</v>
      </c>
      <c r="CY38" s="9">
        <v>0</v>
      </c>
      <c r="CZ38" s="9">
        <v>0</v>
      </c>
      <c r="DA38" s="9">
        <v>1</v>
      </c>
      <c r="DB38" s="9">
        <v>1144564</v>
      </c>
      <c r="DC38" s="9">
        <v>0</v>
      </c>
      <c r="DD38" s="9">
        <v>0</v>
      </c>
      <c r="DE38" s="9">
        <v>0</v>
      </c>
      <c r="DF38" s="9">
        <v>0</v>
      </c>
      <c r="DG38" s="9">
        <v>0</v>
      </c>
      <c r="DH38" s="9">
        <v>0</v>
      </c>
      <c r="DI38" s="9">
        <v>0</v>
      </c>
      <c r="DJ38" s="9">
        <v>0</v>
      </c>
      <c r="DK38" s="9">
        <v>5392</v>
      </c>
      <c r="DL38" s="9">
        <v>0</v>
      </c>
      <c r="DM38" s="9">
        <v>80212</v>
      </c>
      <c r="DN38" s="9">
        <v>0</v>
      </c>
      <c r="DO38" s="9">
        <v>0</v>
      </c>
      <c r="DP38" s="9">
        <v>0</v>
      </c>
      <c r="DQ38" s="9">
        <v>0</v>
      </c>
      <c r="DR38" s="9">
        <v>0</v>
      </c>
      <c r="DS38" s="9">
        <v>0</v>
      </c>
      <c r="DT38" s="9">
        <v>0</v>
      </c>
      <c r="DU38" s="9">
        <v>0</v>
      </c>
      <c r="DV38" s="9">
        <v>0</v>
      </c>
      <c r="DW38" s="9">
        <v>0</v>
      </c>
      <c r="DX38" s="9">
        <v>0</v>
      </c>
      <c r="DY38" s="9">
        <v>0</v>
      </c>
      <c r="DZ38" s="9">
        <v>0</v>
      </c>
      <c r="EA38" s="9">
        <v>0</v>
      </c>
      <c r="EB38" s="9">
        <v>0</v>
      </c>
      <c r="EC38" s="9">
        <v>4.5999999999999999E-2</v>
      </c>
      <c r="ED38" s="9">
        <v>332</v>
      </c>
      <c r="EE38" s="9">
        <v>0</v>
      </c>
      <c r="EF38" s="9">
        <v>0</v>
      </c>
      <c r="EG38" s="9">
        <v>0</v>
      </c>
      <c r="EH38" s="9">
        <v>79880</v>
      </c>
      <c r="EI38" s="9">
        <v>0</v>
      </c>
      <c r="EJ38" s="9">
        <v>0</v>
      </c>
      <c r="EK38" s="9">
        <v>2.512</v>
      </c>
      <c r="EL38" s="9">
        <v>0</v>
      </c>
      <c r="EM38" s="9">
        <v>0.91900000000000004</v>
      </c>
      <c r="EN38" s="9">
        <v>0.379</v>
      </c>
      <c r="EO38" s="9">
        <v>0</v>
      </c>
      <c r="EP38" s="9">
        <v>0</v>
      </c>
      <c r="EQ38" s="9">
        <v>3.81</v>
      </c>
      <c r="ER38" s="9">
        <v>0</v>
      </c>
      <c r="ES38" s="9">
        <v>12.188000000000001</v>
      </c>
      <c r="ET38" s="10">
        <v>0</v>
      </c>
      <c r="EU38" s="9">
        <v>51193</v>
      </c>
      <c r="EV38" s="9">
        <v>0</v>
      </c>
      <c r="EW38" s="9">
        <v>0</v>
      </c>
      <c r="EX38" s="9">
        <v>0</v>
      </c>
      <c r="EY38" s="9">
        <v>0</v>
      </c>
      <c r="EZ38" s="9">
        <v>1193025</v>
      </c>
      <c r="FA38" s="9">
        <v>0</v>
      </c>
      <c r="FB38" s="10">
        <v>1244218</v>
      </c>
      <c r="FC38" s="9">
        <v>0.97327799999999998</v>
      </c>
      <c r="FD38" s="9">
        <v>0</v>
      </c>
      <c r="FE38" s="9">
        <v>184360</v>
      </c>
      <c r="FF38" s="9">
        <v>41545</v>
      </c>
      <c r="FG38" s="9">
        <v>6.1239999999999996E-2</v>
      </c>
      <c r="FH38" s="9">
        <v>5.4803999999999999E-2</v>
      </c>
      <c r="FI38" s="9">
        <v>0</v>
      </c>
      <c r="FJ38" s="9">
        <v>0</v>
      </c>
      <c r="FK38" s="9">
        <v>237.26700000000002</v>
      </c>
      <c r="FL38" s="9">
        <v>1505291</v>
      </c>
      <c r="FM38" s="9">
        <v>0</v>
      </c>
      <c r="FN38" s="9">
        <v>0</v>
      </c>
      <c r="FO38" s="9">
        <v>0</v>
      </c>
      <c r="FP38" s="9">
        <v>0</v>
      </c>
      <c r="FQ38" s="9">
        <v>0</v>
      </c>
      <c r="FR38" s="9">
        <v>0</v>
      </c>
      <c r="FS38" s="9">
        <v>0</v>
      </c>
      <c r="FT38" s="9">
        <v>0</v>
      </c>
      <c r="FU38" s="9">
        <v>0</v>
      </c>
      <c r="FV38" s="9">
        <v>0</v>
      </c>
      <c r="FW38" s="9">
        <v>0</v>
      </c>
      <c r="FX38" s="9">
        <v>0</v>
      </c>
      <c r="FY38" s="9">
        <v>0</v>
      </c>
      <c r="FZ38" s="9">
        <v>0</v>
      </c>
      <c r="GA38" s="9">
        <v>0</v>
      </c>
      <c r="GB38" s="10">
        <v>0</v>
      </c>
      <c r="GC38" s="10">
        <v>0</v>
      </c>
      <c r="GD38" s="10">
        <v>0</v>
      </c>
      <c r="GE38" s="9">
        <v>0</v>
      </c>
      <c r="GF38" s="9">
        <v>0</v>
      </c>
      <c r="GG38" s="9">
        <v>0</v>
      </c>
      <c r="GH38" s="9">
        <v>0</v>
      </c>
      <c r="GI38" s="9">
        <v>0</v>
      </c>
      <c r="GJ38" s="9">
        <v>0</v>
      </c>
      <c r="GK38" s="9">
        <v>0</v>
      </c>
      <c r="GL38" s="9">
        <v>0</v>
      </c>
      <c r="GM38" s="9">
        <v>0</v>
      </c>
      <c r="GN38" s="9">
        <v>0</v>
      </c>
      <c r="GO38" s="9">
        <v>0</v>
      </c>
      <c r="GP38" s="9">
        <v>1470123</v>
      </c>
      <c r="GQ38" s="9">
        <v>1470123</v>
      </c>
      <c r="GR38" s="9">
        <v>0</v>
      </c>
      <c r="GS38" s="9">
        <v>0</v>
      </c>
      <c r="GT38" s="9">
        <v>0</v>
      </c>
      <c r="GU38" s="9">
        <v>0</v>
      </c>
      <c r="GV38" s="9">
        <v>0</v>
      </c>
      <c r="GW38" s="9">
        <v>0</v>
      </c>
      <c r="GX38" s="9">
        <v>0</v>
      </c>
      <c r="GY38" s="9">
        <v>0</v>
      </c>
      <c r="GZ38" s="9">
        <v>0</v>
      </c>
      <c r="HA38" s="9">
        <v>0</v>
      </c>
      <c r="HB38" s="9">
        <v>260786259</v>
      </c>
      <c r="HC38" s="9">
        <v>5.0923999999999997E-2</v>
      </c>
      <c r="HD38" s="10">
        <v>35168</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32469</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row>
    <row r="39" spans="1:292" ht="13" x14ac:dyDescent="0.3">
      <c r="A39" s="9">
        <v>46802</v>
      </c>
      <c r="B39" s="9">
        <v>32570</v>
      </c>
      <c r="C39" s="9">
        <v>35</v>
      </c>
      <c r="D39" s="9">
        <v>2022</v>
      </c>
      <c r="E39" s="9">
        <v>5392</v>
      </c>
      <c r="F39" s="9">
        <v>0</v>
      </c>
      <c r="G39" s="9">
        <v>402.625</v>
      </c>
      <c r="H39" s="9">
        <v>239.33500000000001</v>
      </c>
      <c r="I39" s="9">
        <v>239.33500000000001</v>
      </c>
      <c r="J39" s="9">
        <v>402.625</v>
      </c>
      <c r="K39" s="9">
        <v>0</v>
      </c>
      <c r="L39" s="9">
        <v>6554</v>
      </c>
      <c r="M39" s="9">
        <v>0</v>
      </c>
      <c r="N39" s="9">
        <v>0</v>
      </c>
      <c r="O39" s="9">
        <v>0</v>
      </c>
      <c r="P39" s="9">
        <v>412.13500000000005</v>
      </c>
      <c r="Q39" s="9">
        <v>0</v>
      </c>
      <c r="R39" s="10">
        <v>131765</v>
      </c>
      <c r="S39" s="9">
        <v>319.71300000000002</v>
      </c>
      <c r="T39" s="9">
        <v>0</v>
      </c>
      <c r="U39" s="10">
        <v>131765</v>
      </c>
      <c r="V39" s="10">
        <v>16.126000000000001</v>
      </c>
      <c r="W39" s="10">
        <v>10569</v>
      </c>
      <c r="X39" s="10">
        <v>10569</v>
      </c>
      <c r="Y39" s="9">
        <v>0</v>
      </c>
      <c r="Z39" s="9">
        <v>0</v>
      </c>
      <c r="AA39" s="9">
        <v>1</v>
      </c>
      <c r="AB39" s="9">
        <v>1</v>
      </c>
      <c r="AC39" s="9">
        <v>0</v>
      </c>
      <c r="AD39" s="9" t="s">
        <v>314</v>
      </c>
      <c r="AE39" s="9">
        <v>0</v>
      </c>
      <c r="AF39" s="9">
        <v>0</v>
      </c>
      <c r="AG39" s="9">
        <v>0</v>
      </c>
      <c r="AH39" s="9">
        <v>0</v>
      </c>
      <c r="AI39" s="9">
        <v>0</v>
      </c>
      <c r="AJ39" s="9">
        <v>5104</v>
      </c>
      <c r="AK39" s="9" t="s">
        <v>651</v>
      </c>
      <c r="AL39" s="9" t="s">
        <v>41</v>
      </c>
      <c r="AM39" s="9">
        <v>0</v>
      </c>
      <c r="AN39" s="9">
        <v>0</v>
      </c>
      <c r="AO39" s="9">
        <v>0</v>
      </c>
      <c r="AP39" s="9">
        <v>0</v>
      </c>
      <c r="AQ39" s="9">
        <v>0</v>
      </c>
      <c r="AR39" s="9">
        <v>0</v>
      </c>
      <c r="AS39" s="9">
        <v>0</v>
      </c>
      <c r="AT39" s="9">
        <v>0</v>
      </c>
      <c r="AU39" s="9">
        <v>0</v>
      </c>
      <c r="AV39" s="9">
        <v>347064</v>
      </c>
      <c r="AW39" s="9">
        <v>7297699</v>
      </c>
      <c r="AX39" s="9">
        <v>7125542</v>
      </c>
      <c r="AY39" s="9">
        <v>7341088</v>
      </c>
      <c r="AZ39" s="9">
        <v>203532</v>
      </c>
      <c r="BA39" s="10">
        <v>42.083000000000006</v>
      </c>
      <c r="BB39" s="9">
        <v>0</v>
      </c>
      <c r="BC39" s="9">
        <v>0</v>
      </c>
      <c r="BD39" s="9">
        <v>0</v>
      </c>
      <c r="BE39" s="9">
        <v>0</v>
      </c>
      <c r="BF39" s="9">
        <v>5977984</v>
      </c>
      <c r="BG39" s="9">
        <v>0</v>
      </c>
      <c r="BH39" s="10">
        <v>260.971</v>
      </c>
      <c r="BI39" s="10">
        <v>71767</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10">
        <v>100390</v>
      </c>
      <c r="CI39" s="9">
        <v>0</v>
      </c>
      <c r="CJ39" s="9">
        <v>4</v>
      </c>
      <c r="CK39" s="9">
        <v>0</v>
      </c>
      <c r="CL39" s="9">
        <v>0</v>
      </c>
      <c r="CM39" s="9">
        <v>0</v>
      </c>
      <c r="CN39" s="9">
        <v>0</v>
      </c>
      <c r="CO39" s="9">
        <v>0</v>
      </c>
      <c r="CP39" s="9">
        <v>0</v>
      </c>
      <c r="CQ39" s="9">
        <v>0</v>
      </c>
      <c r="CR39" s="9">
        <v>412.13500000000005</v>
      </c>
      <c r="CS39" s="9">
        <v>0</v>
      </c>
      <c r="CT39" s="9">
        <v>0</v>
      </c>
      <c r="CU39" s="9">
        <v>0</v>
      </c>
      <c r="CV39" s="9">
        <v>0</v>
      </c>
      <c r="CW39" s="9">
        <v>0</v>
      </c>
      <c r="CX39" s="9">
        <v>0</v>
      </c>
      <c r="CY39" s="9">
        <v>0</v>
      </c>
      <c r="CZ39" s="9">
        <v>0</v>
      </c>
      <c r="DA39" s="9">
        <v>1</v>
      </c>
      <c r="DB39" s="9">
        <v>1568602</v>
      </c>
      <c r="DC39" s="9">
        <v>0</v>
      </c>
      <c r="DD39" s="9">
        <v>0</v>
      </c>
      <c r="DE39" s="9">
        <v>588326</v>
      </c>
      <c r="DF39" s="9">
        <v>588326</v>
      </c>
      <c r="DG39" s="9">
        <v>448.83</v>
      </c>
      <c r="DH39" s="9">
        <v>0</v>
      </c>
      <c r="DI39" s="9">
        <v>0</v>
      </c>
      <c r="DJ39" s="9">
        <v>0</v>
      </c>
      <c r="DK39" s="9">
        <v>5392</v>
      </c>
      <c r="DL39" s="9">
        <v>0</v>
      </c>
      <c r="DM39" s="9">
        <v>3817508</v>
      </c>
      <c r="DN39" s="9">
        <v>0</v>
      </c>
      <c r="DO39" s="9">
        <v>0</v>
      </c>
      <c r="DP39" s="9">
        <v>0</v>
      </c>
      <c r="DQ39" s="9">
        <v>0</v>
      </c>
      <c r="DR39" s="9">
        <v>0</v>
      </c>
      <c r="DS39" s="9">
        <v>0</v>
      </c>
      <c r="DT39" s="9">
        <v>0</v>
      </c>
      <c r="DU39" s="9">
        <v>0</v>
      </c>
      <c r="DV39" s="9">
        <v>0</v>
      </c>
      <c r="DW39" s="9">
        <v>0</v>
      </c>
      <c r="DX39" s="9">
        <v>0</v>
      </c>
      <c r="DY39" s="9">
        <v>0</v>
      </c>
      <c r="DZ39" s="9">
        <v>0</v>
      </c>
      <c r="EA39" s="9">
        <v>0</v>
      </c>
      <c r="EB39" s="9">
        <v>0</v>
      </c>
      <c r="EC39" s="9">
        <v>0</v>
      </c>
      <c r="ED39" s="9">
        <v>0</v>
      </c>
      <c r="EE39" s="9">
        <v>0</v>
      </c>
      <c r="EF39" s="9">
        <v>0</v>
      </c>
      <c r="EG39" s="9">
        <v>0</v>
      </c>
      <c r="EH39" s="9">
        <v>11076</v>
      </c>
      <c r="EI39" s="9">
        <v>3806432</v>
      </c>
      <c r="EJ39" s="9">
        <v>145.19499999999999</v>
      </c>
      <c r="EK39" s="9">
        <v>0</v>
      </c>
      <c r="EL39" s="9">
        <v>0</v>
      </c>
      <c r="EM39" s="9">
        <v>0</v>
      </c>
      <c r="EN39" s="9">
        <v>0.33800000000000002</v>
      </c>
      <c r="EO39" s="9">
        <v>0</v>
      </c>
      <c r="EP39" s="9">
        <v>0</v>
      </c>
      <c r="EQ39" s="9">
        <v>145.53300000000002</v>
      </c>
      <c r="ER39" s="9">
        <v>0</v>
      </c>
      <c r="ES39" s="9">
        <v>1.69</v>
      </c>
      <c r="ET39" s="10">
        <v>21042</v>
      </c>
      <c r="EU39" s="9">
        <v>203532</v>
      </c>
      <c r="EV39" s="9">
        <v>0</v>
      </c>
      <c r="EW39" s="9">
        <v>0</v>
      </c>
      <c r="EX39" s="9">
        <v>0</v>
      </c>
      <c r="EY39" s="9">
        <v>0</v>
      </c>
      <c r="EZ39" s="9">
        <v>6010352</v>
      </c>
      <c r="FA39" s="9">
        <v>0</v>
      </c>
      <c r="FB39" s="10">
        <v>6213884</v>
      </c>
      <c r="FC39" s="9">
        <v>0.97327799999999998</v>
      </c>
      <c r="FD39" s="9">
        <v>0</v>
      </c>
      <c r="FE39" s="9">
        <v>910100</v>
      </c>
      <c r="FF39" s="9">
        <v>205090</v>
      </c>
      <c r="FG39" s="9">
        <v>6.1239999999999996E-2</v>
      </c>
      <c r="FH39" s="9">
        <v>5.4803999999999999E-2</v>
      </c>
      <c r="FI39" s="9">
        <v>0</v>
      </c>
      <c r="FJ39" s="9">
        <v>0</v>
      </c>
      <c r="FK39" s="9">
        <v>1171.2750000000001</v>
      </c>
      <c r="FL39" s="9">
        <v>7429464</v>
      </c>
      <c r="FM39" s="9">
        <v>0</v>
      </c>
      <c r="FN39" s="9">
        <v>0</v>
      </c>
      <c r="FO39" s="9">
        <v>0</v>
      </c>
      <c r="FP39" s="9">
        <v>0</v>
      </c>
      <c r="FQ39" s="9">
        <v>0</v>
      </c>
      <c r="FR39" s="9">
        <v>0</v>
      </c>
      <c r="FS39" s="9">
        <v>0</v>
      </c>
      <c r="FT39" s="9">
        <v>0</v>
      </c>
      <c r="FU39" s="9">
        <v>0</v>
      </c>
      <c r="FV39" s="9">
        <v>0</v>
      </c>
      <c r="FW39" s="9">
        <v>0</v>
      </c>
      <c r="FX39" s="9">
        <v>0</v>
      </c>
      <c r="FY39" s="9">
        <v>0</v>
      </c>
      <c r="FZ39" s="9">
        <v>0</v>
      </c>
      <c r="GA39" s="9">
        <v>0</v>
      </c>
      <c r="GB39" s="10">
        <v>157112</v>
      </c>
      <c r="GC39" s="10">
        <v>157112</v>
      </c>
      <c r="GD39" s="10">
        <v>17.757000000000001</v>
      </c>
      <c r="GE39" s="9">
        <v>0</v>
      </c>
      <c r="GF39" s="9">
        <v>0</v>
      </c>
      <c r="GG39" s="9">
        <v>0</v>
      </c>
      <c r="GH39" s="9">
        <v>0</v>
      </c>
      <c r="GI39" s="9">
        <v>0</v>
      </c>
      <c r="GJ39" s="9">
        <v>0</v>
      </c>
      <c r="GK39" s="9">
        <v>5091</v>
      </c>
      <c r="GL39" s="9">
        <v>26007</v>
      </c>
      <c r="GM39" s="9">
        <v>0</v>
      </c>
      <c r="GN39" s="9">
        <v>0</v>
      </c>
      <c r="GO39" s="9">
        <v>0</v>
      </c>
      <c r="GP39" s="9">
        <v>7329074</v>
      </c>
      <c r="GQ39" s="9">
        <v>7329074</v>
      </c>
      <c r="GR39" s="9">
        <v>0</v>
      </c>
      <c r="GS39" s="9">
        <v>0</v>
      </c>
      <c r="GT39" s="9">
        <v>0</v>
      </c>
      <c r="GU39" s="9">
        <v>0</v>
      </c>
      <c r="GV39" s="9">
        <v>0</v>
      </c>
      <c r="GW39" s="9">
        <v>0</v>
      </c>
      <c r="GX39" s="9">
        <v>0</v>
      </c>
      <c r="GY39" s="9">
        <v>0</v>
      </c>
      <c r="GZ39" s="9">
        <v>0</v>
      </c>
      <c r="HA39" s="9">
        <v>0</v>
      </c>
      <c r="HB39" s="9">
        <v>260786259</v>
      </c>
      <c r="HC39" s="9">
        <v>5.0923999999999997E-2</v>
      </c>
      <c r="HD39" s="10">
        <v>79348</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32469</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row>
    <row r="40" spans="1:292" x14ac:dyDescent="0.25">
      <c r="A40" s="9">
        <v>57802</v>
      </c>
      <c r="B40" s="9">
        <v>32570</v>
      </c>
      <c r="C40" s="9">
        <v>35</v>
      </c>
      <c r="D40" s="9">
        <v>2022</v>
      </c>
      <c r="E40" s="9">
        <v>5392</v>
      </c>
      <c r="F40" s="9">
        <v>0</v>
      </c>
      <c r="G40" s="9">
        <v>566.98</v>
      </c>
      <c r="H40" s="9">
        <v>550.10199999999998</v>
      </c>
      <c r="I40" s="9">
        <v>550.10199999999998</v>
      </c>
      <c r="J40" s="9">
        <v>566.98</v>
      </c>
      <c r="K40" s="9">
        <v>0</v>
      </c>
      <c r="L40" s="9">
        <v>6554</v>
      </c>
      <c r="M40" s="9">
        <v>0</v>
      </c>
      <c r="N40" s="9">
        <v>0</v>
      </c>
      <c r="O40" s="9">
        <v>0</v>
      </c>
      <c r="P40" s="9">
        <v>625.57600000000002</v>
      </c>
      <c r="Q40" s="9">
        <v>0</v>
      </c>
      <c r="R40" s="9">
        <v>200005</v>
      </c>
      <c r="S40" s="9">
        <v>319.71300000000002</v>
      </c>
      <c r="T40" s="9">
        <v>0</v>
      </c>
      <c r="U40" s="9">
        <v>200005</v>
      </c>
      <c r="V40" s="9">
        <v>136.43800000000002</v>
      </c>
      <c r="W40" s="9">
        <v>89421</v>
      </c>
      <c r="X40" s="9">
        <v>89421</v>
      </c>
      <c r="Y40" s="9">
        <v>0</v>
      </c>
      <c r="Z40" s="9">
        <v>0</v>
      </c>
      <c r="AA40" s="9">
        <v>1</v>
      </c>
      <c r="AB40" s="9">
        <v>1</v>
      </c>
      <c r="AC40" s="9">
        <v>0</v>
      </c>
      <c r="AD40" s="9" t="s">
        <v>314</v>
      </c>
      <c r="AE40" s="9">
        <v>0</v>
      </c>
      <c r="AF40" s="9">
        <v>0</v>
      </c>
      <c r="AG40" s="9">
        <v>0</v>
      </c>
      <c r="AH40" s="9">
        <v>0</v>
      </c>
      <c r="AI40" s="9">
        <v>0</v>
      </c>
      <c r="AJ40" s="9">
        <v>5104</v>
      </c>
      <c r="AK40" s="9" t="s">
        <v>651</v>
      </c>
      <c r="AL40" s="9" t="s">
        <v>17</v>
      </c>
      <c r="AM40" s="9">
        <v>0</v>
      </c>
      <c r="AN40" s="9">
        <v>0</v>
      </c>
      <c r="AO40" s="9">
        <v>0</v>
      </c>
      <c r="AP40" s="9">
        <v>0</v>
      </c>
      <c r="AQ40" s="9">
        <v>0</v>
      </c>
      <c r="AR40" s="9">
        <v>0</v>
      </c>
      <c r="AS40" s="9">
        <v>0</v>
      </c>
      <c r="AT40" s="9">
        <v>0</v>
      </c>
      <c r="AU40" s="9">
        <v>0</v>
      </c>
      <c r="AV40" s="9">
        <v>294494</v>
      </c>
      <c r="AW40" s="9">
        <v>5916468</v>
      </c>
      <c r="AX40" s="9">
        <v>5761228</v>
      </c>
      <c r="AY40" s="9">
        <v>6141421</v>
      </c>
      <c r="AZ40" s="9">
        <v>236172</v>
      </c>
      <c r="BA40" s="9">
        <v>14.667</v>
      </c>
      <c r="BB40" s="9">
        <v>0</v>
      </c>
      <c r="BC40" s="9">
        <v>0</v>
      </c>
      <c r="BD40" s="9">
        <v>0</v>
      </c>
      <c r="BE40" s="9">
        <v>0</v>
      </c>
      <c r="BF40" s="9">
        <v>4770812</v>
      </c>
      <c r="BG40" s="9">
        <v>0</v>
      </c>
      <c r="BH40" s="9">
        <v>131.51500000000001</v>
      </c>
      <c r="BI40" s="9">
        <v>36167</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119073</v>
      </c>
      <c r="CI40" s="9">
        <v>0</v>
      </c>
      <c r="CJ40" s="9">
        <v>4</v>
      </c>
      <c r="CK40" s="9">
        <v>0</v>
      </c>
      <c r="CL40" s="9">
        <v>0</v>
      </c>
      <c r="CM40" s="9">
        <v>0</v>
      </c>
      <c r="CN40" s="9">
        <v>0</v>
      </c>
      <c r="CO40" s="9">
        <v>0</v>
      </c>
      <c r="CP40" s="9">
        <v>0</v>
      </c>
      <c r="CQ40" s="9">
        <v>0</v>
      </c>
      <c r="CR40" s="9">
        <v>625.57600000000002</v>
      </c>
      <c r="CS40" s="9">
        <v>0</v>
      </c>
      <c r="CT40" s="9">
        <v>0</v>
      </c>
      <c r="CU40" s="9">
        <v>0</v>
      </c>
      <c r="CV40" s="9">
        <v>0</v>
      </c>
      <c r="CW40" s="9">
        <v>0</v>
      </c>
      <c r="CX40" s="9">
        <v>0</v>
      </c>
      <c r="CY40" s="9">
        <v>0</v>
      </c>
      <c r="CZ40" s="9">
        <v>0</v>
      </c>
      <c r="DA40" s="9">
        <v>1</v>
      </c>
      <c r="DB40" s="9">
        <v>3605369</v>
      </c>
      <c r="DC40" s="9">
        <v>0</v>
      </c>
      <c r="DD40" s="9">
        <v>0</v>
      </c>
      <c r="DE40" s="9">
        <v>742568</v>
      </c>
      <c r="DF40" s="9">
        <v>742568</v>
      </c>
      <c r="DG40" s="9">
        <v>566.5</v>
      </c>
      <c r="DH40" s="9">
        <v>0</v>
      </c>
      <c r="DI40" s="9">
        <v>0</v>
      </c>
      <c r="DJ40" s="9">
        <v>0</v>
      </c>
      <c r="DK40" s="9">
        <v>5392</v>
      </c>
      <c r="DL40" s="9">
        <v>0</v>
      </c>
      <c r="DM40" s="9">
        <v>464442</v>
      </c>
      <c r="DN40" s="9">
        <v>0</v>
      </c>
      <c r="DO40" s="9">
        <v>0</v>
      </c>
      <c r="DP40" s="9">
        <v>0</v>
      </c>
      <c r="DQ40" s="9">
        <v>0</v>
      </c>
      <c r="DR40" s="9">
        <v>0</v>
      </c>
      <c r="DS40" s="9">
        <v>0</v>
      </c>
      <c r="DT40" s="9">
        <v>0</v>
      </c>
      <c r="DU40" s="9">
        <v>0</v>
      </c>
      <c r="DV40" s="9">
        <v>0</v>
      </c>
      <c r="DW40" s="9">
        <v>0</v>
      </c>
      <c r="DX40" s="9">
        <v>0</v>
      </c>
      <c r="DY40" s="9">
        <v>0</v>
      </c>
      <c r="DZ40" s="9">
        <v>0</v>
      </c>
      <c r="EA40" s="9">
        <v>0</v>
      </c>
      <c r="EB40" s="9">
        <v>0</v>
      </c>
      <c r="EC40" s="9">
        <v>16.84</v>
      </c>
      <c r="ED40" s="9">
        <v>121406</v>
      </c>
      <c r="EE40" s="9">
        <v>0</v>
      </c>
      <c r="EF40" s="9">
        <v>0</v>
      </c>
      <c r="EG40" s="9">
        <v>0</v>
      </c>
      <c r="EH40" s="9">
        <v>343036</v>
      </c>
      <c r="EI40" s="9">
        <v>0</v>
      </c>
      <c r="EJ40" s="9">
        <v>0</v>
      </c>
      <c r="EK40" s="9">
        <v>16.025000000000002</v>
      </c>
      <c r="EL40" s="9">
        <v>0</v>
      </c>
      <c r="EM40" s="9">
        <v>0</v>
      </c>
      <c r="EN40" s="9">
        <v>0.85300000000000009</v>
      </c>
      <c r="EO40" s="9">
        <v>0</v>
      </c>
      <c r="EP40" s="9">
        <v>0</v>
      </c>
      <c r="EQ40" s="9">
        <v>16.878</v>
      </c>
      <c r="ER40" s="9">
        <v>0</v>
      </c>
      <c r="ES40" s="9">
        <v>52.34</v>
      </c>
      <c r="ET40" s="9">
        <v>7334</v>
      </c>
      <c r="EU40" s="9">
        <v>236172</v>
      </c>
      <c r="EV40" s="9">
        <v>0</v>
      </c>
      <c r="EW40" s="9">
        <v>0</v>
      </c>
      <c r="EX40" s="9">
        <v>0</v>
      </c>
      <c r="EY40" s="9">
        <v>0</v>
      </c>
      <c r="EZ40" s="9">
        <v>4871235</v>
      </c>
      <c r="FA40" s="9">
        <v>0</v>
      </c>
      <c r="FB40" s="9">
        <v>5107407</v>
      </c>
      <c r="FC40" s="9">
        <v>0.97327799999999998</v>
      </c>
      <c r="FD40" s="9">
        <v>0</v>
      </c>
      <c r="FE40" s="9">
        <v>726318</v>
      </c>
      <c r="FF40" s="9">
        <v>163675</v>
      </c>
      <c r="FG40" s="9">
        <v>6.1239999999999996E-2</v>
      </c>
      <c r="FH40" s="9">
        <v>5.4803999999999999E-2</v>
      </c>
      <c r="FI40" s="9">
        <v>0</v>
      </c>
      <c r="FJ40" s="9">
        <v>0</v>
      </c>
      <c r="FK40" s="9">
        <v>934.75200000000007</v>
      </c>
      <c r="FL40" s="9">
        <v>6116473</v>
      </c>
      <c r="FM40" s="9">
        <v>0</v>
      </c>
      <c r="FN40" s="9">
        <v>0</v>
      </c>
      <c r="FO40" s="9">
        <v>169440</v>
      </c>
      <c r="FP40" s="9">
        <v>0</v>
      </c>
      <c r="FQ40" s="9">
        <v>169440</v>
      </c>
      <c r="FR40" s="9">
        <v>169440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5997400</v>
      </c>
      <c r="GQ40" s="9">
        <v>5997400</v>
      </c>
      <c r="GR40" s="9">
        <v>0</v>
      </c>
      <c r="GS40" s="9">
        <v>0</v>
      </c>
      <c r="GT40" s="9">
        <v>0</v>
      </c>
      <c r="GU40" s="9">
        <v>0</v>
      </c>
      <c r="GV40" s="9">
        <v>0</v>
      </c>
      <c r="GW40" s="9">
        <v>0</v>
      </c>
      <c r="GX40" s="9">
        <v>0</v>
      </c>
      <c r="GY40" s="9">
        <v>0</v>
      </c>
      <c r="GZ40" s="9">
        <v>0</v>
      </c>
      <c r="HA40" s="9">
        <v>0</v>
      </c>
      <c r="HB40" s="9">
        <v>260786259</v>
      </c>
      <c r="HC40" s="9">
        <v>5.0923999999999997E-2</v>
      </c>
      <c r="HD40" s="9">
        <v>111739</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32469</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row>
    <row r="41" spans="1:292" x14ac:dyDescent="0.25">
      <c r="A41" s="9">
        <v>57803</v>
      </c>
      <c r="B41" s="9">
        <v>32570</v>
      </c>
      <c r="C41" s="9">
        <v>35</v>
      </c>
      <c r="D41" s="9">
        <v>2022</v>
      </c>
      <c r="E41" s="9">
        <v>5392</v>
      </c>
      <c r="F41" s="9">
        <v>0</v>
      </c>
      <c r="G41" s="9">
        <v>18751.648000000001</v>
      </c>
      <c r="H41" s="9">
        <v>17371.876</v>
      </c>
      <c r="I41" s="9">
        <v>17371.876</v>
      </c>
      <c r="J41" s="9">
        <v>18751.648000000001</v>
      </c>
      <c r="K41" s="9">
        <v>0</v>
      </c>
      <c r="L41" s="9">
        <v>6554</v>
      </c>
      <c r="M41" s="9">
        <v>0</v>
      </c>
      <c r="N41" s="9">
        <v>0</v>
      </c>
      <c r="O41" s="9">
        <v>0</v>
      </c>
      <c r="P41" s="9">
        <v>17530.063999999998</v>
      </c>
      <c r="Q41" s="9">
        <v>0</v>
      </c>
      <c r="R41" s="9">
        <v>5604589</v>
      </c>
      <c r="S41" s="9">
        <v>319.71300000000002</v>
      </c>
      <c r="T41" s="9">
        <v>0</v>
      </c>
      <c r="U41" s="9">
        <v>5604589</v>
      </c>
      <c r="V41" s="9">
        <v>5417.6930000000002</v>
      </c>
      <c r="W41" s="9">
        <v>3550756</v>
      </c>
      <c r="X41" s="9">
        <v>3550756</v>
      </c>
      <c r="Y41" s="9">
        <v>0</v>
      </c>
      <c r="Z41" s="9">
        <v>0</v>
      </c>
      <c r="AA41" s="9">
        <v>1</v>
      </c>
      <c r="AB41" s="9">
        <v>1</v>
      </c>
      <c r="AC41" s="9">
        <v>0</v>
      </c>
      <c r="AD41" s="9" t="s">
        <v>314</v>
      </c>
      <c r="AE41" s="9">
        <v>0</v>
      </c>
      <c r="AF41" s="9">
        <v>0</v>
      </c>
      <c r="AG41" s="9">
        <v>0</v>
      </c>
      <c r="AH41" s="9">
        <v>0</v>
      </c>
      <c r="AI41" s="9">
        <v>0</v>
      </c>
      <c r="AJ41" s="9">
        <v>5104</v>
      </c>
      <c r="AK41" s="9" t="s">
        <v>651</v>
      </c>
      <c r="AL41" s="9" t="s">
        <v>381</v>
      </c>
      <c r="AM41" s="9">
        <v>0</v>
      </c>
      <c r="AN41" s="9">
        <v>0</v>
      </c>
      <c r="AO41" s="9">
        <v>0</v>
      </c>
      <c r="AP41" s="9">
        <v>0</v>
      </c>
      <c r="AQ41" s="9">
        <v>0</v>
      </c>
      <c r="AR41" s="9">
        <v>0</v>
      </c>
      <c r="AS41" s="9">
        <v>0</v>
      </c>
      <c r="AT41" s="9">
        <v>0</v>
      </c>
      <c r="AU41" s="9">
        <v>0</v>
      </c>
      <c r="AV41" s="9">
        <v>2679028</v>
      </c>
      <c r="AW41" s="9">
        <v>185258664</v>
      </c>
      <c r="AX41" s="9">
        <v>179964796</v>
      </c>
      <c r="AY41" s="9">
        <v>198154935</v>
      </c>
      <c r="AZ41" s="9">
        <v>7029300</v>
      </c>
      <c r="BA41" s="9">
        <v>345.91700000000003</v>
      </c>
      <c r="BB41" s="9">
        <v>0</v>
      </c>
      <c r="BC41" s="9">
        <v>0</v>
      </c>
      <c r="BD41" s="9">
        <v>0</v>
      </c>
      <c r="BE41" s="9">
        <v>0</v>
      </c>
      <c r="BF41" s="9">
        <v>152857099</v>
      </c>
      <c r="BG41" s="9">
        <v>0</v>
      </c>
      <c r="BH41" s="9">
        <v>4178.7560000000003</v>
      </c>
      <c r="BI41" s="9">
        <v>1149158</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720.851</v>
      </c>
      <c r="CB41" s="9">
        <v>275553</v>
      </c>
      <c r="CC41" s="9">
        <v>0</v>
      </c>
      <c r="CD41" s="9">
        <v>0</v>
      </c>
      <c r="CE41" s="9">
        <v>0</v>
      </c>
      <c r="CF41" s="9">
        <v>0</v>
      </c>
      <c r="CG41" s="9">
        <v>0</v>
      </c>
      <c r="CH41" s="9">
        <v>3869157</v>
      </c>
      <c r="CI41" s="9">
        <v>0</v>
      </c>
      <c r="CJ41" s="9">
        <v>4</v>
      </c>
      <c r="CK41" s="9">
        <v>0</v>
      </c>
      <c r="CL41" s="9">
        <v>0</v>
      </c>
      <c r="CM41" s="9">
        <v>0</v>
      </c>
      <c r="CN41" s="9">
        <v>0</v>
      </c>
      <c r="CO41" s="9">
        <v>0</v>
      </c>
      <c r="CP41" s="9">
        <v>0</v>
      </c>
      <c r="CQ41" s="9">
        <v>2.6670000000000003</v>
      </c>
      <c r="CR41" s="9">
        <v>17530.063999999998</v>
      </c>
      <c r="CS41" s="9">
        <v>0</v>
      </c>
      <c r="CT41" s="9">
        <v>0</v>
      </c>
      <c r="CU41" s="9">
        <v>0</v>
      </c>
      <c r="CV41" s="9">
        <v>0</v>
      </c>
      <c r="CW41" s="9">
        <v>0</v>
      </c>
      <c r="CX41" s="9">
        <v>0</v>
      </c>
      <c r="CY41" s="9">
        <v>0</v>
      </c>
      <c r="CZ41" s="9">
        <v>0</v>
      </c>
      <c r="DA41" s="9">
        <v>1</v>
      </c>
      <c r="DB41" s="9">
        <v>113855275</v>
      </c>
      <c r="DC41" s="9">
        <v>0</v>
      </c>
      <c r="DD41" s="9">
        <v>0</v>
      </c>
      <c r="DE41" s="9">
        <v>19810553</v>
      </c>
      <c r="DF41" s="9">
        <v>19810553</v>
      </c>
      <c r="DG41" s="9">
        <v>15113.33</v>
      </c>
      <c r="DH41" s="9">
        <v>0</v>
      </c>
      <c r="DI41" s="9">
        <v>0</v>
      </c>
      <c r="DJ41" s="9">
        <v>0</v>
      </c>
      <c r="DK41" s="9">
        <v>5392</v>
      </c>
      <c r="DL41" s="9">
        <v>0</v>
      </c>
      <c r="DM41" s="9">
        <v>12497796</v>
      </c>
      <c r="DN41" s="9">
        <v>0</v>
      </c>
      <c r="DO41" s="9">
        <v>21692</v>
      </c>
      <c r="DP41" s="9">
        <v>0</v>
      </c>
      <c r="DQ41" s="9">
        <v>0</v>
      </c>
      <c r="DR41" s="9">
        <v>0</v>
      </c>
      <c r="DS41" s="9">
        <v>0</v>
      </c>
      <c r="DT41" s="9">
        <v>9.2999999999999999E-2</v>
      </c>
      <c r="DU41" s="9">
        <v>0</v>
      </c>
      <c r="DV41" s="9">
        <v>1.3780000000000001</v>
      </c>
      <c r="DW41" s="9">
        <v>0</v>
      </c>
      <c r="DX41" s="9">
        <v>0</v>
      </c>
      <c r="DY41" s="9">
        <v>0</v>
      </c>
      <c r="DZ41" s="9">
        <v>4.4130000000000003</v>
      </c>
      <c r="EA41" s="9">
        <v>0.77</v>
      </c>
      <c r="EB41" s="9">
        <v>0</v>
      </c>
      <c r="EC41" s="9">
        <v>170.88200000000001</v>
      </c>
      <c r="ED41" s="9">
        <v>1231957</v>
      </c>
      <c r="EE41" s="9">
        <v>11142</v>
      </c>
      <c r="EF41" s="9">
        <v>1</v>
      </c>
      <c r="EG41" s="9">
        <v>0</v>
      </c>
      <c r="EH41" s="9">
        <v>11233005</v>
      </c>
      <c r="EI41" s="9">
        <v>0</v>
      </c>
      <c r="EJ41" s="9">
        <v>0</v>
      </c>
      <c r="EK41" s="9">
        <v>421.06</v>
      </c>
      <c r="EL41" s="9">
        <v>0</v>
      </c>
      <c r="EM41" s="9">
        <v>98.562000000000012</v>
      </c>
      <c r="EN41" s="9">
        <v>30.240000000000002</v>
      </c>
      <c r="EO41" s="9">
        <v>0</v>
      </c>
      <c r="EP41" s="9">
        <v>0</v>
      </c>
      <c r="EQ41" s="9">
        <v>550.63200000000006</v>
      </c>
      <c r="ER41" s="9">
        <v>0</v>
      </c>
      <c r="ES41" s="9">
        <v>1713.9160000000002</v>
      </c>
      <c r="ET41" s="9">
        <v>173625</v>
      </c>
      <c r="EU41" s="9">
        <v>7029300</v>
      </c>
      <c r="EV41" s="9">
        <v>0</v>
      </c>
      <c r="EW41" s="9">
        <v>0</v>
      </c>
      <c r="EX41" s="9">
        <v>0</v>
      </c>
      <c r="EY41" s="9">
        <v>0</v>
      </c>
      <c r="EZ41" s="9">
        <v>151449382</v>
      </c>
      <c r="FA41" s="9">
        <v>0</v>
      </c>
      <c r="FB41" s="9">
        <v>158478682</v>
      </c>
      <c r="FC41" s="9">
        <v>0.97327799999999998</v>
      </c>
      <c r="FD41" s="9">
        <v>0</v>
      </c>
      <c r="FE41" s="9">
        <v>23271267</v>
      </c>
      <c r="FF41" s="9">
        <v>5244147</v>
      </c>
      <c r="FG41" s="9">
        <v>6.1239999999999996E-2</v>
      </c>
      <c r="FH41" s="9">
        <v>5.4803999999999999E-2</v>
      </c>
      <c r="FI41" s="9">
        <v>0</v>
      </c>
      <c r="FJ41" s="9">
        <v>0</v>
      </c>
      <c r="FK41" s="9">
        <v>29949.52</v>
      </c>
      <c r="FL41" s="9">
        <v>190863253</v>
      </c>
      <c r="FM41" s="9">
        <v>0</v>
      </c>
      <c r="FN41" s="9">
        <v>0</v>
      </c>
      <c r="FO41" s="9">
        <v>0</v>
      </c>
      <c r="FP41" s="9">
        <v>0</v>
      </c>
      <c r="FQ41" s="9">
        <v>0</v>
      </c>
      <c r="FR41" s="9">
        <v>0</v>
      </c>
      <c r="FS41" s="9">
        <v>0</v>
      </c>
      <c r="FT41" s="9">
        <v>0</v>
      </c>
      <c r="FU41" s="9">
        <v>1</v>
      </c>
      <c r="FV41" s="9">
        <v>0</v>
      </c>
      <c r="FW41" s="9">
        <v>0</v>
      </c>
      <c r="FX41" s="9">
        <v>0</v>
      </c>
      <c r="FY41" s="9">
        <v>0</v>
      </c>
      <c r="FZ41" s="9">
        <v>3443</v>
      </c>
      <c r="GA41" s="9">
        <v>68.867000000000004</v>
      </c>
      <c r="GB41" s="9">
        <v>7339591</v>
      </c>
      <c r="GC41" s="9">
        <v>7339591</v>
      </c>
      <c r="GD41" s="9">
        <v>829.14</v>
      </c>
      <c r="GE41" s="9">
        <v>0</v>
      </c>
      <c r="GF41" s="9">
        <v>0</v>
      </c>
      <c r="GG41" s="9">
        <v>0</v>
      </c>
      <c r="GH41" s="9">
        <v>0</v>
      </c>
      <c r="GI41" s="9">
        <v>0</v>
      </c>
      <c r="GJ41" s="9">
        <v>0</v>
      </c>
      <c r="GK41" s="9">
        <v>5360</v>
      </c>
      <c r="GL41" s="9">
        <v>35199</v>
      </c>
      <c r="GM41" s="9">
        <v>0</v>
      </c>
      <c r="GN41" s="9">
        <v>0</v>
      </c>
      <c r="GO41" s="9">
        <v>0</v>
      </c>
      <c r="GP41" s="9">
        <v>186994096</v>
      </c>
      <c r="GQ41" s="9">
        <v>186994096</v>
      </c>
      <c r="GR41" s="9">
        <v>0</v>
      </c>
      <c r="GS41" s="9">
        <v>0</v>
      </c>
      <c r="GT41" s="9">
        <v>0</v>
      </c>
      <c r="GU41" s="9">
        <v>0</v>
      </c>
      <c r="GV41" s="9">
        <v>0</v>
      </c>
      <c r="GW41" s="9">
        <v>0</v>
      </c>
      <c r="GX41" s="9">
        <v>0</v>
      </c>
      <c r="GY41" s="9">
        <v>0</v>
      </c>
      <c r="GZ41" s="9">
        <v>0</v>
      </c>
      <c r="HA41" s="9">
        <v>0</v>
      </c>
      <c r="HB41" s="9">
        <v>260786259</v>
      </c>
      <c r="HC41" s="9">
        <v>5.0923999999999997E-2</v>
      </c>
      <c r="HD41" s="9">
        <v>3695532</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32469</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row>
    <row r="42" spans="1:292" x14ac:dyDescent="0.25">
      <c r="A42" s="9">
        <v>57804</v>
      </c>
      <c r="B42" s="9">
        <v>32570</v>
      </c>
      <c r="C42" s="9">
        <v>35</v>
      </c>
      <c r="D42" s="9">
        <v>2022</v>
      </c>
      <c r="E42" s="9">
        <v>5392</v>
      </c>
      <c r="F42" s="9">
        <v>0</v>
      </c>
      <c r="G42" s="9">
        <v>4474.8950000000004</v>
      </c>
      <c r="H42" s="9">
        <v>4115.0720000000001</v>
      </c>
      <c r="I42" s="9">
        <v>4115.0720000000001</v>
      </c>
      <c r="J42" s="9">
        <v>4474.8950000000004</v>
      </c>
      <c r="K42" s="9">
        <v>0</v>
      </c>
      <c r="L42" s="9">
        <v>6554</v>
      </c>
      <c r="M42" s="9">
        <v>0</v>
      </c>
      <c r="N42" s="9">
        <v>0</v>
      </c>
      <c r="O42" s="9">
        <v>0</v>
      </c>
      <c r="P42" s="9">
        <v>4587.973</v>
      </c>
      <c r="Q42" s="9">
        <v>0</v>
      </c>
      <c r="R42" s="9">
        <v>1466835</v>
      </c>
      <c r="S42" s="9">
        <v>319.71300000000002</v>
      </c>
      <c r="T42" s="9">
        <v>0</v>
      </c>
      <c r="U42" s="9">
        <v>1466835</v>
      </c>
      <c r="V42" s="9">
        <v>1059.9850000000001</v>
      </c>
      <c r="W42" s="9">
        <v>694714</v>
      </c>
      <c r="X42" s="9">
        <v>694714</v>
      </c>
      <c r="Y42" s="9">
        <v>0</v>
      </c>
      <c r="Z42" s="9">
        <v>0</v>
      </c>
      <c r="AA42" s="9">
        <v>1</v>
      </c>
      <c r="AB42" s="9">
        <v>1</v>
      </c>
      <c r="AC42" s="9">
        <v>0</v>
      </c>
      <c r="AD42" s="9" t="s">
        <v>314</v>
      </c>
      <c r="AE42" s="9">
        <v>0</v>
      </c>
      <c r="AF42" s="9">
        <v>0</v>
      </c>
      <c r="AG42" s="9">
        <v>0</v>
      </c>
      <c r="AH42" s="9">
        <v>0</v>
      </c>
      <c r="AI42" s="9">
        <v>0</v>
      </c>
      <c r="AJ42" s="9">
        <v>5104</v>
      </c>
      <c r="AK42" s="9" t="s">
        <v>651</v>
      </c>
      <c r="AL42" s="9" t="s">
        <v>322</v>
      </c>
      <c r="AM42" s="9">
        <v>0</v>
      </c>
      <c r="AN42" s="9">
        <v>0</v>
      </c>
      <c r="AO42" s="9">
        <v>0</v>
      </c>
      <c r="AP42" s="9">
        <v>0</v>
      </c>
      <c r="AQ42" s="9">
        <v>0</v>
      </c>
      <c r="AR42" s="9">
        <v>0</v>
      </c>
      <c r="AS42" s="9">
        <v>0</v>
      </c>
      <c r="AT42" s="9">
        <v>0</v>
      </c>
      <c r="AU42" s="9">
        <v>0</v>
      </c>
      <c r="AV42" s="9">
        <v>2719535</v>
      </c>
      <c r="AW42" s="9">
        <v>47590801</v>
      </c>
      <c r="AX42" s="9">
        <v>45479220</v>
      </c>
      <c r="AY42" s="9">
        <v>50945967</v>
      </c>
      <c r="AZ42" s="9">
        <v>2696514</v>
      </c>
      <c r="BA42" s="9">
        <v>0</v>
      </c>
      <c r="BB42" s="9">
        <v>0</v>
      </c>
      <c r="BC42" s="9">
        <v>0</v>
      </c>
      <c r="BD42" s="9">
        <v>0</v>
      </c>
      <c r="BE42" s="9">
        <v>0</v>
      </c>
      <c r="BF42" s="9">
        <v>38036869</v>
      </c>
      <c r="BG42" s="9">
        <v>0</v>
      </c>
      <c r="BH42" s="9">
        <v>4471.5590000000002</v>
      </c>
      <c r="BI42" s="9">
        <v>1229679</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881902</v>
      </c>
      <c r="CI42" s="9">
        <v>0</v>
      </c>
      <c r="CJ42" s="9">
        <v>4</v>
      </c>
      <c r="CK42" s="9">
        <v>0</v>
      </c>
      <c r="CL42" s="9">
        <v>0</v>
      </c>
      <c r="CM42" s="9">
        <v>0</v>
      </c>
      <c r="CN42" s="9">
        <v>0</v>
      </c>
      <c r="CO42" s="9">
        <v>0</v>
      </c>
      <c r="CP42" s="9">
        <v>0</v>
      </c>
      <c r="CQ42" s="9">
        <v>0</v>
      </c>
      <c r="CR42" s="9">
        <v>4587.973</v>
      </c>
      <c r="CS42" s="9">
        <v>0</v>
      </c>
      <c r="CT42" s="9">
        <v>0</v>
      </c>
      <c r="CU42" s="9">
        <v>0</v>
      </c>
      <c r="CV42" s="9">
        <v>0</v>
      </c>
      <c r="CW42" s="9">
        <v>0</v>
      </c>
      <c r="CX42" s="9">
        <v>0</v>
      </c>
      <c r="CY42" s="9">
        <v>0</v>
      </c>
      <c r="CZ42" s="9">
        <v>0</v>
      </c>
      <c r="DA42" s="9">
        <v>1</v>
      </c>
      <c r="DB42" s="9">
        <v>26970182</v>
      </c>
      <c r="DC42" s="9">
        <v>0</v>
      </c>
      <c r="DD42" s="9">
        <v>0</v>
      </c>
      <c r="DE42" s="9">
        <v>6045187</v>
      </c>
      <c r="DF42" s="9">
        <v>6045187</v>
      </c>
      <c r="DG42" s="9">
        <v>4611.83</v>
      </c>
      <c r="DH42" s="9">
        <v>0</v>
      </c>
      <c r="DI42" s="9">
        <v>0</v>
      </c>
      <c r="DJ42" s="9">
        <v>0</v>
      </c>
      <c r="DK42" s="9">
        <v>5392</v>
      </c>
      <c r="DL42" s="9">
        <v>0</v>
      </c>
      <c r="DM42" s="9">
        <v>2751639</v>
      </c>
      <c r="DN42" s="9">
        <v>0</v>
      </c>
      <c r="DO42" s="9">
        <v>0</v>
      </c>
      <c r="DP42" s="9">
        <v>0</v>
      </c>
      <c r="DQ42" s="9">
        <v>0</v>
      </c>
      <c r="DR42" s="9">
        <v>0</v>
      </c>
      <c r="DS42" s="9">
        <v>0</v>
      </c>
      <c r="DT42" s="9">
        <v>0</v>
      </c>
      <c r="DU42" s="9">
        <v>0</v>
      </c>
      <c r="DV42" s="9">
        <v>0</v>
      </c>
      <c r="DW42" s="9">
        <v>0</v>
      </c>
      <c r="DX42" s="9">
        <v>0</v>
      </c>
      <c r="DY42" s="9">
        <v>0</v>
      </c>
      <c r="DZ42" s="9">
        <v>0</v>
      </c>
      <c r="EA42" s="9">
        <v>0</v>
      </c>
      <c r="EB42" s="9">
        <v>0</v>
      </c>
      <c r="EC42" s="9">
        <v>206.583</v>
      </c>
      <c r="ED42" s="9">
        <v>1489339</v>
      </c>
      <c r="EE42" s="9">
        <v>0</v>
      </c>
      <c r="EF42" s="9">
        <v>0</v>
      </c>
      <c r="EG42" s="9">
        <v>0</v>
      </c>
      <c r="EH42" s="9">
        <v>1262300</v>
      </c>
      <c r="EI42" s="9">
        <v>0</v>
      </c>
      <c r="EJ42" s="9">
        <v>0</v>
      </c>
      <c r="EK42" s="9">
        <v>63.195</v>
      </c>
      <c r="EL42" s="9">
        <v>0</v>
      </c>
      <c r="EM42" s="9">
        <v>0</v>
      </c>
      <c r="EN42" s="9">
        <v>0.60299999999999998</v>
      </c>
      <c r="EO42" s="9">
        <v>0</v>
      </c>
      <c r="EP42" s="9">
        <v>0</v>
      </c>
      <c r="EQ42" s="9">
        <v>63.798000000000002</v>
      </c>
      <c r="ER42" s="9">
        <v>0</v>
      </c>
      <c r="ES42" s="9">
        <v>192.6</v>
      </c>
      <c r="ET42" s="9">
        <v>0</v>
      </c>
      <c r="EU42" s="9">
        <v>2696514</v>
      </c>
      <c r="EV42" s="9">
        <v>0</v>
      </c>
      <c r="EW42" s="9">
        <v>0</v>
      </c>
      <c r="EX42" s="9">
        <v>0</v>
      </c>
      <c r="EY42" s="9">
        <v>0</v>
      </c>
      <c r="EZ42" s="9">
        <v>38383462</v>
      </c>
      <c r="FA42" s="9">
        <v>0</v>
      </c>
      <c r="FB42" s="9">
        <v>41079976</v>
      </c>
      <c r="FC42" s="9">
        <v>0.97327799999999998</v>
      </c>
      <c r="FD42" s="9">
        <v>0</v>
      </c>
      <c r="FE42" s="9">
        <v>5790808</v>
      </c>
      <c r="FF42" s="9">
        <v>1304950</v>
      </c>
      <c r="FG42" s="9">
        <v>6.1239999999999996E-2</v>
      </c>
      <c r="FH42" s="9">
        <v>5.4803999999999999E-2</v>
      </c>
      <c r="FI42" s="9">
        <v>0</v>
      </c>
      <c r="FJ42" s="9">
        <v>0</v>
      </c>
      <c r="FK42" s="9">
        <v>7452.6210000000001</v>
      </c>
      <c r="FL42" s="9">
        <v>49057636</v>
      </c>
      <c r="FM42" s="9">
        <v>0</v>
      </c>
      <c r="FN42" s="9">
        <v>0</v>
      </c>
      <c r="FO42" s="9">
        <v>769081</v>
      </c>
      <c r="FP42" s="9">
        <v>0</v>
      </c>
      <c r="FQ42" s="9">
        <v>769081</v>
      </c>
      <c r="FR42" s="9">
        <v>769081</v>
      </c>
      <c r="FS42" s="9">
        <v>0</v>
      </c>
      <c r="FT42" s="9">
        <v>0</v>
      </c>
      <c r="FU42" s="9">
        <v>0</v>
      </c>
      <c r="FV42" s="9">
        <v>0</v>
      </c>
      <c r="FW42" s="9">
        <v>0</v>
      </c>
      <c r="FX42" s="9">
        <v>0</v>
      </c>
      <c r="FY42" s="9">
        <v>0</v>
      </c>
      <c r="FZ42" s="9">
        <v>294</v>
      </c>
      <c r="GA42" s="9">
        <v>5.8840000000000003</v>
      </c>
      <c r="GB42" s="9">
        <v>2619494</v>
      </c>
      <c r="GC42" s="9">
        <v>2619494</v>
      </c>
      <c r="GD42" s="9">
        <v>296.02500000000003</v>
      </c>
      <c r="GE42" s="9">
        <v>0</v>
      </c>
      <c r="GF42" s="9">
        <v>0</v>
      </c>
      <c r="GG42" s="9">
        <v>0</v>
      </c>
      <c r="GH42" s="9">
        <v>0</v>
      </c>
      <c r="GI42" s="9">
        <v>0</v>
      </c>
      <c r="GJ42" s="9">
        <v>0</v>
      </c>
      <c r="GK42" s="9">
        <v>5340.4940000000006</v>
      </c>
      <c r="GL42" s="9">
        <v>64453</v>
      </c>
      <c r="GM42" s="9">
        <v>0</v>
      </c>
      <c r="GN42" s="9">
        <v>413599</v>
      </c>
      <c r="GO42" s="9">
        <v>0</v>
      </c>
      <c r="GP42" s="9">
        <v>48175734</v>
      </c>
      <c r="GQ42" s="9">
        <v>48175734</v>
      </c>
      <c r="GR42" s="9">
        <v>0</v>
      </c>
      <c r="GS42" s="9">
        <v>0</v>
      </c>
      <c r="GT42" s="9">
        <v>0</v>
      </c>
      <c r="GU42" s="9">
        <v>0</v>
      </c>
      <c r="GV42" s="9">
        <v>0</v>
      </c>
      <c r="GW42" s="9">
        <v>0</v>
      </c>
      <c r="GX42" s="9">
        <v>0</v>
      </c>
      <c r="GY42" s="9">
        <v>0</v>
      </c>
      <c r="GZ42" s="9">
        <v>0</v>
      </c>
      <c r="HA42" s="9">
        <v>0</v>
      </c>
      <c r="HB42" s="9">
        <v>260786259</v>
      </c>
      <c r="HC42" s="9">
        <v>5.0923999999999997E-2</v>
      </c>
      <c r="HD42" s="9">
        <v>881902</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32469</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row>
    <row r="43" spans="1:292" x14ac:dyDescent="0.25">
      <c r="A43" s="9">
        <v>57805</v>
      </c>
      <c r="B43" s="9">
        <v>32570</v>
      </c>
      <c r="C43" s="9">
        <v>35</v>
      </c>
      <c r="D43" s="9">
        <v>2022</v>
      </c>
      <c r="E43" s="9">
        <v>5392</v>
      </c>
      <c r="F43" s="9">
        <v>0</v>
      </c>
      <c r="G43" s="9">
        <v>207.44500000000002</v>
      </c>
      <c r="H43" s="9">
        <v>200.47800000000001</v>
      </c>
      <c r="I43" s="9">
        <v>200.47800000000001</v>
      </c>
      <c r="J43" s="9">
        <v>207.44500000000002</v>
      </c>
      <c r="K43" s="9">
        <v>0</v>
      </c>
      <c r="L43" s="9">
        <v>6554</v>
      </c>
      <c r="M43" s="9">
        <v>0</v>
      </c>
      <c r="N43" s="9">
        <v>0</v>
      </c>
      <c r="O43" s="9">
        <v>0</v>
      </c>
      <c r="P43" s="9">
        <v>210.572</v>
      </c>
      <c r="Q43" s="9">
        <v>0</v>
      </c>
      <c r="R43" s="9">
        <v>67323</v>
      </c>
      <c r="S43" s="9">
        <v>319.71300000000002</v>
      </c>
      <c r="T43" s="9">
        <v>0</v>
      </c>
      <c r="U43" s="9">
        <v>67323</v>
      </c>
      <c r="V43" s="9">
        <v>80.608000000000004</v>
      </c>
      <c r="W43" s="9">
        <v>52830</v>
      </c>
      <c r="X43" s="9">
        <v>52830</v>
      </c>
      <c r="Y43" s="9">
        <v>0</v>
      </c>
      <c r="Z43" s="9">
        <v>0</v>
      </c>
      <c r="AA43" s="9">
        <v>1</v>
      </c>
      <c r="AB43" s="9">
        <v>1</v>
      </c>
      <c r="AC43" s="9">
        <v>0</v>
      </c>
      <c r="AD43" s="9" t="s">
        <v>314</v>
      </c>
      <c r="AE43" s="9">
        <v>0</v>
      </c>
      <c r="AF43" s="9">
        <v>0</v>
      </c>
      <c r="AG43" s="9">
        <v>0</v>
      </c>
      <c r="AH43" s="9">
        <v>0</v>
      </c>
      <c r="AI43" s="9">
        <v>0</v>
      </c>
      <c r="AJ43" s="9">
        <v>5104</v>
      </c>
      <c r="AK43" s="9" t="s">
        <v>651</v>
      </c>
      <c r="AL43" s="9" t="s">
        <v>323</v>
      </c>
      <c r="AM43" s="9">
        <v>0</v>
      </c>
      <c r="AN43" s="9">
        <v>0</v>
      </c>
      <c r="AO43" s="9">
        <v>0</v>
      </c>
      <c r="AP43" s="9">
        <v>0</v>
      </c>
      <c r="AQ43" s="9">
        <v>0</v>
      </c>
      <c r="AR43" s="9">
        <v>0</v>
      </c>
      <c r="AS43" s="9">
        <v>0</v>
      </c>
      <c r="AT43" s="9">
        <v>0</v>
      </c>
      <c r="AU43" s="9">
        <v>0</v>
      </c>
      <c r="AV43" s="9">
        <v>19564</v>
      </c>
      <c r="AW43" s="9">
        <v>2077530</v>
      </c>
      <c r="AX43" s="9">
        <v>2077530</v>
      </c>
      <c r="AY43" s="9">
        <v>2172562</v>
      </c>
      <c r="AZ43" s="9">
        <v>67323</v>
      </c>
      <c r="BA43" s="9">
        <v>0</v>
      </c>
      <c r="BB43" s="9">
        <v>0</v>
      </c>
      <c r="BC43" s="9">
        <v>0</v>
      </c>
      <c r="BD43" s="9">
        <v>0</v>
      </c>
      <c r="BE43" s="9">
        <v>0</v>
      </c>
      <c r="BF43" s="9">
        <v>1766758</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210.572</v>
      </c>
      <c r="CS43" s="9">
        <v>0</v>
      </c>
      <c r="CT43" s="9">
        <v>0</v>
      </c>
      <c r="CU43" s="9">
        <v>0</v>
      </c>
      <c r="CV43" s="9">
        <v>0</v>
      </c>
      <c r="CW43" s="9">
        <v>0</v>
      </c>
      <c r="CX43" s="9">
        <v>0</v>
      </c>
      <c r="CY43" s="9">
        <v>0</v>
      </c>
      <c r="CZ43" s="9">
        <v>0</v>
      </c>
      <c r="DA43" s="9">
        <v>1</v>
      </c>
      <c r="DB43" s="9">
        <v>1313933</v>
      </c>
      <c r="DC43" s="9">
        <v>0</v>
      </c>
      <c r="DD43" s="9">
        <v>0</v>
      </c>
      <c r="DE43" s="9">
        <v>299741</v>
      </c>
      <c r="DF43" s="9">
        <v>299741</v>
      </c>
      <c r="DG43" s="9">
        <v>228.67000000000002</v>
      </c>
      <c r="DH43" s="9">
        <v>0</v>
      </c>
      <c r="DI43" s="9">
        <v>0</v>
      </c>
      <c r="DJ43" s="9">
        <v>0</v>
      </c>
      <c r="DK43" s="9">
        <v>5392</v>
      </c>
      <c r="DL43" s="9">
        <v>0</v>
      </c>
      <c r="DM43" s="9">
        <v>148762</v>
      </c>
      <c r="DN43" s="9">
        <v>0</v>
      </c>
      <c r="DO43" s="9">
        <v>0</v>
      </c>
      <c r="DP43" s="9">
        <v>0</v>
      </c>
      <c r="DQ43" s="9">
        <v>0</v>
      </c>
      <c r="DR43" s="9">
        <v>0</v>
      </c>
      <c r="DS43" s="9">
        <v>0</v>
      </c>
      <c r="DT43" s="9">
        <v>0</v>
      </c>
      <c r="DU43" s="9">
        <v>0</v>
      </c>
      <c r="DV43" s="9">
        <v>0</v>
      </c>
      <c r="DW43" s="9">
        <v>0</v>
      </c>
      <c r="DX43" s="9">
        <v>0</v>
      </c>
      <c r="DY43" s="9">
        <v>0</v>
      </c>
      <c r="DZ43" s="9">
        <v>0</v>
      </c>
      <c r="EA43" s="9">
        <v>0</v>
      </c>
      <c r="EB43" s="9">
        <v>0</v>
      </c>
      <c r="EC43" s="9">
        <v>0.20800000000000002</v>
      </c>
      <c r="ED43" s="9">
        <v>1500</v>
      </c>
      <c r="EE43" s="9">
        <v>0</v>
      </c>
      <c r="EF43" s="9">
        <v>0</v>
      </c>
      <c r="EG43" s="9">
        <v>0</v>
      </c>
      <c r="EH43" s="9">
        <v>147262</v>
      </c>
      <c r="EI43" s="9">
        <v>0</v>
      </c>
      <c r="EJ43" s="9">
        <v>0</v>
      </c>
      <c r="EK43" s="9">
        <v>6.1830000000000007</v>
      </c>
      <c r="EL43" s="9">
        <v>0</v>
      </c>
      <c r="EM43" s="9">
        <v>0</v>
      </c>
      <c r="EN43" s="9">
        <v>0.78400000000000003</v>
      </c>
      <c r="EO43" s="9">
        <v>0</v>
      </c>
      <c r="EP43" s="9">
        <v>0</v>
      </c>
      <c r="EQ43" s="9">
        <v>6.9670000000000005</v>
      </c>
      <c r="ER43" s="9">
        <v>0</v>
      </c>
      <c r="ES43" s="9">
        <v>22.469000000000001</v>
      </c>
      <c r="ET43" s="9">
        <v>0</v>
      </c>
      <c r="EU43" s="9">
        <v>67323</v>
      </c>
      <c r="EV43" s="9">
        <v>0</v>
      </c>
      <c r="EW43" s="9">
        <v>0</v>
      </c>
      <c r="EX43" s="9">
        <v>0</v>
      </c>
      <c r="EY43" s="9">
        <v>0</v>
      </c>
      <c r="EZ43" s="9">
        <v>1747943</v>
      </c>
      <c r="FA43" s="9">
        <v>0</v>
      </c>
      <c r="FB43" s="9">
        <v>1815266</v>
      </c>
      <c r="FC43" s="9">
        <v>0.97327799999999998</v>
      </c>
      <c r="FD43" s="9">
        <v>0</v>
      </c>
      <c r="FE43" s="9">
        <v>268974</v>
      </c>
      <c r="FF43" s="9">
        <v>60613</v>
      </c>
      <c r="FG43" s="9">
        <v>6.1239999999999996E-2</v>
      </c>
      <c r="FH43" s="9">
        <v>5.4803999999999999E-2</v>
      </c>
      <c r="FI43" s="9">
        <v>0</v>
      </c>
      <c r="FJ43" s="9">
        <v>0</v>
      </c>
      <c r="FK43" s="9">
        <v>346.16300000000001</v>
      </c>
      <c r="FL43" s="9">
        <v>2144853</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2144853</v>
      </c>
      <c r="GQ43" s="9">
        <v>2144853</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32469</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row>
    <row r="44" spans="1:292" x14ac:dyDescent="0.25">
      <c r="A44" s="9">
        <v>57806</v>
      </c>
      <c r="B44" s="9">
        <v>32570</v>
      </c>
      <c r="C44" s="9">
        <v>35</v>
      </c>
      <c r="D44" s="9">
        <v>2022</v>
      </c>
      <c r="E44" s="9">
        <v>5392</v>
      </c>
      <c r="F44" s="9">
        <v>0</v>
      </c>
      <c r="G44" s="9">
        <v>1204.1960000000001</v>
      </c>
      <c r="H44" s="9">
        <v>1141.5720000000001</v>
      </c>
      <c r="I44" s="9">
        <v>1141.5720000000001</v>
      </c>
      <c r="J44" s="9">
        <v>1204.1960000000001</v>
      </c>
      <c r="K44" s="9">
        <v>0</v>
      </c>
      <c r="L44" s="9">
        <v>6554</v>
      </c>
      <c r="M44" s="9">
        <v>0</v>
      </c>
      <c r="N44" s="9">
        <v>0</v>
      </c>
      <c r="O44" s="9">
        <v>0</v>
      </c>
      <c r="P44" s="9">
        <v>1454.258</v>
      </c>
      <c r="Q44" s="9">
        <v>0</v>
      </c>
      <c r="R44" s="9">
        <v>464945</v>
      </c>
      <c r="S44" s="9">
        <v>319.71300000000002</v>
      </c>
      <c r="T44" s="9">
        <v>0</v>
      </c>
      <c r="U44" s="9">
        <v>464945</v>
      </c>
      <c r="V44" s="9">
        <v>261.774</v>
      </c>
      <c r="W44" s="9">
        <v>171567</v>
      </c>
      <c r="X44" s="9">
        <v>171567</v>
      </c>
      <c r="Y44" s="9">
        <v>0</v>
      </c>
      <c r="Z44" s="9">
        <v>0</v>
      </c>
      <c r="AA44" s="9">
        <v>1</v>
      </c>
      <c r="AB44" s="9">
        <v>1</v>
      </c>
      <c r="AC44" s="9">
        <v>0</v>
      </c>
      <c r="AD44" s="9" t="s">
        <v>314</v>
      </c>
      <c r="AE44" s="9">
        <v>0</v>
      </c>
      <c r="AF44" s="9">
        <v>0</v>
      </c>
      <c r="AG44" s="9">
        <v>0</v>
      </c>
      <c r="AH44" s="9">
        <v>0</v>
      </c>
      <c r="AI44" s="9">
        <v>0</v>
      </c>
      <c r="AJ44" s="9">
        <v>5104</v>
      </c>
      <c r="AK44" s="9" t="s">
        <v>651</v>
      </c>
      <c r="AL44" s="9" t="s">
        <v>324</v>
      </c>
      <c r="AM44" s="9">
        <v>0</v>
      </c>
      <c r="AN44" s="9">
        <v>0</v>
      </c>
      <c r="AO44" s="9">
        <v>0</v>
      </c>
      <c r="AP44" s="9">
        <v>0</v>
      </c>
      <c r="AQ44" s="9">
        <v>0</v>
      </c>
      <c r="AR44" s="9">
        <v>0</v>
      </c>
      <c r="AS44" s="9">
        <v>0</v>
      </c>
      <c r="AT44" s="9">
        <v>0</v>
      </c>
      <c r="AU44" s="9">
        <v>0</v>
      </c>
      <c r="AV44" s="9">
        <v>953544</v>
      </c>
      <c r="AW44" s="9">
        <v>12052465</v>
      </c>
      <c r="AX44" s="9">
        <v>11747624</v>
      </c>
      <c r="AY44" s="9">
        <v>13036475</v>
      </c>
      <c r="AZ44" s="9">
        <v>512133</v>
      </c>
      <c r="BA44" s="9">
        <v>40.582999999999998</v>
      </c>
      <c r="BB44" s="9">
        <v>23035</v>
      </c>
      <c r="BC44" s="9">
        <v>23035</v>
      </c>
      <c r="BD44" s="9">
        <v>29.289000000000001</v>
      </c>
      <c r="BE44" s="9">
        <v>0</v>
      </c>
      <c r="BF44" s="9">
        <v>10059730</v>
      </c>
      <c r="BG44" s="9">
        <v>0</v>
      </c>
      <c r="BH44" s="9">
        <v>171.59300000000002</v>
      </c>
      <c r="BI44" s="9">
        <v>47188</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257653</v>
      </c>
      <c r="CI44" s="9">
        <v>0</v>
      </c>
      <c r="CJ44" s="9">
        <v>4</v>
      </c>
      <c r="CK44" s="9">
        <v>0</v>
      </c>
      <c r="CL44" s="9">
        <v>0</v>
      </c>
      <c r="CM44" s="9">
        <v>0</v>
      </c>
      <c r="CN44" s="9">
        <v>0</v>
      </c>
      <c r="CO44" s="9">
        <v>0</v>
      </c>
      <c r="CP44" s="9">
        <v>0</v>
      </c>
      <c r="CQ44" s="9">
        <v>0.16700000000000001</v>
      </c>
      <c r="CR44" s="9">
        <v>1454.258</v>
      </c>
      <c r="CS44" s="9">
        <v>0</v>
      </c>
      <c r="CT44" s="9">
        <v>0</v>
      </c>
      <c r="CU44" s="9">
        <v>0</v>
      </c>
      <c r="CV44" s="9">
        <v>0</v>
      </c>
      <c r="CW44" s="9">
        <v>0</v>
      </c>
      <c r="CX44" s="9">
        <v>0</v>
      </c>
      <c r="CY44" s="9">
        <v>0</v>
      </c>
      <c r="CZ44" s="9">
        <v>0</v>
      </c>
      <c r="DA44" s="9">
        <v>1</v>
      </c>
      <c r="DB44" s="9">
        <v>7481863</v>
      </c>
      <c r="DC44" s="9">
        <v>0</v>
      </c>
      <c r="DD44" s="9">
        <v>0</v>
      </c>
      <c r="DE44" s="9">
        <v>1683067</v>
      </c>
      <c r="DF44" s="9">
        <v>1683067</v>
      </c>
      <c r="DG44" s="9">
        <v>1284</v>
      </c>
      <c r="DH44" s="9">
        <v>0</v>
      </c>
      <c r="DI44" s="9">
        <v>0</v>
      </c>
      <c r="DJ44" s="9">
        <v>0</v>
      </c>
      <c r="DK44" s="9">
        <v>5392</v>
      </c>
      <c r="DL44" s="9">
        <v>0</v>
      </c>
      <c r="DM44" s="9">
        <v>569761</v>
      </c>
      <c r="DN44" s="9">
        <v>0</v>
      </c>
      <c r="DO44" s="9">
        <v>0</v>
      </c>
      <c r="DP44" s="9">
        <v>0</v>
      </c>
      <c r="DQ44" s="9">
        <v>0</v>
      </c>
      <c r="DR44" s="9">
        <v>0</v>
      </c>
      <c r="DS44" s="9">
        <v>0</v>
      </c>
      <c r="DT44" s="9">
        <v>0</v>
      </c>
      <c r="DU44" s="9">
        <v>0</v>
      </c>
      <c r="DV44" s="9">
        <v>0</v>
      </c>
      <c r="DW44" s="9">
        <v>0</v>
      </c>
      <c r="DX44" s="9">
        <v>0</v>
      </c>
      <c r="DY44" s="9">
        <v>0</v>
      </c>
      <c r="DZ44" s="9">
        <v>0</v>
      </c>
      <c r="EA44" s="9">
        <v>0</v>
      </c>
      <c r="EB44" s="9">
        <v>0</v>
      </c>
      <c r="EC44" s="9">
        <v>30.743000000000002</v>
      </c>
      <c r="ED44" s="9">
        <v>221639</v>
      </c>
      <c r="EE44" s="9">
        <v>0</v>
      </c>
      <c r="EF44" s="9">
        <v>0</v>
      </c>
      <c r="EG44" s="9">
        <v>0</v>
      </c>
      <c r="EH44" s="9">
        <v>348122</v>
      </c>
      <c r="EI44" s="9">
        <v>0</v>
      </c>
      <c r="EJ44" s="9">
        <v>0</v>
      </c>
      <c r="EK44" s="9">
        <v>15.237</v>
      </c>
      <c r="EL44" s="9">
        <v>0</v>
      </c>
      <c r="EM44" s="9">
        <v>0</v>
      </c>
      <c r="EN44" s="9">
        <v>1.4810000000000001</v>
      </c>
      <c r="EO44" s="9">
        <v>0</v>
      </c>
      <c r="EP44" s="9">
        <v>0</v>
      </c>
      <c r="EQ44" s="9">
        <v>16.718</v>
      </c>
      <c r="ER44" s="9">
        <v>0</v>
      </c>
      <c r="ES44" s="9">
        <v>53.116</v>
      </c>
      <c r="ET44" s="9">
        <v>20333</v>
      </c>
      <c r="EU44" s="9">
        <v>512133</v>
      </c>
      <c r="EV44" s="9">
        <v>0</v>
      </c>
      <c r="EW44" s="9">
        <v>0</v>
      </c>
      <c r="EX44" s="9">
        <v>0</v>
      </c>
      <c r="EY44" s="9">
        <v>0</v>
      </c>
      <c r="EZ44" s="9">
        <v>9870987</v>
      </c>
      <c r="FA44" s="9">
        <v>0</v>
      </c>
      <c r="FB44" s="9">
        <v>10383120</v>
      </c>
      <c r="FC44" s="9">
        <v>0.97327799999999998</v>
      </c>
      <c r="FD44" s="9">
        <v>0</v>
      </c>
      <c r="FE44" s="9">
        <v>1531513</v>
      </c>
      <c r="FF44" s="9">
        <v>345124</v>
      </c>
      <c r="FG44" s="9">
        <v>6.1239999999999996E-2</v>
      </c>
      <c r="FH44" s="9">
        <v>5.4803999999999999E-2</v>
      </c>
      <c r="FI44" s="9">
        <v>0</v>
      </c>
      <c r="FJ44" s="9">
        <v>0</v>
      </c>
      <c r="FK44" s="9">
        <v>1971.018</v>
      </c>
      <c r="FL44" s="9">
        <v>12517410</v>
      </c>
      <c r="FM44" s="9">
        <v>0</v>
      </c>
      <c r="FN44" s="9">
        <v>0</v>
      </c>
      <c r="FO44" s="9">
        <v>0</v>
      </c>
      <c r="FP44" s="9">
        <v>0</v>
      </c>
      <c r="FQ44" s="9">
        <v>0</v>
      </c>
      <c r="FR44" s="9">
        <v>0</v>
      </c>
      <c r="FS44" s="9">
        <v>0</v>
      </c>
      <c r="FT44" s="9">
        <v>0</v>
      </c>
      <c r="FU44" s="9">
        <v>0</v>
      </c>
      <c r="FV44" s="9">
        <v>0</v>
      </c>
      <c r="FW44" s="9">
        <v>0</v>
      </c>
      <c r="FX44" s="9">
        <v>0</v>
      </c>
      <c r="FY44" s="9">
        <v>0</v>
      </c>
      <c r="FZ44" s="9">
        <v>468</v>
      </c>
      <c r="GA44" s="9">
        <v>9.3559999999999999</v>
      </c>
      <c r="GB44" s="9">
        <v>406639</v>
      </c>
      <c r="GC44" s="9">
        <v>406639</v>
      </c>
      <c r="GD44" s="9">
        <v>45.905999999999999</v>
      </c>
      <c r="GE44" s="9">
        <v>0</v>
      </c>
      <c r="GF44" s="9">
        <v>0</v>
      </c>
      <c r="GG44" s="9">
        <v>0</v>
      </c>
      <c r="GH44" s="9">
        <v>0</v>
      </c>
      <c r="GI44" s="9">
        <v>0</v>
      </c>
      <c r="GJ44" s="9">
        <v>0</v>
      </c>
      <c r="GK44" s="9">
        <v>5150</v>
      </c>
      <c r="GL44" s="9">
        <v>45560</v>
      </c>
      <c r="GM44" s="9">
        <v>0</v>
      </c>
      <c r="GN44" s="9">
        <v>0</v>
      </c>
      <c r="GO44" s="9">
        <v>0</v>
      </c>
      <c r="GP44" s="9">
        <v>12259757</v>
      </c>
      <c r="GQ44" s="9">
        <v>12259757</v>
      </c>
      <c r="GR44" s="9">
        <v>0</v>
      </c>
      <c r="GS44" s="9">
        <v>0</v>
      </c>
      <c r="GT44" s="9">
        <v>0</v>
      </c>
      <c r="GU44" s="9">
        <v>0</v>
      </c>
      <c r="GV44" s="9">
        <v>0</v>
      </c>
      <c r="GW44" s="9">
        <v>0</v>
      </c>
      <c r="GX44" s="9">
        <v>0</v>
      </c>
      <c r="GY44" s="9">
        <v>0</v>
      </c>
      <c r="GZ44" s="9">
        <v>0</v>
      </c>
      <c r="HA44" s="9">
        <v>0</v>
      </c>
      <c r="HB44" s="9">
        <v>260786259</v>
      </c>
      <c r="HC44" s="9">
        <v>5.0923999999999997E-2</v>
      </c>
      <c r="HD44" s="9">
        <v>237320</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32469</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row>
    <row r="45" spans="1:292" x14ac:dyDescent="0.25">
      <c r="A45" s="9">
        <v>57807</v>
      </c>
      <c r="B45" s="9">
        <v>32570</v>
      </c>
      <c r="C45" s="9">
        <v>35</v>
      </c>
      <c r="D45" s="9">
        <v>2022</v>
      </c>
      <c r="E45" s="9">
        <v>5392</v>
      </c>
      <c r="F45" s="9">
        <v>0</v>
      </c>
      <c r="G45" s="9">
        <v>5301.4949999999999</v>
      </c>
      <c r="H45" s="9">
        <v>4741.1390000000001</v>
      </c>
      <c r="I45" s="9">
        <v>4741.1390000000001</v>
      </c>
      <c r="J45" s="9">
        <v>5301.4949999999999</v>
      </c>
      <c r="K45" s="9">
        <v>0</v>
      </c>
      <c r="L45" s="9">
        <v>6554</v>
      </c>
      <c r="M45" s="9">
        <v>0</v>
      </c>
      <c r="N45" s="9">
        <v>0</v>
      </c>
      <c r="O45" s="9">
        <v>0</v>
      </c>
      <c r="P45" s="9">
        <v>5425.4290000000001</v>
      </c>
      <c r="Q45" s="9">
        <v>0</v>
      </c>
      <c r="R45" s="9">
        <v>1734580</v>
      </c>
      <c r="S45" s="9">
        <v>319.71300000000002</v>
      </c>
      <c r="T45" s="9">
        <v>0</v>
      </c>
      <c r="U45" s="9">
        <v>1734580</v>
      </c>
      <c r="V45" s="9">
        <v>481.99800000000005</v>
      </c>
      <c r="W45" s="9">
        <v>315901</v>
      </c>
      <c r="X45" s="9">
        <v>315901</v>
      </c>
      <c r="Y45" s="9">
        <v>0</v>
      </c>
      <c r="Z45" s="9">
        <v>0</v>
      </c>
      <c r="AA45" s="9">
        <v>1</v>
      </c>
      <c r="AB45" s="9">
        <v>1</v>
      </c>
      <c r="AC45" s="9">
        <v>0</v>
      </c>
      <c r="AD45" s="9" t="s">
        <v>314</v>
      </c>
      <c r="AE45" s="9">
        <v>0</v>
      </c>
      <c r="AF45" s="9">
        <v>0</v>
      </c>
      <c r="AG45" s="9">
        <v>0</v>
      </c>
      <c r="AH45" s="9">
        <v>0</v>
      </c>
      <c r="AI45" s="9">
        <v>0</v>
      </c>
      <c r="AJ45" s="9">
        <v>5104</v>
      </c>
      <c r="AK45" s="9" t="s">
        <v>651</v>
      </c>
      <c r="AL45" s="9" t="s">
        <v>18</v>
      </c>
      <c r="AM45" s="9">
        <v>0</v>
      </c>
      <c r="AN45" s="9">
        <v>0</v>
      </c>
      <c r="AO45" s="9">
        <v>0</v>
      </c>
      <c r="AP45" s="9">
        <v>0</v>
      </c>
      <c r="AQ45" s="9">
        <v>0</v>
      </c>
      <c r="AR45" s="9">
        <v>0</v>
      </c>
      <c r="AS45" s="9">
        <v>0</v>
      </c>
      <c r="AT45" s="9">
        <v>0</v>
      </c>
      <c r="AU45" s="9">
        <v>0</v>
      </c>
      <c r="AV45" s="9">
        <v>1149761</v>
      </c>
      <c r="AW45" s="9">
        <v>52320506</v>
      </c>
      <c r="AX45" s="9">
        <v>50833917</v>
      </c>
      <c r="AY45" s="9">
        <v>54311813</v>
      </c>
      <c r="AZ45" s="9">
        <v>2176362</v>
      </c>
      <c r="BA45" s="9">
        <v>0</v>
      </c>
      <c r="BB45" s="9">
        <v>208476</v>
      </c>
      <c r="BC45" s="9">
        <v>208476</v>
      </c>
      <c r="BD45" s="9">
        <v>265.07499999999999</v>
      </c>
      <c r="BE45" s="9">
        <v>0</v>
      </c>
      <c r="BF45" s="9">
        <v>43301690</v>
      </c>
      <c r="BG45" s="9">
        <v>0</v>
      </c>
      <c r="BH45" s="9">
        <v>1351.2760000000001</v>
      </c>
      <c r="BI45" s="9">
        <v>371601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183.596</v>
      </c>
      <c r="CB45" s="9">
        <v>70181</v>
      </c>
      <c r="CC45" s="9">
        <v>0</v>
      </c>
      <c r="CD45" s="9">
        <v>0</v>
      </c>
      <c r="CE45" s="9">
        <v>0</v>
      </c>
      <c r="CF45" s="9">
        <v>0</v>
      </c>
      <c r="CG45" s="9">
        <v>0</v>
      </c>
      <c r="CH45" s="9">
        <v>1044807</v>
      </c>
      <c r="CI45" s="9">
        <v>0</v>
      </c>
      <c r="CJ45" s="9">
        <v>4</v>
      </c>
      <c r="CK45" s="9">
        <v>0</v>
      </c>
      <c r="CL45" s="9">
        <v>0</v>
      </c>
      <c r="CM45" s="9">
        <v>0</v>
      </c>
      <c r="CN45" s="9">
        <v>0</v>
      </c>
      <c r="CO45" s="9">
        <v>0</v>
      </c>
      <c r="CP45" s="9">
        <v>0</v>
      </c>
      <c r="CQ45" s="9">
        <v>0</v>
      </c>
      <c r="CR45" s="9">
        <v>5425.4290000000001</v>
      </c>
      <c r="CS45" s="9">
        <v>0</v>
      </c>
      <c r="CT45" s="9">
        <v>0</v>
      </c>
      <c r="CU45" s="9">
        <v>0</v>
      </c>
      <c r="CV45" s="9">
        <v>0</v>
      </c>
      <c r="CW45" s="9">
        <v>0</v>
      </c>
      <c r="CX45" s="9">
        <v>0</v>
      </c>
      <c r="CY45" s="9">
        <v>0</v>
      </c>
      <c r="CZ45" s="9">
        <v>0</v>
      </c>
      <c r="DA45" s="9">
        <v>1</v>
      </c>
      <c r="DB45" s="9">
        <v>31073425</v>
      </c>
      <c r="DC45" s="9">
        <v>0</v>
      </c>
      <c r="DD45" s="9">
        <v>0</v>
      </c>
      <c r="DE45" s="9">
        <v>4749251</v>
      </c>
      <c r="DF45" s="9">
        <v>4749251</v>
      </c>
      <c r="DG45" s="9">
        <v>3623.17</v>
      </c>
      <c r="DH45" s="9">
        <v>0</v>
      </c>
      <c r="DI45" s="9">
        <v>0</v>
      </c>
      <c r="DJ45" s="9">
        <v>0</v>
      </c>
      <c r="DK45" s="9">
        <v>5392</v>
      </c>
      <c r="DL45" s="9">
        <v>0</v>
      </c>
      <c r="DM45" s="9">
        <v>4650748</v>
      </c>
      <c r="DN45" s="9">
        <v>0</v>
      </c>
      <c r="DO45" s="9">
        <v>0</v>
      </c>
      <c r="DP45" s="9">
        <v>0</v>
      </c>
      <c r="DQ45" s="9">
        <v>0</v>
      </c>
      <c r="DR45" s="9">
        <v>0</v>
      </c>
      <c r="DS45" s="9">
        <v>0</v>
      </c>
      <c r="DT45" s="9">
        <v>0</v>
      </c>
      <c r="DU45" s="9">
        <v>0</v>
      </c>
      <c r="DV45" s="9">
        <v>0</v>
      </c>
      <c r="DW45" s="9">
        <v>0</v>
      </c>
      <c r="DX45" s="9">
        <v>0</v>
      </c>
      <c r="DY45" s="9">
        <v>0</v>
      </c>
      <c r="DZ45" s="9">
        <v>0</v>
      </c>
      <c r="EA45" s="9">
        <v>0</v>
      </c>
      <c r="EB45" s="9">
        <v>0</v>
      </c>
      <c r="EC45" s="9">
        <v>173.39400000000001</v>
      </c>
      <c r="ED45" s="9">
        <v>1250067</v>
      </c>
      <c r="EE45" s="9">
        <v>0</v>
      </c>
      <c r="EF45" s="9">
        <v>0</v>
      </c>
      <c r="EG45" s="9">
        <v>0</v>
      </c>
      <c r="EH45" s="9">
        <v>3400681</v>
      </c>
      <c r="EI45" s="9">
        <v>0</v>
      </c>
      <c r="EJ45" s="9">
        <v>0</v>
      </c>
      <c r="EK45" s="9">
        <v>122.167</v>
      </c>
      <c r="EL45" s="9">
        <v>0</v>
      </c>
      <c r="EM45" s="9">
        <v>33.245000000000005</v>
      </c>
      <c r="EN45" s="9">
        <v>10.527000000000001</v>
      </c>
      <c r="EO45" s="9">
        <v>0</v>
      </c>
      <c r="EP45" s="9">
        <v>0</v>
      </c>
      <c r="EQ45" s="9">
        <v>165.93900000000002</v>
      </c>
      <c r="ER45" s="9">
        <v>0</v>
      </c>
      <c r="ES45" s="9">
        <v>518.87099999999998</v>
      </c>
      <c r="ET45" s="9">
        <v>0</v>
      </c>
      <c r="EU45" s="9">
        <v>2176362</v>
      </c>
      <c r="EV45" s="9">
        <v>0</v>
      </c>
      <c r="EW45" s="9">
        <v>0</v>
      </c>
      <c r="EX45" s="9">
        <v>0</v>
      </c>
      <c r="EY45" s="9">
        <v>0</v>
      </c>
      <c r="EZ45" s="9">
        <v>42756009</v>
      </c>
      <c r="FA45" s="9">
        <v>0</v>
      </c>
      <c r="FB45" s="9">
        <v>44932371</v>
      </c>
      <c r="FC45" s="9">
        <v>0.97327799999999998</v>
      </c>
      <c r="FD45" s="9">
        <v>0</v>
      </c>
      <c r="FE45" s="9">
        <v>6592335</v>
      </c>
      <c r="FF45" s="9">
        <v>1485573</v>
      </c>
      <c r="FG45" s="9">
        <v>6.1239999999999996E-2</v>
      </c>
      <c r="FH45" s="9">
        <v>5.4803999999999999E-2</v>
      </c>
      <c r="FI45" s="9">
        <v>0</v>
      </c>
      <c r="FJ45" s="9">
        <v>0</v>
      </c>
      <c r="FK45" s="9">
        <v>8484.1650000000009</v>
      </c>
      <c r="FL45" s="9">
        <v>54055086</v>
      </c>
      <c r="FM45" s="9">
        <v>0</v>
      </c>
      <c r="FN45" s="9">
        <v>0</v>
      </c>
      <c r="FO45" s="9">
        <v>0</v>
      </c>
      <c r="FP45" s="9">
        <v>0</v>
      </c>
      <c r="FQ45" s="9">
        <v>0</v>
      </c>
      <c r="FR45" s="9">
        <v>0</v>
      </c>
      <c r="FS45" s="9">
        <v>0</v>
      </c>
      <c r="FT45" s="9">
        <v>0</v>
      </c>
      <c r="FU45" s="9">
        <v>0</v>
      </c>
      <c r="FV45" s="9">
        <v>0</v>
      </c>
      <c r="FW45" s="9">
        <v>0</v>
      </c>
      <c r="FX45" s="9">
        <v>0</v>
      </c>
      <c r="FY45" s="9">
        <v>0</v>
      </c>
      <c r="FZ45" s="9">
        <v>3025</v>
      </c>
      <c r="GA45" s="9">
        <v>60.508000000000003</v>
      </c>
      <c r="GB45" s="9">
        <v>3492788</v>
      </c>
      <c r="GC45" s="9">
        <v>3492788</v>
      </c>
      <c r="GD45" s="9">
        <v>394.41700000000003</v>
      </c>
      <c r="GE45" s="9">
        <v>0</v>
      </c>
      <c r="GF45" s="9">
        <v>0</v>
      </c>
      <c r="GG45" s="9">
        <v>0</v>
      </c>
      <c r="GH45" s="9">
        <v>0</v>
      </c>
      <c r="GI45" s="9">
        <v>0</v>
      </c>
      <c r="GJ45" s="9">
        <v>0</v>
      </c>
      <c r="GK45" s="9">
        <v>5113</v>
      </c>
      <c r="GL45" s="9">
        <v>97141</v>
      </c>
      <c r="GM45" s="9">
        <v>0</v>
      </c>
      <c r="GN45" s="9">
        <v>0</v>
      </c>
      <c r="GO45" s="9">
        <v>0</v>
      </c>
      <c r="GP45" s="9">
        <v>53010279</v>
      </c>
      <c r="GQ45" s="9">
        <v>53010279</v>
      </c>
      <c r="GR45" s="9">
        <v>0</v>
      </c>
      <c r="GS45" s="9">
        <v>0</v>
      </c>
      <c r="GT45" s="9">
        <v>0</v>
      </c>
      <c r="GU45" s="9">
        <v>0</v>
      </c>
      <c r="GV45" s="9">
        <v>0</v>
      </c>
      <c r="GW45" s="9">
        <v>0</v>
      </c>
      <c r="GX45" s="9">
        <v>0</v>
      </c>
      <c r="GY45" s="9">
        <v>0</v>
      </c>
      <c r="GZ45" s="9">
        <v>0</v>
      </c>
      <c r="HA45" s="9">
        <v>0</v>
      </c>
      <c r="HB45" s="9">
        <v>260786259</v>
      </c>
      <c r="HC45" s="9">
        <v>5.0923999999999997E-2</v>
      </c>
      <c r="HD45" s="9">
        <v>1044807</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32469</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row>
    <row r="46" spans="1:292" x14ac:dyDescent="0.25">
      <c r="A46" s="9">
        <v>57808</v>
      </c>
      <c r="B46" s="9">
        <v>32570</v>
      </c>
      <c r="C46" s="9">
        <v>35</v>
      </c>
      <c r="D46" s="9">
        <v>2022</v>
      </c>
      <c r="E46" s="9">
        <v>5392</v>
      </c>
      <c r="F46" s="9">
        <v>0</v>
      </c>
      <c r="G46" s="9">
        <v>2001.82</v>
      </c>
      <c r="H46" s="9">
        <v>1978.201</v>
      </c>
      <c r="I46" s="9">
        <v>1978.201</v>
      </c>
      <c r="J46" s="9">
        <v>2001.82</v>
      </c>
      <c r="K46" s="9">
        <v>0</v>
      </c>
      <c r="L46" s="9">
        <v>6554</v>
      </c>
      <c r="M46" s="9">
        <v>0</v>
      </c>
      <c r="N46" s="9">
        <v>0</v>
      </c>
      <c r="O46" s="9">
        <v>0</v>
      </c>
      <c r="P46" s="9">
        <v>1910.5690000000002</v>
      </c>
      <c r="Q46" s="9">
        <v>0</v>
      </c>
      <c r="R46" s="9">
        <v>610834</v>
      </c>
      <c r="S46" s="9">
        <v>319.71300000000002</v>
      </c>
      <c r="T46" s="9">
        <v>0</v>
      </c>
      <c r="U46" s="9">
        <v>610834</v>
      </c>
      <c r="V46" s="9">
        <v>609.029</v>
      </c>
      <c r="W46" s="9">
        <v>399158</v>
      </c>
      <c r="X46" s="9">
        <v>399158</v>
      </c>
      <c r="Y46" s="9">
        <v>0</v>
      </c>
      <c r="Z46" s="9">
        <v>0</v>
      </c>
      <c r="AA46" s="9">
        <v>1</v>
      </c>
      <c r="AB46" s="9">
        <v>1</v>
      </c>
      <c r="AC46" s="9">
        <v>0</v>
      </c>
      <c r="AD46" s="9" t="s">
        <v>314</v>
      </c>
      <c r="AE46" s="9">
        <v>0</v>
      </c>
      <c r="AF46" s="9">
        <v>0</v>
      </c>
      <c r="AG46" s="9">
        <v>0</v>
      </c>
      <c r="AH46" s="9">
        <v>0</v>
      </c>
      <c r="AI46" s="9">
        <v>0</v>
      </c>
      <c r="AJ46" s="9">
        <v>5104</v>
      </c>
      <c r="AK46" s="9" t="s">
        <v>651</v>
      </c>
      <c r="AL46" s="9" t="s">
        <v>42</v>
      </c>
      <c r="AM46" s="9">
        <v>0</v>
      </c>
      <c r="AN46" s="9">
        <v>0</v>
      </c>
      <c r="AO46" s="9">
        <v>0</v>
      </c>
      <c r="AP46" s="9">
        <v>0</v>
      </c>
      <c r="AQ46" s="9">
        <v>0</v>
      </c>
      <c r="AR46" s="9">
        <v>0</v>
      </c>
      <c r="AS46" s="9">
        <v>0</v>
      </c>
      <c r="AT46" s="9">
        <v>0</v>
      </c>
      <c r="AU46" s="9">
        <v>0</v>
      </c>
      <c r="AV46" s="9">
        <v>753436</v>
      </c>
      <c r="AW46" s="9">
        <v>17511192</v>
      </c>
      <c r="AX46" s="9">
        <v>17057484</v>
      </c>
      <c r="AY46" s="9">
        <v>19131512</v>
      </c>
      <c r="AZ46" s="9">
        <v>649049</v>
      </c>
      <c r="BA46" s="9">
        <v>37.25</v>
      </c>
      <c r="BB46" s="9">
        <v>78720</v>
      </c>
      <c r="BC46" s="9">
        <v>78720</v>
      </c>
      <c r="BD46" s="9">
        <v>100.09100000000001</v>
      </c>
      <c r="BE46" s="9">
        <v>0</v>
      </c>
      <c r="BF46" s="9">
        <v>14445616</v>
      </c>
      <c r="BG46" s="9">
        <v>0</v>
      </c>
      <c r="BH46" s="9">
        <v>138.964</v>
      </c>
      <c r="BI46" s="9">
        <v>38215</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9">
        <v>415493</v>
      </c>
      <c r="CI46" s="9">
        <v>0</v>
      </c>
      <c r="CJ46" s="9">
        <v>4</v>
      </c>
      <c r="CK46" s="9">
        <v>0</v>
      </c>
      <c r="CL46" s="9">
        <v>0</v>
      </c>
      <c r="CM46" s="9">
        <v>0</v>
      </c>
      <c r="CN46" s="9">
        <v>0</v>
      </c>
      <c r="CO46" s="9">
        <v>0</v>
      </c>
      <c r="CP46" s="9">
        <v>0</v>
      </c>
      <c r="CQ46" s="9">
        <v>9.4169999999999998</v>
      </c>
      <c r="CR46" s="9">
        <v>1910.5690000000002</v>
      </c>
      <c r="CS46" s="9">
        <v>0</v>
      </c>
      <c r="CT46" s="9">
        <v>0</v>
      </c>
      <c r="CU46" s="9">
        <v>0</v>
      </c>
      <c r="CV46" s="9">
        <v>0</v>
      </c>
      <c r="CW46" s="9">
        <v>0</v>
      </c>
      <c r="CX46" s="9">
        <v>0</v>
      </c>
      <c r="CY46" s="9">
        <v>0</v>
      </c>
      <c r="CZ46" s="9">
        <v>0</v>
      </c>
      <c r="DA46" s="9">
        <v>1</v>
      </c>
      <c r="DB46" s="9">
        <v>12965129</v>
      </c>
      <c r="DC46" s="9">
        <v>0</v>
      </c>
      <c r="DD46" s="9">
        <v>0</v>
      </c>
      <c r="DE46" s="9">
        <v>958195</v>
      </c>
      <c r="DF46" s="9">
        <v>958195</v>
      </c>
      <c r="DG46" s="9">
        <v>731</v>
      </c>
      <c r="DH46" s="9">
        <v>0</v>
      </c>
      <c r="DI46" s="9">
        <v>0</v>
      </c>
      <c r="DJ46" s="9">
        <v>0</v>
      </c>
      <c r="DK46" s="9">
        <v>5392</v>
      </c>
      <c r="DL46" s="9">
        <v>0</v>
      </c>
      <c r="DM46" s="9">
        <v>351648</v>
      </c>
      <c r="DN46" s="9">
        <v>0</v>
      </c>
      <c r="DO46" s="9">
        <v>0</v>
      </c>
      <c r="DP46" s="9">
        <v>0</v>
      </c>
      <c r="DQ46" s="9">
        <v>0</v>
      </c>
      <c r="DR46" s="9">
        <v>0</v>
      </c>
      <c r="DS46" s="9">
        <v>0</v>
      </c>
      <c r="DT46" s="9">
        <v>0</v>
      </c>
      <c r="DU46" s="9">
        <v>0</v>
      </c>
      <c r="DV46" s="9">
        <v>0</v>
      </c>
      <c r="DW46" s="9">
        <v>0</v>
      </c>
      <c r="DX46" s="9">
        <v>0</v>
      </c>
      <c r="DY46" s="9">
        <v>0</v>
      </c>
      <c r="DZ46" s="9">
        <v>0</v>
      </c>
      <c r="EA46" s="9">
        <v>0</v>
      </c>
      <c r="EB46" s="9">
        <v>0</v>
      </c>
      <c r="EC46" s="9">
        <v>9.7210000000000001</v>
      </c>
      <c r="ED46" s="9">
        <v>70083</v>
      </c>
      <c r="EE46" s="9">
        <v>0</v>
      </c>
      <c r="EF46" s="9">
        <v>0</v>
      </c>
      <c r="EG46" s="9">
        <v>0.65400000000000003</v>
      </c>
      <c r="EH46" s="9">
        <v>281565</v>
      </c>
      <c r="EI46" s="9">
        <v>0</v>
      </c>
      <c r="EJ46" s="9">
        <v>0</v>
      </c>
      <c r="EK46" s="9">
        <v>11.515000000000001</v>
      </c>
      <c r="EL46" s="9">
        <v>0</v>
      </c>
      <c r="EM46" s="9">
        <v>4.5000000000000005E-2</v>
      </c>
      <c r="EN46" s="9">
        <v>1.3030000000000002</v>
      </c>
      <c r="EO46" s="9">
        <v>0</v>
      </c>
      <c r="EP46" s="9">
        <v>0</v>
      </c>
      <c r="EQ46" s="9">
        <v>13.517000000000001</v>
      </c>
      <c r="ER46" s="9">
        <v>0</v>
      </c>
      <c r="ES46" s="9">
        <v>42.960999999999999</v>
      </c>
      <c r="ET46" s="9">
        <v>20979</v>
      </c>
      <c r="EU46" s="9">
        <v>649049</v>
      </c>
      <c r="EV46" s="9">
        <v>0</v>
      </c>
      <c r="EW46" s="9">
        <v>0</v>
      </c>
      <c r="EX46" s="9">
        <v>0</v>
      </c>
      <c r="EY46" s="9">
        <v>0</v>
      </c>
      <c r="EZ46" s="9">
        <v>14362662</v>
      </c>
      <c r="FA46" s="9">
        <v>0</v>
      </c>
      <c r="FB46" s="9">
        <v>15011711</v>
      </c>
      <c r="FC46" s="9">
        <v>0.97327799999999998</v>
      </c>
      <c r="FD46" s="9">
        <v>0</v>
      </c>
      <c r="FE46" s="9">
        <v>2199229</v>
      </c>
      <c r="FF46" s="9">
        <v>495593</v>
      </c>
      <c r="FG46" s="9">
        <v>6.1239999999999996E-2</v>
      </c>
      <c r="FH46" s="9">
        <v>5.4803999999999999E-2</v>
      </c>
      <c r="FI46" s="9">
        <v>0</v>
      </c>
      <c r="FJ46" s="9">
        <v>0</v>
      </c>
      <c r="FK46" s="9">
        <v>2830.3510000000001</v>
      </c>
      <c r="FL46" s="9">
        <v>18122026</v>
      </c>
      <c r="FM46" s="9">
        <v>0</v>
      </c>
      <c r="FN46" s="9">
        <v>0</v>
      </c>
      <c r="FO46" s="9">
        <v>131259</v>
      </c>
      <c r="FP46" s="9">
        <v>0</v>
      </c>
      <c r="FQ46" s="9">
        <v>131259</v>
      </c>
      <c r="FR46" s="9">
        <v>131259</v>
      </c>
      <c r="FS46" s="9">
        <v>0</v>
      </c>
      <c r="FT46" s="9">
        <v>0</v>
      </c>
      <c r="FU46" s="9">
        <v>0</v>
      </c>
      <c r="FV46" s="9">
        <v>0</v>
      </c>
      <c r="FW46" s="9">
        <v>0</v>
      </c>
      <c r="FX46" s="9">
        <v>0</v>
      </c>
      <c r="FY46" s="9">
        <v>0</v>
      </c>
      <c r="FZ46" s="9">
        <v>5</v>
      </c>
      <c r="GA46" s="9">
        <v>0.10400000000000001</v>
      </c>
      <c r="GB46" s="9">
        <v>89387</v>
      </c>
      <c r="GC46" s="9">
        <v>89387</v>
      </c>
      <c r="GD46" s="9">
        <v>10.102</v>
      </c>
      <c r="GE46" s="9">
        <v>0</v>
      </c>
      <c r="GF46" s="9">
        <v>0</v>
      </c>
      <c r="GG46" s="9">
        <v>0</v>
      </c>
      <c r="GH46" s="9">
        <v>0</v>
      </c>
      <c r="GI46" s="9">
        <v>0</v>
      </c>
      <c r="GJ46" s="9">
        <v>0</v>
      </c>
      <c r="GK46" s="9">
        <v>5260</v>
      </c>
      <c r="GL46" s="9">
        <v>42070</v>
      </c>
      <c r="GM46" s="9">
        <v>0</v>
      </c>
      <c r="GN46" s="9">
        <v>68530</v>
      </c>
      <c r="GO46" s="9">
        <v>0</v>
      </c>
      <c r="GP46" s="9">
        <v>17706533</v>
      </c>
      <c r="GQ46" s="9">
        <v>17706533</v>
      </c>
      <c r="GR46" s="9">
        <v>0</v>
      </c>
      <c r="GS46" s="9">
        <v>0</v>
      </c>
      <c r="GT46" s="9">
        <v>0</v>
      </c>
      <c r="GU46" s="9">
        <v>0</v>
      </c>
      <c r="GV46" s="9">
        <v>0</v>
      </c>
      <c r="GW46" s="9">
        <v>0</v>
      </c>
      <c r="GX46" s="9">
        <v>0</v>
      </c>
      <c r="GY46" s="9">
        <v>0</v>
      </c>
      <c r="GZ46" s="9">
        <v>0</v>
      </c>
      <c r="HA46" s="9">
        <v>0</v>
      </c>
      <c r="HB46" s="9">
        <v>260786259</v>
      </c>
      <c r="HC46" s="9">
        <v>5.0923999999999997E-2</v>
      </c>
      <c r="HD46" s="9">
        <v>394514</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32469</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row>
    <row r="47" spans="1:292" x14ac:dyDescent="0.25">
      <c r="A47" s="9">
        <v>57809</v>
      </c>
      <c r="B47" s="9">
        <v>32570</v>
      </c>
      <c r="C47" s="9">
        <v>35</v>
      </c>
      <c r="D47" s="9">
        <v>2022</v>
      </c>
      <c r="E47" s="9">
        <v>5392</v>
      </c>
      <c r="F47" s="9">
        <v>0</v>
      </c>
      <c r="G47" s="9">
        <v>97.231000000000009</v>
      </c>
      <c r="H47" s="9">
        <v>97.184000000000012</v>
      </c>
      <c r="I47" s="9">
        <v>97.184000000000012</v>
      </c>
      <c r="J47" s="9">
        <v>97.231000000000009</v>
      </c>
      <c r="K47" s="9">
        <v>0</v>
      </c>
      <c r="L47" s="9">
        <v>6554</v>
      </c>
      <c r="M47" s="9">
        <v>0</v>
      </c>
      <c r="N47" s="9">
        <v>0</v>
      </c>
      <c r="O47" s="9">
        <v>0</v>
      </c>
      <c r="P47" s="9">
        <v>107.518</v>
      </c>
      <c r="Q47" s="9">
        <v>0</v>
      </c>
      <c r="R47" s="9">
        <v>34375</v>
      </c>
      <c r="S47" s="9">
        <v>319.71300000000002</v>
      </c>
      <c r="T47" s="9">
        <v>0</v>
      </c>
      <c r="U47" s="9">
        <v>34375</v>
      </c>
      <c r="V47" s="9">
        <v>14.106</v>
      </c>
      <c r="W47" s="9">
        <v>9245</v>
      </c>
      <c r="X47" s="9">
        <v>9245</v>
      </c>
      <c r="Y47" s="9">
        <v>0</v>
      </c>
      <c r="Z47" s="9">
        <v>0</v>
      </c>
      <c r="AA47" s="9">
        <v>1</v>
      </c>
      <c r="AB47" s="9">
        <v>1</v>
      </c>
      <c r="AC47" s="9">
        <v>0</v>
      </c>
      <c r="AD47" s="9" t="s">
        <v>314</v>
      </c>
      <c r="AE47" s="9">
        <v>0</v>
      </c>
      <c r="AF47" s="9">
        <v>0</v>
      </c>
      <c r="AG47" s="9">
        <v>0</v>
      </c>
      <c r="AH47" s="9">
        <v>0</v>
      </c>
      <c r="AI47" s="9">
        <v>0</v>
      </c>
      <c r="AJ47" s="9">
        <v>5104</v>
      </c>
      <c r="AK47" s="9" t="s">
        <v>651</v>
      </c>
      <c r="AL47" s="9" t="s">
        <v>325</v>
      </c>
      <c r="AM47" s="9">
        <v>0</v>
      </c>
      <c r="AN47" s="9">
        <v>0</v>
      </c>
      <c r="AO47" s="9">
        <v>0</v>
      </c>
      <c r="AP47" s="9">
        <v>0</v>
      </c>
      <c r="AQ47" s="9">
        <v>0</v>
      </c>
      <c r="AR47" s="9">
        <v>0</v>
      </c>
      <c r="AS47" s="9">
        <v>0</v>
      </c>
      <c r="AT47" s="9">
        <v>0</v>
      </c>
      <c r="AU47" s="9">
        <v>0</v>
      </c>
      <c r="AV47" s="9">
        <v>124830</v>
      </c>
      <c r="AW47" s="9">
        <v>973428</v>
      </c>
      <c r="AX47" s="9">
        <v>951266</v>
      </c>
      <c r="AY47" s="9">
        <v>1157655</v>
      </c>
      <c r="AZ47" s="9">
        <v>34375</v>
      </c>
      <c r="BA47" s="9">
        <v>6</v>
      </c>
      <c r="BB47" s="9">
        <v>0</v>
      </c>
      <c r="BC47" s="9">
        <v>0</v>
      </c>
      <c r="BD47" s="9">
        <v>0</v>
      </c>
      <c r="BE47" s="9">
        <v>0</v>
      </c>
      <c r="BF47" s="9">
        <v>811892</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22162</v>
      </c>
      <c r="CI47" s="9">
        <v>0</v>
      </c>
      <c r="CJ47" s="9">
        <v>4</v>
      </c>
      <c r="CK47" s="9">
        <v>0</v>
      </c>
      <c r="CL47" s="9">
        <v>0</v>
      </c>
      <c r="CM47" s="9">
        <v>0</v>
      </c>
      <c r="CN47" s="9">
        <v>0</v>
      </c>
      <c r="CO47" s="9">
        <v>0</v>
      </c>
      <c r="CP47" s="9">
        <v>0</v>
      </c>
      <c r="CQ47" s="9">
        <v>0</v>
      </c>
      <c r="CR47" s="9">
        <v>107.518</v>
      </c>
      <c r="CS47" s="9">
        <v>0</v>
      </c>
      <c r="CT47" s="9">
        <v>0</v>
      </c>
      <c r="CU47" s="9">
        <v>0</v>
      </c>
      <c r="CV47" s="9">
        <v>0</v>
      </c>
      <c r="CW47" s="9">
        <v>0</v>
      </c>
      <c r="CX47" s="9">
        <v>0</v>
      </c>
      <c r="CY47" s="9">
        <v>0</v>
      </c>
      <c r="CZ47" s="9">
        <v>0</v>
      </c>
      <c r="DA47" s="9">
        <v>1</v>
      </c>
      <c r="DB47" s="9">
        <v>636944</v>
      </c>
      <c r="DC47" s="9">
        <v>0</v>
      </c>
      <c r="DD47" s="9">
        <v>0</v>
      </c>
      <c r="DE47" s="9">
        <v>168661</v>
      </c>
      <c r="DF47" s="9">
        <v>168661</v>
      </c>
      <c r="DG47" s="9">
        <v>128.67000000000002</v>
      </c>
      <c r="DH47" s="9">
        <v>0</v>
      </c>
      <c r="DI47" s="9">
        <v>0</v>
      </c>
      <c r="DJ47" s="9">
        <v>0</v>
      </c>
      <c r="DK47" s="9">
        <v>5392</v>
      </c>
      <c r="DL47" s="9">
        <v>0</v>
      </c>
      <c r="DM47" s="9">
        <v>19333</v>
      </c>
      <c r="DN47" s="9">
        <v>0</v>
      </c>
      <c r="DO47" s="9">
        <v>0</v>
      </c>
      <c r="DP47" s="9">
        <v>0</v>
      </c>
      <c r="DQ47" s="9">
        <v>0</v>
      </c>
      <c r="DR47" s="9">
        <v>0</v>
      </c>
      <c r="DS47" s="9">
        <v>0</v>
      </c>
      <c r="DT47" s="9">
        <v>0</v>
      </c>
      <c r="DU47" s="9">
        <v>0</v>
      </c>
      <c r="DV47" s="9">
        <v>0</v>
      </c>
      <c r="DW47" s="9">
        <v>0</v>
      </c>
      <c r="DX47" s="9">
        <v>0</v>
      </c>
      <c r="DY47" s="9">
        <v>0</v>
      </c>
      <c r="DZ47" s="9">
        <v>0</v>
      </c>
      <c r="EA47" s="9">
        <v>0</v>
      </c>
      <c r="EB47" s="9">
        <v>0</v>
      </c>
      <c r="EC47" s="9">
        <v>2.468</v>
      </c>
      <c r="ED47" s="9">
        <v>17793</v>
      </c>
      <c r="EE47" s="9">
        <v>0</v>
      </c>
      <c r="EF47" s="9">
        <v>0</v>
      </c>
      <c r="EG47" s="9">
        <v>0</v>
      </c>
      <c r="EH47" s="9">
        <v>1540</v>
      </c>
      <c r="EI47" s="9">
        <v>0</v>
      </c>
      <c r="EJ47" s="9">
        <v>0</v>
      </c>
      <c r="EK47" s="9">
        <v>0</v>
      </c>
      <c r="EL47" s="9">
        <v>0</v>
      </c>
      <c r="EM47" s="9">
        <v>0</v>
      </c>
      <c r="EN47" s="9">
        <v>4.7E-2</v>
      </c>
      <c r="EO47" s="9">
        <v>0</v>
      </c>
      <c r="EP47" s="9">
        <v>0</v>
      </c>
      <c r="EQ47" s="9">
        <v>4.7E-2</v>
      </c>
      <c r="ER47" s="9">
        <v>0</v>
      </c>
      <c r="ES47" s="9">
        <v>0.23500000000000001</v>
      </c>
      <c r="ET47" s="9">
        <v>3000</v>
      </c>
      <c r="EU47" s="9">
        <v>34375</v>
      </c>
      <c r="EV47" s="9">
        <v>0</v>
      </c>
      <c r="EW47" s="9">
        <v>0</v>
      </c>
      <c r="EX47" s="9">
        <v>0</v>
      </c>
      <c r="EY47" s="9">
        <v>0</v>
      </c>
      <c r="EZ47" s="9">
        <v>799808</v>
      </c>
      <c r="FA47" s="9">
        <v>0</v>
      </c>
      <c r="FB47" s="9">
        <v>834183</v>
      </c>
      <c r="FC47" s="9">
        <v>0.97327799999999998</v>
      </c>
      <c r="FD47" s="9">
        <v>0</v>
      </c>
      <c r="FE47" s="9">
        <v>123604</v>
      </c>
      <c r="FF47" s="9">
        <v>27854</v>
      </c>
      <c r="FG47" s="9">
        <v>6.1239999999999996E-2</v>
      </c>
      <c r="FH47" s="9">
        <v>5.4803999999999999E-2</v>
      </c>
      <c r="FI47" s="9">
        <v>0</v>
      </c>
      <c r="FJ47" s="9">
        <v>0</v>
      </c>
      <c r="FK47" s="9">
        <v>159.07500000000002</v>
      </c>
      <c r="FL47" s="9">
        <v>1007803</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985641</v>
      </c>
      <c r="GQ47" s="9">
        <v>985641</v>
      </c>
      <c r="GR47" s="9">
        <v>0</v>
      </c>
      <c r="GS47" s="9">
        <v>0</v>
      </c>
      <c r="GT47" s="9">
        <v>0</v>
      </c>
      <c r="GU47" s="9">
        <v>0</v>
      </c>
      <c r="GV47" s="9">
        <v>0</v>
      </c>
      <c r="GW47" s="9">
        <v>0</v>
      </c>
      <c r="GX47" s="9">
        <v>0</v>
      </c>
      <c r="GY47" s="9">
        <v>0</v>
      </c>
      <c r="GZ47" s="9">
        <v>0</v>
      </c>
      <c r="HA47" s="9">
        <v>0</v>
      </c>
      <c r="HB47" s="9">
        <v>260786259</v>
      </c>
      <c r="HC47" s="9">
        <v>5.0923999999999997E-2</v>
      </c>
      <c r="HD47" s="9">
        <v>19162</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32469</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row>
    <row r="48" spans="1:292" x14ac:dyDescent="0.25">
      <c r="A48" s="9">
        <v>57810</v>
      </c>
      <c r="B48" s="9">
        <v>32570</v>
      </c>
      <c r="C48" s="9">
        <v>35</v>
      </c>
      <c r="D48" s="9">
        <v>2022</v>
      </c>
      <c r="E48" s="9">
        <v>5392</v>
      </c>
      <c r="F48" s="9">
        <v>0</v>
      </c>
      <c r="G48" s="9">
        <v>366.30600000000004</v>
      </c>
      <c r="H48" s="9">
        <v>359.17400000000004</v>
      </c>
      <c r="I48" s="9">
        <v>359.17400000000004</v>
      </c>
      <c r="J48" s="9">
        <v>366.30600000000004</v>
      </c>
      <c r="K48" s="9">
        <v>0</v>
      </c>
      <c r="L48" s="9">
        <v>6554</v>
      </c>
      <c r="M48" s="9">
        <v>0</v>
      </c>
      <c r="N48" s="9">
        <v>0</v>
      </c>
      <c r="O48" s="9">
        <v>0</v>
      </c>
      <c r="P48" s="9">
        <v>380.05500000000001</v>
      </c>
      <c r="Q48" s="9">
        <v>0</v>
      </c>
      <c r="R48" s="9">
        <v>121509</v>
      </c>
      <c r="S48" s="9">
        <v>319.71300000000002</v>
      </c>
      <c r="T48" s="9">
        <v>0</v>
      </c>
      <c r="U48" s="9">
        <v>121509</v>
      </c>
      <c r="V48" s="9">
        <v>43.336000000000006</v>
      </c>
      <c r="W48" s="9">
        <v>28402</v>
      </c>
      <c r="X48" s="9">
        <v>28402</v>
      </c>
      <c r="Y48" s="9">
        <v>0</v>
      </c>
      <c r="Z48" s="9">
        <v>0</v>
      </c>
      <c r="AA48" s="9">
        <v>1</v>
      </c>
      <c r="AB48" s="9">
        <v>1</v>
      </c>
      <c r="AC48" s="9">
        <v>0</v>
      </c>
      <c r="AD48" s="9" t="s">
        <v>314</v>
      </c>
      <c r="AE48" s="9">
        <v>0</v>
      </c>
      <c r="AF48" s="9">
        <v>0</v>
      </c>
      <c r="AG48" s="9">
        <v>0</v>
      </c>
      <c r="AH48" s="9">
        <v>0</v>
      </c>
      <c r="AI48" s="9">
        <v>0</v>
      </c>
      <c r="AJ48" s="9">
        <v>5104</v>
      </c>
      <c r="AK48" s="9" t="s">
        <v>651</v>
      </c>
      <c r="AL48" s="9" t="s">
        <v>20</v>
      </c>
      <c r="AM48" s="9">
        <v>0</v>
      </c>
      <c r="AN48" s="9">
        <v>0</v>
      </c>
      <c r="AO48" s="9">
        <v>0</v>
      </c>
      <c r="AP48" s="9">
        <v>0</v>
      </c>
      <c r="AQ48" s="9">
        <v>0</v>
      </c>
      <c r="AR48" s="9">
        <v>0</v>
      </c>
      <c r="AS48" s="9">
        <v>0</v>
      </c>
      <c r="AT48" s="9">
        <v>0</v>
      </c>
      <c r="AU48" s="9">
        <v>0</v>
      </c>
      <c r="AV48" s="9">
        <v>135733</v>
      </c>
      <c r="AW48" s="9">
        <v>3714801</v>
      </c>
      <c r="AX48" s="9">
        <v>3642610</v>
      </c>
      <c r="AY48" s="9">
        <v>3995414</v>
      </c>
      <c r="AZ48" s="9">
        <v>121509</v>
      </c>
      <c r="BA48" s="9">
        <v>0</v>
      </c>
      <c r="BB48" s="9">
        <v>0</v>
      </c>
      <c r="BC48" s="9">
        <v>0</v>
      </c>
      <c r="BD48" s="9">
        <v>0</v>
      </c>
      <c r="BE48" s="9">
        <v>0</v>
      </c>
      <c r="BF48" s="9">
        <v>3100578</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72191</v>
      </c>
      <c r="CI48" s="9">
        <v>0</v>
      </c>
      <c r="CJ48" s="9">
        <v>4</v>
      </c>
      <c r="CK48" s="9">
        <v>0</v>
      </c>
      <c r="CL48" s="9">
        <v>0</v>
      </c>
      <c r="CM48" s="9">
        <v>0</v>
      </c>
      <c r="CN48" s="9">
        <v>0</v>
      </c>
      <c r="CO48" s="9">
        <v>0</v>
      </c>
      <c r="CP48" s="9">
        <v>0</v>
      </c>
      <c r="CQ48" s="9">
        <v>0</v>
      </c>
      <c r="CR48" s="9">
        <v>380.05500000000001</v>
      </c>
      <c r="CS48" s="9">
        <v>0</v>
      </c>
      <c r="CT48" s="9">
        <v>0</v>
      </c>
      <c r="CU48" s="9">
        <v>0</v>
      </c>
      <c r="CV48" s="9">
        <v>0</v>
      </c>
      <c r="CW48" s="9">
        <v>0</v>
      </c>
      <c r="CX48" s="9">
        <v>0</v>
      </c>
      <c r="CY48" s="9">
        <v>0</v>
      </c>
      <c r="CZ48" s="9">
        <v>0</v>
      </c>
      <c r="DA48" s="9">
        <v>1</v>
      </c>
      <c r="DB48" s="9">
        <v>2354026</v>
      </c>
      <c r="DC48" s="9">
        <v>0</v>
      </c>
      <c r="DD48" s="9">
        <v>0</v>
      </c>
      <c r="DE48" s="9">
        <v>629407</v>
      </c>
      <c r="DF48" s="9">
        <v>629407</v>
      </c>
      <c r="DG48" s="9">
        <v>480.17</v>
      </c>
      <c r="DH48" s="9">
        <v>0</v>
      </c>
      <c r="DI48" s="9">
        <v>0</v>
      </c>
      <c r="DJ48" s="9">
        <v>0</v>
      </c>
      <c r="DK48" s="9">
        <v>5392</v>
      </c>
      <c r="DL48" s="9">
        <v>0</v>
      </c>
      <c r="DM48" s="9">
        <v>173873</v>
      </c>
      <c r="DN48" s="9">
        <v>0</v>
      </c>
      <c r="DO48" s="9">
        <v>0</v>
      </c>
      <c r="DP48" s="9">
        <v>0</v>
      </c>
      <c r="DQ48" s="9">
        <v>0</v>
      </c>
      <c r="DR48" s="9">
        <v>0</v>
      </c>
      <c r="DS48" s="9">
        <v>0</v>
      </c>
      <c r="DT48" s="9">
        <v>0</v>
      </c>
      <c r="DU48" s="9">
        <v>0</v>
      </c>
      <c r="DV48" s="9">
        <v>0</v>
      </c>
      <c r="DW48" s="9">
        <v>0</v>
      </c>
      <c r="DX48" s="9">
        <v>0</v>
      </c>
      <c r="DY48" s="9">
        <v>0</v>
      </c>
      <c r="DZ48" s="9">
        <v>0</v>
      </c>
      <c r="EA48" s="9">
        <v>0</v>
      </c>
      <c r="EB48" s="9">
        <v>0</v>
      </c>
      <c r="EC48" s="9">
        <v>3.7630000000000003</v>
      </c>
      <c r="ED48" s="9">
        <v>27129</v>
      </c>
      <c r="EE48" s="9">
        <v>0</v>
      </c>
      <c r="EF48" s="9">
        <v>0</v>
      </c>
      <c r="EG48" s="9">
        <v>0</v>
      </c>
      <c r="EH48" s="9">
        <v>146744</v>
      </c>
      <c r="EI48" s="9">
        <v>0</v>
      </c>
      <c r="EJ48" s="9">
        <v>0</v>
      </c>
      <c r="EK48" s="9">
        <v>2.2330000000000001</v>
      </c>
      <c r="EL48" s="9">
        <v>0</v>
      </c>
      <c r="EM48" s="9">
        <v>4.4020000000000001</v>
      </c>
      <c r="EN48" s="9">
        <v>0.497</v>
      </c>
      <c r="EO48" s="9">
        <v>0</v>
      </c>
      <c r="EP48" s="9">
        <v>0</v>
      </c>
      <c r="EQ48" s="9">
        <v>7.1320000000000006</v>
      </c>
      <c r="ER48" s="9">
        <v>0</v>
      </c>
      <c r="ES48" s="9">
        <v>22.39</v>
      </c>
      <c r="ET48" s="9">
        <v>0</v>
      </c>
      <c r="EU48" s="9">
        <v>121509</v>
      </c>
      <c r="EV48" s="9">
        <v>0</v>
      </c>
      <c r="EW48" s="9">
        <v>0</v>
      </c>
      <c r="EX48" s="9">
        <v>0</v>
      </c>
      <c r="EY48" s="9">
        <v>0</v>
      </c>
      <c r="EZ48" s="9">
        <v>3064199</v>
      </c>
      <c r="FA48" s="9">
        <v>0</v>
      </c>
      <c r="FB48" s="9">
        <v>3185708</v>
      </c>
      <c r="FC48" s="9">
        <v>0.97327799999999998</v>
      </c>
      <c r="FD48" s="9">
        <v>0</v>
      </c>
      <c r="FE48" s="9">
        <v>472038</v>
      </c>
      <c r="FF48" s="9">
        <v>106373</v>
      </c>
      <c r="FG48" s="9">
        <v>6.1239999999999996E-2</v>
      </c>
      <c r="FH48" s="9">
        <v>5.4803999999999999E-2</v>
      </c>
      <c r="FI48" s="9">
        <v>0</v>
      </c>
      <c r="FJ48" s="9">
        <v>0</v>
      </c>
      <c r="FK48" s="9">
        <v>607.50099999999998</v>
      </c>
      <c r="FL48" s="9">
        <v>3836310</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3764119</v>
      </c>
      <c r="GQ48" s="9">
        <v>3764119</v>
      </c>
      <c r="GR48" s="9">
        <v>0</v>
      </c>
      <c r="GS48" s="9">
        <v>0</v>
      </c>
      <c r="GT48" s="9">
        <v>0</v>
      </c>
      <c r="GU48" s="9">
        <v>0</v>
      </c>
      <c r="GV48" s="9">
        <v>0</v>
      </c>
      <c r="GW48" s="9">
        <v>0</v>
      </c>
      <c r="GX48" s="9">
        <v>0</v>
      </c>
      <c r="GY48" s="9">
        <v>0</v>
      </c>
      <c r="GZ48" s="9">
        <v>0</v>
      </c>
      <c r="HA48" s="9">
        <v>0</v>
      </c>
      <c r="HB48" s="9">
        <v>260786259</v>
      </c>
      <c r="HC48" s="9">
        <v>5.0923999999999997E-2</v>
      </c>
      <c r="HD48" s="9">
        <v>72191</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32469</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row>
    <row r="49" spans="1:292" x14ac:dyDescent="0.25">
      <c r="A49" s="9">
        <v>57813</v>
      </c>
      <c r="B49" s="9">
        <v>32570</v>
      </c>
      <c r="C49" s="9">
        <v>35</v>
      </c>
      <c r="D49" s="9">
        <v>2022</v>
      </c>
      <c r="E49" s="9">
        <v>5392</v>
      </c>
      <c r="F49" s="9">
        <v>0</v>
      </c>
      <c r="G49" s="9">
        <v>3331.4260000000004</v>
      </c>
      <c r="H49" s="9">
        <v>3228.2360000000003</v>
      </c>
      <c r="I49" s="9">
        <v>3228.2360000000003</v>
      </c>
      <c r="J49" s="9">
        <v>3331.4260000000004</v>
      </c>
      <c r="K49" s="9">
        <v>0</v>
      </c>
      <c r="L49" s="9">
        <v>6554</v>
      </c>
      <c r="M49" s="9">
        <v>0</v>
      </c>
      <c r="N49" s="9">
        <v>0</v>
      </c>
      <c r="O49" s="9">
        <v>0</v>
      </c>
      <c r="P49" s="9">
        <v>3045.759</v>
      </c>
      <c r="Q49" s="9">
        <v>0</v>
      </c>
      <c r="R49" s="9">
        <v>973769</v>
      </c>
      <c r="S49" s="9">
        <v>319.71300000000002</v>
      </c>
      <c r="T49" s="9">
        <v>0</v>
      </c>
      <c r="U49" s="9">
        <v>973769</v>
      </c>
      <c r="V49" s="9">
        <v>1919.106</v>
      </c>
      <c r="W49" s="9">
        <v>1257782</v>
      </c>
      <c r="X49" s="9">
        <v>1257782</v>
      </c>
      <c r="Y49" s="9">
        <v>0</v>
      </c>
      <c r="Z49" s="9">
        <v>0</v>
      </c>
      <c r="AA49" s="9">
        <v>1</v>
      </c>
      <c r="AB49" s="9">
        <v>1</v>
      </c>
      <c r="AC49" s="9">
        <v>0</v>
      </c>
      <c r="AD49" s="9" t="s">
        <v>314</v>
      </c>
      <c r="AE49" s="9">
        <v>0</v>
      </c>
      <c r="AF49" s="9">
        <v>0</v>
      </c>
      <c r="AG49" s="9">
        <v>0</v>
      </c>
      <c r="AH49" s="9">
        <v>0</v>
      </c>
      <c r="AI49" s="9">
        <v>0</v>
      </c>
      <c r="AJ49" s="9">
        <v>5104</v>
      </c>
      <c r="AK49" s="9" t="s">
        <v>651</v>
      </c>
      <c r="AL49" s="9" t="s">
        <v>21</v>
      </c>
      <c r="AM49" s="9">
        <v>0</v>
      </c>
      <c r="AN49" s="9">
        <v>0</v>
      </c>
      <c r="AO49" s="9">
        <v>0</v>
      </c>
      <c r="AP49" s="9">
        <v>0</v>
      </c>
      <c r="AQ49" s="9">
        <v>0</v>
      </c>
      <c r="AR49" s="9">
        <v>0</v>
      </c>
      <c r="AS49" s="9">
        <v>0</v>
      </c>
      <c r="AT49" s="9">
        <v>0</v>
      </c>
      <c r="AU49" s="9">
        <v>0</v>
      </c>
      <c r="AV49" s="9">
        <v>284353</v>
      </c>
      <c r="AW49" s="9">
        <v>34086233</v>
      </c>
      <c r="AX49" s="9">
        <v>33353933</v>
      </c>
      <c r="AY49" s="9">
        <v>36778712</v>
      </c>
      <c r="AZ49" s="9">
        <v>973769</v>
      </c>
      <c r="BA49" s="9">
        <v>143</v>
      </c>
      <c r="BB49" s="9">
        <v>0</v>
      </c>
      <c r="BC49" s="9">
        <v>0</v>
      </c>
      <c r="BD49" s="9">
        <v>0</v>
      </c>
      <c r="BE49" s="9">
        <v>0</v>
      </c>
      <c r="BF49" s="9">
        <v>28276393</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0</v>
      </c>
      <c r="CB49" s="9">
        <v>0</v>
      </c>
      <c r="CC49" s="9">
        <v>0</v>
      </c>
      <c r="CD49" s="9">
        <v>0</v>
      </c>
      <c r="CE49" s="9">
        <v>0</v>
      </c>
      <c r="CF49" s="9">
        <v>0</v>
      </c>
      <c r="CG49" s="9">
        <v>0</v>
      </c>
      <c r="CH49" s="9">
        <v>732300</v>
      </c>
      <c r="CI49" s="9">
        <v>0</v>
      </c>
      <c r="CJ49" s="9">
        <v>4</v>
      </c>
      <c r="CK49" s="9">
        <v>0</v>
      </c>
      <c r="CL49" s="9">
        <v>0</v>
      </c>
      <c r="CM49" s="9">
        <v>0</v>
      </c>
      <c r="CN49" s="9">
        <v>0</v>
      </c>
      <c r="CO49" s="9">
        <v>0</v>
      </c>
      <c r="CP49" s="9">
        <v>0</v>
      </c>
      <c r="CQ49" s="9">
        <v>17</v>
      </c>
      <c r="CR49" s="9">
        <v>3045.759</v>
      </c>
      <c r="CS49" s="9">
        <v>0</v>
      </c>
      <c r="CT49" s="9">
        <v>0</v>
      </c>
      <c r="CU49" s="9">
        <v>0</v>
      </c>
      <c r="CV49" s="9">
        <v>0</v>
      </c>
      <c r="CW49" s="9">
        <v>0</v>
      </c>
      <c r="CX49" s="9">
        <v>0</v>
      </c>
      <c r="CY49" s="9">
        <v>0</v>
      </c>
      <c r="CZ49" s="9">
        <v>0</v>
      </c>
      <c r="DA49" s="9">
        <v>1</v>
      </c>
      <c r="DB49" s="9">
        <v>21157859</v>
      </c>
      <c r="DC49" s="9">
        <v>0</v>
      </c>
      <c r="DD49" s="9">
        <v>0</v>
      </c>
      <c r="DE49" s="9">
        <v>4295924</v>
      </c>
      <c r="DF49" s="9">
        <v>4295924</v>
      </c>
      <c r="DG49" s="9">
        <v>3277.33</v>
      </c>
      <c r="DH49" s="9">
        <v>0</v>
      </c>
      <c r="DI49" s="9">
        <v>0</v>
      </c>
      <c r="DJ49" s="9">
        <v>0</v>
      </c>
      <c r="DK49" s="9">
        <v>5392</v>
      </c>
      <c r="DL49" s="9">
        <v>0</v>
      </c>
      <c r="DM49" s="9">
        <v>2341190</v>
      </c>
      <c r="DN49" s="9">
        <v>0</v>
      </c>
      <c r="DO49" s="9">
        <v>0</v>
      </c>
      <c r="DP49" s="9">
        <v>0</v>
      </c>
      <c r="DQ49" s="9">
        <v>0</v>
      </c>
      <c r="DR49" s="9">
        <v>0</v>
      </c>
      <c r="DS49" s="9">
        <v>0</v>
      </c>
      <c r="DT49" s="9">
        <v>0</v>
      </c>
      <c r="DU49" s="9">
        <v>0</v>
      </c>
      <c r="DV49" s="9">
        <v>0</v>
      </c>
      <c r="DW49" s="9">
        <v>0</v>
      </c>
      <c r="DX49" s="9">
        <v>0</v>
      </c>
      <c r="DY49" s="9">
        <v>0</v>
      </c>
      <c r="DZ49" s="9">
        <v>0</v>
      </c>
      <c r="EA49" s="9">
        <v>0</v>
      </c>
      <c r="EB49" s="9">
        <v>0</v>
      </c>
      <c r="EC49" s="9">
        <v>29.274000000000001</v>
      </c>
      <c r="ED49" s="9">
        <v>211048</v>
      </c>
      <c r="EE49" s="9">
        <v>0</v>
      </c>
      <c r="EF49" s="9">
        <v>0</v>
      </c>
      <c r="EG49" s="9">
        <v>0</v>
      </c>
      <c r="EH49" s="9">
        <v>2130142</v>
      </c>
      <c r="EI49" s="9">
        <v>0</v>
      </c>
      <c r="EJ49" s="9">
        <v>0</v>
      </c>
      <c r="EK49" s="9">
        <v>70.930000000000007</v>
      </c>
      <c r="EL49" s="9">
        <v>1.609</v>
      </c>
      <c r="EM49" s="9">
        <v>24.538</v>
      </c>
      <c r="EN49" s="9">
        <v>7.7220000000000004</v>
      </c>
      <c r="EO49" s="9">
        <v>0</v>
      </c>
      <c r="EP49" s="9">
        <v>0</v>
      </c>
      <c r="EQ49" s="9">
        <v>103.19</v>
      </c>
      <c r="ER49" s="9">
        <v>0</v>
      </c>
      <c r="ES49" s="9">
        <v>325.01400000000001</v>
      </c>
      <c r="ET49" s="9">
        <v>75750</v>
      </c>
      <c r="EU49" s="9">
        <v>973769</v>
      </c>
      <c r="EV49" s="9">
        <v>0</v>
      </c>
      <c r="EW49" s="9">
        <v>0</v>
      </c>
      <c r="EX49" s="9">
        <v>0</v>
      </c>
      <c r="EY49" s="9">
        <v>0</v>
      </c>
      <c r="EZ49" s="9">
        <v>28078986</v>
      </c>
      <c r="FA49" s="9">
        <v>0</v>
      </c>
      <c r="FB49" s="9">
        <v>29052755</v>
      </c>
      <c r="FC49" s="9">
        <v>0.97327799999999998</v>
      </c>
      <c r="FD49" s="9">
        <v>0</v>
      </c>
      <c r="FE49" s="9">
        <v>4304854</v>
      </c>
      <c r="FF49" s="9">
        <v>970093</v>
      </c>
      <c r="FG49" s="9">
        <v>6.1239999999999996E-2</v>
      </c>
      <c r="FH49" s="9">
        <v>5.4803999999999999E-2</v>
      </c>
      <c r="FI49" s="9">
        <v>0</v>
      </c>
      <c r="FJ49" s="9">
        <v>0</v>
      </c>
      <c r="FK49" s="9">
        <v>5540.2359999999999</v>
      </c>
      <c r="FL49" s="9">
        <v>35060002</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34327702</v>
      </c>
      <c r="GQ49" s="9">
        <v>34327702</v>
      </c>
      <c r="GR49" s="9">
        <v>0</v>
      </c>
      <c r="GS49" s="9">
        <v>0</v>
      </c>
      <c r="GT49" s="9">
        <v>0</v>
      </c>
      <c r="GU49" s="9">
        <v>0</v>
      </c>
      <c r="GV49" s="9">
        <v>0</v>
      </c>
      <c r="GW49" s="9">
        <v>0</v>
      </c>
      <c r="GX49" s="9">
        <v>0</v>
      </c>
      <c r="GY49" s="9">
        <v>0</v>
      </c>
      <c r="GZ49" s="9">
        <v>0</v>
      </c>
      <c r="HA49" s="9">
        <v>0</v>
      </c>
      <c r="HB49" s="9">
        <v>260786259</v>
      </c>
      <c r="HC49" s="9">
        <v>5.0923999999999997E-2</v>
      </c>
      <c r="HD49" s="9">
        <v>656550</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32469</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row>
    <row r="50" spans="1:292" x14ac:dyDescent="0.25">
      <c r="A50" s="9">
        <v>57814</v>
      </c>
      <c r="B50" s="9">
        <v>32570</v>
      </c>
      <c r="C50" s="9">
        <v>35</v>
      </c>
      <c r="D50" s="9">
        <v>2022</v>
      </c>
      <c r="E50" s="9">
        <v>5392</v>
      </c>
      <c r="F50" s="9">
        <v>0</v>
      </c>
      <c r="G50" s="9">
        <v>443.87800000000004</v>
      </c>
      <c r="H50" s="9">
        <v>349.01100000000002</v>
      </c>
      <c r="I50" s="9">
        <v>349.01100000000002</v>
      </c>
      <c r="J50" s="9">
        <v>443.87800000000004</v>
      </c>
      <c r="K50" s="9">
        <v>0</v>
      </c>
      <c r="L50" s="9">
        <v>6554</v>
      </c>
      <c r="M50" s="9">
        <v>0</v>
      </c>
      <c r="N50" s="9">
        <v>0</v>
      </c>
      <c r="O50" s="9">
        <v>0</v>
      </c>
      <c r="P50" s="9">
        <v>469.19100000000003</v>
      </c>
      <c r="Q50" s="9">
        <v>0</v>
      </c>
      <c r="R50" s="9">
        <v>150006</v>
      </c>
      <c r="S50" s="9">
        <v>319.71300000000002</v>
      </c>
      <c r="T50" s="9">
        <v>0</v>
      </c>
      <c r="U50" s="9">
        <v>150006</v>
      </c>
      <c r="V50" s="9">
        <v>96.292000000000002</v>
      </c>
      <c r="W50" s="9">
        <v>63110</v>
      </c>
      <c r="X50" s="9">
        <v>63110</v>
      </c>
      <c r="Y50" s="9">
        <v>0</v>
      </c>
      <c r="Z50" s="9">
        <v>0</v>
      </c>
      <c r="AA50" s="9">
        <v>1</v>
      </c>
      <c r="AB50" s="9">
        <v>1</v>
      </c>
      <c r="AC50" s="9">
        <v>0</v>
      </c>
      <c r="AD50" s="9" t="s">
        <v>314</v>
      </c>
      <c r="AE50" s="9">
        <v>0</v>
      </c>
      <c r="AF50" s="9">
        <v>0</v>
      </c>
      <c r="AG50" s="9">
        <v>0</v>
      </c>
      <c r="AH50" s="9">
        <v>0</v>
      </c>
      <c r="AI50" s="9">
        <v>0</v>
      </c>
      <c r="AJ50" s="9">
        <v>5104</v>
      </c>
      <c r="AK50" s="9" t="s">
        <v>651</v>
      </c>
      <c r="AL50" s="9" t="s">
        <v>326</v>
      </c>
      <c r="AM50" s="9">
        <v>0</v>
      </c>
      <c r="AN50" s="9">
        <v>0</v>
      </c>
      <c r="AO50" s="9">
        <v>0</v>
      </c>
      <c r="AP50" s="9">
        <v>0</v>
      </c>
      <c r="AQ50" s="9">
        <v>0</v>
      </c>
      <c r="AR50" s="9">
        <v>0</v>
      </c>
      <c r="AS50" s="9">
        <v>0</v>
      </c>
      <c r="AT50" s="9">
        <v>0</v>
      </c>
      <c r="AU50" s="9">
        <v>0</v>
      </c>
      <c r="AV50" s="9">
        <v>241152</v>
      </c>
      <c r="AW50" s="9">
        <v>6403440</v>
      </c>
      <c r="AX50" s="9">
        <v>6222060</v>
      </c>
      <c r="AY50" s="9">
        <v>6334423</v>
      </c>
      <c r="AZ50" s="9">
        <v>243908</v>
      </c>
      <c r="BA50" s="9">
        <v>0</v>
      </c>
      <c r="BB50" s="9">
        <v>0</v>
      </c>
      <c r="BC50" s="9">
        <v>0</v>
      </c>
      <c r="BD50" s="9">
        <v>0</v>
      </c>
      <c r="BE50" s="9">
        <v>0</v>
      </c>
      <c r="BF50" s="9">
        <v>5248794</v>
      </c>
      <c r="BG50" s="9">
        <v>0</v>
      </c>
      <c r="BH50" s="9">
        <v>341.46100000000001</v>
      </c>
      <c r="BI50" s="9">
        <v>93902</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87478</v>
      </c>
      <c r="CI50" s="9">
        <v>0</v>
      </c>
      <c r="CJ50" s="9">
        <v>4</v>
      </c>
      <c r="CK50" s="9">
        <v>0</v>
      </c>
      <c r="CL50" s="9">
        <v>0</v>
      </c>
      <c r="CM50" s="9">
        <v>0</v>
      </c>
      <c r="CN50" s="9">
        <v>0</v>
      </c>
      <c r="CO50" s="9">
        <v>0</v>
      </c>
      <c r="CP50" s="9">
        <v>0</v>
      </c>
      <c r="CQ50" s="9">
        <v>0</v>
      </c>
      <c r="CR50" s="9">
        <v>469.19100000000003</v>
      </c>
      <c r="CS50" s="9">
        <v>0</v>
      </c>
      <c r="CT50" s="9">
        <v>0</v>
      </c>
      <c r="CU50" s="9">
        <v>0</v>
      </c>
      <c r="CV50" s="9">
        <v>0</v>
      </c>
      <c r="CW50" s="9">
        <v>0</v>
      </c>
      <c r="CX50" s="9">
        <v>0</v>
      </c>
      <c r="CY50" s="9">
        <v>0</v>
      </c>
      <c r="CZ50" s="9">
        <v>0</v>
      </c>
      <c r="DA50" s="9">
        <v>1</v>
      </c>
      <c r="DB50" s="9">
        <v>2287418</v>
      </c>
      <c r="DC50" s="9">
        <v>0</v>
      </c>
      <c r="DD50" s="9">
        <v>0</v>
      </c>
      <c r="DE50" s="9">
        <v>685981</v>
      </c>
      <c r="DF50" s="9">
        <v>685981</v>
      </c>
      <c r="DG50" s="9">
        <v>523.33000000000004</v>
      </c>
      <c r="DH50" s="9">
        <v>0</v>
      </c>
      <c r="DI50" s="9">
        <v>0</v>
      </c>
      <c r="DJ50" s="9">
        <v>0</v>
      </c>
      <c r="DK50" s="9">
        <v>5392</v>
      </c>
      <c r="DL50" s="9">
        <v>0</v>
      </c>
      <c r="DM50" s="9">
        <v>2281968</v>
      </c>
      <c r="DN50" s="9">
        <v>0</v>
      </c>
      <c r="DO50" s="9">
        <v>0</v>
      </c>
      <c r="DP50" s="9">
        <v>0</v>
      </c>
      <c r="DQ50" s="9">
        <v>0</v>
      </c>
      <c r="DR50" s="9">
        <v>0</v>
      </c>
      <c r="DS50" s="9">
        <v>0</v>
      </c>
      <c r="DT50" s="9">
        <v>0</v>
      </c>
      <c r="DU50" s="9">
        <v>0</v>
      </c>
      <c r="DV50" s="9">
        <v>0</v>
      </c>
      <c r="DW50" s="9">
        <v>0</v>
      </c>
      <c r="DX50" s="9">
        <v>0</v>
      </c>
      <c r="DY50" s="9">
        <v>0</v>
      </c>
      <c r="DZ50" s="9">
        <v>0</v>
      </c>
      <c r="EA50" s="9">
        <v>0</v>
      </c>
      <c r="EB50" s="9">
        <v>0</v>
      </c>
      <c r="EC50" s="9">
        <v>1.925</v>
      </c>
      <c r="ED50" s="9">
        <v>13878</v>
      </c>
      <c r="EE50" s="9">
        <v>0</v>
      </c>
      <c r="EF50" s="9">
        <v>0</v>
      </c>
      <c r="EG50" s="9">
        <v>0</v>
      </c>
      <c r="EH50" s="9">
        <v>18626</v>
      </c>
      <c r="EI50" s="9">
        <v>2249464</v>
      </c>
      <c r="EJ50" s="9">
        <v>85.805000000000007</v>
      </c>
      <c r="EK50" s="9">
        <v>0.16600000000000001</v>
      </c>
      <c r="EL50" s="9">
        <v>0</v>
      </c>
      <c r="EM50" s="9">
        <v>3.7999999999999999E-2</v>
      </c>
      <c r="EN50" s="9">
        <v>0.44600000000000001</v>
      </c>
      <c r="EO50" s="9">
        <v>0</v>
      </c>
      <c r="EP50" s="9">
        <v>0</v>
      </c>
      <c r="EQ50" s="9">
        <v>86.454999999999998</v>
      </c>
      <c r="ER50" s="9">
        <v>0</v>
      </c>
      <c r="ES50" s="9">
        <v>2.8420000000000001</v>
      </c>
      <c r="ET50" s="9">
        <v>0</v>
      </c>
      <c r="EU50" s="9">
        <v>243908</v>
      </c>
      <c r="EV50" s="9">
        <v>0</v>
      </c>
      <c r="EW50" s="9">
        <v>0</v>
      </c>
      <c r="EX50" s="9">
        <v>0</v>
      </c>
      <c r="EY50" s="9">
        <v>0</v>
      </c>
      <c r="EZ50" s="9">
        <v>5242900</v>
      </c>
      <c r="FA50" s="9">
        <v>0</v>
      </c>
      <c r="FB50" s="9">
        <v>5486808</v>
      </c>
      <c r="FC50" s="9">
        <v>0.97327799999999998</v>
      </c>
      <c r="FD50" s="9">
        <v>0</v>
      </c>
      <c r="FE50" s="9">
        <v>799087</v>
      </c>
      <c r="FF50" s="9">
        <v>180073</v>
      </c>
      <c r="FG50" s="9">
        <v>6.1239999999999996E-2</v>
      </c>
      <c r="FH50" s="9">
        <v>5.4803999999999999E-2</v>
      </c>
      <c r="FI50" s="9">
        <v>0</v>
      </c>
      <c r="FJ50" s="9">
        <v>0</v>
      </c>
      <c r="FK50" s="9">
        <v>1028.404</v>
      </c>
      <c r="FL50" s="9">
        <v>6553446</v>
      </c>
      <c r="FM50" s="9">
        <v>0</v>
      </c>
      <c r="FN50" s="9">
        <v>0</v>
      </c>
      <c r="FO50" s="9">
        <v>0</v>
      </c>
      <c r="FP50" s="9">
        <v>0</v>
      </c>
      <c r="FQ50" s="9">
        <v>0</v>
      </c>
      <c r="FR50" s="9">
        <v>0</v>
      </c>
      <c r="FS50" s="9">
        <v>0</v>
      </c>
      <c r="FT50" s="9">
        <v>0</v>
      </c>
      <c r="FU50" s="9">
        <v>0</v>
      </c>
      <c r="FV50" s="9">
        <v>0</v>
      </c>
      <c r="FW50" s="9">
        <v>0</v>
      </c>
      <c r="FX50" s="9">
        <v>0</v>
      </c>
      <c r="FY50" s="9">
        <v>0</v>
      </c>
      <c r="FZ50" s="9">
        <v>0</v>
      </c>
      <c r="GA50" s="9">
        <v>0</v>
      </c>
      <c r="GB50" s="9">
        <v>74429</v>
      </c>
      <c r="GC50" s="9">
        <v>74429</v>
      </c>
      <c r="GD50" s="9">
        <v>8.4120000000000008</v>
      </c>
      <c r="GE50" s="9">
        <v>0</v>
      </c>
      <c r="GF50" s="9">
        <v>0</v>
      </c>
      <c r="GG50" s="9">
        <v>0</v>
      </c>
      <c r="GH50" s="9">
        <v>0</v>
      </c>
      <c r="GI50" s="9">
        <v>0</v>
      </c>
      <c r="GJ50" s="9">
        <v>0</v>
      </c>
      <c r="GK50" s="9">
        <v>5406</v>
      </c>
      <c r="GL50" s="9">
        <v>22847</v>
      </c>
      <c r="GM50" s="9">
        <v>0</v>
      </c>
      <c r="GN50" s="9">
        <v>147575</v>
      </c>
      <c r="GO50" s="9">
        <v>0</v>
      </c>
      <c r="GP50" s="9">
        <v>6465968</v>
      </c>
      <c r="GQ50" s="9">
        <v>6465968</v>
      </c>
      <c r="GR50" s="9">
        <v>0</v>
      </c>
      <c r="GS50" s="9">
        <v>0</v>
      </c>
      <c r="GT50" s="9">
        <v>0</v>
      </c>
      <c r="GU50" s="9">
        <v>0</v>
      </c>
      <c r="GV50" s="9">
        <v>0</v>
      </c>
      <c r="GW50" s="9">
        <v>0</v>
      </c>
      <c r="GX50" s="9">
        <v>0</v>
      </c>
      <c r="GY50" s="9">
        <v>0</v>
      </c>
      <c r="GZ50" s="9">
        <v>0</v>
      </c>
      <c r="HA50" s="9">
        <v>0</v>
      </c>
      <c r="HB50" s="9">
        <v>260786259</v>
      </c>
      <c r="HC50" s="9">
        <v>5.0923999999999997E-2</v>
      </c>
      <c r="HD50" s="9">
        <v>87478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32469</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row>
    <row r="51" spans="1:292" x14ac:dyDescent="0.25">
      <c r="A51" s="9">
        <v>57816</v>
      </c>
      <c r="B51" s="9">
        <v>32570</v>
      </c>
      <c r="C51" s="9">
        <v>35</v>
      </c>
      <c r="D51" s="9">
        <v>2022</v>
      </c>
      <c r="E51" s="9">
        <v>5392</v>
      </c>
      <c r="F51" s="9">
        <v>0</v>
      </c>
      <c r="G51" s="9">
        <v>1370.471</v>
      </c>
      <c r="H51" s="9">
        <v>1354.9830000000002</v>
      </c>
      <c r="I51" s="9">
        <v>1354.9830000000002</v>
      </c>
      <c r="J51" s="9">
        <v>1370.471</v>
      </c>
      <c r="K51" s="9">
        <v>0</v>
      </c>
      <c r="L51" s="9">
        <v>6554</v>
      </c>
      <c r="M51" s="9">
        <v>0</v>
      </c>
      <c r="N51" s="9">
        <v>0</v>
      </c>
      <c r="O51" s="9">
        <v>0</v>
      </c>
      <c r="P51" s="9">
        <v>1585.182</v>
      </c>
      <c r="Q51" s="9">
        <v>0</v>
      </c>
      <c r="R51" s="9">
        <v>506803</v>
      </c>
      <c r="S51" s="9">
        <v>319.71300000000002</v>
      </c>
      <c r="T51" s="9">
        <v>0</v>
      </c>
      <c r="U51" s="9">
        <v>506803</v>
      </c>
      <c r="V51" s="9">
        <v>10.877000000000001</v>
      </c>
      <c r="W51" s="9">
        <v>7129</v>
      </c>
      <c r="X51" s="9">
        <v>7129</v>
      </c>
      <c r="Y51" s="9">
        <v>0</v>
      </c>
      <c r="Z51" s="9">
        <v>0</v>
      </c>
      <c r="AA51" s="9">
        <v>1</v>
      </c>
      <c r="AB51" s="9">
        <v>1</v>
      </c>
      <c r="AC51" s="9">
        <v>0</v>
      </c>
      <c r="AD51" s="9" t="s">
        <v>314</v>
      </c>
      <c r="AE51" s="9">
        <v>0</v>
      </c>
      <c r="AF51" s="9">
        <v>0</v>
      </c>
      <c r="AG51" s="9">
        <v>0</v>
      </c>
      <c r="AH51" s="9">
        <v>0</v>
      </c>
      <c r="AI51" s="9">
        <v>0</v>
      </c>
      <c r="AJ51" s="9">
        <v>5104</v>
      </c>
      <c r="AK51" s="9" t="s">
        <v>651</v>
      </c>
      <c r="AL51" s="9" t="s">
        <v>425</v>
      </c>
      <c r="AM51" s="9">
        <v>0</v>
      </c>
      <c r="AN51" s="9">
        <v>0</v>
      </c>
      <c r="AO51" s="9">
        <v>0</v>
      </c>
      <c r="AP51" s="9">
        <v>0</v>
      </c>
      <c r="AQ51" s="9">
        <v>0</v>
      </c>
      <c r="AR51" s="9">
        <v>0</v>
      </c>
      <c r="AS51" s="9">
        <v>0</v>
      </c>
      <c r="AT51" s="9">
        <v>0</v>
      </c>
      <c r="AU51" s="9">
        <v>0</v>
      </c>
      <c r="AV51" s="9">
        <v>385690</v>
      </c>
      <c r="AW51" s="9">
        <v>13687665</v>
      </c>
      <c r="AX51" s="9">
        <v>13368930</v>
      </c>
      <c r="AY51" s="9">
        <v>14008484</v>
      </c>
      <c r="AZ51" s="9">
        <v>506803</v>
      </c>
      <c r="BA51" s="9">
        <v>95.582999999999998</v>
      </c>
      <c r="BB51" s="9">
        <v>0</v>
      </c>
      <c r="BC51" s="9">
        <v>0</v>
      </c>
      <c r="BD51" s="9">
        <v>0</v>
      </c>
      <c r="BE51" s="9">
        <v>0</v>
      </c>
      <c r="BF51" s="9">
        <v>11428980</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318735</v>
      </c>
      <c r="CI51" s="9">
        <v>0</v>
      </c>
      <c r="CJ51" s="9">
        <v>4</v>
      </c>
      <c r="CK51" s="9">
        <v>0</v>
      </c>
      <c r="CL51" s="9">
        <v>0</v>
      </c>
      <c r="CM51" s="9">
        <v>0</v>
      </c>
      <c r="CN51" s="9">
        <v>0</v>
      </c>
      <c r="CO51" s="9">
        <v>0</v>
      </c>
      <c r="CP51" s="9">
        <v>0</v>
      </c>
      <c r="CQ51" s="9">
        <v>3.4170000000000003</v>
      </c>
      <c r="CR51" s="9">
        <v>1585.182</v>
      </c>
      <c r="CS51" s="9">
        <v>0</v>
      </c>
      <c r="CT51" s="9">
        <v>0</v>
      </c>
      <c r="CU51" s="9">
        <v>0</v>
      </c>
      <c r="CV51" s="9">
        <v>0</v>
      </c>
      <c r="CW51" s="9">
        <v>0</v>
      </c>
      <c r="CX51" s="9">
        <v>0</v>
      </c>
      <c r="CY51" s="9">
        <v>0</v>
      </c>
      <c r="CZ51" s="9">
        <v>0</v>
      </c>
      <c r="DA51" s="9">
        <v>1</v>
      </c>
      <c r="DB51" s="9">
        <v>8880559</v>
      </c>
      <c r="DC51" s="9">
        <v>0</v>
      </c>
      <c r="DD51" s="9">
        <v>0</v>
      </c>
      <c r="DE51" s="9">
        <v>2382812</v>
      </c>
      <c r="DF51" s="9">
        <v>2382812</v>
      </c>
      <c r="DG51" s="9">
        <v>1817.83</v>
      </c>
      <c r="DH51" s="9">
        <v>0</v>
      </c>
      <c r="DI51" s="9">
        <v>0</v>
      </c>
      <c r="DJ51" s="9">
        <v>0</v>
      </c>
      <c r="DK51" s="9">
        <v>5392</v>
      </c>
      <c r="DL51" s="9">
        <v>0</v>
      </c>
      <c r="DM51" s="9">
        <v>472276</v>
      </c>
      <c r="DN51" s="9">
        <v>0</v>
      </c>
      <c r="DO51" s="9">
        <v>0</v>
      </c>
      <c r="DP51" s="9">
        <v>0</v>
      </c>
      <c r="DQ51" s="9">
        <v>0</v>
      </c>
      <c r="DR51" s="9">
        <v>0</v>
      </c>
      <c r="DS51" s="9">
        <v>0</v>
      </c>
      <c r="DT51" s="9">
        <v>0</v>
      </c>
      <c r="DU51" s="9">
        <v>0</v>
      </c>
      <c r="DV51" s="9">
        <v>0</v>
      </c>
      <c r="DW51" s="9">
        <v>0</v>
      </c>
      <c r="DX51" s="9">
        <v>0</v>
      </c>
      <c r="DY51" s="9">
        <v>0</v>
      </c>
      <c r="DZ51" s="9">
        <v>0</v>
      </c>
      <c r="EA51" s="9">
        <v>0</v>
      </c>
      <c r="EB51" s="9">
        <v>0</v>
      </c>
      <c r="EC51" s="9">
        <v>19.832000000000001</v>
      </c>
      <c r="ED51" s="9">
        <v>142977</v>
      </c>
      <c r="EE51" s="9">
        <v>0</v>
      </c>
      <c r="EF51" s="9">
        <v>0</v>
      </c>
      <c r="EG51" s="9">
        <v>0</v>
      </c>
      <c r="EH51" s="9">
        <v>329299</v>
      </c>
      <c r="EI51" s="9">
        <v>0</v>
      </c>
      <c r="EJ51" s="9">
        <v>0</v>
      </c>
      <c r="EK51" s="9">
        <v>11.234</v>
      </c>
      <c r="EL51" s="9">
        <v>0</v>
      </c>
      <c r="EM51" s="9">
        <v>2.3640000000000003</v>
      </c>
      <c r="EN51" s="9">
        <v>1.8900000000000001</v>
      </c>
      <c r="EO51" s="9">
        <v>0</v>
      </c>
      <c r="EP51" s="9">
        <v>0</v>
      </c>
      <c r="EQ51" s="9">
        <v>15.488000000000001</v>
      </c>
      <c r="ER51" s="9">
        <v>0</v>
      </c>
      <c r="ES51" s="9">
        <v>50.244</v>
      </c>
      <c r="ET51" s="9">
        <v>48646</v>
      </c>
      <c r="EU51" s="9">
        <v>506803</v>
      </c>
      <c r="EV51" s="9">
        <v>0</v>
      </c>
      <c r="EW51" s="9">
        <v>0</v>
      </c>
      <c r="EX51" s="9">
        <v>0</v>
      </c>
      <c r="EY51" s="9">
        <v>0</v>
      </c>
      <c r="EZ51" s="9">
        <v>11236860</v>
      </c>
      <c r="FA51" s="9">
        <v>0</v>
      </c>
      <c r="FB51" s="9">
        <v>11743663</v>
      </c>
      <c r="FC51" s="9">
        <v>0.97327799999999998</v>
      </c>
      <c r="FD51" s="9">
        <v>0</v>
      </c>
      <c r="FE51" s="9">
        <v>1739970</v>
      </c>
      <c r="FF51" s="9">
        <v>392100</v>
      </c>
      <c r="FG51" s="9">
        <v>6.1239999999999996E-2</v>
      </c>
      <c r="FH51" s="9">
        <v>5.4803999999999999E-2</v>
      </c>
      <c r="FI51" s="9">
        <v>0</v>
      </c>
      <c r="FJ51" s="9">
        <v>0</v>
      </c>
      <c r="FK51" s="9">
        <v>2239.297</v>
      </c>
      <c r="FL51" s="9">
        <v>14194468</v>
      </c>
      <c r="FM51" s="9">
        <v>0</v>
      </c>
      <c r="FN51" s="9">
        <v>0</v>
      </c>
      <c r="FO51" s="9">
        <v>887</v>
      </c>
      <c r="FP51" s="9">
        <v>0</v>
      </c>
      <c r="FQ51" s="9">
        <v>887</v>
      </c>
      <c r="FR51" s="9">
        <v>887</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13875733</v>
      </c>
      <c r="GQ51" s="9">
        <v>13875733</v>
      </c>
      <c r="GR51" s="9">
        <v>0</v>
      </c>
      <c r="GS51" s="9">
        <v>0</v>
      </c>
      <c r="GT51" s="9">
        <v>0</v>
      </c>
      <c r="GU51" s="9">
        <v>0</v>
      </c>
      <c r="GV51" s="9">
        <v>0</v>
      </c>
      <c r="GW51" s="9">
        <v>0</v>
      </c>
      <c r="GX51" s="9">
        <v>0</v>
      </c>
      <c r="GY51" s="9">
        <v>0</v>
      </c>
      <c r="GZ51" s="9">
        <v>0</v>
      </c>
      <c r="HA51" s="9">
        <v>0</v>
      </c>
      <c r="HB51" s="9">
        <v>260786259</v>
      </c>
      <c r="HC51" s="9">
        <v>5.0923999999999997E-2</v>
      </c>
      <c r="HD51" s="9">
        <v>270089</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32469</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row>
    <row r="52" spans="1:292" x14ac:dyDescent="0.25">
      <c r="A52" s="9">
        <v>57819</v>
      </c>
      <c r="B52" s="9">
        <v>32570</v>
      </c>
      <c r="C52" s="9">
        <v>35</v>
      </c>
      <c r="D52" s="9">
        <v>2022</v>
      </c>
      <c r="E52" s="9">
        <v>5392</v>
      </c>
      <c r="F52" s="9">
        <v>0</v>
      </c>
      <c r="G52" s="9">
        <v>190.93100000000001</v>
      </c>
      <c r="H52" s="9">
        <v>181.98600000000002</v>
      </c>
      <c r="I52" s="9">
        <v>181.98600000000002</v>
      </c>
      <c r="J52" s="9">
        <v>190.93100000000001</v>
      </c>
      <c r="K52" s="9">
        <v>0</v>
      </c>
      <c r="L52" s="9">
        <v>6554</v>
      </c>
      <c r="M52" s="9">
        <v>0</v>
      </c>
      <c r="N52" s="9">
        <v>0</v>
      </c>
      <c r="O52" s="9">
        <v>0</v>
      </c>
      <c r="P52" s="9">
        <v>175.93900000000002</v>
      </c>
      <c r="Q52" s="9">
        <v>0</v>
      </c>
      <c r="R52" s="9">
        <v>56250</v>
      </c>
      <c r="S52" s="9">
        <v>319.71300000000002</v>
      </c>
      <c r="T52" s="9">
        <v>0</v>
      </c>
      <c r="U52" s="9">
        <v>56250</v>
      </c>
      <c r="V52" s="9">
        <v>91.01100000000001</v>
      </c>
      <c r="W52" s="9">
        <v>59649</v>
      </c>
      <c r="X52" s="9">
        <v>59649</v>
      </c>
      <c r="Y52" s="9">
        <v>0</v>
      </c>
      <c r="Z52" s="9">
        <v>0</v>
      </c>
      <c r="AA52" s="9">
        <v>1</v>
      </c>
      <c r="AB52" s="9">
        <v>1</v>
      </c>
      <c r="AC52" s="9">
        <v>0</v>
      </c>
      <c r="AD52" s="9" t="s">
        <v>314</v>
      </c>
      <c r="AE52" s="9">
        <v>0</v>
      </c>
      <c r="AF52" s="9">
        <v>0</v>
      </c>
      <c r="AG52" s="9">
        <v>0</v>
      </c>
      <c r="AH52" s="9">
        <v>0</v>
      </c>
      <c r="AI52" s="9">
        <v>0</v>
      </c>
      <c r="AJ52" s="9">
        <v>5104</v>
      </c>
      <c r="AK52" s="9" t="s">
        <v>651</v>
      </c>
      <c r="AL52" s="9" t="s">
        <v>43</v>
      </c>
      <c r="AM52" s="9">
        <v>0</v>
      </c>
      <c r="AN52" s="9">
        <v>0</v>
      </c>
      <c r="AO52" s="9">
        <v>0</v>
      </c>
      <c r="AP52" s="9">
        <v>0</v>
      </c>
      <c r="AQ52" s="9">
        <v>0</v>
      </c>
      <c r="AR52" s="9">
        <v>0</v>
      </c>
      <c r="AS52" s="9">
        <v>0</v>
      </c>
      <c r="AT52" s="9">
        <v>0</v>
      </c>
      <c r="AU52" s="9">
        <v>0</v>
      </c>
      <c r="AV52" s="9">
        <v>103288</v>
      </c>
      <c r="AW52" s="9">
        <v>1963555</v>
      </c>
      <c r="AX52" s="9">
        <v>1914821</v>
      </c>
      <c r="AY52" s="9">
        <v>2061983</v>
      </c>
      <c r="AZ52" s="9">
        <v>62606</v>
      </c>
      <c r="BA52" s="9">
        <v>9</v>
      </c>
      <c r="BB52" s="9">
        <v>0</v>
      </c>
      <c r="BC52" s="9">
        <v>0</v>
      </c>
      <c r="BD52" s="9">
        <v>0</v>
      </c>
      <c r="BE52" s="9">
        <v>0</v>
      </c>
      <c r="BF52" s="9">
        <v>1604717</v>
      </c>
      <c r="BG52" s="9">
        <v>0</v>
      </c>
      <c r="BH52" s="9">
        <v>23.114000000000001</v>
      </c>
      <c r="BI52" s="9">
        <v>6356</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42378</v>
      </c>
      <c r="CI52" s="9">
        <v>0</v>
      </c>
      <c r="CJ52" s="9">
        <v>4</v>
      </c>
      <c r="CK52" s="9">
        <v>0</v>
      </c>
      <c r="CL52" s="9">
        <v>0</v>
      </c>
      <c r="CM52" s="9">
        <v>0</v>
      </c>
      <c r="CN52" s="9">
        <v>0</v>
      </c>
      <c r="CO52" s="9">
        <v>0</v>
      </c>
      <c r="CP52" s="9">
        <v>0</v>
      </c>
      <c r="CQ52" s="9">
        <v>1</v>
      </c>
      <c r="CR52" s="9">
        <v>175.93900000000002</v>
      </c>
      <c r="CS52" s="9">
        <v>0</v>
      </c>
      <c r="CT52" s="9">
        <v>0</v>
      </c>
      <c r="CU52" s="9">
        <v>0</v>
      </c>
      <c r="CV52" s="9">
        <v>0</v>
      </c>
      <c r="CW52" s="9">
        <v>0</v>
      </c>
      <c r="CX52" s="9">
        <v>0</v>
      </c>
      <c r="CY52" s="9">
        <v>0</v>
      </c>
      <c r="CZ52" s="9">
        <v>0</v>
      </c>
      <c r="DA52" s="9">
        <v>1</v>
      </c>
      <c r="DB52" s="9">
        <v>1192736</v>
      </c>
      <c r="DC52" s="9">
        <v>0</v>
      </c>
      <c r="DD52" s="9">
        <v>0</v>
      </c>
      <c r="DE52" s="9">
        <v>266092</v>
      </c>
      <c r="DF52" s="9">
        <v>266092</v>
      </c>
      <c r="DG52" s="9">
        <v>203</v>
      </c>
      <c r="DH52" s="9">
        <v>0</v>
      </c>
      <c r="DI52" s="9">
        <v>0</v>
      </c>
      <c r="DJ52" s="9">
        <v>0</v>
      </c>
      <c r="DK52" s="9">
        <v>5392</v>
      </c>
      <c r="DL52" s="9">
        <v>0</v>
      </c>
      <c r="DM52" s="9">
        <v>68945</v>
      </c>
      <c r="DN52" s="9">
        <v>0</v>
      </c>
      <c r="DO52" s="9">
        <v>0</v>
      </c>
      <c r="DP52" s="9">
        <v>0</v>
      </c>
      <c r="DQ52" s="9">
        <v>0</v>
      </c>
      <c r="DR52" s="9">
        <v>0</v>
      </c>
      <c r="DS52" s="9">
        <v>0</v>
      </c>
      <c r="DT52" s="9">
        <v>0</v>
      </c>
      <c r="DU52" s="9">
        <v>0</v>
      </c>
      <c r="DV52" s="9">
        <v>0</v>
      </c>
      <c r="DW52" s="9">
        <v>0</v>
      </c>
      <c r="DX52" s="9">
        <v>0</v>
      </c>
      <c r="DY52" s="9">
        <v>0</v>
      </c>
      <c r="DZ52" s="9">
        <v>0</v>
      </c>
      <c r="EA52" s="9">
        <v>0</v>
      </c>
      <c r="EB52" s="9">
        <v>0</v>
      </c>
      <c r="EC52" s="9">
        <v>3.706</v>
      </c>
      <c r="ED52" s="9">
        <v>26718</v>
      </c>
      <c r="EE52" s="9">
        <v>0</v>
      </c>
      <c r="EF52" s="9">
        <v>0</v>
      </c>
      <c r="EG52" s="9">
        <v>0</v>
      </c>
      <c r="EH52" s="9">
        <v>42227</v>
      </c>
      <c r="EI52" s="9">
        <v>0</v>
      </c>
      <c r="EJ52" s="9">
        <v>0</v>
      </c>
      <c r="EK52" s="9">
        <v>1.8260000000000001</v>
      </c>
      <c r="EL52" s="9">
        <v>0</v>
      </c>
      <c r="EM52" s="9">
        <v>0</v>
      </c>
      <c r="EN52" s="9">
        <v>0.193</v>
      </c>
      <c r="EO52" s="9">
        <v>0</v>
      </c>
      <c r="EP52" s="9">
        <v>0</v>
      </c>
      <c r="EQ52" s="9">
        <v>2.0190000000000001</v>
      </c>
      <c r="ER52" s="9">
        <v>0</v>
      </c>
      <c r="ES52" s="9">
        <v>6.4430000000000005</v>
      </c>
      <c r="ET52" s="9">
        <v>4750</v>
      </c>
      <c r="EU52" s="9">
        <v>62606</v>
      </c>
      <c r="EV52" s="9">
        <v>0</v>
      </c>
      <c r="EW52" s="9">
        <v>0</v>
      </c>
      <c r="EX52" s="9">
        <v>0</v>
      </c>
      <c r="EY52" s="9">
        <v>0</v>
      </c>
      <c r="EZ52" s="9">
        <v>1615461</v>
      </c>
      <c r="FA52" s="9">
        <v>0</v>
      </c>
      <c r="FB52" s="9">
        <v>1678067</v>
      </c>
      <c r="FC52" s="9">
        <v>0.97327799999999998</v>
      </c>
      <c r="FD52" s="9">
        <v>0</v>
      </c>
      <c r="FE52" s="9">
        <v>244306</v>
      </c>
      <c r="FF52" s="9">
        <v>55054</v>
      </c>
      <c r="FG52" s="9">
        <v>6.1239999999999996E-2</v>
      </c>
      <c r="FH52" s="9">
        <v>5.4803999999999999E-2</v>
      </c>
      <c r="FI52" s="9">
        <v>0</v>
      </c>
      <c r="FJ52" s="9">
        <v>0</v>
      </c>
      <c r="FK52" s="9">
        <v>314.41500000000002</v>
      </c>
      <c r="FL52" s="9">
        <v>2019805</v>
      </c>
      <c r="FM52" s="9">
        <v>0</v>
      </c>
      <c r="FN52" s="9">
        <v>0</v>
      </c>
      <c r="FO52" s="9">
        <v>22935</v>
      </c>
      <c r="FP52" s="9">
        <v>0</v>
      </c>
      <c r="FQ52" s="9">
        <v>22935</v>
      </c>
      <c r="FR52" s="9">
        <v>22935</v>
      </c>
      <c r="FS52" s="9">
        <v>0</v>
      </c>
      <c r="FT52" s="9">
        <v>0</v>
      </c>
      <c r="FU52" s="9">
        <v>0</v>
      </c>
      <c r="FV52" s="9">
        <v>0</v>
      </c>
      <c r="FW52" s="9">
        <v>0</v>
      </c>
      <c r="FX52" s="9">
        <v>0</v>
      </c>
      <c r="FY52" s="9">
        <v>0</v>
      </c>
      <c r="FZ52" s="9">
        <v>73</v>
      </c>
      <c r="GA52" s="9">
        <v>1.466</v>
      </c>
      <c r="GB52" s="9">
        <v>61354</v>
      </c>
      <c r="GC52" s="9">
        <v>61354</v>
      </c>
      <c r="GD52" s="9">
        <v>6.9260000000000002</v>
      </c>
      <c r="GE52" s="9">
        <v>0</v>
      </c>
      <c r="GF52" s="9">
        <v>0</v>
      </c>
      <c r="GG52" s="9">
        <v>0</v>
      </c>
      <c r="GH52" s="9">
        <v>0</v>
      </c>
      <c r="GI52" s="9">
        <v>0</v>
      </c>
      <c r="GJ52" s="9">
        <v>0</v>
      </c>
      <c r="GK52" s="9">
        <v>5666</v>
      </c>
      <c r="GL52" s="9">
        <v>3056</v>
      </c>
      <c r="GM52" s="9">
        <v>0</v>
      </c>
      <c r="GN52" s="9">
        <v>96198</v>
      </c>
      <c r="GO52" s="9">
        <v>0</v>
      </c>
      <c r="GP52" s="9">
        <v>1977427</v>
      </c>
      <c r="GQ52" s="9">
        <v>1977427</v>
      </c>
      <c r="GR52" s="9">
        <v>0</v>
      </c>
      <c r="GS52" s="9">
        <v>0</v>
      </c>
      <c r="GT52" s="9">
        <v>0</v>
      </c>
      <c r="GU52" s="9">
        <v>0</v>
      </c>
      <c r="GV52" s="9">
        <v>0</v>
      </c>
      <c r="GW52" s="9">
        <v>0</v>
      </c>
      <c r="GX52" s="9">
        <v>0</v>
      </c>
      <c r="GY52" s="9">
        <v>0</v>
      </c>
      <c r="GZ52" s="9">
        <v>0</v>
      </c>
      <c r="HA52" s="9">
        <v>0</v>
      </c>
      <c r="HB52" s="9">
        <v>260786259</v>
      </c>
      <c r="HC52" s="9">
        <v>5.0923999999999997E-2</v>
      </c>
      <c r="HD52" s="9">
        <v>37628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32469</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row>
    <row r="53" spans="1:292" x14ac:dyDescent="0.25">
      <c r="A53" s="9">
        <v>57827</v>
      </c>
      <c r="B53" s="9">
        <v>32570</v>
      </c>
      <c r="C53" s="9">
        <v>35</v>
      </c>
      <c r="D53" s="9">
        <v>2022</v>
      </c>
      <c r="E53" s="9">
        <v>5392</v>
      </c>
      <c r="F53" s="9">
        <v>0</v>
      </c>
      <c r="G53" s="9">
        <v>563.10800000000006</v>
      </c>
      <c r="H53" s="9">
        <v>562.48500000000001</v>
      </c>
      <c r="I53" s="9">
        <v>562.48500000000001</v>
      </c>
      <c r="J53" s="9">
        <v>563.10800000000006</v>
      </c>
      <c r="K53" s="9">
        <v>0</v>
      </c>
      <c r="L53" s="9">
        <v>6554</v>
      </c>
      <c r="M53" s="9">
        <v>0</v>
      </c>
      <c r="N53" s="9">
        <v>0</v>
      </c>
      <c r="O53" s="9">
        <v>0</v>
      </c>
      <c r="P53" s="9">
        <v>556.072</v>
      </c>
      <c r="Q53" s="9">
        <v>0</v>
      </c>
      <c r="R53" s="9">
        <v>177783</v>
      </c>
      <c r="S53" s="9">
        <v>319.71300000000002</v>
      </c>
      <c r="T53" s="9">
        <v>0</v>
      </c>
      <c r="U53" s="9">
        <v>177783</v>
      </c>
      <c r="V53" s="9">
        <v>178.47800000000001</v>
      </c>
      <c r="W53" s="9">
        <v>116974</v>
      </c>
      <c r="X53" s="9">
        <v>116974</v>
      </c>
      <c r="Y53" s="9">
        <v>0</v>
      </c>
      <c r="Z53" s="9">
        <v>0</v>
      </c>
      <c r="AA53" s="9">
        <v>1</v>
      </c>
      <c r="AB53" s="9">
        <v>1</v>
      </c>
      <c r="AC53" s="9">
        <v>0</v>
      </c>
      <c r="AD53" s="9" t="s">
        <v>314</v>
      </c>
      <c r="AE53" s="9">
        <v>0</v>
      </c>
      <c r="AF53" s="9">
        <v>0</v>
      </c>
      <c r="AG53" s="9">
        <v>0</v>
      </c>
      <c r="AH53" s="9">
        <v>0</v>
      </c>
      <c r="AI53" s="9">
        <v>0</v>
      </c>
      <c r="AJ53" s="9">
        <v>5104</v>
      </c>
      <c r="AK53" s="9" t="s">
        <v>651</v>
      </c>
      <c r="AL53" s="9" t="s">
        <v>456</v>
      </c>
      <c r="AM53" s="9">
        <v>0</v>
      </c>
      <c r="AN53" s="9">
        <v>0</v>
      </c>
      <c r="AO53" s="9">
        <v>0</v>
      </c>
      <c r="AP53" s="9">
        <v>0</v>
      </c>
      <c r="AQ53" s="9">
        <v>0</v>
      </c>
      <c r="AR53" s="9">
        <v>0</v>
      </c>
      <c r="AS53" s="9">
        <v>0</v>
      </c>
      <c r="AT53" s="9">
        <v>0</v>
      </c>
      <c r="AU53" s="9">
        <v>0</v>
      </c>
      <c r="AV53" s="9">
        <v>220275</v>
      </c>
      <c r="AW53" s="9">
        <v>5609174</v>
      </c>
      <c r="AX53" s="9">
        <v>5487156</v>
      </c>
      <c r="AY53" s="9">
        <v>6019297</v>
      </c>
      <c r="AZ53" s="9">
        <v>177783</v>
      </c>
      <c r="BA53" s="9">
        <v>21.667000000000002</v>
      </c>
      <c r="BB53" s="9">
        <v>0</v>
      </c>
      <c r="BC53" s="9">
        <v>0</v>
      </c>
      <c r="BD53" s="9">
        <v>0</v>
      </c>
      <c r="BE53" s="9">
        <v>0</v>
      </c>
      <c r="BF53" s="9">
        <v>4666320</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122018</v>
      </c>
      <c r="CI53" s="9">
        <v>0</v>
      </c>
      <c r="CJ53" s="9">
        <v>4</v>
      </c>
      <c r="CK53" s="9">
        <v>0</v>
      </c>
      <c r="CL53" s="9">
        <v>0</v>
      </c>
      <c r="CM53" s="9">
        <v>0</v>
      </c>
      <c r="CN53" s="9">
        <v>0</v>
      </c>
      <c r="CO53" s="9">
        <v>0</v>
      </c>
      <c r="CP53" s="9">
        <v>0</v>
      </c>
      <c r="CQ53" s="9">
        <v>0.83300000000000007</v>
      </c>
      <c r="CR53" s="9">
        <v>556.072</v>
      </c>
      <c r="CS53" s="9">
        <v>0</v>
      </c>
      <c r="CT53" s="9">
        <v>0</v>
      </c>
      <c r="CU53" s="9">
        <v>0</v>
      </c>
      <c r="CV53" s="9">
        <v>0</v>
      </c>
      <c r="CW53" s="9">
        <v>0</v>
      </c>
      <c r="CX53" s="9">
        <v>0</v>
      </c>
      <c r="CY53" s="9">
        <v>0</v>
      </c>
      <c r="CZ53" s="9">
        <v>0</v>
      </c>
      <c r="DA53" s="9">
        <v>1</v>
      </c>
      <c r="DB53" s="9">
        <v>3686527</v>
      </c>
      <c r="DC53" s="9">
        <v>0</v>
      </c>
      <c r="DD53" s="9">
        <v>0</v>
      </c>
      <c r="DE53" s="9">
        <v>807020</v>
      </c>
      <c r="DF53" s="9">
        <v>807020</v>
      </c>
      <c r="DG53" s="9">
        <v>615.66999999999996</v>
      </c>
      <c r="DH53" s="9">
        <v>0</v>
      </c>
      <c r="DI53" s="9">
        <v>0</v>
      </c>
      <c r="DJ53" s="9">
        <v>0</v>
      </c>
      <c r="DK53" s="9">
        <v>5392</v>
      </c>
      <c r="DL53" s="9">
        <v>0</v>
      </c>
      <c r="DM53" s="9">
        <v>183918</v>
      </c>
      <c r="DN53" s="9">
        <v>0</v>
      </c>
      <c r="DO53" s="9">
        <v>0</v>
      </c>
      <c r="DP53" s="9">
        <v>0</v>
      </c>
      <c r="DQ53" s="9">
        <v>0</v>
      </c>
      <c r="DR53" s="9">
        <v>0</v>
      </c>
      <c r="DS53" s="9">
        <v>0</v>
      </c>
      <c r="DT53" s="9">
        <v>0</v>
      </c>
      <c r="DU53" s="9">
        <v>0</v>
      </c>
      <c r="DV53" s="9">
        <v>0</v>
      </c>
      <c r="DW53" s="9">
        <v>0</v>
      </c>
      <c r="DX53" s="9">
        <v>0</v>
      </c>
      <c r="DY53" s="9">
        <v>0</v>
      </c>
      <c r="DZ53" s="9">
        <v>0</v>
      </c>
      <c r="EA53" s="9">
        <v>0</v>
      </c>
      <c r="EB53" s="9">
        <v>0</v>
      </c>
      <c r="EC53" s="9">
        <v>22.679000000000002</v>
      </c>
      <c r="ED53" s="9">
        <v>163502</v>
      </c>
      <c r="EE53" s="9">
        <v>0</v>
      </c>
      <c r="EF53" s="9">
        <v>0</v>
      </c>
      <c r="EG53" s="9">
        <v>0</v>
      </c>
      <c r="EH53" s="9">
        <v>20416</v>
      </c>
      <c r="EI53" s="9">
        <v>0</v>
      </c>
      <c r="EJ53" s="9">
        <v>0</v>
      </c>
      <c r="EK53" s="9">
        <v>0</v>
      </c>
      <c r="EL53" s="9">
        <v>0</v>
      </c>
      <c r="EM53" s="9">
        <v>0</v>
      </c>
      <c r="EN53" s="9">
        <v>0.623</v>
      </c>
      <c r="EO53" s="9">
        <v>0</v>
      </c>
      <c r="EP53" s="9">
        <v>0</v>
      </c>
      <c r="EQ53" s="9">
        <v>0.623</v>
      </c>
      <c r="ER53" s="9">
        <v>0</v>
      </c>
      <c r="ES53" s="9">
        <v>3.1150000000000002</v>
      </c>
      <c r="ET53" s="9">
        <v>11042</v>
      </c>
      <c r="EU53" s="9">
        <v>177783</v>
      </c>
      <c r="EV53" s="9">
        <v>0</v>
      </c>
      <c r="EW53" s="9">
        <v>0</v>
      </c>
      <c r="EX53" s="9">
        <v>0</v>
      </c>
      <c r="EY53" s="9">
        <v>0</v>
      </c>
      <c r="EZ53" s="9">
        <v>4616656</v>
      </c>
      <c r="FA53" s="9">
        <v>0</v>
      </c>
      <c r="FB53" s="9">
        <v>4794439</v>
      </c>
      <c r="FC53" s="9">
        <v>0.97327799999999998</v>
      </c>
      <c r="FD53" s="9">
        <v>0</v>
      </c>
      <c r="FE53" s="9">
        <v>710410</v>
      </c>
      <c r="FF53" s="9">
        <v>160090</v>
      </c>
      <c r="FG53" s="9">
        <v>6.1239999999999996E-2</v>
      </c>
      <c r="FH53" s="9">
        <v>5.4803999999999999E-2</v>
      </c>
      <c r="FI53" s="9">
        <v>0</v>
      </c>
      <c r="FJ53" s="9">
        <v>0</v>
      </c>
      <c r="FK53" s="9">
        <v>914.279</v>
      </c>
      <c r="FL53" s="9">
        <v>5786957</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5664939</v>
      </c>
      <c r="GQ53" s="9">
        <v>5664939</v>
      </c>
      <c r="GR53" s="9">
        <v>0</v>
      </c>
      <c r="GS53" s="9">
        <v>0</v>
      </c>
      <c r="GT53" s="9">
        <v>0</v>
      </c>
      <c r="GU53" s="9">
        <v>0</v>
      </c>
      <c r="GV53" s="9">
        <v>0</v>
      </c>
      <c r="GW53" s="9">
        <v>0</v>
      </c>
      <c r="GX53" s="9">
        <v>0</v>
      </c>
      <c r="GY53" s="9">
        <v>0</v>
      </c>
      <c r="GZ53" s="9">
        <v>0</v>
      </c>
      <c r="HA53" s="9">
        <v>0</v>
      </c>
      <c r="HB53" s="9">
        <v>260786259</v>
      </c>
      <c r="HC53" s="9">
        <v>5.0923999999999997E-2</v>
      </c>
      <c r="HD53" s="9">
        <v>110976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32469</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row>
    <row r="54" spans="1:292" x14ac:dyDescent="0.25">
      <c r="A54" s="9">
        <v>57828</v>
      </c>
      <c r="B54" s="9">
        <v>32570</v>
      </c>
      <c r="C54" s="9">
        <v>35</v>
      </c>
      <c r="D54" s="9">
        <v>2022</v>
      </c>
      <c r="E54" s="9">
        <v>5392</v>
      </c>
      <c r="F54" s="9">
        <v>0</v>
      </c>
      <c r="G54" s="9">
        <v>1003.7710000000001</v>
      </c>
      <c r="H54" s="9">
        <v>903.06299999999999</v>
      </c>
      <c r="I54" s="9">
        <v>903.06299999999999</v>
      </c>
      <c r="J54" s="9">
        <v>1003.7710000000001</v>
      </c>
      <c r="K54" s="9">
        <v>0</v>
      </c>
      <c r="L54" s="9">
        <v>6554</v>
      </c>
      <c r="M54" s="9">
        <v>0</v>
      </c>
      <c r="N54" s="9">
        <v>0</v>
      </c>
      <c r="O54" s="9">
        <v>0</v>
      </c>
      <c r="P54" s="9">
        <v>966.69800000000009</v>
      </c>
      <c r="Q54" s="9">
        <v>0</v>
      </c>
      <c r="R54" s="9">
        <v>309066</v>
      </c>
      <c r="S54" s="9">
        <v>319.71300000000002</v>
      </c>
      <c r="T54" s="9">
        <v>0</v>
      </c>
      <c r="U54" s="9">
        <v>309066</v>
      </c>
      <c r="V54" s="9">
        <v>154.196</v>
      </c>
      <c r="W54" s="9">
        <v>101060</v>
      </c>
      <c r="X54" s="9">
        <v>101060</v>
      </c>
      <c r="Y54" s="9">
        <v>0</v>
      </c>
      <c r="Z54" s="9">
        <v>0</v>
      </c>
      <c r="AA54" s="9">
        <v>1</v>
      </c>
      <c r="AB54" s="9">
        <v>1</v>
      </c>
      <c r="AC54" s="9">
        <v>0</v>
      </c>
      <c r="AD54" s="9" t="s">
        <v>314</v>
      </c>
      <c r="AE54" s="9">
        <v>0</v>
      </c>
      <c r="AF54" s="9">
        <v>0</v>
      </c>
      <c r="AG54" s="9">
        <v>0</v>
      </c>
      <c r="AH54" s="9">
        <v>0</v>
      </c>
      <c r="AI54" s="9">
        <v>0</v>
      </c>
      <c r="AJ54" s="9">
        <v>5104</v>
      </c>
      <c r="AK54" s="9" t="s">
        <v>651</v>
      </c>
      <c r="AL54" s="9" t="s">
        <v>83</v>
      </c>
      <c r="AM54" s="9">
        <v>0</v>
      </c>
      <c r="AN54" s="9">
        <v>0</v>
      </c>
      <c r="AO54" s="9">
        <v>0</v>
      </c>
      <c r="AP54" s="9">
        <v>0</v>
      </c>
      <c r="AQ54" s="9">
        <v>0</v>
      </c>
      <c r="AR54" s="9">
        <v>0</v>
      </c>
      <c r="AS54" s="9">
        <v>0</v>
      </c>
      <c r="AT54" s="9">
        <v>0</v>
      </c>
      <c r="AU54" s="9">
        <v>0</v>
      </c>
      <c r="AV54" s="9">
        <v>115549</v>
      </c>
      <c r="AW54" s="9">
        <v>10406496</v>
      </c>
      <c r="AX54" s="9">
        <v>9932646</v>
      </c>
      <c r="AY54" s="9">
        <v>10697617</v>
      </c>
      <c r="AZ54" s="9">
        <v>585095</v>
      </c>
      <c r="BA54" s="9">
        <v>0</v>
      </c>
      <c r="BB54" s="9">
        <v>0</v>
      </c>
      <c r="BC54" s="9">
        <v>0</v>
      </c>
      <c r="BD54" s="9">
        <v>0</v>
      </c>
      <c r="BE54" s="9">
        <v>0</v>
      </c>
      <c r="BF54" s="9">
        <v>8408535</v>
      </c>
      <c r="BG54" s="9">
        <v>0</v>
      </c>
      <c r="BH54" s="9">
        <v>1003.7430000000001</v>
      </c>
      <c r="BI54" s="9">
        <v>276029</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197821</v>
      </c>
      <c r="CI54" s="9">
        <v>0</v>
      </c>
      <c r="CJ54" s="9">
        <v>4</v>
      </c>
      <c r="CK54" s="9">
        <v>0</v>
      </c>
      <c r="CL54" s="9">
        <v>0</v>
      </c>
      <c r="CM54" s="9">
        <v>0</v>
      </c>
      <c r="CN54" s="9">
        <v>0</v>
      </c>
      <c r="CO54" s="9">
        <v>0</v>
      </c>
      <c r="CP54" s="9">
        <v>2.8640000000000003</v>
      </c>
      <c r="CQ54" s="9">
        <v>0</v>
      </c>
      <c r="CR54" s="9">
        <v>966.69800000000009</v>
      </c>
      <c r="CS54" s="9">
        <v>0</v>
      </c>
      <c r="CT54" s="9">
        <v>0</v>
      </c>
      <c r="CU54" s="9">
        <v>0</v>
      </c>
      <c r="CV54" s="9">
        <v>0</v>
      </c>
      <c r="CW54" s="9">
        <v>0</v>
      </c>
      <c r="CX54" s="9">
        <v>0</v>
      </c>
      <c r="CY54" s="9">
        <v>0</v>
      </c>
      <c r="CZ54" s="9">
        <v>0</v>
      </c>
      <c r="DA54" s="9">
        <v>1</v>
      </c>
      <c r="DB54" s="9">
        <v>5918675</v>
      </c>
      <c r="DC54" s="9">
        <v>0</v>
      </c>
      <c r="DD54" s="9">
        <v>0</v>
      </c>
      <c r="DE54" s="9">
        <v>1004728</v>
      </c>
      <c r="DF54" s="9">
        <v>1049965</v>
      </c>
      <c r="DG54" s="9">
        <v>766.5</v>
      </c>
      <c r="DH54" s="9">
        <v>0</v>
      </c>
      <c r="DI54" s="9">
        <v>45237</v>
      </c>
      <c r="DJ54" s="9">
        <v>0</v>
      </c>
      <c r="DK54" s="9">
        <v>5392</v>
      </c>
      <c r="DL54" s="9">
        <v>0</v>
      </c>
      <c r="DM54" s="9">
        <v>966184</v>
      </c>
      <c r="DN54" s="9">
        <v>0</v>
      </c>
      <c r="DO54" s="9">
        <v>0</v>
      </c>
      <c r="DP54" s="9">
        <v>0</v>
      </c>
      <c r="DQ54" s="9">
        <v>0</v>
      </c>
      <c r="DR54" s="9">
        <v>0</v>
      </c>
      <c r="DS54" s="9">
        <v>0</v>
      </c>
      <c r="DT54" s="9">
        <v>0</v>
      </c>
      <c r="DU54" s="9">
        <v>0</v>
      </c>
      <c r="DV54" s="9">
        <v>0</v>
      </c>
      <c r="DW54" s="9">
        <v>0</v>
      </c>
      <c r="DX54" s="9">
        <v>0</v>
      </c>
      <c r="DY54" s="9">
        <v>0</v>
      </c>
      <c r="DZ54" s="9">
        <v>0</v>
      </c>
      <c r="EA54" s="9">
        <v>0</v>
      </c>
      <c r="EB54" s="9">
        <v>0</v>
      </c>
      <c r="EC54" s="9">
        <v>44.459000000000003</v>
      </c>
      <c r="ED54" s="9">
        <v>320523</v>
      </c>
      <c r="EE54" s="9">
        <v>0</v>
      </c>
      <c r="EF54" s="9">
        <v>0</v>
      </c>
      <c r="EG54" s="9">
        <v>0</v>
      </c>
      <c r="EH54" s="9">
        <v>645661</v>
      </c>
      <c r="EI54" s="9">
        <v>0</v>
      </c>
      <c r="EJ54" s="9">
        <v>0</v>
      </c>
      <c r="EK54" s="9">
        <v>32.003</v>
      </c>
      <c r="EL54" s="9">
        <v>0</v>
      </c>
      <c r="EM54" s="9">
        <v>0</v>
      </c>
      <c r="EN54" s="9">
        <v>0.501</v>
      </c>
      <c r="EO54" s="9">
        <v>0</v>
      </c>
      <c r="EP54" s="9">
        <v>0</v>
      </c>
      <c r="EQ54" s="9">
        <v>32.504000000000005</v>
      </c>
      <c r="ER54" s="9">
        <v>0</v>
      </c>
      <c r="ES54" s="9">
        <v>98.51400000000001</v>
      </c>
      <c r="ET54" s="9">
        <v>0</v>
      </c>
      <c r="EU54" s="9">
        <v>585095</v>
      </c>
      <c r="EV54" s="9">
        <v>0</v>
      </c>
      <c r="EW54" s="9">
        <v>0</v>
      </c>
      <c r="EX54" s="9">
        <v>0</v>
      </c>
      <c r="EY54" s="9">
        <v>0</v>
      </c>
      <c r="EZ54" s="9">
        <v>8364038</v>
      </c>
      <c r="FA54" s="9">
        <v>0</v>
      </c>
      <c r="FB54" s="9">
        <v>8949133</v>
      </c>
      <c r="FC54" s="9">
        <v>0.97327799999999998</v>
      </c>
      <c r="FD54" s="9">
        <v>0</v>
      </c>
      <c r="FE54" s="9">
        <v>1280132</v>
      </c>
      <c r="FF54" s="9">
        <v>288476</v>
      </c>
      <c r="FG54" s="9">
        <v>6.1239999999999996E-2</v>
      </c>
      <c r="FH54" s="9">
        <v>5.4803999999999999E-2</v>
      </c>
      <c r="FI54" s="9">
        <v>0</v>
      </c>
      <c r="FJ54" s="9">
        <v>0</v>
      </c>
      <c r="FK54" s="9">
        <v>1647.4970000000001</v>
      </c>
      <c r="FL54" s="9">
        <v>10715562</v>
      </c>
      <c r="FM54" s="9">
        <v>0</v>
      </c>
      <c r="FN54" s="9">
        <v>0</v>
      </c>
      <c r="FO54" s="9">
        <v>33703</v>
      </c>
      <c r="FP54" s="9">
        <v>0</v>
      </c>
      <c r="FQ54" s="9">
        <v>33703</v>
      </c>
      <c r="FR54" s="9">
        <v>33703</v>
      </c>
      <c r="FS54" s="9">
        <v>0</v>
      </c>
      <c r="FT54" s="9">
        <v>0</v>
      </c>
      <c r="FU54" s="9">
        <v>0</v>
      </c>
      <c r="FV54" s="9">
        <v>0</v>
      </c>
      <c r="FW54" s="9">
        <v>0</v>
      </c>
      <c r="FX54" s="9">
        <v>0</v>
      </c>
      <c r="FY54" s="9">
        <v>0</v>
      </c>
      <c r="FZ54" s="9">
        <v>55</v>
      </c>
      <c r="GA54" s="9">
        <v>1.099</v>
      </c>
      <c r="GB54" s="9">
        <v>603517</v>
      </c>
      <c r="GC54" s="9">
        <v>603517</v>
      </c>
      <c r="GD54" s="9">
        <v>68.204000000000008</v>
      </c>
      <c r="GE54" s="9">
        <v>0</v>
      </c>
      <c r="GF54" s="9">
        <v>0</v>
      </c>
      <c r="GG54" s="9">
        <v>0</v>
      </c>
      <c r="GH54" s="9">
        <v>0</v>
      </c>
      <c r="GI54" s="9">
        <v>0</v>
      </c>
      <c r="GJ54" s="9">
        <v>0</v>
      </c>
      <c r="GK54" s="9">
        <v>5252</v>
      </c>
      <c r="GL54" s="9">
        <v>52841</v>
      </c>
      <c r="GM54" s="9">
        <v>0</v>
      </c>
      <c r="GN54" s="9">
        <v>0</v>
      </c>
      <c r="GO54" s="9">
        <v>0</v>
      </c>
      <c r="GP54" s="9">
        <v>10517741</v>
      </c>
      <c r="GQ54" s="9">
        <v>10517741</v>
      </c>
      <c r="GR54" s="9">
        <v>0</v>
      </c>
      <c r="GS54" s="9">
        <v>0</v>
      </c>
      <c r="GT54" s="9">
        <v>0</v>
      </c>
      <c r="GU54" s="9">
        <v>0</v>
      </c>
      <c r="GV54" s="9">
        <v>0</v>
      </c>
      <c r="GW54" s="9">
        <v>0</v>
      </c>
      <c r="GX54" s="9">
        <v>0</v>
      </c>
      <c r="GY54" s="9">
        <v>0</v>
      </c>
      <c r="GZ54" s="9">
        <v>0</v>
      </c>
      <c r="HA54" s="9">
        <v>0</v>
      </c>
      <c r="HB54" s="9">
        <v>260786259</v>
      </c>
      <c r="HC54" s="9">
        <v>5.0923999999999997E-2</v>
      </c>
      <c r="HD54" s="9">
        <v>197821</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32469</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row>
    <row r="55" spans="1:292" x14ac:dyDescent="0.25">
      <c r="A55" s="9">
        <v>57829</v>
      </c>
      <c r="B55" s="9">
        <v>32570</v>
      </c>
      <c r="C55" s="9">
        <v>35</v>
      </c>
      <c r="D55" s="9">
        <v>2022</v>
      </c>
      <c r="E55" s="9">
        <v>5392</v>
      </c>
      <c r="F55" s="9">
        <v>0</v>
      </c>
      <c r="G55" s="9">
        <v>1280.048</v>
      </c>
      <c r="H55" s="9">
        <v>1166.4349999999999</v>
      </c>
      <c r="I55" s="9">
        <v>1166.4349999999999</v>
      </c>
      <c r="J55" s="9">
        <v>1280.048</v>
      </c>
      <c r="K55" s="9">
        <v>0</v>
      </c>
      <c r="L55" s="9">
        <v>6554</v>
      </c>
      <c r="M55" s="9">
        <v>0</v>
      </c>
      <c r="N55" s="9">
        <v>0</v>
      </c>
      <c r="O55" s="9">
        <v>0</v>
      </c>
      <c r="P55" s="9">
        <v>1300.1500000000001</v>
      </c>
      <c r="Q55" s="9">
        <v>0</v>
      </c>
      <c r="R55" s="9">
        <v>415675</v>
      </c>
      <c r="S55" s="9">
        <v>319.71300000000002</v>
      </c>
      <c r="T55" s="9">
        <v>0</v>
      </c>
      <c r="U55" s="9">
        <v>415675</v>
      </c>
      <c r="V55" s="9">
        <v>568.18600000000004</v>
      </c>
      <c r="W55" s="9">
        <v>372389</v>
      </c>
      <c r="X55" s="9">
        <v>372389</v>
      </c>
      <c r="Y55" s="9">
        <v>0</v>
      </c>
      <c r="Z55" s="9">
        <v>0</v>
      </c>
      <c r="AA55" s="9">
        <v>1</v>
      </c>
      <c r="AB55" s="9">
        <v>1</v>
      </c>
      <c r="AC55" s="9">
        <v>0</v>
      </c>
      <c r="AD55" s="9" t="s">
        <v>314</v>
      </c>
      <c r="AE55" s="9">
        <v>0</v>
      </c>
      <c r="AF55" s="9">
        <v>0</v>
      </c>
      <c r="AG55" s="9">
        <v>0</v>
      </c>
      <c r="AH55" s="9">
        <v>0</v>
      </c>
      <c r="AI55" s="9">
        <v>0</v>
      </c>
      <c r="AJ55" s="9">
        <v>5104</v>
      </c>
      <c r="AK55" s="9" t="s">
        <v>651</v>
      </c>
      <c r="AL55" s="9" t="s">
        <v>44</v>
      </c>
      <c r="AM55" s="9">
        <v>0</v>
      </c>
      <c r="AN55" s="9">
        <v>0</v>
      </c>
      <c r="AO55" s="9">
        <v>0</v>
      </c>
      <c r="AP55" s="9">
        <v>0</v>
      </c>
      <c r="AQ55" s="9">
        <v>0</v>
      </c>
      <c r="AR55" s="9">
        <v>0</v>
      </c>
      <c r="AS55" s="9">
        <v>0</v>
      </c>
      <c r="AT55" s="9">
        <v>0</v>
      </c>
      <c r="AU55" s="9">
        <v>0</v>
      </c>
      <c r="AV55" s="9">
        <v>383992</v>
      </c>
      <c r="AW55" s="9">
        <v>13298968</v>
      </c>
      <c r="AX55" s="9">
        <v>12899518</v>
      </c>
      <c r="AY55" s="9">
        <v>14172456</v>
      </c>
      <c r="AZ55" s="9">
        <v>519169</v>
      </c>
      <c r="BA55" s="9">
        <v>82.332999999999998</v>
      </c>
      <c r="BB55" s="9">
        <v>39121</v>
      </c>
      <c r="BC55" s="9">
        <v>39121</v>
      </c>
      <c r="BD55" s="9">
        <v>49.742000000000004</v>
      </c>
      <c r="BE55" s="9">
        <v>0</v>
      </c>
      <c r="BF55" s="9">
        <v>10967983</v>
      </c>
      <c r="BG55" s="9">
        <v>0</v>
      </c>
      <c r="BH55" s="9">
        <v>376.34300000000002</v>
      </c>
      <c r="BI55" s="9">
        <v>103494</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295956</v>
      </c>
      <c r="CI55" s="9">
        <v>0</v>
      </c>
      <c r="CJ55" s="9">
        <v>5</v>
      </c>
      <c r="CK55" s="9">
        <v>0</v>
      </c>
      <c r="CL55" s="9">
        <v>0</v>
      </c>
      <c r="CM55" s="9">
        <v>0</v>
      </c>
      <c r="CN55" s="9">
        <v>0</v>
      </c>
      <c r="CO55" s="9">
        <v>0</v>
      </c>
      <c r="CP55" s="9">
        <v>0</v>
      </c>
      <c r="CQ55" s="9">
        <v>10.083</v>
      </c>
      <c r="CR55" s="9">
        <v>1300.1500000000001</v>
      </c>
      <c r="CS55" s="9">
        <v>0</v>
      </c>
      <c r="CT55" s="9">
        <v>0</v>
      </c>
      <c r="CU55" s="9">
        <v>0</v>
      </c>
      <c r="CV55" s="9">
        <v>0</v>
      </c>
      <c r="CW55" s="9">
        <v>0</v>
      </c>
      <c r="CX55" s="9">
        <v>0</v>
      </c>
      <c r="CY55" s="9">
        <v>0</v>
      </c>
      <c r="CZ55" s="9">
        <v>0</v>
      </c>
      <c r="DA55" s="9">
        <v>1</v>
      </c>
      <c r="DB55" s="9">
        <v>7644815</v>
      </c>
      <c r="DC55" s="9">
        <v>0</v>
      </c>
      <c r="DD55" s="9">
        <v>0</v>
      </c>
      <c r="DE55" s="9">
        <v>1497366</v>
      </c>
      <c r="DF55" s="9">
        <v>1497366</v>
      </c>
      <c r="DG55" s="9">
        <v>1142.33</v>
      </c>
      <c r="DH55" s="9">
        <v>0</v>
      </c>
      <c r="DI55" s="9">
        <v>0</v>
      </c>
      <c r="DJ55" s="9">
        <v>0</v>
      </c>
      <c r="DK55" s="9">
        <v>5392</v>
      </c>
      <c r="DL55" s="9">
        <v>0</v>
      </c>
      <c r="DM55" s="9">
        <v>1002860</v>
      </c>
      <c r="DN55" s="9">
        <v>0</v>
      </c>
      <c r="DO55" s="9">
        <v>914</v>
      </c>
      <c r="DP55" s="9">
        <v>0</v>
      </c>
      <c r="DQ55" s="9">
        <v>0</v>
      </c>
      <c r="DR55" s="9">
        <v>0</v>
      </c>
      <c r="DS55" s="9">
        <v>0</v>
      </c>
      <c r="DT55" s="9">
        <v>0</v>
      </c>
      <c r="DU55" s="9">
        <v>0</v>
      </c>
      <c r="DV55" s="9">
        <v>6.2E-2</v>
      </c>
      <c r="DW55" s="9">
        <v>0</v>
      </c>
      <c r="DX55" s="9">
        <v>0</v>
      </c>
      <c r="DY55" s="9">
        <v>0</v>
      </c>
      <c r="DZ55" s="9">
        <v>0.186</v>
      </c>
      <c r="EA55" s="9">
        <v>0</v>
      </c>
      <c r="EB55" s="9">
        <v>0</v>
      </c>
      <c r="EC55" s="9">
        <v>43.865000000000002</v>
      </c>
      <c r="ED55" s="9">
        <v>316240</v>
      </c>
      <c r="EE55" s="9">
        <v>0</v>
      </c>
      <c r="EF55" s="9">
        <v>0</v>
      </c>
      <c r="EG55" s="9">
        <v>0</v>
      </c>
      <c r="EH55" s="9">
        <v>685706</v>
      </c>
      <c r="EI55" s="9">
        <v>0</v>
      </c>
      <c r="EJ55" s="9">
        <v>0</v>
      </c>
      <c r="EK55" s="9">
        <v>21.488</v>
      </c>
      <c r="EL55" s="9">
        <v>0</v>
      </c>
      <c r="EM55" s="9">
        <v>8.9649999999999999</v>
      </c>
      <c r="EN55" s="9">
        <v>2.653</v>
      </c>
      <c r="EO55" s="9">
        <v>0</v>
      </c>
      <c r="EP55" s="9">
        <v>0</v>
      </c>
      <c r="EQ55" s="9">
        <v>33.106000000000002</v>
      </c>
      <c r="ER55" s="9">
        <v>0</v>
      </c>
      <c r="ES55" s="9">
        <v>104.62400000000001</v>
      </c>
      <c r="ET55" s="9">
        <v>43687</v>
      </c>
      <c r="EU55" s="9">
        <v>519169</v>
      </c>
      <c r="EV55" s="9">
        <v>0</v>
      </c>
      <c r="EW55" s="9">
        <v>0</v>
      </c>
      <c r="EX55" s="9">
        <v>0</v>
      </c>
      <c r="EY55" s="9">
        <v>0</v>
      </c>
      <c r="EZ55" s="9">
        <v>10853447</v>
      </c>
      <c r="FA55" s="9">
        <v>0</v>
      </c>
      <c r="FB55" s="9">
        <v>11372616</v>
      </c>
      <c r="FC55" s="9">
        <v>0.97327799999999998</v>
      </c>
      <c r="FD55" s="9">
        <v>0</v>
      </c>
      <c r="FE55" s="9">
        <v>1669787</v>
      </c>
      <c r="FF55" s="9">
        <v>376284</v>
      </c>
      <c r="FG55" s="9">
        <v>6.1239999999999996E-2</v>
      </c>
      <c r="FH55" s="9">
        <v>5.4803999999999999E-2</v>
      </c>
      <c r="FI55" s="9">
        <v>0</v>
      </c>
      <c r="FJ55" s="9">
        <v>0</v>
      </c>
      <c r="FK55" s="9">
        <v>2148.973</v>
      </c>
      <c r="FL55" s="9">
        <v>13714643</v>
      </c>
      <c r="FM55" s="9">
        <v>0</v>
      </c>
      <c r="FN55" s="9">
        <v>0</v>
      </c>
      <c r="FO55" s="9">
        <v>0</v>
      </c>
      <c r="FP55" s="9">
        <v>0</v>
      </c>
      <c r="FQ55" s="9">
        <v>0</v>
      </c>
      <c r="FR55" s="9">
        <v>0</v>
      </c>
      <c r="FS55" s="9">
        <v>0</v>
      </c>
      <c r="FT55" s="9">
        <v>0</v>
      </c>
      <c r="FU55" s="9">
        <v>0</v>
      </c>
      <c r="FV55" s="9">
        <v>0</v>
      </c>
      <c r="FW55" s="9">
        <v>0</v>
      </c>
      <c r="FX55" s="9">
        <v>0</v>
      </c>
      <c r="FY55" s="9">
        <v>0</v>
      </c>
      <c r="FZ55" s="9">
        <v>253</v>
      </c>
      <c r="GA55" s="9">
        <v>5.0579999999999998</v>
      </c>
      <c r="GB55" s="9">
        <v>712571</v>
      </c>
      <c r="GC55" s="9">
        <v>712571</v>
      </c>
      <c r="GD55" s="9">
        <v>80.507000000000005</v>
      </c>
      <c r="GE55" s="9">
        <v>0</v>
      </c>
      <c r="GF55" s="9">
        <v>0</v>
      </c>
      <c r="GG55" s="9">
        <v>0</v>
      </c>
      <c r="GH55" s="9">
        <v>0</v>
      </c>
      <c r="GI55" s="9">
        <v>0</v>
      </c>
      <c r="GJ55" s="9">
        <v>0</v>
      </c>
      <c r="GK55" s="9">
        <v>5239</v>
      </c>
      <c r="GL55" s="9">
        <v>31387</v>
      </c>
      <c r="GM55" s="9">
        <v>0</v>
      </c>
      <c r="GN55" s="9">
        <v>0</v>
      </c>
      <c r="GO55" s="9">
        <v>0</v>
      </c>
      <c r="GP55" s="9">
        <v>13418687</v>
      </c>
      <c r="GQ55" s="9">
        <v>13418687</v>
      </c>
      <c r="GR55" s="9">
        <v>0</v>
      </c>
      <c r="GS55" s="9">
        <v>0</v>
      </c>
      <c r="GT55" s="9">
        <v>0</v>
      </c>
      <c r="GU55" s="9">
        <v>0</v>
      </c>
      <c r="GV55" s="9">
        <v>0</v>
      </c>
      <c r="GW55" s="9">
        <v>0</v>
      </c>
      <c r="GX55" s="9">
        <v>0</v>
      </c>
      <c r="GY55" s="9">
        <v>0</v>
      </c>
      <c r="GZ55" s="9">
        <v>0</v>
      </c>
      <c r="HA55" s="9">
        <v>0</v>
      </c>
      <c r="HB55" s="9">
        <v>260786259</v>
      </c>
      <c r="HC55" s="9">
        <v>5.0923999999999997E-2</v>
      </c>
      <c r="HD55" s="9">
        <v>252269</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32469</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row>
    <row r="56" spans="1:292" x14ac:dyDescent="0.25">
      <c r="A56" s="9">
        <v>57830</v>
      </c>
      <c r="B56" s="9">
        <v>32570</v>
      </c>
      <c r="C56" s="9">
        <v>35</v>
      </c>
      <c r="D56" s="9">
        <v>2022</v>
      </c>
      <c r="E56" s="9">
        <v>5392</v>
      </c>
      <c r="F56" s="9">
        <v>0</v>
      </c>
      <c r="G56" s="9">
        <v>1201.8990000000001</v>
      </c>
      <c r="H56" s="9">
        <v>1128.9480000000001</v>
      </c>
      <c r="I56" s="9">
        <v>1128.9480000000001</v>
      </c>
      <c r="J56" s="9">
        <v>1201.8990000000001</v>
      </c>
      <c r="K56" s="9">
        <v>0</v>
      </c>
      <c r="L56" s="9">
        <v>6554</v>
      </c>
      <c r="M56" s="9">
        <v>0</v>
      </c>
      <c r="N56" s="9">
        <v>0</v>
      </c>
      <c r="O56" s="9">
        <v>0</v>
      </c>
      <c r="P56" s="9">
        <v>1250.9160000000002</v>
      </c>
      <c r="Q56" s="9">
        <v>0</v>
      </c>
      <c r="R56" s="9">
        <v>399934</v>
      </c>
      <c r="S56" s="9">
        <v>319.71300000000002</v>
      </c>
      <c r="T56" s="9">
        <v>0</v>
      </c>
      <c r="U56" s="9">
        <v>399934</v>
      </c>
      <c r="V56" s="9">
        <v>466.89500000000004</v>
      </c>
      <c r="W56" s="9">
        <v>306003</v>
      </c>
      <c r="X56" s="9">
        <v>306003</v>
      </c>
      <c r="Y56" s="9">
        <v>0</v>
      </c>
      <c r="Z56" s="9">
        <v>0</v>
      </c>
      <c r="AA56" s="9">
        <v>1</v>
      </c>
      <c r="AB56" s="9">
        <v>1</v>
      </c>
      <c r="AC56" s="9">
        <v>0</v>
      </c>
      <c r="AD56" s="9" t="s">
        <v>314</v>
      </c>
      <c r="AE56" s="9">
        <v>0</v>
      </c>
      <c r="AF56" s="9">
        <v>0</v>
      </c>
      <c r="AG56" s="9">
        <v>0</v>
      </c>
      <c r="AH56" s="9">
        <v>0</v>
      </c>
      <c r="AI56" s="9">
        <v>0</v>
      </c>
      <c r="AJ56" s="9">
        <v>5104</v>
      </c>
      <c r="AK56" s="9" t="s">
        <v>651</v>
      </c>
      <c r="AL56" s="9" t="s">
        <v>45</v>
      </c>
      <c r="AM56" s="9">
        <v>0</v>
      </c>
      <c r="AN56" s="9">
        <v>0</v>
      </c>
      <c r="AO56" s="9">
        <v>0</v>
      </c>
      <c r="AP56" s="9">
        <v>0</v>
      </c>
      <c r="AQ56" s="9">
        <v>0</v>
      </c>
      <c r="AR56" s="9">
        <v>0</v>
      </c>
      <c r="AS56" s="9">
        <v>0</v>
      </c>
      <c r="AT56" s="9">
        <v>0</v>
      </c>
      <c r="AU56" s="9">
        <v>0</v>
      </c>
      <c r="AV56" s="9">
        <v>424523</v>
      </c>
      <c r="AW56" s="9">
        <v>12459366</v>
      </c>
      <c r="AX56" s="9">
        <v>12084685</v>
      </c>
      <c r="AY56" s="9">
        <v>13138241</v>
      </c>
      <c r="AZ56" s="9">
        <v>492643</v>
      </c>
      <c r="BA56" s="9">
        <v>85.417000000000002</v>
      </c>
      <c r="BB56" s="9">
        <v>32075</v>
      </c>
      <c r="BC56" s="9">
        <v>32075</v>
      </c>
      <c r="BD56" s="9">
        <v>40.783000000000001</v>
      </c>
      <c r="BE56" s="9">
        <v>0</v>
      </c>
      <c r="BF56" s="9">
        <v>10283822</v>
      </c>
      <c r="BG56" s="9">
        <v>0</v>
      </c>
      <c r="BH56" s="9">
        <v>337.12200000000001</v>
      </c>
      <c r="BI56" s="9">
        <v>92709</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281972</v>
      </c>
      <c r="CI56" s="9">
        <v>0</v>
      </c>
      <c r="CJ56" s="9">
        <v>4</v>
      </c>
      <c r="CK56" s="9">
        <v>0</v>
      </c>
      <c r="CL56" s="9">
        <v>0</v>
      </c>
      <c r="CM56" s="9">
        <v>0</v>
      </c>
      <c r="CN56" s="9">
        <v>0</v>
      </c>
      <c r="CO56" s="9">
        <v>0</v>
      </c>
      <c r="CP56" s="9">
        <v>0</v>
      </c>
      <c r="CQ56" s="9">
        <v>9.5830000000000002</v>
      </c>
      <c r="CR56" s="9">
        <v>1250.9160000000002</v>
      </c>
      <c r="CS56" s="9">
        <v>0</v>
      </c>
      <c r="CT56" s="9">
        <v>0</v>
      </c>
      <c r="CU56" s="9">
        <v>0</v>
      </c>
      <c r="CV56" s="9">
        <v>0</v>
      </c>
      <c r="CW56" s="9">
        <v>0</v>
      </c>
      <c r="CX56" s="9">
        <v>0</v>
      </c>
      <c r="CY56" s="9">
        <v>0</v>
      </c>
      <c r="CZ56" s="9">
        <v>0</v>
      </c>
      <c r="DA56" s="9">
        <v>1</v>
      </c>
      <c r="DB56" s="9">
        <v>7399125</v>
      </c>
      <c r="DC56" s="9">
        <v>0</v>
      </c>
      <c r="DD56" s="9">
        <v>0</v>
      </c>
      <c r="DE56" s="9">
        <v>1580156</v>
      </c>
      <c r="DF56" s="9">
        <v>1580156</v>
      </c>
      <c r="DG56" s="9">
        <v>1205.49</v>
      </c>
      <c r="DH56" s="9">
        <v>0</v>
      </c>
      <c r="DI56" s="9">
        <v>0</v>
      </c>
      <c r="DJ56" s="9">
        <v>0</v>
      </c>
      <c r="DK56" s="9">
        <v>5392</v>
      </c>
      <c r="DL56" s="9">
        <v>0</v>
      </c>
      <c r="DM56" s="9">
        <v>784630</v>
      </c>
      <c r="DN56" s="9">
        <v>0</v>
      </c>
      <c r="DO56" s="9">
        <v>0</v>
      </c>
      <c r="DP56" s="9">
        <v>0</v>
      </c>
      <c r="DQ56" s="9">
        <v>0</v>
      </c>
      <c r="DR56" s="9">
        <v>0</v>
      </c>
      <c r="DS56" s="9">
        <v>0</v>
      </c>
      <c r="DT56" s="9">
        <v>0</v>
      </c>
      <c r="DU56" s="9">
        <v>0</v>
      </c>
      <c r="DV56" s="9">
        <v>0</v>
      </c>
      <c r="DW56" s="9">
        <v>0</v>
      </c>
      <c r="DX56" s="9">
        <v>0</v>
      </c>
      <c r="DY56" s="9">
        <v>0</v>
      </c>
      <c r="DZ56" s="9">
        <v>0</v>
      </c>
      <c r="EA56" s="9">
        <v>0</v>
      </c>
      <c r="EB56" s="9">
        <v>0</v>
      </c>
      <c r="EC56" s="9">
        <v>49.076000000000001</v>
      </c>
      <c r="ED56" s="9">
        <v>353809</v>
      </c>
      <c r="EE56" s="9">
        <v>0</v>
      </c>
      <c r="EF56" s="9">
        <v>0</v>
      </c>
      <c r="EG56" s="9">
        <v>0</v>
      </c>
      <c r="EH56" s="9">
        <v>430821</v>
      </c>
      <c r="EI56" s="9">
        <v>0</v>
      </c>
      <c r="EJ56" s="9">
        <v>0</v>
      </c>
      <c r="EK56" s="9">
        <v>14.52</v>
      </c>
      <c r="EL56" s="9">
        <v>0.17900000000000002</v>
      </c>
      <c r="EM56" s="9">
        <v>3.8780000000000001</v>
      </c>
      <c r="EN56" s="9">
        <v>2.1080000000000001</v>
      </c>
      <c r="EO56" s="9">
        <v>0</v>
      </c>
      <c r="EP56" s="9">
        <v>0</v>
      </c>
      <c r="EQ56" s="9">
        <v>20.506</v>
      </c>
      <c r="ER56" s="9">
        <v>0</v>
      </c>
      <c r="ES56" s="9">
        <v>65.734000000000009</v>
      </c>
      <c r="ET56" s="9">
        <v>45104</v>
      </c>
      <c r="EU56" s="9">
        <v>492643</v>
      </c>
      <c r="EV56" s="9">
        <v>0</v>
      </c>
      <c r="EW56" s="9">
        <v>0</v>
      </c>
      <c r="EX56" s="9">
        <v>0</v>
      </c>
      <c r="EY56" s="9">
        <v>0</v>
      </c>
      <c r="EZ56" s="9">
        <v>10166243</v>
      </c>
      <c r="FA56" s="9">
        <v>0</v>
      </c>
      <c r="FB56" s="9">
        <v>10658886</v>
      </c>
      <c r="FC56" s="9">
        <v>0.97327799999999998</v>
      </c>
      <c r="FD56" s="9">
        <v>0</v>
      </c>
      <c r="FE56" s="9">
        <v>1565630</v>
      </c>
      <c r="FF56" s="9">
        <v>352812</v>
      </c>
      <c r="FG56" s="9">
        <v>6.1239999999999996E-2</v>
      </c>
      <c r="FH56" s="9">
        <v>5.4803999999999999E-2</v>
      </c>
      <c r="FI56" s="9">
        <v>0</v>
      </c>
      <c r="FJ56" s="9">
        <v>0</v>
      </c>
      <c r="FK56" s="9">
        <v>2014.9250000000002</v>
      </c>
      <c r="FL56" s="9">
        <v>12859300</v>
      </c>
      <c r="FM56" s="9">
        <v>0</v>
      </c>
      <c r="FN56" s="9">
        <v>0</v>
      </c>
      <c r="FO56" s="9">
        <v>0</v>
      </c>
      <c r="FP56" s="9">
        <v>0</v>
      </c>
      <c r="FQ56" s="9">
        <v>0</v>
      </c>
      <c r="FR56" s="9">
        <v>0</v>
      </c>
      <c r="FS56" s="9">
        <v>0</v>
      </c>
      <c r="FT56" s="9">
        <v>0</v>
      </c>
      <c r="FU56" s="9">
        <v>0</v>
      </c>
      <c r="FV56" s="9">
        <v>0</v>
      </c>
      <c r="FW56" s="9">
        <v>0</v>
      </c>
      <c r="FX56" s="9">
        <v>0</v>
      </c>
      <c r="FY56" s="9">
        <v>0</v>
      </c>
      <c r="FZ56" s="9">
        <v>160</v>
      </c>
      <c r="GA56" s="9">
        <v>3.194</v>
      </c>
      <c r="GB56" s="9">
        <v>464188</v>
      </c>
      <c r="GC56" s="9">
        <v>464188</v>
      </c>
      <c r="GD56" s="9">
        <v>52.445</v>
      </c>
      <c r="GE56" s="9">
        <v>0</v>
      </c>
      <c r="GF56" s="9">
        <v>0</v>
      </c>
      <c r="GG56" s="9">
        <v>0</v>
      </c>
      <c r="GH56" s="9">
        <v>0</v>
      </c>
      <c r="GI56" s="9">
        <v>0</v>
      </c>
      <c r="GJ56" s="9">
        <v>0</v>
      </c>
      <c r="GK56" s="9">
        <v>5226</v>
      </c>
      <c r="GL56" s="9">
        <v>27510</v>
      </c>
      <c r="GM56" s="9">
        <v>0</v>
      </c>
      <c r="GN56" s="9">
        <v>0</v>
      </c>
      <c r="GO56" s="9">
        <v>0</v>
      </c>
      <c r="GP56" s="9">
        <v>12577328</v>
      </c>
      <c r="GQ56" s="9">
        <v>12577328</v>
      </c>
      <c r="GR56" s="9">
        <v>0</v>
      </c>
      <c r="GS56" s="9">
        <v>0</v>
      </c>
      <c r="GT56" s="9">
        <v>0</v>
      </c>
      <c r="GU56" s="9">
        <v>0</v>
      </c>
      <c r="GV56" s="9">
        <v>0</v>
      </c>
      <c r="GW56" s="9">
        <v>0</v>
      </c>
      <c r="GX56" s="9">
        <v>0</v>
      </c>
      <c r="GY56" s="9">
        <v>0</v>
      </c>
      <c r="GZ56" s="9">
        <v>0</v>
      </c>
      <c r="HA56" s="9">
        <v>0</v>
      </c>
      <c r="HB56" s="9">
        <v>260786259</v>
      </c>
      <c r="HC56" s="9">
        <v>5.0923999999999997E-2</v>
      </c>
      <c r="HD56" s="9">
        <v>236868</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32469</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row>
    <row r="57" spans="1:292" x14ac:dyDescent="0.25">
      <c r="A57" s="9">
        <v>57831</v>
      </c>
      <c r="B57" s="9">
        <v>32570</v>
      </c>
      <c r="C57" s="9">
        <v>35</v>
      </c>
      <c r="D57" s="9">
        <v>2022</v>
      </c>
      <c r="E57" s="9">
        <v>5392</v>
      </c>
      <c r="F57" s="9">
        <v>0</v>
      </c>
      <c r="G57" s="9">
        <v>639.54500000000007</v>
      </c>
      <c r="H57" s="9">
        <v>611.37200000000007</v>
      </c>
      <c r="I57" s="9">
        <v>611.37200000000007</v>
      </c>
      <c r="J57" s="9">
        <v>639.54500000000007</v>
      </c>
      <c r="K57" s="9">
        <v>0</v>
      </c>
      <c r="L57" s="9">
        <v>6554</v>
      </c>
      <c r="M57" s="9">
        <v>0</v>
      </c>
      <c r="N57" s="9">
        <v>0</v>
      </c>
      <c r="O57" s="9">
        <v>0</v>
      </c>
      <c r="P57" s="9">
        <v>604.41600000000005</v>
      </c>
      <c r="Q57" s="9">
        <v>0</v>
      </c>
      <c r="R57" s="9">
        <v>193240</v>
      </c>
      <c r="S57" s="9">
        <v>319.71300000000002</v>
      </c>
      <c r="T57" s="9">
        <v>0</v>
      </c>
      <c r="U57" s="9">
        <v>193240</v>
      </c>
      <c r="V57" s="9">
        <v>0.60899999999999999</v>
      </c>
      <c r="W57" s="9">
        <v>399</v>
      </c>
      <c r="X57" s="9">
        <v>399</v>
      </c>
      <c r="Y57" s="9">
        <v>0</v>
      </c>
      <c r="Z57" s="9">
        <v>0</v>
      </c>
      <c r="AA57" s="9">
        <v>1</v>
      </c>
      <c r="AB57" s="9">
        <v>1</v>
      </c>
      <c r="AC57" s="9">
        <v>0</v>
      </c>
      <c r="AD57" s="9" t="s">
        <v>314</v>
      </c>
      <c r="AE57" s="9">
        <v>0</v>
      </c>
      <c r="AF57" s="9">
        <v>0</v>
      </c>
      <c r="AG57" s="9">
        <v>0</v>
      </c>
      <c r="AH57" s="9">
        <v>0</v>
      </c>
      <c r="AI57" s="9">
        <v>0</v>
      </c>
      <c r="AJ57" s="9">
        <v>5104</v>
      </c>
      <c r="AK57" s="9" t="s">
        <v>651</v>
      </c>
      <c r="AL57" s="9" t="s">
        <v>46</v>
      </c>
      <c r="AM57" s="9">
        <v>0</v>
      </c>
      <c r="AN57" s="9">
        <v>0</v>
      </c>
      <c r="AO57" s="9">
        <v>0</v>
      </c>
      <c r="AP57" s="9">
        <v>0</v>
      </c>
      <c r="AQ57" s="9">
        <v>0</v>
      </c>
      <c r="AR57" s="9">
        <v>0</v>
      </c>
      <c r="AS57" s="9">
        <v>0</v>
      </c>
      <c r="AT57" s="9">
        <v>0</v>
      </c>
      <c r="AU57" s="9">
        <v>0</v>
      </c>
      <c r="AV57" s="9">
        <v>193777</v>
      </c>
      <c r="AW57" s="9">
        <v>6464420</v>
      </c>
      <c r="AX57" s="9">
        <v>6287690</v>
      </c>
      <c r="AY57" s="9">
        <v>6929799</v>
      </c>
      <c r="AZ57" s="9">
        <v>228576</v>
      </c>
      <c r="BA57" s="9">
        <v>30.667000000000002</v>
      </c>
      <c r="BB57" s="9">
        <v>5412</v>
      </c>
      <c r="BC57" s="9">
        <v>5412</v>
      </c>
      <c r="BD57" s="9">
        <v>6.8810000000000002</v>
      </c>
      <c r="BE57" s="9">
        <v>0</v>
      </c>
      <c r="BF57" s="9">
        <v>5301892</v>
      </c>
      <c r="BG57" s="9">
        <v>0</v>
      </c>
      <c r="BH57" s="9">
        <v>128.49600000000001</v>
      </c>
      <c r="BI57" s="9">
        <v>35336</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141394</v>
      </c>
      <c r="CI57" s="9">
        <v>0</v>
      </c>
      <c r="CJ57" s="9">
        <v>4</v>
      </c>
      <c r="CK57" s="9">
        <v>0</v>
      </c>
      <c r="CL57" s="9">
        <v>0</v>
      </c>
      <c r="CM57" s="9">
        <v>0</v>
      </c>
      <c r="CN57" s="9">
        <v>0</v>
      </c>
      <c r="CO57" s="9">
        <v>0</v>
      </c>
      <c r="CP57" s="9">
        <v>0</v>
      </c>
      <c r="CQ57" s="9">
        <v>8.3000000000000004E-2</v>
      </c>
      <c r="CR57" s="9">
        <v>604.41600000000005</v>
      </c>
      <c r="CS57" s="9">
        <v>0</v>
      </c>
      <c r="CT57" s="9">
        <v>0</v>
      </c>
      <c r="CU57" s="9">
        <v>0</v>
      </c>
      <c r="CV57" s="9">
        <v>0</v>
      </c>
      <c r="CW57" s="9">
        <v>0</v>
      </c>
      <c r="CX57" s="9">
        <v>0</v>
      </c>
      <c r="CY57" s="9">
        <v>0</v>
      </c>
      <c r="CZ57" s="9">
        <v>0</v>
      </c>
      <c r="DA57" s="9">
        <v>1</v>
      </c>
      <c r="DB57" s="9">
        <v>4006932</v>
      </c>
      <c r="DC57" s="9">
        <v>0</v>
      </c>
      <c r="DD57" s="9">
        <v>0</v>
      </c>
      <c r="DE57" s="9">
        <v>959938</v>
      </c>
      <c r="DF57" s="9">
        <v>959938</v>
      </c>
      <c r="DG57" s="9">
        <v>732.33</v>
      </c>
      <c r="DH57" s="9">
        <v>0</v>
      </c>
      <c r="DI57" s="9">
        <v>0</v>
      </c>
      <c r="DJ57" s="9">
        <v>0</v>
      </c>
      <c r="DK57" s="9">
        <v>5392</v>
      </c>
      <c r="DL57" s="9">
        <v>0</v>
      </c>
      <c r="DM57" s="9">
        <v>229098</v>
      </c>
      <c r="DN57" s="9">
        <v>0</v>
      </c>
      <c r="DO57" s="9">
        <v>0</v>
      </c>
      <c r="DP57" s="9">
        <v>0</v>
      </c>
      <c r="DQ57" s="9">
        <v>0</v>
      </c>
      <c r="DR57" s="9">
        <v>0</v>
      </c>
      <c r="DS57" s="9">
        <v>0</v>
      </c>
      <c r="DT57" s="9">
        <v>0</v>
      </c>
      <c r="DU57" s="9">
        <v>0</v>
      </c>
      <c r="DV57" s="9">
        <v>0</v>
      </c>
      <c r="DW57" s="9">
        <v>0</v>
      </c>
      <c r="DX57" s="9">
        <v>0</v>
      </c>
      <c r="DY57" s="9">
        <v>0</v>
      </c>
      <c r="DZ57" s="9">
        <v>0</v>
      </c>
      <c r="EA57" s="9">
        <v>0</v>
      </c>
      <c r="EB57" s="9">
        <v>0</v>
      </c>
      <c r="EC57" s="9">
        <v>29.864000000000001</v>
      </c>
      <c r="ED57" s="9">
        <v>215302</v>
      </c>
      <c r="EE57" s="9">
        <v>0</v>
      </c>
      <c r="EF57" s="9">
        <v>0</v>
      </c>
      <c r="EG57" s="9">
        <v>0</v>
      </c>
      <c r="EH57" s="9">
        <v>13796</v>
      </c>
      <c r="EI57" s="9">
        <v>0</v>
      </c>
      <c r="EJ57" s="9">
        <v>0</v>
      </c>
      <c r="EK57" s="9">
        <v>0</v>
      </c>
      <c r="EL57" s="9">
        <v>0</v>
      </c>
      <c r="EM57" s="9">
        <v>0</v>
      </c>
      <c r="EN57" s="9">
        <v>0.42100000000000004</v>
      </c>
      <c r="EO57" s="9">
        <v>0</v>
      </c>
      <c r="EP57" s="9">
        <v>0</v>
      </c>
      <c r="EQ57" s="9">
        <v>0.42100000000000004</v>
      </c>
      <c r="ER57" s="9">
        <v>0</v>
      </c>
      <c r="ES57" s="9">
        <v>2.105</v>
      </c>
      <c r="ET57" s="9">
        <v>15354</v>
      </c>
      <c r="EU57" s="9">
        <v>228576</v>
      </c>
      <c r="EV57" s="9">
        <v>0</v>
      </c>
      <c r="EW57" s="9">
        <v>0</v>
      </c>
      <c r="EX57" s="9">
        <v>0</v>
      </c>
      <c r="EY57" s="9">
        <v>0</v>
      </c>
      <c r="EZ57" s="9">
        <v>5298624</v>
      </c>
      <c r="FA57" s="9">
        <v>0</v>
      </c>
      <c r="FB57" s="9">
        <v>5527200</v>
      </c>
      <c r="FC57" s="9">
        <v>0.97327799999999998</v>
      </c>
      <c r="FD57" s="9">
        <v>0</v>
      </c>
      <c r="FE57" s="9">
        <v>807171</v>
      </c>
      <c r="FF57" s="9">
        <v>181895</v>
      </c>
      <c r="FG57" s="9">
        <v>6.1239999999999996E-2</v>
      </c>
      <c r="FH57" s="9">
        <v>5.4803999999999999E-2</v>
      </c>
      <c r="FI57" s="9">
        <v>0</v>
      </c>
      <c r="FJ57" s="9">
        <v>0</v>
      </c>
      <c r="FK57" s="9">
        <v>1038.808</v>
      </c>
      <c r="FL57" s="9">
        <v>6657660</v>
      </c>
      <c r="FM57" s="9">
        <v>0</v>
      </c>
      <c r="FN57" s="9">
        <v>0</v>
      </c>
      <c r="FO57" s="9">
        <v>44402</v>
      </c>
      <c r="FP57" s="9">
        <v>0</v>
      </c>
      <c r="FQ57" s="9">
        <v>44402</v>
      </c>
      <c r="FR57" s="9">
        <v>44402</v>
      </c>
      <c r="FS57" s="9">
        <v>0</v>
      </c>
      <c r="FT57" s="9">
        <v>0</v>
      </c>
      <c r="FU57" s="9">
        <v>0</v>
      </c>
      <c r="FV57" s="9">
        <v>0</v>
      </c>
      <c r="FW57" s="9">
        <v>0</v>
      </c>
      <c r="FX57" s="9">
        <v>0</v>
      </c>
      <c r="FY57" s="9">
        <v>0</v>
      </c>
      <c r="FZ57" s="9">
        <v>136</v>
      </c>
      <c r="GA57" s="9">
        <v>2.7240000000000002</v>
      </c>
      <c r="GB57" s="9">
        <v>245683</v>
      </c>
      <c r="GC57" s="9">
        <v>245683</v>
      </c>
      <c r="GD57" s="9">
        <v>27.752000000000002</v>
      </c>
      <c r="GE57" s="9">
        <v>0</v>
      </c>
      <c r="GF57" s="9">
        <v>0</v>
      </c>
      <c r="GG57" s="9">
        <v>0</v>
      </c>
      <c r="GH57" s="9">
        <v>0</v>
      </c>
      <c r="GI57" s="9">
        <v>0</v>
      </c>
      <c r="GJ57" s="9">
        <v>0</v>
      </c>
      <c r="GK57" s="9">
        <v>5309</v>
      </c>
      <c r="GL57" s="9">
        <v>22155</v>
      </c>
      <c r="GM57" s="9">
        <v>0</v>
      </c>
      <c r="GN57" s="9">
        <v>52168</v>
      </c>
      <c r="GO57" s="9">
        <v>0</v>
      </c>
      <c r="GP57" s="9">
        <v>6516266</v>
      </c>
      <c r="GQ57" s="9">
        <v>6516266</v>
      </c>
      <c r="GR57" s="9">
        <v>0</v>
      </c>
      <c r="GS57" s="9">
        <v>0</v>
      </c>
      <c r="GT57" s="9">
        <v>0</v>
      </c>
      <c r="GU57" s="9">
        <v>0</v>
      </c>
      <c r="GV57" s="9">
        <v>0</v>
      </c>
      <c r="GW57" s="9">
        <v>0</v>
      </c>
      <c r="GX57" s="9">
        <v>0</v>
      </c>
      <c r="GY57" s="9">
        <v>0</v>
      </c>
      <c r="GZ57" s="9">
        <v>0</v>
      </c>
      <c r="HA57" s="9">
        <v>0</v>
      </c>
      <c r="HB57" s="9">
        <v>260786259</v>
      </c>
      <c r="HC57" s="9">
        <v>5.0923999999999997E-2</v>
      </c>
      <c r="HD57" s="9">
        <v>126040</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32469</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row>
    <row r="58" spans="1:292" x14ac:dyDescent="0.25">
      <c r="A58" s="9">
        <v>57833</v>
      </c>
      <c r="B58" s="9">
        <v>32570</v>
      </c>
      <c r="C58" s="9">
        <v>35</v>
      </c>
      <c r="D58" s="9">
        <v>2022</v>
      </c>
      <c r="E58" s="9">
        <v>5392</v>
      </c>
      <c r="F58" s="9">
        <v>0</v>
      </c>
      <c r="G58" s="9">
        <v>565.154</v>
      </c>
      <c r="H58" s="9">
        <v>545.66899999999998</v>
      </c>
      <c r="I58" s="9">
        <v>545.66899999999998</v>
      </c>
      <c r="J58" s="9">
        <v>565.154</v>
      </c>
      <c r="K58" s="9">
        <v>0</v>
      </c>
      <c r="L58" s="9">
        <v>6554</v>
      </c>
      <c r="M58" s="9">
        <v>0</v>
      </c>
      <c r="N58" s="9">
        <v>0</v>
      </c>
      <c r="O58" s="9">
        <v>0</v>
      </c>
      <c r="P58" s="9">
        <v>554.91800000000001</v>
      </c>
      <c r="Q58" s="9">
        <v>0</v>
      </c>
      <c r="R58" s="9">
        <v>177414</v>
      </c>
      <c r="S58" s="9">
        <v>319.71300000000002</v>
      </c>
      <c r="T58" s="9">
        <v>0</v>
      </c>
      <c r="U58" s="9">
        <v>177414</v>
      </c>
      <c r="V58" s="9">
        <v>38.286000000000001</v>
      </c>
      <c r="W58" s="9">
        <v>25093</v>
      </c>
      <c r="X58" s="9">
        <v>25093</v>
      </c>
      <c r="Y58" s="9">
        <v>0</v>
      </c>
      <c r="Z58" s="9">
        <v>0</v>
      </c>
      <c r="AA58" s="9">
        <v>1</v>
      </c>
      <c r="AB58" s="9">
        <v>1</v>
      </c>
      <c r="AC58" s="9">
        <v>0</v>
      </c>
      <c r="AD58" s="9" t="s">
        <v>314</v>
      </c>
      <c r="AE58" s="9">
        <v>0</v>
      </c>
      <c r="AF58" s="9">
        <v>0</v>
      </c>
      <c r="AG58" s="9">
        <v>0</v>
      </c>
      <c r="AH58" s="9">
        <v>0</v>
      </c>
      <c r="AI58" s="9">
        <v>0</v>
      </c>
      <c r="AJ58" s="9">
        <v>5104</v>
      </c>
      <c r="AK58" s="9" t="s">
        <v>651</v>
      </c>
      <c r="AL58" s="9" t="s">
        <v>47</v>
      </c>
      <c r="AM58" s="9">
        <v>0</v>
      </c>
      <c r="AN58" s="9">
        <v>0</v>
      </c>
      <c r="AO58" s="9">
        <v>0</v>
      </c>
      <c r="AP58" s="9">
        <v>0</v>
      </c>
      <c r="AQ58" s="9">
        <v>0</v>
      </c>
      <c r="AR58" s="9">
        <v>0</v>
      </c>
      <c r="AS58" s="9">
        <v>0</v>
      </c>
      <c r="AT58" s="9">
        <v>0</v>
      </c>
      <c r="AU58" s="9">
        <v>0</v>
      </c>
      <c r="AV58" s="9">
        <v>54416</v>
      </c>
      <c r="AW58" s="9">
        <v>5234047</v>
      </c>
      <c r="AX58" s="9">
        <v>5114668</v>
      </c>
      <c r="AY58" s="9">
        <v>5421123</v>
      </c>
      <c r="AZ58" s="9">
        <v>177414</v>
      </c>
      <c r="BA58" s="9">
        <v>16</v>
      </c>
      <c r="BB58" s="9">
        <v>21798</v>
      </c>
      <c r="BC58" s="9">
        <v>21798</v>
      </c>
      <c r="BD58" s="9">
        <v>27.716000000000001</v>
      </c>
      <c r="BE58" s="9">
        <v>0</v>
      </c>
      <c r="BF58" s="9">
        <v>4359190</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0</v>
      </c>
      <c r="CB58" s="9">
        <v>0</v>
      </c>
      <c r="CC58" s="9">
        <v>0</v>
      </c>
      <c r="CD58" s="9">
        <v>0</v>
      </c>
      <c r="CE58" s="9">
        <v>0</v>
      </c>
      <c r="CF58" s="9">
        <v>0</v>
      </c>
      <c r="CG58" s="9">
        <v>0</v>
      </c>
      <c r="CH58" s="9">
        <v>119379</v>
      </c>
      <c r="CI58" s="9">
        <v>0</v>
      </c>
      <c r="CJ58" s="9">
        <v>4</v>
      </c>
      <c r="CK58" s="9">
        <v>0</v>
      </c>
      <c r="CL58" s="9">
        <v>0</v>
      </c>
      <c r="CM58" s="9">
        <v>0</v>
      </c>
      <c r="CN58" s="9">
        <v>0</v>
      </c>
      <c r="CO58" s="9">
        <v>0</v>
      </c>
      <c r="CP58" s="9">
        <v>0</v>
      </c>
      <c r="CQ58" s="9">
        <v>0</v>
      </c>
      <c r="CR58" s="9">
        <v>554.44500000000005</v>
      </c>
      <c r="CS58" s="9">
        <v>0</v>
      </c>
      <c r="CT58" s="9">
        <v>0</v>
      </c>
      <c r="CU58" s="9">
        <v>0</v>
      </c>
      <c r="CV58" s="9">
        <v>0</v>
      </c>
      <c r="CW58" s="9">
        <v>0</v>
      </c>
      <c r="CX58" s="9">
        <v>0</v>
      </c>
      <c r="CY58" s="9">
        <v>0</v>
      </c>
      <c r="CZ58" s="9">
        <v>0</v>
      </c>
      <c r="DA58" s="9">
        <v>1</v>
      </c>
      <c r="DB58" s="9">
        <v>3576315</v>
      </c>
      <c r="DC58" s="9">
        <v>0</v>
      </c>
      <c r="DD58" s="9">
        <v>0</v>
      </c>
      <c r="DE58" s="9">
        <v>440429</v>
      </c>
      <c r="DF58" s="9">
        <v>440429</v>
      </c>
      <c r="DG58" s="9">
        <v>336</v>
      </c>
      <c r="DH58" s="9">
        <v>0</v>
      </c>
      <c r="DI58" s="9">
        <v>0</v>
      </c>
      <c r="DJ58" s="9">
        <v>0</v>
      </c>
      <c r="DK58" s="9">
        <v>5392</v>
      </c>
      <c r="DL58" s="9">
        <v>0</v>
      </c>
      <c r="DM58" s="9">
        <v>415242</v>
      </c>
      <c r="DN58" s="9">
        <v>0</v>
      </c>
      <c r="DO58" s="9">
        <v>0</v>
      </c>
      <c r="DP58" s="9">
        <v>0</v>
      </c>
      <c r="DQ58" s="9">
        <v>0</v>
      </c>
      <c r="DR58" s="9">
        <v>0</v>
      </c>
      <c r="DS58" s="9">
        <v>0</v>
      </c>
      <c r="DT58" s="9">
        <v>0</v>
      </c>
      <c r="DU58" s="9">
        <v>0</v>
      </c>
      <c r="DV58" s="9">
        <v>0</v>
      </c>
      <c r="DW58" s="9">
        <v>0</v>
      </c>
      <c r="DX58" s="9">
        <v>0</v>
      </c>
      <c r="DY58" s="9">
        <v>0</v>
      </c>
      <c r="DZ58" s="9">
        <v>0</v>
      </c>
      <c r="EA58" s="9">
        <v>0</v>
      </c>
      <c r="EB58" s="9">
        <v>0</v>
      </c>
      <c r="EC58" s="9">
        <v>2.3000000000000003</v>
      </c>
      <c r="ED58" s="9">
        <v>16582</v>
      </c>
      <c r="EE58" s="9">
        <v>0</v>
      </c>
      <c r="EF58" s="9">
        <v>0</v>
      </c>
      <c r="EG58" s="9">
        <v>0</v>
      </c>
      <c r="EH58" s="9">
        <v>398660</v>
      </c>
      <c r="EI58" s="9">
        <v>0</v>
      </c>
      <c r="EJ58" s="9">
        <v>0</v>
      </c>
      <c r="EK58" s="9">
        <v>18.29</v>
      </c>
      <c r="EL58" s="9">
        <v>0</v>
      </c>
      <c r="EM58" s="9">
        <v>9.0000000000000011E-3</v>
      </c>
      <c r="EN58" s="9">
        <v>1.1860000000000002</v>
      </c>
      <c r="EO58" s="9">
        <v>0</v>
      </c>
      <c r="EP58" s="9">
        <v>0</v>
      </c>
      <c r="EQ58" s="9">
        <v>19.484999999999999</v>
      </c>
      <c r="ER58" s="9">
        <v>0</v>
      </c>
      <c r="ES58" s="9">
        <v>60.827000000000005</v>
      </c>
      <c r="ET58" s="9">
        <v>8000</v>
      </c>
      <c r="EU58" s="9">
        <v>177414</v>
      </c>
      <c r="EV58" s="9">
        <v>0</v>
      </c>
      <c r="EW58" s="9">
        <v>0</v>
      </c>
      <c r="EX58" s="9">
        <v>0</v>
      </c>
      <c r="EY58" s="9">
        <v>0</v>
      </c>
      <c r="EZ58" s="9">
        <v>4301463</v>
      </c>
      <c r="FA58" s="9">
        <v>0</v>
      </c>
      <c r="FB58" s="9">
        <v>4478877</v>
      </c>
      <c r="FC58" s="9">
        <v>0.97327799999999998</v>
      </c>
      <c r="FD58" s="9">
        <v>0</v>
      </c>
      <c r="FE58" s="9">
        <v>663652</v>
      </c>
      <c r="FF58" s="9">
        <v>149553</v>
      </c>
      <c r="FG58" s="9">
        <v>6.1239999999999996E-2</v>
      </c>
      <c r="FH58" s="9">
        <v>5.4803999999999999E-2</v>
      </c>
      <c r="FI58" s="9">
        <v>0</v>
      </c>
      <c r="FJ58" s="9">
        <v>0</v>
      </c>
      <c r="FK58" s="9">
        <v>854.10300000000007</v>
      </c>
      <c r="FL58" s="9">
        <v>5411461</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5292082</v>
      </c>
      <c r="GQ58" s="9">
        <v>5292082</v>
      </c>
      <c r="GR58" s="9">
        <v>0</v>
      </c>
      <c r="GS58" s="9">
        <v>0</v>
      </c>
      <c r="GT58" s="9">
        <v>0</v>
      </c>
      <c r="GU58" s="9">
        <v>0</v>
      </c>
      <c r="GV58" s="9">
        <v>0</v>
      </c>
      <c r="GW58" s="9">
        <v>0</v>
      </c>
      <c r="GX58" s="9">
        <v>0</v>
      </c>
      <c r="GY58" s="9">
        <v>0</v>
      </c>
      <c r="GZ58" s="9">
        <v>0</v>
      </c>
      <c r="HA58" s="9">
        <v>0</v>
      </c>
      <c r="HB58" s="9">
        <v>260786259</v>
      </c>
      <c r="HC58" s="9">
        <v>5.0923999999999997E-2</v>
      </c>
      <c r="HD58" s="9">
        <v>111379</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32469</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row>
    <row r="59" spans="1:292" x14ac:dyDescent="0.25">
      <c r="A59" s="9">
        <v>57834</v>
      </c>
      <c r="B59" s="9">
        <v>32570</v>
      </c>
      <c r="C59" s="9">
        <v>35</v>
      </c>
      <c r="D59" s="9">
        <v>2022</v>
      </c>
      <c r="E59" s="9">
        <v>5392</v>
      </c>
      <c r="F59" s="9">
        <v>0</v>
      </c>
      <c r="G59" s="9">
        <v>437.31100000000004</v>
      </c>
      <c r="H59" s="9">
        <v>379.149</v>
      </c>
      <c r="I59" s="9">
        <v>379.149</v>
      </c>
      <c r="J59" s="9">
        <v>437.31100000000004</v>
      </c>
      <c r="K59" s="9">
        <v>0</v>
      </c>
      <c r="L59" s="9">
        <v>6554</v>
      </c>
      <c r="M59" s="9">
        <v>0</v>
      </c>
      <c r="N59" s="9">
        <v>0</v>
      </c>
      <c r="O59" s="9">
        <v>0</v>
      </c>
      <c r="P59" s="9">
        <v>530.45000000000005</v>
      </c>
      <c r="Q59" s="9">
        <v>0</v>
      </c>
      <c r="R59" s="9">
        <v>169592</v>
      </c>
      <c r="S59" s="9">
        <v>319.71300000000002</v>
      </c>
      <c r="T59" s="9">
        <v>0</v>
      </c>
      <c r="U59" s="9">
        <v>169592</v>
      </c>
      <c r="V59" s="9">
        <v>30.447000000000003</v>
      </c>
      <c r="W59" s="9">
        <v>19955</v>
      </c>
      <c r="X59" s="9">
        <v>19955</v>
      </c>
      <c r="Y59" s="9">
        <v>0</v>
      </c>
      <c r="Z59" s="9">
        <v>0</v>
      </c>
      <c r="AA59" s="9">
        <v>1</v>
      </c>
      <c r="AB59" s="9">
        <v>1</v>
      </c>
      <c r="AC59" s="9">
        <v>0</v>
      </c>
      <c r="AD59" s="9" t="s">
        <v>314</v>
      </c>
      <c r="AE59" s="9">
        <v>0</v>
      </c>
      <c r="AF59" s="9">
        <v>0</v>
      </c>
      <c r="AG59" s="9">
        <v>0</v>
      </c>
      <c r="AH59" s="9">
        <v>0</v>
      </c>
      <c r="AI59" s="9">
        <v>0</v>
      </c>
      <c r="AJ59" s="9">
        <v>5104</v>
      </c>
      <c r="AK59" s="9" t="s">
        <v>651</v>
      </c>
      <c r="AL59" s="9" t="s">
        <v>327</v>
      </c>
      <c r="AM59" s="9">
        <v>0</v>
      </c>
      <c r="AN59" s="9">
        <v>0</v>
      </c>
      <c r="AO59" s="9">
        <v>0</v>
      </c>
      <c r="AP59" s="9">
        <v>0</v>
      </c>
      <c r="AQ59" s="9">
        <v>0</v>
      </c>
      <c r="AR59" s="9">
        <v>0</v>
      </c>
      <c r="AS59" s="9">
        <v>0</v>
      </c>
      <c r="AT59" s="9">
        <v>0</v>
      </c>
      <c r="AU59" s="9">
        <v>0</v>
      </c>
      <c r="AV59" s="9">
        <v>40924</v>
      </c>
      <c r="AW59" s="9">
        <v>4867860</v>
      </c>
      <c r="AX59" s="9">
        <v>4650000</v>
      </c>
      <c r="AY59" s="9">
        <v>5010749</v>
      </c>
      <c r="AZ59" s="9">
        <v>289851</v>
      </c>
      <c r="BA59" s="9">
        <v>22.333000000000002</v>
      </c>
      <c r="BB59" s="9">
        <v>0</v>
      </c>
      <c r="BC59" s="9">
        <v>0</v>
      </c>
      <c r="BD59" s="9">
        <v>0</v>
      </c>
      <c r="BE59" s="9">
        <v>0</v>
      </c>
      <c r="BF59" s="9">
        <v>3916302</v>
      </c>
      <c r="BG59" s="9">
        <v>0</v>
      </c>
      <c r="BH59" s="9">
        <v>437.30600000000004</v>
      </c>
      <c r="BI59" s="9">
        <v>120259</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97601</v>
      </c>
      <c r="CI59" s="9">
        <v>0</v>
      </c>
      <c r="CJ59" s="9">
        <v>4</v>
      </c>
      <c r="CK59" s="9">
        <v>0</v>
      </c>
      <c r="CL59" s="9">
        <v>0</v>
      </c>
      <c r="CM59" s="9">
        <v>0</v>
      </c>
      <c r="CN59" s="9">
        <v>0</v>
      </c>
      <c r="CO59" s="9">
        <v>0</v>
      </c>
      <c r="CP59" s="9">
        <v>0.34200000000000003</v>
      </c>
      <c r="CQ59" s="9">
        <v>1</v>
      </c>
      <c r="CR59" s="9">
        <v>530.45000000000005</v>
      </c>
      <c r="CS59" s="9">
        <v>0</v>
      </c>
      <c r="CT59" s="9">
        <v>0</v>
      </c>
      <c r="CU59" s="9">
        <v>0</v>
      </c>
      <c r="CV59" s="9">
        <v>0</v>
      </c>
      <c r="CW59" s="9">
        <v>0</v>
      </c>
      <c r="CX59" s="9">
        <v>0</v>
      </c>
      <c r="CY59" s="9">
        <v>0</v>
      </c>
      <c r="CZ59" s="9">
        <v>0</v>
      </c>
      <c r="DA59" s="9">
        <v>1</v>
      </c>
      <c r="DB59" s="9">
        <v>2484943</v>
      </c>
      <c r="DC59" s="9">
        <v>0</v>
      </c>
      <c r="DD59" s="9">
        <v>0</v>
      </c>
      <c r="DE59" s="9">
        <v>798054</v>
      </c>
      <c r="DF59" s="9">
        <v>803456</v>
      </c>
      <c r="DG59" s="9">
        <v>608.83000000000004</v>
      </c>
      <c r="DH59" s="9">
        <v>0</v>
      </c>
      <c r="DI59" s="9">
        <v>5402</v>
      </c>
      <c r="DJ59" s="9">
        <v>0</v>
      </c>
      <c r="DK59" s="9">
        <v>5392</v>
      </c>
      <c r="DL59" s="9">
        <v>0</v>
      </c>
      <c r="DM59" s="9">
        <v>237800</v>
      </c>
      <c r="DN59" s="9">
        <v>0</v>
      </c>
      <c r="DO59" s="9">
        <v>0</v>
      </c>
      <c r="DP59" s="9">
        <v>0</v>
      </c>
      <c r="DQ59" s="9">
        <v>0</v>
      </c>
      <c r="DR59" s="9">
        <v>0</v>
      </c>
      <c r="DS59" s="9">
        <v>0</v>
      </c>
      <c r="DT59" s="9">
        <v>0</v>
      </c>
      <c r="DU59" s="9">
        <v>0</v>
      </c>
      <c r="DV59" s="9">
        <v>0</v>
      </c>
      <c r="DW59" s="9">
        <v>0</v>
      </c>
      <c r="DX59" s="9">
        <v>0</v>
      </c>
      <c r="DY59" s="9">
        <v>0</v>
      </c>
      <c r="DZ59" s="9">
        <v>0</v>
      </c>
      <c r="EA59" s="9">
        <v>0</v>
      </c>
      <c r="EB59" s="9">
        <v>0</v>
      </c>
      <c r="EC59" s="9">
        <v>21.391999999999999</v>
      </c>
      <c r="ED59" s="9">
        <v>154223</v>
      </c>
      <c r="EE59" s="9">
        <v>0</v>
      </c>
      <c r="EF59" s="9">
        <v>0</v>
      </c>
      <c r="EG59" s="9">
        <v>0</v>
      </c>
      <c r="EH59" s="9">
        <v>83577</v>
      </c>
      <c r="EI59" s="9">
        <v>0</v>
      </c>
      <c r="EJ59" s="9">
        <v>0</v>
      </c>
      <c r="EK59" s="9">
        <v>4.0640000000000001</v>
      </c>
      <c r="EL59" s="9">
        <v>0</v>
      </c>
      <c r="EM59" s="9">
        <v>0</v>
      </c>
      <c r="EN59" s="9">
        <v>0.112</v>
      </c>
      <c r="EO59" s="9">
        <v>0</v>
      </c>
      <c r="EP59" s="9">
        <v>0</v>
      </c>
      <c r="EQ59" s="9">
        <v>4.1760000000000002</v>
      </c>
      <c r="ER59" s="9">
        <v>0</v>
      </c>
      <c r="ES59" s="9">
        <v>12.752000000000001</v>
      </c>
      <c r="ET59" s="9">
        <v>11417</v>
      </c>
      <c r="EU59" s="9">
        <v>289851</v>
      </c>
      <c r="EV59" s="9">
        <v>0</v>
      </c>
      <c r="EW59" s="9">
        <v>0</v>
      </c>
      <c r="EX59" s="9">
        <v>0</v>
      </c>
      <c r="EY59" s="9">
        <v>0</v>
      </c>
      <c r="EZ59" s="9">
        <v>3919415</v>
      </c>
      <c r="FA59" s="9">
        <v>0</v>
      </c>
      <c r="FB59" s="9">
        <v>4209266</v>
      </c>
      <c r="FC59" s="9">
        <v>0.97327799999999998</v>
      </c>
      <c r="FD59" s="9">
        <v>0</v>
      </c>
      <c r="FE59" s="9">
        <v>596226</v>
      </c>
      <c r="FF59" s="9">
        <v>134359</v>
      </c>
      <c r="FG59" s="9">
        <v>6.1239999999999996E-2</v>
      </c>
      <c r="FH59" s="9">
        <v>5.4803999999999999E-2</v>
      </c>
      <c r="FI59" s="9">
        <v>0</v>
      </c>
      <c r="FJ59" s="9">
        <v>0</v>
      </c>
      <c r="FK59" s="9">
        <v>767.327</v>
      </c>
      <c r="FL59" s="9">
        <v>5037452</v>
      </c>
      <c r="FM59" s="9">
        <v>0</v>
      </c>
      <c r="FN59" s="9">
        <v>0</v>
      </c>
      <c r="FO59" s="9">
        <v>65178</v>
      </c>
      <c r="FP59" s="9">
        <v>0</v>
      </c>
      <c r="FQ59" s="9">
        <v>65178</v>
      </c>
      <c r="FR59" s="9">
        <v>65178</v>
      </c>
      <c r="FS59" s="9">
        <v>0</v>
      </c>
      <c r="FT59" s="9">
        <v>0</v>
      </c>
      <c r="FU59" s="9">
        <v>0</v>
      </c>
      <c r="FV59" s="9">
        <v>0</v>
      </c>
      <c r="FW59" s="9">
        <v>0</v>
      </c>
      <c r="FX59" s="9">
        <v>0</v>
      </c>
      <c r="FY59" s="9">
        <v>0</v>
      </c>
      <c r="FZ59" s="9">
        <v>12</v>
      </c>
      <c r="GA59" s="9">
        <v>0.24200000000000002</v>
      </c>
      <c r="GB59" s="9">
        <v>477675</v>
      </c>
      <c r="GC59" s="9">
        <v>477675</v>
      </c>
      <c r="GD59" s="9">
        <v>53.986000000000004</v>
      </c>
      <c r="GE59" s="9">
        <v>0</v>
      </c>
      <c r="GF59" s="9">
        <v>0</v>
      </c>
      <c r="GG59" s="9">
        <v>0</v>
      </c>
      <c r="GH59" s="9">
        <v>0</v>
      </c>
      <c r="GI59" s="9">
        <v>0</v>
      </c>
      <c r="GJ59" s="9">
        <v>0</v>
      </c>
      <c r="GK59" s="9">
        <v>5426</v>
      </c>
      <c r="GL59" s="9">
        <v>11209</v>
      </c>
      <c r="GM59" s="9">
        <v>0</v>
      </c>
      <c r="GN59" s="9">
        <v>83263</v>
      </c>
      <c r="GO59" s="9">
        <v>0</v>
      </c>
      <c r="GP59" s="9">
        <v>4939851</v>
      </c>
      <c r="GQ59" s="9">
        <v>4939851</v>
      </c>
      <c r="GR59" s="9">
        <v>0</v>
      </c>
      <c r="GS59" s="9">
        <v>0</v>
      </c>
      <c r="GT59" s="9">
        <v>0</v>
      </c>
      <c r="GU59" s="9">
        <v>0</v>
      </c>
      <c r="GV59" s="9">
        <v>0</v>
      </c>
      <c r="GW59" s="9">
        <v>0</v>
      </c>
      <c r="GX59" s="9">
        <v>0</v>
      </c>
      <c r="GY59" s="9">
        <v>0</v>
      </c>
      <c r="GZ59" s="9">
        <v>0</v>
      </c>
      <c r="HA59" s="9">
        <v>0</v>
      </c>
      <c r="HB59" s="9">
        <v>260786259</v>
      </c>
      <c r="HC59" s="9">
        <v>5.0923999999999997E-2</v>
      </c>
      <c r="HD59" s="9">
        <v>86184</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32469</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row>
    <row r="60" spans="1:292" x14ac:dyDescent="0.25">
      <c r="A60" s="9">
        <v>57835</v>
      </c>
      <c r="B60" s="9">
        <v>32570</v>
      </c>
      <c r="C60" s="9">
        <v>35</v>
      </c>
      <c r="D60" s="9">
        <v>2022</v>
      </c>
      <c r="E60" s="9">
        <v>5392</v>
      </c>
      <c r="F60" s="9">
        <v>0</v>
      </c>
      <c r="G60" s="9">
        <v>1329.941</v>
      </c>
      <c r="H60" s="9">
        <v>1285.703</v>
      </c>
      <c r="I60" s="9">
        <v>1285.703</v>
      </c>
      <c r="J60" s="9">
        <v>1329.941</v>
      </c>
      <c r="K60" s="9">
        <v>0</v>
      </c>
      <c r="L60" s="9">
        <v>6554</v>
      </c>
      <c r="M60" s="9">
        <v>0</v>
      </c>
      <c r="N60" s="9">
        <v>0</v>
      </c>
      <c r="O60" s="9">
        <v>0</v>
      </c>
      <c r="P60" s="9">
        <v>1297.912</v>
      </c>
      <c r="Q60" s="9">
        <v>0</v>
      </c>
      <c r="R60" s="9">
        <v>414959</v>
      </c>
      <c r="S60" s="9">
        <v>319.71300000000002</v>
      </c>
      <c r="T60" s="9">
        <v>0</v>
      </c>
      <c r="U60" s="9">
        <v>414959</v>
      </c>
      <c r="V60" s="9">
        <v>631.45600000000002</v>
      </c>
      <c r="W60" s="9">
        <v>413856</v>
      </c>
      <c r="X60" s="9">
        <v>413856</v>
      </c>
      <c r="Y60" s="9">
        <v>0</v>
      </c>
      <c r="Z60" s="9">
        <v>0</v>
      </c>
      <c r="AA60" s="9">
        <v>1</v>
      </c>
      <c r="AB60" s="9">
        <v>1</v>
      </c>
      <c r="AC60" s="9">
        <v>0</v>
      </c>
      <c r="AD60" s="9" t="s">
        <v>314</v>
      </c>
      <c r="AE60" s="9">
        <v>0</v>
      </c>
      <c r="AF60" s="9">
        <v>0</v>
      </c>
      <c r="AG60" s="9">
        <v>0</v>
      </c>
      <c r="AH60" s="9">
        <v>0</v>
      </c>
      <c r="AI60" s="9">
        <v>0</v>
      </c>
      <c r="AJ60" s="9">
        <v>5104</v>
      </c>
      <c r="AK60" s="9" t="s">
        <v>651</v>
      </c>
      <c r="AL60" s="9" t="s">
        <v>48</v>
      </c>
      <c r="AM60" s="9">
        <v>0</v>
      </c>
      <c r="AN60" s="9">
        <v>0</v>
      </c>
      <c r="AO60" s="9">
        <v>0</v>
      </c>
      <c r="AP60" s="9">
        <v>0</v>
      </c>
      <c r="AQ60" s="9">
        <v>0</v>
      </c>
      <c r="AR60" s="9">
        <v>0</v>
      </c>
      <c r="AS60" s="9">
        <v>0</v>
      </c>
      <c r="AT60" s="9">
        <v>0</v>
      </c>
      <c r="AU60" s="9">
        <v>0</v>
      </c>
      <c r="AV60" s="9">
        <v>492020</v>
      </c>
      <c r="AW60" s="9">
        <v>13758347</v>
      </c>
      <c r="AX60" s="9">
        <v>13479485</v>
      </c>
      <c r="AY60" s="9">
        <v>15067432</v>
      </c>
      <c r="AZ60" s="9">
        <v>431719</v>
      </c>
      <c r="BA60" s="9">
        <v>0</v>
      </c>
      <c r="BB60" s="9">
        <v>31464</v>
      </c>
      <c r="BC60" s="9">
        <v>31464</v>
      </c>
      <c r="BD60" s="9">
        <v>40.006</v>
      </c>
      <c r="BE60" s="9">
        <v>0</v>
      </c>
      <c r="BF60" s="9">
        <v>11445123</v>
      </c>
      <c r="BG60" s="9">
        <v>0</v>
      </c>
      <c r="BH60" s="9">
        <v>60.945</v>
      </c>
      <c r="BI60" s="9">
        <v>16760</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262102</v>
      </c>
      <c r="CI60" s="9">
        <v>0</v>
      </c>
      <c r="CJ60" s="9">
        <v>4</v>
      </c>
      <c r="CK60" s="9">
        <v>0</v>
      </c>
      <c r="CL60" s="9">
        <v>0</v>
      </c>
      <c r="CM60" s="9">
        <v>0</v>
      </c>
      <c r="CN60" s="9">
        <v>0</v>
      </c>
      <c r="CO60" s="9">
        <v>0</v>
      </c>
      <c r="CP60" s="9">
        <v>0</v>
      </c>
      <c r="CQ60" s="9">
        <v>0</v>
      </c>
      <c r="CR60" s="9">
        <v>1297.912</v>
      </c>
      <c r="CS60" s="9">
        <v>0</v>
      </c>
      <c r="CT60" s="9">
        <v>0</v>
      </c>
      <c r="CU60" s="9">
        <v>0</v>
      </c>
      <c r="CV60" s="9">
        <v>0</v>
      </c>
      <c r="CW60" s="9">
        <v>0</v>
      </c>
      <c r="CX60" s="9">
        <v>0</v>
      </c>
      <c r="CY60" s="9">
        <v>0</v>
      </c>
      <c r="CZ60" s="9">
        <v>0</v>
      </c>
      <c r="DA60" s="9">
        <v>1</v>
      </c>
      <c r="DB60" s="9">
        <v>8426497</v>
      </c>
      <c r="DC60" s="9">
        <v>0</v>
      </c>
      <c r="DD60" s="9">
        <v>0</v>
      </c>
      <c r="DE60" s="9">
        <v>2065047</v>
      </c>
      <c r="DF60" s="9">
        <v>2065047</v>
      </c>
      <c r="DG60" s="9">
        <v>1575.41</v>
      </c>
      <c r="DH60" s="9">
        <v>0</v>
      </c>
      <c r="DI60" s="9">
        <v>0</v>
      </c>
      <c r="DJ60" s="9">
        <v>0</v>
      </c>
      <c r="DK60" s="9">
        <v>5392</v>
      </c>
      <c r="DL60" s="9">
        <v>0</v>
      </c>
      <c r="DM60" s="9">
        <v>708475</v>
      </c>
      <c r="DN60" s="9">
        <v>0</v>
      </c>
      <c r="DO60" s="9">
        <v>0</v>
      </c>
      <c r="DP60" s="9">
        <v>0</v>
      </c>
      <c r="DQ60" s="9">
        <v>0</v>
      </c>
      <c r="DR60" s="9">
        <v>0</v>
      </c>
      <c r="DS60" s="9">
        <v>0</v>
      </c>
      <c r="DT60" s="9">
        <v>0</v>
      </c>
      <c r="DU60" s="9">
        <v>0</v>
      </c>
      <c r="DV60" s="9">
        <v>0</v>
      </c>
      <c r="DW60" s="9">
        <v>0</v>
      </c>
      <c r="DX60" s="9">
        <v>0</v>
      </c>
      <c r="DY60" s="9">
        <v>0</v>
      </c>
      <c r="DZ60" s="9">
        <v>0</v>
      </c>
      <c r="EA60" s="9">
        <v>0</v>
      </c>
      <c r="EB60" s="9">
        <v>0</v>
      </c>
      <c r="EC60" s="9">
        <v>9.8810000000000002</v>
      </c>
      <c r="ED60" s="9">
        <v>71236</v>
      </c>
      <c r="EE60" s="9">
        <v>0</v>
      </c>
      <c r="EF60" s="9">
        <v>0</v>
      </c>
      <c r="EG60" s="9">
        <v>0</v>
      </c>
      <c r="EH60" s="9">
        <v>637239</v>
      </c>
      <c r="EI60" s="9">
        <v>0</v>
      </c>
      <c r="EJ60" s="9">
        <v>0</v>
      </c>
      <c r="EK60" s="9">
        <v>28.753</v>
      </c>
      <c r="EL60" s="9">
        <v>0</v>
      </c>
      <c r="EM60" s="9">
        <v>1.01</v>
      </c>
      <c r="EN60" s="9">
        <v>1.5880000000000001</v>
      </c>
      <c r="EO60" s="9">
        <v>0</v>
      </c>
      <c r="EP60" s="9">
        <v>0</v>
      </c>
      <c r="EQ60" s="9">
        <v>31.351000000000003</v>
      </c>
      <c r="ER60" s="9">
        <v>0</v>
      </c>
      <c r="ES60" s="9">
        <v>97.228999999999999</v>
      </c>
      <c r="ET60" s="9">
        <v>0</v>
      </c>
      <c r="EU60" s="9">
        <v>431719</v>
      </c>
      <c r="EV60" s="9">
        <v>0</v>
      </c>
      <c r="EW60" s="9">
        <v>0</v>
      </c>
      <c r="EX60" s="9">
        <v>0</v>
      </c>
      <c r="EY60" s="9">
        <v>0</v>
      </c>
      <c r="EZ60" s="9">
        <v>11344403</v>
      </c>
      <c r="FA60" s="9">
        <v>0</v>
      </c>
      <c r="FB60" s="9">
        <v>11776122</v>
      </c>
      <c r="FC60" s="9">
        <v>0.97327799999999998</v>
      </c>
      <c r="FD60" s="9">
        <v>0</v>
      </c>
      <c r="FE60" s="9">
        <v>1742428</v>
      </c>
      <c r="FF60" s="9">
        <v>392654</v>
      </c>
      <c r="FG60" s="9">
        <v>6.1239999999999996E-2</v>
      </c>
      <c r="FH60" s="9">
        <v>5.4803999999999999E-2</v>
      </c>
      <c r="FI60" s="9">
        <v>0</v>
      </c>
      <c r="FJ60" s="9">
        <v>0</v>
      </c>
      <c r="FK60" s="9">
        <v>2242.46</v>
      </c>
      <c r="FL60" s="9">
        <v>14173306</v>
      </c>
      <c r="FM60" s="9">
        <v>0</v>
      </c>
      <c r="FN60" s="9">
        <v>0</v>
      </c>
      <c r="FO60" s="9">
        <v>0</v>
      </c>
      <c r="FP60" s="9">
        <v>0</v>
      </c>
      <c r="FQ60" s="9">
        <v>0</v>
      </c>
      <c r="FR60" s="9">
        <v>0</v>
      </c>
      <c r="FS60" s="9">
        <v>0</v>
      </c>
      <c r="FT60" s="9">
        <v>0</v>
      </c>
      <c r="FU60" s="9">
        <v>0</v>
      </c>
      <c r="FV60" s="9">
        <v>0</v>
      </c>
      <c r="FW60" s="9">
        <v>0</v>
      </c>
      <c r="FX60" s="9">
        <v>0</v>
      </c>
      <c r="FY60" s="9">
        <v>0</v>
      </c>
      <c r="FZ60" s="9">
        <v>0</v>
      </c>
      <c r="GA60" s="9">
        <v>0</v>
      </c>
      <c r="GB60" s="9">
        <v>114023</v>
      </c>
      <c r="GC60" s="9">
        <v>114023</v>
      </c>
      <c r="GD60" s="9">
        <v>12.887</v>
      </c>
      <c r="GE60" s="9">
        <v>0</v>
      </c>
      <c r="GF60" s="9">
        <v>0</v>
      </c>
      <c r="GG60" s="9">
        <v>0</v>
      </c>
      <c r="GH60" s="9">
        <v>0</v>
      </c>
      <c r="GI60" s="9">
        <v>0</v>
      </c>
      <c r="GJ60" s="9">
        <v>0</v>
      </c>
      <c r="GK60" s="9">
        <v>5064</v>
      </c>
      <c r="GL60" s="9">
        <v>19509</v>
      </c>
      <c r="GM60" s="9">
        <v>0</v>
      </c>
      <c r="GN60" s="9">
        <v>0</v>
      </c>
      <c r="GO60" s="9">
        <v>0</v>
      </c>
      <c r="GP60" s="9">
        <v>13911204</v>
      </c>
      <c r="GQ60" s="9">
        <v>13911204</v>
      </c>
      <c r="GR60" s="9">
        <v>0</v>
      </c>
      <c r="GS60" s="9">
        <v>0</v>
      </c>
      <c r="GT60" s="9">
        <v>0</v>
      </c>
      <c r="GU60" s="9">
        <v>0</v>
      </c>
      <c r="GV60" s="9">
        <v>0</v>
      </c>
      <c r="GW60" s="9">
        <v>0</v>
      </c>
      <c r="GX60" s="9">
        <v>0</v>
      </c>
      <c r="GY60" s="9">
        <v>0</v>
      </c>
      <c r="GZ60" s="9">
        <v>0</v>
      </c>
      <c r="HA60" s="9">
        <v>0</v>
      </c>
      <c r="HB60" s="9">
        <v>260786259</v>
      </c>
      <c r="HC60" s="9">
        <v>5.0923999999999997E-2</v>
      </c>
      <c r="HD60" s="9">
        <v>262102</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32469</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row>
    <row r="61" spans="1:292" x14ac:dyDescent="0.25">
      <c r="A61" s="9">
        <v>57836</v>
      </c>
      <c r="B61" s="9">
        <v>32570</v>
      </c>
      <c r="C61" s="9">
        <v>35</v>
      </c>
      <c r="D61" s="9">
        <v>2022</v>
      </c>
      <c r="E61" s="9">
        <v>5392</v>
      </c>
      <c r="F61" s="9">
        <v>0</v>
      </c>
      <c r="G61" s="9">
        <v>296.44499999999999</v>
      </c>
      <c r="H61" s="9">
        <v>289.12600000000003</v>
      </c>
      <c r="I61" s="9">
        <v>289.12600000000003</v>
      </c>
      <c r="J61" s="9">
        <v>296.44499999999999</v>
      </c>
      <c r="K61" s="9">
        <v>0</v>
      </c>
      <c r="L61" s="9">
        <v>6554</v>
      </c>
      <c r="M61" s="9">
        <v>0</v>
      </c>
      <c r="N61" s="9">
        <v>0</v>
      </c>
      <c r="O61" s="9">
        <v>0</v>
      </c>
      <c r="P61" s="9">
        <v>297.43900000000002</v>
      </c>
      <c r="Q61" s="9">
        <v>0</v>
      </c>
      <c r="R61" s="9">
        <v>95095</v>
      </c>
      <c r="S61" s="9">
        <v>319.71300000000002</v>
      </c>
      <c r="T61" s="9">
        <v>0</v>
      </c>
      <c r="U61" s="9">
        <v>95095</v>
      </c>
      <c r="V61" s="9">
        <v>0</v>
      </c>
      <c r="W61" s="9">
        <v>0</v>
      </c>
      <c r="X61" s="9">
        <v>0</v>
      </c>
      <c r="Y61" s="9">
        <v>0</v>
      </c>
      <c r="Z61" s="9">
        <v>0</v>
      </c>
      <c r="AA61" s="9">
        <v>1</v>
      </c>
      <c r="AB61" s="9">
        <v>1</v>
      </c>
      <c r="AC61" s="9">
        <v>0</v>
      </c>
      <c r="AD61" s="9" t="s">
        <v>314</v>
      </c>
      <c r="AE61" s="9">
        <v>0</v>
      </c>
      <c r="AF61" s="9">
        <v>0</v>
      </c>
      <c r="AG61" s="9">
        <v>0</v>
      </c>
      <c r="AH61" s="9">
        <v>0</v>
      </c>
      <c r="AI61" s="9">
        <v>0</v>
      </c>
      <c r="AJ61" s="9">
        <v>5104</v>
      </c>
      <c r="AK61" s="9" t="s">
        <v>651</v>
      </c>
      <c r="AL61" s="9" t="s">
        <v>24</v>
      </c>
      <c r="AM61" s="9">
        <v>0</v>
      </c>
      <c r="AN61" s="9">
        <v>0</v>
      </c>
      <c r="AO61" s="9">
        <v>0</v>
      </c>
      <c r="AP61" s="9">
        <v>0</v>
      </c>
      <c r="AQ61" s="9">
        <v>0</v>
      </c>
      <c r="AR61" s="9">
        <v>0</v>
      </c>
      <c r="AS61" s="9">
        <v>0</v>
      </c>
      <c r="AT61" s="9">
        <v>0</v>
      </c>
      <c r="AU61" s="9">
        <v>0</v>
      </c>
      <c r="AV61" s="9">
        <v>71413</v>
      </c>
      <c r="AW61" s="9">
        <v>2855607</v>
      </c>
      <c r="AX61" s="9">
        <v>2790142</v>
      </c>
      <c r="AY61" s="9">
        <v>3010491</v>
      </c>
      <c r="AZ61" s="9">
        <v>95095</v>
      </c>
      <c r="BA61" s="9">
        <v>14.083</v>
      </c>
      <c r="BB61" s="9">
        <v>11657</v>
      </c>
      <c r="BC61" s="9">
        <v>11657</v>
      </c>
      <c r="BD61" s="9">
        <v>14.822000000000001</v>
      </c>
      <c r="BE61" s="9">
        <v>0</v>
      </c>
      <c r="BF61" s="9">
        <v>2376626</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65465</v>
      </c>
      <c r="CI61" s="9">
        <v>0</v>
      </c>
      <c r="CJ61" s="9">
        <v>4</v>
      </c>
      <c r="CK61" s="9">
        <v>0</v>
      </c>
      <c r="CL61" s="9">
        <v>0</v>
      </c>
      <c r="CM61" s="9">
        <v>0</v>
      </c>
      <c r="CN61" s="9">
        <v>0</v>
      </c>
      <c r="CO61" s="9">
        <v>0</v>
      </c>
      <c r="CP61" s="9">
        <v>0</v>
      </c>
      <c r="CQ61" s="9">
        <v>0</v>
      </c>
      <c r="CR61" s="9">
        <v>297.43900000000002</v>
      </c>
      <c r="CS61" s="9">
        <v>0</v>
      </c>
      <c r="CT61" s="9">
        <v>0</v>
      </c>
      <c r="CU61" s="9">
        <v>0</v>
      </c>
      <c r="CV61" s="9">
        <v>0</v>
      </c>
      <c r="CW61" s="9">
        <v>0</v>
      </c>
      <c r="CX61" s="9">
        <v>0</v>
      </c>
      <c r="CY61" s="9">
        <v>0</v>
      </c>
      <c r="CZ61" s="9">
        <v>0</v>
      </c>
      <c r="DA61" s="9">
        <v>1</v>
      </c>
      <c r="DB61" s="9">
        <v>1894932</v>
      </c>
      <c r="DC61" s="9">
        <v>0</v>
      </c>
      <c r="DD61" s="9">
        <v>0</v>
      </c>
      <c r="DE61" s="9">
        <v>314159</v>
      </c>
      <c r="DF61" s="9">
        <v>314159</v>
      </c>
      <c r="DG61" s="9">
        <v>239.67000000000002</v>
      </c>
      <c r="DH61" s="9">
        <v>0</v>
      </c>
      <c r="DI61" s="9">
        <v>0</v>
      </c>
      <c r="DJ61" s="9">
        <v>0</v>
      </c>
      <c r="DK61" s="9">
        <v>5392</v>
      </c>
      <c r="DL61" s="9">
        <v>0</v>
      </c>
      <c r="DM61" s="9">
        <v>221131</v>
      </c>
      <c r="DN61" s="9">
        <v>0</v>
      </c>
      <c r="DO61" s="9">
        <v>0</v>
      </c>
      <c r="DP61" s="9">
        <v>0</v>
      </c>
      <c r="DQ61" s="9">
        <v>0</v>
      </c>
      <c r="DR61" s="9">
        <v>0</v>
      </c>
      <c r="DS61" s="9">
        <v>0</v>
      </c>
      <c r="DT61" s="9">
        <v>0</v>
      </c>
      <c r="DU61" s="9">
        <v>0</v>
      </c>
      <c r="DV61" s="9">
        <v>0</v>
      </c>
      <c r="DW61" s="9">
        <v>0</v>
      </c>
      <c r="DX61" s="9">
        <v>0</v>
      </c>
      <c r="DY61" s="9">
        <v>0</v>
      </c>
      <c r="DZ61" s="9">
        <v>0</v>
      </c>
      <c r="EA61" s="9">
        <v>0</v>
      </c>
      <c r="EB61" s="9">
        <v>0</v>
      </c>
      <c r="EC61" s="9">
        <v>10.239000000000001</v>
      </c>
      <c r="ED61" s="9">
        <v>73817</v>
      </c>
      <c r="EE61" s="9">
        <v>0</v>
      </c>
      <c r="EF61" s="9">
        <v>0</v>
      </c>
      <c r="EG61" s="9">
        <v>0</v>
      </c>
      <c r="EH61" s="9">
        <v>147314</v>
      </c>
      <c r="EI61" s="9">
        <v>0</v>
      </c>
      <c r="EJ61" s="9">
        <v>0</v>
      </c>
      <c r="EK61" s="9">
        <v>6.3150000000000004</v>
      </c>
      <c r="EL61" s="9">
        <v>0</v>
      </c>
      <c r="EM61" s="9">
        <v>0.74399999999999999</v>
      </c>
      <c r="EN61" s="9">
        <v>0.26</v>
      </c>
      <c r="EO61" s="9">
        <v>0</v>
      </c>
      <c r="EP61" s="9">
        <v>0</v>
      </c>
      <c r="EQ61" s="9">
        <v>7.319</v>
      </c>
      <c r="ER61" s="9">
        <v>0</v>
      </c>
      <c r="ES61" s="9">
        <v>22.477</v>
      </c>
      <c r="ET61" s="9">
        <v>7042</v>
      </c>
      <c r="EU61" s="9">
        <v>95095</v>
      </c>
      <c r="EV61" s="9">
        <v>0</v>
      </c>
      <c r="EW61" s="9">
        <v>0</v>
      </c>
      <c r="EX61" s="9">
        <v>0</v>
      </c>
      <c r="EY61" s="9">
        <v>0</v>
      </c>
      <c r="EZ61" s="9">
        <v>2346784</v>
      </c>
      <c r="FA61" s="9">
        <v>0</v>
      </c>
      <c r="FB61" s="9">
        <v>2441879</v>
      </c>
      <c r="FC61" s="9">
        <v>0.97327799999999998</v>
      </c>
      <c r="FD61" s="9">
        <v>0</v>
      </c>
      <c r="FE61" s="9">
        <v>361822</v>
      </c>
      <c r="FF61" s="9">
        <v>81536</v>
      </c>
      <c r="FG61" s="9">
        <v>6.1239999999999996E-2</v>
      </c>
      <c r="FH61" s="9">
        <v>5.4803999999999999E-2</v>
      </c>
      <c r="FI61" s="9">
        <v>0</v>
      </c>
      <c r="FJ61" s="9">
        <v>0</v>
      </c>
      <c r="FK61" s="9">
        <v>465.65600000000001</v>
      </c>
      <c r="FL61" s="9">
        <v>2950702</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2885237</v>
      </c>
      <c r="GQ61" s="9">
        <v>2885237</v>
      </c>
      <c r="GR61" s="9">
        <v>0</v>
      </c>
      <c r="GS61" s="9">
        <v>0</v>
      </c>
      <c r="GT61" s="9">
        <v>0</v>
      </c>
      <c r="GU61" s="9">
        <v>0</v>
      </c>
      <c r="GV61" s="9">
        <v>0</v>
      </c>
      <c r="GW61" s="9">
        <v>0</v>
      </c>
      <c r="GX61" s="9">
        <v>0</v>
      </c>
      <c r="GY61" s="9">
        <v>0</v>
      </c>
      <c r="GZ61" s="9">
        <v>0</v>
      </c>
      <c r="HA61" s="9">
        <v>0</v>
      </c>
      <c r="HB61" s="9">
        <v>260786259</v>
      </c>
      <c r="HC61" s="9">
        <v>5.0923999999999997E-2</v>
      </c>
      <c r="HD61" s="9">
        <v>58423</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32469</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row>
    <row r="62" spans="1:292" x14ac:dyDescent="0.25">
      <c r="A62" s="9">
        <v>57839</v>
      </c>
      <c r="B62" s="9">
        <v>32570</v>
      </c>
      <c r="C62" s="9">
        <v>35</v>
      </c>
      <c r="D62" s="9">
        <v>2022</v>
      </c>
      <c r="E62" s="9">
        <v>5392</v>
      </c>
      <c r="F62" s="9">
        <v>0</v>
      </c>
      <c r="G62" s="9">
        <v>934.45500000000004</v>
      </c>
      <c r="H62" s="9">
        <v>929.79200000000003</v>
      </c>
      <c r="I62" s="9">
        <v>929.79200000000003</v>
      </c>
      <c r="J62" s="9">
        <v>934.45500000000004</v>
      </c>
      <c r="K62" s="9">
        <v>0</v>
      </c>
      <c r="L62" s="9">
        <v>6554</v>
      </c>
      <c r="M62" s="9">
        <v>0</v>
      </c>
      <c r="N62" s="9">
        <v>0</v>
      </c>
      <c r="O62" s="9">
        <v>0</v>
      </c>
      <c r="P62" s="9">
        <v>925.61700000000008</v>
      </c>
      <c r="Q62" s="9">
        <v>0</v>
      </c>
      <c r="R62" s="9">
        <v>295932</v>
      </c>
      <c r="S62" s="9">
        <v>319.71300000000002</v>
      </c>
      <c r="T62" s="9">
        <v>0</v>
      </c>
      <c r="U62" s="9">
        <v>295932</v>
      </c>
      <c r="V62" s="9">
        <v>578.94000000000005</v>
      </c>
      <c r="W62" s="9">
        <v>379437</v>
      </c>
      <c r="X62" s="9">
        <v>379437</v>
      </c>
      <c r="Y62" s="9">
        <v>0</v>
      </c>
      <c r="Z62" s="9">
        <v>0</v>
      </c>
      <c r="AA62" s="9">
        <v>1</v>
      </c>
      <c r="AB62" s="9">
        <v>1</v>
      </c>
      <c r="AC62" s="9">
        <v>0</v>
      </c>
      <c r="AD62" s="9" t="s">
        <v>314</v>
      </c>
      <c r="AE62" s="9">
        <v>0</v>
      </c>
      <c r="AF62" s="9">
        <v>0</v>
      </c>
      <c r="AG62" s="9">
        <v>0</v>
      </c>
      <c r="AH62" s="9">
        <v>0</v>
      </c>
      <c r="AI62" s="9">
        <v>0</v>
      </c>
      <c r="AJ62" s="9">
        <v>5104</v>
      </c>
      <c r="AK62" s="9" t="s">
        <v>651</v>
      </c>
      <c r="AL62" s="9" t="s">
        <v>58</v>
      </c>
      <c r="AM62" s="9">
        <v>0</v>
      </c>
      <c r="AN62" s="9">
        <v>0</v>
      </c>
      <c r="AO62" s="9">
        <v>0</v>
      </c>
      <c r="AP62" s="9">
        <v>0</v>
      </c>
      <c r="AQ62" s="9">
        <v>0</v>
      </c>
      <c r="AR62" s="9">
        <v>0</v>
      </c>
      <c r="AS62" s="9">
        <v>0</v>
      </c>
      <c r="AT62" s="9">
        <v>0</v>
      </c>
      <c r="AU62" s="9">
        <v>0</v>
      </c>
      <c r="AV62" s="9">
        <v>197558</v>
      </c>
      <c r="AW62" s="9">
        <v>9916911</v>
      </c>
      <c r="AX62" s="9">
        <v>9732751</v>
      </c>
      <c r="AY62" s="9">
        <v>10615015</v>
      </c>
      <c r="AZ62" s="9">
        <v>295932</v>
      </c>
      <c r="BA62" s="9">
        <v>0</v>
      </c>
      <c r="BB62" s="9">
        <v>9413</v>
      </c>
      <c r="BC62" s="9">
        <v>9413</v>
      </c>
      <c r="BD62" s="9">
        <v>11.969000000000001</v>
      </c>
      <c r="BE62" s="9">
        <v>0</v>
      </c>
      <c r="BF62" s="9">
        <v>8260820</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184160</v>
      </c>
      <c r="CI62" s="9">
        <v>0</v>
      </c>
      <c r="CJ62" s="9">
        <v>4</v>
      </c>
      <c r="CK62" s="9">
        <v>0</v>
      </c>
      <c r="CL62" s="9">
        <v>0</v>
      </c>
      <c r="CM62" s="9">
        <v>0</v>
      </c>
      <c r="CN62" s="9">
        <v>0</v>
      </c>
      <c r="CO62" s="9">
        <v>0</v>
      </c>
      <c r="CP62" s="9">
        <v>0</v>
      </c>
      <c r="CQ62" s="9">
        <v>0</v>
      </c>
      <c r="CR62" s="9">
        <v>925.61700000000008</v>
      </c>
      <c r="CS62" s="9">
        <v>0</v>
      </c>
      <c r="CT62" s="9">
        <v>0</v>
      </c>
      <c r="CU62" s="9">
        <v>0</v>
      </c>
      <c r="CV62" s="9">
        <v>0</v>
      </c>
      <c r="CW62" s="9">
        <v>0</v>
      </c>
      <c r="CX62" s="9">
        <v>0</v>
      </c>
      <c r="CY62" s="9">
        <v>0</v>
      </c>
      <c r="CZ62" s="9">
        <v>0</v>
      </c>
      <c r="DA62" s="9">
        <v>1</v>
      </c>
      <c r="DB62" s="9">
        <v>6093857</v>
      </c>
      <c r="DC62" s="9">
        <v>0</v>
      </c>
      <c r="DD62" s="9">
        <v>0</v>
      </c>
      <c r="DE62" s="9">
        <v>1350124</v>
      </c>
      <c r="DF62" s="9">
        <v>1350124</v>
      </c>
      <c r="DG62" s="9">
        <v>1030</v>
      </c>
      <c r="DH62" s="9">
        <v>0</v>
      </c>
      <c r="DI62" s="9">
        <v>0</v>
      </c>
      <c r="DJ62" s="9">
        <v>0</v>
      </c>
      <c r="DK62" s="9">
        <v>5392</v>
      </c>
      <c r="DL62" s="9">
        <v>0</v>
      </c>
      <c r="DM62" s="9">
        <v>654800</v>
      </c>
      <c r="DN62" s="9">
        <v>0</v>
      </c>
      <c r="DO62" s="9">
        <v>0</v>
      </c>
      <c r="DP62" s="9">
        <v>0</v>
      </c>
      <c r="DQ62" s="9">
        <v>0</v>
      </c>
      <c r="DR62" s="9">
        <v>0</v>
      </c>
      <c r="DS62" s="9">
        <v>0</v>
      </c>
      <c r="DT62" s="9">
        <v>0</v>
      </c>
      <c r="DU62" s="9">
        <v>0</v>
      </c>
      <c r="DV62" s="9">
        <v>0</v>
      </c>
      <c r="DW62" s="9">
        <v>0</v>
      </c>
      <c r="DX62" s="9">
        <v>0</v>
      </c>
      <c r="DY62" s="9">
        <v>0</v>
      </c>
      <c r="DZ62" s="9">
        <v>0</v>
      </c>
      <c r="EA62" s="9">
        <v>0</v>
      </c>
      <c r="EB62" s="9">
        <v>0</v>
      </c>
      <c r="EC62" s="9">
        <v>72.344999999999999</v>
      </c>
      <c r="ED62" s="9">
        <v>521564</v>
      </c>
      <c r="EE62" s="9">
        <v>0</v>
      </c>
      <c r="EF62" s="9">
        <v>0</v>
      </c>
      <c r="EG62" s="9">
        <v>0</v>
      </c>
      <c r="EH62" s="9">
        <v>133236</v>
      </c>
      <c r="EI62" s="9">
        <v>0</v>
      </c>
      <c r="EJ62" s="9">
        <v>0</v>
      </c>
      <c r="EK62" s="9">
        <v>1.4930000000000001</v>
      </c>
      <c r="EL62" s="9">
        <v>0</v>
      </c>
      <c r="EM62" s="9">
        <v>0</v>
      </c>
      <c r="EN62" s="9">
        <v>3.17</v>
      </c>
      <c r="EO62" s="9">
        <v>0</v>
      </c>
      <c r="EP62" s="9">
        <v>0</v>
      </c>
      <c r="EQ62" s="9">
        <v>4.6630000000000003</v>
      </c>
      <c r="ER62" s="9">
        <v>0</v>
      </c>
      <c r="ES62" s="9">
        <v>20.329000000000001</v>
      </c>
      <c r="ET62" s="9">
        <v>0</v>
      </c>
      <c r="EU62" s="9">
        <v>295932</v>
      </c>
      <c r="EV62" s="9">
        <v>0</v>
      </c>
      <c r="EW62" s="9">
        <v>0</v>
      </c>
      <c r="EX62" s="9">
        <v>0</v>
      </c>
      <c r="EY62" s="9">
        <v>0</v>
      </c>
      <c r="EZ62" s="9">
        <v>8191699</v>
      </c>
      <c r="FA62" s="9">
        <v>0</v>
      </c>
      <c r="FB62" s="9">
        <v>8487631</v>
      </c>
      <c r="FC62" s="9">
        <v>0.97327799999999998</v>
      </c>
      <c r="FD62" s="9">
        <v>0</v>
      </c>
      <c r="FE62" s="9">
        <v>1257644</v>
      </c>
      <c r="FF62" s="9">
        <v>283408</v>
      </c>
      <c r="FG62" s="9">
        <v>6.1239999999999996E-2</v>
      </c>
      <c r="FH62" s="9">
        <v>5.4803999999999999E-2</v>
      </c>
      <c r="FI62" s="9">
        <v>0</v>
      </c>
      <c r="FJ62" s="9">
        <v>0</v>
      </c>
      <c r="FK62" s="9">
        <v>1618.5550000000001</v>
      </c>
      <c r="FL62" s="9">
        <v>10212843</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10028683</v>
      </c>
      <c r="GQ62" s="9">
        <v>10028683</v>
      </c>
      <c r="GR62" s="9">
        <v>0</v>
      </c>
      <c r="GS62" s="9">
        <v>0</v>
      </c>
      <c r="GT62" s="9">
        <v>0</v>
      </c>
      <c r="GU62" s="9">
        <v>0</v>
      </c>
      <c r="GV62" s="9">
        <v>0</v>
      </c>
      <c r="GW62" s="9">
        <v>0</v>
      </c>
      <c r="GX62" s="9">
        <v>0</v>
      </c>
      <c r="GY62" s="9">
        <v>0</v>
      </c>
      <c r="GZ62" s="9">
        <v>0</v>
      </c>
      <c r="HA62" s="9">
        <v>0</v>
      </c>
      <c r="HB62" s="9">
        <v>260786259</v>
      </c>
      <c r="HC62" s="9">
        <v>5.0923999999999997E-2</v>
      </c>
      <c r="HD62" s="9">
        <v>184160</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32469</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row>
    <row r="63" spans="1:292" x14ac:dyDescent="0.25">
      <c r="A63" s="9">
        <v>57840</v>
      </c>
      <c r="B63" s="9">
        <v>32570</v>
      </c>
      <c r="C63" s="9">
        <v>35</v>
      </c>
      <c r="D63" s="9">
        <v>2022</v>
      </c>
      <c r="E63" s="9">
        <v>5392</v>
      </c>
      <c r="F63" s="9">
        <v>0</v>
      </c>
      <c r="G63" s="9">
        <v>507.887</v>
      </c>
      <c r="H63" s="9">
        <v>385.90100000000001</v>
      </c>
      <c r="I63" s="9">
        <v>385.90100000000001</v>
      </c>
      <c r="J63" s="9">
        <v>507.887</v>
      </c>
      <c r="K63" s="9">
        <v>0</v>
      </c>
      <c r="L63" s="9">
        <v>6554</v>
      </c>
      <c r="M63" s="9">
        <v>0</v>
      </c>
      <c r="N63" s="9">
        <v>0</v>
      </c>
      <c r="O63" s="9">
        <v>0</v>
      </c>
      <c r="P63" s="9">
        <v>584.50300000000004</v>
      </c>
      <c r="Q63" s="9">
        <v>0</v>
      </c>
      <c r="R63" s="9">
        <v>186873</v>
      </c>
      <c r="S63" s="9">
        <v>319.71300000000002</v>
      </c>
      <c r="T63" s="9">
        <v>0</v>
      </c>
      <c r="U63" s="9">
        <v>186873</v>
      </c>
      <c r="V63" s="9">
        <v>17.04</v>
      </c>
      <c r="W63" s="9">
        <v>11168</v>
      </c>
      <c r="X63" s="9">
        <v>11168</v>
      </c>
      <c r="Y63" s="9">
        <v>0</v>
      </c>
      <c r="Z63" s="9">
        <v>0</v>
      </c>
      <c r="AA63" s="9">
        <v>1</v>
      </c>
      <c r="AB63" s="9">
        <v>1</v>
      </c>
      <c r="AC63" s="9">
        <v>0</v>
      </c>
      <c r="AD63" s="9" t="s">
        <v>314</v>
      </c>
      <c r="AE63" s="9">
        <v>0</v>
      </c>
      <c r="AF63" s="9">
        <v>0</v>
      </c>
      <c r="AG63" s="9">
        <v>0</v>
      </c>
      <c r="AH63" s="9">
        <v>0</v>
      </c>
      <c r="AI63" s="9">
        <v>0</v>
      </c>
      <c r="AJ63" s="9">
        <v>5104</v>
      </c>
      <c r="AK63" s="9" t="s">
        <v>651</v>
      </c>
      <c r="AL63" s="9" t="s">
        <v>328</v>
      </c>
      <c r="AM63" s="9">
        <v>0</v>
      </c>
      <c r="AN63" s="9">
        <v>0</v>
      </c>
      <c r="AO63" s="9">
        <v>0</v>
      </c>
      <c r="AP63" s="9">
        <v>0</v>
      </c>
      <c r="AQ63" s="9">
        <v>0</v>
      </c>
      <c r="AR63" s="9">
        <v>0</v>
      </c>
      <c r="AS63" s="9">
        <v>0</v>
      </c>
      <c r="AT63" s="9">
        <v>0</v>
      </c>
      <c r="AU63" s="9">
        <v>0</v>
      </c>
      <c r="AV63" s="9">
        <v>131</v>
      </c>
      <c r="AW63" s="9">
        <v>4339822</v>
      </c>
      <c r="AX63" s="9">
        <v>4100060</v>
      </c>
      <c r="AY63" s="9">
        <v>4973246</v>
      </c>
      <c r="AZ63" s="9">
        <v>326542</v>
      </c>
      <c r="BA63" s="9">
        <v>0</v>
      </c>
      <c r="BB63" s="9">
        <v>0</v>
      </c>
      <c r="BC63" s="9">
        <v>0</v>
      </c>
      <c r="BD63" s="9">
        <v>0</v>
      </c>
      <c r="BE63" s="9">
        <v>0</v>
      </c>
      <c r="BF63" s="9">
        <v>3531230</v>
      </c>
      <c r="BG63" s="9">
        <v>0</v>
      </c>
      <c r="BH63" s="9">
        <v>507.88600000000002</v>
      </c>
      <c r="BI63" s="9">
        <v>139669</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9">
        <v>100093</v>
      </c>
      <c r="CI63" s="9">
        <v>0</v>
      </c>
      <c r="CJ63" s="9">
        <v>4</v>
      </c>
      <c r="CK63" s="9">
        <v>0</v>
      </c>
      <c r="CL63" s="9">
        <v>0</v>
      </c>
      <c r="CM63" s="9">
        <v>0</v>
      </c>
      <c r="CN63" s="9">
        <v>0</v>
      </c>
      <c r="CO63" s="9">
        <v>0</v>
      </c>
      <c r="CP63" s="9">
        <v>0</v>
      </c>
      <c r="CQ63" s="9">
        <v>0</v>
      </c>
      <c r="CR63" s="9">
        <v>584.50300000000004</v>
      </c>
      <c r="CS63" s="9">
        <v>0</v>
      </c>
      <c r="CT63" s="9">
        <v>0</v>
      </c>
      <c r="CU63" s="9">
        <v>0</v>
      </c>
      <c r="CV63" s="9">
        <v>0</v>
      </c>
      <c r="CW63" s="9">
        <v>0</v>
      </c>
      <c r="CX63" s="9">
        <v>0</v>
      </c>
      <c r="CY63" s="9">
        <v>0</v>
      </c>
      <c r="CZ63" s="9">
        <v>0</v>
      </c>
      <c r="DA63" s="9">
        <v>1</v>
      </c>
      <c r="DB63" s="9">
        <v>2529195</v>
      </c>
      <c r="DC63" s="9">
        <v>0</v>
      </c>
      <c r="DD63" s="9">
        <v>0</v>
      </c>
      <c r="DE63" s="9">
        <v>0</v>
      </c>
      <c r="DF63" s="9">
        <v>0</v>
      </c>
      <c r="DG63" s="9">
        <v>0</v>
      </c>
      <c r="DH63" s="9">
        <v>0</v>
      </c>
      <c r="DI63" s="9">
        <v>0</v>
      </c>
      <c r="DJ63" s="9">
        <v>0</v>
      </c>
      <c r="DK63" s="9">
        <v>5392</v>
      </c>
      <c r="DL63" s="9">
        <v>0</v>
      </c>
      <c r="DM63" s="9">
        <v>7029</v>
      </c>
      <c r="DN63" s="9">
        <v>0</v>
      </c>
      <c r="DO63" s="9">
        <v>0</v>
      </c>
      <c r="DP63" s="9">
        <v>0</v>
      </c>
      <c r="DQ63" s="9">
        <v>0</v>
      </c>
      <c r="DR63" s="9">
        <v>0</v>
      </c>
      <c r="DS63" s="9">
        <v>0</v>
      </c>
      <c r="DT63" s="9">
        <v>0</v>
      </c>
      <c r="DU63" s="9">
        <v>0</v>
      </c>
      <c r="DV63" s="9">
        <v>0</v>
      </c>
      <c r="DW63" s="9">
        <v>0</v>
      </c>
      <c r="DX63" s="9">
        <v>0</v>
      </c>
      <c r="DY63" s="9">
        <v>0</v>
      </c>
      <c r="DZ63" s="9">
        <v>0</v>
      </c>
      <c r="EA63" s="9">
        <v>0</v>
      </c>
      <c r="EB63" s="9">
        <v>0</v>
      </c>
      <c r="EC63" s="9">
        <v>0.97500000000000009</v>
      </c>
      <c r="ED63" s="9">
        <v>7029</v>
      </c>
      <c r="EE63" s="9">
        <v>0</v>
      </c>
      <c r="EF63" s="9">
        <v>0</v>
      </c>
      <c r="EG63" s="9">
        <v>0</v>
      </c>
      <c r="EH63" s="9">
        <v>0</v>
      </c>
      <c r="EI63" s="9">
        <v>0</v>
      </c>
      <c r="EJ63" s="9">
        <v>0</v>
      </c>
      <c r="EK63" s="9">
        <v>0</v>
      </c>
      <c r="EL63" s="9">
        <v>0</v>
      </c>
      <c r="EM63" s="9">
        <v>0</v>
      </c>
      <c r="EN63" s="9">
        <v>0</v>
      </c>
      <c r="EO63" s="9">
        <v>0</v>
      </c>
      <c r="EP63" s="9">
        <v>0</v>
      </c>
      <c r="EQ63" s="9">
        <v>0</v>
      </c>
      <c r="ER63" s="9">
        <v>0</v>
      </c>
      <c r="ES63" s="9">
        <v>0</v>
      </c>
      <c r="ET63" s="9">
        <v>0</v>
      </c>
      <c r="EU63" s="9">
        <v>326542</v>
      </c>
      <c r="EV63" s="9">
        <v>0</v>
      </c>
      <c r="EW63" s="9">
        <v>0</v>
      </c>
      <c r="EX63" s="9">
        <v>0</v>
      </c>
      <c r="EY63" s="9">
        <v>0</v>
      </c>
      <c r="EZ63" s="9">
        <v>3441311</v>
      </c>
      <c r="FA63" s="9">
        <v>0</v>
      </c>
      <c r="FB63" s="9">
        <v>3767853</v>
      </c>
      <c r="FC63" s="9">
        <v>0.97327799999999998</v>
      </c>
      <c r="FD63" s="9">
        <v>0</v>
      </c>
      <c r="FE63" s="9">
        <v>537601</v>
      </c>
      <c r="FF63" s="9">
        <v>121148</v>
      </c>
      <c r="FG63" s="9">
        <v>6.1239999999999996E-2</v>
      </c>
      <c r="FH63" s="9">
        <v>5.4803999999999999E-2</v>
      </c>
      <c r="FI63" s="9">
        <v>0</v>
      </c>
      <c r="FJ63" s="9">
        <v>0</v>
      </c>
      <c r="FK63" s="9">
        <v>691.87900000000002</v>
      </c>
      <c r="FL63" s="9">
        <v>4526695</v>
      </c>
      <c r="FM63" s="9">
        <v>0</v>
      </c>
      <c r="FN63" s="9">
        <v>0</v>
      </c>
      <c r="FO63" s="9">
        <v>0</v>
      </c>
      <c r="FP63" s="9">
        <v>0</v>
      </c>
      <c r="FQ63" s="9">
        <v>0</v>
      </c>
      <c r="FR63" s="9">
        <v>0</v>
      </c>
      <c r="FS63" s="9">
        <v>0</v>
      </c>
      <c r="FT63" s="9">
        <v>0</v>
      </c>
      <c r="FU63" s="9">
        <v>0</v>
      </c>
      <c r="FV63" s="9">
        <v>0</v>
      </c>
      <c r="FW63" s="9">
        <v>0</v>
      </c>
      <c r="FX63" s="9">
        <v>0</v>
      </c>
      <c r="FY63" s="9">
        <v>0</v>
      </c>
      <c r="FZ63" s="9">
        <v>1472</v>
      </c>
      <c r="GA63" s="9">
        <v>29.449000000000002</v>
      </c>
      <c r="GB63" s="9">
        <v>1080792</v>
      </c>
      <c r="GC63" s="9">
        <v>1080792</v>
      </c>
      <c r="GD63" s="9">
        <v>121.986</v>
      </c>
      <c r="GE63" s="9">
        <v>0</v>
      </c>
      <c r="GF63" s="9">
        <v>0</v>
      </c>
      <c r="GG63" s="9">
        <v>0</v>
      </c>
      <c r="GH63" s="9">
        <v>0</v>
      </c>
      <c r="GI63" s="9">
        <v>0</v>
      </c>
      <c r="GJ63" s="9">
        <v>0</v>
      </c>
      <c r="GK63" s="9">
        <v>5202</v>
      </c>
      <c r="GL63" s="9">
        <v>9629</v>
      </c>
      <c r="GM63" s="9">
        <v>0</v>
      </c>
      <c r="GN63" s="9">
        <v>11762</v>
      </c>
      <c r="GO63" s="9">
        <v>0</v>
      </c>
      <c r="GP63" s="9">
        <v>4426602</v>
      </c>
      <c r="GQ63" s="9">
        <v>4426602</v>
      </c>
      <c r="GR63" s="9">
        <v>0</v>
      </c>
      <c r="GS63" s="9">
        <v>0</v>
      </c>
      <c r="GT63" s="9">
        <v>0</v>
      </c>
      <c r="GU63" s="9">
        <v>0</v>
      </c>
      <c r="GV63" s="9">
        <v>0</v>
      </c>
      <c r="GW63" s="9">
        <v>0</v>
      </c>
      <c r="GX63" s="9">
        <v>0</v>
      </c>
      <c r="GY63" s="9">
        <v>0</v>
      </c>
      <c r="GZ63" s="9">
        <v>0</v>
      </c>
      <c r="HA63" s="9">
        <v>0</v>
      </c>
      <c r="HB63" s="9">
        <v>260786259</v>
      </c>
      <c r="HC63" s="9">
        <v>5.0923999999999997E-2</v>
      </c>
      <c r="HD63" s="9">
        <v>100093</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32469</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row>
    <row r="64" spans="1:292" x14ac:dyDescent="0.25">
      <c r="A64" s="9">
        <v>57841</v>
      </c>
      <c r="B64" s="9">
        <v>32570</v>
      </c>
      <c r="C64" s="9">
        <v>35</v>
      </c>
      <c r="D64" s="9">
        <v>2022</v>
      </c>
      <c r="E64" s="9">
        <v>5392</v>
      </c>
      <c r="F64" s="9">
        <v>0</v>
      </c>
      <c r="G64" s="9">
        <v>931.17700000000002</v>
      </c>
      <c r="H64" s="9">
        <v>923.53500000000008</v>
      </c>
      <c r="I64" s="9">
        <v>923.53500000000008</v>
      </c>
      <c r="J64" s="9">
        <v>931.17700000000002</v>
      </c>
      <c r="K64" s="9">
        <v>0</v>
      </c>
      <c r="L64" s="9">
        <v>6554</v>
      </c>
      <c r="M64" s="9">
        <v>0</v>
      </c>
      <c r="N64" s="9">
        <v>0</v>
      </c>
      <c r="O64" s="9">
        <v>0</v>
      </c>
      <c r="P64" s="9">
        <v>743.59199999999998</v>
      </c>
      <c r="Q64" s="9">
        <v>0</v>
      </c>
      <c r="R64" s="9">
        <v>237736</v>
      </c>
      <c r="S64" s="9">
        <v>319.71300000000002</v>
      </c>
      <c r="T64" s="9">
        <v>0</v>
      </c>
      <c r="U64" s="9">
        <v>237736</v>
      </c>
      <c r="V64" s="9">
        <v>420.54400000000004</v>
      </c>
      <c r="W64" s="9">
        <v>275625</v>
      </c>
      <c r="X64" s="9">
        <v>275625</v>
      </c>
      <c r="Y64" s="9">
        <v>0</v>
      </c>
      <c r="Z64" s="9">
        <v>0</v>
      </c>
      <c r="AA64" s="9">
        <v>1</v>
      </c>
      <c r="AB64" s="9">
        <v>1</v>
      </c>
      <c r="AC64" s="9">
        <v>0</v>
      </c>
      <c r="AD64" s="9" t="s">
        <v>314</v>
      </c>
      <c r="AE64" s="9">
        <v>0</v>
      </c>
      <c r="AF64" s="9">
        <v>0</v>
      </c>
      <c r="AG64" s="9">
        <v>0</v>
      </c>
      <c r="AH64" s="9">
        <v>0</v>
      </c>
      <c r="AI64" s="9">
        <v>0</v>
      </c>
      <c r="AJ64" s="9">
        <v>5104</v>
      </c>
      <c r="AK64" s="9" t="s">
        <v>651</v>
      </c>
      <c r="AL64" s="9" t="s">
        <v>329</v>
      </c>
      <c r="AM64" s="9">
        <v>0</v>
      </c>
      <c r="AN64" s="9">
        <v>0</v>
      </c>
      <c r="AO64" s="9">
        <v>0</v>
      </c>
      <c r="AP64" s="9">
        <v>0</v>
      </c>
      <c r="AQ64" s="9">
        <v>0</v>
      </c>
      <c r="AR64" s="9">
        <v>0</v>
      </c>
      <c r="AS64" s="9">
        <v>0</v>
      </c>
      <c r="AT64" s="9">
        <v>0</v>
      </c>
      <c r="AU64" s="9">
        <v>0</v>
      </c>
      <c r="AV64" s="9">
        <v>209288</v>
      </c>
      <c r="AW64" s="9">
        <v>9285990</v>
      </c>
      <c r="AX64" s="9">
        <v>9048094</v>
      </c>
      <c r="AY64" s="9">
        <v>10609262</v>
      </c>
      <c r="AZ64" s="9">
        <v>292118</v>
      </c>
      <c r="BA64" s="9">
        <v>0</v>
      </c>
      <c r="BB64" s="9">
        <v>0</v>
      </c>
      <c r="BC64" s="9">
        <v>0</v>
      </c>
      <c r="BD64" s="9">
        <v>0</v>
      </c>
      <c r="BE64" s="9">
        <v>0</v>
      </c>
      <c r="BF64" s="9">
        <v>7648919</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142.26500000000001</v>
      </c>
      <c r="CB64" s="9">
        <v>54382</v>
      </c>
      <c r="CC64" s="9">
        <v>0</v>
      </c>
      <c r="CD64" s="9">
        <v>0</v>
      </c>
      <c r="CE64" s="9">
        <v>0</v>
      </c>
      <c r="CF64" s="9">
        <v>0</v>
      </c>
      <c r="CG64" s="9">
        <v>0</v>
      </c>
      <c r="CH64" s="9">
        <v>183514</v>
      </c>
      <c r="CI64" s="9">
        <v>0</v>
      </c>
      <c r="CJ64" s="9">
        <v>5</v>
      </c>
      <c r="CK64" s="9">
        <v>0</v>
      </c>
      <c r="CL64" s="9">
        <v>0</v>
      </c>
      <c r="CM64" s="9">
        <v>0</v>
      </c>
      <c r="CN64" s="9">
        <v>0</v>
      </c>
      <c r="CO64" s="9">
        <v>0</v>
      </c>
      <c r="CP64" s="9">
        <v>0</v>
      </c>
      <c r="CQ64" s="9">
        <v>0</v>
      </c>
      <c r="CR64" s="9">
        <v>743.59199999999998</v>
      </c>
      <c r="CS64" s="9">
        <v>0</v>
      </c>
      <c r="CT64" s="9">
        <v>0</v>
      </c>
      <c r="CU64" s="9">
        <v>0</v>
      </c>
      <c r="CV64" s="9">
        <v>0</v>
      </c>
      <c r="CW64" s="9">
        <v>0</v>
      </c>
      <c r="CX64" s="9">
        <v>0</v>
      </c>
      <c r="CY64" s="9">
        <v>0</v>
      </c>
      <c r="CZ64" s="9">
        <v>0</v>
      </c>
      <c r="DA64" s="9">
        <v>1</v>
      </c>
      <c r="DB64" s="9">
        <v>6052848</v>
      </c>
      <c r="DC64" s="9">
        <v>0</v>
      </c>
      <c r="DD64" s="9">
        <v>0</v>
      </c>
      <c r="DE64" s="9">
        <v>1153727</v>
      </c>
      <c r="DF64" s="9">
        <v>1153727</v>
      </c>
      <c r="DG64" s="9">
        <v>880.17000000000007</v>
      </c>
      <c r="DH64" s="9">
        <v>0</v>
      </c>
      <c r="DI64" s="9">
        <v>0</v>
      </c>
      <c r="DJ64" s="9">
        <v>0</v>
      </c>
      <c r="DK64" s="9">
        <v>5392</v>
      </c>
      <c r="DL64" s="9">
        <v>0</v>
      </c>
      <c r="DM64" s="9">
        <v>376729</v>
      </c>
      <c r="DN64" s="9">
        <v>0</v>
      </c>
      <c r="DO64" s="9">
        <v>0</v>
      </c>
      <c r="DP64" s="9">
        <v>0</v>
      </c>
      <c r="DQ64" s="9">
        <v>0</v>
      </c>
      <c r="DR64" s="9">
        <v>0</v>
      </c>
      <c r="DS64" s="9">
        <v>0</v>
      </c>
      <c r="DT64" s="9">
        <v>0</v>
      </c>
      <c r="DU64" s="9">
        <v>0</v>
      </c>
      <c r="DV64" s="9">
        <v>0</v>
      </c>
      <c r="DW64" s="9">
        <v>0</v>
      </c>
      <c r="DX64" s="9">
        <v>0</v>
      </c>
      <c r="DY64" s="9">
        <v>0</v>
      </c>
      <c r="DZ64" s="9">
        <v>0</v>
      </c>
      <c r="EA64" s="9">
        <v>0</v>
      </c>
      <c r="EB64" s="9">
        <v>0</v>
      </c>
      <c r="EC64" s="9">
        <v>29.077000000000002</v>
      </c>
      <c r="ED64" s="9">
        <v>209628</v>
      </c>
      <c r="EE64" s="9">
        <v>0</v>
      </c>
      <c r="EF64" s="9">
        <v>0</v>
      </c>
      <c r="EG64" s="9">
        <v>0</v>
      </c>
      <c r="EH64" s="9">
        <v>167101</v>
      </c>
      <c r="EI64" s="9">
        <v>0</v>
      </c>
      <c r="EJ64" s="9">
        <v>0</v>
      </c>
      <c r="EK64" s="9">
        <v>6.3210000000000006</v>
      </c>
      <c r="EL64" s="9">
        <v>3.6000000000000004E-2</v>
      </c>
      <c r="EM64" s="9">
        <v>3.6000000000000004E-2</v>
      </c>
      <c r="EN64" s="9">
        <v>1.2850000000000001</v>
      </c>
      <c r="EO64" s="9">
        <v>0</v>
      </c>
      <c r="EP64" s="9">
        <v>0</v>
      </c>
      <c r="EQ64" s="9">
        <v>7.6420000000000003</v>
      </c>
      <c r="ER64" s="9">
        <v>0</v>
      </c>
      <c r="ES64" s="9">
        <v>25.496000000000002</v>
      </c>
      <c r="ET64" s="9">
        <v>0</v>
      </c>
      <c r="EU64" s="9">
        <v>292118</v>
      </c>
      <c r="EV64" s="9">
        <v>0</v>
      </c>
      <c r="EW64" s="9">
        <v>0</v>
      </c>
      <c r="EX64" s="9">
        <v>0</v>
      </c>
      <c r="EY64" s="9">
        <v>0</v>
      </c>
      <c r="EZ64" s="9">
        <v>7621193</v>
      </c>
      <c r="FA64" s="9">
        <v>0</v>
      </c>
      <c r="FB64" s="9">
        <v>7913311</v>
      </c>
      <c r="FC64" s="9">
        <v>0.97327799999999998</v>
      </c>
      <c r="FD64" s="9">
        <v>0</v>
      </c>
      <c r="FE64" s="9">
        <v>1164486</v>
      </c>
      <c r="FF64" s="9">
        <v>262415</v>
      </c>
      <c r="FG64" s="9">
        <v>6.1239999999999996E-2</v>
      </c>
      <c r="FH64" s="9">
        <v>5.4803999999999999E-2</v>
      </c>
      <c r="FI64" s="9">
        <v>0</v>
      </c>
      <c r="FJ64" s="9">
        <v>0</v>
      </c>
      <c r="FK64" s="9">
        <v>1498.664</v>
      </c>
      <c r="FL64" s="9">
        <v>9523726</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9340212</v>
      </c>
      <c r="GQ64" s="9">
        <v>9340212</v>
      </c>
      <c r="GR64" s="9">
        <v>0</v>
      </c>
      <c r="GS64" s="9">
        <v>0</v>
      </c>
      <c r="GT64" s="9">
        <v>0</v>
      </c>
      <c r="GU64" s="9">
        <v>0</v>
      </c>
      <c r="GV64" s="9">
        <v>0</v>
      </c>
      <c r="GW64" s="9">
        <v>0</v>
      </c>
      <c r="GX64" s="9">
        <v>0</v>
      </c>
      <c r="GY64" s="9">
        <v>0</v>
      </c>
      <c r="GZ64" s="9">
        <v>0</v>
      </c>
      <c r="HA64" s="9">
        <v>0</v>
      </c>
      <c r="HB64" s="9">
        <v>260786259</v>
      </c>
      <c r="HC64" s="9">
        <v>5.0923999999999997E-2</v>
      </c>
      <c r="HD64" s="9">
        <v>183514</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150.65700000000001</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32469</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row>
    <row r="65" spans="1:292" x14ac:dyDescent="0.25">
      <c r="A65" s="9">
        <v>57844</v>
      </c>
      <c r="B65" s="9">
        <v>32570</v>
      </c>
      <c r="C65" s="9">
        <v>35</v>
      </c>
      <c r="D65" s="9">
        <v>2022</v>
      </c>
      <c r="E65" s="9">
        <v>5392</v>
      </c>
      <c r="F65" s="9">
        <v>0</v>
      </c>
      <c r="G65" s="9">
        <v>683.89300000000003</v>
      </c>
      <c r="H65" s="9">
        <v>662.03700000000003</v>
      </c>
      <c r="I65" s="9">
        <v>662.03700000000003</v>
      </c>
      <c r="J65" s="9">
        <v>683.89300000000003</v>
      </c>
      <c r="K65" s="9">
        <v>0</v>
      </c>
      <c r="L65" s="9">
        <v>6554</v>
      </c>
      <c r="M65" s="9">
        <v>0</v>
      </c>
      <c r="N65" s="9">
        <v>0</v>
      </c>
      <c r="O65" s="9">
        <v>0</v>
      </c>
      <c r="P65" s="9">
        <v>810.70800000000008</v>
      </c>
      <c r="Q65" s="9">
        <v>0</v>
      </c>
      <c r="R65" s="9">
        <v>259194</v>
      </c>
      <c r="S65" s="9">
        <v>319.71300000000002</v>
      </c>
      <c r="T65" s="9">
        <v>0</v>
      </c>
      <c r="U65" s="9">
        <v>259194</v>
      </c>
      <c r="V65" s="9">
        <v>183.52100000000002</v>
      </c>
      <c r="W65" s="9">
        <v>120280</v>
      </c>
      <c r="X65" s="9">
        <v>120280</v>
      </c>
      <c r="Y65" s="9">
        <v>0</v>
      </c>
      <c r="Z65" s="9">
        <v>0</v>
      </c>
      <c r="AA65" s="9">
        <v>1</v>
      </c>
      <c r="AB65" s="9">
        <v>1</v>
      </c>
      <c r="AC65" s="9">
        <v>0</v>
      </c>
      <c r="AD65" s="9" t="s">
        <v>314</v>
      </c>
      <c r="AE65" s="9">
        <v>0</v>
      </c>
      <c r="AF65" s="9">
        <v>0</v>
      </c>
      <c r="AG65" s="9">
        <v>0</v>
      </c>
      <c r="AH65" s="9">
        <v>0</v>
      </c>
      <c r="AI65" s="9">
        <v>0</v>
      </c>
      <c r="AJ65" s="9">
        <v>5104</v>
      </c>
      <c r="AK65" s="9" t="s">
        <v>651</v>
      </c>
      <c r="AL65" s="9" t="s">
        <v>330</v>
      </c>
      <c r="AM65" s="9">
        <v>0</v>
      </c>
      <c r="AN65" s="9">
        <v>0</v>
      </c>
      <c r="AO65" s="9">
        <v>0</v>
      </c>
      <c r="AP65" s="9">
        <v>0</v>
      </c>
      <c r="AQ65" s="9">
        <v>0</v>
      </c>
      <c r="AR65" s="9">
        <v>0</v>
      </c>
      <c r="AS65" s="9">
        <v>0</v>
      </c>
      <c r="AT65" s="9">
        <v>0</v>
      </c>
      <c r="AU65" s="9">
        <v>0</v>
      </c>
      <c r="AV65" s="9">
        <v>182756</v>
      </c>
      <c r="AW65" s="9">
        <v>6662008</v>
      </c>
      <c r="AX65" s="9">
        <v>6503009</v>
      </c>
      <c r="AY65" s="9">
        <v>6925303</v>
      </c>
      <c r="AZ65" s="9">
        <v>283413</v>
      </c>
      <c r="BA65" s="9">
        <v>0</v>
      </c>
      <c r="BB65" s="9">
        <v>0</v>
      </c>
      <c r="BC65" s="9">
        <v>0</v>
      </c>
      <c r="BD65" s="9">
        <v>0</v>
      </c>
      <c r="BE65" s="9">
        <v>0</v>
      </c>
      <c r="BF65" s="9">
        <v>5522911</v>
      </c>
      <c r="BG65" s="9">
        <v>0</v>
      </c>
      <c r="BH65" s="9">
        <v>88.069000000000003</v>
      </c>
      <c r="BI65" s="9">
        <v>24219</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9">
        <v>134780</v>
      </c>
      <c r="CI65" s="9">
        <v>0</v>
      </c>
      <c r="CJ65" s="9">
        <v>4</v>
      </c>
      <c r="CK65" s="9">
        <v>0</v>
      </c>
      <c r="CL65" s="9">
        <v>0</v>
      </c>
      <c r="CM65" s="9">
        <v>0</v>
      </c>
      <c r="CN65" s="9">
        <v>0</v>
      </c>
      <c r="CO65" s="9">
        <v>0</v>
      </c>
      <c r="CP65" s="9">
        <v>0</v>
      </c>
      <c r="CQ65" s="9">
        <v>0</v>
      </c>
      <c r="CR65" s="9">
        <v>810.70800000000008</v>
      </c>
      <c r="CS65" s="9">
        <v>0</v>
      </c>
      <c r="CT65" s="9">
        <v>0</v>
      </c>
      <c r="CU65" s="9">
        <v>0</v>
      </c>
      <c r="CV65" s="9">
        <v>0</v>
      </c>
      <c r="CW65" s="9">
        <v>0</v>
      </c>
      <c r="CX65" s="9">
        <v>0</v>
      </c>
      <c r="CY65" s="9">
        <v>0</v>
      </c>
      <c r="CZ65" s="9">
        <v>0</v>
      </c>
      <c r="DA65" s="9">
        <v>1</v>
      </c>
      <c r="DB65" s="9">
        <v>4338990</v>
      </c>
      <c r="DC65" s="9">
        <v>0</v>
      </c>
      <c r="DD65" s="9">
        <v>0</v>
      </c>
      <c r="DE65" s="9">
        <v>770095</v>
      </c>
      <c r="DF65" s="9">
        <v>770095</v>
      </c>
      <c r="DG65" s="9">
        <v>587.5</v>
      </c>
      <c r="DH65" s="9">
        <v>0</v>
      </c>
      <c r="DI65" s="9">
        <v>0</v>
      </c>
      <c r="DJ65" s="9">
        <v>0</v>
      </c>
      <c r="DK65" s="9">
        <v>5392</v>
      </c>
      <c r="DL65" s="9">
        <v>0</v>
      </c>
      <c r="DM65" s="9">
        <v>434495</v>
      </c>
      <c r="DN65" s="9">
        <v>0</v>
      </c>
      <c r="DO65" s="9">
        <v>0</v>
      </c>
      <c r="DP65" s="9">
        <v>0</v>
      </c>
      <c r="DQ65" s="9">
        <v>0</v>
      </c>
      <c r="DR65" s="9">
        <v>0</v>
      </c>
      <c r="DS65" s="9">
        <v>0</v>
      </c>
      <c r="DT65" s="9">
        <v>0</v>
      </c>
      <c r="DU65" s="9">
        <v>0</v>
      </c>
      <c r="DV65" s="9">
        <v>0</v>
      </c>
      <c r="DW65" s="9">
        <v>0</v>
      </c>
      <c r="DX65" s="9">
        <v>0</v>
      </c>
      <c r="DY65" s="9">
        <v>0</v>
      </c>
      <c r="DZ65" s="9">
        <v>0</v>
      </c>
      <c r="EA65" s="9">
        <v>0</v>
      </c>
      <c r="EB65" s="9">
        <v>0</v>
      </c>
      <c r="EC65" s="9">
        <v>2.0260000000000002</v>
      </c>
      <c r="ED65" s="9">
        <v>14606</v>
      </c>
      <c r="EE65" s="9">
        <v>0</v>
      </c>
      <c r="EF65" s="9">
        <v>0</v>
      </c>
      <c r="EG65" s="9">
        <v>0</v>
      </c>
      <c r="EH65" s="9">
        <v>419889</v>
      </c>
      <c r="EI65" s="9">
        <v>0</v>
      </c>
      <c r="EJ65" s="9">
        <v>0</v>
      </c>
      <c r="EK65" s="9">
        <v>15.485000000000001</v>
      </c>
      <c r="EL65" s="9">
        <v>0</v>
      </c>
      <c r="EM65" s="9">
        <v>4.1070000000000002</v>
      </c>
      <c r="EN65" s="9">
        <v>1.0580000000000001</v>
      </c>
      <c r="EO65" s="9">
        <v>0</v>
      </c>
      <c r="EP65" s="9">
        <v>0</v>
      </c>
      <c r="EQ65" s="9">
        <v>20.650000000000002</v>
      </c>
      <c r="ER65" s="9">
        <v>0</v>
      </c>
      <c r="ES65" s="9">
        <v>64.066000000000003</v>
      </c>
      <c r="ET65" s="9">
        <v>0</v>
      </c>
      <c r="EU65" s="9">
        <v>283413</v>
      </c>
      <c r="EV65" s="9">
        <v>0</v>
      </c>
      <c r="EW65" s="9">
        <v>0</v>
      </c>
      <c r="EX65" s="9">
        <v>0</v>
      </c>
      <c r="EY65" s="9">
        <v>0</v>
      </c>
      <c r="EZ65" s="9">
        <v>5472713</v>
      </c>
      <c r="FA65" s="9">
        <v>0</v>
      </c>
      <c r="FB65" s="9">
        <v>5756126</v>
      </c>
      <c r="FC65" s="9">
        <v>0.97327799999999998</v>
      </c>
      <c r="FD65" s="9">
        <v>0</v>
      </c>
      <c r="FE65" s="9">
        <v>840819</v>
      </c>
      <c r="FF65" s="9">
        <v>189477</v>
      </c>
      <c r="FG65" s="9">
        <v>6.1239999999999996E-2</v>
      </c>
      <c r="FH65" s="9">
        <v>5.4803999999999999E-2</v>
      </c>
      <c r="FI65" s="9">
        <v>0</v>
      </c>
      <c r="FJ65" s="9">
        <v>0</v>
      </c>
      <c r="FK65" s="9">
        <v>1082.1120000000001</v>
      </c>
      <c r="FL65" s="9">
        <v>6921202</v>
      </c>
      <c r="FM65" s="9">
        <v>0</v>
      </c>
      <c r="FN65" s="9">
        <v>0</v>
      </c>
      <c r="FO65" s="9">
        <v>57358</v>
      </c>
      <c r="FP65" s="9">
        <v>0</v>
      </c>
      <c r="FQ65" s="9">
        <v>57358</v>
      </c>
      <c r="FR65" s="9">
        <v>57358</v>
      </c>
      <c r="FS65" s="9">
        <v>0</v>
      </c>
      <c r="FT65" s="9">
        <v>0</v>
      </c>
      <c r="FU65" s="9">
        <v>0</v>
      </c>
      <c r="FV65" s="9">
        <v>0</v>
      </c>
      <c r="FW65" s="9">
        <v>0</v>
      </c>
      <c r="FX65" s="9">
        <v>0</v>
      </c>
      <c r="FY65" s="9">
        <v>0</v>
      </c>
      <c r="FZ65" s="9">
        <v>19</v>
      </c>
      <c r="GA65" s="9">
        <v>0.375</v>
      </c>
      <c r="GB65" s="9">
        <v>10689</v>
      </c>
      <c r="GC65" s="9">
        <v>10689</v>
      </c>
      <c r="GD65" s="9">
        <v>1.206</v>
      </c>
      <c r="GE65" s="9">
        <v>0</v>
      </c>
      <c r="GF65" s="9">
        <v>0</v>
      </c>
      <c r="GG65" s="9">
        <v>0</v>
      </c>
      <c r="GH65" s="9">
        <v>0</v>
      </c>
      <c r="GI65" s="9">
        <v>0</v>
      </c>
      <c r="GJ65" s="9">
        <v>0</v>
      </c>
      <c r="GK65" s="9">
        <v>5073</v>
      </c>
      <c r="GL65" s="9">
        <v>0</v>
      </c>
      <c r="GM65" s="9">
        <v>0</v>
      </c>
      <c r="GN65" s="9">
        <v>34641</v>
      </c>
      <c r="GO65" s="9">
        <v>0</v>
      </c>
      <c r="GP65" s="9">
        <v>6786422</v>
      </c>
      <c r="GQ65" s="9">
        <v>6786422</v>
      </c>
      <c r="GR65" s="9">
        <v>0</v>
      </c>
      <c r="GS65" s="9">
        <v>0</v>
      </c>
      <c r="GT65" s="9">
        <v>0</v>
      </c>
      <c r="GU65" s="9">
        <v>0</v>
      </c>
      <c r="GV65" s="9">
        <v>0</v>
      </c>
      <c r="GW65" s="9">
        <v>0</v>
      </c>
      <c r="GX65" s="9">
        <v>0</v>
      </c>
      <c r="GY65" s="9">
        <v>0</v>
      </c>
      <c r="GZ65" s="9">
        <v>0</v>
      </c>
      <c r="HA65" s="9">
        <v>0</v>
      </c>
      <c r="HB65" s="9">
        <v>260786259</v>
      </c>
      <c r="HC65" s="9">
        <v>5.0923999999999997E-2</v>
      </c>
      <c r="HD65" s="9">
        <v>134780</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32469</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row>
    <row r="66" spans="1:292" x14ac:dyDescent="0.25">
      <c r="A66" s="9">
        <v>57845</v>
      </c>
      <c r="B66" s="9">
        <v>32570</v>
      </c>
      <c r="C66" s="9">
        <v>35</v>
      </c>
      <c r="D66" s="9">
        <v>2022</v>
      </c>
      <c r="E66" s="9">
        <v>5392</v>
      </c>
      <c r="F66" s="9">
        <v>0</v>
      </c>
      <c r="G66" s="9">
        <v>1147.979</v>
      </c>
      <c r="H66" s="9">
        <v>1105.643</v>
      </c>
      <c r="I66" s="9">
        <v>1105.643</v>
      </c>
      <c r="J66" s="9">
        <v>1147.979</v>
      </c>
      <c r="K66" s="9">
        <v>0</v>
      </c>
      <c r="L66" s="9">
        <v>6554</v>
      </c>
      <c r="M66" s="9">
        <v>0</v>
      </c>
      <c r="N66" s="9">
        <v>0</v>
      </c>
      <c r="O66" s="9">
        <v>0</v>
      </c>
      <c r="P66" s="9">
        <v>804.92500000000007</v>
      </c>
      <c r="Q66" s="9">
        <v>0</v>
      </c>
      <c r="R66" s="9">
        <v>257345</v>
      </c>
      <c r="S66" s="9">
        <v>319.71300000000002</v>
      </c>
      <c r="T66" s="9">
        <v>0</v>
      </c>
      <c r="U66" s="9">
        <v>257345</v>
      </c>
      <c r="V66" s="9">
        <v>86.182000000000002</v>
      </c>
      <c r="W66" s="9">
        <v>56484</v>
      </c>
      <c r="X66" s="9">
        <v>56484</v>
      </c>
      <c r="Y66" s="9">
        <v>0</v>
      </c>
      <c r="Z66" s="9">
        <v>0</v>
      </c>
      <c r="AA66" s="9">
        <v>1</v>
      </c>
      <c r="AB66" s="9">
        <v>1</v>
      </c>
      <c r="AC66" s="9">
        <v>0</v>
      </c>
      <c r="AD66" s="9" t="s">
        <v>314</v>
      </c>
      <c r="AE66" s="9">
        <v>0</v>
      </c>
      <c r="AF66" s="9">
        <v>0</v>
      </c>
      <c r="AG66" s="9">
        <v>0</v>
      </c>
      <c r="AH66" s="9">
        <v>0</v>
      </c>
      <c r="AI66" s="9">
        <v>0</v>
      </c>
      <c r="AJ66" s="9">
        <v>5104</v>
      </c>
      <c r="AK66" s="9" t="s">
        <v>651</v>
      </c>
      <c r="AL66" s="9" t="s">
        <v>114</v>
      </c>
      <c r="AM66" s="9">
        <v>0</v>
      </c>
      <c r="AN66" s="9">
        <v>0</v>
      </c>
      <c r="AO66" s="9">
        <v>0</v>
      </c>
      <c r="AP66" s="9">
        <v>0</v>
      </c>
      <c r="AQ66" s="9">
        <v>0</v>
      </c>
      <c r="AR66" s="9">
        <v>0</v>
      </c>
      <c r="AS66" s="9">
        <v>0</v>
      </c>
      <c r="AT66" s="9">
        <v>0</v>
      </c>
      <c r="AU66" s="9">
        <v>0</v>
      </c>
      <c r="AV66" s="9">
        <v>294</v>
      </c>
      <c r="AW66" s="9">
        <v>9805168</v>
      </c>
      <c r="AX66" s="9">
        <v>9502956</v>
      </c>
      <c r="AY66" s="9">
        <v>10597456</v>
      </c>
      <c r="AZ66" s="9">
        <v>333316</v>
      </c>
      <c r="BA66" s="9">
        <v>0</v>
      </c>
      <c r="BB66" s="9">
        <v>0</v>
      </c>
      <c r="BC66" s="9">
        <v>0</v>
      </c>
      <c r="BD66" s="9">
        <v>0</v>
      </c>
      <c r="BE66" s="9">
        <v>0</v>
      </c>
      <c r="BF66" s="9">
        <v>8039749</v>
      </c>
      <c r="BG66" s="9">
        <v>0</v>
      </c>
      <c r="BH66" s="9">
        <v>276.25900000000001</v>
      </c>
      <c r="BI66" s="9">
        <v>75971</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226241</v>
      </c>
      <c r="CI66" s="9">
        <v>0</v>
      </c>
      <c r="CJ66" s="9">
        <v>5</v>
      </c>
      <c r="CK66" s="9">
        <v>0</v>
      </c>
      <c r="CL66" s="9">
        <v>0</v>
      </c>
      <c r="CM66" s="9">
        <v>0</v>
      </c>
      <c r="CN66" s="9">
        <v>0</v>
      </c>
      <c r="CO66" s="9">
        <v>0</v>
      </c>
      <c r="CP66" s="9">
        <v>0</v>
      </c>
      <c r="CQ66" s="9">
        <v>0</v>
      </c>
      <c r="CR66" s="9">
        <v>804.92500000000007</v>
      </c>
      <c r="CS66" s="9">
        <v>0</v>
      </c>
      <c r="CT66" s="9">
        <v>0</v>
      </c>
      <c r="CU66" s="9">
        <v>0</v>
      </c>
      <c r="CV66" s="9">
        <v>0</v>
      </c>
      <c r="CW66" s="9">
        <v>0</v>
      </c>
      <c r="CX66" s="9">
        <v>0</v>
      </c>
      <c r="CY66" s="9">
        <v>0</v>
      </c>
      <c r="CZ66" s="9">
        <v>0</v>
      </c>
      <c r="DA66" s="9">
        <v>1</v>
      </c>
      <c r="DB66" s="9">
        <v>7246384</v>
      </c>
      <c r="DC66" s="9">
        <v>0</v>
      </c>
      <c r="DD66" s="9">
        <v>0</v>
      </c>
      <c r="DE66" s="9">
        <v>406571</v>
      </c>
      <c r="DF66" s="9">
        <v>406571</v>
      </c>
      <c r="DG66" s="9">
        <v>310.17</v>
      </c>
      <c r="DH66" s="9">
        <v>0</v>
      </c>
      <c r="DI66" s="9">
        <v>0</v>
      </c>
      <c r="DJ66" s="9">
        <v>0</v>
      </c>
      <c r="DK66" s="9">
        <v>5392</v>
      </c>
      <c r="DL66" s="9">
        <v>0</v>
      </c>
      <c r="DM66" s="9">
        <v>291920</v>
      </c>
      <c r="DN66" s="9">
        <v>0</v>
      </c>
      <c r="DO66" s="9">
        <v>0</v>
      </c>
      <c r="DP66" s="9">
        <v>0</v>
      </c>
      <c r="DQ66" s="9">
        <v>0</v>
      </c>
      <c r="DR66" s="9">
        <v>0</v>
      </c>
      <c r="DS66" s="9">
        <v>0</v>
      </c>
      <c r="DT66" s="9">
        <v>0</v>
      </c>
      <c r="DU66" s="9">
        <v>0</v>
      </c>
      <c r="DV66" s="9">
        <v>0</v>
      </c>
      <c r="DW66" s="9">
        <v>0</v>
      </c>
      <c r="DX66" s="9">
        <v>0</v>
      </c>
      <c r="DY66" s="9">
        <v>0</v>
      </c>
      <c r="DZ66" s="9">
        <v>0</v>
      </c>
      <c r="EA66" s="9">
        <v>0</v>
      </c>
      <c r="EB66" s="9">
        <v>0</v>
      </c>
      <c r="EC66" s="9">
        <v>2.1779999999999999</v>
      </c>
      <c r="ED66" s="9">
        <v>15702</v>
      </c>
      <c r="EE66" s="9">
        <v>0</v>
      </c>
      <c r="EF66" s="9">
        <v>0</v>
      </c>
      <c r="EG66" s="9">
        <v>0</v>
      </c>
      <c r="EH66" s="9">
        <v>276218</v>
      </c>
      <c r="EI66" s="9">
        <v>0</v>
      </c>
      <c r="EJ66" s="9">
        <v>0</v>
      </c>
      <c r="EK66" s="9">
        <v>11.605</v>
      </c>
      <c r="EL66" s="9">
        <v>0</v>
      </c>
      <c r="EM66" s="9">
        <v>0</v>
      </c>
      <c r="EN66" s="9">
        <v>1.466</v>
      </c>
      <c r="EO66" s="9">
        <v>0</v>
      </c>
      <c r="EP66" s="9">
        <v>0</v>
      </c>
      <c r="EQ66" s="9">
        <v>13.071000000000002</v>
      </c>
      <c r="ER66" s="9">
        <v>0</v>
      </c>
      <c r="ES66" s="9">
        <v>42.145000000000003</v>
      </c>
      <c r="ET66" s="9">
        <v>0</v>
      </c>
      <c r="EU66" s="9">
        <v>333316</v>
      </c>
      <c r="EV66" s="9">
        <v>0</v>
      </c>
      <c r="EW66" s="9">
        <v>0</v>
      </c>
      <c r="EX66" s="9">
        <v>0</v>
      </c>
      <c r="EY66" s="9">
        <v>0</v>
      </c>
      <c r="EZ66" s="9">
        <v>8003145</v>
      </c>
      <c r="FA66" s="9">
        <v>0</v>
      </c>
      <c r="FB66" s="9">
        <v>8336461</v>
      </c>
      <c r="FC66" s="9">
        <v>0.97327799999999998</v>
      </c>
      <c r="FD66" s="9">
        <v>0</v>
      </c>
      <c r="FE66" s="9">
        <v>1223987</v>
      </c>
      <c r="FF66" s="9">
        <v>275824</v>
      </c>
      <c r="FG66" s="9">
        <v>6.1239999999999996E-2</v>
      </c>
      <c r="FH66" s="9">
        <v>5.4803999999999999E-2</v>
      </c>
      <c r="FI66" s="9">
        <v>0</v>
      </c>
      <c r="FJ66" s="9">
        <v>0</v>
      </c>
      <c r="FK66" s="9">
        <v>1575.24</v>
      </c>
      <c r="FL66" s="9">
        <v>10062513</v>
      </c>
      <c r="FM66" s="9">
        <v>0</v>
      </c>
      <c r="FN66" s="9">
        <v>0</v>
      </c>
      <c r="FO66" s="9">
        <v>0</v>
      </c>
      <c r="FP66" s="9">
        <v>0</v>
      </c>
      <c r="FQ66" s="9">
        <v>0</v>
      </c>
      <c r="FR66" s="9">
        <v>0</v>
      </c>
      <c r="FS66" s="9">
        <v>0</v>
      </c>
      <c r="FT66" s="9">
        <v>0</v>
      </c>
      <c r="FU66" s="9">
        <v>0</v>
      </c>
      <c r="FV66" s="9">
        <v>0</v>
      </c>
      <c r="FW66" s="9">
        <v>0</v>
      </c>
      <c r="FX66" s="9">
        <v>0</v>
      </c>
      <c r="FY66" s="9">
        <v>0</v>
      </c>
      <c r="FZ66" s="9">
        <v>198</v>
      </c>
      <c r="GA66" s="9">
        <v>3.9540000000000002</v>
      </c>
      <c r="GB66" s="9">
        <v>259131</v>
      </c>
      <c r="GC66" s="9">
        <v>259131</v>
      </c>
      <c r="GD66" s="9">
        <v>29.265000000000001</v>
      </c>
      <c r="GE66" s="9">
        <v>0</v>
      </c>
      <c r="GF66" s="9">
        <v>0</v>
      </c>
      <c r="GG66" s="9">
        <v>0</v>
      </c>
      <c r="GH66" s="9">
        <v>0</v>
      </c>
      <c r="GI66" s="9">
        <v>0</v>
      </c>
      <c r="GJ66" s="9">
        <v>0</v>
      </c>
      <c r="GK66" s="9">
        <v>4971</v>
      </c>
      <c r="GL66" s="9">
        <v>0</v>
      </c>
      <c r="GM66" s="9">
        <v>0</v>
      </c>
      <c r="GN66" s="9">
        <v>0</v>
      </c>
      <c r="GO66" s="9">
        <v>0</v>
      </c>
      <c r="GP66" s="9">
        <v>9836272</v>
      </c>
      <c r="GQ66" s="9">
        <v>9836272</v>
      </c>
      <c r="GR66" s="9">
        <v>0</v>
      </c>
      <c r="GS66" s="9">
        <v>0</v>
      </c>
      <c r="GT66" s="9">
        <v>0</v>
      </c>
      <c r="GU66" s="9">
        <v>0</v>
      </c>
      <c r="GV66" s="9">
        <v>0</v>
      </c>
      <c r="GW66" s="9">
        <v>0</v>
      </c>
      <c r="GX66" s="9">
        <v>0</v>
      </c>
      <c r="GY66" s="9">
        <v>0</v>
      </c>
      <c r="GZ66" s="9">
        <v>0</v>
      </c>
      <c r="HA66" s="9">
        <v>0</v>
      </c>
      <c r="HB66" s="9">
        <v>260786259</v>
      </c>
      <c r="HC66" s="9">
        <v>5.0923999999999997E-2</v>
      </c>
      <c r="HD66" s="9">
        <v>226241</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32469</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row>
    <row r="67" spans="1:292" x14ac:dyDescent="0.25">
      <c r="A67" s="9">
        <v>57846</v>
      </c>
      <c r="B67" s="9">
        <v>32570</v>
      </c>
      <c r="C67" s="9">
        <v>35</v>
      </c>
      <c r="D67" s="9">
        <v>2022</v>
      </c>
      <c r="E67" s="9">
        <v>5392</v>
      </c>
      <c r="F67" s="9">
        <v>0</v>
      </c>
      <c r="G67" s="9">
        <v>1501.7760000000001</v>
      </c>
      <c r="H67" s="9">
        <v>1387.1090000000002</v>
      </c>
      <c r="I67" s="9">
        <v>1387.1090000000002</v>
      </c>
      <c r="J67" s="9">
        <v>1501.7760000000001</v>
      </c>
      <c r="K67" s="9">
        <v>0</v>
      </c>
      <c r="L67" s="9">
        <v>6554</v>
      </c>
      <c r="M67" s="9">
        <v>0</v>
      </c>
      <c r="N67" s="9">
        <v>0</v>
      </c>
      <c r="O67" s="9">
        <v>0</v>
      </c>
      <c r="P67" s="9">
        <v>1328.595</v>
      </c>
      <c r="Q67" s="9">
        <v>0</v>
      </c>
      <c r="R67" s="9">
        <v>424769</v>
      </c>
      <c r="S67" s="9">
        <v>319.71300000000002</v>
      </c>
      <c r="T67" s="9">
        <v>0</v>
      </c>
      <c r="U67" s="9">
        <v>424769</v>
      </c>
      <c r="V67" s="9">
        <v>531.03800000000001</v>
      </c>
      <c r="W67" s="9">
        <v>348042</v>
      </c>
      <c r="X67" s="9">
        <v>348042</v>
      </c>
      <c r="Y67" s="9">
        <v>0</v>
      </c>
      <c r="Z67" s="9">
        <v>0</v>
      </c>
      <c r="AA67" s="9">
        <v>1</v>
      </c>
      <c r="AB67" s="9">
        <v>1</v>
      </c>
      <c r="AC67" s="9">
        <v>0</v>
      </c>
      <c r="AD67" s="9" t="s">
        <v>314</v>
      </c>
      <c r="AE67" s="9">
        <v>0</v>
      </c>
      <c r="AF67" s="9">
        <v>0</v>
      </c>
      <c r="AG67" s="9">
        <v>0</v>
      </c>
      <c r="AH67" s="9">
        <v>0</v>
      </c>
      <c r="AI67" s="9">
        <v>0</v>
      </c>
      <c r="AJ67" s="9">
        <v>5104</v>
      </c>
      <c r="AK67" s="9" t="s">
        <v>651</v>
      </c>
      <c r="AL67" s="9" t="s">
        <v>115</v>
      </c>
      <c r="AM67" s="9">
        <v>0</v>
      </c>
      <c r="AN67" s="9">
        <v>0</v>
      </c>
      <c r="AO67" s="9">
        <v>0</v>
      </c>
      <c r="AP67" s="9">
        <v>0</v>
      </c>
      <c r="AQ67" s="9">
        <v>0</v>
      </c>
      <c r="AR67" s="9">
        <v>0</v>
      </c>
      <c r="AS67" s="9">
        <v>0</v>
      </c>
      <c r="AT67" s="9">
        <v>0</v>
      </c>
      <c r="AU67" s="9">
        <v>0</v>
      </c>
      <c r="AV67" s="9">
        <v>252233</v>
      </c>
      <c r="AW67" s="9">
        <v>14970777</v>
      </c>
      <c r="AX67" s="9">
        <v>14585226</v>
      </c>
      <c r="AY67" s="9">
        <v>15741877</v>
      </c>
      <c r="AZ67" s="9">
        <v>514353</v>
      </c>
      <c r="BA67" s="9">
        <v>0</v>
      </c>
      <c r="BB67" s="9">
        <v>59056</v>
      </c>
      <c r="BC67" s="9">
        <v>59056</v>
      </c>
      <c r="BD67" s="9">
        <v>75.088999999999999</v>
      </c>
      <c r="BE67" s="9">
        <v>0</v>
      </c>
      <c r="BF67" s="9">
        <v>12364023</v>
      </c>
      <c r="BG67" s="9">
        <v>0</v>
      </c>
      <c r="BH67" s="9">
        <v>325.75900000000001</v>
      </c>
      <c r="BI67" s="9">
        <v>89584</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295967</v>
      </c>
      <c r="CI67" s="9">
        <v>0</v>
      </c>
      <c r="CJ67" s="9">
        <v>4</v>
      </c>
      <c r="CK67" s="9">
        <v>0</v>
      </c>
      <c r="CL67" s="9">
        <v>0</v>
      </c>
      <c r="CM67" s="9">
        <v>0</v>
      </c>
      <c r="CN67" s="9">
        <v>0</v>
      </c>
      <c r="CO67" s="9">
        <v>0</v>
      </c>
      <c r="CP67" s="9">
        <v>5.7000000000000002E-2</v>
      </c>
      <c r="CQ67" s="9">
        <v>0</v>
      </c>
      <c r="CR67" s="9">
        <v>1328.595</v>
      </c>
      <c r="CS67" s="9">
        <v>0</v>
      </c>
      <c r="CT67" s="9">
        <v>0</v>
      </c>
      <c r="CU67" s="9">
        <v>0</v>
      </c>
      <c r="CV67" s="9">
        <v>0</v>
      </c>
      <c r="CW67" s="9">
        <v>0</v>
      </c>
      <c r="CX67" s="9">
        <v>0</v>
      </c>
      <c r="CY67" s="9">
        <v>0</v>
      </c>
      <c r="CZ67" s="9">
        <v>0</v>
      </c>
      <c r="DA67" s="9">
        <v>1</v>
      </c>
      <c r="DB67" s="9">
        <v>9091112</v>
      </c>
      <c r="DC67" s="9">
        <v>0</v>
      </c>
      <c r="DD67" s="9">
        <v>0</v>
      </c>
      <c r="DE67" s="9">
        <v>1495846</v>
      </c>
      <c r="DF67" s="9">
        <v>1496746</v>
      </c>
      <c r="DG67" s="9">
        <v>1141.17</v>
      </c>
      <c r="DH67" s="9">
        <v>0</v>
      </c>
      <c r="DI67" s="9">
        <v>900</v>
      </c>
      <c r="DJ67" s="9">
        <v>0</v>
      </c>
      <c r="DK67" s="9">
        <v>5392</v>
      </c>
      <c r="DL67" s="9">
        <v>0</v>
      </c>
      <c r="DM67" s="9">
        <v>886820</v>
      </c>
      <c r="DN67" s="9">
        <v>0</v>
      </c>
      <c r="DO67" s="9">
        <v>0</v>
      </c>
      <c r="DP67" s="9">
        <v>0</v>
      </c>
      <c r="DQ67" s="9">
        <v>0</v>
      </c>
      <c r="DR67" s="9">
        <v>0</v>
      </c>
      <c r="DS67" s="9">
        <v>0</v>
      </c>
      <c r="DT67" s="9">
        <v>0</v>
      </c>
      <c r="DU67" s="9">
        <v>0</v>
      </c>
      <c r="DV67" s="9">
        <v>0</v>
      </c>
      <c r="DW67" s="9">
        <v>0</v>
      </c>
      <c r="DX67" s="9">
        <v>0</v>
      </c>
      <c r="DY67" s="9">
        <v>0</v>
      </c>
      <c r="DZ67" s="9">
        <v>0</v>
      </c>
      <c r="EA67" s="9">
        <v>0</v>
      </c>
      <c r="EB67" s="9">
        <v>0</v>
      </c>
      <c r="EC67" s="9">
        <v>60.407000000000004</v>
      </c>
      <c r="ED67" s="9">
        <v>435498</v>
      </c>
      <c r="EE67" s="9">
        <v>0</v>
      </c>
      <c r="EF67" s="9">
        <v>0</v>
      </c>
      <c r="EG67" s="9">
        <v>0</v>
      </c>
      <c r="EH67" s="9">
        <v>451322</v>
      </c>
      <c r="EI67" s="9">
        <v>0</v>
      </c>
      <c r="EJ67" s="9">
        <v>0</v>
      </c>
      <c r="EK67" s="9">
        <v>20.053000000000001</v>
      </c>
      <c r="EL67" s="9">
        <v>0</v>
      </c>
      <c r="EM67" s="9">
        <v>0.39600000000000002</v>
      </c>
      <c r="EN67" s="9">
        <v>1.5030000000000001</v>
      </c>
      <c r="EO67" s="9">
        <v>0</v>
      </c>
      <c r="EP67" s="9">
        <v>0</v>
      </c>
      <c r="EQ67" s="9">
        <v>21.952000000000002</v>
      </c>
      <c r="ER67" s="9">
        <v>0</v>
      </c>
      <c r="ES67" s="9">
        <v>68.862000000000009</v>
      </c>
      <c r="ET67" s="9">
        <v>0</v>
      </c>
      <c r="EU67" s="9">
        <v>514353</v>
      </c>
      <c r="EV67" s="9">
        <v>0</v>
      </c>
      <c r="EW67" s="9">
        <v>0</v>
      </c>
      <c r="EX67" s="9">
        <v>0</v>
      </c>
      <c r="EY67" s="9">
        <v>0</v>
      </c>
      <c r="EZ67" s="9">
        <v>12278723</v>
      </c>
      <c r="FA67" s="9">
        <v>0</v>
      </c>
      <c r="FB67" s="9">
        <v>12793076</v>
      </c>
      <c r="FC67" s="9">
        <v>0.97327799999999998</v>
      </c>
      <c r="FD67" s="9">
        <v>0</v>
      </c>
      <c r="FE67" s="9">
        <v>1882324</v>
      </c>
      <c r="FF67" s="9">
        <v>424179</v>
      </c>
      <c r="FG67" s="9">
        <v>6.1239999999999996E-2</v>
      </c>
      <c r="FH67" s="9">
        <v>5.4803999999999999E-2</v>
      </c>
      <c r="FI67" s="9">
        <v>0</v>
      </c>
      <c r="FJ67" s="9">
        <v>0</v>
      </c>
      <c r="FK67" s="9">
        <v>2422.502</v>
      </c>
      <c r="FL67" s="9">
        <v>15395546</v>
      </c>
      <c r="FM67" s="9">
        <v>0</v>
      </c>
      <c r="FN67" s="9">
        <v>0</v>
      </c>
      <c r="FO67" s="9">
        <v>0</v>
      </c>
      <c r="FP67" s="9">
        <v>0</v>
      </c>
      <c r="FQ67" s="9">
        <v>0</v>
      </c>
      <c r="FR67" s="9">
        <v>0</v>
      </c>
      <c r="FS67" s="9">
        <v>0</v>
      </c>
      <c r="FT67" s="9">
        <v>0</v>
      </c>
      <c r="FU67" s="9">
        <v>0</v>
      </c>
      <c r="FV67" s="9">
        <v>0</v>
      </c>
      <c r="FW67" s="9">
        <v>0</v>
      </c>
      <c r="FX67" s="9">
        <v>0</v>
      </c>
      <c r="FY67" s="9">
        <v>0</v>
      </c>
      <c r="FZ67" s="9">
        <v>1383</v>
      </c>
      <c r="GA67" s="9">
        <v>27.661000000000001</v>
      </c>
      <c r="GB67" s="9">
        <v>821716</v>
      </c>
      <c r="GC67" s="9">
        <v>821716</v>
      </c>
      <c r="GD67" s="9">
        <v>92.715000000000003</v>
      </c>
      <c r="GE67" s="9">
        <v>0</v>
      </c>
      <c r="GF67" s="9">
        <v>0</v>
      </c>
      <c r="GG67" s="9">
        <v>0</v>
      </c>
      <c r="GH67" s="9">
        <v>0</v>
      </c>
      <c r="GI67" s="9">
        <v>0</v>
      </c>
      <c r="GJ67" s="9">
        <v>0</v>
      </c>
      <c r="GK67" s="9">
        <v>4971</v>
      </c>
      <c r="GL67" s="9">
        <v>0</v>
      </c>
      <c r="GM67" s="9">
        <v>0</v>
      </c>
      <c r="GN67" s="9">
        <v>0</v>
      </c>
      <c r="GO67" s="9">
        <v>0</v>
      </c>
      <c r="GP67" s="9">
        <v>15099579</v>
      </c>
      <c r="GQ67" s="9">
        <v>15099579</v>
      </c>
      <c r="GR67" s="9">
        <v>0</v>
      </c>
      <c r="GS67" s="9">
        <v>0</v>
      </c>
      <c r="GT67" s="9">
        <v>0</v>
      </c>
      <c r="GU67" s="9">
        <v>0</v>
      </c>
      <c r="GV67" s="9">
        <v>0</v>
      </c>
      <c r="GW67" s="9">
        <v>0</v>
      </c>
      <c r="GX67" s="9">
        <v>0</v>
      </c>
      <c r="GY67" s="9">
        <v>0</v>
      </c>
      <c r="GZ67" s="9">
        <v>0</v>
      </c>
      <c r="HA67" s="9">
        <v>0</v>
      </c>
      <c r="HB67" s="9">
        <v>260786259</v>
      </c>
      <c r="HC67" s="9">
        <v>5.0923999999999997E-2</v>
      </c>
      <c r="HD67" s="9">
        <v>295967</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82.805999999999997</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32469</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row>
    <row r="68" spans="1:292" x14ac:dyDescent="0.25">
      <c r="A68" s="9">
        <v>57847</v>
      </c>
      <c r="B68" s="9">
        <v>32570</v>
      </c>
      <c r="C68" s="9">
        <v>35</v>
      </c>
      <c r="D68" s="9">
        <v>2022</v>
      </c>
      <c r="E68" s="9">
        <v>5392</v>
      </c>
      <c r="F68" s="9">
        <v>0</v>
      </c>
      <c r="G68" s="9">
        <v>1097.4180000000001</v>
      </c>
      <c r="H68" s="9">
        <v>1014.994</v>
      </c>
      <c r="I68" s="9">
        <v>1014.994</v>
      </c>
      <c r="J68" s="9">
        <v>1097.4180000000001</v>
      </c>
      <c r="K68" s="9">
        <v>0</v>
      </c>
      <c r="L68" s="9">
        <v>6554</v>
      </c>
      <c r="M68" s="9">
        <v>0</v>
      </c>
      <c r="N68" s="9">
        <v>0</v>
      </c>
      <c r="O68" s="9">
        <v>0</v>
      </c>
      <c r="P68" s="9">
        <v>1007.2140000000001</v>
      </c>
      <c r="Q68" s="9">
        <v>0</v>
      </c>
      <c r="R68" s="9">
        <v>322019</v>
      </c>
      <c r="S68" s="9">
        <v>319.71300000000002</v>
      </c>
      <c r="T68" s="9">
        <v>0</v>
      </c>
      <c r="U68" s="9">
        <v>322019</v>
      </c>
      <c r="V68" s="9">
        <v>28.527000000000001</v>
      </c>
      <c r="W68" s="9">
        <v>18697</v>
      </c>
      <c r="X68" s="9">
        <v>18697</v>
      </c>
      <c r="Y68" s="9">
        <v>0</v>
      </c>
      <c r="Z68" s="9">
        <v>0</v>
      </c>
      <c r="AA68" s="9">
        <v>1</v>
      </c>
      <c r="AB68" s="9">
        <v>1</v>
      </c>
      <c r="AC68" s="9">
        <v>0</v>
      </c>
      <c r="AD68" s="9" t="s">
        <v>314</v>
      </c>
      <c r="AE68" s="9">
        <v>0</v>
      </c>
      <c r="AF68" s="9">
        <v>0</v>
      </c>
      <c r="AG68" s="9">
        <v>0</v>
      </c>
      <c r="AH68" s="9">
        <v>0</v>
      </c>
      <c r="AI68" s="9">
        <v>0</v>
      </c>
      <c r="AJ68" s="9">
        <v>5104</v>
      </c>
      <c r="AK68" s="9" t="s">
        <v>651</v>
      </c>
      <c r="AL68" s="9" t="s">
        <v>331</v>
      </c>
      <c r="AM68" s="9">
        <v>0</v>
      </c>
      <c r="AN68" s="9">
        <v>0</v>
      </c>
      <c r="AO68" s="9">
        <v>0</v>
      </c>
      <c r="AP68" s="9">
        <v>0</v>
      </c>
      <c r="AQ68" s="9">
        <v>0</v>
      </c>
      <c r="AR68" s="9">
        <v>0</v>
      </c>
      <c r="AS68" s="9">
        <v>0</v>
      </c>
      <c r="AT68" s="9">
        <v>0</v>
      </c>
      <c r="AU68" s="9">
        <v>0</v>
      </c>
      <c r="AV68" s="9">
        <v>188</v>
      </c>
      <c r="AW68" s="9">
        <v>9935212</v>
      </c>
      <c r="AX68" s="9">
        <v>9614578</v>
      </c>
      <c r="AY68" s="9">
        <v>10488652</v>
      </c>
      <c r="AZ68" s="9">
        <v>426376</v>
      </c>
      <c r="BA68" s="9">
        <v>0</v>
      </c>
      <c r="BB68" s="9">
        <v>0</v>
      </c>
      <c r="BC68" s="9">
        <v>0</v>
      </c>
      <c r="BD68" s="9">
        <v>0</v>
      </c>
      <c r="BE68" s="9">
        <v>0</v>
      </c>
      <c r="BF68" s="9">
        <v>8184967</v>
      </c>
      <c r="BG68" s="9">
        <v>0</v>
      </c>
      <c r="BH68" s="9">
        <v>239.49800000000002</v>
      </c>
      <c r="BI68" s="9">
        <v>65862</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100.70400000000001</v>
      </c>
      <c r="CB68" s="9">
        <v>38495</v>
      </c>
      <c r="CC68" s="9">
        <v>0</v>
      </c>
      <c r="CD68" s="9">
        <v>0</v>
      </c>
      <c r="CE68" s="9">
        <v>0</v>
      </c>
      <c r="CF68" s="9">
        <v>0</v>
      </c>
      <c r="CG68" s="9">
        <v>0</v>
      </c>
      <c r="CH68" s="9">
        <v>216277</v>
      </c>
      <c r="CI68" s="9">
        <v>0</v>
      </c>
      <c r="CJ68" s="9">
        <v>5</v>
      </c>
      <c r="CK68" s="9">
        <v>0</v>
      </c>
      <c r="CL68" s="9">
        <v>0</v>
      </c>
      <c r="CM68" s="9">
        <v>0</v>
      </c>
      <c r="CN68" s="9">
        <v>0</v>
      </c>
      <c r="CO68" s="9">
        <v>0</v>
      </c>
      <c r="CP68" s="9">
        <v>0</v>
      </c>
      <c r="CQ68" s="9">
        <v>0</v>
      </c>
      <c r="CR68" s="9">
        <v>1007.2140000000001</v>
      </c>
      <c r="CS68" s="9">
        <v>0</v>
      </c>
      <c r="CT68" s="9">
        <v>0</v>
      </c>
      <c r="CU68" s="9">
        <v>0</v>
      </c>
      <c r="CV68" s="9">
        <v>0</v>
      </c>
      <c r="CW68" s="9">
        <v>0</v>
      </c>
      <c r="CX68" s="9">
        <v>0</v>
      </c>
      <c r="CY68" s="9">
        <v>0</v>
      </c>
      <c r="CZ68" s="9">
        <v>0</v>
      </c>
      <c r="DA68" s="9">
        <v>1</v>
      </c>
      <c r="DB68" s="9">
        <v>6652271</v>
      </c>
      <c r="DC68" s="9">
        <v>0</v>
      </c>
      <c r="DD68" s="9">
        <v>0</v>
      </c>
      <c r="DE68" s="9">
        <v>628096</v>
      </c>
      <c r="DF68" s="9">
        <v>628096</v>
      </c>
      <c r="DG68" s="9">
        <v>479.17</v>
      </c>
      <c r="DH68" s="9">
        <v>0</v>
      </c>
      <c r="DI68" s="9">
        <v>0</v>
      </c>
      <c r="DJ68" s="9">
        <v>0</v>
      </c>
      <c r="DK68" s="9">
        <v>5392</v>
      </c>
      <c r="DL68" s="9">
        <v>0</v>
      </c>
      <c r="DM68" s="9">
        <v>565822</v>
      </c>
      <c r="DN68" s="9">
        <v>0</v>
      </c>
      <c r="DO68" s="9">
        <v>0</v>
      </c>
      <c r="DP68" s="9">
        <v>0</v>
      </c>
      <c r="DQ68" s="9">
        <v>0</v>
      </c>
      <c r="DR68" s="9">
        <v>0</v>
      </c>
      <c r="DS68" s="9">
        <v>0</v>
      </c>
      <c r="DT68" s="9">
        <v>0</v>
      </c>
      <c r="DU68" s="9">
        <v>0</v>
      </c>
      <c r="DV68" s="9">
        <v>0</v>
      </c>
      <c r="DW68" s="9">
        <v>0</v>
      </c>
      <c r="DX68" s="9">
        <v>0</v>
      </c>
      <c r="DY68" s="9">
        <v>0</v>
      </c>
      <c r="DZ68" s="9">
        <v>0</v>
      </c>
      <c r="EA68" s="9">
        <v>0</v>
      </c>
      <c r="EB68" s="9">
        <v>0</v>
      </c>
      <c r="EC68" s="9">
        <v>18.574000000000002</v>
      </c>
      <c r="ED68" s="9">
        <v>133907</v>
      </c>
      <c r="EE68" s="9">
        <v>0</v>
      </c>
      <c r="EF68" s="9">
        <v>0</v>
      </c>
      <c r="EG68" s="9">
        <v>0</v>
      </c>
      <c r="EH68" s="9">
        <v>431915</v>
      </c>
      <c r="EI68" s="9">
        <v>0</v>
      </c>
      <c r="EJ68" s="9">
        <v>0</v>
      </c>
      <c r="EK68" s="9">
        <v>18.728000000000002</v>
      </c>
      <c r="EL68" s="9">
        <v>0</v>
      </c>
      <c r="EM68" s="9">
        <v>0.44400000000000001</v>
      </c>
      <c r="EN68" s="9">
        <v>1.677</v>
      </c>
      <c r="EO68" s="9">
        <v>0</v>
      </c>
      <c r="EP68" s="9">
        <v>0</v>
      </c>
      <c r="EQ68" s="9">
        <v>20.849</v>
      </c>
      <c r="ER68" s="9">
        <v>0</v>
      </c>
      <c r="ES68" s="9">
        <v>65.900999999999996</v>
      </c>
      <c r="ET68" s="9">
        <v>0</v>
      </c>
      <c r="EU68" s="9">
        <v>426376</v>
      </c>
      <c r="EV68" s="9">
        <v>0</v>
      </c>
      <c r="EW68" s="9">
        <v>0</v>
      </c>
      <c r="EX68" s="9">
        <v>0</v>
      </c>
      <c r="EY68" s="9">
        <v>0</v>
      </c>
      <c r="EZ68" s="9">
        <v>8087676</v>
      </c>
      <c r="FA68" s="9">
        <v>0</v>
      </c>
      <c r="FB68" s="9">
        <v>8514052</v>
      </c>
      <c r="FC68" s="9">
        <v>0.97327799999999998</v>
      </c>
      <c r="FD68" s="9">
        <v>0</v>
      </c>
      <c r="FE68" s="9">
        <v>1246096</v>
      </c>
      <c r="FF68" s="9">
        <v>280806</v>
      </c>
      <c r="FG68" s="9">
        <v>6.1239999999999996E-2</v>
      </c>
      <c r="FH68" s="9">
        <v>5.4803999999999999E-2</v>
      </c>
      <c r="FI68" s="9">
        <v>0</v>
      </c>
      <c r="FJ68" s="9">
        <v>0</v>
      </c>
      <c r="FK68" s="9">
        <v>1603.693</v>
      </c>
      <c r="FL68" s="9">
        <v>10257231</v>
      </c>
      <c r="FM68" s="9">
        <v>0</v>
      </c>
      <c r="FN68" s="9">
        <v>0</v>
      </c>
      <c r="FO68" s="9">
        <v>0</v>
      </c>
      <c r="FP68" s="9">
        <v>0</v>
      </c>
      <c r="FQ68" s="9">
        <v>0</v>
      </c>
      <c r="FR68" s="9">
        <v>0</v>
      </c>
      <c r="FS68" s="9">
        <v>0</v>
      </c>
      <c r="FT68" s="9">
        <v>0</v>
      </c>
      <c r="FU68" s="9">
        <v>0</v>
      </c>
      <c r="FV68" s="9">
        <v>0</v>
      </c>
      <c r="FW68" s="9">
        <v>0</v>
      </c>
      <c r="FX68" s="9">
        <v>0</v>
      </c>
      <c r="FY68" s="9">
        <v>0</v>
      </c>
      <c r="FZ68" s="9">
        <v>0</v>
      </c>
      <c r="GA68" s="9">
        <v>0</v>
      </c>
      <c r="GB68" s="9">
        <v>544809</v>
      </c>
      <c r="GC68" s="9">
        <v>544809</v>
      </c>
      <c r="GD68" s="9">
        <v>61.575000000000003</v>
      </c>
      <c r="GE68" s="9">
        <v>0</v>
      </c>
      <c r="GF68" s="9">
        <v>0</v>
      </c>
      <c r="GG68" s="9">
        <v>0</v>
      </c>
      <c r="GH68" s="9">
        <v>0</v>
      </c>
      <c r="GI68" s="9">
        <v>0</v>
      </c>
      <c r="GJ68" s="9">
        <v>0</v>
      </c>
      <c r="GK68" s="9">
        <v>4971</v>
      </c>
      <c r="GL68" s="9">
        <v>0</v>
      </c>
      <c r="GM68" s="9">
        <v>0</v>
      </c>
      <c r="GN68" s="9">
        <v>0</v>
      </c>
      <c r="GO68" s="9">
        <v>0</v>
      </c>
      <c r="GP68" s="9">
        <v>10040954</v>
      </c>
      <c r="GQ68" s="9">
        <v>10040954</v>
      </c>
      <c r="GR68" s="9">
        <v>0</v>
      </c>
      <c r="GS68" s="9">
        <v>0</v>
      </c>
      <c r="GT68" s="9">
        <v>0</v>
      </c>
      <c r="GU68" s="9">
        <v>0</v>
      </c>
      <c r="GV68" s="9">
        <v>0</v>
      </c>
      <c r="GW68" s="9">
        <v>0</v>
      </c>
      <c r="GX68" s="9">
        <v>0</v>
      </c>
      <c r="GY68" s="9">
        <v>0</v>
      </c>
      <c r="GZ68" s="9">
        <v>0</v>
      </c>
      <c r="HA68" s="9">
        <v>0</v>
      </c>
      <c r="HB68" s="9">
        <v>260786259</v>
      </c>
      <c r="HC68" s="9">
        <v>5.0923999999999997E-2</v>
      </c>
      <c r="HD68" s="9">
        <v>216277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32469</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row>
    <row r="69" spans="1:292" x14ac:dyDescent="0.25">
      <c r="A69" s="9">
        <v>57848</v>
      </c>
      <c r="B69" s="9">
        <v>32570</v>
      </c>
      <c r="C69" s="9">
        <v>35</v>
      </c>
      <c r="D69" s="9">
        <v>2022</v>
      </c>
      <c r="E69" s="9">
        <v>5392</v>
      </c>
      <c r="F69" s="9">
        <v>0</v>
      </c>
      <c r="G69" s="9">
        <v>18337.43</v>
      </c>
      <c r="H69" s="9">
        <v>17285.019</v>
      </c>
      <c r="I69" s="9">
        <v>17285.019</v>
      </c>
      <c r="J69" s="9">
        <v>18337.43</v>
      </c>
      <c r="K69" s="9">
        <v>0</v>
      </c>
      <c r="L69" s="9">
        <v>6554</v>
      </c>
      <c r="M69" s="9">
        <v>0</v>
      </c>
      <c r="N69" s="9">
        <v>0</v>
      </c>
      <c r="O69" s="9">
        <v>0</v>
      </c>
      <c r="P69" s="9">
        <v>17643.938000000002</v>
      </c>
      <c r="Q69" s="9">
        <v>0</v>
      </c>
      <c r="R69" s="9">
        <v>5640996</v>
      </c>
      <c r="S69" s="9">
        <v>319.71300000000002</v>
      </c>
      <c r="T69" s="9">
        <v>0</v>
      </c>
      <c r="U69" s="9">
        <v>5640996</v>
      </c>
      <c r="V69" s="9">
        <v>5200.8960000000006</v>
      </c>
      <c r="W69" s="9">
        <v>3408667</v>
      </c>
      <c r="X69" s="9">
        <v>3408667</v>
      </c>
      <c r="Y69" s="9">
        <v>0</v>
      </c>
      <c r="Z69" s="9">
        <v>0</v>
      </c>
      <c r="AA69" s="9">
        <v>1</v>
      </c>
      <c r="AB69" s="9">
        <v>1</v>
      </c>
      <c r="AC69" s="9">
        <v>0</v>
      </c>
      <c r="AD69" s="9" t="s">
        <v>314</v>
      </c>
      <c r="AE69" s="9">
        <v>0</v>
      </c>
      <c r="AF69" s="9">
        <v>0</v>
      </c>
      <c r="AG69" s="9">
        <v>0</v>
      </c>
      <c r="AH69" s="9">
        <v>0</v>
      </c>
      <c r="AI69" s="9">
        <v>0</v>
      </c>
      <c r="AJ69" s="9">
        <v>5104</v>
      </c>
      <c r="AK69" s="9" t="s">
        <v>651</v>
      </c>
      <c r="AL69" s="9" t="s">
        <v>457</v>
      </c>
      <c r="AM69" s="9">
        <v>0</v>
      </c>
      <c r="AN69" s="9">
        <v>0</v>
      </c>
      <c r="AO69" s="9">
        <v>0</v>
      </c>
      <c r="AP69" s="9">
        <v>0</v>
      </c>
      <c r="AQ69" s="9">
        <v>0</v>
      </c>
      <c r="AR69" s="9">
        <v>0</v>
      </c>
      <c r="AS69" s="9">
        <v>0</v>
      </c>
      <c r="AT69" s="9">
        <v>0</v>
      </c>
      <c r="AU69" s="9">
        <v>0</v>
      </c>
      <c r="AV69" s="9">
        <v>2941234</v>
      </c>
      <c r="AW69" s="9">
        <v>176284530</v>
      </c>
      <c r="AX69" s="9">
        <v>171812185</v>
      </c>
      <c r="AY69" s="9">
        <v>184723083</v>
      </c>
      <c r="AZ69" s="9">
        <v>6499442</v>
      </c>
      <c r="BA69" s="9">
        <v>0</v>
      </c>
      <c r="BB69" s="9">
        <v>721101</v>
      </c>
      <c r="BC69" s="9">
        <v>721101</v>
      </c>
      <c r="BD69" s="9">
        <v>916.87200000000007</v>
      </c>
      <c r="BE69" s="9">
        <v>0</v>
      </c>
      <c r="BF69" s="9">
        <v>146155612</v>
      </c>
      <c r="BG69" s="9">
        <v>0</v>
      </c>
      <c r="BH69" s="9">
        <v>2540.422</v>
      </c>
      <c r="BI69" s="9">
        <v>698616</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418.11799999999999</v>
      </c>
      <c r="CB69" s="9">
        <v>159830</v>
      </c>
      <c r="CC69" s="9">
        <v>0</v>
      </c>
      <c r="CD69" s="9">
        <v>0</v>
      </c>
      <c r="CE69" s="9">
        <v>0</v>
      </c>
      <c r="CF69" s="9">
        <v>0</v>
      </c>
      <c r="CG69" s="9">
        <v>0</v>
      </c>
      <c r="CH69" s="9">
        <v>3613899</v>
      </c>
      <c r="CI69" s="9">
        <v>0</v>
      </c>
      <c r="CJ69" s="9">
        <v>5</v>
      </c>
      <c r="CK69" s="9">
        <v>0</v>
      </c>
      <c r="CL69" s="9">
        <v>0</v>
      </c>
      <c r="CM69" s="9">
        <v>0</v>
      </c>
      <c r="CN69" s="9">
        <v>0</v>
      </c>
      <c r="CO69" s="9">
        <v>0</v>
      </c>
      <c r="CP69" s="9">
        <v>0.23</v>
      </c>
      <c r="CQ69" s="9">
        <v>0</v>
      </c>
      <c r="CR69" s="9">
        <v>17643.938000000002</v>
      </c>
      <c r="CS69" s="9">
        <v>0</v>
      </c>
      <c r="CT69" s="9">
        <v>0</v>
      </c>
      <c r="CU69" s="9">
        <v>0</v>
      </c>
      <c r="CV69" s="9">
        <v>0</v>
      </c>
      <c r="CW69" s="9">
        <v>0</v>
      </c>
      <c r="CX69" s="9">
        <v>0</v>
      </c>
      <c r="CY69" s="9">
        <v>0</v>
      </c>
      <c r="CZ69" s="9">
        <v>0</v>
      </c>
      <c r="DA69" s="9">
        <v>1</v>
      </c>
      <c r="DB69" s="9">
        <v>113286015</v>
      </c>
      <c r="DC69" s="9">
        <v>0</v>
      </c>
      <c r="DD69" s="9">
        <v>0</v>
      </c>
      <c r="DE69" s="9">
        <v>18398821</v>
      </c>
      <c r="DF69" s="9">
        <v>18402454</v>
      </c>
      <c r="DG69" s="9">
        <v>14036.33</v>
      </c>
      <c r="DH69" s="9">
        <v>0</v>
      </c>
      <c r="DI69" s="9">
        <v>3633</v>
      </c>
      <c r="DJ69" s="9">
        <v>0</v>
      </c>
      <c r="DK69" s="9">
        <v>5392</v>
      </c>
      <c r="DL69" s="9">
        <v>0</v>
      </c>
      <c r="DM69" s="9">
        <v>7697820</v>
      </c>
      <c r="DN69" s="9">
        <v>0</v>
      </c>
      <c r="DO69" s="9">
        <v>0</v>
      </c>
      <c r="DP69" s="9">
        <v>0</v>
      </c>
      <c r="DQ69" s="9">
        <v>0</v>
      </c>
      <c r="DR69" s="9">
        <v>0</v>
      </c>
      <c r="DS69" s="9">
        <v>0</v>
      </c>
      <c r="DT69" s="9">
        <v>0</v>
      </c>
      <c r="DU69" s="9">
        <v>0</v>
      </c>
      <c r="DV69" s="9">
        <v>0</v>
      </c>
      <c r="DW69" s="9">
        <v>0</v>
      </c>
      <c r="DX69" s="9">
        <v>0</v>
      </c>
      <c r="DY69" s="9">
        <v>0</v>
      </c>
      <c r="DZ69" s="9">
        <v>0</v>
      </c>
      <c r="EA69" s="9">
        <v>5.3999999999999999E-2</v>
      </c>
      <c r="EB69" s="9">
        <v>0</v>
      </c>
      <c r="EC69" s="9">
        <v>202.14400000000001</v>
      </c>
      <c r="ED69" s="9">
        <v>1457337</v>
      </c>
      <c r="EE69" s="9">
        <v>0</v>
      </c>
      <c r="EF69" s="9">
        <v>0</v>
      </c>
      <c r="EG69" s="9">
        <v>0</v>
      </c>
      <c r="EH69" s="9">
        <v>6240483</v>
      </c>
      <c r="EI69" s="9">
        <v>0</v>
      </c>
      <c r="EJ69" s="9">
        <v>0</v>
      </c>
      <c r="EK69" s="9">
        <v>242.68300000000002</v>
      </c>
      <c r="EL69" s="9">
        <v>0</v>
      </c>
      <c r="EM69" s="9">
        <v>36.755000000000003</v>
      </c>
      <c r="EN69" s="9">
        <v>22.716000000000001</v>
      </c>
      <c r="EO69" s="9">
        <v>0</v>
      </c>
      <c r="EP69" s="9">
        <v>0</v>
      </c>
      <c r="EQ69" s="9">
        <v>302.20800000000003</v>
      </c>
      <c r="ER69" s="9">
        <v>0</v>
      </c>
      <c r="ES69" s="9">
        <v>952.1640000000001</v>
      </c>
      <c r="ET69" s="9">
        <v>0</v>
      </c>
      <c r="EU69" s="9">
        <v>6499442</v>
      </c>
      <c r="EV69" s="9">
        <v>0</v>
      </c>
      <c r="EW69" s="9">
        <v>0</v>
      </c>
      <c r="EX69" s="9">
        <v>0</v>
      </c>
      <c r="EY69" s="9">
        <v>0</v>
      </c>
      <c r="EZ69" s="9">
        <v>144546931</v>
      </c>
      <c r="FA69" s="9">
        <v>0</v>
      </c>
      <c r="FB69" s="9">
        <v>151046373</v>
      </c>
      <c r="FC69" s="9">
        <v>0.97327799999999998</v>
      </c>
      <c r="FD69" s="9">
        <v>0</v>
      </c>
      <c r="FE69" s="9">
        <v>22251019</v>
      </c>
      <c r="FF69" s="9">
        <v>5014235</v>
      </c>
      <c r="FG69" s="9">
        <v>6.1239999999999996E-2</v>
      </c>
      <c r="FH69" s="9">
        <v>5.4803999999999999E-2</v>
      </c>
      <c r="FI69" s="9">
        <v>0</v>
      </c>
      <c r="FJ69" s="9">
        <v>0</v>
      </c>
      <c r="FK69" s="9">
        <v>28636.487000000001</v>
      </c>
      <c r="FL69" s="9">
        <v>181925526</v>
      </c>
      <c r="FM69" s="9">
        <v>0</v>
      </c>
      <c r="FN69" s="9">
        <v>0</v>
      </c>
      <c r="FO69" s="9">
        <v>19440</v>
      </c>
      <c r="FP69" s="9">
        <v>0</v>
      </c>
      <c r="FQ69" s="9">
        <v>19440</v>
      </c>
      <c r="FR69" s="9">
        <v>19440</v>
      </c>
      <c r="FS69" s="9">
        <v>0</v>
      </c>
      <c r="FT69" s="9">
        <v>0</v>
      </c>
      <c r="FU69" s="9">
        <v>0</v>
      </c>
      <c r="FV69" s="9">
        <v>0</v>
      </c>
      <c r="FW69" s="9">
        <v>0</v>
      </c>
      <c r="FX69" s="9">
        <v>0</v>
      </c>
      <c r="FY69" s="9">
        <v>0</v>
      </c>
      <c r="FZ69" s="9">
        <v>14709</v>
      </c>
      <c r="GA69" s="9">
        <v>294.185</v>
      </c>
      <c r="GB69" s="9">
        <v>6652430</v>
      </c>
      <c r="GC69" s="9">
        <v>6652430</v>
      </c>
      <c r="GD69" s="9">
        <v>750.20300000000009</v>
      </c>
      <c r="GE69" s="9">
        <v>0</v>
      </c>
      <c r="GF69" s="9">
        <v>0</v>
      </c>
      <c r="GG69" s="9">
        <v>0</v>
      </c>
      <c r="GH69" s="9">
        <v>0</v>
      </c>
      <c r="GI69" s="9">
        <v>0</v>
      </c>
      <c r="GJ69" s="9">
        <v>0</v>
      </c>
      <c r="GK69" s="9">
        <v>4971</v>
      </c>
      <c r="GL69" s="9">
        <v>0</v>
      </c>
      <c r="GM69" s="9">
        <v>0</v>
      </c>
      <c r="GN69" s="9">
        <v>0</v>
      </c>
      <c r="GO69" s="9">
        <v>0</v>
      </c>
      <c r="GP69" s="9">
        <v>178311627</v>
      </c>
      <c r="GQ69" s="9">
        <v>178311627</v>
      </c>
      <c r="GR69" s="9">
        <v>0</v>
      </c>
      <c r="GS69" s="9">
        <v>0</v>
      </c>
      <c r="GT69" s="9">
        <v>0</v>
      </c>
      <c r="GU69" s="9">
        <v>0</v>
      </c>
      <c r="GV69" s="9">
        <v>0</v>
      </c>
      <c r="GW69" s="9">
        <v>0</v>
      </c>
      <c r="GX69" s="9">
        <v>0</v>
      </c>
      <c r="GY69" s="9">
        <v>0</v>
      </c>
      <c r="GZ69" s="9">
        <v>0</v>
      </c>
      <c r="HA69" s="9">
        <v>0</v>
      </c>
      <c r="HB69" s="9">
        <v>260786259</v>
      </c>
      <c r="HC69" s="9">
        <v>5.0923999999999997E-2</v>
      </c>
      <c r="HD69" s="9">
        <v>3613899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391.89800000000002</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32469</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row>
    <row r="70" spans="1:292" x14ac:dyDescent="0.25">
      <c r="A70" s="9">
        <v>57850</v>
      </c>
      <c r="B70" s="9">
        <v>32570</v>
      </c>
      <c r="C70" s="9">
        <v>35</v>
      </c>
      <c r="D70" s="9">
        <v>2022</v>
      </c>
      <c r="E70" s="9">
        <v>5392</v>
      </c>
      <c r="F70" s="9">
        <v>0</v>
      </c>
      <c r="G70" s="9">
        <v>1184.0320000000002</v>
      </c>
      <c r="H70" s="9">
        <v>1148.6420000000001</v>
      </c>
      <c r="I70" s="9">
        <v>1148.6420000000001</v>
      </c>
      <c r="J70" s="9">
        <v>1184.0320000000002</v>
      </c>
      <c r="K70" s="9">
        <v>0</v>
      </c>
      <c r="L70" s="9">
        <v>6554</v>
      </c>
      <c r="M70" s="9">
        <v>0</v>
      </c>
      <c r="N70" s="9">
        <v>0</v>
      </c>
      <c r="O70" s="9">
        <v>0</v>
      </c>
      <c r="P70" s="9">
        <v>586.25200000000007</v>
      </c>
      <c r="Q70" s="9">
        <v>0</v>
      </c>
      <c r="R70" s="9">
        <v>187432</v>
      </c>
      <c r="S70" s="9">
        <v>319.71300000000002</v>
      </c>
      <c r="T70" s="9">
        <v>0</v>
      </c>
      <c r="U70" s="9">
        <v>187432</v>
      </c>
      <c r="V70" s="9">
        <v>231.226</v>
      </c>
      <c r="W70" s="9">
        <v>151546</v>
      </c>
      <c r="X70" s="9">
        <v>151546</v>
      </c>
      <c r="Y70" s="9">
        <v>0</v>
      </c>
      <c r="Z70" s="9">
        <v>0</v>
      </c>
      <c r="AA70" s="9">
        <v>1</v>
      </c>
      <c r="AB70" s="9">
        <v>1</v>
      </c>
      <c r="AC70" s="9">
        <v>0</v>
      </c>
      <c r="AD70" s="9" t="s">
        <v>314</v>
      </c>
      <c r="AE70" s="9">
        <v>0</v>
      </c>
      <c r="AF70" s="9">
        <v>0</v>
      </c>
      <c r="AG70" s="9">
        <v>0</v>
      </c>
      <c r="AH70" s="9">
        <v>0</v>
      </c>
      <c r="AI70" s="9">
        <v>0</v>
      </c>
      <c r="AJ70" s="9">
        <v>5104</v>
      </c>
      <c r="AK70" s="9" t="s">
        <v>651</v>
      </c>
      <c r="AL70" s="9" t="s">
        <v>383</v>
      </c>
      <c r="AM70" s="9">
        <v>0</v>
      </c>
      <c r="AN70" s="9">
        <v>0</v>
      </c>
      <c r="AO70" s="9">
        <v>0</v>
      </c>
      <c r="AP70" s="9">
        <v>0</v>
      </c>
      <c r="AQ70" s="9">
        <v>0</v>
      </c>
      <c r="AR70" s="9">
        <v>0</v>
      </c>
      <c r="AS70" s="9">
        <v>0</v>
      </c>
      <c r="AT70" s="9">
        <v>0</v>
      </c>
      <c r="AU70" s="9">
        <v>0</v>
      </c>
      <c r="AV70" s="9">
        <v>121737</v>
      </c>
      <c r="AW70" s="9">
        <v>10761486</v>
      </c>
      <c r="AX70" s="9">
        <v>10330086</v>
      </c>
      <c r="AY70" s="9">
        <v>11683737</v>
      </c>
      <c r="AZ70" s="9">
        <v>385486</v>
      </c>
      <c r="BA70" s="9">
        <v>0</v>
      </c>
      <c r="BB70" s="9">
        <v>46561</v>
      </c>
      <c r="BC70" s="9">
        <v>46561</v>
      </c>
      <c r="BD70" s="9">
        <v>59.202000000000005</v>
      </c>
      <c r="BE70" s="9">
        <v>0</v>
      </c>
      <c r="BF70" s="9">
        <v>8663483</v>
      </c>
      <c r="BG70" s="9">
        <v>0</v>
      </c>
      <c r="BH70" s="9">
        <v>178.89600000000002</v>
      </c>
      <c r="BI70" s="9">
        <v>49196</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389.416</v>
      </c>
      <c r="CB70" s="9">
        <v>148858</v>
      </c>
      <c r="CC70" s="9">
        <v>0</v>
      </c>
      <c r="CD70" s="9">
        <v>0</v>
      </c>
      <c r="CE70" s="9">
        <v>0</v>
      </c>
      <c r="CF70" s="9">
        <v>0</v>
      </c>
      <c r="CG70" s="9">
        <v>0</v>
      </c>
      <c r="CH70" s="9">
        <v>233346</v>
      </c>
      <c r="CI70" s="9">
        <v>0</v>
      </c>
      <c r="CJ70" s="9">
        <v>4</v>
      </c>
      <c r="CK70" s="9">
        <v>0</v>
      </c>
      <c r="CL70" s="9">
        <v>0</v>
      </c>
      <c r="CM70" s="9">
        <v>0</v>
      </c>
      <c r="CN70" s="9">
        <v>0</v>
      </c>
      <c r="CO70" s="9">
        <v>0</v>
      </c>
      <c r="CP70" s="9">
        <v>0</v>
      </c>
      <c r="CQ70" s="9">
        <v>0</v>
      </c>
      <c r="CR70" s="9">
        <v>586.25200000000007</v>
      </c>
      <c r="CS70" s="9">
        <v>0</v>
      </c>
      <c r="CT70" s="9">
        <v>0</v>
      </c>
      <c r="CU70" s="9">
        <v>0</v>
      </c>
      <c r="CV70" s="9">
        <v>0</v>
      </c>
      <c r="CW70" s="9">
        <v>0</v>
      </c>
      <c r="CX70" s="9">
        <v>0</v>
      </c>
      <c r="CY70" s="9">
        <v>0</v>
      </c>
      <c r="CZ70" s="9">
        <v>0</v>
      </c>
      <c r="DA70" s="9">
        <v>1</v>
      </c>
      <c r="DB70" s="9">
        <v>7528200</v>
      </c>
      <c r="DC70" s="9">
        <v>0</v>
      </c>
      <c r="DD70" s="9">
        <v>0</v>
      </c>
      <c r="DE70" s="9">
        <v>589205</v>
      </c>
      <c r="DF70" s="9">
        <v>589205</v>
      </c>
      <c r="DG70" s="9">
        <v>449.5</v>
      </c>
      <c r="DH70" s="9">
        <v>0</v>
      </c>
      <c r="DI70" s="9">
        <v>0</v>
      </c>
      <c r="DJ70" s="9">
        <v>0</v>
      </c>
      <c r="DK70" s="9">
        <v>5392</v>
      </c>
      <c r="DL70" s="9">
        <v>0</v>
      </c>
      <c r="DM70" s="9">
        <v>280107</v>
      </c>
      <c r="DN70" s="9">
        <v>0</v>
      </c>
      <c r="DO70" s="9">
        <v>0</v>
      </c>
      <c r="DP70" s="9">
        <v>0</v>
      </c>
      <c r="DQ70" s="9">
        <v>0</v>
      </c>
      <c r="DR70" s="9">
        <v>0</v>
      </c>
      <c r="DS70" s="9">
        <v>0</v>
      </c>
      <c r="DT70" s="9">
        <v>0</v>
      </c>
      <c r="DU70" s="9">
        <v>0</v>
      </c>
      <c r="DV70" s="9">
        <v>0</v>
      </c>
      <c r="DW70" s="9">
        <v>0</v>
      </c>
      <c r="DX70" s="9">
        <v>0</v>
      </c>
      <c r="DY70" s="9">
        <v>0</v>
      </c>
      <c r="DZ70" s="9">
        <v>0</v>
      </c>
      <c r="EA70" s="9">
        <v>0</v>
      </c>
      <c r="EB70" s="9">
        <v>0</v>
      </c>
      <c r="EC70" s="9">
        <v>35.053000000000004</v>
      </c>
      <c r="ED70" s="9">
        <v>252711</v>
      </c>
      <c r="EE70" s="9">
        <v>0</v>
      </c>
      <c r="EF70" s="9">
        <v>0</v>
      </c>
      <c r="EG70" s="9">
        <v>0</v>
      </c>
      <c r="EH70" s="9">
        <v>27396</v>
      </c>
      <c r="EI70" s="9">
        <v>0</v>
      </c>
      <c r="EJ70" s="9">
        <v>0</v>
      </c>
      <c r="EK70" s="9">
        <v>0</v>
      </c>
      <c r="EL70" s="9">
        <v>0</v>
      </c>
      <c r="EM70" s="9">
        <v>0</v>
      </c>
      <c r="EN70" s="9">
        <v>0.83600000000000008</v>
      </c>
      <c r="EO70" s="9">
        <v>0</v>
      </c>
      <c r="EP70" s="9">
        <v>0</v>
      </c>
      <c r="EQ70" s="9">
        <v>0.83600000000000008</v>
      </c>
      <c r="ER70" s="9">
        <v>0</v>
      </c>
      <c r="ES70" s="9">
        <v>4.18</v>
      </c>
      <c r="ET70" s="9">
        <v>0</v>
      </c>
      <c r="EU70" s="9">
        <v>385486</v>
      </c>
      <c r="EV70" s="9">
        <v>0</v>
      </c>
      <c r="EW70" s="9">
        <v>0</v>
      </c>
      <c r="EX70" s="9">
        <v>0</v>
      </c>
      <c r="EY70" s="9">
        <v>0</v>
      </c>
      <c r="EZ70" s="9">
        <v>8713917</v>
      </c>
      <c r="FA70" s="9">
        <v>0</v>
      </c>
      <c r="FB70" s="9">
        <v>9099403</v>
      </c>
      <c r="FC70" s="9">
        <v>0.97327799999999998</v>
      </c>
      <c r="FD70" s="9">
        <v>0</v>
      </c>
      <c r="FE70" s="9">
        <v>1318946</v>
      </c>
      <c r="FF70" s="9">
        <v>297223</v>
      </c>
      <c r="FG70" s="9">
        <v>6.1239999999999996E-2</v>
      </c>
      <c r="FH70" s="9">
        <v>5.4803999999999999E-2</v>
      </c>
      <c r="FI70" s="9">
        <v>0</v>
      </c>
      <c r="FJ70" s="9">
        <v>0</v>
      </c>
      <c r="FK70" s="9">
        <v>1697.4490000000001</v>
      </c>
      <c r="FL70" s="9">
        <v>10948918</v>
      </c>
      <c r="FM70" s="9">
        <v>0</v>
      </c>
      <c r="FN70" s="9">
        <v>0</v>
      </c>
      <c r="FO70" s="9">
        <v>0</v>
      </c>
      <c r="FP70" s="9">
        <v>0</v>
      </c>
      <c r="FQ70" s="9">
        <v>0</v>
      </c>
      <c r="FR70" s="9">
        <v>0</v>
      </c>
      <c r="FS70" s="9">
        <v>0</v>
      </c>
      <c r="FT70" s="9">
        <v>0</v>
      </c>
      <c r="FU70" s="9">
        <v>0</v>
      </c>
      <c r="FV70" s="9">
        <v>0</v>
      </c>
      <c r="FW70" s="9">
        <v>0</v>
      </c>
      <c r="FX70" s="9">
        <v>0</v>
      </c>
      <c r="FY70" s="9">
        <v>0</v>
      </c>
      <c r="FZ70" s="9">
        <v>0</v>
      </c>
      <c r="GA70" s="9">
        <v>0</v>
      </c>
      <c r="GB70" s="9">
        <v>305730</v>
      </c>
      <c r="GC70" s="9">
        <v>305730</v>
      </c>
      <c r="GD70" s="9">
        <v>34.554000000000002</v>
      </c>
      <c r="GE70" s="9">
        <v>0</v>
      </c>
      <c r="GF70" s="9">
        <v>0</v>
      </c>
      <c r="GG70" s="9">
        <v>0</v>
      </c>
      <c r="GH70" s="9">
        <v>0</v>
      </c>
      <c r="GI70" s="9">
        <v>0</v>
      </c>
      <c r="GJ70" s="9">
        <v>0</v>
      </c>
      <c r="GK70" s="9">
        <v>0</v>
      </c>
      <c r="GL70" s="9">
        <v>0</v>
      </c>
      <c r="GM70" s="9">
        <v>0</v>
      </c>
      <c r="GN70" s="9">
        <v>0</v>
      </c>
      <c r="GO70" s="9">
        <v>0</v>
      </c>
      <c r="GP70" s="9">
        <v>10715572</v>
      </c>
      <c r="GQ70" s="9">
        <v>10715572</v>
      </c>
      <c r="GR70" s="9">
        <v>0</v>
      </c>
      <c r="GS70" s="9">
        <v>0</v>
      </c>
      <c r="GT70" s="9">
        <v>0</v>
      </c>
      <c r="GU70" s="9">
        <v>0</v>
      </c>
      <c r="GV70" s="9">
        <v>0</v>
      </c>
      <c r="GW70" s="9">
        <v>0</v>
      </c>
      <c r="GX70" s="9">
        <v>0</v>
      </c>
      <c r="GY70" s="9">
        <v>0</v>
      </c>
      <c r="GZ70" s="9">
        <v>0</v>
      </c>
      <c r="HA70" s="9">
        <v>0</v>
      </c>
      <c r="HB70" s="9">
        <v>260786259</v>
      </c>
      <c r="HC70" s="9">
        <v>5.0923999999999997E-2</v>
      </c>
      <c r="HD70" s="9">
        <v>233346</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32469</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row>
    <row r="71" spans="1:292" x14ac:dyDescent="0.25">
      <c r="A71" s="9">
        <v>57851</v>
      </c>
      <c r="B71" s="9">
        <v>32570</v>
      </c>
      <c r="C71" s="9">
        <v>35</v>
      </c>
      <c r="D71" s="9">
        <v>2022</v>
      </c>
      <c r="E71" s="9">
        <v>5392</v>
      </c>
      <c r="F71" s="9">
        <v>0</v>
      </c>
      <c r="G71" s="9">
        <v>52.789000000000001</v>
      </c>
      <c r="H71" s="9">
        <v>47.771000000000001</v>
      </c>
      <c r="I71" s="9">
        <v>47.771000000000001</v>
      </c>
      <c r="J71" s="9">
        <v>52.789000000000001</v>
      </c>
      <c r="K71" s="9">
        <v>0</v>
      </c>
      <c r="L71" s="9">
        <v>6554</v>
      </c>
      <c r="M71" s="9">
        <v>0</v>
      </c>
      <c r="N71" s="9">
        <v>0</v>
      </c>
      <c r="O71" s="9">
        <v>0</v>
      </c>
      <c r="P71" s="9">
        <v>15.506</v>
      </c>
      <c r="Q71" s="9">
        <v>0</v>
      </c>
      <c r="R71" s="9">
        <v>4957</v>
      </c>
      <c r="S71" s="9">
        <v>319.71300000000002</v>
      </c>
      <c r="T71" s="9">
        <v>0</v>
      </c>
      <c r="U71" s="9">
        <v>4957</v>
      </c>
      <c r="V71" s="9">
        <v>5.133</v>
      </c>
      <c r="W71" s="9">
        <v>3364</v>
      </c>
      <c r="X71" s="9">
        <v>3364</v>
      </c>
      <c r="Y71" s="9">
        <v>0</v>
      </c>
      <c r="Z71" s="9">
        <v>0</v>
      </c>
      <c r="AA71" s="9">
        <v>1</v>
      </c>
      <c r="AB71" s="9">
        <v>1</v>
      </c>
      <c r="AC71" s="9">
        <v>0</v>
      </c>
      <c r="AD71" s="9" t="s">
        <v>314</v>
      </c>
      <c r="AE71" s="9">
        <v>0</v>
      </c>
      <c r="AF71" s="9">
        <v>0</v>
      </c>
      <c r="AG71" s="9">
        <v>0</v>
      </c>
      <c r="AH71" s="9">
        <v>0</v>
      </c>
      <c r="AI71" s="9">
        <v>0</v>
      </c>
      <c r="AJ71" s="9">
        <v>5104</v>
      </c>
      <c r="AK71" s="9" t="s">
        <v>651</v>
      </c>
      <c r="AL71" s="9" t="s">
        <v>436</v>
      </c>
      <c r="AM71" s="9">
        <v>0</v>
      </c>
      <c r="AN71" s="9">
        <v>0</v>
      </c>
      <c r="AO71" s="9">
        <v>0</v>
      </c>
      <c r="AP71" s="9">
        <v>0</v>
      </c>
      <c r="AQ71" s="9">
        <v>0</v>
      </c>
      <c r="AR71" s="9">
        <v>0</v>
      </c>
      <c r="AS71" s="9">
        <v>0</v>
      </c>
      <c r="AT71" s="9">
        <v>0</v>
      </c>
      <c r="AU71" s="9">
        <v>0</v>
      </c>
      <c r="AV71" s="9">
        <v>8</v>
      </c>
      <c r="AW71" s="9">
        <v>527768</v>
      </c>
      <c r="AX71" s="9">
        <v>527768</v>
      </c>
      <c r="AY71" s="9">
        <v>595195</v>
      </c>
      <c r="AZ71" s="9">
        <v>4957</v>
      </c>
      <c r="BA71" s="9">
        <v>0</v>
      </c>
      <c r="BB71" s="9">
        <v>0</v>
      </c>
      <c r="BC71" s="9">
        <v>0</v>
      </c>
      <c r="BD71" s="9">
        <v>0</v>
      </c>
      <c r="BE71" s="9">
        <v>0</v>
      </c>
      <c r="BF71" s="9">
        <v>438816</v>
      </c>
      <c r="BG71" s="9">
        <v>0</v>
      </c>
      <c r="BH71" s="9">
        <v>0</v>
      </c>
      <c r="BI71" s="9">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4</v>
      </c>
      <c r="CK71" s="9">
        <v>0</v>
      </c>
      <c r="CL71" s="9">
        <v>0</v>
      </c>
      <c r="CM71" s="9">
        <v>0</v>
      </c>
      <c r="CN71" s="9">
        <v>0</v>
      </c>
      <c r="CO71" s="9">
        <v>0</v>
      </c>
      <c r="CP71" s="9">
        <v>0</v>
      </c>
      <c r="CQ71" s="9">
        <v>0</v>
      </c>
      <c r="CR71" s="9">
        <v>15.506</v>
      </c>
      <c r="CS71" s="9">
        <v>0</v>
      </c>
      <c r="CT71" s="9">
        <v>0</v>
      </c>
      <c r="CU71" s="9">
        <v>0</v>
      </c>
      <c r="CV71" s="9">
        <v>0</v>
      </c>
      <c r="CW71" s="9">
        <v>0</v>
      </c>
      <c r="CX71" s="9">
        <v>0</v>
      </c>
      <c r="CY71" s="9">
        <v>0</v>
      </c>
      <c r="CZ71" s="9">
        <v>0</v>
      </c>
      <c r="DA71" s="9">
        <v>1</v>
      </c>
      <c r="DB71" s="9">
        <v>313091</v>
      </c>
      <c r="DC71" s="9">
        <v>0</v>
      </c>
      <c r="DD71" s="9">
        <v>0</v>
      </c>
      <c r="DE71" s="9">
        <v>23375</v>
      </c>
      <c r="DF71" s="9">
        <v>23375</v>
      </c>
      <c r="DG71" s="9">
        <v>17.833000000000002</v>
      </c>
      <c r="DH71" s="9">
        <v>0</v>
      </c>
      <c r="DI71" s="9">
        <v>0</v>
      </c>
      <c r="DJ71" s="9">
        <v>0</v>
      </c>
      <c r="DK71" s="9">
        <v>5392</v>
      </c>
      <c r="DL71" s="9">
        <v>0</v>
      </c>
      <c r="DM71" s="9">
        <v>111034</v>
      </c>
      <c r="DN71" s="9">
        <v>0</v>
      </c>
      <c r="DO71" s="9">
        <v>0</v>
      </c>
      <c r="DP71" s="9">
        <v>0</v>
      </c>
      <c r="DQ71" s="9">
        <v>0</v>
      </c>
      <c r="DR71" s="9">
        <v>0</v>
      </c>
      <c r="DS71" s="9">
        <v>0</v>
      </c>
      <c r="DT71" s="9">
        <v>0</v>
      </c>
      <c r="DU71" s="9">
        <v>0</v>
      </c>
      <c r="DV71" s="9">
        <v>0</v>
      </c>
      <c r="DW71" s="9">
        <v>0</v>
      </c>
      <c r="DX71" s="9">
        <v>0</v>
      </c>
      <c r="DY71" s="9">
        <v>0</v>
      </c>
      <c r="DZ71" s="9">
        <v>0</v>
      </c>
      <c r="EA71" s="9">
        <v>0</v>
      </c>
      <c r="EB71" s="9">
        <v>0</v>
      </c>
      <c r="EC71" s="9">
        <v>1.254</v>
      </c>
      <c r="ED71" s="9">
        <v>9041</v>
      </c>
      <c r="EE71" s="9">
        <v>0</v>
      </c>
      <c r="EF71" s="9">
        <v>0</v>
      </c>
      <c r="EG71" s="9">
        <v>0</v>
      </c>
      <c r="EH71" s="9">
        <v>101993</v>
      </c>
      <c r="EI71" s="9">
        <v>0</v>
      </c>
      <c r="EJ71" s="9">
        <v>0</v>
      </c>
      <c r="EK71" s="9">
        <v>4.7640000000000002</v>
      </c>
      <c r="EL71" s="9">
        <v>0</v>
      </c>
      <c r="EM71" s="9">
        <v>0</v>
      </c>
      <c r="EN71" s="9">
        <v>0.254</v>
      </c>
      <c r="EO71" s="9">
        <v>0</v>
      </c>
      <c r="EP71" s="9">
        <v>0</v>
      </c>
      <c r="EQ71" s="9">
        <v>5.0180000000000007</v>
      </c>
      <c r="ER71" s="9">
        <v>0</v>
      </c>
      <c r="ES71" s="9">
        <v>15.562000000000001</v>
      </c>
      <c r="ET71" s="9">
        <v>0</v>
      </c>
      <c r="EU71" s="9">
        <v>4957</v>
      </c>
      <c r="EV71" s="9">
        <v>0</v>
      </c>
      <c r="EW71" s="9">
        <v>0</v>
      </c>
      <c r="EX71" s="9">
        <v>0</v>
      </c>
      <c r="EY71" s="9">
        <v>0</v>
      </c>
      <c r="EZ71" s="9">
        <v>445907</v>
      </c>
      <c r="FA71" s="9">
        <v>0</v>
      </c>
      <c r="FB71" s="9">
        <v>450864</v>
      </c>
      <c r="FC71" s="9">
        <v>0.97327799999999998</v>
      </c>
      <c r="FD71" s="9">
        <v>0</v>
      </c>
      <c r="FE71" s="9">
        <v>66806</v>
      </c>
      <c r="FF71" s="9">
        <v>15055</v>
      </c>
      <c r="FG71" s="9">
        <v>6.1239999999999996E-2</v>
      </c>
      <c r="FH71" s="9">
        <v>5.4803999999999999E-2</v>
      </c>
      <c r="FI71" s="9">
        <v>0</v>
      </c>
      <c r="FJ71" s="9">
        <v>0</v>
      </c>
      <c r="FK71" s="9">
        <v>85.978000000000009</v>
      </c>
      <c r="FL71" s="9">
        <v>532725</v>
      </c>
      <c r="FM71" s="9">
        <v>0</v>
      </c>
      <c r="FN71" s="9">
        <v>0</v>
      </c>
      <c r="FO71" s="9">
        <v>0</v>
      </c>
      <c r="FP71" s="9">
        <v>0</v>
      </c>
      <c r="FQ71" s="9">
        <v>0</v>
      </c>
      <c r="FR71" s="9">
        <v>0</v>
      </c>
      <c r="FS71" s="9">
        <v>0</v>
      </c>
      <c r="FT71" s="9">
        <v>0</v>
      </c>
      <c r="FU71" s="9">
        <v>0</v>
      </c>
      <c r="FV71" s="9">
        <v>0</v>
      </c>
      <c r="FW71" s="9">
        <v>0</v>
      </c>
      <c r="FX71" s="9">
        <v>0</v>
      </c>
      <c r="FY71" s="9">
        <v>0</v>
      </c>
      <c r="FZ71" s="9">
        <v>0</v>
      </c>
      <c r="GA71" s="9">
        <v>0</v>
      </c>
      <c r="GB71" s="9">
        <v>0</v>
      </c>
      <c r="GC71" s="9">
        <v>0</v>
      </c>
      <c r="GD71" s="9">
        <v>0</v>
      </c>
      <c r="GE71" s="9">
        <v>0</v>
      </c>
      <c r="GF71" s="9">
        <v>0</v>
      </c>
      <c r="GG71" s="9">
        <v>0</v>
      </c>
      <c r="GH71" s="9">
        <v>0</v>
      </c>
      <c r="GI71" s="9">
        <v>0</v>
      </c>
      <c r="GJ71" s="9">
        <v>0</v>
      </c>
      <c r="GK71" s="9">
        <v>0</v>
      </c>
      <c r="GL71" s="9">
        <v>0</v>
      </c>
      <c r="GM71" s="9">
        <v>0</v>
      </c>
      <c r="GN71" s="9">
        <v>0</v>
      </c>
      <c r="GO71" s="9">
        <v>0</v>
      </c>
      <c r="GP71" s="9">
        <v>532725</v>
      </c>
      <c r="GQ71" s="9">
        <v>532725</v>
      </c>
      <c r="GR71" s="9">
        <v>0</v>
      </c>
      <c r="GS71" s="9">
        <v>0</v>
      </c>
      <c r="GT71" s="9">
        <v>0</v>
      </c>
      <c r="GU71" s="9">
        <v>0</v>
      </c>
      <c r="GV71" s="9">
        <v>0</v>
      </c>
      <c r="GW71" s="9">
        <v>0</v>
      </c>
      <c r="GX71" s="9">
        <v>0</v>
      </c>
      <c r="GY71" s="9">
        <v>0</v>
      </c>
      <c r="GZ71" s="9">
        <v>0</v>
      </c>
      <c r="HA71" s="9">
        <v>0</v>
      </c>
      <c r="HB71" s="9">
        <v>0</v>
      </c>
      <c r="HC71" s="9">
        <v>0</v>
      </c>
      <c r="HD71" s="9">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32469</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row>
    <row r="72" spans="1:292" ht="13" x14ac:dyDescent="0.3">
      <c r="A72" s="9">
        <v>61802</v>
      </c>
      <c r="B72" s="9">
        <v>32570</v>
      </c>
      <c r="C72" s="9">
        <v>35</v>
      </c>
      <c r="D72" s="9">
        <v>2022</v>
      </c>
      <c r="E72" s="9">
        <v>5392</v>
      </c>
      <c r="F72" s="9">
        <v>0</v>
      </c>
      <c r="G72" s="10">
        <v>548.35500000000002</v>
      </c>
      <c r="H72" s="10">
        <v>532.47</v>
      </c>
      <c r="I72" s="9">
        <v>532.47</v>
      </c>
      <c r="J72" s="9">
        <v>548.35500000000002</v>
      </c>
      <c r="K72" s="9">
        <v>0</v>
      </c>
      <c r="L72" s="9">
        <v>6554</v>
      </c>
      <c r="M72" s="9">
        <v>0</v>
      </c>
      <c r="N72" s="9">
        <v>0</v>
      </c>
      <c r="O72" s="9">
        <v>0</v>
      </c>
      <c r="P72" s="10">
        <v>471.49800000000005</v>
      </c>
      <c r="Q72" s="9">
        <v>0</v>
      </c>
      <c r="R72" s="10">
        <v>150744</v>
      </c>
      <c r="S72" s="10">
        <v>319.71300000000002</v>
      </c>
      <c r="T72" s="9">
        <v>0</v>
      </c>
      <c r="U72" s="9">
        <v>150744</v>
      </c>
      <c r="V72" s="10">
        <v>170.69500000000002</v>
      </c>
      <c r="W72" s="10">
        <v>111874</v>
      </c>
      <c r="X72" s="10">
        <v>111874</v>
      </c>
      <c r="Y72" s="9">
        <v>0</v>
      </c>
      <c r="Z72" s="9">
        <v>0</v>
      </c>
      <c r="AA72" s="9">
        <v>1</v>
      </c>
      <c r="AB72" s="9">
        <v>1</v>
      </c>
      <c r="AC72" s="9">
        <v>0</v>
      </c>
      <c r="AD72" s="9" t="s">
        <v>314</v>
      </c>
      <c r="AE72" s="9">
        <v>0</v>
      </c>
      <c r="AF72" s="9">
        <v>0</v>
      </c>
      <c r="AG72" s="9">
        <v>0</v>
      </c>
      <c r="AH72" s="9">
        <v>0</v>
      </c>
      <c r="AI72" s="9">
        <v>0</v>
      </c>
      <c r="AJ72" s="9">
        <v>5104</v>
      </c>
      <c r="AK72" s="9" t="s">
        <v>651</v>
      </c>
      <c r="AL72" s="9" t="s">
        <v>333</v>
      </c>
      <c r="AM72" s="9">
        <v>0</v>
      </c>
      <c r="AN72" s="9">
        <v>0</v>
      </c>
      <c r="AO72" s="9">
        <v>0</v>
      </c>
      <c r="AP72" s="9">
        <v>0</v>
      </c>
      <c r="AQ72" s="9">
        <v>0</v>
      </c>
      <c r="AR72" s="9">
        <v>0</v>
      </c>
      <c r="AS72" s="9">
        <v>0</v>
      </c>
      <c r="AT72" s="9">
        <v>0</v>
      </c>
      <c r="AU72" s="9">
        <v>0</v>
      </c>
      <c r="AV72" s="9">
        <v>-36214</v>
      </c>
      <c r="AW72" s="9">
        <v>5601511</v>
      </c>
      <c r="AX72" s="9">
        <v>5487400</v>
      </c>
      <c r="AY72" s="9">
        <v>5878490</v>
      </c>
      <c r="AZ72" s="9">
        <v>150744</v>
      </c>
      <c r="BA72" s="10">
        <v>11.333</v>
      </c>
      <c r="BB72" s="9">
        <v>0</v>
      </c>
      <c r="BC72" s="9">
        <v>0</v>
      </c>
      <c r="BD72" s="9">
        <v>0</v>
      </c>
      <c r="BE72" s="9">
        <v>0</v>
      </c>
      <c r="BF72" s="9">
        <v>4619200</v>
      </c>
      <c r="BG72" s="9">
        <v>0</v>
      </c>
      <c r="BH72" s="10">
        <v>0</v>
      </c>
      <c r="BI72" s="10">
        <v>0</v>
      </c>
      <c r="BJ72" s="9">
        <v>12</v>
      </c>
      <c r="BK72" s="9">
        <v>0</v>
      </c>
      <c r="BL72" s="9">
        <v>0</v>
      </c>
      <c r="BM72" s="9">
        <v>0</v>
      </c>
      <c r="BN72" s="9">
        <v>0</v>
      </c>
      <c r="BO72" s="9">
        <v>0</v>
      </c>
      <c r="BP72" s="9">
        <v>0</v>
      </c>
      <c r="BQ72" s="10">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9">
        <v>114111</v>
      </c>
      <c r="CI72" s="9">
        <v>0</v>
      </c>
      <c r="CJ72" s="9">
        <v>4</v>
      </c>
      <c r="CK72" s="9">
        <v>0</v>
      </c>
      <c r="CL72" s="9">
        <v>0</v>
      </c>
      <c r="CM72" s="9">
        <v>0</v>
      </c>
      <c r="CN72" s="9">
        <v>0</v>
      </c>
      <c r="CO72" s="9">
        <v>0</v>
      </c>
      <c r="CP72" s="9">
        <v>0</v>
      </c>
      <c r="CQ72" s="9">
        <v>1.5</v>
      </c>
      <c r="CR72" s="9">
        <v>471.49800000000005</v>
      </c>
      <c r="CS72" s="9">
        <v>0</v>
      </c>
      <c r="CT72" s="9">
        <v>0</v>
      </c>
      <c r="CU72" s="9">
        <v>0</v>
      </c>
      <c r="CV72" s="9">
        <v>0</v>
      </c>
      <c r="CW72" s="9">
        <v>0</v>
      </c>
      <c r="CX72" s="9">
        <v>0</v>
      </c>
      <c r="CY72" s="9">
        <v>0</v>
      </c>
      <c r="CZ72" s="9">
        <v>0</v>
      </c>
      <c r="DA72" s="9">
        <v>1</v>
      </c>
      <c r="DB72" s="9">
        <v>3489808</v>
      </c>
      <c r="DC72" s="9">
        <v>0</v>
      </c>
      <c r="DD72" s="9">
        <v>0</v>
      </c>
      <c r="DE72" s="9">
        <v>727927</v>
      </c>
      <c r="DF72" s="9">
        <v>727927</v>
      </c>
      <c r="DG72" s="9">
        <v>555.33000000000004</v>
      </c>
      <c r="DH72" s="9">
        <v>0</v>
      </c>
      <c r="DI72" s="9">
        <v>0</v>
      </c>
      <c r="DJ72" s="9">
        <v>0</v>
      </c>
      <c r="DK72" s="9">
        <v>5392</v>
      </c>
      <c r="DL72" s="9">
        <v>0</v>
      </c>
      <c r="DM72" s="9">
        <v>416417</v>
      </c>
      <c r="DN72" s="9">
        <v>0</v>
      </c>
      <c r="DO72" s="9">
        <v>0</v>
      </c>
      <c r="DP72" s="9">
        <v>0</v>
      </c>
      <c r="DQ72" s="9">
        <v>0</v>
      </c>
      <c r="DR72" s="9">
        <v>0</v>
      </c>
      <c r="DS72" s="9">
        <v>0</v>
      </c>
      <c r="DT72" s="9">
        <v>0</v>
      </c>
      <c r="DU72" s="9">
        <v>0</v>
      </c>
      <c r="DV72" s="9">
        <v>0</v>
      </c>
      <c r="DW72" s="9">
        <v>0</v>
      </c>
      <c r="DX72" s="9">
        <v>0</v>
      </c>
      <c r="DY72" s="9">
        <v>0</v>
      </c>
      <c r="DZ72" s="9">
        <v>0</v>
      </c>
      <c r="EA72" s="9">
        <v>0</v>
      </c>
      <c r="EB72" s="9">
        <v>0</v>
      </c>
      <c r="EC72" s="9">
        <v>12.063000000000001</v>
      </c>
      <c r="ED72" s="9">
        <v>86967</v>
      </c>
      <c r="EE72" s="9">
        <v>0</v>
      </c>
      <c r="EF72" s="9">
        <v>0</v>
      </c>
      <c r="EG72" s="9">
        <v>0</v>
      </c>
      <c r="EH72" s="9">
        <v>329450</v>
      </c>
      <c r="EI72" s="9">
        <v>0</v>
      </c>
      <c r="EJ72" s="9">
        <v>0</v>
      </c>
      <c r="EK72" s="9">
        <v>14.352</v>
      </c>
      <c r="EL72" s="9">
        <v>0</v>
      </c>
      <c r="EM72" s="9">
        <v>0.22700000000000001</v>
      </c>
      <c r="EN72" s="9">
        <v>1.306</v>
      </c>
      <c r="EO72" s="9">
        <v>0</v>
      </c>
      <c r="EP72" s="9">
        <v>0</v>
      </c>
      <c r="EQ72" s="9">
        <v>15.885000000000002</v>
      </c>
      <c r="ER72" s="9">
        <v>0</v>
      </c>
      <c r="ES72" s="9">
        <v>50.267000000000003</v>
      </c>
      <c r="ET72" s="9">
        <v>6042</v>
      </c>
      <c r="EU72" s="9">
        <v>150744</v>
      </c>
      <c r="EV72" s="9">
        <v>0</v>
      </c>
      <c r="EW72" s="9">
        <v>0</v>
      </c>
      <c r="EX72" s="9">
        <v>0</v>
      </c>
      <c r="EY72" s="9">
        <v>0</v>
      </c>
      <c r="EZ72" s="9">
        <v>4625691</v>
      </c>
      <c r="FA72" s="9">
        <v>0</v>
      </c>
      <c r="FB72" s="10">
        <v>4776435</v>
      </c>
      <c r="FC72" s="9">
        <v>0.97327799999999998</v>
      </c>
      <c r="FD72" s="9">
        <v>0</v>
      </c>
      <c r="FE72" s="10">
        <v>703236</v>
      </c>
      <c r="FF72" s="10">
        <v>158473</v>
      </c>
      <c r="FG72" s="9">
        <v>6.1239999999999996E-2</v>
      </c>
      <c r="FH72" s="9">
        <v>5.4803999999999999E-2</v>
      </c>
      <c r="FI72" s="9">
        <v>0</v>
      </c>
      <c r="FJ72" s="9">
        <v>0</v>
      </c>
      <c r="FK72" s="9">
        <v>905.04700000000003</v>
      </c>
      <c r="FL72" s="9">
        <v>5752255</v>
      </c>
      <c r="FM72" s="9">
        <v>0</v>
      </c>
      <c r="FN72" s="9">
        <v>0</v>
      </c>
      <c r="FO72" s="9">
        <v>30409</v>
      </c>
      <c r="FP72" s="9">
        <v>0</v>
      </c>
      <c r="FQ72" s="9">
        <v>30409</v>
      </c>
      <c r="FR72" s="9">
        <v>30409</v>
      </c>
      <c r="FS72" s="9">
        <v>0</v>
      </c>
      <c r="FT72" s="9">
        <v>0</v>
      </c>
      <c r="FU72" s="9">
        <v>0</v>
      </c>
      <c r="FV72" s="9">
        <v>0</v>
      </c>
      <c r="FW72" s="9">
        <v>0</v>
      </c>
      <c r="FX72" s="9">
        <v>0</v>
      </c>
      <c r="FY72" s="9">
        <v>0</v>
      </c>
      <c r="FZ72" s="9">
        <v>0</v>
      </c>
      <c r="GA72" s="9">
        <v>0</v>
      </c>
      <c r="GB72" s="9">
        <v>0</v>
      </c>
      <c r="GC72" s="9">
        <v>0</v>
      </c>
      <c r="GD72" s="9">
        <v>0</v>
      </c>
      <c r="GE72" s="9">
        <v>0</v>
      </c>
      <c r="GF72" s="9">
        <v>0</v>
      </c>
      <c r="GG72" s="9">
        <v>0</v>
      </c>
      <c r="GH72" s="9">
        <v>0</v>
      </c>
      <c r="GI72" s="9">
        <v>0</v>
      </c>
      <c r="GJ72" s="9">
        <v>0</v>
      </c>
      <c r="GK72" s="9">
        <v>5284</v>
      </c>
      <c r="GL72" s="9">
        <v>23597</v>
      </c>
      <c r="GM72" s="9">
        <v>0</v>
      </c>
      <c r="GN72" s="9">
        <v>63454</v>
      </c>
      <c r="GO72" s="9">
        <v>0</v>
      </c>
      <c r="GP72" s="9">
        <v>5638144</v>
      </c>
      <c r="GQ72" s="9">
        <v>5638144</v>
      </c>
      <c r="GR72" s="9">
        <v>0</v>
      </c>
      <c r="GS72" s="9">
        <v>0</v>
      </c>
      <c r="GT72" s="9">
        <v>0</v>
      </c>
      <c r="GU72" s="9">
        <v>0</v>
      </c>
      <c r="GV72" s="9">
        <v>0</v>
      </c>
      <c r="GW72" s="9">
        <v>0</v>
      </c>
      <c r="GX72" s="9">
        <v>0</v>
      </c>
      <c r="GY72" s="9">
        <v>0</v>
      </c>
      <c r="GZ72" s="9">
        <v>0</v>
      </c>
      <c r="HA72" s="9">
        <v>0</v>
      </c>
      <c r="HB72" s="9">
        <v>260786259</v>
      </c>
      <c r="HC72" s="9">
        <v>5.0923999999999997E-2</v>
      </c>
      <c r="HD72" s="10">
        <v>108069</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32469</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row>
    <row r="73" spans="1:292" x14ac:dyDescent="0.25">
      <c r="A73" s="9">
        <v>61804</v>
      </c>
      <c r="B73" s="9">
        <v>32570</v>
      </c>
      <c r="C73" s="9">
        <v>35</v>
      </c>
      <c r="D73" s="9">
        <v>2022</v>
      </c>
      <c r="E73" s="9">
        <v>5392</v>
      </c>
      <c r="F73" s="9">
        <v>0</v>
      </c>
      <c r="G73" s="9">
        <v>1222.163</v>
      </c>
      <c r="H73" s="9">
        <v>1177.309</v>
      </c>
      <c r="I73" s="9">
        <v>1177.309</v>
      </c>
      <c r="J73" s="9">
        <v>1222.163</v>
      </c>
      <c r="K73" s="9">
        <v>0</v>
      </c>
      <c r="L73" s="9">
        <v>6554</v>
      </c>
      <c r="M73" s="9">
        <v>0</v>
      </c>
      <c r="N73" s="9">
        <v>0</v>
      </c>
      <c r="O73" s="9">
        <v>0</v>
      </c>
      <c r="P73" s="9">
        <v>1190.848</v>
      </c>
      <c r="Q73" s="9">
        <v>0</v>
      </c>
      <c r="R73" s="9">
        <v>380730</v>
      </c>
      <c r="S73" s="9">
        <v>319.71300000000002</v>
      </c>
      <c r="T73" s="9">
        <v>0</v>
      </c>
      <c r="U73" s="9">
        <v>380730</v>
      </c>
      <c r="V73" s="9">
        <v>55.466000000000001</v>
      </c>
      <c r="W73" s="9">
        <v>36352</v>
      </c>
      <c r="X73" s="9">
        <v>36352</v>
      </c>
      <c r="Y73" s="9">
        <v>0</v>
      </c>
      <c r="Z73" s="9">
        <v>0</v>
      </c>
      <c r="AA73" s="9">
        <v>1</v>
      </c>
      <c r="AB73" s="9">
        <v>1</v>
      </c>
      <c r="AC73" s="9">
        <v>0</v>
      </c>
      <c r="AD73" s="9" t="s">
        <v>314</v>
      </c>
      <c r="AE73" s="9">
        <v>0</v>
      </c>
      <c r="AF73" s="9">
        <v>0</v>
      </c>
      <c r="AG73" s="9">
        <v>0</v>
      </c>
      <c r="AH73" s="9">
        <v>0</v>
      </c>
      <c r="AI73" s="9">
        <v>0</v>
      </c>
      <c r="AJ73" s="9">
        <v>5104</v>
      </c>
      <c r="AK73" s="9" t="s">
        <v>651</v>
      </c>
      <c r="AL73" s="9" t="s">
        <v>334</v>
      </c>
      <c r="AM73" s="9">
        <v>0</v>
      </c>
      <c r="AN73" s="9">
        <v>0</v>
      </c>
      <c r="AO73" s="9">
        <v>0</v>
      </c>
      <c r="AP73" s="9">
        <v>0</v>
      </c>
      <c r="AQ73" s="9">
        <v>0</v>
      </c>
      <c r="AR73" s="9">
        <v>0</v>
      </c>
      <c r="AS73" s="9">
        <v>0</v>
      </c>
      <c r="AT73" s="9">
        <v>0</v>
      </c>
      <c r="AU73" s="9">
        <v>0</v>
      </c>
      <c r="AV73" s="9">
        <v>4036</v>
      </c>
      <c r="AW73" s="9">
        <v>10198091</v>
      </c>
      <c r="AX73" s="9">
        <v>9875695</v>
      </c>
      <c r="AY73" s="9">
        <v>10519071</v>
      </c>
      <c r="AZ73" s="9">
        <v>462265</v>
      </c>
      <c r="BA73" s="9">
        <v>0</v>
      </c>
      <c r="BB73" s="9">
        <v>48060</v>
      </c>
      <c r="BC73" s="9">
        <v>48060</v>
      </c>
      <c r="BD73" s="9">
        <v>61.108000000000004</v>
      </c>
      <c r="BE73" s="9">
        <v>0</v>
      </c>
      <c r="BF73" s="9">
        <v>8448416</v>
      </c>
      <c r="BG73" s="9">
        <v>0</v>
      </c>
      <c r="BH73" s="9">
        <v>296.49200000000002</v>
      </c>
      <c r="BI73" s="9">
        <v>81535</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240861</v>
      </c>
      <c r="CI73" s="9">
        <v>0</v>
      </c>
      <c r="CJ73" s="9">
        <v>5</v>
      </c>
      <c r="CK73" s="9">
        <v>0</v>
      </c>
      <c r="CL73" s="9">
        <v>0</v>
      </c>
      <c r="CM73" s="9">
        <v>0</v>
      </c>
      <c r="CN73" s="9">
        <v>0</v>
      </c>
      <c r="CO73" s="9">
        <v>0</v>
      </c>
      <c r="CP73" s="9">
        <v>0</v>
      </c>
      <c r="CQ73" s="9">
        <v>0</v>
      </c>
      <c r="CR73" s="9">
        <v>1190.848</v>
      </c>
      <c r="CS73" s="9">
        <v>0</v>
      </c>
      <c r="CT73" s="9">
        <v>0</v>
      </c>
      <c r="CU73" s="9">
        <v>0</v>
      </c>
      <c r="CV73" s="9">
        <v>0</v>
      </c>
      <c r="CW73" s="9">
        <v>0</v>
      </c>
      <c r="CX73" s="9">
        <v>0</v>
      </c>
      <c r="CY73" s="9">
        <v>0</v>
      </c>
      <c r="CZ73" s="9">
        <v>0</v>
      </c>
      <c r="DA73" s="9">
        <v>1</v>
      </c>
      <c r="DB73" s="9">
        <v>7716083</v>
      </c>
      <c r="DC73" s="9">
        <v>0</v>
      </c>
      <c r="DD73" s="9">
        <v>0</v>
      </c>
      <c r="DE73" s="9">
        <v>59641</v>
      </c>
      <c r="DF73" s="9">
        <v>59641</v>
      </c>
      <c r="DG73" s="9">
        <v>45.5</v>
      </c>
      <c r="DH73" s="9">
        <v>0</v>
      </c>
      <c r="DI73" s="9">
        <v>0</v>
      </c>
      <c r="DJ73" s="9">
        <v>0</v>
      </c>
      <c r="DK73" s="9">
        <v>5392</v>
      </c>
      <c r="DL73" s="9">
        <v>0</v>
      </c>
      <c r="DM73" s="9">
        <v>528534</v>
      </c>
      <c r="DN73" s="9">
        <v>0</v>
      </c>
      <c r="DO73" s="9">
        <v>0</v>
      </c>
      <c r="DP73" s="9">
        <v>0</v>
      </c>
      <c r="DQ73" s="9">
        <v>0</v>
      </c>
      <c r="DR73" s="9">
        <v>0</v>
      </c>
      <c r="DS73" s="9">
        <v>0</v>
      </c>
      <c r="DT73" s="9">
        <v>0</v>
      </c>
      <c r="DU73" s="9">
        <v>0</v>
      </c>
      <c r="DV73" s="9">
        <v>0</v>
      </c>
      <c r="DW73" s="9">
        <v>0</v>
      </c>
      <c r="DX73" s="9">
        <v>0</v>
      </c>
      <c r="DY73" s="9">
        <v>0</v>
      </c>
      <c r="DZ73" s="9">
        <v>0</v>
      </c>
      <c r="EA73" s="9">
        <v>0</v>
      </c>
      <c r="EB73" s="9">
        <v>0</v>
      </c>
      <c r="EC73" s="9">
        <v>36.49</v>
      </c>
      <c r="ED73" s="9">
        <v>263071</v>
      </c>
      <c r="EE73" s="9">
        <v>0</v>
      </c>
      <c r="EF73" s="9">
        <v>0</v>
      </c>
      <c r="EG73" s="9">
        <v>0</v>
      </c>
      <c r="EH73" s="9">
        <v>265463</v>
      </c>
      <c r="EI73" s="9">
        <v>0</v>
      </c>
      <c r="EJ73" s="9">
        <v>0</v>
      </c>
      <c r="EK73" s="9">
        <v>6.7650000000000006</v>
      </c>
      <c r="EL73" s="9">
        <v>0</v>
      </c>
      <c r="EM73" s="9">
        <v>2.7230000000000003</v>
      </c>
      <c r="EN73" s="9">
        <v>2.4079999999999999</v>
      </c>
      <c r="EO73" s="9">
        <v>0</v>
      </c>
      <c r="EP73" s="9">
        <v>0</v>
      </c>
      <c r="EQ73" s="9">
        <v>11.896000000000001</v>
      </c>
      <c r="ER73" s="9">
        <v>0</v>
      </c>
      <c r="ES73" s="9">
        <v>40.504000000000005</v>
      </c>
      <c r="ET73" s="9">
        <v>0</v>
      </c>
      <c r="EU73" s="9">
        <v>462265</v>
      </c>
      <c r="EV73" s="9">
        <v>0</v>
      </c>
      <c r="EW73" s="9">
        <v>0</v>
      </c>
      <c r="EX73" s="9">
        <v>0</v>
      </c>
      <c r="EY73" s="9">
        <v>0</v>
      </c>
      <c r="EZ73" s="9">
        <v>8299647</v>
      </c>
      <c r="FA73" s="9">
        <v>0</v>
      </c>
      <c r="FB73" s="9">
        <v>8761912</v>
      </c>
      <c r="FC73" s="9">
        <v>0.97327799999999998</v>
      </c>
      <c r="FD73" s="9">
        <v>0</v>
      </c>
      <c r="FE73" s="9">
        <v>1286204</v>
      </c>
      <c r="FF73" s="9">
        <v>289844</v>
      </c>
      <c r="FG73" s="9">
        <v>6.1239999999999996E-2</v>
      </c>
      <c r="FH73" s="9">
        <v>5.4803999999999999E-2</v>
      </c>
      <c r="FI73" s="9">
        <v>0</v>
      </c>
      <c r="FJ73" s="9">
        <v>0</v>
      </c>
      <c r="FK73" s="9">
        <v>1655.3110000000001</v>
      </c>
      <c r="FL73" s="9">
        <v>10578821</v>
      </c>
      <c r="FM73" s="9">
        <v>0</v>
      </c>
      <c r="FN73" s="9">
        <v>0</v>
      </c>
      <c r="FO73" s="9">
        <v>0</v>
      </c>
      <c r="FP73" s="9">
        <v>0</v>
      </c>
      <c r="FQ73" s="9">
        <v>0</v>
      </c>
      <c r="FR73" s="9">
        <v>0</v>
      </c>
      <c r="FS73" s="9">
        <v>0</v>
      </c>
      <c r="FT73" s="9">
        <v>0</v>
      </c>
      <c r="FU73" s="9">
        <v>0</v>
      </c>
      <c r="FV73" s="9">
        <v>0</v>
      </c>
      <c r="FW73" s="9">
        <v>0</v>
      </c>
      <c r="FX73" s="9">
        <v>0</v>
      </c>
      <c r="FY73" s="9">
        <v>0</v>
      </c>
      <c r="FZ73" s="9">
        <v>98</v>
      </c>
      <c r="GA73" s="9">
        <v>1.9630000000000001</v>
      </c>
      <c r="GB73" s="9">
        <v>291707</v>
      </c>
      <c r="GC73" s="9">
        <v>291707</v>
      </c>
      <c r="GD73" s="9">
        <v>32.957999999999998</v>
      </c>
      <c r="GE73" s="9">
        <v>0</v>
      </c>
      <c r="GF73" s="9">
        <v>0</v>
      </c>
      <c r="GG73" s="9">
        <v>0</v>
      </c>
      <c r="GH73" s="9">
        <v>0</v>
      </c>
      <c r="GI73" s="9">
        <v>0</v>
      </c>
      <c r="GJ73" s="9">
        <v>0</v>
      </c>
      <c r="GK73" s="9">
        <v>4971</v>
      </c>
      <c r="GL73" s="9">
        <v>0</v>
      </c>
      <c r="GM73" s="9">
        <v>0</v>
      </c>
      <c r="GN73" s="9">
        <v>0</v>
      </c>
      <c r="GO73" s="9">
        <v>0</v>
      </c>
      <c r="GP73" s="9">
        <v>10337960</v>
      </c>
      <c r="GQ73" s="9">
        <v>10337960</v>
      </c>
      <c r="GR73" s="9">
        <v>0</v>
      </c>
      <c r="GS73" s="9">
        <v>0</v>
      </c>
      <c r="GT73" s="9">
        <v>0</v>
      </c>
      <c r="GU73" s="9">
        <v>0</v>
      </c>
      <c r="GV73" s="9">
        <v>0</v>
      </c>
      <c r="GW73" s="9">
        <v>0</v>
      </c>
      <c r="GX73" s="9">
        <v>0</v>
      </c>
      <c r="GY73" s="9">
        <v>0</v>
      </c>
      <c r="GZ73" s="9">
        <v>0</v>
      </c>
      <c r="HA73" s="9">
        <v>0</v>
      </c>
      <c r="HB73" s="9">
        <v>260786259</v>
      </c>
      <c r="HC73" s="9">
        <v>5.0923999999999997E-2</v>
      </c>
      <c r="HD73" s="9">
        <v>240861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32469</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row>
    <row r="74" spans="1:292" x14ac:dyDescent="0.25">
      <c r="A74" s="9">
        <v>61805</v>
      </c>
      <c r="B74" s="9">
        <v>32570</v>
      </c>
      <c r="C74" s="9">
        <v>35</v>
      </c>
      <c r="D74" s="9">
        <v>2022</v>
      </c>
      <c r="E74" s="9">
        <v>5392</v>
      </c>
      <c r="F74" s="9">
        <v>0</v>
      </c>
      <c r="G74" s="9">
        <v>571.09500000000003</v>
      </c>
      <c r="H74" s="9">
        <v>556.61</v>
      </c>
      <c r="I74" s="9">
        <v>556.61</v>
      </c>
      <c r="J74" s="9">
        <v>571.09500000000003</v>
      </c>
      <c r="K74" s="9">
        <v>0</v>
      </c>
      <c r="L74" s="9">
        <v>6554</v>
      </c>
      <c r="M74" s="9">
        <v>0</v>
      </c>
      <c r="N74" s="9">
        <v>0</v>
      </c>
      <c r="O74" s="9">
        <v>0</v>
      </c>
      <c r="P74" s="9">
        <v>577.67700000000002</v>
      </c>
      <c r="Q74" s="9">
        <v>0</v>
      </c>
      <c r="R74" s="9">
        <v>184691</v>
      </c>
      <c r="S74" s="9">
        <v>319.71300000000002</v>
      </c>
      <c r="T74" s="9">
        <v>0</v>
      </c>
      <c r="U74" s="9">
        <v>184691</v>
      </c>
      <c r="V74" s="9">
        <v>26.778000000000002</v>
      </c>
      <c r="W74" s="9">
        <v>17550</v>
      </c>
      <c r="X74" s="9">
        <v>17550</v>
      </c>
      <c r="Y74" s="9">
        <v>0</v>
      </c>
      <c r="Z74" s="9">
        <v>0</v>
      </c>
      <c r="AA74" s="9">
        <v>1</v>
      </c>
      <c r="AB74" s="9">
        <v>1</v>
      </c>
      <c r="AC74" s="9">
        <v>0</v>
      </c>
      <c r="AD74" s="9" t="s">
        <v>314</v>
      </c>
      <c r="AE74" s="9">
        <v>0</v>
      </c>
      <c r="AF74" s="9">
        <v>0</v>
      </c>
      <c r="AG74" s="9">
        <v>0</v>
      </c>
      <c r="AH74" s="9">
        <v>0</v>
      </c>
      <c r="AI74" s="9">
        <v>0</v>
      </c>
      <c r="AJ74" s="9">
        <v>5104</v>
      </c>
      <c r="AK74" s="9" t="s">
        <v>651</v>
      </c>
      <c r="AL74" s="9" t="s">
        <v>384</v>
      </c>
      <c r="AM74" s="9">
        <v>0</v>
      </c>
      <c r="AN74" s="9">
        <v>0</v>
      </c>
      <c r="AO74" s="9">
        <v>0</v>
      </c>
      <c r="AP74" s="9">
        <v>0</v>
      </c>
      <c r="AQ74" s="9">
        <v>0</v>
      </c>
      <c r="AR74" s="9">
        <v>0</v>
      </c>
      <c r="AS74" s="9">
        <v>0</v>
      </c>
      <c r="AT74" s="9">
        <v>0</v>
      </c>
      <c r="AU74" s="9">
        <v>0</v>
      </c>
      <c r="AV74" s="9">
        <v>102</v>
      </c>
      <c r="AW74" s="9">
        <v>4750099</v>
      </c>
      <c r="AX74" s="9">
        <v>4630690</v>
      </c>
      <c r="AY74" s="9">
        <v>4948310</v>
      </c>
      <c r="AZ74" s="9">
        <v>191550</v>
      </c>
      <c r="BA74" s="9">
        <v>0</v>
      </c>
      <c r="BB74" s="9">
        <v>22458</v>
      </c>
      <c r="BC74" s="9">
        <v>22458</v>
      </c>
      <c r="BD74" s="9">
        <v>28.555</v>
      </c>
      <c r="BE74" s="9">
        <v>0</v>
      </c>
      <c r="BF74" s="9">
        <v>3966522</v>
      </c>
      <c r="BG74" s="9">
        <v>0</v>
      </c>
      <c r="BH74" s="9">
        <v>24.943000000000001</v>
      </c>
      <c r="BI74" s="9">
        <v>6859</v>
      </c>
      <c r="BJ74" s="9">
        <v>12</v>
      </c>
      <c r="BK74" s="9">
        <v>0</v>
      </c>
      <c r="BL74" s="9">
        <v>0</v>
      </c>
      <c r="BM74" s="9">
        <v>0</v>
      </c>
      <c r="BN74" s="9">
        <v>0</v>
      </c>
      <c r="BO74" s="9">
        <v>0</v>
      </c>
      <c r="BP74" s="9">
        <v>0</v>
      </c>
      <c r="BQ74" s="9">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112550</v>
      </c>
      <c r="CI74" s="9">
        <v>0</v>
      </c>
      <c r="CJ74" s="9">
        <v>4</v>
      </c>
      <c r="CK74" s="9">
        <v>0</v>
      </c>
      <c r="CL74" s="9">
        <v>0</v>
      </c>
      <c r="CM74" s="9">
        <v>0</v>
      </c>
      <c r="CN74" s="9">
        <v>0</v>
      </c>
      <c r="CO74" s="9">
        <v>0</v>
      </c>
      <c r="CP74" s="9">
        <v>0</v>
      </c>
      <c r="CQ74" s="9">
        <v>0</v>
      </c>
      <c r="CR74" s="9">
        <v>577.67700000000002</v>
      </c>
      <c r="CS74" s="9">
        <v>0</v>
      </c>
      <c r="CT74" s="9">
        <v>0</v>
      </c>
      <c r="CU74" s="9">
        <v>0</v>
      </c>
      <c r="CV74" s="9">
        <v>0</v>
      </c>
      <c r="CW74" s="9">
        <v>0</v>
      </c>
      <c r="CX74" s="9">
        <v>0</v>
      </c>
      <c r="CY74" s="9">
        <v>0</v>
      </c>
      <c r="CZ74" s="9">
        <v>0</v>
      </c>
      <c r="DA74" s="9">
        <v>1</v>
      </c>
      <c r="DB74" s="9">
        <v>3648022</v>
      </c>
      <c r="DC74" s="9">
        <v>0</v>
      </c>
      <c r="DD74" s="9">
        <v>0</v>
      </c>
      <c r="DE74" s="9">
        <v>0</v>
      </c>
      <c r="DF74" s="9">
        <v>0</v>
      </c>
      <c r="DG74" s="9">
        <v>0</v>
      </c>
      <c r="DH74" s="9">
        <v>0</v>
      </c>
      <c r="DI74" s="9">
        <v>0</v>
      </c>
      <c r="DJ74" s="9">
        <v>0</v>
      </c>
      <c r="DK74" s="9">
        <v>5392</v>
      </c>
      <c r="DL74" s="9">
        <v>0</v>
      </c>
      <c r="DM74" s="9">
        <v>387398</v>
      </c>
      <c r="DN74" s="9">
        <v>0</v>
      </c>
      <c r="DO74" s="9">
        <v>0</v>
      </c>
      <c r="DP74" s="9">
        <v>0</v>
      </c>
      <c r="DQ74" s="9">
        <v>0</v>
      </c>
      <c r="DR74" s="9">
        <v>0</v>
      </c>
      <c r="DS74" s="9">
        <v>0</v>
      </c>
      <c r="DT74" s="9">
        <v>0</v>
      </c>
      <c r="DU74" s="9">
        <v>0</v>
      </c>
      <c r="DV74" s="9">
        <v>0</v>
      </c>
      <c r="DW74" s="9">
        <v>0</v>
      </c>
      <c r="DX74" s="9">
        <v>0</v>
      </c>
      <c r="DY74" s="9">
        <v>0</v>
      </c>
      <c r="DZ74" s="9">
        <v>0</v>
      </c>
      <c r="EA74" s="9">
        <v>0</v>
      </c>
      <c r="EB74" s="9">
        <v>0</v>
      </c>
      <c r="EC74" s="9">
        <v>13.047000000000001</v>
      </c>
      <c r="ED74" s="9">
        <v>94061</v>
      </c>
      <c r="EE74" s="9">
        <v>0</v>
      </c>
      <c r="EF74" s="9">
        <v>0</v>
      </c>
      <c r="EG74" s="9">
        <v>0</v>
      </c>
      <c r="EH74" s="9">
        <v>293337</v>
      </c>
      <c r="EI74" s="9">
        <v>0</v>
      </c>
      <c r="EJ74" s="9">
        <v>0</v>
      </c>
      <c r="EK74" s="9">
        <v>13.834000000000001</v>
      </c>
      <c r="EL74" s="9">
        <v>0</v>
      </c>
      <c r="EM74" s="9">
        <v>0</v>
      </c>
      <c r="EN74" s="9">
        <v>0.65100000000000002</v>
      </c>
      <c r="EO74" s="9">
        <v>0</v>
      </c>
      <c r="EP74" s="9">
        <v>0</v>
      </c>
      <c r="EQ74" s="9">
        <v>14.485000000000001</v>
      </c>
      <c r="ER74" s="9">
        <v>0</v>
      </c>
      <c r="ES74" s="9">
        <v>44.757000000000005</v>
      </c>
      <c r="ET74" s="9">
        <v>0</v>
      </c>
      <c r="EU74" s="9">
        <v>191550</v>
      </c>
      <c r="EV74" s="9">
        <v>0</v>
      </c>
      <c r="EW74" s="9">
        <v>0</v>
      </c>
      <c r="EX74" s="9">
        <v>0</v>
      </c>
      <c r="EY74" s="9">
        <v>0</v>
      </c>
      <c r="EZ74" s="9">
        <v>3890737</v>
      </c>
      <c r="FA74" s="9">
        <v>0</v>
      </c>
      <c r="FB74" s="9">
        <v>4082287</v>
      </c>
      <c r="FC74" s="9">
        <v>0.97327799999999998</v>
      </c>
      <c r="FD74" s="9">
        <v>0</v>
      </c>
      <c r="FE74" s="9">
        <v>603871</v>
      </c>
      <c r="FF74" s="9">
        <v>136082</v>
      </c>
      <c r="FG74" s="9">
        <v>6.1239999999999996E-2</v>
      </c>
      <c r="FH74" s="9">
        <v>5.4803999999999999E-2</v>
      </c>
      <c r="FI74" s="9">
        <v>0</v>
      </c>
      <c r="FJ74" s="9">
        <v>0</v>
      </c>
      <c r="FK74" s="9">
        <v>777.16700000000003</v>
      </c>
      <c r="FL74" s="9">
        <v>4934790</v>
      </c>
      <c r="FM74" s="9">
        <v>0</v>
      </c>
      <c r="FN74" s="9">
        <v>0</v>
      </c>
      <c r="FO74" s="9">
        <v>0</v>
      </c>
      <c r="FP74" s="9">
        <v>0</v>
      </c>
      <c r="FQ74" s="9">
        <v>0</v>
      </c>
      <c r="FR74" s="9">
        <v>0</v>
      </c>
      <c r="FS74" s="9">
        <v>0</v>
      </c>
      <c r="FT74" s="9">
        <v>0</v>
      </c>
      <c r="FU74" s="9">
        <v>0</v>
      </c>
      <c r="FV74" s="9">
        <v>0</v>
      </c>
      <c r="FW74" s="9">
        <v>0</v>
      </c>
      <c r="FX74" s="9">
        <v>0</v>
      </c>
      <c r="FY74" s="9">
        <v>0</v>
      </c>
      <c r="FZ74" s="9">
        <v>0</v>
      </c>
      <c r="GA74" s="9">
        <v>0</v>
      </c>
      <c r="GB74" s="9">
        <v>0</v>
      </c>
      <c r="GC74" s="9">
        <v>0</v>
      </c>
      <c r="GD74" s="9">
        <v>0</v>
      </c>
      <c r="GE74" s="9">
        <v>0</v>
      </c>
      <c r="GF74" s="9">
        <v>0</v>
      </c>
      <c r="GG74" s="9">
        <v>0</v>
      </c>
      <c r="GH74" s="9">
        <v>0</v>
      </c>
      <c r="GI74" s="9">
        <v>0</v>
      </c>
      <c r="GJ74" s="9">
        <v>0</v>
      </c>
      <c r="GK74" s="9">
        <v>0</v>
      </c>
      <c r="GL74" s="9">
        <v>0</v>
      </c>
      <c r="GM74" s="9">
        <v>0</v>
      </c>
      <c r="GN74" s="9">
        <v>0</v>
      </c>
      <c r="GO74" s="9">
        <v>0</v>
      </c>
      <c r="GP74" s="9">
        <v>4822240</v>
      </c>
      <c r="GQ74" s="9">
        <v>4822240</v>
      </c>
      <c r="GR74" s="9">
        <v>0</v>
      </c>
      <c r="GS74" s="9">
        <v>0</v>
      </c>
      <c r="GT74" s="9">
        <v>0</v>
      </c>
      <c r="GU74" s="9">
        <v>0</v>
      </c>
      <c r="GV74" s="9">
        <v>0</v>
      </c>
      <c r="GW74" s="9">
        <v>0</v>
      </c>
      <c r="GX74" s="9">
        <v>0</v>
      </c>
      <c r="GY74" s="9">
        <v>0</v>
      </c>
      <c r="GZ74" s="9">
        <v>0</v>
      </c>
      <c r="HA74" s="9">
        <v>0</v>
      </c>
      <c r="HB74" s="9">
        <v>260786259</v>
      </c>
      <c r="HC74" s="9">
        <v>5.0923999999999997E-2</v>
      </c>
      <c r="HD74" s="9">
        <v>112550</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32469</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row>
    <row r="75" spans="1:292" x14ac:dyDescent="0.25">
      <c r="A75" s="9">
        <v>68802</v>
      </c>
      <c r="B75" s="9">
        <v>32570</v>
      </c>
      <c r="C75" s="9">
        <v>35</v>
      </c>
      <c r="D75" s="9">
        <v>2022</v>
      </c>
      <c r="E75" s="9">
        <v>5392</v>
      </c>
      <c r="F75" s="9">
        <v>0</v>
      </c>
      <c r="G75" s="9">
        <v>1182.3579999999999</v>
      </c>
      <c r="H75" s="9">
        <v>1164.3610000000001</v>
      </c>
      <c r="I75" s="9">
        <v>1164.3610000000001</v>
      </c>
      <c r="J75" s="9">
        <v>1182.3579999999999</v>
      </c>
      <c r="K75" s="9">
        <v>0</v>
      </c>
      <c r="L75" s="9">
        <v>6554</v>
      </c>
      <c r="M75" s="9">
        <v>0</v>
      </c>
      <c r="N75" s="9">
        <v>0</v>
      </c>
      <c r="O75" s="9">
        <v>0</v>
      </c>
      <c r="P75" s="9">
        <v>1062.636</v>
      </c>
      <c r="Q75" s="9">
        <v>0</v>
      </c>
      <c r="R75" s="9">
        <v>339739</v>
      </c>
      <c r="S75" s="9">
        <v>319.71300000000002</v>
      </c>
      <c r="T75" s="9">
        <v>0</v>
      </c>
      <c r="U75" s="9">
        <v>339739</v>
      </c>
      <c r="V75" s="9">
        <v>0</v>
      </c>
      <c r="W75" s="9">
        <v>0</v>
      </c>
      <c r="X75" s="9">
        <v>0</v>
      </c>
      <c r="Y75" s="9">
        <v>0</v>
      </c>
      <c r="Z75" s="9">
        <v>0</v>
      </c>
      <c r="AA75" s="9">
        <v>1</v>
      </c>
      <c r="AB75" s="9">
        <v>1</v>
      </c>
      <c r="AC75" s="9">
        <v>0</v>
      </c>
      <c r="AD75" s="9" t="s">
        <v>314</v>
      </c>
      <c r="AE75" s="9">
        <v>0</v>
      </c>
      <c r="AF75" s="9">
        <v>0</v>
      </c>
      <c r="AG75" s="9">
        <v>0</v>
      </c>
      <c r="AH75" s="9">
        <v>0</v>
      </c>
      <c r="AI75" s="9">
        <v>0</v>
      </c>
      <c r="AJ75" s="9">
        <v>5104</v>
      </c>
      <c r="AK75" s="9" t="s">
        <v>651</v>
      </c>
      <c r="AL75" s="9" t="s">
        <v>335</v>
      </c>
      <c r="AM75" s="9">
        <v>0</v>
      </c>
      <c r="AN75" s="9">
        <v>0</v>
      </c>
      <c r="AO75" s="9">
        <v>0</v>
      </c>
      <c r="AP75" s="9">
        <v>0</v>
      </c>
      <c r="AQ75" s="9">
        <v>0</v>
      </c>
      <c r="AR75" s="9">
        <v>0</v>
      </c>
      <c r="AS75" s="9">
        <v>0</v>
      </c>
      <c r="AT75" s="9">
        <v>0</v>
      </c>
      <c r="AU75" s="9">
        <v>0</v>
      </c>
      <c r="AV75" s="9">
        <v>-9905</v>
      </c>
      <c r="AW75" s="9">
        <v>10081214</v>
      </c>
      <c r="AX75" s="9">
        <v>9807085</v>
      </c>
      <c r="AY75" s="9">
        <v>10362425</v>
      </c>
      <c r="AZ75" s="9">
        <v>380852</v>
      </c>
      <c r="BA75" s="9">
        <v>0</v>
      </c>
      <c r="BB75" s="9">
        <v>9430</v>
      </c>
      <c r="BC75" s="9">
        <v>9430</v>
      </c>
      <c r="BD75" s="9">
        <v>11.99</v>
      </c>
      <c r="BE75" s="9">
        <v>0</v>
      </c>
      <c r="BF75" s="9">
        <v>8358136</v>
      </c>
      <c r="BG75" s="9">
        <v>0</v>
      </c>
      <c r="BH75" s="9">
        <v>149.50200000000001</v>
      </c>
      <c r="BI75" s="9">
        <v>41113</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9">
        <v>233016</v>
      </c>
      <c r="CI75" s="9">
        <v>0</v>
      </c>
      <c r="CJ75" s="9">
        <v>5</v>
      </c>
      <c r="CK75" s="9">
        <v>0</v>
      </c>
      <c r="CL75" s="9">
        <v>0</v>
      </c>
      <c r="CM75" s="9">
        <v>0</v>
      </c>
      <c r="CN75" s="9">
        <v>0</v>
      </c>
      <c r="CO75" s="9">
        <v>0</v>
      </c>
      <c r="CP75" s="9">
        <v>0</v>
      </c>
      <c r="CQ75" s="9">
        <v>0</v>
      </c>
      <c r="CR75" s="9">
        <v>1062.636</v>
      </c>
      <c r="CS75" s="9">
        <v>0</v>
      </c>
      <c r="CT75" s="9">
        <v>0</v>
      </c>
      <c r="CU75" s="9">
        <v>0</v>
      </c>
      <c r="CV75" s="9">
        <v>0</v>
      </c>
      <c r="CW75" s="9">
        <v>0</v>
      </c>
      <c r="CX75" s="9">
        <v>0</v>
      </c>
      <c r="CY75" s="9">
        <v>0</v>
      </c>
      <c r="CZ75" s="9">
        <v>0</v>
      </c>
      <c r="DA75" s="9">
        <v>1</v>
      </c>
      <c r="DB75" s="9">
        <v>7631222</v>
      </c>
      <c r="DC75" s="9">
        <v>0</v>
      </c>
      <c r="DD75" s="9">
        <v>0</v>
      </c>
      <c r="DE75" s="9">
        <v>259538</v>
      </c>
      <c r="DF75" s="9">
        <v>259538</v>
      </c>
      <c r="DG75" s="9">
        <v>198</v>
      </c>
      <c r="DH75" s="9">
        <v>0</v>
      </c>
      <c r="DI75" s="9">
        <v>0</v>
      </c>
      <c r="DJ75" s="9">
        <v>0</v>
      </c>
      <c r="DK75" s="9">
        <v>5392</v>
      </c>
      <c r="DL75" s="9">
        <v>0</v>
      </c>
      <c r="DM75" s="9">
        <v>687428</v>
      </c>
      <c r="DN75" s="9">
        <v>0</v>
      </c>
      <c r="DO75" s="9">
        <v>0</v>
      </c>
      <c r="DP75" s="9">
        <v>0</v>
      </c>
      <c r="DQ75" s="9">
        <v>0</v>
      </c>
      <c r="DR75" s="9">
        <v>0</v>
      </c>
      <c r="DS75" s="9">
        <v>0</v>
      </c>
      <c r="DT75" s="9">
        <v>0</v>
      </c>
      <c r="DU75" s="9">
        <v>0</v>
      </c>
      <c r="DV75" s="9">
        <v>0</v>
      </c>
      <c r="DW75" s="9">
        <v>0</v>
      </c>
      <c r="DX75" s="9">
        <v>0</v>
      </c>
      <c r="DY75" s="9">
        <v>0</v>
      </c>
      <c r="DZ75" s="9">
        <v>0</v>
      </c>
      <c r="EA75" s="9">
        <v>0</v>
      </c>
      <c r="EB75" s="9">
        <v>0</v>
      </c>
      <c r="EC75" s="9">
        <v>43.249000000000002</v>
      </c>
      <c r="ED75" s="9">
        <v>311799</v>
      </c>
      <c r="EE75" s="9">
        <v>0</v>
      </c>
      <c r="EF75" s="9">
        <v>0</v>
      </c>
      <c r="EG75" s="9">
        <v>0</v>
      </c>
      <c r="EH75" s="9">
        <v>375629</v>
      </c>
      <c r="EI75" s="9">
        <v>0</v>
      </c>
      <c r="EJ75" s="9">
        <v>0</v>
      </c>
      <c r="EK75" s="9">
        <v>16.336000000000002</v>
      </c>
      <c r="EL75" s="9">
        <v>0</v>
      </c>
      <c r="EM75" s="9">
        <v>0</v>
      </c>
      <c r="EN75" s="9">
        <v>1.661</v>
      </c>
      <c r="EO75" s="9">
        <v>0</v>
      </c>
      <c r="EP75" s="9">
        <v>0</v>
      </c>
      <c r="EQ75" s="9">
        <v>17.997</v>
      </c>
      <c r="ER75" s="9">
        <v>0</v>
      </c>
      <c r="ES75" s="9">
        <v>57.313000000000002</v>
      </c>
      <c r="ET75" s="9">
        <v>0</v>
      </c>
      <c r="EU75" s="9">
        <v>380852</v>
      </c>
      <c r="EV75" s="9">
        <v>0</v>
      </c>
      <c r="EW75" s="9">
        <v>0</v>
      </c>
      <c r="EX75" s="9">
        <v>0</v>
      </c>
      <c r="EY75" s="9">
        <v>0</v>
      </c>
      <c r="EZ75" s="9">
        <v>8247879</v>
      </c>
      <c r="FA75" s="9">
        <v>0</v>
      </c>
      <c r="FB75" s="9">
        <v>8628731</v>
      </c>
      <c r="FC75" s="9">
        <v>0.97327799999999998</v>
      </c>
      <c r="FD75" s="9">
        <v>0</v>
      </c>
      <c r="FE75" s="9">
        <v>1272459</v>
      </c>
      <c r="FF75" s="9">
        <v>286747</v>
      </c>
      <c r="FG75" s="9">
        <v>6.1239999999999996E-2</v>
      </c>
      <c r="FH75" s="9">
        <v>5.4803999999999999E-2</v>
      </c>
      <c r="FI75" s="9">
        <v>0</v>
      </c>
      <c r="FJ75" s="9">
        <v>0</v>
      </c>
      <c r="FK75" s="9">
        <v>1637.6220000000001</v>
      </c>
      <c r="FL75" s="9">
        <v>10420953</v>
      </c>
      <c r="FM75" s="9">
        <v>0</v>
      </c>
      <c r="FN75" s="9">
        <v>0</v>
      </c>
      <c r="FO75" s="9">
        <v>0</v>
      </c>
      <c r="FP75" s="9">
        <v>0</v>
      </c>
      <c r="FQ75" s="9">
        <v>0</v>
      </c>
      <c r="FR75" s="9">
        <v>0</v>
      </c>
      <c r="FS75" s="9">
        <v>0</v>
      </c>
      <c r="FT75" s="9">
        <v>0</v>
      </c>
      <c r="FU75" s="9">
        <v>0</v>
      </c>
      <c r="FV75" s="9">
        <v>0</v>
      </c>
      <c r="FW75" s="9">
        <v>0</v>
      </c>
      <c r="FX75" s="9">
        <v>0</v>
      </c>
      <c r="FY75" s="9">
        <v>0</v>
      </c>
      <c r="FZ75" s="9">
        <v>0</v>
      </c>
      <c r="GA75" s="9">
        <v>0</v>
      </c>
      <c r="GB75" s="9">
        <v>0</v>
      </c>
      <c r="GC75" s="9">
        <v>0</v>
      </c>
      <c r="GD75" s="9">
        <v>0</v>
      </c>
      <c r="GE75" s="9">
        <v>0</v>
      </c>
      <c r="GF75" s="9">
        <v>0</v>
      </c>
      <c r="GG75" s="9">
        <v>0</v>
      </c>
      <c r="GH75" s="9">
        <v>0</v>
      </c>
      <c r="GI75" s="9">
        <v>0</v>
      </c>
      <c r="GJ75" s="9">
        <v>0</v>
      </c>
      <c r="GK75" s="9">
        <v>4971</v>
      </c>
      <c r="GL75" s="9">
        <v>0</v>
      </c>
      <c r="GM75" s="9">
        <v>0</v>
      </c>
      <c r="GN75" s="9">
        <v>0</v>
      </c>
      <c r="GO75" s="9">
        <v>0</v>
      </c>
      <c r="GP75" s="9">
        <v>10187937</v>
      </c>
      <c r="GQ75" s="9">
        <v>10187937</v>
      </c>
      <c r="GR75" s="9">
        <v>0</v>
      </c>
      <c r="GS75" s="9">
        <v>0</v>
      </c>
      <c r="GT75" s="9">
        <v>0</v>
      </c>
      <c r="GU75" s="9">
        <v>0</v>
      </c>
      <c r="GV75" s="9">
        <v>0</v>
      </c>
      <c r="GW75" s="9">
        <v>0</v>
      </c>
      <c r="GX75" s="9">
        <v>0</v>
      </c>
      <c r="GY75" s="9">
        <v>0</v>
      </c>
      <c r="GZ75" s="9">
        <v>0</v>
      </c>
      <c r="HA75" s="9">
        <v>0</v>
      </c>
      <c r="HB75" s="9">
        <v>260786259</v>
      </c>
      <c r="HC75" s="9">
        <v>5.0923999999999997E-2</v>
      </c>
      <c r="HD75" s="9">
        <v>233016</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32469</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row>
    <row r="76" spans="1:292" x14ac:dyDescent="0.25">
      <c r="A76" s="9">
        <v>68803</v>
      </c>
      <c r="B76" s="9">
        <v>32570</v>
      </c>
      <c r="C76" s="9">
        <v>35</v>
      </c>
      <c r="D76" s="9">
        <v>2022</v>
      </c>
      <c r="E76" s="9">
        <v>5392</v>
      </c>
      <c r="F76" s="9">
        <v>0</v>
      </c>
      <c r="G76" s="9">
        <v>725.88499999999999</v>
      </c>
      <c r="H76" s="9">
        <v>685.65200000000004</v>
      </c>
      <c r="I76" s="9">
        <v>685.65200000000004</v>
      </c>
      <c r="J76" s="9">
        <v>725.88499999999999</v>
      </c>
      <c r="K76" s="9">
        <v>0</v>
      </c>
      <c r="L76" s="9">
        <v>6554</v>
      </c>
      <c r="M76" s="9">
        <v>0</v>
      </c>
      <c r="N76" s="9">
        <v>0</v>
      </c>
      <c r="O76" s="9">
        <v>0</v>
      </c>
      <c r="P76" s="9">
        <v>686.37599999999998</v>
      </c>
      <c r="Q76" s="9">
        <v>0</v>
      </c>
      <c r="R76" s="9">
        <v>219443</v>
      </c>
      <c r="S76" s="9">
        <v>319.71300000000002</v>
      </c>
      <c r="T76" s="9">
        <v>0</v>
      </c>
      <c r="U76" s="9">
        <v>219443</v>
      </c>
      <c r="V76" s="9">
        <v>17.532</v>
      </c>
      <c r="W76" s="9">
        <v>11490</v>
      </c>
      <c r="X76" s="9">
        <v>11490</v>
      </c>
      <c r="Y76" s="9">
        <v>0</v>
      </c>
      <c r="Z76" s="9">
        <v>0</v>
      </c>
      <c r="AA76" s="9">
        <v>1</v>
      </c>
      <c r="AB76" s="9">
        <v>1</v>
      </c>
      <c r="AC76" s="9">
        <v>0</v>
      </c>
      <c r="AD76" s="9" t="s">
        <v>314</v>
      </c>
      <c r="AE76" s="9">
        <v>0</v>
      </c>
      <c r="AF76" s="9">
        <v>0</v>
      </c>
      <c r="AG76" s="9">
        <v>0</v>
      </c>
      <c r="AH76" s="9">
        <v>0</v>
      </c>
      <c r="AI76" s="9">
        <v>0</v>
      </c>
      <c r="AJ76" s="9">
        <v>5104</v>
      </c>
      <c r="AK76" s="9" t="s">
        <v>651</v>
      </c>
      <c r="AL76" s="9" t="s">
        <v>336</v>
      </c>
      <c r="AM76" s="9">
        <v>0</v>
      </c>
      <c r="AN76" s="9">
        <v>0</v>
      </c>
      <c r="AO76" s="9">
        <v>0</v>
      </c>
      <c r="AP76" s="9">
        <v>0</v>
      </c>
      <c r="AQ76" s="9">
        <v>0</v>
      </c>
      <c r="AR76" s="9">
        <v>0</v>
      </c>
      <c r="AS76" s="9">
        <v>0</v>
      </c>
      <c r="AT76" s="9">
        <v>0</v>
      </c>
      <c r="AU76" s="9">
        <v>0</v>
      </c>
      <c r="AV76" s="9">
        <v>54998</v>
      </c>
      <c r="AW76" s="9">
        <v>6182827</v>
      </c>
      <c r="AX76" s="9">
        <v>5997665</v>
      </c>
      <c r="AY76" s="9">
        <v>6390667</v>
      </c>
      <c r="AZ76" s="9">
        <v>261549</v>
      </c>
      <c r="BA76" s="9">
        <v>0</v>
      </c>
      <c r="BB76" s="9">
        <v>28545</v>
      </c>
      <c r="BC76" s="9">
        <v>28545</v>
      </c>
      <c r="BD76" s="9">
        <v>36.294000000000004</v>
      </c>
      <c r="BE76" s="9">
        <v>0</v>
      </c>
      <c r="BF76" s="9">
        <v>5121153</v>
      </c>
      <c r="BG76" s="9">
        <v>0</v>
      </c>
      <c r="BH76" s="9">
        <v>153.113</v>
      </c>
      <c r="BI76" s="9">
        <v>42106</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143056</v>
      </c>
      <c r="CI76" s="9">
        <v>0</v>
      </c>
      <c r="CJ76" s="9">
        <v>4</v>
      </c>
      <c r="CK76" s="9">
        <v>0</v>
      </c>
      <c r="CL76" s="9">
        <v>0</v>
      </c>
      <c r="CM76" s="9">
        <v>0</v>
      </c>
      <c r="CN76" s="9">
        <v>0</v>
      </c>
      <c r="CO76" s="9">
        <v>0</v>
      </c>
      <c r="CP76" s="9">
        <v>0</v>
      </c>
      <c r="CQ76" s="9">
        <v>0</v>
      </c>
      <c r="CR76" s="9">
        <v>686.37599999999998</v>
      </c>
      <c r="CS76" s="9">
        <v>0</v>
      </c>
      <c r="CT76" s="9">
        <v>0</v>
      </c>
      <c r="CU76" s="9">
        <v>0</v>
      </c>
      <c r="CV76" s="9">
        <v>0</v>
      </c>
      <c r="CW76" s="9">
        <v>0</v>
      </c>
      <c r="CX76" s="9">
        <v>0</v>
      </c>
      <c r="CY76" s="9">
        <v>0</v>
      </c>
      <c r="CZ76" s="9">
        <v>0</v>
      </c>
      <c r="DA76" s="9">
        <v>1</v>
      </c>
      <c r="DB76" s="9">
        <v>4493763</v>
      </c>
      <c r="DC76" s="9">
        <v>0</v>
      </c>
      <c r="DD76" s="9">
        <v>0</v>
      </c>
      <c r="DE76" s="9">
        <v>178269</v>
      </c>
      <c r="DF76" s="9">
        <v>178269</v>
      </c>
      <c r="DG76" s="9">
        <v>136</v>
      </c>
      <c r="DH76" s="9">
        <v>0</v>
      </c>
      <c r="DI76" s="9">
        <v>0</v>
      </c>
      <c r="DJ76" s="9">
        <v>0</v>
      </c>
      <c r="DK76" s="9">
        <v>5392</v>
      </c>
      <c r="DL76" s="9">
        <v>0</v>
      </c>
      <c r="DM76" s="9">
        <v>200913</v>
      </c>
      <c r="DN76" s="9">
        <v>0</v>
      </c>
      <c r="DO76" s="9">
        <v>0</v>
      </c>
      <c r="DP76" s="9">
        <v>0</v>
      </c>
      <c r="DQ76" s="9">
        <v>0</v>
      </c>
      <c r="DR76" s="9">
        <v>0</v>
      </c>
      <c r="DS76" s="9">
        <v>0</v>
      </c>
      <c r="DT76" s="9">
        <v>0</v>
      </c>
      <c r="DU76" s="9">
        <v>0</v>
      </c>
      <c r="DV76" s="9">
        <v>0</v>
      </c>
      <c r="DW76" s="9">
        <v>0</v>
      </c>
      <c r="DX76" s="9">
        <v>0</v>
      </c>
      <c r="DY76" s="9">
        <v>0</v>
      </c>
      <c r="DZ76" s="9">
        <v>0</v>
      </c>
      <c r="EA76" s="9">
        <v>0</v>
      </c>
      <c r="EB76" s="9">
        <v>0</v>
      </c>
      <c r="EC76" s="9">
        <v>24.1</v>
      </c>
      <c r="ED76" s="9">
        <v>173747</v>
      </c>
      <c r="EE76" s="9">
        <v>0</v>
      </c>
      <c r="EF76" s="9">
        <v>0</v>
      </c>
      <c r="EG76" s="9">
        <v>0</v>
      </c>
      <c r="EH76" s="9">
        <v>27166</v>
      </c>
      <c r="EI76" s="9">
        <v>0</v>
      </c>
      <c r="EJ76" s="9">
        <v>0</v>
      </c>
      <c r="EK76" s="9">
        <v>0</v>
      </c>
      <c r="EL76" s="9">
        <v>0</v>
      </c>
      <c r="EM76" s="9">
        <v>0</v>
      </c>
      <c r="EN76" s="9">
        <v>0.82900000000000007</v>
      </c>
      <c r="EO76" s="9">
        <v>0</v>
      </c>
      <c r="EP76" s="9">
        <v>0</v>
      </c>
      <c r="EQ76" s="9">
        <v>0.82900000000000007</v>
      </c>
      <c r="ER76" s="9">
        <v>0</v>
      </c>
      <c r="ES76" s="9">
        <v>4.1450000000000005</v>
      </c>
      <c r="ET76" s="9">
        <v>0</v>
      </c>
      <c r="EU76" s="9">
        <v>261549</v>
      </c>
      <c r="EV76" s="9">
        <v>0</v>
      </c>
      <c r="EW76" s="9">
        <v>0</v>
      </c>
      <c r="EX76" s="9">
        <v>0</v>
      </c>
      <c r="EY76" s="9">
        <v>0</v>
      </c>
      <c r="EZ76" s="9">
        <v>5042317</v>
      </c>
      <c r="FA76" s="9">
        <v>0</v>
      </c>
      <c r="FB76" s="9">
        <v>5303866</v>
      </c>
      <c r="FC76" s="9">
        <v>0.97327799999999998</v>
      </c>
      <c r="FD76" s="9">
        <v>0</v>
      </c>
      <c r="FE76" s="9">
        <v>779654</v>
      </c>
      <c r="FF76" s="9">
        <v>175694</v>
      </c>
      <c r="FG76" s="9">
        <v>6.1239999999999996E-2</v>
      </c>
      <c r="FH76" s="9">
        <v>5.4803999999999999E-2</v>
      </c>
      <c r="FI76" s="9">
        <v>0</v>
      </c>
      <c r="FJ76" s="9">
        <v>0</v>
      </c>
      <c r="FK76" s="9">
        <v>1003.3950000000001</v>
      </c>
      <c r="FL76" s="9">
        <v>6402270</v>
      </c>
      <c r="FM76" s="9">
        <v>0</v>
      </c>
      <c r="FN76" s="9">
        <v>0</v>
      </c>
      <c r="FO76" s="9">
        <v>0</v>
      </c>
      <c r="FP76" s="9">
        <v>0</v>
      </c>
      <c r="FQ76" s="9">
        <v>0</v>
      </c>
      <c r="FR76" s="9">
        <v>0</v>
      </c>
      <c r="FS76" s="9">
        <v>0</v>
      </c>
      <c r="FT76" s="9">
        <v>0</v>
      </c>
      <c r="FU76" s="9">
        <v>0</v>
      </c>
      <c r="FV76" s="9">
        <v>0</v>
      </c>
      <c r="FW76" s="9">
        <v>0</v>
      </c>
      <c r="FX76" s="9">
        <v>0</v>
      </c>
      <c r="FY76" s="9">
        <v>0</v>
      </c>
      <c r="FZ76" s="9">
        <v>137</v>
      </c>
      <c r="GA76" s="9">
        <v>2.7470000000000003</v>
      </c>
      <c r="GB76" s="9">
        <v>348780</v>
      </c>
      <c r="GC76" s="9">
        <v>348780</v>
      </c>
      <c r="GD76" s="9">
        <v>39.404000000000003</v>
      </c>
      <c r="GE76" s="9">
        <v>0</v>
      </c>
      <c r="GF76" s="9">
        <v>0</v>
      </c>
      <c r="GG76" s="9">
        <v>0</v>
      </c>
      <c r="GH76" s="9">
        <v>0</v>
      </c>
      <c r="GI76" s="9">
        <v>0</v>
      </c>
      <c r="GJ76" s="9">
        <v>0</v>
      </c>
      <c r="GK76" s="9">
        <v>0</v>
      </c>
      <c r="GL76" s="9">
        <v>0</v>
      </c>
      <c r="GM76" s="9">
        <v>0</v>
      </c>
      <c r="GN76" s="9">
        <v>0</v>
      </c>
      <c r="GO76" s="9">
        <v>0</v>
      </c>
      <c r="GP76" s="9">
        <v>6259214</v>
      </c>
      <c r="GQ76" s="9">
        <v>6259214</v>
      </c>
      <c r="GR76" s="9">
        <v>0</v>
      </c>
      <c r="GS76" s="9">
        <v>0</v>
      </c>
      <c r="GT76" s="9">
        <v>0</v>
      </c>
      <c r="GU76" s="9">
        <v>0</v>
      </c>
      <c r="GV76" s="9">
        <v>0</v>
      </c>
      <c r="GW76" s="9">
        <v>0</v>
      </c>
      <c r="GX76" s="9">
        <v>0</v>
      </c>
      <c r="GY76" s="9">
        <v>0</v>
      </c>
      <c r="GZ76" s="9">
        <v>0</v>
      </c>
      <c r="HA76" s="9">
        <v>0</v>
      </c>
      <c r="HB76" s="9">
        <v>260786259</v>
      </c>
      <c r="HC76" s="9">
        <v>5.0923999999999997E-2</v>
      </c>
      <c r="HD76" s="9">
        <v>143056</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32469</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row>
    <row r="77" spans="1:292" ht="13" x14ac:dyDescent="0.3">
      <c r="A77" s="9">
        <v>70801</v>
      </c>
      <c r="B77" s="9">
        <v>32570</v>
      </c>
      <c r="C77" s="9">
        <v>35</v>
      </c>
      <c r="D77" s="9">
        <v>2022</v>
      </c>
      <c r="E77" s="9">
        <v>5392</v>
      </c>
      <c r="F77" s="9">
        <v>0</v>
      </c>
      <c r="G77" s="9">
        <v>2376.0170000000003</v>
      </c>
      <c r="H77" s="9">
        <v>2236.8240000000001</v>
      </c>
      <c r="I77" s="9">
        <v>2236.8240000000001</v>
      </c>
      <c r="J77" s="9">
        <v>2376.0170000000003</v>
      </c>
      <c r="K77" s="9">
        <v>0</v>
      </c>
      <c r="L77" s="9">
        <v>6554</v>
      </c>
      <c r="M77" s="9">
        <v>0</v>
      </c>
      <c r="N77" s="9">
        <v>0</v>
      </c>
      <c r="O77" s="9">
        <v>0</v>
      </c>
      <c r="P77" s="9">
        <v>2360.5080000000003</v>
      </c>
      <c r="Q77" s="9">
        <v>0</v>
      </c>
      <c r="R77" s="10">
        <v>754685</v>
      </c>
      <c r="S77" s="9">
        <v>319.71300000000002</v>
      </c>
      <c r="T77" s="9">
        <v>0</v>
      </c>
      <c r="U77" s="10">
        <v>754685</v>
      </c>
      <c r="V77" s="10">
        <v>1104.6580000000001</v>
      </c>
      <c r="W77" s="10">
        <v>723993</v>
      </c>
      <c r="X77" s="10">
        <v>723993</v>
      </c>
      <c r="Y77" s="9">
        <v>0</v>
      </c>
      <c r="Z77" s="9">
        <v>0</v>
      </c>
      <c r="AA77" s="9">
        <v>1</v>
      </c>
      <c r="AB77" s="9">
        <v>1</v>
      </c>
      <c r="AC77" s="9">
        <v>0</v>
      </c>
      <c r="AD77" s="9" t="s">
        <v>314</v>
      </c>
      <c r="AE77" s="9">
        <v>0</v>
      </c>
      <c r="AF77" s="9">
        <v>0</v>
      </c>
      <c r="AG77" s="9">
        <v>0</v>
      </c>
      <c r="AH77" s="9">
        <v>0</v>
      </c>
      <c r="AI77" s="9">
        <v>0</v>
      </c>
      <c r="AJ77" s="9">
        <v>5104</v>
      </c>
      <c r="AK77" s="9" t="s">
        <v>651</v>
      </c>
      <c r="AL77" s="9" t="s">
        <v>49</v>
      </c>
      <c r="AM77" s="9">
        <v>0</v>
      </c>
      <c r="AN77" s="9">
        <v>0</v>
      </c>
      <c r="AO77" s="9">
        <v>0</v>
      </c>
      <c r="AP77" s="9">
        <v>0</v>
      </c>
      <c r="AQ77" s="9">
        <v>0</v>
      </c>
      <c r="AR77" s="9">
        <v>0</v>
      </c>
      <c r="AS77" s="9">
        <v>0</v>
      </c>
      <c r="AT77" s="9">
        <v>0</v>
      </c>
      <c r="AU77" s="9">
        <v>0</v>
      </c>
      <c r="AV77" s="9">
        <v>1272110</v>
      </c>
      <c r="AW77" s="9">
        <v>24738742</v>
      </c>
      <c r="AX77" s="9">
        <v>24041245</v>
      </c>
      <c r="AY77" s="9">
        <v>26795816</v>
      </c>
      <c r="AZ77" s="9">
        <v>907526</v>
      </c>
      <c r="BA77" s="10">
        <v>150.083</v>
      </c>
      <c r="BB77" s="9">
        <v>61154</v>
      </c>
      <c r="BC77" s="9">
        <v>61154</v>
      </c>
      <c r="BD77" s="9">
        <v>77.756</v>
      </c>
      <c r="BE77" s="9">
        <v>0</v>
      </c>
      <c r="BF77" s="9">
        <v>20383893</v>
      </c>
      <c r="BG77" s="9">
        <v>0</v>
      </c>
      <c r="BH77" s="10">
        <v>555.78700000000003</v>
      </c>
      <c r="BI77" s="10">
        <v>152841</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544656</v>
      </c>
      <c r="CI77" s="9">
        <v>0</v>
      </c>
      <c r="CJ77" s="9">
        <v>4</v>
      </c>
      <c r="CK77" s="9">
        <v>0</v>
      </c>
      <c r="CL77" s="9">
        <v>0</v>
      </c>
      <c r="CM77" s="9">
        <v>0</v>
      </c>
      <c r="CN77" s="9">
        <v>0</v>
      </c>
      <c r="CO77" s="9">
        <v>0</v>
      </c>
      <c r="CP77" s="9">
        <v>0</v>
      </c>
      <c r="CQ77" s="9">
        <v>5.4170000000000007</v>
      </c>
      <c r="CR77" s="9">
        <v>2360.5080000000003</v>
      </c>
      <c r="CS77" s="9">
        <v>0</v>
      </c>
      <c r="CT77" s="9">
        <v>0</v>
      </c>
      <c r="CU77" s="9">
        <v>0</v>
      </c>
      <c r="CV77" s="9">
        <v>0</v>
      </c>
      <c r="CW77" s="9">
        <v>0</v>
      </c>
      <c r="CX77" s="9">
        <v>0</v>
      </c>
      <c r="CY77" s="9">
        <v>0</v>
      </c>
      <c r="CZ77" s="9">
        <v>0</v>
      </c>
      <c r="DA77" s="9">
        <v>1</v>
      </c>
      <c r="DB77" s="9">
        <v>14660144</v>
      </c>
      <c r="DC77" s="9">
        <v>0</v>
      </c>
      <c r="DD77" s="9">
        <v>0</v>
      </c>
      <c r="DE77" s="9">
        <v>3435384</v>
      </c>
      <c r="DF77" s="9">
        <v>3435384</v>
      </c>
      <c r="DG77" s="9">
        <v>2620.83</v>
      </c>
      <c r="DH77" s="9">
        <v>0</v>
      </c>
      <c r="DI77" s="9">
        <v>0</v>
      </c>
      <c r="DJ77" s="9">
        <v>0</v>
      </c>
      <c r="DK77" s="9">
        <v>5392</v>
      </c>
      <c r="DL77" s="9">
        <v>0</v>
      </c>
      <c r="DM77" s="9">
        <v>1240908</v>
      </c>
      <c r="DN77" s="9">
        <v>0</v>
      </c>
      <c r="DO77" s="9">
        <v>0</v>
      </c>
      <c r="DP77" s="9">
        <v>0</v>
      </c>
      <c r="DQ77" s="9">
        <v>0</v>
      </c>
      <c r="DR77" s="9">
        <v>0</v>
      </c>
      <c r="DS77" s="9">
        <v>0</v>
      </c>
      <c r="DT77" s="9">
        <v>0</v>
      </c>
      <c r="DU77" s="9">
        <v>0</v>
      </c>
      <c r="DV77" s="9">
        <v>0</v>
      </c>
      <c r="DW77" s="9">
        <v>0</v>
      </c>
      <c r="DX77" s="9">
        <v>0</v>
      </c>
      <c r="DY77" s="9">
        <v>0</v>
      </c>
      <c r="DZ77" s="9">
        <v>0</v>
      </c>
      <c r="EA77" s="9">
        <v>0</v>
      </c>
      <c r="EB77" s="9">
        <v>0</v>
      </c>
      <c r="EC77" s="9">
        <v>41.389000000000003</v>
      </c>
      <c r="ED77" s="9">
        <v>298390</v>
      </c>
      <c r="EE77" s="9">
        <v>0</v>
      </c>
      <c r="EF77" s="9">
        <v>0</v>
      </c>
      <c r="EG77" s="9">
        <v>0</v>
      </c>
      <c r="EH77" s="9">
        <v>942518</v>
      </c>
      <c r="EI77" s="9">
        <v>0</v>
      </c>
      <c r="EJ77" s="9">
        <v>0</v>
      </c>
      <c r="EK77" s="9">
        <v>44.091000000000001</v>
      </c>
      <c r="EL77" s="9">
        <v>0</v>
      </c>
      <c r="EM77" s="9">
        <v>0</v>
      </c>
      <c r="EN77" s="9">
        <v>2.3069999999999999</v>
      </c>
      <c r="EO77" s="9">
        <v>0</v>
      </c>
      <c r="EP77" s="9">
        <v>0</v>
      </c>
      <c r="EQ77" s="9">
        <v>46.398000000000003</v>
      </c>
      <c r="ER77" s="9">
        <v>0</v>
      </c>
      <c r="ES77" s="9">
        <v>143.80799999999999</v>
      </c>
      <c r="ET77" s="10">
        <v>76396</v>
      </c>
      <c r="EU77" s="9">
        <v>907526</v>
      </c>
      <c r="EV77" s="9">
        <v>0</v>
      </c>
      <c r="EW77" s="9">
        <v>0</v>
      </c>
      <c r="EX77" s="9">
        <v>0</v>
      </c>
      <c r="EY77" s="9">
        <v>0</v>
      </c>
      <c r="EZ77" s="9">
        <v>20238640</v>
      </c>
      <c r="FA77" s="9">
        <v>0</v>
      </c>
      <c r="FB77" s="10">
        <v>21146166</v>
      </c>
      <c r="FC77" s="9">
        <v>0.97327799999999998</v>
      </c>
      <c r="FD77" s="9">
        <v>0</v>
      </c>
      <c r="FE77" s="9">
        <v>3103284</v>
      </c>
      <c r="FF77" s="9">
        <v>699321</v>
      </c>
      <c r="FG77" s="9">
        <v>6.1239999999999996E-2</v>
      </c>
      <c r="FH77" s="9">
        <v>5.4803999999999999E-2</v>
      </c>
      <c r="FI77" s="9">
        <v>0</v>
      </c>
      <c r="FJ77" s="9">
        <v>0</v>
      </c>
      <c r="FK77" s="9">
        <v>3993.8470000000002</v>
      </c>
      <c r="FL77" s="9">
        <v>25493427</v>
      </c>
      <c r="FM77" s="9">
        <v>0</v>
      </c>
      <c r="FN77" s="9">
        <v>0</v>
      </c>
      <c r="FO77" s="9">
        <v>27212</v>
      </c>
      <c r="FP77" s="9">
        <v>0</v>
      </c>
      <c r="FQ77" s="9">
        <v>49768</v>
      </c>
      <c r="FR77" s="9">
        <v>27212</v>
      </c>
      <c r="FS77" s="9">
        <v>22556</v>
      </c>
      <c r="FT77" s="9">
        <v>0</v>
      </c>
      <c r="FU77" s="9">
        <v>0</v>
      </c>
      <c r="FV77" s="9">
        <v>0</v>
      </c>
      <c r="FW77" s="9">
        <v>0</v>
      </c>
      <c r="FX77" s="9">
        <v>0</v>
      </c>
      <c r="FY77" s="9">
        <v>0</v>
      </c>
      <c r="FZ77" s="9">
        <v>933</v>
      </c>
      <c r="GA77" s="9">
        <v>18.663</v>
      </c>
      <c r="GB77" s="10">
        <v>821974</v>
      </c>
      <c r="GC77" s="10">
        <v>821974</v>
      </c>
      <c r="GD77" s="10">
        <v>92.795000000000002</v>
      </c>
      <c r="GE77" s="9">
        <v>0</v>
      </c>
      <c r="GF77" s="9">
        <v>0</v>
      </c>
      <c r="GG77" s="9">
        <v>0</v>
      </c>
      <c r="GH77" s="9">
        <v>0</v>
      </c>
      <c r="GI77" s="9">
        <v>0</v>
      </c>
      <c r="GJ77" s="9">
        <v>0</v>
      </c>
      <c r="GK77" s="9">
        <v>5151</v>
      </c>
      <c r="GL77" s="9">
        <v>7938</v>
      </c>
      <c r="GM77" s="9">
        <v>0</v>
      </c>
      <c r="GN77" s="9">
        <v>0</v>
      </c>
      <c r="GO77" s="9">
        <v>0</v>
      </c>
      <c r="GP77" s="9">
        <v>24948771</v>
      </c>
      <c r="GQ77" s="9">
        <v>24948771</v>
      </c>
      <c r="GR77" s="9">
        <v>0</v>
      </c>
      <c r="GS77" s="9">
        <v>0</v>
      </c>
      <c r="GT77" s="9">
        <v>0</v>
      </c>
      <c r="GU77" s="9">
        <v>0</v>
      </c>
      <c r="GV77" s="9">
        <v>0</v>
      </c>
      <c r="GW77" s="9">
        <v>0</v>
      </c>
      <c r="GX77" s="9">
        <v>0</v>
      </c>
      <c r="GY77" s="9">
        <v>0</v>
      </c>
      <c r="GZ77" s="9">
        <v>0</v>
      </c>
      <c r="HA77" s="9">
        <v>0</v>
      </c>
      <c r="HB77" s="9">
        <v>260786259</v>
      </c>
      <c r="HC77" s="9">
        <v>5.0923999999999997E-2</v>
      </c>
      <c r="HD77" s="10">
        <v>468260</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453.50800000000004</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32469</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row>
    <row r="78" spans="1:292" ht="13" x14ac:dyDescent="0.3">
      <c r="A78" s="9">
        <v>71801</v>
      </c>
      <c r="B78" s="9">
        <v>32570</v>
      </c>
      <c r="C78" s="9">
        <v>35</v>
      </c>
      <c r="D78" s="9">
        <v>2022</v>
      </c>
      <c r="E78" s="9">
        <v>5392</v>
      </c>
      <c r="F78" s="9">
        <v>0</v>
      </c>
      <c r="G78" s="9">
        <v>986.88300000000004</v>
      </c>
      <c r="H78" s="9">
        <v>934.71199999999999</v>
      </c>
      <c r="I78" s="9">
        <v>934.71199999999999</v>
      </c>
      <c r="J78" s="9">
        <v>986.88300000000004</v>
      </c>
      <c r="K78" s="9">
        <v>0</v>
      </c>
      <c r="L78" s="9">
        <v>6554</v>
      </c>
      <c r="M78" s="9">
        <v>0</v>
      </c>
      <c r="N78" s="9">
        <v>0</v>
      </c>
      <c r="O78" s="9">
        <v>0</v>
      </c>
      <c r="P78" s="9">
        <v>828.41399999999999</v>
      </c>
      <c r="Q78" s="9">
        <v>0</v>
      </c>
      <c r="R78" s="10">
        <v>264855</v>
      </c>
      <c r="S78" s="9">
        <v>319.71300000000002</v>
      </c>
      <c r="T78" s="9">
        <v>0</v>
      </c>
      <c r="U78" s="10">
        <v>264855</v>
      </c>
      <c r="V78" s="10">
        <v>247.619</v>
      </c>
      <c r="W78" s="10">
        <v>162289</v>
      </c>
      <c r="X78" s="10">
        <v>162289</v>
      </c>
      <c r="Y78" s="9">
        <v>0</v>
      </c>
      <c r="Z78" s="9">
        <v>0</v>
      </c>
      <c r="AA78" s="9">
        <v>1</v>
      </c>
      <c r="AB78" s="9">
        <v>1</v>
      </c>
      <c r="AC78" s="9">
        <v>0</v>
      </c>
      <c r="AD78" s="9" t="s">
        <v>314</v>
      </c>
      <c r="AE78" s="9">
        <v>0</v>
      </c>
      <c r="AF78" s="9">
        <v>0</v>
      </c>
      <c r="AG78" s="9">
        <v>0</v>
      </c>
      <c r="AH78" s="9">
        <v>0</v>
      </c>
      <c r="AI78" s="9">
        <v>0</v>
      </c>
      <c r="AJ78" s="9">
        <v>5104</v>
      </c>
      <c r="AK78" s="9" t="s">
        <v>651</v>
      </c>
      <c r="AL78" s="9" t="s">
        <v>84</v>
      </c>
      <c r="AM78" s="9">
        <v>0</v>
      </c>
      <c r="AN78" s="9">
        <v>0</v>
      </c>
      <c r="AO78" s="9">
        <v>0</v>
      </c>
      <c r="AP78" s="9">
        <v>0</v>
      </c>
      <c r="AQ78" s="9">
        <v>0</v>
      </c>
      <c r="AR78" s="9">
        <v>0</v>
      </c>
      <c r="AS78" s="9">
        <v>0</v>
      </c>
      <c r="AT78" s="9">
        <v>0</v>
      </c>
      <c r="AU78" s="9">
        <v>0</v>
      </c>
      <c r="AV78" s="9">
        <v>28545</v>
      </c>
      <c r="AW78" s="9">
        <v>9237329</v>
      </c>
      <c r="AX78" s="9">
        <v>8939643</v>
      </c>
      <c r="AY78" s="9">
        <v>9700994</v>
      </c>
      <c r="AZ78" s="9">
        <v>357298</v>
      </c>
      <c r="BA78" s="10">
        <v>21.5</v>
      </c>
      <c r="BB78" s="9">
        <v>0</v>
      </c>
      <c r="BC78" s="9">
        <v>0</v>
      </c>
      <c r="BD78" s="9">
        <v>0</v>
      </c>
      <c r="BE78" s="9">
        <v>0</v>
      </c>
      <c r="BF78" s="9">
        <v>7581923</v>
      </c>
      <c r="BG78" s="9">
        <v>0</v>
      </c>
      <c r="BH78" s="10">
        <v>179.38300000000001</v>
      </c>
      <c r="BI78" s="10">
        <v>49330</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112.78400000000001</v>
      </c>
      <c r="CB78" s="9">
        <v>43113</v>
      </c>
      <c r="CC78" s="9">
        <v>0</v>
      </c>
      <c r="CD78" s="9">
        <v>0</v>
      </c>
      <c r="CE78" s="9">
        <v>0</v>
      </c>
      <c r="CF78" s="9">
        <v>0</v>
      </c>
      <c r="CG78" s="9">
        <v>0</v>
      </c>
      <c r="CH78" s="10">
        <v>205243</v>
      </c>
      <c r="CI78" s="9">
        <v>0</v>
      </c>
      <c r="CJ78" s="9">
        <v>4</v>
      </c>
      <c r="CK78" s="9">
        <v>0</v>
      </c>
      <c r="CL78" s="9">
        <v>0</v>
      </c>
      <c r="CM78" s="9">
        <v>0</v>
      </c>
      <c r="CN78" s="9">
        <v>0</v>
      </c>
      <c r="CO78" s="9">
        <v>0</v>
      </c>
      <c r="CP78" s="9">
        <v>0</v>
      </c>
      <c r="CQ78" s="9">
        <v>0</v>
      </c>
      <c r="CR78" s="9">
        <v>828.41399999999999</v>
      </c>
      <c r="CS78" s="9">
        <v>0</v>
      </c>
      <c r="CT78" s="9">
        <v>0</v>
      </c>
      <c r="CU78" s="9">
        <v>0</v>
      </c>
      <c r="CV78" s="9">
        <v>0</v>
      </c>
      <c r="CW78" s="9">
        <v>0</v>
      </c>
      <c r="CX78" s="9">
        <v>0</v>
      </c>
      <c r="CY78" s="9">
        <v>0</v>
      </c>
      <c r="CZ78" s="9">
        <v>0</v>
      </c>
      <c r="DA78" s="9">
        <v>1</v>
      </c>
      <c r="DB78" s="9">
        <v>6126102</v>
      </c>
      <c r="DC78" s="9">
        <v>0</v>
      </c>
      <c r="DD78" s="9">
        <v>0</v>
      </c>
      <c r="DE78" s="9">
        <v>722683</v>
      </c>
      <c r="DF78" s="9">
        <v>722683</v>
      </c>
      <c r="DG78" s="9">
        <v>551.33000000000004</v>
      </c>
      <c r="DH78" s="9">
        <v>0</v>
      </c>
      <c r="DI78" s="9">
        <v>0</v>
      </c>
      <c r="DJ78" s="9">
        <v>0</v>
      </c>
      <c r="DK78" s="9">
        <v>5392</v>
      </c>
      <c r="DL78" s="9">
        <v>0</v>
      </c>
      <c r="DM78" s="9">
        <v>332214</v>
      </c>
      <c r="DN78" s="9">
        <v>0</v>
      </c>
      <c r="DO78" s="9">
        <v>0</v>
      </c>
      <c r="DP78" s="9">
        <v>0</v>
      </c>
      <c r="DQ78" s="9">
        <v>0</v>
      </c>
      <c r="DR78" s="9">
        <v>0</v>
      </c>
      <c r="DS78" s="9">
        <v>0</v>
      </c>
      <c r="DT78" s="9">
        <v>0</v>
      </c>
      <c r="DU78" s="9">
        <v>0</v>
      </c>
      <c r="DV78" s="9">
        <v>0</v>
      </c>
      <c r="DW78" s="9">
        <v>0</v>
      </c>
      <c r="DX78" s="9">
        <v>0</v>
      </c>
      <c r="DY78" s="9">
        <v>0</v>
      </c>
      <c r="DZ78" s="9">
        <v>0</v>
      </c>
      <c r="EA78" s="9">
        <v>0</v>
      </c>
      <c r="EB78" s="9">
        <v>0</v>
      </c>
      <c r="EC78" s="9">
        <v>39.548000000000002</v>
      </c>
      <c r="ED78" s="9">
        <v>285117</v>
      </c>
      <c r="EE78" s="9">
        <v>0</v>
      </c>
      <c r="EF78" s="9">
        <v>0</v>
      </c>
      <c r="EG78" s="9">
        <v>0</v>
      </c>
      <c r="EH78" s="9">
        <v>47097</v>
      </c>
      <c r="EI78" s="9">
        <v>0</v>
      </c>
      <c r="EJ78" s="9">
        <v>0</v>
      </c>
      <c r="EK78" s="9">
        <v>0.76200000000000001</v>
      </c>
      <c r="EL78" s="9">
        <v>0</v>
      </c>
      <c r="EM78" s="9">
        <v>0</v>
      </c>
      <c r="EN78" s="9">
        <v>0.98</v>
      </c>
      <c r="EO78" s="9">
        <v>0</v>
      </c>
      <c r="EP78" s="9">
        <v>0</v>
      </c>
      <c r="EQ78" s="9">
        <v>1.742</v>
      </c>
      <c r="ER78" s="9">
        <v>0</v>
      </c>
      <c r="ES78" s="9">
        <v>7.1859999999999999</v>
      </c>
      <c r="ET78" s="10">
        <v>10750</v>
      </c>
      <c r="EU78" s="9">
        <v>357298</v>
      </c>
      <c r="EV78" s="9">
        <v>0</v>
      </c>
      <c r="EW78" s="9">
        <v>0</v>
      </c>
      <c r="EX78" s="9">
        <v>0</v>
      </c>
      <c r="EY78" s="9">
        <v>0</v>
      </c>
      <c r="EZ78" s="9">
        <v>7525239</v>
      </c>
      <c r="FA78" s="9">
        <v>0</v>
      </c>
      <c r="FB78" s="10">
        <v>7882537</v>
      </c>
      <c r="FC78" s="9">
        <v>0.97327799999999998</v>
      </c>
      <c r="FD78" s="9">
        <v>0</v>
      </c>
      <c r="FE78" s="9">
        <v>1154287</v>
      </c>
      <c r="FF78" s="9">
        <v>260117</v>
      </c>
      <c r="FG78" s="9">
        <v>6.1239999999999996E-2</v>
      </c>
      <c r="FH78" s="9">
        <v>5.4803999999999999E-2</v>
      </c>
      <c r="FI78" s="9">
        <v>0</v>
      </c>
      <c r="FJ78" s="9">
        <v>0</v>
      </c>
      <c r="FK78" s="9">
        <v>1485.538</v>
      </c>
      <c r="FL78" s="9">
        <v>9502184</v>
      </c>
      <c r="FM78" s="9">
        <v>0</v>
      </c>
      <c r="FN78" s="9">
        <v>0</v>
      </c>
      <c r="FO78" s="9">
        <v>0</v>
      </c>
      <c r="FP78" s="9">
        <v>0</v>
      </c>
      <c r="FQ78" s="9">
        <v>0</v>
      </c>
      <c r="FR78" s="9">
        <v>0</v>
      </c>
      <c r="FS78" s="9">
        <v>0</v>
      </c>
      <c r="FT78" s="9">
        <v>0</v>
      </c>
      <c r="FU78" s="9">
        <v>0</v>
      </c>
      <c r="FV78" s="9">
        <v>0</v>
      </c>
      <c r="FW78" s="9">
        <v>0</v>
      </c>
      <c r="FX78" s="9">
        <v>0</v>
      </c>
      <c r="FY78" s="9">
        <v>0</v>
      </c>
      <c r="FZ78" s="9">
        <v>615</v>
      </c>
      <c r="GA78" s="9">
        <v>12.305</v>
      </c>
      <c r="GB78" s="10">
        <v>446806</v>
      </c>
      <c r="GC78" s="10">
        <v>446806</v>
      </c>
      <c r="GD78" s="10">
        <v>50.429000000000002</v>
      </c>
      <c r="GE78" s="9">
        <v>0</v>
      </c>
      <c r="GF78" s="9">
        <v>0</v>
      </c>
      <c r="GG78" s="9">
        <v>0</v>
      </c>
      <c r="GH78" s="9">
        <v>0</v>
      </c>
      <c r="GI78" s="9">
        <v>0</v>
      </c>
      <c r="GJ78" s="9">
        <v>0</v>
      </c>
      <c r="GK78" s="9">
        <v>5032</v>
      </c>
      <c r="GL78" s="9">
        <v>19953</v>
      </c>
      <c r="GM78" s="9">
        <v>0</v>
      </c>
      <c r="GN78" s="9">
        <v>0</v>
      </c>
      <c r="GO78" s="9">
        <v>0</v>
      </c>
      <c r="GP78" s="9">
        <v>9296941</v>
      </c>
      <c r="GQ78" s="9">
        <v>9296941</v>
      </c>
      <c r="GR78" s="9">
        <v>0</v>
      </c>
      <c r="GS78" s="9">
        <v>0</v>
      </c>
      <c r="GT78" s="9">
        <v>0</v>
      </c>
      <c r="GU78" s="9">
        <v>0</v>
      </c>
      <c r="GV78" s="9">
        <v>0</v>
      </c>
      <c r="GW78" s="9">
        <v>0</v>
      </c>
      <c r="GX78" s="9">
        <v>0</v>
      </c>
      <c r="GY78" s="9">
        <v>0</v>
      </c>
      <c r="GZ78" s="9">
        <v>0</v>
      </c>
      <c r="HA78" s="9">
        <v>0</v>
      </c>
      <c r="HB78" s="9">
        <v>260786259</v>
      </c>
      <c r="HC78" s="9">
        <v>5.0923999999999997E-2</v>
      </c>
      <c r="HD78" s="10">
        <v>194493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32469</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row>
    <row r="79" spans="1:292" x14ac:dyDescent="0.25">
      <c r="A79" s="9">
        <v>71803</v>
      </c>
      <c r="B79" s="9">
        <v>32570</v>
      </c>
      <c r="C79" s="9">
        <v>35</v>
      </c>
      <c r="D79" s="9">
        <v>2022</v>
      </c>
      <c r="E79" s="9">
        <v>5392</v>
      </c>
      <c r="F79" s="9">
        <v>0</v>
      </c>
      <c r="G79" s="9">
        <v>180.13500000000002</v>
      </c>
      <c r="H79" s="9">
        <v>174.62800000000001</v>
      </c>
      <c r="I79" s="9">
        <v>174.62800000000001</v>
      </c>
      <c r="J79" s="9">
        <v>180.13500000000002</v>
      </c>
      <c r="K79" s="9">
        <v>0</v>
      </c>
      <c r="L79" s="9">
        <v>6554</v>
      </c>
      <c r="M79" s="9">
        <v>0</v>
      </c>
      <c r="N79" s="9">
        <v>0</v>
      </c>
      <c r="O79" s="9">
        <v>0</v>
      </c>
      <c r="P79" s="9">
        <v>197.304</v>
      </c>
      <c r="Q79" s="9">
        <v>0</v>
      </c>
      <c r="R79" s="9">
        <v>63081</v>
      </c>
      <c r="S79" s="9">
        <v>319.71300000000002</v>
      </c>
      <c r="T79" s="9">
        <v>0</v>
      </c>
      <c r="U79" s="9">
        <v>63081</v>
      </c>
      <c r="V79" s="9">
        <v>45.161000000000001</v>
      </c>
      <c r="W79" s="9">
        <v>29599</v>
      </c>
      <c r="X79" s="9">
        <v>29599</v>
      </c>
      <c r="Y79" s="9">
        <v>0</v>
      </c>
      <c r="Z79" s="9">
        <v>0</v>
      </c>
      <c r="AA79" s="9">
        <v>1</v>
      </c>
      <c r="AB79" s="9">
        <v>1</v>
      </c>
      <c r="AC79" s="9">
        <v>0</v>
      </c>
      <c r="AD79" s="9" t="s">
        <v>314</v>
      </c>
      <c r="AE79" s="9">
        <v>0</v>
      </c>
      <c r="AF79" s="9">
        <v>0</v>
      </c>
      <c r="AG79" s="9">
        <v>0</v>
      </c>
      <c r="AH79" s="9">
        <v>0</v>
      </c>
      <c r="AI79" s="9">
        <v>0</v>
      </c>
      <c r="AJ79" s="9">
        <v>5104</v>
      </c>
      <c r="AK79" s="9" t="s">
        <v>651</v>
      </c>
      <c r="AL79" s="9" t="s">
        <v>465</v>
      </c>
      <c r="AM79" s="9">
        <v>0</v>
      </c>
      <c r="AN79" s="9">
        <v>0</v>
      </c>
      <c r="AO79" s="9">
        <v>0</v>
      </c>
      <c r="AP79" s="9">
        <v>0</v>
      </c>
      <c r="AQ79" s="9">
        <v>0</v>
      </c>
      <c r="AR79" s="9">
        <v>0</v>
      </c>
      <c r="AS79" s="9">
        <v>0</v>
      </c>
      <c r="AT79" s="9">
        <v>0</v>
      </c>
      <c r="AU79" s="9">
        <v>0</v>
      </c>
      <c r="AV79" s="9">
        <v>58338</v>
      </c>
      <c r="AW79" s="9">
        <v>1944642</v>
      </c>
      <c r="AX79" s="9">
        <v>1852815</v>
      </c>
      <c r="AY79" s="9">
        <v>1997159</v>
      </c>
      <c r="AZ79" s="9">
        <v>112615</v>
      </c>
      <c r="BA79" s="9">
        <v>7.75</v>
      </c>
      <c r="BB79" s="9">
        <v>0</v>
      </c>
      <c r="BC79" s="9">
        <v>0</v>
      </c>
      <c r="BD79" s="9">
        <v>0</v>
      </c>
      <c r="BE79" s="9">
        <v>0</v>
      </c>
      <c r="BF79" s="9">
        <v>1578161</v>
      </c>
      <c r="BG79" s="9">
        <v>0</v>
      </c>
      <c r="BH79" s="9">
        <v>180.124</v>
      </c>
      <c r="BI79" s="9">
        <v>49534</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42293</v>
      </c>
      <c r="CI79" s="9">
        <v>0</v>
      </c>
      <c r="CJ79" s="9">
        <v>4</v>
      </c>
      <c r="CK79" s="9">
        <v>0</v>
      </c>
      <c r="CL79" s="9">
        <v>0</v>
      </c>
      <c r="CM79" s="9">
        <v>0</v>
      </c>
      <c r="CN79" s="9">
        <v>0</v>
      </c>
      <c r="CO79" s="9">
        <v>0</v>
      </c>
      <c r="CP79" s="9">
        <v>1.143</v>
      </c>
      <c r="CQ79" s="9">
        <v>11.667</v>
      </c>
      <c r="CR79" s="9">
        <v>197.304</v>
      </c>
      <c r="CS79" s="9">
        <v>0</v>
      </c>
      <c r="CT79" s="9">
        <v>0</v>
      </c>
      <c r="CU79" s="9">
        <v>0</v>
      </c>
      <c r="CV79" s="9">
        <v>0</v>
      </c>
      <c r="CW79" s="9">
        <v>0</v>
      </c>
      <c r="CX79" s="9">
        <v>0</v>
      </c>
      <c r="CY79" s="9">
        <v>0</v>
      </c>
      <c r="CZ79" s="9">
        <v>0</v>
      </c>
      <c r="DA79" s="9">
        <v>1</v>
      </c>
      <c r="DB79" s="9">
        <v>1144512</v>
      </c>
      <c r="DC79" s="9">
        <v>0</v>
      </c>
      <c r="DD79" s="9">
        <v>0</v>
      </c>
      <c r="DE79" s="9">
        <v>259316</v>
      </c>
      <c r="DF79" s="9">
        <v>277370</v>
      </c>
      <c r="DG79" s="9">
        <v>197.83</v>
      </c>
      <c r="DH79" s="9">
        <v>0</v>
      </c>
      <c r="DI79" s="9">
        <v>18054</v>
      </c>
      <c r="DJ79" s="9">
        <v>0</v>
      </c>
      <c r="DK79" s="9">
        <v>5392</v>
      </c>
      <c r="DL79" s="9">
        <v>0</v>
      </c>
      <c r="DM79" s="9">
        <v>121347</v>
      </c>
      <c r="DN79" s="9">
        <v>0</v>
      </c>
      <c r="DO79" s="9">
        <v>0</v>
      </c>
      <c r="DP79" s="9">
        <v>0</v>
      </c>
      <c r="DQ79" s="9">
        <v>0</v>
      </c>
      <c r="DR79" s="9">
        <v>0</v>
      </c>
      <c r="DS79" s="9">
        <v>0</v>
      </c>
      <c r="DT79" s="9">
        <v>0</v>
      </c>
      <c r="DU79" s="9">
        <v>0</v>
      </c>
      <c r="DV79" s="9">
        <v>0</v>
      </c>
      <c r="DW79" s="9">
        <v>0</v>
      </c>
      <c r="DX79" s="9">
        <v>0</v>
      </c>
      <c r="DY79" s="9">
        <v>0</v>
      </c>
      <c r="DZ79" s="9">
        <v>0</v>
      </c>
      <c r="EA79" s="9">
        <v>0</v>
      </c>
      <c r="EB79" s="9">
        <v>0</v>
      </c>
      <c r="EC79" s="9">
        <v>16.8</v>
      </c>
      <c r="ED79" s="9">
        <v>121118</v>
      </c>
      <c r="EE79" s="9">
        <v>0</v>
      </c>
      <c r="EF79" s="9">
        <v>0</v>
      </c>
      <c r="EG79" s="9">
        <v>0</v>
      </c>
      <c r="EH79" s="9">
        <v>229</v>
      </c>
      <c r="EI79" s="9">
        <v>0</v>
      </c>
      <c r="EJ79" s="9">
        <v>0</v>
      </c>
      <c r="EK79" s="9">
        <v>0</v>
      </c>
      <c r="EL79" s="9">
        <v>0</v>
      </c>
      <c r="EM79" s="9">
        <v>0</v>
      </c>
      <c r="EN79" s="9">
        <v>7.0000000000000001E-3</v>
      </c>
      <c r="EO79" s="9">
        <v>0</v>
      </c>
      <c r="EP79" s="9">
        <v>0</v>
      </c>
      <c r="EQ79" s="9">
        <v>7.0000000000000001E-3</v>
      </c>
      <c r="ER79" s="9">
        <v>0</v>
      </c>
      <c r="ES79" s="9">
        <v>3.5000000000000003E-2</v>
      </c>
      <c r="ET79" s="9">
        <v>6792</v>
      </c>
      <c r="EU79" s="9">
        <v>112615</v>
      </c>
      <c r="EV79" s="9">
        <v>0</v>
      </c>
      <c r="EW79" s="9">
        <v>0</v>
      </c>
      <c r="EX79" s="9">
        <v>0</v>
      </c>
      <c r="EY79" s="9">
        <v>0</v>
      </c>
      <c r="EZ79" s="9">
        <v>1558410</v>
      </c>
      <c r="FA79" s="9">
        <v>0</v>
      </c>
      <c r="FB79" s="9">
        <v>1671025</v>
      </c>
      <c r="FC79" s="9">
        <v>0.97327799999999998</v>
      </c>
      <c r="FD79" s="9">
        <v>0</v>
      </c>
      <c r="FE79" s="9">
        <v>240262</v>
      </c>
      <c r="FF79" s="9">
        <v>54143</v>
      </c>
      <c r="FG79" s="9">
        <v>6.1239999999999996E-2</v>
      </c>
      <c r="FH79" s="9">
        <v>5.4803999999999999E-2</v>
      </c>
      <c r="FI79" s="9">
        <v>0</v>
      </c>
      <c r="FJ79" s="9">
        <v>0</v>
      </c>
      <c r="FK79" s="9">
        <v>309.21100000000001</v>
      </c>
      <c r="FL79" s="9">
        <v>2007723</v>
      </c>
      <c r="FM79" s="9">
        <v>0</v>
      </c>
      <c r="FN79" s="9">
        <v>0</v>
      </c>
      <c r="FO79" s="9">
        <v>0</v>
      </c>
      <c r="FP79" s="9">
        <v>0</v>
      </c>
      <c r="FQ79" s="9">
        <v>0</v>
      </c>
      <c r="FR79" s="9">
        <v>0</v>
      </c>
      <c r="FS79" s="9">
        <v>0</v>
      </c>
      <c r="FT79" s="9">
        <v>0</v>
      </c>
      <c r="FU79" s="9">
        <v>0</v>
      </c>
      <c r="FV79" s="9">
        <v>0</v>
      </c>
      <c r="FW79" s="9">
        <v>0</v>
      </c>
      <c r="FX79" s="9">
        <v>0</v>
      </c>
      <c r="FY79" s="9">
        <v>0</v>
      </c>
      <c r="FZ79" s="9">
        <v>0</v>
      </c>
      <c r="GA79" s="9">
        <v>0</v>
      </c>
      <c r="GB79" s="9">
        <v>48663</v>
      </c>
      <c r="GC79" s="9">
        <v>48663</v>
      </c>
      <c r="GD79" s="9">
        <v>5.5</v>
      </c>
      <c r="GE79" s="9">
        <v>0</v>
      </c>
      <c r="GF79" s="9">
        <v>0</v>
      </c>
      <c r="GG79" s="9">
        <v>0</v>
      </c>
      <c r="GH79" s="9">
        <v>0</v>
      </c>
      <c r="GI79" s="9">
        <v>0</v>
      </c>
      <c r="GJ79" s="9">
        <v>0</v>
      </c>
      <c r="GK79" s="9">
        <v>5113</v>
      </c>
      <c r="GL79" s="9">
        <v>7493</v>
      </c>
      <c r="GM79" s="9">
        <v>0</v>
      </c>
      <c r="GN79" s="9">
        <v>0</v>
      </c>
      <c r="GO79" s="9">
        <v>0</v>
      </c>
      <c r="GP79" s="9">
        <v>1965430</v>
      </c>
      <c r="GQ79" s="9">
        <v>1965430</v>
      </c>
      <c r="GR79" s="9">
        <v>0</v>
      </c>
      <c r="GS79" s="9">
        <v>0</v>
      </c>
      <c r="GT79" s="9">
        <v>0</v>
      </c>
      <c r="GU79" s="9">
        <v>0</v>
      </c>
      <c r="GV79" s="9">
        <v>0</v>
      </c>
      <c r="GW79" s="9">
        <v>0</v>
      </c>
      <c r="GX79" s="9">
        <v>0</v>
      </c>
      <c r="GY79" s="9">
        <v>0</v>
      </c>
      <c r="GZ79" s="9">
        <v>0</v>
      </c>
      <c r="HA79" s="9">
        <v>0</v>
      </c>
      <c r="HB79" s="9">
        <v>260786259</v>
      </c>
      <c r="HC79" s="9">
        <v>5.0923999999999997E-2</v>
      </c>
      <c r="HD79" s="9">
        <v>35501</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32469</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row>
    <row r="80" spans="1:292" x14ac:dyDescent="0.25">
      <c r="A80" s="9">
        <v>71804</v>
      </c>
      <c r="B80" s="9">
        <v>32570</v>
      </c>
      <c r="C80" s="9">
        <v>35</v>
      </c>
      <c r="D80" s="9">
        <v>2022</v>
      </c>
      <c r="E80" s="9">
        <v>5392</v>
      </c>
      <c r="F80" s="9">
        <v>0</v>
      </c>
      <c r="G80" s="9">
        <v>273.97200000000004</v>
      </c>
      <c r="H80" s="9">
        <v>257.92400000000004</v>
      </c>
      <c r="I80" s="9">
        <v>257.92400000000004</v>
      </c>
      <c r="J80" s="9">
        <v>273.97200000000004</v>
      </c>
      <c r="K80" s="9">
        <v>0</v>
      </c>
      <c r="L80" s="9">
        <v>6554</v>
      </c>
      <c r="M80" s="9">
        <v>0</v>
      </c>
      <c r="N80" s="9">
        <v>0</v>
      </c>
      <c r="O80" s="9">
        <v>0</v>
      </c>
      <c r="P80" s="9">
        <v>286.024</v>
      </c>
      <c r="Q80" s="9">
        <v>0</v>
      </c>
      <c r="R80" s="9">
        <v>91446</v>
      </c>
      <c r="S80" s="9">
        <v>319.71300000000002</v>
      </c>
      <c r="T80" s="9">
        <v>0</v>
      </c>
      <c r="U80" s="9">
        <v>91446</v>
      </c>
      <c r="V80" s="9">
        <v>23.694000000000003</v>
      </c>
      <c r="W80" s="9">
        <v>15529</v>
      </c>
      <c r="X80" s="9">
        <v>15529</v>
      </c>
      <c r="Y80" s="9">
        <v>0</v>
      </c>
      <c r="Z80" s="9">
        <v>0</v>
      </c>
      <c r="AA80" s="9">
        <v>1</v>
      </c>
      <c r="AB80" s="9">
        <v>1</v>
      </c>
      <c r="AC80" s="9">
        <v>0</v>
      </c>
      <c r="AD80" s="9" t="s">
        <v>314</v>
      </c>
      <c r="AE80" s="9">
        <v>0</v>
      </c>
      <c r="AF80" s="9">
        <v>0</v>
      </c>
      <c r="AG80" s="9">
        <v>0</v>
      </c>
      <c r="AH80" s="9">
        <v>0</v>
      </c>
      <c r="AI80" s="9">
        <v>0</v>
      </c>
      <c r="AJ80" s="9">
        <v>5104</v>
      </c>
      <c r="AK80" s="9" t="s">
        <v>651</v>
      </c>
      <c r="AL80" s="9" t="s">
        <v>25</v>
      </c>
      <c r="AM80" s="9">
        <v>0</v>
      </c>
      <c r="AN80" s="9">
        <v>0</v>
      </c>
      <c r="AO80" s="9">
        <v>0</v>
      </c>
      <c r="AP80" s="9">
        <v>0</v>
      </c>
      <c r="AQ80" s="9">
        <v>0</v>
      </c>
      <c r="AR80" s="9">
        <v>0</v>
      </c>
      <c r="AS80" s="9">
        <v>0</v>
      </c>
      <c r="AT80" s="9">
        <v>0</v>
      </c>
      <c r="AU80" s="9">
        <v>0</v>
      </c>
      <c r="AV80" s="9">
        <v>67798</v>
      </c>
      <c r="AW80" s="9">
        <v>2845477</v>
      </c>
      <c r="AX80" s="9">
        <v>2710267</v>
      </c>
      <c r="AY80" s="9">
        <v>2960879</v>
      </c>
      <c r="AZ80" s="9">
        <v>166787</v>
      </c>
      <c r="BA80" s="9">
        <v>11.75</v>
      </c>
      <c r="BB80" s="9">
        <v>0</v>
      </c>
      <c r="BC80" s="9">
        <v>0</v>
      </c>
      <c r="BD80" s="9">
        <v>0</v>
      </c>
      <c r="BE80" s="9">
        <v>0</v>
      </c>
      <c r="BF80" s="9">
        <v>2307825</v>
      </c>
      <c r="BG80" s="9">
        <v>0</v>
      </c>
      <c r="BH80" s="9">
        <v>273.96600000000001</v>
      </c>
      <c r="BI80" s="9">
        <v>75341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59869</v>
      </c>
      <c r="CI80" s="9">
        <v>0</v>
      </c>
      <c r="CJ80" s="9">
        <v>4</v>
      </c>
      <c r="CK80" s="9">
        <v>0</v>
      </c>
      <c r="CL80" s="9">
        <v>0</v>
      </c>
      <c r="CM80" s="9">
        <v>0</v>
      </c>
      <c r="CN80" s="9">
        <v>0</v>
      </c>
      <c r="CO80" s="9">
        <v>0</v>
      </c>
      <c r="CP80" s="9">
        <v>1.34</v>
      </c>
      <c r="CQ80" s="9">
        <v>0</v>
      </c>
      <c r="CR80" s="9">
        <v>286.024</v>
      </c>
      <c r="CS80" s="9">
        <v>0</v>
      </c>
      <c r="CT80" s="9">
        <v>0</v>
      </c>
      <c r="CU80" s="9">
        <v>0</v>
      </c>
      <c r="CV80" s="9">
        <v>0</v>
      </c>
      <c r="CW80" s="9">
        <v>0</v>
      </c>
      <c r="CX80" s="9">
        <v>0</v>
      </c>
      <c r="CY80" s="9">
        <v>0</v>
      </c>
      <c r="CZ80" s="9">
        <v>0</v>
      </c>
      <c r="DA80" s="9">
        <v>1</v>
      </c>
      <c r="DB80" s="9">
        <v>1690434</v>
      </c>
      <c r="DC80" s="9">
        <v>0</v>
      </c>
      <c r="DD80" s="9">
        <v>0</v>
      </c>
      <c r="DE80" s="9">
        <v>329666</v>
      </c>
      <c r="DF80" s="9">
        <v>350831</v>
      </c>
      <c r="DG80" s="9">
        <v>251.5</v>
      </c>
      <c r="DH80" s="9">
        <v>0</v>
      </c>
      <c r="DI80" s="9">
        <v>21165</v>
      </c>
      <c r="DJ80" s="9">
        <v>0</v>
      </c>
      <c r="DK80" s="9">
        <v>5392</v>
      </c>
      <c r="DL80" s="9">
        <v>0</v>
      </c>
      <c r="DM80" s="9">
        <v>177916</v>
      </c>
      <c r="DN80" s="9">
        <v>0</v>
      </c>
      <c r="DO80" s="9">
        <v>0</v>
      </c>
      <c r="DP80" s="9">
        <v>0</v>
      </c>
      <c r="DQ80" s="9">
        <v>0</v>
      </c>
      <c r="DR80" s="9">
        <v>0</v>
      </c>
      <c r="DS80" s="9">
        <v>0</v>
      </c>
      <c r="DT80" s="9">
        <v>0</v>
      </c>
      <c r="DU80" s="9">
        <v>0</v>
      </c>
      <c r="DV80" s="9">
        <v>0</v>
      </c>
      <c r="DW80" s="9">
        <v>0</v>
      </c>
      <c r="DX80" s="9">
        <v>0</v>
      </c>
      <c r="DY80" s="9">
        <v>0</v>
      </c>
      <c r="DZ80" s="9">
        <v>0</v>
      </c>
      <c r="EA80" s="9">
        <v>0.151</v>
      </c>
      <c r="EB80" s="9">
        <v>0</v>
      </c>
      <c r="EC80" s="9">
        <v>22.643000000000001</v>
      </c>
      <c r="ED80" s="9">
        <v>163242</v>
      </c>
      <c r="EE80" s="9">
        <v>0</v>
      </c>
      <c r="EF80" s="9">
        <v>0</v>
      </c>
      <c r="EG80" s="9">
        <v>0</v>
      </c>
      <c r="EH80" s="9">
        <v>14674</v>
      </c>
      <c r="EI80" s="9">
        <v>0</v>
      </c>
      <c r="EJ80" s="9">
        <v>0</v>
      </c>
      <c r="EK80" s="9">
        <v>0.438</v>
      </c>
      <c r="EL80" s="9">
        <v>0</v>
      </c>
      <c r="EM80" s="9">
        <v>0</v>
      </c>
      <c r="EN80" s="9">
        <v>3.4000000000000002E-2</v>
      </c>
      <c r="EO80" s="9">
        <v>0</v>
      </c>
      <c r="EP80" s="9">
        <v>0</v>
      </c>
      <c r="EQ80" s="9">
        <v>0.623</v>
      </c>
      <c r="ER80" s="9">
        <v>0</v>
      </c>
      <c r="ES80" s="9">
        <v>2.2390000000000003</v>
      </c>
      <c r="ET80" s="9">
        <v>5875</v>
      </c>
      <c r="EU80" s="9">
        <v>166787</v>
      </c>
      <c r="EV80" s="9">
        <v>0</v>
      </c>
      <c r="EW80" s="9">
        <v>0</v>
      </c>
      <c r="EX80" s="9">
        <v>0</v>
      </c>
      <c r="EY80" s="9">
        <v>0</v>
      </c>
      <c r="EZ80" s="9">
        <v>2279743</v>
      </c>
      <c r="FA80" s="9">
        <v>0</v>
      </c>
      <c r="FB80" s="9">
        <v>2446530</v>
      </c>
      <c r="FC80" s="9">
        <v>0.97327799999999998</v>
      </c>
      <c r="FD80" s="9">
        <v>0</v>
      </c>
      <c r="FE80" s="9">
        <v>351348</v>
      </c>
      <c r="FF80" s="9">
        <v>79176</v>
      </c>
      <c r="FG80" s="9">
        <v>6.1239999999999996E-2</v>
      </c>
      <c r="FH80" s="9">
        <v>5.4803999999999999E-2</v>
      </c>
      <c r="FI80" s="9">
        <v>0</v>
      </c>
      <c r="FJ80" s="9">
        <v>0</v>
      </c>
      <c r="FK80" s="9">
        <v>452.17600000000004</v>
      </c>
      <c r="FL80" s="9">
        <v>2936923</v>
      </c>
      <c r="FM80" s="9">
        <v>0</v>
      </c>
      <c r="FN80" s="9">
        <v>0</v>
      </c>
      <c r="FO80" s="9">
        <v>0</v>
      </c>
      <c r="FP80" s="9">
        <v>0</v>
      </c>
      <c r="FQ80" s="9">
        <v>0</v>
      </c>
      <c r="FR80" s="9">
        <v>0</v>
      </c>
      <c r="FS80" s="9">
        <v>0</v>
      </c>
      <c r="FT80" s="9">
        <v>0</v>
      </c>
      <c r="FU80" s="9">
        <v>0</v>
      </c>
      <c r="FV80" s="9">
        <v>0</v>
      </c>
      <c r="FW80" s="9">
        <v>0</v>
      </c>
      <c r="FX80" s="9">
        <v>0</v>
      </c>
      <c r="FY80" s="9">
        <v>0</v>
      </c>
      <c r="FZ80" s="9">
        <v>0</v>
      </c>
      <c r="GA80" s="9">
        <v>0</v>
      </c>
      <c r="GB80" s="9">
        <v>136479</v>
      </c>
      <c r="GC80" s="9">
        <v>136479</v>
      </c>
      <c r="GD80" s="9">
        <v>15.425000000000001</v>
      </c>
      <c r="GE80" s="9">
        <v>0</v>
      </c>
      <c r="GF80" s="9">
        <v>0</v>
      </c>
      <c r="GG80" s="9">
        <v>0</v>
      </c>
      <c r="GH80" s="9">
        <v>0</v>
      </c>
      <c r="GI80" s="9">
        <v>0</v>
      </c>
      <c r="GJ80" s="9">
        <v>0</v>
      </c>
      <c r="GK80" s="9">
        <v>5157</v>
      </c>
      <c r="GL80" s="9">
        <v>14655</v>
      </c>
      <c r="GM80" s="9">
        <v>0</v>
      </c>
      <c r="GN80" s="9">
        <v>0</v>
      </c>
      <c r="GO80" s="9">
        <v>0</v>
      </c>
      <c r="GP80" s="9">
        <v>2877054</v>
      </c>
      <c r="GQ80" s="9">
        <v>2877054</v>
      </c>
      <c r="GR80" s="9">
        <v>0</v>
      </c>
      <c r="GS80" s="9">
        <v>0</v>
      </c>
      <c r="GT80" s="9">
        <v>0</v>
      </c>
      <c r="GU80" s="9">
        <v>0</v>
      </c>
      <c r="GV80" s="9">
        <v>0</v>
      </c>
      <c r="GW80" s="9">
        <v>0</v>
      </c>
      <c r="GX80" s="9">
        <v>0</v>
      </c>
      <c r="GY80" s="9">
        <v>0</v>
      </c>
      <c r="GZ80" s="9">
        <v>0</v>
      </c>
      <c r="HA80" s="9">
        <v>0</v>
      </c>
      <c r="HB80" s="9">
        <v>260786259</v>
      </c>
      <c r="HC80" s="9">
        <v>5.0923999999999997E-2</v>
      </c>
      <c r="HD80" s="9">
        <v>53994</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32469</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row>
    <row r="81" spans="1:292" x14ac:dyDescent="0.25">
      <c r="A81" s="9">
        <v>71806</v>
      </c>
      <c r="B81" s="9">
        <v>32570</v>
      </c>
      <c r="C81" s="9">
        <v>35</v>
      </c>
      <c r="D81" s="9">
        <v>2022</v>
      </c>
      <c r="E81" s="9">
        <v>5392</v>
      </c>
      <c r="F81" s="9">
        <v>0</v>
      </c>
      <c r="G81" s="9">
        <v>3430.721</v>
      </c>
      <c r="H81" s="9">
        <v>3217.598</v>
      </c>
      <c r="I81" s="9">
        <v>3217.598</v>
      </c>
      <c r="J81" s="9">
        <v>3430.721</v>
      </c>
      <c r="K81" s="9">
        <v>0</v>
      </c>
      <c r="L81" s="9">
        <v>6554</v>
      </c>
      <c r="M81" s="9">
        <v>0</v>
      </c>
      <c r="N81" s="9">
        <v>0</v>
      </c>
      <c r="O81" s="9">
        <v>0</v>
      </c>
      <c r="P81" s="9">
        <v>3354.8410000000003</v>
      </c>
      <c r="Q81" s="9">
        <v>0</v>
      </c>
      <c r="R81" s="9">
        <v>1072586</v>
      </c>
      <c r="S81" s="9">
        <v>319.71300000000002</v>
      </c>
      <c r="T81" s="9">
        <v>0</v>
      </c>
      <c r="U81" s="9">
        <v>1072586</v>
      </c>
      <c r="V81" s="9">
        <v>760.03899999999999</v>
      </c>
      <c r="W81" s="9">
        <v>498130</v>
      </c>
      <c r="X81" s="9">
        <v>498130</v>
      </c>
      <c r="Y81" s="9">
        <v>0</v>
      </c>
      <c r="Z81" s="9">
        <v>0</v>
      </c>
      <c r="AA81" s="9">
        <v>1</v>
      </c>
      <c r="AB81" s="9">
        <v>1</v>
      </c>
      <c r="AC81" s="9">
        <v>0</v>
      </c>
      <c r="AD81" s="9" t="s">
        <v>314</v>
      </c>
      <c r="AE81" s="9">
        <v>0</v>
      </c>
      <c r="AF81" s="9">
        <v>0</v>
      </c>
      <c r="AG81" s="9">
        <v>0</v>
      </c>
      <c r="AH81" s="9">
        <v>0</v>
      </c>
      <c r="AI81" s="9">
        <v>0</v>
      </c>
      <c r="AJ81" s="9">
        <v>5104</v>
      </c>
      <c r="AK81" s="9" t="s">
        <v>651</v>
      </c>
      <c r="AL81" s="9" t="s">
        <v>26</v>
      </c>
      <c r="AM81" s="9">
        <v>0</v>
      </c>
      <c r="AN81" s="9">
        <v>0</v>
      </c>
      <c r="AO81" s="9">
        <v>0</v>
      </c>
      <c r="AP81" s="9">
        <v>0</v>
      </c>
      <c r="AQ81" s="9">
        <v>0</v>
      </c>
      <c r="AR81" s="9">
        <v>0</v>
      </c>
      <c r="AS81" s="9">
        <v>0</v>
      </c>
      <c r="AT81" s="9">
        <v>0</v>
      </c>
      <c r="AU81" s="9">
        <v>0</v>
      </c>
      <c r="AV81" s="9">
        <v>909779</v>
      </c>
      <c r="AW81" s="9">
        <v>33853937</v>
      </c>
      <c r="AX81" s="9">
        <v>32965766</v>
      </c>
      <c r="AY81" s="9">
        <v>35666723</v>
      </c>
      <c r="AZ81" s="9">
        <v>1241804</v>
      </c>
      <c r="BA81" s="9">
        <v>85.667000000000002</v>
      </c>
      <c r="BB81" s="9">
        <v>134910</v>
      </c>
      <c r="BC81" s="9">
        <v>134910</v>
      </c>
      <c r="BD81" s="9">
        <v>171.536</v>
      </c>
      <c r="BE81" s="9">
        <v>0</v>
      </c>
      <c r="BF81" s="9">
        <v>28038050</v>
      </c>
      <c r="BG81" s="9">
        <v>0</v>
      </c>
      <c r="BH81" s="9">
        <v>615.33800000000008</v>
      </c>
      <c r="BI81" s="9">
        <v>169218</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9">
        <v>718953</v>
      </c>
      <c r="CI81" s="9">
        <v>0</v>
      </c>
      <c r="CJ81" s="9">
        <v>4</v>
      </c>
      <c r="CK81" s="9">
        <v>0</v>
      </c>
      <c r="CL81" s="9">
        <v>0</v>
      </c>
      <c r="CM81" s="9">
        <v>0</v>
      </c>
      <c r="CN81" s="9">
        <v>0</v>
      </c>
      <c r="CO81" s="9">
        <v>0</v>
      </c>
      <c r="CP81" s="9">
        <v>0</v>
      </c>
      <c r="CQ81" s="9">
        <v>0</v>
      </c>
      <c r="CR81" s="9">
        <v>3354.8410000000003</v>
      </c>
      <c r="CS81" s="9">
        <v>0</v>
      </c>
      <c r="CT81" s="9">
        <v>0</v>
      </c>
      <c r="CU81" s="9">
        <v>0</v>
      </c>
      <c r="CV81" s="9">
        <v>0</v>
      </c>
      <c r="CW81" s="9">
        <v>0</v>
      </c>
      <c r="CX81" s="9">
        <v>0</v>
      </c>
      <c r="CY81" s="9">
        <v>0</v>
      </c>
      <c r="CZ81" s="9">
        <v>0</v>
      </c>
      <c r="DA81" s="9">
        <v>1</v>
      </c>
      <c r="DB81" s="9">
        <v>21088137</v>
      </c>
      <c r="DC81" s="9">
        <v>0</v>
      </c>
      <c r="DD81" s="9">
        <v>0</v>
      </c>
      <c r="DE81" s="9">
        <v>3507268</v>
      </c>
      <c r="DF81" s="9">
        <v>3507268</v>
      </c>
      <c r="DG81" s="9">
        <v>2675.67</v>
      </c>
      <c r="DH81" s="9">
        <v>0</v>
      </c>
      <c r="DI81" s="9">
        <v>0</v>
      </c>
      <c r="DJ81" s="9">
        <v>0</v>
      </c>
      <c r="DK81" s="9">
        <v>5392</v>
      </c>
      <c r="DL81" s="9">
        <v>0</v>
      </c>
      <c r="DM81" s="9">
        <v>2512727</v>
      </c>
      <c r="DN81" s="9">
        <v>0</v>
      </c>
      <c r="DO81" s="9">
        <v>0</v>
      </c>
      <c r="DP81" s="9">
        <v>0</v>
      </c>
      <c r="DQ81" s="9">
        <v>0</v>
      </c>
      <c r="DR81" s="9">
        <v>0</v>
      </c>
      <c r="DS81" s="9">
        <v>0</v>
      </c>
      <c r="DT81" s="9">
        <v>0</v>
      </c>
      <c r="DU81" s="9">
        <v>0</v>
      </c>
      <c r="DV81" s="9">
        <v>0</v>
      </c>
      <c r="DW81" s="9">
        <v>0</v>
      </c>
      <c r="DX81" s="9">
        <v>0</v>
      </c>
      <c r="DY81" s="9">
        <v>0</v>
      </c>
      <c r="DZ81" s="9">
        <v>0</v>
      </c>
      <c r="EA81" s="9">
        <v>0</v>
      </c>
      <c r="EB81" s="9">
        <v>0</v>
      </c>
      <c r="EC81" s="9">
        <v>83.043000000000006</v>
      </c>
      <c r="ED81" s="9">
        <v>598690</v>
      </c>
      <c r="EE81" s="9">
        <v>0</v>
      </c>
      <c r="EF81" s="9">
        <v>0</v>
      </c>
      <c r="EG81" s="9">
        <v>0</v>
      </c>
      <c r="EH81" s="9">
        <v>1914037</v>
      </c>
      <c r="EI81" s="9">
        <v>0</v>
      </c>
      <c r="EJ81" s="9">
        <v>0</v>
      </c>
      <c r="EK81" s="9">
        <v>67.656999999999996</v>
      </c>
      <c r="EL81" s="9">
        <v>0</v>
      </c>
      <c r="EM81" s="9">
        <v>17.91</v>
      </c>
      <c r="EN81" s="9">
        <v>7.0680000000000005</v>
      </c>
      <c r="EO81" s="9">
        <v>0</v>
      </c>
      <c r="EP81" s="9">
        <v>0</v>
      </c>
      <c r="EQ81" s="9">
        <v>92.635000000000005</v>
      </c>
      <c r="ER81" s="9">
        <v>0</v>
      </c>
      <c r="ES81" s="9">
        <v>292.041</v>
      </c>
      <c r="ET81" s="9">
        <v>42834</v>
      </c>
      <c r="EU81" s="9">
        <v>1241804</v>
      </c>
      <c r="EV81" s="9">
        <v>0</v>
      </c>
      <c r="EW81" s="9">
        <v>0</v>
      </c>
      <c r="EX81" s="9">
        <v>0</v>
      </c>
      <c r="EY81" s="9">
        <v>0</v>
      </c>
      <c r="EZ81" s="9">
        <v>27735282</v>
      </c>
      <c r="FA81" s="9">
        <v>0</v>
      </c>
      <c r="FB81" s="9">
        <v>28977086</v>
      </c>
      <c r="FC81" s="9">
        <v>0.97327799999999998</v>
      </c>
      <c r="FD81" s="9">
        <v>0</v>
      </c>
      <c r="FE81" s="9">
        <v>4268568</v>
      </c>
      <c r="FF81" s="9">
        <v>961916</v>
      </c>
      <c r="FG81" s="9">
        <v>6.1239999999999996E-2</v>
      </c>
      <c r="FH81" s="9">
        <v>5.4803999999999999E-2</v>
      </c>
      <c r="FI81" s="9">
        <v>0</v>
      </c>
      <c r="FJ81" s="9">
        <v>0</v>
      </c>
      <c r="FK81" s="9">
        <v>5493.5370000000003</v>
      </c>
      <c r="FL81" s="9">
        <v>34926523</v>
      </c>
      <c r="FM81" s="9">
        <v>0</v>
      </c>
      <c r="FN81" s="9">
        <v>0</v>
      </c>
      <c r="FO81" s="9">
        <v>0</v>
      </c>
      <c r="FP81" s="9">
        <v>0</v>
      </c>
      <c r="FQ81" s="9">
        <v>0</v>
      </c>
      <c r="FR81" s="9">
        <v>0</v>
      </c>
      <c r="FS81" s="9">
        <v>0</v>
      </c>
      <c r="FT81" s="9">
        <v>0</v>
      </c>
      <c r="FU81" s="9">
        <v>0</v>
      </c>
      <c r="FV81" s="9">
        <v>0</v>
      </c>
      <c r="FW81" s="9">
        <v>0</v>
      </c>
      <c r="FX81" s="9">
        <v>0</v>
      </c>
      <c r="FY81" s="9">
        <v>0</v>
      </c>
      <c r="FZ81" s="9">
        <v>630</v>
      </c>
      <c r="GA81" s="9">
        <v>12.602</v>
      </c>
      <c r="GB81" s="9">
        <v>1066696</v>
      </c>
      <c r="GC81" s="9">
        <v>1066696</v>
      </c>
      <c r="GD81" s="9">
        <v>120.488</v>
      </c>
      <c r="GE81" s="9">
        <v>0</v>
      </c>
      <c r="GF81" s="9">
        <v>0</v>
      </c>
      <c r="GG81" s="9">
        <v>0</v>
      </c>
      <c r="GH81" s="9">
        <v>0</v>
      </c>
      <c r="GI81" s="9">
        <v>0</v>
      </c>
      <c r="GJ81" s="9">
        <v>0</v>
      </c>
      <c r="GK81" s="9">
        <v>5101</v>
      </c>
      <c r="GL81" s="9">
        <v>19021</v>
      </c>
      <c r="GM81" s="9">
        <v>0</v>
      </c>
      <c r="GN81" s="9">
        <v>0</v>
      </c>
      <c r="GO81" s="9">
        <v>0</v>
      </c>
      <c r="GP81" s="9">
        <v>34207570</v>
      </c>
      <c r="GQ81" s="9">
        <v>34207570</v>
      </c>
      <c r="GR81" s="9">
        <v>0</v>
      </c>
      <c r="GS81" s="9">
        <v>0</v>
      </c>
      <c r="GT81" s="9">
        <v>0</v>
      </c>
      <c r="GU81" s="9">
        <v>0</v>
      </c>
      <c r="GV81" s="9">
        <v>0</v>
      </c>
      <c r="GW81" s="9">
        <v>0</v>
      </c>
      <c r="GX81" s="9">
        <v>0</v>
      </c>
      <c r="GY81" s="9">
        <v>0</v>
      </c>
      <c r="GZ81" s="9">
        <v>0</v>
      </c>
      <c r="HA81" s="9">
        <v>0</v>
      </c>
      <c r="HB81" s="9">
        <v>260786259</v>
      </c>
      <c r="HC81" s="9">
        <v>5.0923999999999997E-2</v>
      </c>
      <c r="HD81" s="9">
        <v>676119</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32469</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row>
    <row r="82" spans="1:292" x14ac:dyDescent="0.25">
      <c r="A82" s="9">
        <v>71807</v>
      </c>
      <c r="B82" s="9">
        <v>32570</v>
      </c>
      <c r="C82" s="9">
        <v>35</v>
      </c>
      <c r="D82" s="9">
        <v>2022</v>
      </c>
      <c r="E82" s="9">
        <v>5392</v>
      </c>
      <c r="F82" s="9">
        <v>0</v>
      </c>
      <c r="G82" s="9">
        <v>190.178</v>
      </c>
      <c r="H82" s="9">
        <v>189.232</v>
      </c>
      <c r="I82" s="9">
        <v>189.232</v>
      </c>
      <c r="J82" s="9">
        <v>190.178</v>
      </c>
      <c r="K82" s="9">
        <v>0</v>
      </c>
      <c r="L82" s="9">
        <v>6554</v>
      </c>
      <c r="M82" s="9">
        <v>0</v>
      </c>
      <c r="N82" s="9">
        <v>0</v>
      </c>
      <c r="O82" s="9">
        <v>0</v>
      </c>
      <c r="P82" s="9">
        <v>205.81800000000001</v>
      </c>
      <c r="Q82" s="9">
        <v>0</v>
      </c>
      <c r="R82" s="9">
        <v>65803</v>
      </c>
      <c r="S82" s="9">
        <v>319.71300000000002</v>
      </c>
      <c r="T82" s="9">
        <v>0</v>
      </c>
      <c r="U82" s="9">
        <v>65803</v>
      </c>
      <c r="V82" s="9">
        <v>151.60400000000001</v>
      </c>
      <c r="W82" s="9">
        <v>99361</v>
      </c>
      <c r="X82" s="9">
        <v>99361</v>
      </c>
      <c r="Y82" s="9">
        <v>0</v>
      </c>
      <c r="Z82" s="9">
        <v>0</v>
      </c>
      <c r="AA82" s="9">
        <v>1</v>
      </c>
      <c r="AB82" s="9">
        <v>1</v>
      </c>
      <c r="AC82" s="9">
        <v>0</v>
      </c>
      <c r="AD82" s="9" t="s">
        <v>314</v>
      </c>
      <c r="AE82" s="9">
        <v>0</v>
      </c>
      <c r="AF82" s="9">
        <v>0</v>
      </c>
      <c r="AG82" s="9">
        <v>0</v>
      </c>
      <c r="AH82" s="9">
        <v>0</v>
      </c>
      <c r="AI82" s="9">
        <v>0</v>
      </c>
      <c r="AJ82" s="9">
        <v>5104</v>
      </c>
      <c r="AK82" s="9" t="s">
        <v>651</v>
      </c>
      <c r="AL82" s="9" t="s">
        <v>63</v>
      </c>
      <c r="AM82" s="9">
        <v>0</v>
      </c>
      <c r="AN82" s="9">
        <v>0</v>
      </c>
      <c r="AO82" s="9">
        <v>0</v>
      </c>
      <c r="AP82" s="9">
        <v>0</v>
      </c>
      <c r="AQ82" s="9">
        <v>0</v>
      </c>
      <c r="AR82" s="9">
        <v>0</v>
      </c>
      <c r="AS82" s="9">
        <v>0</v>
      </c>
      <c r="AT82" s="9">
        <v>0</v>
      </c>
      <c r="AU82" s="9">
        <v>0</v>
      </c>
      <c r="AV82" s="9">
        <v>217665</v>
      </c>
      <c r="AW82" s="9">
        <v>1835485</v>
      </c>
      <c r="AX82" s="9">
        <v>1835485</v>
      </c>
      <c r="AY82" s="9">
        <v>2280086</v>
      </c>
      <c r="AZ82" s="9">
        <v>65803</v>
      </c>
      <c r="BA82" s="9">
        <v>0</v>
      </c>
      <c r="BB82" s="9">
        <v>0</v>
      </c>
      <c r="BC82" s="9">
        <v>0</v>
      </c>
      <c r="BD82" s="9">
        <v>0</v>
      </c>
      <c r="BE82" s="9">
        <v>0</v>
      </c>
      <c r="BF82" s="9">
        <v>1566127</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205.81800000000001</v>
      </c>
      <c r="CS82" s="9">
        <v>0</v>
      </c>
      <c r="CT82" s="9">
        <v>0</v>
      </c>
      <c r="CU82" s="9">
        <v>0</v>
      </c>
      <c r="CV82" s="9">
        <v>0</v>
      </c>
      <c r="CW82" s="9">
        <v>0</v>
      </c>
      <c r="CX82" s="9">
        <v>0</v>
      </c>
      <c r="CY82" s="9">
        <v>0</v>
      </c>
      <c r="CZ82" s="9">
        <v>0</v>
      </c>
      <c r="DA82" s="9">
        <v>1</v>
      </c>
      <c r="DB82" s="9">
        <v>1240227</v>
      </c>
      <c r="DC82" s="9">
        <v>0</v>
      </c>
      <c r="DD82" s="9">
        <v>0</v>
      </c>
      <c r="DE82" s="9">
        <v>248619</v>
      </c>
      <c r="DF82" s="9">
        <v>248619</v>
      </c>
      <c r="DG82" s="9">
        <v>189.67000000000002</v>
      </c>
      <c r="DH82" s="9">
        <v>0</v>
      </c>
      <c r="DI82" s="9">
        <v>0</v>
      </c>
      <c r="DJ82" s="9">
        <v>0</v>
      </c>
      <c r="DK82" s="9">
        <v>5392</v>
      </c>
      <c r="DL82" s="9">
        <v>0</v>
      </c>
      <c r="DM82" s="9">
        <v>20920</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20920</v>
      </c>
      <c r="EI82" s="9">
        <v>0</v>
      </c>
      <c r="EJ82" s="9">
        <v>0</v>
      </c>
      <c r="EK82" s="9">
        <v>0.76900000000000002</v>
      </c>
      <c r="EL82" s="9">
        <v>0</v>
      </c>
      <c r="EM82" s="9">
        <v>0</v>
      </c>
      <c r="EN82" s="9">
        <v>0.17700000000000002</v>
      </c>
      <c r="EO82" s="9">
        <v>0</v>
      </c>
      <c r="EP82" s="9">
        <v>0</v>
      </c>
      <c r="EQ82" s="9">
        <v>0.94600000000000006</v>
      </c>
      <c r="ER82" s="9">
        <v>0</v>
      </c>
      <c r="ES82" s="9">
        <v>3.1920000000000002</v>
      </c>
      <c r="ET82" s="9">
        <v>0</v>
      </c>
      <c r="EU82" s="9">
        <v>65803</v>
      </c>
      <c r="EV82" s="9">
        <v>0</v>
      </c>
      <c r="EW82" s="9">
        <v>0</v>
      </c>
      <c r="EX82" s="9">
        <v>0</v>
      </c>
      <c r="EY82" s="9">
        <v>0</v>
      </c>
      <c r="EZ82" s="9">
        <v>1543324</v>
      </c>
      <c r="FA82" s="9">
        <v>0</v>
      </c>
      <c r="FB82" s="9">
        <v>1609127</v>
      </c>
      <c r="FC82" s="9">
        <v>0.97327799999999998</v>
      </c>
      <c r="FD82" s="9">
        <v>0</v>
      </c>
      <c r="FE82" s="9">
        <v>238431</v>
      </c>
      <c r="FF82" s="9">
        <v>53730</v>
      </c>
      <c r="FG82" s="9">
        <v>6.1239999999999996E-2</v>
      </c>
      <c r="FH82" s="9">
        <v>5.4803999999999999E-2</v>
      </c>
      <c r="FI82" s="9">
        <v>0</v>
      </c>
      <c r="FJ82" s="9">
        <v>0</v>
      </c>
      <c r="FK82" s="9">
        <v>306.85400000000004</v>
      </c>
      <c r="FL82" s="9">
        <v>1901288</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1901288</v>
      </c>
      <c r="GQ82" s="9">
        <v>1901288</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139.51500000000001</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32469</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row>
    <row r="83" spans="1:292" x14ac:dyDescent="0.25">
      <c r="A83" s="9">
        <v>71809</v>
      </c>
      <c r="B83" s="9">
        <v>32570</v>
      </c>
      <c r="C83" s="9">
        <v>35</v>
      </c>
      <c r="D83" s="9">
        <v>2022</v>
      </c>
      <c r="E83" s="9">
        <v>5392</v>
      </c>
      <c r="F83" s="9">
        <v>0</v>
      </c>
      <c r="G83" s="9">
        <v>277.44499999999999</v>
      </c>
      <c r="H83" s="9">
        <v>277.09700000000004</v>
      </c>
      <c r="I83" s="9">
        <v>277.09700000000004</v>
      </c>
      <c r="J83" s="9">
        <v>277.44499999999999</v>
      </c>
      <c r="K83" s="9">
        <v>0</v>
      </c>
      <c r="L83" s="9">
        <v>6554</v>
      </c>
      <c r="M83" s="9">
        <v>0</v>
      </c>
      <c r="N83" s="9">
        <v>0</v>
      </c>
      <c r="O83" s="9">
        <v>0</v>
      </c>
      <c r="P83" s="9">
        <v>318.13100000000003</v>
      </c>
      <c r="Q83" s="9">
        <v>0</v>
      </c>
      <c r="R83" s="9">
        <v>101711</v>
      </c>
      <c r="S83" s="9">
        <v>319.71300000000002</v>
      </c>
      <c r="T83" s="9">
        <v>0</v>
      </c>
      <c r="U83" s="9">
        <v>101711</v>
      </c>
      <c r="V83" s="9">
        <v>99.153000000000006</v>
      </c>
      <c r="W83" s="9">
        <v>64985</v>
      </c>
      <c r="X83" s="9">
        <v>64985</v>
      </c>
      <c r="Y83" s="9">
        <v>0</v>
      </c>
      <c r="Z83" s="9">
        <v>0</v>
      </c>
      <c r="AA83" s="9">
        <v>1</v>
      </c>
      <c r="AB83" s="9">
        <v>1</v>
      </c>
      <c r="AC83" s="9">
        <v>0</v>
      </c>
      <c r="AD83" s="9" t="s">
        <v>314</v>
      </c>
      <c r="AE83" s="9">
        <v>0</v>
      </c>
      <c r="AF83" s="9">
        <v>0</v>
      </c>
      <c r="AG83" s="9">
        <v>0</v>
      </c>
      <c r="AH83" s="9">
        <v>0</v>
      </c>
      <c r="AI83" s="9">
        <v>0</v>
      </c>
      <c r="AJ83" s="9">
        <v>5104</v>
      </c>
      <c r="AK83" s="9" t="s">
        <v>651</v>
      </c>
      <c r="AL83" s="9" t="s">
        <v>338</v>
      </c>
      <c r="AM83" s="9">
        <v>0</v>
      </c>
      <c r="AN83" s="9">
        <v>0</v>
      </c>
      <c r="AO83" s="9">
        <v>0</v>
      </c>
      <c r="AP83" s="9">
        <v>0</v>
      </c>
      <c r="AQ83" s="9">
        <v>0</v>
      </c>
      <c r="AR83" s="9">
        <v>0</v>
      </c>
      <c r="AS83" s="9">
        <v>0</v>
      </c>
      <c r="AT83" s="9">
        <v>0</v>
      </c>
      <c r="AU83" s="9">
        <v>0</v>
      </c>
      <c r="AV83" s="9">
        <v>5635</v>
      </c>
      <c r="AW83" s="9">
        <v>2557023</v>
      </c>
      <c r="AX83" s="9">
        <v>2497095</v>
      </c>
      <c r="AY83" s="9">
        <v>2725426</v>
      </c>
      <c r="AZ83" s="9">
        <v>101711</v>
      </c>
      <c r="BA83" s="9">
        <v>10.5</v>
      </c>
      <c r="BB83" s="9">
        <v>0</v>
      </c>
      <c r="BC83" s="9">
        <v>0</v>
      </c>
      <c r="BD83" s="9">
        <v>0</v>
      </c>
      <c r="BE83" s="9">
        <v>0</v>
      </c>
      <c r="BF83" s="9">
        <v>2140687</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59928</v>
      </c>
      <c r="CI83" s="9">
        <v>0</v>
      </c>
      <c r="CJ83" s="9">
        <v>4</v>
      </c>
      <c r="CK83" s="9">
        <v>0</v>
      </c>
      <c r="CL83" s="9">
        <v>0</v>
      </c>
      <c r="CM83" s="9">
        <v>0</v>
      </c>
      <c r="CN83" s="9">
        <v>0</v>
      </c>
      <c r="CO83" s="9">
        <v>0</v>
      </c>
      <c r="CP83" s="9">
        <v>0</v>
      </c>
      <c r="CQ83" s="9">
        <v>0</v>
      </c>
      <c r="CR83" s="9">
        <v>318.13100000000003</v>
      </c>
      <c r="CS83" s="9">
        <v>0</v>
      </c>
      <c r="CT83" s="9">
        <v>0</v>
      </c>
      <c r="CU83" s="9">
        <v>0</v>
      </c>
      <c r="CV83" s="9">
        <v>0</v>
      </c>
      <c r="CW83" s="9">
        <v>0</v>
      </c>
      <c r="CX83" s="9">
        <v>0</v>
      </c>
      <c r="CY83" s="9">
        <v>0</v>
      </c>
      <c r="CZ83" s="9">
        <v>0</v>
      </c>
      <c r="DA83" s="9">
        <v>1</v>
      </c>
      <c r="DB83" s="9">
        <v>1816094</v>
      </c>
      <c r="DC83" s="9">
        <v>0</v>
      </c>
      <c r="DD83" s="9">
        <v>0</v>
      </c>
      <c r="DE83" s="9">
        <v>257140</v>
      </c>
      <c r="DF83" s="9">
        <v>257140</v>
      </c>
      <c r="DG83" s="9">
        <v>196.17000000000002</v>
      </c>
      <c r="DH83" s="9">
        <v>0</v>
      </c>
      <c r="DI83" s="9">
        <v>0</v>
      </c>
      <c r="DJ83" s="9">
        <v>0</v>
      </c>
      <c r="DK83" s="9">
        <v>5392</v>
      </c>
      <c r="DL83" s="9">
        <v>0</v>
      </c>
      <c r="DM83" s="9">
        <v>61243</v>
      </c>
      <c r="DN83" s="9">
        <v>0</v>
      </c>
      <c r="DO83" s="9">
        <v>0</v>
      </c>
      <c r="DP83" s="9">
        <v>0</v>
      </c>
      <c r="DQ83" s="9">
        <v>0</v>
      </c>
      <c r="DR83" s="9">
        <v>0</v>
      </c>
      <c r="DS83" s="9">
        <v>0</v>
      </c>
      <c r="DT83" s="9">
        <v>0</v>
      </c>
      <c r="DU83" s="9">
        <v>0</v>
      </c>
      <c r="DV83" s="9">
        <v>0</v>
      </c>
      <c r="DW83" s="9">
        <v>0</v>
      </c>
      <c r="DX83" s="9">
        <v>0</v>
      </c>
      <c r="DY83" s="9">
        <v>0</v>
      </c>
      <c r="DZ83" s="9">
        <v>0</v>
      </c>
      <c r="EA83" s="9">
        <v>0</v>
      </c>
      <c r="EB83" s="9">
        <v>0</v>
      </c>
      <c r="EC83" s="9">
        <v>6.9130000000000003</v>
      </c>
      <c r="ED83" s="9">
        <v>49839</v>
      </c>
      <c r="EE83" s="9">
        <v>0</v>
      </c>
      <c r="EF83" s="9">
        <v>0</v>
      </c>
      <c r="EG83" s="9">
        <v>0</v>
      </c>
      <c r="EH83" s="9">
        <v>11404</v>
      </c>
      <c r="EI83" s="9">
        <v>0</v>
      </c>
      <c r="EJ83" s="9">
        <v>0</v>
      </c>
      <c r="EK83" s="9">
        <v>0</v>
      </c>
      <c r="EL83" s="9">
        <v>0</v>
      </c>
      <c r="EM83" s="9">
        <v>0</v>
      </c>
      <c r="EN83" s="9">
        <v>0.34800000000000003</v>
      </c>
      <c r="EO83" s="9">
        <v>0</v>
      </c>
      <c r="EP83" s="9">
        <v>0</v>
      </c>
      <c r="EQ83" s="9">
        <v>0.34800000000000003</v>
      </c>
      <c r="ER83" s="9">
        <v>0</v>
      </c>
      <c r="ES83" s="9">
        <v>1.74</v>
      </c>
      <c r="ET83" s="9">
        <v>5250</v>
      </c>
      <c r="EU83" s="9">
        <v>101711</v>
      </c>
      <c r="EV83" s="9">
        <v>0</v>
      </c>
      <c r="EW83" s="9">
        <v>0</v>
      </c>
      <c r="EX83" s="9">
        <v>0</v>
      </c>
      <c r="EY83" s="9">
        <v>0</v>
      </c>
      <c r="EZ83" s="9">
        <v>2097751</v>
      </c>
      <c r="FA83" s="9">
        <v>0</v>
      </c>
      <c r="FB83" s="9">
        <v>2199462</v>
      </c>
      <c r="FC83" s="9">
        <v>0.97327799999999998</v>
      </c>
      <c r="FD83" s="9">
        <v>0</v>
      </c>
      <c r="FE83" s="9">
        <v>325902</v>
      </c>
      <c r="FF83" s="9">
        <v>73442</v>
      </c>
      <c r="FG83" s="9">
        <v>6.1239999999999996E-2</v>
      </c>
      <c r="FH83" s="9">
        <v>5.4803999999999999E-2</v>
      </c>
      <c r="FI83" s="9">
        <v>0</v>
      </c>
      <c r="FJ83" s="9">
        <v>0</v>
      </c>
      <c r="FK83" s="9">
        <v>419.428</v>
      </c>
      <c r="FL83" s="9">
        <v>2658734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2598806</v>
      </c>
      <c r="GQ83" s="9">
        <v>2598806</v>
      </c>
      <c r="GR83" s="9">
        <v>0</v>
      </c>
      <c r="GS83" s="9">
        <v>0</v>
      </c>
      <c r="GT83" s="9">
        <v>0</v>
      </c>
      <c r="GU83" s="9">
        <v>0</v>
      </c>
      <c r="GV83" s="9">
        <v>0</v>
      </c>
      <c r="GW83" s="9">
        <v>0</v>
      </c>
      <c r="GX83" s="9">
        <v>0</v>
      </c>
      <c r="GY83" s="9">
        <v>0</v>
      </c>
      <c r="GZ83" s="9">
        <v>0</v>
      </c>
      <c r="HA83" s="9">
        <v>0</v>
      </c>
      <c r="HB83" s="9">
        <v>260786259</v>
      </c>
      <c r="HC83" s="9">
        <v>5.0923999999999997E-2</v>
      </c>
      <c r="HD83" s="9">
        <v>54678</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32469</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row>
    <row r="84" spans="1:292" x14ac:dyDescent="0.25">
      <c r="A84" s="9">
        <v>71810</v>
      </c>
      <c r="B84" s="9">
        <v>32570</v>
      </c>
      <c r="C84" s="9">
        <v>35</v>
      </c>
      <c r="D84" s="9">
        <v>2022</v>
      </c>
      <c r="E84" s="9">
        <v>5392</v>
      </c>
      <c r="F84" s="9">
        <v>0</v>
      </c>
      <c r="G84" s="9">
        <v>205.79300000000001</v>
      </c>
      <c r="H84" s="9">
        <v>204.62300000000002</v>
      </c>
      <c r="I84" s="9">
        <v>204.62300000000002</v>
      </c>
      <c r="J84" s="9">
        <v>205.79300000000001</v>
      </c>
      <c r="K84" s="9">
        <v>0</v>
      </c>
      <c r="L84" s="9">
        <v>6554</v>
      </c>
      <c r="M84" s="9">
        <v>0</v>
      </c>
      <c r="N84" s="9">
        <v>0</v>
      </c>
      <c r="O84" s="9">
        <v>0</v>
      </c>
      <c r="P84" s="9">
        <v>197.155</v>
      </c>
      <c r="Q84" s="9">
        <v>0</v>
      </c>
      <c r="R84" s="9">
        <v>63033</v>
      </c>
      <c r="S84" s="9">
        <v>319.71300000000002</v>
      </c>
      <c r="T84" s="9">
        <v>0</v>
      </c>
      <c r="U84" s="9">
        <v>63033</v>
      </c>
      <c r="V84" s="9">
        <v>87.701000000000008</v>
      </c>
      <c r="W84" s="9">
        <v>57479</v>
      </c>
      <c r="X84" s="9">
        <v>57479</v>
      </c>
      <c r="Y84" s="9">
        <v>0</v>
      </c>
      <c r="Z84" s="9">
        <v>0</v>
      </c>
      <c r="AA84" s="9">
        <v>1</v>
      </c>
      <c r="AB84" s="9">
        <v>1</v>
      </c>
      <c r="AC84" s="9">
        <v>0</v>
      </c>
      <c r="AD84" s="9" t="s">
        <v>314</v>
      </c>
      <c r="AE84" s="9">
        <v>0</v>
      </c>
      <c r="AF84" s="9">
        <v>0</v>
      </c>
      <c r="AG84" s="9">
        <v>0</v>
      </c>
      <c r="AH84" s="9">
        <v>0</v>
      </c>
      <c r="AI84" s="9">
        <v>0</v>
      </c>
      <c r="AJ84" s="9">
        <v>5104</v>
      </c>
      <c r="AK84" s="9" t="s">
        <v>651</v>
      </c>
      <c r="AL84" s="9" t="s">
        <v>339</v>
      </c>
      <c r="AM84" s="9">
        <v>0</v>
      </c>
      <c r="AN84" s="9">
        <v>0</v>
      </c>
      <c r="AO84" s="9">
        <v>0</v>
      </c>
      <c r="AP84" s="9">
        <v>0</v>
      </c>
      <c r="AQ84" s="9">
        <v>0</v>
      </c>
      <c r="AR84" s="9">
        <v>0</v>
      </c>
      <c r="AS84" s="9">
        <v>0</v>
      </c>
      <c r="AT84" s="9">
        <v>0</v>
      </c>
      <c r="AU84" s="9">
        <v>0</v>
      </c>
      <c r="AV84" s="9">
        <v>90341</v>
      </c>
      <c r="AW84" s="9">
        <v>2112357</v>
      </c>
      <c r="AX84" s="9">
        <v>2071800</v>
      </c>
      <c r="AY84" s="9">
        <v>2207754</v>
      </c>
      <c r="AZ84" s="9">
        <v>63033</v>
      </c>
      <c r="BA84" s="9">
        <v>0</v>
      </c>
      <c r="BB84" s="9">
        <v>8093</v>
      </c>
      <c r="BC84" s="9">
        <v>8093</v>
      </c>
      <c r="BD84" s="9">
        <v>10.290000000000001</v>
      </c>
      <c r="BE84" s="9">
        <v>0</v>
      </c>
      <c r="BF84" s="9">
        <v>1750217</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40557</v>
      </c>
      <c r="CI84" s="9">
        <v>0</v>
      </c>
      <c r="CJ84" s="9">
        <v>4</v>
      </c>
      <c r="CK84" s="9">
        <v>0</v>
      </c>
      <c r="CL84" s="9">
        <v>0</v>
      </c>
      <c r="CM84" s="9">
        <v>0</v>
      </c>
      <c r="CN84" s="9">
        <v>0</v>
      </c>
      <c r="CO84" s="9">
        <v>0</v>
      </c>
      <c r="CP84" s="9">
        <v>0</v>
      </c>
      <c r="CQ84" s="9">
        <v>0</v>
      </c>
      <c r="CR84" s="9">
        <v>197.155</v>
      </c>
      <c r="CS84" s="9">
        <v>0</v>
      </c>
      <c r="CT84" s="9">
        <v>0</v>
      </c>
      <c r="CU84" s="9">
        <v>0</v>
      </c>
      <c r="CV84" s="9">
        <v>0</v>
      </c>
      <c r="CW84" s="9">
        <v>0</v>
      </c>
      <c r="CX84" s="9">
        <v>0</v>
      </c>
      <c r="CY84" s="9">
        <v>0</v>
      </c>
      <c r="CZ84" s="9">
        <v>0</v>
      </c>
      <c r="DA84" s="9">
        <v>1</v>
      </c>
      <c r="DB84" s="9">
        <v>1341099</v>
      </c>
      <c r="DC84" s="9">
        <v>0</v>
      </c>
      <c r="DD84" s="9">
        <v>0</v>
      </c>
      <c r="DE84" s="9">
        <v>275491</v>
      </c>
      <c r="DF84" s="9">
        <v>275491</v>
      </c>
      <c r="DG84" s="9">
        <v>210.17000000000002</v>
      </c>
      <c r="DH84" s="9">
        <v>0</v>
      </c>
      <c r="DI84" s="9">
        <v>0</v>
      </c>
      <c r="DJ84" s="9">
        <v>0</v>
      </c>
      <c r="DK84" s="9">
        <v>5392</v>
      </c>
      <c r="DL84" s="9">
        <v>0</v>
      </c>
      <c r="DM84" s="9">
        <v>116109</v>
      </c>
      <c r="DN84" s="9">
        <v>0</v>
      </c>
      <c r="DO84" s="9">
        <v>0</v>
      </c>
      <c r="DP84" s="9">
        <v>0</v>
      </c>
      <c r="DQ84" s="9">
        <v>0</v>
      </c>
      <c r="DR84" s="9">
        <v>0</v>
      </c>
      <c r="DS84" s="9">
        <v>0</v>
      </c>
      <c r="DT84" s="9">
        <v>0</v>
      </c>
      <c r="DU84" s="9">
        <v>0</v>
      </c>
      <c r="DV84" s="9">
        <v>0</v>
      </c>
      <c r="DW84" s="9">
        <v>0</v>
      </c>
      <c r="DX84" s="9">
        <v>0</v>
      </c>
      <c r="DY84" s="9">
        <v>0</v>
      </c>
      <c r="DZ84" s="9">
        <v>0</v>
      </c>
      <c r="EA84" s="9">
        <v>0</v>
      </c>
      <c r="EB84" s="9">
        <v>0</v>
      </c>
      <c r="EC84" s="9">
        <v>12.407</v>
      </c>
      <c r="ED84" s="9">
        <v>89447</v>
      </c>
      <c r="EE84" s="9">
        <v>0</v>
      </c>
      <c r="EF84" s="9">
        <v>0</v>
      </c>
      <c r="EG84" s="9">
        <v>0</v>
      </c>
      <c r="EH84" s="9">
        <v>26662</v>
      </c>
      <c r="EI84" s="9">
        <v>0</v>
      </c>
      <c r="EJ84" s="9">
        <v>0</v>
      </c>
      <c r="EK84" s="9">
        <v>0</v>
      </c>
      <c r="EL84" s="9">
        <v>0</v>
      </c>
      <c r="EM84" s="9">
        <v>0.89100000000000001</v>
      </c>
      <c r="EN84" s="9">
        <v>0.27900000000000003</v>
      </c>
      <c r="EO84" s="9">
        <v>0</v>
      </c>
      <c r="EP84" s="9">
        <v>0</v>
      </c>
      <c r="EQ84" s="9">
        <v>1.17</v>
      </c>
      <c r="ER84" s="9">
        <v>0</v>
      </c>
      <c r="ES84" s="9">
        <v>4.0680000000000005</v>
      </c>
      <c r="ET84" s="9">
        <v>0</v>
      </c>
      <c r="EU84" s="9">
        <v>63033</v>
      </c>
      <c r="EV84" s="9">
        <v>0</v>
      </c>
      <c r="EW84" s="9">
        <v>0</v>
      </c>
      <c r="EX84" s="9">
        <v>0</v>
      </c>
      <c r="EY84" s="9">
        <v>0</v>
      </c>
      <c r="EZ84" s="9">
        <v>1745297</v>
      </c>
      <c r="FA84" s="9">
        <v>0</v>
      </c>
      <c r="FB84" s="9">
        <v>1808330</v>
      </c>
      <c r="FC84" s="9">
        <v>0.97327799999999998</v>
      </c>
      <c r="FD84" s="9">
        <v>0</v>
      </c>
      <c r="FE84" s="9">
        <v>266457</v>
      </c>
      <c r="FF84" s="9">
        <v>60046</v>
      </c>
      <c r="FG84" s="9">
        <v>6.1239999999999996E-2</v>
      </c>
      <c r="FH84" s="9">
        <v>5.4803999999999999E-2</v>
      </c>
      <c r="FI84" s="9">
        <v>0</v>
      </c>
      <c r="FJ84" s="9">
        <v>0</v>
      </c>
      <c r="FK84" s="9">
        <v>342.923</v>
      </c>
      <c r="FL84" s="9">
        <v>2175390</v>
      </c>
      <c r="FM84" s="9">
        <v>0</v>
      </c>
      <c r="FN84" s="9">
        <v>0</v>
      </c>
      <c r="FO84" s="9">
        <v>10059</v>
      </c>
      <c r="FP84" s="9">
        <v>0</v>
      </c>
      <c r="FQ84" s="9">
        <v>10059</v>
      </c>
      <c r="FR84" s="9">
        <v>10059</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2134833</v>
      </c>
      <c r="GQ84" s="9">
        <v>2134833</v>
      </c>
      <c r="GR84" s="9">
        <v>0</v>
      </c>
      <c r="GS84" s="9">
        <v>0</v>
      </c>
      <c r="GT84" s="9">
        <v>0</v>
      </c>
      <c r="GU84" s="9">
        <v>0</v>
      </c>
      <c r="GV84" s="9">
        <v>0</v>
      </c>
      <c r="GW84" s="9">
        <v>0</v>
      </c>
      <c r="GX84" s="9">
        <v>0</v>
      </c>
      <c r="GY84" s="9">
        <v>0</v>
      </c>
      <c r="GZ84" s="9">
        <v>0</v>
      </c>
      <c r="HA84" s="9">
        <v>0</v>
      </c>
      <c r="HB84" s="9">
        <v>260786259</v>
      </c>
      <c r="HC84" s="9">
        <v>5.0923999999999997E-2</v>
      </c>
      <c r="HD84" s="9">
        <v>40557</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32469</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row>
    <row r="85" spans="1:292" ht="13" x14ac:dyDescent="0.3">
      <c r="A85" s="9">
        <v>72801</v>
      </c>
      <c r="B85" s="9">
        <v>32570</v>
      </c>
      <c r="C85" s="9">
        <v>35</v>
      </c>
      <c r="D85" s="9">
        <v>2022</v>
      </c>
      <c r="E85" s="9">
        <v>5392</v>
      </c>
      <c r="F85" s="9">
        <v>0</v>
      </c>
      <c r="G85" s="9">
        <v>4361.277</v>
      </c>
      <c r="H85" s="9">
        <v>4274.9960000000001</v>
      </c>
      <c r="I85" s="9">
        <v>4274.9960000000001</v>
      </c>
      <c r="J85" s="9">
        <v>4706.9270000000006</v>
      </c>
      <c r="K85" s="9">
        <v>0</v>
      </c>
      <c r="L85" s="9">
        <v>6554</v>
      </c>
      <c r="M85" s="9">
        <v>0</v>
      </c>
      <c r="N85" s="9">
        <v>0</v>
      </c>
      <c r="O85" s="9">
        <v>0</v>
      </c>
      <c r="P85" s="9">
        <v>4327.5990000000002</v>
      </c>
      <c r="Q85" s="9">
        <v>0</v>
      </c>
      <c r="R85" s="10">
        <v>1383590</v>
      </c>
      <c r="S85" s="9">
        <v>319.71300000000002</v>
      </c>
      <c r="T85" s="9">
        <v>0</v>
      </c>
      <c r="U85" s="10">
        <v>1383590</v>
      </c>
      <c r="V85" s="10">
        <v>632.95800000000008</v>
      </c>
      <c r="W85" s="10">
        <v>414841</v>
      </c>
      <c r="X85" s="10">
        <v>414841</v>
      </c>
      <c r="Y85" s="9">
        <v>0</v>
      </c>
      <c r="Z85" s="9">
        <v>0</v>
      </c>
      <c r="AA85" s="9">
        <v>1</v>
      </c>
      <c r="AB85" s="9">
        <v>1</v>
      </c>
      <c r="AC85" s="9">
        <v>0</v>
      </c>
      <c r="AD85" s="9" t="s">
        <v>314</v>
      </c>
      <c r="AE85" s="9">
        <v>0</v>
      </c>
      <c r="AF85" s="9">
        <v>0</v>
      </c>
      <c r="AG85" s="9">
        <v>0</v>
      </c>
      <c r="AH85" s="9">
        <v>0</v>
      </c>
      <c r="AI85" s="9">
        <v>0</v>
      </c>
      <c r="AJ85" s="9">
        <v>5104</v>
      </c>
      <c r="AK85" s="9" t="s">
        <v>651</v>
      </c>
      <c r="AL85" s="9" t="s">
        <v>97</v>
      </c>
      <c r="AM85" s="9">
        <v>0</v>
      </c>
      <c r="AN85" s="9">
        <v>0</v>
      </c>
      <c r="AO85" s="9">
        <v>0</v>
      </c>
      <c r="AP85" s="9">
        <v>0</v>
      </c>
      <c r="AQ85" s="9">
        <v>0</v>
      </c>
      <c r="AR85" s="9">
        <v>0</v>
      </c>
      <c r="AS85" s="9">
        <v>0</v>
      </c>
      <c r="AT85" s="9">
        <v>0</v>
      </c>
      <c r="AU85" s="9">
        <v>0</v>
      </c>
      <c r="AV85" s="9">
        <v>200241</v>
      </c>
      <c r="AW85" s="9">
        <v>48693742</v>
      </c>
      <c r="AX85" s="9">
        <v>46416834</v>
      </c>
      <c r="AY85" s="9">
        <v>48318873</v>
      </c>
      <c r="AZ85" s="9">
        <v>2666555</v>
      </c>
      <c r="BA85" s="10">
        <v>124.167</v>
      </c>
      <c r="BB85" s="9">
        <v>0</v>
      </c>
      <c r="BC85" s="9">
        <v>0</v>
      </c>
      <c r="BD85" s="9">
        <v>0</v>
      </c>
      <c r="BE85" s="9">
        <v>0</v>
      </c>
      <c r="BF85" s="9">
        <v>39344714</v>
      </c>
      <c r="BG85" s="9">
        <v>0</v>
      </c>
      <c r="BH85" s="10">
        <v>4665.3290000000006</v>
      </c>
      <c r="BI85" s="10">
        <v>1282965</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0</v>
      </c>
      <c r="CB85" s="9">
        <v>0</v>
      </c>
      <c r="CC85" s="9">
        <v>0</v>
      </c>
      <c r="CD85" s="9">
        <v>0</v>
      </c>
      <c r="CE85" s="9">
        <v>0</v>
      </c>
      <c r="CF85" s="9">
        <v>0</v>
      </c>
      <c r="CG85" s="9">
        <v>0</v>
      </c>
      <c r="CH85" s="10">
        <v>993943</v>
      </c>
      <c r="CI85" s="9">
        <v>0</v>
      </c>
      <c r="CJ85" s="9">
        <v>4</v>
      </c>
      <c r="CK85" s="9">
        <v>0</v>
      </c>
      <c r="CL85" s="9">
        <v>0</v>
      </c>
      <c r="CM85" s="9">
        <v>0</v>
      </c>
      <c r="CN85" s="9">
        <v>0</v>
      </c>
      <c r="CO85" s="9">
        <v>0</v>
      </c>
      <c r="CP85" s="9">
        <v>0</v>
      </c>
      <c r="CQ85" s="9">
        <v>16.917000000000002</v>
      </c>
      <c r="CR85" s="9">
        <v>4327.5990000000002</v>
      </c>
      <c r="CS85" s="9">
        <v>0</v>
      </c>
      <c r="CT85" s="9">
        <v>0</v>
      </c>
      <c r="CU85" s="9">
        <v>0</v>
      </c>
      <c r="CV85" s="9">
        <v>0</v>
      </c>
      <c r="CW85" s="9">
        <v>0</v>
      </c>
      <c r="CX85" s="9">
        <v>0</v>
      </c>
      <c r="CY85" s="9">
        <v>0</v>
      </c>
      <c r="CZ85" s="9">
        <v>0</v>
      </c>
      <c r="DA85" s="9">
        <v>1</v>
      </c>
      <c r="DB85" s="9">
        <v>28018324</v>
      </c>
      <c r="DC85" s="9">
        <v>0</v>
      </c>
      <c r="DD85" s="9">
        <v>0</v>
      </c>
      <c r="DE85" s="9">
        <v>3993352</v>
      </c>
      <c r="DF85" s="9">
        <v>3993352</v>
      </c>
      <c r="DG85" s="9">
        <v>3046.5</v>
      </c>
      <c r="DH85" s="9">
        <v>0</v>
      </c>
      <c r="DI85" s="9">
        <v>0</v>
      </c>
      <c r="DJ85" s="9">
        <v>0</v>
      </c>
      <c r="DK85" s="9">
        <v>5392</v>
      </c>
      <c r="DL85" s="9">
        <v>0</v>
      </c>
      <c r="DM85" s="9">
        <v>5806651</v>
      </c>
      <c r="DN85" s="9">
        <v>0</v>
      </c>
      <c r="DO85" s="9">
        <v>0</v>
      </c>
      <c r="DP85" s="9">
        <v>0</v>
      </c>
      <c r="DQ85" s="9">
        <v>0</v>
      </c>
      <c r="DR85" s="9">
        <v>0</v>
      </c>
      <c r="DS85" s="9">
        <v>0</v>
      </c>
      <c r="DT85" s="9">
        <v>0</v>
      </c>
      <c r="DU85" s="9">
        <v>0</v>
      </c>
      <c r="DV85" s="9">
        <v>0</v>
      </c>
      <c r="DW85" s="9">
        <v>0</v>
      </c>
      <c r="DX85" s="9">
        <v>0</v>
      </c>
      <c r="DY85" s="9">
        <v>0</v>
      </c>
      <c r="DZ85" s="9">
        <v>0</v>
      </c>
      <c r="EA85" s="9">
        <v>0</v>
      </c>
      <c r="EB85" s="9">
        <v>2.472</v>
      </c>
      <c r="EC85" s="9">
        <v>301.73599999999999</v>
      </c>
      <c r="ED85" s="9">
        <v>2175336</v>
      </c>
      <c r="EE85" s="9">
        <v>0</v>
      </c>
      <c r="EF85" s="9">
        <v>0</v>
      </c>
      <c r="EG85" s="9">
        <v>0</v>
      </c>
      <c r="EH85" s="9">
        <v>3602976</v>
      </c>
      <c r="EI85" s="9">
        <v>28339</v>
      </c>
      <c r="EJ85" s="9">
        <v>1.081</v>
      </c>
      <c r="EK85" s="9">
        <v>149.84700000000001</v>
      </c>
      <c r="EL85" s="9">
        <v>8.2960000000000012</v>
      </c>
      <c r="EM85" s="9">
        <v>30.775000000000002</v>
      </c>
      <c r="EN85" s="9">
        <v>9.0999999999999998E-2</v>
      </c>
      <c r="EO85" s="9">
        <v>0</v>
      </c>
      <c r="EP85" s="9">
        <v>0</v>
      </c>
      <c r="EQ85" s="9">
        <v>184.26600000000002</v>
      </c>
      <c r="ER85" s="9">
        <v>0</v>
      </c>
      <c r="ES85" s="9">
        <v>549.73700000000008</v>
      </c>
      <c r="ET85" s="10">
        <v>66313</v>
      </c>
      <c r="EU85" s="9">
        <v>2666555</v>
      </c>
      <c r="EV85" s="9">
        <v>0</v>
      </c>
      <c r="EW85" s="9">
        <v>0</v>
      </c>
      <c r="EX85" s="9">
        <v>0</v>
      </c>
      <c r="EY85" s="9">
        <v>0</v>
      </c>
      <c r="EZ85" s="9">
        <v>39077098</v>
      </c>
      <c r="FA85" s="9">
        <v>0</v>
      </c>
      <c r="FB85" s="10">
        <v>41743653</v>
      </c>
      <c r="FC85" s="9">
        <v>0.97327799999999998</v>
      </c>
      <c r="FD85" s="9">
        <v>0</v>
      </c>
      <c r="FE85" s="9">
        <v>5989917</v>
      </c>
      <c r="FF85" s="9">
        <v>1349819</v>
      </c>
      <c r="FG85" s="9">
        <v>6.1239999999999996E-2</v>
      </c>
      <c r="FH85" s="9">
        <v>5.4803999999999999E-2</v>
      </c>
      <c r="FI85" s="9">
        <v>0</v>
      </c>
      <c r="FJ85" s="9">
        <v>0</v>
      </c>
      <c r="FK85" s="9">
        <v>7708.8690000000006</v>
      </c>
      <c r="FL85" s="9">
        <v>50077332</v>
      </c>
      <c r="FM85" s="9">
        <v>0</v>
      </c>
      <c r="FN85" s="9">
        <v>0</v>
      </c>
      <c r="FO85" s="9">
        <v>35718</v>
      </c>
      <c r="FP85" s="9">
        <v>0</v>
      </c>
      <c r="FQ85" s="9">
        <v>35718</v>
      </c>
      <c r="FR85" s="9">
        <v>35718</v>
      </c>
      <c r="FS85" s="9">
        <v>0</v>
      </c>
      <c r="FT85" s="9">
        <v>0</v>
      </c>
      <c r="FU85" s="9">
        <v>1</v>
      </c>
      <c r="FV85" s="9">
        <v>0</v>
      </c>
      <c r="FW85" s="9">
        <v>0</v>
      </c>
      <c r="FX85" s="9">
        <v>0</v>
      </c>
      <c r="FY85" s="9">
        <v>0</v>
      </c>
      <c r="FZ85" s="9">
        <v>487</v>
      </c>
      <c r="GA85" s="9">
        <v>9.7439999999999998</v>
      </c>
      <c r="GB85" s="10">
        <v>2191802</v>
      </c>
      <c r="GC85" s="10">
        <v>2191802</v>
      </c>
      <c r="GD85" s="10">
        <v>247.66500000000002</v>
      </c>
      <c r="GE85" s="9">
        <v>0</v>
      </c>
      <c r="GF85" s="9">
        <v>0</v>
      </c>
      <c r="GG85" s="9">
        <v>0</v>
      </c>
      <c r="GH85" s="9">
        <v>0</v>
      </c>
      <c r="GI85" s="9">
        <v>0</v>
      </c>
      <c r="GJ85" s="9">
        <v>0</v>
      </c>
      <c r="GK85" s="9">
        <v>5147</v>
      </c>
      <c r="GL85" s="9">
        <v>8036</v>
      </c>
      <c r="GM85" s="9">
        <v>0</v>
      </c>
      <c r="GN85" s="9">
        <v>0</v>
      </c>
      <c r="GO85" s="9">
        <v>0</v>
      </c>
      <c r="GP85" s="9">
        <v>49083389</v>
      </c>
      <c r="GQ85" s="9">
        <v>49083389</v>
      </c>
      <c r="GR85" s="9">
        <v>0</v>
      </c>
      <c r="GS85" s="9">
        <v>0</v>
      </c>
      <c r="GT85" s="9">
        <v>0</v>
      </c>
      <c r="GU85" s="9">
        <v>0</v>
      </c>
      <c r="GV85" s="9">
        <v>0</v>
      </c>
      <c r="GW85" s="9">
        <v>0</v>
      </c>
      <c r="GX85" s="9">
        <v>0</v>
      </c>
      <c r="GY85" s="9">
        <v>0</v>
      </c>
      <c r="GZ85" s="9">
        <v>0</v>
      </c>
      <c r="HA85" s="9">
        <v>0</v>
      </c>
      <c r="HB85" s="9">
        <v>260786259</v>
      </c>
      <c r="HC85" s="9">
        <v>5.0923999999999997E-2</v>
      </c>
      <c r="HD85" s="10">
        <v>927630</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32469</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row>
    <row r="86" spans="1:292" x14ac:dyDescent="0.25">
      <c r="A86" s="9">
        <v>72802</v>
      </c>
      <c r="B86" s="9">
        <v>32570</v>
      </c>
      <c r="C86" s="9">
        <v>35</v>
      </c>
      <c r="D86" s="9">
        <v>2022</v>
      </c>
      <c r="E86" s="9">
        <v>5392</v>
      </c>
      <c r="F86" s="9">
        <v>0</v>
      </c>
      <c r="G86" s="9">
        <v>97.731000000000009</v>
      </c>
      <c r="H86" s="9">
        <v>84.63600000000001</v>
      </c>
      <c r="I86" s="9">
        <v>84.63600000000001</v>
      </c>
      <c r="J86" s="9">
        <v>97.731000000000009</v>
      </c>
      <c r="K86" s="9">
        <v>0</v>
      </c>
      <c r="L86" s="9">
        <v>6554</v>
      </c>
      <c r="M86" s="9">
        <v>0</v>
      </c>
      <c r="N86" s="9">
        <v>0</v>
      </c>
      <c r="O86" s="9">
        <v>0</v>
      </c>
      <c r="P86" s="9">
        <v>109.01300000000001</v>
      </c>
      <c r="Q86" s="9">
        <v>0</v>
      </c>
      <c r="R86" s="9">
        <v>34853</v>
      </c>
      <c r="S86" s="9">
        <v>319.71300000000002</v>
      </c>
      <c r="T86" s="9">
        <v>0</v>
      </c>
      <c r="U86" s="9">
        <v>34853</v>
      </c>
      <c r="V86" s="9">
        <v>5.6829999999999998</v>
      </c>
      <c r="W86" s="9">
        <v>3725</v>
      </c>
      <c r="X86" s="9">
        <v>3725</v>
      </c>
      <c r="Y86" s="9">
        <v>0</v>
      </c>
      <c r="Z86" s="9">
        <v>0</v>
      </c>
      <c r="AA86" s="9">
        <v>1</v>
      </c>
      <c r="AB86" s="9">
        <v>1</v>
      </c>
      <c r="AC86" s="9">
        <v>0</v>
      </c>
      <c r="AD86" s="9" t="s">
        <v>314</v>
      </c>
      <c r="AE86" s="9">
        <v>0</v>
      </c>
      <c r="AF86" s="9">
        <v>0</v>
      </c>
      <c r="AG86" s="9">
        <v>0</v>
      </c>
      <c r="AH86" s="9">
        <v>0</v>
      </c>
      <c r="AI86" s="9">
        <v>0</v>
      </c>
      <c r="AJ86" s="9">
        <v>5104</v>
      </c>
      <c r="AK86" s="9" t="s">
        <v>651</v>
      </c>
      <c r="AL86" s="9" t="s">
        <v>340</v>
      </c>
      <c r="AM86" s="9">
        <v>0</v>
      </c>
      <c r="AN86" s="9">
        <v>0</v>
      </c>
      <c r="AO86" s="9">
        <v>0</v>
      </c>
      <c r="AP86" s="9">
        <v>0</v>
      </c>
      <c r="AQ86" s="9">
        <v>0</v>
      </c>
      <c r="AR86" s="9">
        <v>0</v>
      </c>
      <c r="AS86" s="9">
        <v>0</v>
      </c>
      <c r="AT86" s="9">
        <v>0</v>
      </c>
      <c r="AU86" s="9">
        <v>0</v>
      </c>
      <c r="AV86" s="9">
        <v>36620</v>
      </c>
      <c r="AW86" s="9">
        <v>998212</v>
      </c>
      <c r="AX86" s="9">
        <v>952827</v>
      </c>
      <c r="AY86" s="9">
        <v>1082991</v>
      </c>
      <c r="AZ86" s="9">
        <v>59977</v>
      </c>
      <c r="BA86" s="9">
        <v>2</v>
      </c>
      <c r="BB86" s="9">
        <v>0</v>
      </c>
      <c r="BC86" s="9">
        <v>0</v>
      </c>
      <c r="BD86" s="9">
        <v>0</v>
      </c>
      <c r="BE86" s="9">
        <v>0</v>
      </c>
      <c r="BF86" s="9">
        <v>813570</v>
      </c>
      <c r="BG86" s="9">
        <v>0</v>
      </c>
      <c r="BH86" s="9">
        <v>91.36</v>
      </c>
      <c r="BI86" s="9">
        <v>25124</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9">
        <v>20261</v>
      </c>
      <c r="CI86" s="9">
        <v>0</v>
      </c>
      <c r="CJ86" s="9">
        <v>4</v>
      </c>
      <c r="CK86" s="9">
        <v>0</v>
      </c>
      <c r="CL86" s="9">
        <v>0</v>
      </c>
      <c r="CM86" s="9">
        <v>0</v>
      </c>
      <c r="CN86" s="9">
        <v>0</v>
      </c>
      <c r="CO86" s="9">
        <v>0</v>
      </c>
      <c r="CP86" s="9">
        <v>0.45100000000000001</v>
      </c>
      <c r="CQ86" s="9">
        <v>0</v>
      </c>
      <c r="CR86" s="9">
        <v>109.01300000000001</v>
      </c>
      <c r="CS86" s="9">
        <v>0</v>
      </c>
      <c r="CT86" s="9">
        <v>0</v>
      </c>
      <c r="CU86" s="9">
        <v>0</v>
      </c>
      <c r="CV86" s="9">
        <v>0</v>
      </c>
      <c r="CW86" s="9">
        <v>0</v>
      </c>
      <c r="CX86" s="9">
        <v>0</v>
      </c>
      <c r="CY86" s="9">
        <v>0</v>
      </c>
      <c r="CZ86" s="9">
        <v>0</v>
      </c>
      <c r="DA86" s="9">
        <v>1</v>
      </c>
      <c r="DB86" s="9">
        <v>554704</v>
      </c>
      <c r="DC86" s="9">
        <v>0</v>
      </c>
      <c r="DD86" s="9">
        <v>0</v>
      </c>
      <c r="DE86" s="9">
        <v>91756</v>
      </c>
      <c r="DF86" s="9">
        <v>98880</v>
      </c>
      <c r="DG86" s="9">
        <v>70</v>
      </c>
      <c r="DH86" s="9">
        <v>0</v>
      </c>
      <c r="DI86" s="9">
        <v>7124</v>
      </c>
      <c r="DJ86" s="9">
        <v>0</v>
      </c>
      <c r="DK86" s="9">
        <v>5392</v>
      </c>
      <c r="DL86" s="9">
        <v>0</v>
      </c>
      <c r="DM86" s="9">
        <v>92031</v>
      </c>
      <c r="DN86" s="9">
        <v>0</v>
      </c>
      <c r="DO86" s="9">
        <v>0</v>
      </c>
      <c r="DP86" s="9">
        <v>0</v>
      </c>
      <c r="DQ86" s="9">
        <v>0</v>
      </c>
      <c r="DR86" s="9">
        <v>0</v>
      </c>
      <c r="DS86" s="9">
        <v>0</v>
      </c>
      <c r="DT86" s="9">
        <v>0</v>
      </c>
      <c r="DU86" s="9">
        <v>0</v>
      </c>
      <c r="DV86" s="9">
        <v>0</v>
      </c>
      <c r="DW86" s="9">
        <v>0</v>
      </c>
      <c r="DX86" s="9">
        <v>0</v>
      </c>
      <c r="DY86" s="9">
        <v>0</v>
      </c>
      <c r="DZ86" s="9">
        <v>0</v>
      </c>
      <c r="EA86" s="9">
        <v>0</v>
      </c>
      <c r="EB86" s="9">
        <v>0</v>
      </c>
      <c r="EC86" s="9">
        <v>1.3900000000000001</v>
      </c>
      <c r="ED86" s="9">
        <v>10021</v>
      </c>
      <c r="EE86" s="9">
        <v>0</v>
      </c>
      <c r="EF86" s="9">
        <v>0</v>
      </c>
      <c r="EG86" s="9">
        <v>0</v>
      </c>
      <c r="EH86" s="9">
        <v>14373</v>
      </c>
      <c r="EI86" s="9">
        <v>67637</v>
      </c>
      <c r="EJ86" s="9">
        <v>2.58</v>
      </c>
      <c r="EK86" s="9">
        <v>0.73099999999999998</v>
      </c>
      <c r="EL86" s="9">
        <v>0</v>
      </c>
      <c r="EM86" s="9">
        <v>0</v>
      </c>
      <c r="EN86" s="9">
        <v>0</v>
      </c>
      <c r="EO86" s="9">
        <v>0</v>
      </c>
      <c r="EP86" s="9">
        <v>0</v>
      </c>
      <c r="EQ86" s="9">
        <v>3.3109999999999999</v>
      </c>
      <c r="ER86" s="9">
        <v>0</v>
      </c>
      <c r="ES86" s="9">
        <v>2.1930000000000001</v>
      </c>
      <c r="ET86" s="9">
        <v>1000</v>
      </c>
      <c r="EU86" s="9">
        <v>59977</v>
      </c>
      <c r="EV86" s="9">
        <v>0</v>
      </c>
      <c r="EW86" s="9">
        <v>0</v>
      </c>
      <c r="EX86" s="9">
        <v>0</v>
      </c>
      <c r="EY86" s="9">
        <v>0</v>
      </c>
      <c r="EZ86" s="9">
        <v>801055</v>
      </c>
      <c r="FA86" s="9">
        <v>0</v>
      </c>
      <c r="FB86" s="9">
        <v>861032</v>
      </c>
      <c r="FC86" s="9">
        <v>0.97327799999999998</v>
      </c>
      <c r="FD86" s="9">
        <v>0</v>
      </c>
      <c r="FE86" s="9">
        <v>123860</v>
      </c>
      <c r="FF86" s="9">
        <v>27912</v>
      </c>
      <c r="FG86" s="9">
        <v>6.1239999999999996E-2</v>
      </c>
      <c r="FH86" s="9">
        <v>5.4803999999999999E-2</v>
      </c>
      <c r="FI86" s="9">
        <v>0</v>
      </c>
      <c r="FJ86" s="9">
        <v>0</v>
      </c>
      <c r="FK86" s="9">
        <v>159.404</v>
      </c>
      <c r="FL86" s="9">
        <v>1033065</v>
      </c>
      <c r="FM86" s="9">
        <v>0</v>
      </c>
      <c r="FN86" s="9">
        <v>0</v>
      </c>
      <c r="FO86" s="9">
        <v>0</v>
      </c>
      <c r="FP86" s="9">
        <v>0</v>
      </c>
      <c r="FQ86" s="9">
        <v>0</v>
      </c>
      <c r="FR86" s="9">
        <v>0</v>
      </c>
      <c r="FS86" s="9">
        <v>0</v>
      </c>
      <c r="FT86" s="9">
        <v>0</v>
      </c>
      <c r="FU86" s="9">
        <v>0</v>
      </c>
      <c r="FV86" s="9">
        <v>0</v>
      </c>
      <c r="FW86" s="9">
        <v>0</v>
      </c>
      <c r="FX86" s="9">
        <v>0</v>
      </c>
      <c r="FY86" s="9">
        <v>0</v>
      </c>
      <c r="FZ86" s="9">
        <v>0</v>
      </c>
      <c r="GA86" s="9">
        <v>0</v>
      </c>
      <c r="GB86" s="9">
        <v>86568</v>
      </c>
      <c r="GC86" s="9">
        <v>86568</v>
      </c>
      <c r="GD86" s="9">
        <v>9.7840000000000007</v>
      </c>
      <c r="GE86" s="9">
        <v>0</v>
      </c>
      <c r="GF86" s="9">
        <v>0</v>
      </c>
      <c r="GG86" s="9">
        <v>0</v>
      </c>
      <c r="GH86" s="9">
        <v>0</v>
      </c>
      <c r="GI86" s="9">
        <v>0</v>
      </c>
      <c r="GJ86" s="9">
        <v>0</v>
      </c>
      <c r="GK86" s="9">
        <v>5179</v>
      </c>
      <c r="GL86" s="9">
        <v>6316</v>
      </c>
      <c r="GM86" s="9">
        <v>0</v>
      </c>
      <c r="GN86" s="9">
        <v>0</v>
      </c>
      <c r="GO86" s="9">
        <v>0</v>
      </c>
      <c r="GP86" s="9">
        <v>1012804</v>
      </c>
      <c r="GQ86" s="9">
        <v>1012804</v>
      </c>
      <c r="GR86" s="9">
        <v>0</v>
      </c>
      <c r="GS86" s="9">
        <v>0</v>
      </c>
      <c r="GT86" s="9">
        <v>0</v>
      </c>
      <c r="GU86" s="9">
        <v>0</v>
      </c>
      <c r="GV86" s="9">
        <v>0</v>
      </c>
      <c r="GW86" s="9">
        <v>0</v>
      </c>
      <c r="GX86" s="9">
        <v>0</v>
      </c>
      <c r="GY86" s="9">
        <v>0</v>
      </c>
      <c r="GZ86" s="9">
        <v>0</v>
      </c>
      <c r="HA86" s="9">
        <v>0</v>
      </c>
      <c r="HB86" s="9">
        <v>260786259</v>
      </c>
      <c r="HC86" s="9">
        <v>5.0923999999999997E-2</v>
      </c>
      <c r="HD86" s="9">
        <v>19261</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32469</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row>
    <row r="87" spans="1:292" x14ac:dyDescent="0.25">
      <c r="A87" s="9">
        <v>84802</v>
      </c>
      <c r="B87" s="9">
        <v>32570</v>
      </c>
      <c r="C87" s="9">
        <v>35</v>
      </c>
      <c r="D87" s="9">
        <v>2022</v>
      </c>
      <c r="E87" s="9">
        <v>5392</v>
      </c>
      <c r="F87" s="9">
        <v>0</v>
      </c>
      <c r="G87" s="9">
        <v>1018.984</v>
      </c>
      <c r="H87" s="9">
        <v>977.64600000000007</v>
      </c>
      <c r="I87" s="9">
        <v>977.64600000000007</v>
      </c>
      <c r="J87" s="9">
        <v>1018.984</v>
      </c>
      <c r="K87" s="9">
        <v>0</v>
      </c>
      <c r="L87" s="9">
        <v>6554</v>
      </c>
      <c r="M87" s="9">
        <v>0</v>
      </c>
      <c r="N87" s="9">
        <v>0</v>
      </c>
      <c r="O87" s="9">
        <v>0</v>
      </c>
      <c r="P87" s="9">
        <v>1017.2140000000001</v>
      </c>
      <c r="Q87" s="9">
        <v>0</v>
      </c>
      <c r="R87" s="9">
        <v>325217</v>
      </c>
      <c r="S87" s="9">
        <v>319.71300000000002</v>
      </c>
      <c r="T87" s="9">
        <v>0</v>
      </c>
      <c r="U87" s="9">
        <v>325217</v>
      </c>
      <c r="V87" s="9">
        <v>195.34100000000001</v>
      </c>
      <c r="W87" s="9">
        <v>128026</v>
      </c>
      <c r="X87" s="9">
        <v>128026</v>
      </c>
      <c r="Y87" s="9">
        <v>0</v>
      </c>
      <c r="Z87" s="9">
        <v>0</v>
      </c>
      <c r="AA87" s="9">
        <v>1</v>
      </c>
      <c r="AB87" s="9">
        <v>1</v>
      </c>
      <c r="AC87" s="9">
        <v>0</v>
      </c>
      <c r="AD87" s="9" t="s">
        <v>314</v>
      </c>
      <c r="AE87" s="9">
        <v>0</v>
      </c>
      <c r="AF87" s="9">
        <v>0</v>
      </c>
      <c r="AG87" s="9">
        <v>0</v>
      </c>
      <c r="AH87" s="9">
        <v>0</v>
      </c>
      <c r="AI87" s="9">
        <v>0</v>
      </c>
      <c r="AJ87" s="9">
        <v>5104</v>
      </c>
      <c r="AK87" s="9" t="s">
        <v>651</v>
      </c>
      <c r="AL87" s="9" t="s">
        <v>341</v>
      </c>
      <c r="AM87" s="9">
        <v>0</v>
      </c>
      <c r="AN87" s="9">
        <v>0</v>
      </c>
      <c r="AO87" s="9">
        <v>0</v>
      </c>
      <c r="AP87" s="9">
        <v>0</v>
      </c>
      <c r="AQ87" s="9">
        <v>0</v>
      </c>
      <c r="AR87" s="9">
        <v>0</v>
      </c>
      <c r="AS87" s="9">
        <v>0</v>
      </c>
      <c r="AT87" s="9">
        <v>0</v>
      </c>
      <c r="AU87" s="9">
        <v>0</v>
      </c>
      <c r="AV87" s="9">
        <v>229118</v>
      </c>
      <c r="AW87" s="9">
        <v>10156919</v>
      </c>
      <c r="AX87" s="9">
        <v>9897991</v>
      </c>
      <c r="AY87" s="9">
        <v>10741594</v>
      </c>
      <c r="AZ87" s="9">
        <v>358367</v>
      </c>
      <c r="BA87" s="9">
        <v>49.917000000000002</v>
      </c>
      <c r="BB87" s="9">
        <v>40071</v>
      </c>
      <c r="BC87" s="9">
        <v>40071</v>
      </c>
      <c r="BD87" s="9">
        <v>50.949000000000005</v>
      </c>
      <c r="BE87" s="9">
        <v>0</v>
      </c>
      <c r="BF87" s="9">
        <v>8421055</v>
      </c>
      <c r="BG87" s="9">
        <v>0</v>
      </c>
      <c r="BH87" s="9">
        <v>120.54400000000001</v>
      </c>
      <c r="BI87" s="9">
        <v>33150</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225778</v>
      </c>
      <c r="CI87" s="9">
        <v>0</v>
      </c>
      <c r="CJ87" s="9">
        <v>4</v>
      </c>
      <c r="CK87" s="9">
        <v>0</v>
      </c>
      <c r="CL87" s="9">
        <v>0</v>
      </c>
      <c r="CM87" s="9">
        <v>0</v>
      </c>
      <c r="CN87" s="9">
        <v>0</v>
      </c>
      <c r="CO87" s="9">
        <v>0</v>
      </c>
      <c r="CP87" s="9">
        <v>0</v>
      </c>
      <c r="CQ87" s="9">
        <v>0</v>
      </c>
      <c r="CR87" s="9">
        <v>1017.2140000000001</v>
      </c>
      <c r="CS87" s="9">
        <v>0</v>
      </c>
      <c r="CT87" s="9">
        <v>0</v>
      </c>
      <c r="CU87" s="9">
        <v>0</v>
      </c>
      <c r="CV87" s="9">
        <v>0</v>
      </c>
      <c r="CW87" s="9">
        <v>0</v>
      </c>
      <c r="CX87" s="9">
        <v>0</v>
      </c>
      <c r="CY87" s="9">
        <v>0</v>
      </c>
      <c r="CZ87" s="9">
        <v>0</v>
      </c>
      <c r="DA87" s="9">
        <v>1</v>
      </c>
      <c r="DB87" s="9">
        <v>6407492</v>
      </c>
      <c r="DC87" s="9">
        <v>0</v>
      </c>
      <c r="DD87" s="9">
        <v>0</v>
      </c>
      <c r="DE87" s="9">
        <v>1165734</v>
      </c>
      <c r="DF87" s="9">
        <v>1165734</v>
      </c>
      <c r="DG87" s="9">
        <v>889.33</v>
      </c>
      <c r="DH87" s="9">
        <v>0</v>
      </c>
      <c r="DI87" s="9">
        <v>0</v>
      </c>
      <c r="DJ87" s="9">
        <v>0</v>
      </c>
      <c r="DK87" s="9">
        <v>5392</v>
      </c>
      <c r="DL87" s="9">
        <v>0</v>
      </c>
      <c r="DM87" s="9">
        <v>724369</v>
      </c>
      <c r="DN87" s="9">
        <v>0</v>
      </c>
      <c r="DO87" s="9">
        <v>0</v>
      </c>
      <c r="DP87" s="9">
        <v>0</v>
      </c>
      <c r="DQ87" s="9">
        <v>0</v>
      </c>
      <c r="DR87" s="9">
        <v>0</v>
      </c>
      <c r="DS87" s="9">
        <v>0</v>
      </c>
      <c r="DT87" s="9">
        <v>0</v>
      </c>
      <c r="DU87" s="9">
        <v>0</v>
      </c>
      <c r="DV87" s="9">
        <v>0</v>
      </c>
      <c r="DW87" s="9">
        <v>0</v>
      </c>
      <c r="DX87" s="9">
        <v>0</v>
      </c>
      <c r="DY87" s="9">
        <v>0</v>
      </c>
      <c r="DZ87" s="9">
        <v>0</v>
      </c>
      <c r="EA87" s="9">
        <v>0</v>
      </c>
      <c r="EB87" s="9">
        <v>0</v>
      </c>
      <c r="EC87" s="9">
        <v>43.082000000000001</v>
      </c>
      <c r="ED87" s="9">
        <v>310595</v>
      </c>
      <c r="EE87" s="9">
        <v>0</v>
      </c>
      <c r="EF87" s="9">
        <v>0</v>
      </c>
      <c r="EG87" s="9">
        <v>0</v>
      </c>
      <c r="EH87" s="9">
        <v>413774</v>
      </c>
      <c r="EI87" s="9">
        <v>0</v>
      </c>
      <c r="EJ87" s="9">
        <v>0</v>
      </c>
      <c r="EK87" s="9">
        <v>19.096</v>
      </c>
      <c r="EL87" s="9">
        <v>0</v>
      </c>
      <c r="EM87" s="9">
        <v>0</v>
      </c>
      <c r="EN87" s="9">
        <v>1.169</v>
      </c>
      <c r="EO87" s="9">
        <v>0</v>
      </c>
      <c r="EP87" s="9">
        <v>0</v>
      </c>
      <c r="EQ87" s="9">
        <v>20.265000000000001</v>
      </c>
      <c r="ER87" s="9">
        <v>0</v>
      </c>
      <c r="ES87" s="9">
        <v>63.133000000000003</v>
      </c>
      <c r="ET87" s="9">
        <v>24959</v>
      </c>
      <c r="EU87" s="9">
        <v>358367</v>
      </c>
      <c r="EV87" s="9">
        <v>0</v>
      </c>
      <c r="EW87" s="9">
        <v>0</v>
      </c>
      <c r="EX87" s="9">
        <v>0</v>
      </c>
      <c r="EY87" s="9">
        <v>0</v>
      </c>
      <c r="EZ87" s="9">
        <v>8327048</v>
      </c>
      <c r="FA87" s="9">
        <v>0</v>
      </c>
      <c r="FB87" s="9">
        <v>8685415</v>
      </c>
      <c r="FC87" s="9">
        <v>0.97327799999999998</v>
      </c>
      <c r="FD87" s="9">
        <v>0</v>
      </c>
      <c r="FE87" s="9">
        <v>1282038</v>
      </c>
      <c r="FF87" s="9">
        <v>288905</v>
      </c>
      <c r="FG87" s="9">
        <v>6.1239999999999996E-2</v>
      </c>
      <c r="FH87" s="9">
        <v>5.4803999999999999E-2</v>
      </c>
      <c r="FI87" s="9">
        <v>0</v>
      </c>
      <c r="FJ87" s="9">
        <v>0</v>
      </c>
      <c r="FK87" s="9">
        <v>1649.95</v>
      </c>
      <c r="FL87" s="9">
        <v>10482136</v>
      </c>
      <c r="FM87" s="9">
        <v>0</v>
      </c>
      <c r="FN87" s="9">
        <v>0</v>
      </c>
      <c r="FO87" s="9">
        <v>0</v>
      </c>
      <c r="FP87" s="9">
        <v>0</v>
      </c>
      <c r="FQ87" s="9">
        <v>0</v>
      </c>
      <c r="FR87" s="9">
        <v>0</v>
      </c>
      <c r="FS87" s="9">
        <v>0</v>
      </c>
      <c r="FT87" s="9">
        <v>0</v>
      </c>
      <c r="FU87" s="9">
        <v>0</v>
      </c>
      <c r="FV87" s="9">
        <v>0</v>
      </c>
      <c r="FW87" s="9">
        <v>0</v>
      </c>
      <c r="FX87" s="9">
        <v>0</v>
      </c>
      <c r="FY87" s="9">
        <v>0</v>
      </c>
      <c r="FZ87" s="9">
        <v>122</v>
      </c>
      <c r="GA87" s="9">
        <v>2.4340000000000002</v>
      </c>
      <c r="GB87" s="9">
        <v>186573</v>
      </c>
      <c r="GC87" s="9">
        <v>186573</v>
      </c>
      <c r="GD87" s="9">
        <v>21.073</v>
      </c>
      <c r="GE87" s="9">
        <v>0</v>
      </c>
      <c r="GF87" s="9">
        <v>0</v>
      </c>
      <c r="GG87" s="9">
        <v>0</v>
      </c>
      <c r="GH87" s="9">
        <v>0</v>
      </c>
      <c r="GI87" s="9">
        <v>0</v>
      </c>
      <c r="GJ87" s="9">
        <v>0</v>
      </c>
      <c r="GK87" s="9">
        <v>5316</v>
      </c>
      <c r="GL87" s="9">
        <v>11477</v>
      </c>
      <c r="GM87" s="9">
        <v>0</v>
      </c>
      <c r="GN87" s="9">
        <v>0</v>
      </c>
      <c r="GO87" s="9">
        <v>0</v>
      </c>
      <c r="GP87" s="9">
        <v>10256358</v>
      </c>
      <c r="GQ87" s="9">
        <v>10256358</v>
      </c>
      <c r="GR87" s="9">
        <v>0</v>
      </c>
      <c r="GS87" s="9">
        <v>0</v>
      </c>
      <c r="GT87" s="9">
        <v>0</v>
      </c>
      <c r="GU87" s="9">
        <v>0</v>
      </c>
      <c r="GV87" s="9">
        <v>0</v>
      </c>
      <c r="GW87" s="9">
        <v>0</v>
      </c>
      <c r="GX87" s="9">
        <v>0</v>
      </c>
      <c r="GY87" s="9">
        <v>0</v>
      </c>
      <c r="GZ87" s="9">
        <v>0</v>
      </c>
      <c r="HA87" s="9">
        <v>0</v>
      </c>
      <c r="HB87" s="9">
        <v>260786259</v>
      </c>
      <c r="HC87" s="9">
        <v>5.0923999999999997E-2</v>
      </c>
      <c r="HD87" s="9">
        <v>200819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32469</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row>
    <row r="88" spans="1:292" x14ac:dyDescent="0.25">
      <c r="A88" s="9">
        <v>84804</v>
      </c>
      <c r="B88" s="9">
        <v>32570</v>
      </c>
      <c r="C88" s="9">
        <v>35</v>
      </c>
      <c r="D88" s="9">
        <v>2022</v>
      </c>
      <c r="E88" s="9">
        <v>5392</v>
      </c>
      <c r="F88" s="9">
        <v>0</v>
      </c>
      <c r="G88" s="9">
        <v>233.18900000000002</v>
      </c>
      <c r="H88" s="9">
        <v>230.578</v>
      </c>
      <c r="I88" s="9">
        <v>230.578</v>
      </c>
      <c r="J88" s="9">
        <v>233.18900000000002</v>
      </c>
      <c r="K88" s="9">
        <v>0</v>
      </c>
      <c r="L88" s="9">
        <v>6554</v>
      </c>
      <c r="M88" s="9">
        <v>0</v>
      </c>
      <c r="N88" s="9">
        <v>0</v>
      </c>
      <c r="O88" s="9">
        <v>0</v>
      </c>
      <c r="P88" s="9">
        <v>260.08500000000004</v>
      </c>
      <c r="Q88" s="9">
        <v>0</v>
      </c>
      <c r="R88" s="9">
        <v>83153</v>
      </c>
      <c r="S88" s="9">
        <v>319.71300000000002</v>
      </c>
      <c r="T88" s="9">
        <v>0</v>
      </c>
      <c r="U88" s="9">
        <v>83153</v>
      </c>
      <c r="V88" s="9">
        <v>0</v>
      </c>
      <c r="W88" s="9">
        <v>0</v>
      </c>
      <c r="X88" s="9">
        <v>0</v>
      </c>
      <c r="Y88" s="9">
        <v>0</v>
      </c>
      <c r="Z88" s="9">
        <v>0</v>
      </c>
      <c r="AA88" s="9">
        <v>1</v>
      </c>
      <c r="AB88" s="9">
        <v>1</v>
      </c>
      <c r="AC88" s="9">
        <v>0</v>
      </c>
      <c r="AD88" s="9" t="s">
        <v>314</v>
      </c>
      <c r="AE88" s="9">
        <v>0</v>
      </c>
      <c r="AF88" s="9">
        <v>0</v>
      </c>
      <c r="AG88" s="9">
        <v>0</v>
      </c>
      <c r="AH88" s="9">
        <v>0</v>
      </c>
      <c r="AI88" s="9">
        <v>0</v>
      </c>
      <c r="AJ88" s="9">
        <v>5104</v>
      </c>
      <c r="AK88" s="9" t="s">
        <v>651</v>
      </c>
      <c r="AL88" s="9" t="s">
        <v>64</v>
      </c>
      <c r="AM88" s="9">
        <v>0</v>
      </c>
      <c r="AN88" s="9">
        <v>0</v>
      </c>
      <c r="AO88" s="9">
        <v>0</v>
      </c>
      <c r="AP88" s="9">
        <v>0</v>
      </c>
      <c r="AQ88" s="9">
        <v>0</v>
      </c>
      <c r="AR88" s="9">
        <v>0</v>
      </c>
      <c r="AS88" s="9">
        <v>0</v>
      </c>
      <c r="AT88" s="9">
        <v>0</v>
      </c>
      <c r="AU88" s="9">
        <v>0</v>
      </c>
      <c r="AV88" s="9">
        <v>91267</v>
      </c>
      <c r="AW88" s="9">
        <v>2248421</v>
      </c>
      <c r="AX88" s="9">
        <v>2202465</v>
      </c>
      <c r="AY88" s="9">
        <v>2344208</v>
      </c>
      <c r="AZ88" s="9">
        <v>83153</v>
      </c>
      <c r="BA88" s="9">
        <v>0</v>
      </c>
      <c r="BB88" s="9">
        <v>9170</v>
      </c>
      <c r="BC88" s="9">
        <v>9170</v>
      </c>
      <c r="BD88" s="9">
        <v>11.659000000000001</v>
      </c>
      <c r="BE88" s="9">
        <v>0</v>
      </c>
      <c r="BF88" s="9">
        <v>1882708</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45956</v>
      </c>
      <c r="CI88" s="9">
        <v>0</v>
      </c>
      <c r="CJ88" s="9">
        <v>4</v>
      </c>
      <c r="CK88" s="9">
        <v>0</v>
      </c>
      <c r="CL88" s="9">
        <v>0</v>
      </c>
      <c r="CM88" s="9">
        <v>0</v>
      </c>
      <c r="CN88" s="9">
        <v>0</v>
      </c>
      <c r="CO88" s="9">
        <v>0</v>
      </c>
      <c r="CP88" s="9">
        <v>0</v>
      </c>
      <c r="CQ88" s="9">
        <v>0</v>
      </c>
      <c r="CR88" s="9">
        <v>260.08500000000004</v>
      </c>
      <c r="CS88" s="9">
        <v>0</v>
      </c>
      <c r="CT88" s="9">
        <v>0</v>
      </c>
      <c r="CU88" s="9">
        <v>0</v>
      </c>
      <c r="CV88" s="9">
        <v>0</v>
      </c>
      <c r="CW88" s="9">
        <v>0</v>
      </c>
      <c r="CX88" s="9">
        <v>0</v>
      </c>
      <c r="CY88" s="9">
        <v>0</v>
      </c>
      <c r="CZ88" s="9">
        <v>0</v>
      </c>
      <c r="DA88" s="9">
        <v>1</v>
      </c>
      <c r="DB88" s="9">
        <v>1511208</v>
      </c>
      <c r="DC88" s="9">
        <v>0</v>
      </c>
      <c r="DD88" s="9">
        <v>0</v>
      </c>
      <c r="DE88" s="9">
        <v>360037</v>
      </c>
      <c r="DF88" s="9">
        <v>360037</v>
      </c>
      <c r="DG88" s="9">
        <v>274.67</v>
      </c>
      <c r="DH88" s="9">
        <v>0</v>
      </c>
      <c r="DI88" s="9">
        <v>0</v>
      </c>
      <c r="DJ88" s="9">
        <v>0</v>
      </c>
      <c r="DK88" s="9">
        <v>5392</v>
      </c>
      <c r="DL88" s="9">
        <v>0</v>
      </c>
      <c r="DM88" s="9">
        <v>53985</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53985</v>
      </c>
      <c r="EI88" s="9">
        <v>0</v>
      </c>
      <c r="EJ88" s="9">
        <v>0</v>
      </c>
      <c r="EK88" s="9">
        <v>2.4090000000000003</v>
      </c>
      <c r="EL88" s="9">
        <v>0</v>
      </c>
      <c r="EM88" s="9">
        <v>0</v>
      </c>
      <c r="EN88" s="9">
        <v>0.20200000000000001</v>
      </c>
      <c r="EO88" s="9">
        <v>0</v>
      </c>
      <c r="EP88" s="9">
        <v>0</v>
      </c>
      <c r="EQ88" s="9">
        <v>2.6110000000000002</v>
      </c>
      <c r="ER88" s="9">
        <v>0</v>
      </c>
      <c r="ES88" s="9">
        <v>8.2370000000000001</v>
      </c>
      <c r="ET88" s="9">
        <v>0</v>
      </c>
      <c r="EU88" s="9">
        <v>83153</v>
      </c>
      <c r="EV88" s="9">
        <v>0</v>
      </c>
      <c r="EW88" s="9">
        <v>0</v>
      </c>
      <c r="EX88" s="9">
        <v>0</v>
      </c>
      <c r="EY88" s="9">
        <v>0</v>
      </c>
      <c r="EZ88" s="9">
        <v>1851247</v>
      </c>
      <c r="FA88" s="9">
        <v>0</v>
      </c>
      <c r="FB88" s="9">
        <v>1934400</v>
      </c>
      <c r="FC88" s="9">
        <v>0.97327799999999998</v>
      </c>
      <c r="FD88" s="9">
        <v>0</v>
      </c>
      <c r="FE88" s="9">
        <v>286627</v>
      </c>
      <c r="FF88" s="9">
        <v>64591</v>
      </c>
      <c r="FG88" s="9">
        <v>6.1239999999999996E-2</v>
      </c>
      <c r="FH88" s="9">
        <v>5.4803999999999999E-2</v>
      </c>
      <c r="FI88" s="9">
        <v>0</v>
      </c>
      <c r="FJ88" s="9">
        <v>0</v>
      </c>
      <c r="FK88" s="9">
        <v>368.88200000000001</v>
      </c>
      <c r="FL88" s="9">
        <v>2331574</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2285618</v>
      </c>
      <c r="GQ88" s="9">
        <v>2285618</v>
      </c>
      <c r="GR88" s="9">
        <v>0</v>
      </c>
      <c r="GS88" s="9">
        <v>0</v>
      </c>
      <c r="GT88" s="9">
        <v>0</v>
      </c>
      <c r="GU88" s="9">
        <v>0</v>
      </c>
      <c r="GV88" s="9">
        <v>0</v>
      </c>
      <c r="GW88" s="9">
        <v>0</v>
      </c>
      <c r="GX88" s="9">
        <v>0</v>
      </c>
      <c r="GY88" s="9">
        <v>0</v>
      </c>
      <c r="GZ88" s="9">
        <v>0</v>
      </c>
      <c r="HA88" s="9">
        <v>0</v>
      </c>
      <c r="HB88" s="9">
        <v>260786259</v>
      </c>
      <c r="HC88" s="9">
        <v>5.0923999999999997E-2</v>
      </c>
      <c r="HD88" s="9">
        <v>45956</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32469</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row>
    <row r="89" spans="1:292" ht="13" x14ac:dyDescent="0.3">
      <c r="A89" s="9">
        <v>92801</v>
      </c>
      <c r="B89" s="9">
        <v>32570</v>
      </c>
      <c r="C89" s="9">
        <v>35</v>
      </c>
      <c r="D89" s="9">
        <v>2022</v>
      </c>
      <c r="E89" s="9">
        <v>5392</v>
      </c>
      <c r="F89" s="9">
        <v>0</v>
      </c>
      <c r="G89" s="9">
        <v>133.22900000000001</v>
      </c>
      <c r="H89" s="9">
        <v>95.34</v>
      </c>
      <c r="I89" s="9">
        <v>95.34</v>
      </c>
      <c r="J89" s="9">
        <v>133.22900000000001</v>
      </c>
      <c r="K89" s="9">
        <v>0</v>
      </c>
      <c r="L89" s="9">
        <v>6554</v>
      </c>
      <c r="M89" s="9">
        <v>0</v>
      </c>
      <c r="N89" s="9">
        <v>0</v>
      </c>
      <c r="O89" s="9">
        <v>0</v>
      </c>
      <c r="P89" s="9">
        <v>130.91200000000001</v>
      </c>
      <c r="Q89" s="9">
        <v>0</v>
      </c>
      <c r="R89" s="10">
        <v>41854</v>
      </c>
      <c r="S89" s="9">
        <v>319.71300000000002</v>
      </c>
      <c r="T89" s="9">
        <v>0</v>
      </c>
      <c r="U89" s="10">
        <v>41854</v>
      </c>
      <c r="V89" s="10">
        <v>0</v>
      </c>
      <c r="W89" s="10">
        <v>0</v>
      </c>
      <c r="X89" s="10">
        <v>0</v>
      </c>
      <c r="Y89" s="9">
        <v>0</v>
      </c>
      <c r="Z89" s="9">
        <v>0</v>
      </c>
      <c r="AA89" s="9">
        <v>1</v>
      </c>
      <c r="AB89" s="9">
        <v>1</v>
      </c>
      <c r="AC89" s="9">
        <v>0</v>
      </c>
      <c r="AD89" s="9" t="s">
        <v>314</v>
      </c>
      <c r="AE89" s="9">
        <v>0</v>
      </c>
      <c r="AF89" s="9">
        <v>0</v>
      </c>
      <c r="AG89" s="9">
        <v>0</v>
      </c>
      <c r="AH89" s="9">
        <v>0</v>
      </c>
      <c r="AI89" s="9">
        <v>0</v>
      </c>
      <c r="AJ89" s="9">
        <v>5104</v>
      </c>
      <c r="AK89" s="9" t="s">
        <v>651</v>
      </c>
      <c r="AL89" s="9" t="s">
        <v>28</v>
      </c>
      <c r="AM89" s="9">
        <v>0</v>
      </c>
      <c r="AN89" s="9">
        <v>0</v>
      </c>
      <c r="AO89" s="9">
        <v>0</v>
      </c>
      <c r="AP89" s="9">
        <v>0</v>
      </c>
      <c r="AQ89" s="9">
        <v>0</v>
      </c>
      <c r="AR89" s="9">
        <v>0</v>
      </c>
      <c r="AS89" s="9">
        <v>0</v>
      </c>
      <c r="AT89" s="9">
        <v>0</v>
      </c>
      <c r="AU89" s="9">
        <v>0</v>
      </c>
      <c r="AV89" s="9">
        <v>2255</v>
      </c>
      <c r="AW89" s="9">
        <v>1320037</v>
      </c>
      <c r="AX89" s="9">
        <v>1256143</v>
      </c>
      <c r="AY89" s="9">
        <v>1363096</v>
      </c>
      <c r="AZ89" s="9">
        <v>78492</v>
      </c>
      <c r="BA89" s="10">
        <v>2</v>
      </c>
      <c r="BB89" s="9">
        <v>0</v>
      </c>
      <c r="BC89" s="9">
        <v>0</v>
      </c>
      <c r="BD89" s="9">
        <v>0</v>
      </c>
      <c r="BE89" s="9">
        <v>0</v>
      </c>
      <c r="BF89" s="9">
        <v>1069185</v>
      </c>
      <c r="BG89" s="9">
        <v>0</v>
      </c>
      <c r="BH89" s="10">
        <v>133.22800000000001</v>
      </c>
      <c r="BI89" s="10">
        <v>36638</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10">
        <v>27256</v>
      </c>
      <c r="CI89" s="9">
        <v>0</v>
      </c>
      <c r="CJ89" s="9">
        <v>4</v>
      </c>
      <c r="CK89" s="9">
        <v>0</v>
      </c>
      <c r="CL89" s="9">
        <v>0</v>
      </c>
      <c r="CM89" s="9">
        <v>0</v>
      </c>
      <c r="CN89" s="9">
        <v>0</v>
      </c>
      <c r="CO89" s="9">
        <v>0</v>
      </c>
      <c r="CP89" s="9">
        <v>0</v>
      </c>
      <c r="CQ89" s="9">
        <v>0</v>
      </c>
      <c r="CR89" s="9">
        <v>130.91200000000001</v>
      </c>
      <c r="CS89" s="9">
        <v>0</v>
      </c>
      <c r="CT89" s="9">
        <v>0</v>
      </c>
      <c r="CU89" s="9">
        <v>0</v>
      </c>
      <c r="CV89" s="9">
        <v>0</v>
      </c>
      <c r="CW89" s="9">
        <v>0</v>
      </c>
      <c r="CX89" s="9">
        <v>0</v>
      </c>
      <c r="CY89" s="9">
        <v>0</v>
      </c>
      <c r="CZ89" s="9">
        <v>0</v>
      </c>
      <c r="DA89" s="9">
        <v>1</v>
      </c>
      <c r="DB89" s="9">
        <v>624858</v>
      </c>
      <c r="DC89" s="9">
        <v>0</v>
      </c>
      <c r="DD89" s="9">
        <v>0</v>
      </c>
      <c r="DE89" s="9">
        <v>59641</v>
      </c>
      <c r="DF89" s="9">
        <v>59641</v>
      </c>
      <c r="DG89" s="9">
        <v>45.5</v>
      </c>
      <c r="DH89" s="9">
        <v>0</v>
      </c>
      <c r="DI89" s="9">
        <v>0</v>
      </c>
      <c r="DJ89" s="9">
        <v>0</v>
      </c>
      <c r="DK89" s="9">
        <v>5392</v>
      </c>
      <c r="DL89" s="9">
        <v>0</v>
      </c>
      <c r="DM89" s="9">
        <v>78531</v>
      </c>
      <c r="DN89" s="9">
        <v>0</v>
      </c>
      <c r="DO89" s="9">
        <v>0</v>
      </c>
      <c r="DP89" s="9">
        <v>0</v>
      </c>
      <c r="DQ89" s="9">
        <v>0</v>
      </c>
      <c r="DR89" s="9">
        <v>0</v>
      </c>
      <c r="DS89" s="9">
        <v>0</v>
      </c>
      <c r="DT89" s="9">
        <v>0</v>
      </c>
      <c r="DU89" s="9">
        <v>0</v>
      </c>
      <c r="DV89" s="9">
        <v>0</v>
      </c>
      <c r="DW89" s="9">
        <v>0</v>
      </c>
      <c r="DX89" s="9">
        <v>0</v>
      </c>
      <c r="DY89" s="9">
        <v>0</v>
      </c>
      <c r="DZ89" s="9">
        <v>0</v>
      </c>
      <c r="EA89" s="9">
        <v>0</v>
      </c>
      <c r="EB89" s="9">
        <v>0</v>
      </c>
      <c r="EC89" s="9">
        <v>10.752000000000001</v>
      </c>
      <c r="ED89" s="9">
        <v>77515</v>
      </c>
      <c r="EE89" s="9">
        <v>0</v>
      </c>
      <c r="EF89" s="9">
        <v>0</v>
      </c>
      <c r="EG89" s="9">
        <v>0</v>
      </c>
      <c r="EH89" s="9">
        <v>1016</v>
      </c>
      <c r="EI89" s="9">
        <v>0</v>
      </c>
      <c r="EJ89" s="9">
        <v>0</v>
      </c>
      <c r="EK89" s="9">
        <v>0</v>
      </c>
      <c r="EL89" s="9">
        <v>0</v>
      </c>
      <c r="EM89" s="9">
        <v>0</v>
      </c>
      <c r="EN89" s="9">
        <v>3.1E-2</v>
      </c>
      <c r="EO89" s="9">
        <v>0</v>
      </c>
      <c r="EP89" s="9">
        <v>0</v>
      </c>
      <c r="EQ89" s="9">
        <v>3.1E-2</v>
      </c>
      <c r="ER89" s="9">
        <v>0</v>
      </c>
      <c r="ES89" s="9">
        <v>0.155</v>
      </c>
      <c r="ET89" s="10">
        <v>1000</v>
      </c>
      <c r="EU89" s="9">
        <v>78492</v>
      </c>
      <c r="EV89" s="9">
        <v>0</v>
      </c>
      <c r="EW89" s="9">
        <v>0</v>
      </c>
      <c r="EX89" s="9">
        <v>0</v>
      </c>
      <c r="EY89" s="9">
        <v>0</v>
      </c>
      <c r="EZ89" s="9">
        <v>1056687</v>
      </c>
      <c r="FA89" s="9">
        <v>0</v>
      </c>
      <c r="FB89" s="10">
        <v>1135179</v>
      </c>
      <c r="FC89" s="9">
        <v>0.97327799999999998</v>
      </c>
      <c r="FD89" s="9">
        <v>0</v>
      </c>
      <c r="FE89" s="9">
        <v>162775</v>
      </c>
      <c r="FF89" s="9">
        <v>36681</v>
      </c>
      <c r="FG89" s="9">
        <v>6.1239999999999996E-2</v>
      </c>
      <c r="FH89" s="9">
        <v>5.4803999999999999E-2</v>
      </c>
      <c r="FI89" s="9">
        <v>0</v>
      </c>
      <c r="FJ89" s="9">
        <v>0</v>
      </c>
      <c r="FK89" s="9">
        <v>209.48700000000002</v>
      </c>
      <c r="FL89" s="9">
        <v>1361891</v>
      </c>
      <c r="FM89" s="9">
        <v>0</v>
      </c>
      <c r="FN89" s="9">
        <v>0</v>
      </c>
      <c r="FO89" s="9">
        <v>0</v>
      </c>
      <c r="FP89" s="9">
        <v>0</v>
      </c>
      <c r="FQ89" s="9">
        <v>0</v>
      </c>
      <c r="FR89" s="9">
        <v>0</v>
      </c>
      <c r="FS89" s="9">
        <v>0</v>
      </c>
      <c r="FT89" s="9">
        <v>0</v>
      </c>
      <c r="FU89" s="9">
        <v>0</v>
      </c>
      <c r="FV89" s="9">
        <v>0</v>
      </c>
      <c r="FW89" s="9">
        <v>0</v>
      </c>
      <c r="FX89" s="9">
        <v>0</v>
      </c>
      <c r="FY89" s="9">
        <v>0</v>
      </c>
      <c r="FZ89" s="9">
        <v>547</v>
      </c>
      <c r="GA89" s="9">
        <v>10.942</v>
      </c>
      <c r="GB89" s="10">
        <v>335511</v>
      </c>
      <c r="GC89" s="10">
        <v>335511</v>
      </c>
      <c r="GD89" s="10">
        <v>37.858000000000004</v>
      </c>
      <c r="GE89" s="9">
        <v>0</v>
      </c>
      <c r="GF89" s="9">
        <v>0</v>
      </c>
      <c r="GG89" s="9">
        <v>0</v>
      </c>
      <c r="GH89" s="9">
        <v>0</v>
      </c>
      <c r="GI89" s="9">
        <v>0</v>
      </c>
      <c r="GJ89" s="9">
        <v>0</v>
      </c>
      <c r="GK89" s="9">
        <v>5224</v>
      </c>
      <c r="GL89" s="9">
        <v>4981</v>
      </c>
      <c r="GM89" s="9">
        <v>0</v>
      </c>
      <c r="GN89" s="9">
        <v>0</v>
      </c>
      <c r="GO89" s="9">
        <v>0</v>
      </c>
      <c r="GP89" s="9">
        <v>1334635</v>
      </c>
      <c r="GQ89" s="9">
        <v>1334635</v>
      </c>
      <c r="GR89" s="9">
        <v>0</v>
      </c>
      <c r="GS89" s="9">
        <v>0</v>
      </c>
      <c r="GT89" s="9">
        <v>0</v>
      </c>
      <c r="GU89" s="9">
        <v>0</v>
      </c>
      <c r="GV89" s="9">
        <v>0</v>
      </c>
      <c r="GW89" s="9">
        <v>0</v>
      </c>
      <c r="GX89" s="9">
        <v>0</v>
      </c>
      <c r="GY89" s="9">
        <v>0</v>
      </c>
      <c r="GZ89" s="9">
        <v>0</v>
      </c>
      <c r="HA89" s="9">
        <v>0</v>
      </c>
      <c r="HB89" s="9">
        <v>260786259</v>
      </c>
      <c r="HC89" s="9">
        <v>5.0923999999999997E-2</v>
      </c>
      <c r="HD89" s="10">
        <v>26256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32469</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row>
    <row r="90" spans="1:292" x14ac:dyDescent="0.25">
      <c r="A90" s="9">
        <v>101802</v>
      </c>
      <c r="B90" s="9">
        <v>32570</v>
      </c>
      <c r="C90" s="9">
        <v>35</v>
      </c>
      <c r="D90" s="9">
        <v>2022</v>
      </c>
      <c r="E90" s="9">
        <v>5392</v>
      </c>
      <c r="F90" s="9">
        <v>0</v>
      </c>
      <c r="G90" s="9">
        <v>1021.009</v>
      </c>
      <c r="H90" s="9">
        <v>1008.163</v>
      </c>
      <c r="I90" s="9">
        <v>1008.163</v>
      </c>
      <c r="J90" s="9">
        <v>1021.009</v>
      </c>
      <c r="K90" s="9">
        <v>0</v>
      </c>
      <c r="L90" s="9">
        <v>6554</v>
      </c>
      <c r="M90" s="9">
        <v>0</v>
      </c>
      <c r="N90" s="9">
        <v>0</v>
      </c>
      <c r="O90" s="9">
        <v>0</v>
      </c>
      <c r="P90" s="9">
        <v>1001.649</v>
      </c>
      <c r="Q90" s="9">
        <v>0</v>
      </c>
      <c r="R90" s="9">
        <v>320240</v>
      </c>
      <c r="S90" s="9">
        <v>319.71300000000002</v>
      </c>
      <c r="T90" s="9">
        <v>0</v>
      </c>
      <c r="U90" s="9">
        <v>320240</v>
      </c>
      <c r="V90" s="9">
        <v>888.71</v>
      </c>
      <c r="W90" s="9">
        <v>582461</v>
      </c>
      <c r="X90" s="9">
        <v>582461</v>
      </c>
      <c r="Y90" s="9">
        <v>0</v>
      </c>
      <c r="Z90" s="9">
        <v>0</v>
      </c>
      <c r="AA90" s="9">
        <v>1</v>
      </c>
      <c r="AB90" s="9">
        <v>1</v>
      </c>
      <c r="AC90" s="9">
        <v>0</v>
      </c>
      <c r="AD90" s="9" t="s">
        <v>314</v>
      </c>
      <c r="AE90" s="9">
        <v>0</v>
      </c>
      <c r="AF90" s="9">
        <v>0</v>
      </c>
      <c r="AG90" s="9">
        <v>0</v>
      </c>
      <c r="AH90" s="9">
        <v>0</v>
      </c>
      <c r="AI90" s="9">
        <v>0</v>
      </c>
      <c r="AJ90" s="9">
        <v>5104</v>
      </c>
      <c r="AK90" s="9" t="s">
        <v>651</v>
      </c>
      <c r="AL90" s="9" t="s">
        <v>50</v>
      </c>
      <c r="AM90" s="9">
        <v>0</v>
      </c>
      <c r="AN90" s="9">
        <v>0</v>
      </c>
      <c r="AO90" s="9">
        <v>0</v>
      </c>
      <c r="AP90" s="9">
        <v>0</v>
      </c>
      <c r="AQ90" s="9">
        <v>0</v>
      </c>
      <c r="AR90" s="9">
        <v>0</v>
      </c>
      <c r="AS90" s="9">
        <v>0</v>
      </c>
      <c r="AT90" s="9">
        <v>0</v>
      </c>
      <c r="AU90" s="9">
        <v>0</v>
      </c>
      <c r="AV90" s="9">
        <v>1111020</v>
      </c>
      <c r="AW90" s="9">
        <v>10502025</v>
      </c>
      <c r="AX90" s="9">
        <v>10300807</v>
      </c>
      <c r="AY90" s="9">
        <v>12569718</v>
      </c>
      <c r="AZ90" s="9">
        <v>320240</v>
      </c>
      <c r="BA90" s="9">
        <v>0</v>
      </c>
      <c r="BB90" s="9">
        <v>0</v>
      </c>
      <c r="BC90" s="9">
        <v>0</v>
      </c>
      <c r="BD90" s="9">
        <v>0</v>
      </c>
      <c r="BE90" s="9">
        <v>0</v>
      </c>
      <c r="BF90" s="9">
        <v>8748762</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201218</v>
      </c>
      <c r="CI90" s="9">
        <v>0</v>
      </c>
      <c r="CJ90" s="9">
        <v>4</v>
      </c>
      <c r="CK90" s="9">
        <v>0</v>
      </c>
      <c r="CL90" s="9">
        <v>0</v>
      </c>
      <c r="CM90" s="9">
        <v>0</v>
      </c>
      <c r="CN90" s="9">
        <v>0</v>
      </c>
      <c r="CO90" s="9">
        <v>0</v>
      </c>
      <c r="CP90" s="9">
        <v>0</v>
      </c>
      <c r="CQ90" s="9">
        <v>0</v>
      </c>
      <c r="CR90" s="9">
        <v>1001.649</v>
      </c>
      <c r="CS90" s="9">
        <v>0</v>
      </c>
      <c r="CT90" s="9">
        <v>0</v>
      </c>
      <c r="CU90" s="9">
        <v>0</v>
      </c>
      <c r="CV90" s="9">
        <v>0</v>
      </c>
      <c r="CW90" s="9">
        <v>0</v>
      </c>
      <c r="CX90" s="9">
        <v>0</v>
      </c>
      <c r="CY90" s="9">
        <v>0</v>
      </c>
      <c r="CZ90" s="9">
        <v>0</v>
      </c>
      <c r="DA90" s="9">
        <v>1</v>
      </c>
      <c r="DB90" s="9">
        <v>6607500</v>
      </c>
      <c r="DC90" s="9">
        <v>0</v>
      </c>
      <c r="DD90" s="9">
        <v>0</v>
      </c>
      <c r="DE90" s="9">
        <v>1483170</v>
      </c>
      <c r="DF90" s="9">
        <v>1483170</v>
      </c>
      <c r="DG90" s="9">
        <v>1131.5</v>
      </c>
      <c r="DH90" s="9">
        <v>0</v>
      </c>
      <c r="DI90" s="9">
        <v>0</v>
      </c>
      <c r="DJ90" s="9">
        <v>0</v>
      </c>
      <c r="DK90" s="9">
        <v>5392</v>
      </c>
      <c r="DL90" s="9">
        <v>0</v>
      </c>
      <c r="DM90" s="9">
        <v>315839</v>
      </c>
      <c r="DN90" s="9">
        <v>0</v>
      </c>
      <c r="DO90" s="9">
        <v>0</v>
      </c>
      <c r="DP90" s="9">
        <v>0</v>
      </c>
      <c r="DQ90" s="9">
        <v>0</v>
      </c>
      <c r="DR90" s="9">
        <v>0</v>
      </c>
      <c r="DS90" s="9">
        <v>0</v>
      </c>
      <c r="DT90" s="9">
        <v>0</v>
      </c>
      <c r="DU90" s="9">
        <v>0</v>
      </c>
      <c r="DV90" s="9">
        <v>0</v>
      </c>
      <c r="DW90" s="9">
        <v>0</v>
      </c>
      <c r="DX90" s="9">
        <v>0</v>
      </c>
      <c r="DY90" s="9">
        <v>0</v>
      </c>
      <c r="DZ90" s="9">
        <v>0</v>
      </c>
      <c r="EA90" s="9">
        <v>0</v>
      </c>
      <c r="EB90" s="9">
        <v>0</v>
      </c>
      <c r="EC90" s="9">
        <v>5.173</v>
      </c>
      <c r="ED90" s="9">
        <v>37294</v>
      </c>
      <c r="EE90" s="9">
        <v>0</v>
      </c>
      <c r="EF90" s="9">
        <v>0</v>
      </c>
      <c r="EG90" s="9">
        <v>0</v>
      </c>
      <c r="EH90" s="9">
        <v>278545</v>
      </c>
      <c r="EI90" s="9">
        <v>0</v>
      </c>
      <c r="EJ90" s="9">
        <v>0</v>
      </c>
      <c r="EK90" s="9">
        <v>10.865</v>
      </c>
      <c r="EL90" s="9">
        <v>0</v>
      </c>
      <c r="EM90" s="9">
        <v>0</v>
      </c>
      <c r="EN90" s="9">
        <v>1.9810000000000001</v>
      </c>
      <c r="EO90" s="9">
        <v>0</v>
      </c>
      <c r="EP90" s="9">
        <v>0</v>
      </c>
      <c r="EQ90" s="9">
        <v>12.846</v>
      </c>
      <c r="ER90" s="9">
        <v>0</v>
      </c>
      <c r="ES90" s="9">
        <v>42.5</v>
      </c>
      <c r="ET90" s="9">
        <v>0</v>
      </c>
      <c r="EU90" s="9">
        <v>320240</v>
      </c>
      <c r="EV90" s="9">
        <v>0</v>
      </c>
      <c r="EW90" s="9">
        <v>0</v>
      </c>
      <c r="EX90" s="9">
        <v>0</v>
      </c>
      <c r="EY90" s="9">
        <v>0</v>
      </c>
      <c r="EZ90" s="9">
        <v>8668730</v>
      </c>
      <c r="FA90" s="9">
        <v>0</v>
      </c>
      <c r="FB90" s="9">
        <v>8988970</v>
      </c>
      <c r="FC90" s="9">
        <v>0.97327799999999998</v>
      </c>
      <c r="FD90" s="9">
        <v>0</v>
      </c>
      <c r="FE90" s="9">
        <v>1331929</v>
      </c>
      <c r="FF90" s="9">
        <v>300148</v>
      </c>
      <c r="FG90" s="9">
        <v>6.1239999999999996E-2</v>
      </c>
      <c r="FH90" s="9">
        <v>5.4803999999999999E-2</v>
      </c>
      <c r="FI90" s="9">
        <v>0</v>
      </c>
      <c r="FJ90" s="9">
        <v>0</v>
      </c>
      <c r="FK90" s="9">
        <v>1714.1580000000001</v>
      </c>
      <c r="FL90" s="9">
        <v>10822265</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10621047</v>
      </c>
      <c r="GQ90" s="9">
        <v>10621047</v>
      </c>
      <c r="GR90" s="9">
        <v>0</v>
      </c>
      <c r="GS90" s="9">
        <v>0</v>
      </c>
      <c r="GT90" s="9">
        <v>0</v>
      </c>
      <c r="GU90" s="9">
        <v>0</v>
      </c>
      <c r="GV90" s="9">
        <v>0</v>
      </c>
      <c r="GW90" s="9">
        <v>0</v>
      </c>
      <c r="GX90" s="9">
        <v>0</v>
      </c>
      <c r="GY90" s="9">
        <v>0</v>
      </c>
      <c r="GZ90" s="9">
        <v>0</v>
      </c>
      <c r="HA90" s="9">
        <v>0</v>
      </c>
      <c r="HB90" s="9">
        <v>260786259</v>
      </c>
      <c r="HC90" s="9">
        <v>5.0923999999999997E-2</v>
      </c>
      <c r="HD90" s="9">
        <v>201218</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888.71</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32469</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row>
    <row r="91" spans="1:292" x14ac:dyDescent="0.25">
      <c r="A91" s="9">
        <v>101803</v>
      </c>
      <c r="B91" s="9">
        <v>32570</v>
      </c>
      <c r="C91" s="9">
        <v>35</v>
      </c>
      <c r="D91" s="9">
        <v>2022</v>
      </c>
      <c r="E91" s="9">
        <v>5392</v>
      </c>
      <c r="F91" s="9">
        <v>0</v>
      </c>
      <c r="G91" s="9">
        <v>915.68799999999999</v>
      </c>
      <c r="H91" s="9">
        <v>896.5</v>
      </c>
      <c r="I91" s="9">
        <v>896.5</v>
      </c>
      <c r="J91" s="9">
        <v>915.68799999999999</v>
      </c>
      <c r="K91" s="9">
        <v>0</v>
      </c>
      <c r="L91" s="9">
        <v>6554</v>
      </c>
      <c r="M91" s="9">
        <v>0</v>
      </c>
      <c r="N91" s="9">
        <v>0</v>
      </c>
      <c r="O91" s="9">
        <v>0</v>
      </c>
      <c r="P91" s="9">
        <v>869.71300000000008</v>
      </c>
      <c r="Q91" s="9">
        <v>0</v>
      </c>
      <c r="R91" s="9">
        <v>278059</v>
      </c>
      <c r="S91" s="9">
        <v>319.71300000000002</v>
      </c>
      <c r="T91" s="9">
        <v>0</v>
      </c>
      <c r="U91" s="9">
        <v>278059</v>
      </c>
      <c r="V91" s="9">
        <v>16.123000000000001</v>
      </c>
      <c r="W91" s="9">
        <v>10567</v>
      </c>
      <c r="X91" s="9">
        <v>10567</v>
      </c>
      <c r="Y91" s="9">
        <v>0</v>
      </c>
      <c r="Z91" s="9">
        <v>0</v>
      </c>
      <c r="AA91" s="9">
        <v>1</v>
      </c>
      <c r="AB91" s="9">
        <v>1</v>
      </c>
      <c r="AC91" s="9">
        <v>0</v>
      </c>
      <c r="AD91" s="9" t="s">
        <v>314</v>
      </c>
      <c r="AE91" s="9">
        <v>0</v>
      </c>
      <c r="AF91" s="9">
        <v>0</v>
      </c>
      <c r="AG91" s="9">
        <v>0</v>
      </c>
      <c r="AH91" s="9">
        <v>0</v>
      </c>
      <c r="AI91" s="9">
        <v>0</v>
      </c>
      <c r="AJ91" s="9">
        <v>5104</v>
      </c>
      <c r="AK91" s="9" t="s">
        <v>651</v>
      </c>
      <c r="AL91" s="9" t="s">
        <v>91</v>
      </c>
      <c r="AM91" s="9">
        <v>0</v>
      </c>
      <c r="AN91" s="9">
        <v>0</v>
      </c>
      <c r="AO91" s="9">
        <v>0</v>
      </c>
      <c r="AP91" s="9">
        <v>0</v>
      </c>
      <c r="AQ91" s="9">
        <v>0</v>
      </c>
      <c r="AR91" s="9">
        <v>0</v>
      </c>
      <c r="AS91" s="9">
        <v>0</v>
      </c>
      <c r="AT91" s="9">
        <v>0</v>
      </c>
      <c r="AU91" s="9">
        <v>0</v>
      </c>
      <c r="AV91" s="9">
        <v>-88005</v>
      </c>
      <c r="AW91" s="9">
        <v>8101212</v>
      </c>
      <c r="AX91" s="9">
        <v>7872116</v>
      </c>
      <c r="AY91" s="9">
        <v>8249151</v>
      </c>
      <c r="AZ91" s="9">
        <v>316047</v>
      </c>
      <c r="BA91" s="9">
        <v>20.917000000000002</v>
      </c>
      <c r="BB91" s="9">
        <v>0</v>
      </c>
      <c r="BC91" s="9">
        <v>0</v>
      </c>
      <c r="BD91" s="9">
        <v>0</v>
      </c>
      <c r="BE91" s="9">
        <v>0</v>
      </c>
      <c r="BF91" s="9">
        <v>6713457</v>
      </c>
      <c r="BG91" s="9">
        <v>0</v>
      </c>
      <c r="BH91" s="9">
        <v>138.13800000000001</v>
      </c>
      <c r="BI91" s="9">
        <v>37988</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0</v>
      </c>
      <c r="CB91" s="9">
        <v>0</v>
      </c>
      <c r="CC91" s="9">
        <v>0</v>
      </c>
      <c r="CD91" s="9">
        <v>0</v>
      </c>
      <c r="CE91" s="9">
        <v>0</v>
      </c>
      <c r="CF91" s="9">
        <v>0</v>
      </c>
      <c r="CG91" s="9">
        <v>0</v>
      </c>
      <c r="CH91" s="9">
        <v>191108</v>
      </c>
      <c r="CI91" s="9">
        <v>0</v>
      </c>
      <c r="CJ91" s="9">
        <v>5</v>
      </c>
      <c r="CK91" s="9">
        <v>0</v>
      </c>
      <c r="CL91" s="9">
        <v>0</v>
      </c>
      <c r="CM91" s="9">
        <v>0</v>
      </c>
      <c r="CN91" s="9">
        <v>0</v>
      </c>
      <c r="CO91" s="9">
        <v>0</v>
      </c>
      <c r="CP91" s="9">
        <v>0</v>
      </c>
      <c r="CQ91" s="9">
        <v>0.75</v>
      </c>
      <c r="CR91" s="9">
        <v>869.71300000000008</v>
      </c>
      <c r="CS91" s="9">
        <v>0</v>
      </c>
      <c r="CT91" s="9">
        <v>0</v>
      </c>
      <c r="CU91" s="9">
        <v>0</v>
      </c>
      <c r="CV91" s="9">
        <v>0</v>
      </c>
      <c r="CW91" s="9">
        <v>0</v>
      </c>
      <c r="CX91" s="9">
        <v>0</v>
      </c>
      <c r="CY91" s="9">
        <v>0</v>
      </c>
      <c r="CZ91" s="9">
        <v>0</v>
      </c>
      <c r="DA91" s="9">
        <v>1</v>
      </c>
      <c r="DB91" s="9">
        <v>5875661</v>
      </c>
      <c r="DC91" s="9">
        <v>0</v>
      </c>
      <c r="DD91" s="9">
        <v>0</v>
      </c>
      <c r="DE91" s="9">
        <v>291876</v>
      </c>
      <c r="DF91" s="9">
        <v>291876</v>
      </c>
      <c r="DG91" s="9">
        <v>222.67000000000002</v>
      </c>
      <c r="DH91" s="9">
        <v>0</v>
      </c>
      <c r="DI91" s="9">
        <v>0</v>
      </c>
      <c r="DJ91" s="9">
        <v>0</v>
      </c>
      <c r="DK91" s="9">
        <v>5392</v>
      </c>
      <c r="DL91" s="9">
        <v>0</v>
      </c>
      <c r="DM91" s="9">
        <v>670954</v>
      </c>
      <c r="DN91" s="9">
        <v>0</v>
      </c>
      <c r="DO91" s="9">
        <v>0</v>
      </c>
      <c r="DP91" s="9">
        <v>0</v>
      </c>
      <c r="DQ91" s="9">
        <v>0</v>
      </c>
      <c r="DR91" s="9">
        <v>0</v>
      </c>
      <c r="DS91" s="9">
        <v>0</v>
      </c>
      <c r="DT91" s="9">
        <v>0</v>
      </c>
      <c r="DU91" s="9">
        <v>0</v>
      </c>
      <c r="DV91" s="9">
        <v>0</v>
      </c>
      <c r="DW91" s="9">
        <v>0</v>
      </c>
      <c r="DX91" s="9">
        <v>0</v>
      </c>
      <c r="DY91" s="9">
        <v>0</v>
      </c>
      <c r="DZ91" s="9">
        <v>0</v>
      </c>
      <c r="EA91" s="9">
        <v>0</v>
      </c>
      <c r="EB91" s="9">
        <v>0</v>
      </c>
      <c r="EC91" s="9">
        <v>52.193000000000005</v>
      </c>
      <c r="ED91" s="9">
        <v>376280</v>
      </c>
      <c r="EE91" s="9">
        <v>0</v>
      </c>
      <c r="EF91" s="9">
        <v>0</v>
      </c>
      <c r="EG91" s="9">
        <v>0</v>
      </c>
      <c r="EH91" s="9">
        <v>294674</v>
      </c>
      <c r="EI91" s="9">
        <v>0</v>
      </c>
      <c r="EJ91" s="9">
        <v>0</v>
      </c>
      <c r="EK91" s="9">
        <v>10.957000000000001</v>
      </c>
      <c r="EL91" s="9">
        <v>0</v>
      </c>
      <c r="EM91" s="9">
        <v>0.76500000000000001</v>
      </c>
      <c r="EN91" s="9">
        <v>1.9590000000000001</v>
      </c>
      <c r="EO91" s="9">
        <v>0</v>
      </c>
      <c r="EP91" s="9">
        <v>0</v>
      </c>
      <c r="EQ91" s="9">
        <v>13.681000000000001</v>
      </c>
      <c r="ER91" s="9">
        <v>0</v>
      </c>
      <c r="ES91" s="9">
        <v>44.961000000000006</v>
      </c>
      <c r="ET91" s="9">
        <v>10646</v>
      </c>
      <c r="EU91" s="9">
        <v>316047</v>
      </c>
      <c r="EV91" s="9">
        <v>0</v>
      </c>
      <c r="EW91" s="9">
        <v>0</v>
      </c>
      <c r="EX91" s="9">
        <v>0</v>
      </c>
      <c r="EY91" s="9">
        <v>0</v>
      </c>
      <c r="EZ91" s="9">
        <v>6619724</v>
      </c>
      <c r="FA91" s="9">
        <v>0</v>
      </c>
      <c r="FB91" s="9">
        <v>6935771</v>
      </c>
      <c r="FC91" s="9">
        <v>0.97327799999999998</v>
      </c>
      <c r="FD91" s="9">
        <v>0</v>
      </c>
      <c r="FE91" s="9">
        <v>1022070</v>
      </c>
      <c r="FF91" s="9">
        <v>230322</v>
      </c>
      <c r="FG91" s="9">
        <v>6.1239999999999996E-2</v>
      </c>
      <c r="FH91" s="9">
        <v>5.4803999999999999E-2</v>
      </c>
      <c r="FI91" s="9">
        <v>0</v>
      </c>
      <c r="FJ91" s="9">
        <v>0</v>
      </c>
      <c r="FK91" s="9">
        <v>1315.3780000000002</v>
      </c>
      <c r="FL91" s="9">
        <v>8379271</v>
      </c>
      <c r="FM91" s="9">
        <v>0</v>
      </c>
      <c r="FN91" s="9">
        <v>0</v>
      </c>
      <c r="FO91" s="9">
        <v>0</v>
      </c>
      <c r="FP91" s="9">
        <v>0</v>
      </c>
      <c r="FQ91" s="9">
        <v>0</v>
      </c>
      <c r="FR91" s="9">
        <v>0</v>
      </c>
      <c r="FS91" s="9">
        <v>0</v>
      </c>
      <c r="FT91" s="9">
        <v>0</v>
      </c>
      <c r="FU91" s="9">
        <v>0</v>
      </c>
      <c r="FV91" s="9">
        <v>0</v>
      </c>
      <c r="FW91" s="9">
        <v>0</v>
      </c>
      <c r="FX91" s="9">
        <v>0</v>
      </c>
      <c r="FY91" s="9">
        <v>0</v>
      </c>
      <c r="FZ91" s="9">
        <v>0</v>
      </c>
      <c r="GA91" s="9">
        <v>0</v>
      </c>
      <c r="GB91" s="9">
        <v>48725</v>
      </c>
      <c r="GC91" s="9">
        <v>48725</v>
      </c>
      <c r="GD91" s="9">
        <v>5.5070000000000006</v>
      </c>
      <c r="GE91" s="9">
        <v>0</v>
      </c>
      <c r="GF91" s="9">
        <v>0</v>
      </c>
      <c r="GG91" s="9">
        <v>0</v>
      </c>
      <c r="GH91" s="9">
        <v>0</v>
      </c>
      <c r="GI91" s="9">
        <v>0</v>
      </c>
      <c r="GJ91" s="9">
        <v>0</v>
      </c>
      <c r="GK91" s="9">
        <v>5081</v>
      </c>
      <c r="GL91" s="9">
        <v>8781</v>
      </c>
      <c r="GM91" s="9">
        <v>0</v>
      </c>
      <c r="GN91" s="9">
        <v>0</v>
      </c>
      <c r="GO91" s="9">
        <v>0</v>
      </c>
      <c r="GP91" s="9">
        <v>8188163</v>
      </c>
      <c r="GQ91" s="9">
        <v>8188163</v>
      </c>
      <c r="GR91" s="9">
        <v>0</v>
      </c>
      <c r="GS91" s="9">
        <v>0</v>
      </c>
      <c r="GT91" s="9">
        <v>0</v>
      </c>
      <c r="GU91" s="9">
        <v>0</v>
      </c>
      <c r="GV91" s="9">
        <v>0</v>
      </c>
      <c r="GW91" s="9">
        <v>0</v>
      </c>
      <c r="GX91" s="9">
        <v>0</v>
      </c>
      <c r="GY91" s="9">
        <v>0</v>
      </c>
      <c r="GZ91" s="9">
        <v>0</v>
      </c>
      <c r="HA91" s="9">
        <v>0</v>
      </c>
      <c r="HB91" s="9">
        <v>260786259</v>
      </c>
      <c r="HC91" s="9">
        <v>5.0923999999999997E-2</v>
      </c>
      <c r="HD91" s="9">
        <v>180462</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32469</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row>
    <row r="92" spans="1:292" x14ac:dyDescent="0.25">
      <c r="A92" s="9">
        <v>101804</v>
      </c>
      <c r="B92" s="9">
        <v>32570</v>
      </c>
      <c r="C92" s="9">
        <v>35</v>
      </c>
      <c r="D92" s="9">
        <v>2022</v>
      </c>
      <c r="E92" s="9">
        <v>5392</v>
      </c>
      <c r="F92" s="9">
        <v>0</v>
      </c>
      <c r="G92" s="9">
        <v>898.07900000000006</v>
      </c>
      <c r="H92" s="9">
        <v>774.00300000000004</v>
      </c>
      <c r="I92" s="9">
        <v>774.00300000000004</v>
      </c>
      <c r="J92" s="9">
        <v>898.07900000000006</v>
      </c>
      <c r="K92" s="9">
        <v>0</v>
      </c>
      <c r="L92" s="9">
        <v>6554</v>
      </c>
      <c r="M92" s="9">
        <v>0</v>
      </c>
      <c r="N92" s="9">
        <v>0</v>
      </c>
      <c r="O92" s="9">
        <v>0</v>
      </c>
      <c r="P92" s="9">
        <v>851.76200000000006</v>
      </c>
      <c r="Q92" s="9">
        <v>0</v>
      </c>
      <c r="R92" s="9">
        <v>272319</v>
      </c>
      <c r="S92" s="9">
        <v>319.71300000000002</v>
      </c>
      <c r="T92" s="9">
        <v>0</v>
      </c>
      <c r="U92" s="9">
        <v>272319</v>
      </c>
      <c r="V92" s="9">
        <v>370.67900000000003</v>
      </c>
      <c r="W92" s="9">
        <v>242943</v>
      </c>
      <c r="X92" s="9">
        <v>242943</v>
      </c>
      <c r="Y92" s="9">
        <v>0</v>
      </c>
      <c r="Z92" s="9">
        <v>0</v>
      </c>
      <c r="AA92" s="9">
        <v>1</v>
      </c>
      <c r="AB92" s="9">
        <v>1</v>
      </c>
      <c r="AC92" s="9">
        <v>0</v>
      </c>
      <c r="AD92" s="9" t="s">
        <v>314</v>
      </c>
      <c r="AE92" s="9">
        <v>0</v>
      </c>
      <c r="AF92" s="9">
        <v>0</v>
      </c>
      <c r="AG92" s="9">
        <v>0</v>
      </c>
      <c r="AH92" s="9">
        <v>0</v>
      </c>
      <c r="AI92" s="9">
        <v>0</v>
      </c>
      <c r="AJ92" s="9">
        <v>5104</v>
      </c>
      <c r="AK92" s="9" t="s">
        <v>651</v>
      </c>
      <c r="AL92" s="9" t="s">
        <v>7</v>
      </c>
      <c r="AM92" s="9">
        <v>0</v>
      </c>
      <c r="AN92" s="9">
        <v>0</v>
      </c>
      <c r="AO92" s="9">
        <v>0</v>
      </c>
      <c r="AP92" s="9">
        <v>0</v>
      </c>
      <c r="AQ92" s="9">
        <v>0</v>
      </c>
      <c r="AR92" s="9">
        <v>0</v>
      </c>
      <c r="AS92" s="9">
        <v>0</v>
      </c>
      <c r="AT92" s="9">
        <v>0</v>
      </c>
      <c r="AU92" s="9">
        <v>0</v>
      </c>
      <c r="AV92" s="9">
        <v>328975</v>
      </c>
      <c r="AW92" s="9">
        <v>9669522</v>
      </c>
      <c r="AX92" s="9">
        <v>9360737</v>
      </c>
      <c r="AY92" s="9">
        <v>9962197</v>
      </c>
      <c r="AZ92" s="9">
        <v>404113</v>
      </c>
      <c r="BA92" s="9">
        <v>0</v>
      </c>
      <c r="BB92" s="9">
        <v>0</v>
      </c>
      <c r="BC92" s="9">
        <v>0</v>
      </c>
      <c r="BD92" s="9">
        <v>0</v>
      </c>
      <c r="BE92" s="9">
        <v>0</v>
      </c>
      <c r="BF92" s="9">
        <v>7891583</v>
      </c>
      <c r="BG92" s="9">
        <v>0</v>
      </c>
      <c r="BH92" s="9">
        <v>479.25100000000003</v>
      </c>
      <c r="BI92" s="9">
        <v>131794</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176991</v>
      </c>
      <c r="CI92" s="9">
        <v>0</v>
      </c>
      <c r="CJ92" s="9">
        <v>4</v>
      </c>
      <c r="CK92" s="9">
        <v>0</v>
      </c>
      <c r="CL92" s="9">
        <v>0</v>
      </c>
      <c r="CM92" s="9">
        <v>0</v>
      </c>
      <c r="CN92" s="9">
        <v>0</v>
      </c>
      <c r="CO92" s="9">
        <v>0</v>
      </c>
      <c r="CP92" s="9">
        <v>0.95900000000000007</v>
      </c>
      <c r="CQ92" s="9">
        <v>0</v>
      </c>
      <c r="CR92" s="9">
        <v>851.76200000000006</v>
      </c>
      <c r="CS92" s="9">
        <v>0</v>
      </c>
      <c r="CT92" s="9">
        <v>0</v>
      </c>
      <c r="CU92" s="9">
        <v>0</v>
      </c>
      <c r="CV92" s="9">
        <v>0</v>
      </c>
      <c r="CW92" s="9">
        <v>0</v>
      </c>
      <c r="CX92" s="9">
        <v>0</v>
      </c>
      <c r="CY92" s="9">
        <v>0</v>
      </c>
      <c r="CZ92" s="9">
        <v>0</v>
      </c>
      <c r="DA92" s="9">
        <v>1</v>
      </c>
      <c r="DB92" s="9">
        <v>5072816</v>
      </c>
      <c r="DC92" s="9">
        <v>0</v>
      </c>
      <c r="DD92" s="9">
        <v>0</v>
      </c>
      <c r="DE92" s="9">
        <v>1276942</v>
      </c>
      <c r="DF92" s="9">
        <v>1292090</v>
      </c>
      <c r="DG92" s="9">
        <v>974.17000000000007</v>
      </c>
      <c r="DH92" s="9">
        <v>0</v>
      </c>
      <c r="DI92" s="9">
        <v>15148</v>
      </c>
      <c r="DJ92" s="9">
        <v>0</v>
      </c>
      <c r="DK92" s="9">
        <v>5392</v>
      </c>
      <c r="DL92" s="9">
        <v>0</v>
      </c>
      <c r="DM92" s="9">
        <v>570348</v>
      </c>
      <c r="DN92" s="9">
        <v>0</v>
      </c>
      <c r="DO92" s="9">
        <v>3805</v>
      </c>
      <c r="DP92" s="9">
        <v>0</v>
      </c>
      <c r="DQ92" s="9">
        <v>0</v>
      </c>
      <c r="DR92" s="9">
        <v>0</v>
      </c>
      <c r="DS92" s="9">
        <v>0</v>
      </c>
      <c r="DT92" s="9">
        <v>0</v>
      </c>
      <c r="DU92" s="9">
        <v>0</v>
      </c>
      <c r="DV92" s="9">
        <v>0.25800000000000001</v>
      </c>
      <c r="DW92" s="9">
        <v>0</v>
      </c>
      <c r="DX92" s="9">
        <v>0</v>
      </c>
      <c r="DY92" s="9">
        <v>0</v>
      </c>
      <c r="DZ92" s="9">
        <v>0.77400000000000002</v>
      </c>
      <c r="EA92" s="9">
        <v>0</v>
      </c>
      <c r="EB92" s="9">
        <v>0</v>
      </c>
      <c r="EC92" s="9">
        <v>25.923999999999999</v>
      </c>
      <c r="ED92" s="9">
        <v>186896</v>
      </c>
      <c r="EE92" s="9">
        <v>0</v>
      </c>
      <c r="EF92" s="9">
        <v>0</v>
      </c>
      <c r="EG92" s="9">
        <v>0</v>
      </c>
      <c r="EH92" s="9">
        <v>370393</v>
      </c>
      <c r="EI92" s="9">
        <v>9254</v>
      </c>
      <c r="EJ92" s="9">
        <v>0.35300000000000004</v>
      </c>
      <c r="EK92" s="9">
        <v>15.061</v>
      </c>
      <c r="EL92" s="9">
        <v>0</v>
      </c>
      <c r="EM92" s="9">
        <v>3.3920000000000003</v>
      </c>
      <c r="EN92" s="9">
        <v>0.23100000000000001</v>
      </c>
      <c r="EO92" s="9">
        <v>0</v>
      </c>
      <c r="EP92" s="9">
        <v>0</v>
      </c>
      <c r="EQ92" s="9">
        <v>19.037000000000003</v>
      </c>
      <c r="ER92" s="9">
        <v>0</v>
      </c>
      <c r="ES92" s="9">
        <v>56.514000000000003</v>
      </c>
      <c r="ET92" s="9">
        <v>0</v>
      </c>
      <c r="EU92" s="9">
        <v>404113</v>
      </c>
      <c r="EV92" s="9">
        <v>0</v>
      </c>
      <c r="EW92" s="9">
        <v>0</v>
      </c>
      <c r="EX92" s="9">
        <v>0</v>
      </c>
      <c r="EY92" s="9">
        <v>0</v>
      </c>
      <c r="EZ92" s="9">
        <v>7888566</v>
      </c>
      <c r="FA92" s="9">
        <v>0</v>
      </c>
      <c r="FB92" s="9">
        <v>8292679</v>
      </c>
      <c r="FC92" s="9">
        <v>0.97327799999999998</v>
      </c>
      <c r="FD92" s="9">
        <v>0</v>
      </c>
      <c r="FE92" s="9">
        <v>1201430</v>
      </c>
      <c r="FF92" s="9">
        <v>270741</v>
      </c>
      <c r="FG92" s="9">
        <v>6.1239999999999996E-2</v>
      </c>
      <c r="FH92" s="9">
        <v>5.4803999999999999E-2</v>
      </c>
      <c r="FI92" s="9">
        <v>0</v>
      </c>
      <c r="FJ92" s="9">
        <v>0</v>
      </c>
      <c r="FK92" s="9">
        <v>1546.21</v>
      </c>
      <c r="FL92" s="9">
        <v>9941841</v>
      </c>
      <c r="FM92" s="9">
        <v>0</v>
      </c>
      <c r="FN92" s="9">
        <v>0</v>
      </c>
      <c r="FO92" s="9">
        <v>38759</v>
      </c>
      <c r="FP92" s="9">
        <v>0</v>
      </c>
      <c r="FQ92" s="9">
        <v>52629</v>
      </c>
      <c r="FR92" s="9">
        <v>38759</v>
      </c>
      <c r="FS92" s="9">
        <v>13870</v>
      </c>
      <c r="FT92" s="9">
        <v>0</v>
      </c>
      <c r="FU92" s="9">
        <v>0</v>
      </c>
      <c r="FV92" s="9">
        <v>0</v>
      </c>
      <c r="FW92" s="9">
        <v>0</v>
      </c>
      <c r="FX92" s="9">
        <v>0</v>
      </c>
      <c r="FY92" s="9">
        <v>0</v>
      </c>
      <c r="FZ92" s="9">
        <v>685</v>
      </c>
      <c r="GA92" s="9">
        <v>13.692</v>
      </c>
      <c r="GB92" s="9">
        <v>930059</v>
      </c>
      <c r="GC92" s="9">
        <v>930059</v>
      </c>
      <c r="GD92" s="9">
        <v>105.039</v>
      </c>
      <c r="GE92" s="9">
        <v>0</v>
      </c>
      <c r="GF92" s="9">
        <v>0</v>
      </c>
      <c r="GG92" s="9">
        <v>0</v>
      </c>
      <c r="GH92" s="9">
        <v>0</v>
      </c>
      <c r="GI92" s="9">
        <v>0</v>
      </c>
      <c r="GJ92" s="9">
        <v>0</v>
      </c>
      <c r="GK92" s="9">
        <v>5281</v>
      </c>
      <c r="GL92" s="9">
        <v>20194</v>
      </c>
      <c r="GM92" s="9">
        <v>0</v>
      </c>
      <c r="GN92" s="9">
        <v>18469</v>
      </c>
      <c r="GO92" s="9">
        <v>0</v>
      </c>
      <c r="GP92" s="9">
        <v>9764850</v>
      </c>
      <c r="GQ92" s="9">
        <v>9764850</v>
      </c>
      <c r="GR92" s="9">
        <v>0</v>
      </c>
      <c r="GS92" s="9">
        <v>0</v>
      </c>
      <c r="GT92" s="9">
        <v>0</v>
      </c>
      <c r="GU92" s="9">
        <v>0</v>
      </c>
      <c r="GV92" s="9">
        <v>0</v>
      </c>
      <c r="GW92" s="9">
        <v>0</v>
      </c>
      <c r="GX92" s="9">
        <v>0</v>
      </c>
      <c r="GY92" s="9">
        <v>0</v>
      </c>
      <c r="GZ92" s="9">
        <v>0</v>
      </c>
      <c r="HA92" s="9">
        <v>0</v>
      </c>
      <c r="HB92" s="9">
        <v>260786259</v>
      </c>
      <c r="HC92" s="9">
        <v>5.0923999999999997E-2</v>
      </c>
      <c r="HD92" s="9">
        <v>176991</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32469</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row>
    <row r="93" spans="1:292" x14ac:dyDescent="0.25">
      <c r="A93" s="9">
        <v>101806</v>
      </c>
      <c r="B93" s="9">
        <v>32570</v>
      </c>
      <c r="C93" s="9">
        <v>35</v>
      </c>
      <c r="D93" s="9">
        <v>2022</v>
      </c>
      <c r="E93" s="9">
        <v>5392</v>
      </c>
      <c r="F93" s="9">
        <v>0</v>
      </c>
      <c r="G93" s="9">
        <v>1254.2860000000001</v>
      </c>
      <c r="H93" s="9">
        <v>1196.6670000000001</v>
      </c>
      <c r="I93" s="9">
        <v>1196.6670000000001</v>
      </c>
      <c r="J93" s="9">
        <v>1254.2860000000001</v>
      </c>
      <c r="K93" s="9">
        <v>0</v>
      </c>
      <c r="L93" s="9">
        <v>6554</v>
      </c>
      <c r="M93" s="9">
        <v>0</v>
      </c>
      <c r="N93" s="9">
        <v>0</v>
      </c>
      <c r="O93" s="9">
        <v>0</v>
      </c>
      <c r="P93" s="9">
        <v>1261.028</v>
      </c>
      <c r="Q93" s="9">
        <v>0</v>
      </c>
      <c r="R93" s="9">
        <v>403167</v>
      </c>
      <c r="S93" s="9">
        <v>319.71300000000002</v>
      </c>
      <c r="T93" s="9">
        <v>0</v>
      </c>
      <c r="U93" s="9">
        <v>403167</v>
      </c>
      <c r="V93" s="9">
        <v>644.90500000000009</v>
      </c>
      <c r="W93" s="9">
        <v>422671</v>
      </c>
      <c r="X93" s="9">
        <v>422671</v>
      </c>
      <c r="Y93" s="9">
        <v>0</v>
      </c>
      <c r="Z93" s="9">
        <v>0</v>
      </c>
      <c r="AA93" s="9">
        <v>1</v>
      </c>
      <c r="AB93" s="9">
        <v>1</v>
      </c>
      <c r="AC93" s="9">
        <v>0</v>
      </c>
      <c r="AD93" s="9" t="s">
        <v>314</v>
      </c>
      <c r="AE93" s="9">
        <v>0</v>
      </c>
      <c r="AF93" s="9">
        <v>0</v>
      </c>
      <c r="AG93" s="9">
        <v>0</v>
      </c>
      <c r="AH93" s="9">
        <v>0</v>
      </c>
      <c r="AI93" s="9">
        <v>0</v>
      </c>
      <c r="AJ93" s="9">
        <v>5104</v>
      </c>
      <c r="AK93" s="9" t="s">
        <v>651</v>
      </c>
      <c r="AL93" s="9" t="s">
        <v>444</v>
      </c>
      <c r="AM93" s="9">
        <v>0</v>
      </c>
      <c r="AN93" s="9">
        <v>0</v>
      </c>
      <c r="AO93" s="9">
        <v>0</v>
      </c>
      <c r="AP93" s="9">
        <v>0</v>
      </c>
      <c r="AQ93" s="9">
        <v>0</v>
      </c>
      <c r="AR93" s="9">
        <v>0</v>
      </c>
      <c r="AS93" s="9">
        <v>0</v>
      </c>
      <c r="AT93" s="9">
        <v>0</v>
      </c>
      <c r="AU93" s="9">
        <v>0</v>
      </c>
      <c r="AV93" s="9">
        <v>796837</v>
      </c>
      <c r="AW93" s="9">
        <v>12915808</v>
      </c>
      <c r="AX93" s="9">
        <v>12558288</v>
      </c>
      <c r="AY93" s="9">
        <v>13900786</v>
      </c>
      <c r="AZ93" s="9">
        <v>477120</v>
      </c>
      <c r="BA93" s="9">
        <v>68.917000000000002</v>
      </c>
      <c r="BB93" s="9">
        <v>33547</v>
      </c>
      <c r="BC93" s="9">
        <v>33547</v>
      </c>
      <c r="BD93" s="9">
        <v>42.654000000000003</v>
      </c>
      <c r="BE93" s="9">
        <v>0</v>
      </c>
      <c r="BF93" s="9">
        <v>10654454</v>
      </c>
      <c r="BG93" s="9">
        <v>0</v>
      </c>
      <c r="BH93" s="9">
        <v>268.91900000000004</v>
      </c>
      <c r="BI93" s="9">
        <v>73953</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9">
        <v>283567</v>
      </c>
      <c r="CI93" s="9">
        <v>0</v>
      </c>
      <c r="CJ93" s="9">
        <v>4</v>
      </c>
      <c r="CK93" s="9">
        <v>0</v>
      </c>
      <c r="CL93" s="9">
        <v>0</v>
      </c>
      <c r="CM93" s="9">
        <v>0</v>
      </c>
      <c r="CN93" s="9">
        <v>0</v>
      </c>
      <c r="CO93" s="9">
        <v>0</v>
      </c>
      <c r="CP93" s="9">
        <v>0</v>
      </c>
      <c r="CQ93" s="9">
        <v>7.6670000000000007</v>
      </c>
      <c r="CR93" s="9">
        <v>1260.934</v>
      </c>
      <c r="CS93" s="9">
        <v>0</v>
      </c>
      <c r="CT93" s="9">
        <v>0</v>
      </c>
      <c r="CU93" s="9">
        <v>0</v>
      </c>
      <c r="CV93" s="9">
        <v>0</v>
      </c>
      <c r="CW93" s="9">
        <v>0</v>
      </c>
      <c r="CX93" s="9">
        <v>0</v>
      </c>
      <c r="CY93" s="9">
        <v>0</v>
      </c>
      <c r="CZ93" s="9">
        <v>0</v>
      </c>
      <c r="DA93" s="9">
        <v>1</v>
      </c>
      <c r="DB93" s="9">
        <v>7842956</v>
      </c>
      <c r="DC93" s="9">
        <v>0</v>
      </c>
      <c r="DD93" s="9">
        <v>0</v>
      </c>
      <c r="DE93" s="9">
        <v>1734411</v>
      </c>
      <c r="DF93" s="9">
        <v>1734411</v>
      </c>
      <c r="DG93" s="9">
        <v>1323.17</v>
      </c>
      <c r="DH93" s="9">
        <v>0</v>
      </c>
      <c r="DI93" s="9">
        <v>0</v>
      </c>
      <c r="DJ93" s="9">
        <v>0</v>
      </c>
      <c r="DK93" s="9">
        <v>5392</v>
      </c>
      <c r="DL93" s="9">
        <v>0</v>
      </c>
      <c r="DM93" s="9">
        <v>607242</v>
      </c>
      <c r="DN93" s="9">
        <v>0</v>
      </c>
      <c r="DO93" s="9">
        <v>0</v>
      </c>
      <c r="DP93" s="9">
        <v>0</v>
      </c>
      <c r="DQ93" s="9">
        <v>0</v>
      </c>
      <c r="DR93" s="9">
        <v>0</v>
      </c>
      <c r="DS93" s="9">
        <v>0</v>
      </c>
      <c r="DT93" s="9">
        <v>0</v>
      </c>
      <c r="DU93" s="9">
        <v>0</v>
      </c>
      <c r="DV93" s="9">
        <v>0</v>
      </c>
      <c r="DW93" s="9">
        <v>0</v>
      </c>
      <c r="DX93" s="9">
        <v>0</v>
      </c>
      <c r="DY93" s="9">
        <v>0</v>
      </c>
      <c r="DZ93" s="9">
        <v>0</v>
      </c>
      <c r="EA93" s="9">
        <v>0</v>
      </c>
      <c r="EB93" s="9">
        <v>0</v>
      </c>
      <c r="EC93" s="9">
        <v>18.792000000000002</v>
      </c>
      <c r="ED93" s="9">
        <v>135479</v>
      </c>
      <c r="EE93" s="9">
        <v>0</v>
      </c>
      <c r="EF93" s="9">
        <v>0</v>
      </c>
      <c r="EG93" s="9">
        <v>0</v>
      </c>
      <c r="EH93" s="9">
        <v>471763</v>
      </c>
      <c r="EI93" s="9">
        <v>0</v>
      </c>
      <c r="EJ93" s="9">
        <v>0</v>
      </c>
      <c r="EK93" s="9">
        <v>18.89</v>
      </c>
      <c r="EL93" s="9">
        <v>0</v>
      </c>
      <c r="EM93" s="9">
        <v>2.7070000000000003</v>
      </c>
      <c r="EN93" s="9">
        <v>1.4380000000000002</v>
      </c>
      <c r="EO93" s="9">
        <v>0</v>
      </c>
      <c r="EP93" s="9">
        <v>0</v>
      </c>
      <c r="EQ93" s="9">
        <v>23.035</v>
      </c>
      <c r="ER93" s="9">
        <v>0</v>
      </c>
      <c r="ES93" s="9">
        <v>71.981000000000009</v>
      </c>
      <c r="ET93" s="9">
        <v>36375</v>
      </c>
      <c r="EU93" s="9">
        <v>477120</v>
      </c>
      <c r="EV93" s="9">
        <v>0</v>
      </c>
      <c r="EW93" s="9">
        <v>0</v>
      </c>
      <c r="EX93" s="9">
        <v>0</v>
      </c>
      <c r="EY93" s="9">
        <v>0</v>
      </c>
      <c r="EZ93" s="9">
        <v>10570705</v>
      </c>
      <c r="FA93" s="9">
        <v>0</v>
      </c>
      <c r="FB93" s="9">
        <v>11047825</v>
      </c>
      <c r="FC93" s="9">
        <v>0.97327799999999998</v>
      </c>
      <c r="FD93" s="9">
        <v>0</v>
      </c>
      <c r="FE93" s="9">
        <v>1622055</v>
      </c>
      <c r="FF93" s="9">
        <v>365528</v>
      </c>
      <c r="FG93" s="9">
        <v>6.1239999999999996E-2</v>
      </c>
      <c r="FH93" s="9">
        <v>5.4803999999999999E-2</v>
      </c>
      <c r="FI93" s="9">
        <v>0</v>
      </c>
      <c r="FJ93" s="9">
        <v>0</v>
      </c>
      <c r="FK93" s="9">
        <v>2087.5430000000001</v>
      </c>
      <c r="FL93" s="9">
        <v>13318975</v>
      </c>
      <c r="FM93" s="9">
        <v>0</v>
      </c>
      <c r="FN93" s="9">
        <v>0</v>
      </c>
      <c r="FO93" s="9">
        <v>24161</v>
      </c>
      <c r="FP93" s="9">
        <v>0</v>
      </c>
      <c r="FQ93" s="9">
        <v>26887</v>
      </c>
      <c r="FR93" s="9">
        <v>24161</v>
      </c>
      <c r="FS93" s="9">
        <v>2726</v>
      </c>
      <c r="FT93" s="9">
        <v>0</v>
      </c>
      <c r="FU93" s="9">
        <v>0</v>
      </c>
      <c r="FV93" s="9">
        <v>0</v>
      </c>
      <c r="FW93" s="9">
        <v>0</v>
      </c>
      <c r="FX93" s="9">
        <v>0</v>
      </c>
      <c r="FY93" s="9">
        <v>0</v>
      </c>
      <c r="FZ93" s="9">
        <v>162</v>
      </c>
      <c r="GA93" s="9">
        <v>3.2360000000000002</v>
      </c>
      <c r="GB93" s="9">
        <v>306158</v>
      </c>
      <c r="GC93" s="9">
        <v>306158</v>
      </c>
      <c r="GD93" s="9">
        <v>34.584000000000003</v>
      </c>
      <c r="GE93" s="9">
        <v>0</v>
      </c>
      <c r="GF93" s="9">
        <v>0</v>
      </c>
      <c r="GG93" s="9">
        <v>0</v>
      </c>
      <c r="GH93" s="9">
        <v>0</v>
      </c>
      <c r="GI93" s="9">
        <v>0</v>
      </c>
      <c r="GJ93" s="9">
        <v>0</v>
      </c>
      <c r="GK93" s="9">
        <v>5152</v>
      </c>
      <c r="GL93" s="9">
        <v>31473</v>
      </c>
      <c r="GM93" s="9">
        <v>0</v>
      </c>
      <c r="GN93" s="9">
        <v>48529</v>
      </c>
      <c r="GO93" s="9">
        <v>0</v>
      </c>
      <c r="GP93" s="9">
        <v>13035408</v>
      </c>
      <c r="GQ93" s="9">
        <v>13035408</v>
      </c>
      <c r="GR93" s="9">
        <v>0</v>
      </c>
      <c r="GS93" s="9">
        <v>0</v>
      </c>
      <c r="GT93" s="9">
        <v>0</v>
      </c>
      <c r="GU93" s="9">
        <v>0</v>
      </c>
      <c r="GV93" s="9">
        <v>0</v>
      </c>
      <c r="GW93" s="9">
        <v>0</v>
      </c>
      <c r="GX93" s="9">
        <v>0</v>
      </c>
      <c r="GY93" s="9">
        <v>0</v>
      </c>
      <c r="GZ93" s="9">
        <v>0</v>
      </c>
      <c r="HA93" s="9">
        <v>0</v>
      </c>
      <c r="HB93" s="9">
        <v>260786259</v>
      </c>
      <c r="HC93" s="9">
        <v>5.0923999999999997E-2</v>
      </c>
      <c r="HD93" s="9">
        <v>247192</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32469</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row>
    <row r="94" spans="1:292" x14ac:dyDescent="0.25">
      <c r="A94" s="9">
        <v>101810</v>
      </c>
      <c r="B94" s="9">
        <v>32570</v>
      </c>
      <c r="C94" s="9">
        <v>35</v>
      </c>
      <c r="D94" s="9">
        <v>2022</v>
      </c>
      <c r="E94" s="9">
        <v>5392</v>
      </c>
      <c r="F94" s="9">
        <v>0</v>
      </c>
      <c r="G94" s="9">
        <v>698.21600000000001</v>
      </c>
      <c r="H94" s="9">
        <v>697.40500000000009</v>
      </c>
      <c r="I94" s="9">
        <v>697.40500000000009</v>
      </c>
      <c r="J94" s="9">
        <v>698.21600000000001</v>
      </c>
      <c r="K94" s="9">
        <v>0</v>
      </c>
      <c r="L94" s="9">
        <v>6554</v>
      </c>
      <c r="M94" s="9">
        <v>0</v>
      </c>
      <c r="N94" s="9">
        <v>0</v>
      </c>
      <c r="O94" s="9">
        <v>0</v>
      </c>
      <c r="P94" s="9">
        <v>645.45299999999997</v>
      </c>
      <c r="Q94" s="9">
        <v>0</v>
      </c>
      <c r="R94" s="9">
        <v>206360</v>
      </c>
      <c r="S94" s="9">
        <v>319.71300000000002</v>
      </c>
      <c r="T94" s="9">
        <v>0</v>
      </c>
      <c r="U94" s="9">
        <v>206360</v>
      </c>
      <c r="V94" s="9">
        <v>381.45699999999999</v>
      </c>
      <c r="W94" s="9">
        <v>250007</v>
      </c>
      <c r="X94" s="9">
        <v>250007</v>
      </c>
      <c r="Y94" s="9">
        <v>0</v>
      </c>
      <c r="Z94" s="9">
        <v>0</v>
      </c>
      <c r="AA94" s="9">
        <v>1</v>
      </c>
      <c r="AB94" s="9">
        <v>1</v>
      </c>
      <c r="AC94" s="9">
        <v>0</v>
      </c>
      <c r="AD94" s="9" t="s">
        <v>314</v>
      </c>
      <c r="AE94" s="9">
        <v>0</v>
      </c>
      <c r="AF94" s="9">
        <v>0</v>
      </c>
      <c r="AG94" s="9">
        <v>0</v>
      </c>
      <c r="AH94" s="9">
        <v>0</v>
      </c>
      <c r="AI94" s="9">
        <v>0</v>
      </c>
      <c r="AJ94" s="9">
        <v>5104</v>
      </c>
      <c r="AK94" s="9" t="s">
        <v>651</v>
      </c>
      <c r="AL94" s="9" t="s">
        <v>342</v>
      </c>
      <c r="AM94" s="9">
        <v>0</v>
      </c>
      <c r="AN94" s="9">
        <v>0</v>
      </c>
      <c r="AO94" s="9">
        <v>0</v>
      </c>
      <c r="AP94" s="9">
        <v>0</v>
      </c>
      <c r="AQ94" s="9">
        <v>0</v>
      </c>
      <c r="AR94" s="9">
        <v>0</v>
      </c>
      <c r="AS94" s="9">
        <v>0</v>
      </c>
      <c r="AT94" s="9">
        <v>0</v>
      </c>
      <c r="AU94" s="9">
        <v>0</v>
      </c>
      <c r="AV94" s="9">
        <v>265403</v>
      </c>
      <c r="AW94" s="9">
        <v>6932790</v>
      </c>
      <c r="AX94" s="9">
        <v>6790562</v>
      </c>
      <c r="AY94" s="9">
        <v>7757970</v>
      </c>
      <c r="AZ94" s="9">
        <v>206360</v>
      </c>
      <c r="BA94" s="9">
        <v>9.25</v>
      </c>
      <c r="BB94" s="9">
        <v>0</v>
      </c>
      <c r="BC94" s="9">
        <v>0</v>
      </c>
      <c r="BD94" s="9">
        <v>0</v>
      </c>
      <c r="BE94" s="9">
        <v>0</v>
      </c>
      <c r="BF94" s="9">
        <v>5763500</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142228</v>
      </c>
      <c r="CI94" s="9">
        <v>0</v>
      </c>
      <c r="CJ94" s="9">
        <v>4</v>
      </c>
      <c r="CK94" s="9">
        <v>0</v>
      </c>
      <c r="CL94" s="9">
        <v>0</v>
      </c>
      <c r="CM94" s="9">
        <v>0</v>
      </c>
      <c r="CN94" s="9">
        <v>0</v>
      </c>
      <c r="CO94" s="9">
        <v>0</v>
      </c>
      <c r="CP94" s="9">
        <v>0</v>
      </c>
      <c r="CQ94" s="9">
        <v>0</v>
      </c>
      <c r="CR94" s="9">
        <v>645.45299999999997</v>
      </c>
      <c r="CS94" s="9">
        <v>0</v>
      </c>
      <c r="CT94" s="9">
        <v>0</v>
      </c>
      <c r="CU94" s="9">
        <v>0</v>
      </c>
      <c r="CV94" s="9">
        <v>0</v>
      </c>
      <c r="CW94" s="9">
        <v>0</v>
      </c>
      <c r="CX94" s="9">
        <v>0</v>
      </c>
      <c r="CY94" s="9">
        <v>0</v>
      </c>
      <c r="CZ94" s="9">
        <v>0</v>
      </c>
      <c r="DA94" s="9">
        <v>1</v>
      </c>
      <c r="DB94" s="9">
        <v>4570792</v>
      </c>
      <c r="DC94" s="9">
        <v>0</v>
      </c>
      <c r="DD94" s="9">
        <v>0</v>
      </c>
      <c r="DE94" s="9">
        <v>1002762</v>
      </c>
      <c r="DF94" s="9">
        <v>1002762</v>
      </c>
      <c r="DG94" s="9">
        <v>765</v>
      </c>
      <c r="DH94" s="9">
        <v>0</v>
      </c>
      <c r="DI94" s="9">
        <v>0</v>
      </c>
      <c r="DJ94" s="9">
        <v>0</v>
      </c>
      <c r="DK94" s="9">
        <v>5392</v>
      </c>
      <c r="DL94" s="9">
        <v>0</v>
      </c>
      <c r="DM94" s="9">
        <v>98183</v>
      </c>
      <c r="DN94" s="9">
        <v>0</v>
      </c>
      <c r="DO94" s="9">
        <v>0</v>
      </c>
      <c r="DP94" s="9">
        <v>0</v>
      </c>
      <c r="DQ94" s="9">
        <v>0</v>
      </c>
      <c r="DR94" s="9">
        <v>0</v>
      </c>
      <c r="DS94" s="9">
        <v>0</v>
      </c>
      <c r="DT94" s="9">
        <v>0</v>
      </c>
      <c r="DU94" s="9">
        <v>0</v>
      </c>
      <c r="DV94" s="9">
        <v>0</v>
      </c>
      <c r="DW94" s="9">
        <v>0</v>
      </c>
      <c r="DX94" s="9">
        <v>0</v>
      </c>
      <c r="DY94" s="9">
        <v>0</v>
      </c>
      <c r="DZ94" s="9">
        <v>0</v>
      </c>
      <c r="EA94" s="9">
        <v>0</v>
      </c>
      <c r="EB94" s="9">
        <v>0</v>
      </c>
      <c r="EC94" s="9">
        <v>10.796000000000001</v>
      </c>
      <c r="ED94" s="9">
        <v>77833</v>
      </c>
      <c r="EE94" s="9">
        <v>0</v>
      </c>
      <c r="EF94" s="9">
        <v>0</v>
      </c>
      <c r="EG94" s="9">
        <v>0</v>
      </c>
      <c r="EH94" s="9">
        <v>20350</v>
      </c>
      <c r="EI94" s="9">
        <v>0</v>
      </c>
      <c r="EJ94" s="9">
        <v>0</v>
      </c>
      <c r="EK94" s="9">
        <v>0.47500000000000003</v>
      </c>
      <c r="EL94" s="9">
        <v>0</v>
      </c>
      <c r="EM94" s="9">
        <v>0</v>
      </c>
      <c r="EN94" s="9">
        <v>0.33600000000000002</v>
      </c>
      <c r="EO94" s="9">
        <v>0</v>
      </c>
      <c r="EP94" s="9">
        <v>0</v>
      </c>
      <c r="EQ94" s="9">
        <v>0.81100000000000005</v>
      </c>
      <c r="ER94" s="9">
        <v>0</v>
      </c>
      <c r="ES94" s="9">
        <v>3.105</v>
      </c>
      <c r="ET94" s="9">
        <v>4625</v>
      </c>
      <c r="EU94" s="9">
        <v>206360</v>
      </c>
      <c r="EV94" s="9">
        <v>0</v>
      </c>
      <c r="EW94" s="9">
        <v>0</v>
      </c>
      <c r="EX94" s="9">
        <v>0</v>
      </c>
      <c r="EY94" s="9">
        <v>0</v>
      </c>
      <c r="EZ94" s="9">
        <v>5715384</v>
      </c>
      <c r="FA94" s="9">
        <v>0</v>
      </c>
      <c r="FB94" s="9">
        <v>5921744</v>
      </c>
      <c r="FC94" s="9">
        <v>0.97327799999999998</v>
      </c>
      <c r="FD94" s="9">
        <v>0</v>
      </c>
      <c r="FE94" s="9">
        <v>877447</v>
      </c>
      <c r="FF94" s="9">
        <v>197731</v>
      </c>
      <c r="FG94" s="9">
        <v>6.1239999999999996E-2</v>
      </c>
      <c r="FH94" s="9">
        <v>5.4803999999999999E-2</v>
      </c>
      <c r="FI94" s="9">
        <v>0</v>
      </c>
      <c r="FJ94" s="9">
        <v>0</v>
      </c>
      <c r="FK94" s="9">
        <v>1129.251</v>
      </c>
      <c r="FL94" s="9">
        <v>7139150</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6996922</v>
      </c>
      <c r="GQ94" s="9">
        <v>6996922</v>
      </c>
      <c r="GR94" s="9">
        <v>0</v>
      </c>
      <c r="GS94" s="9">
        <v>0</v>
      </c>
      <c r="GT94" s="9">
        <v>0</v>
      </c>
      <c r="GU94" s="9">
        <v>0</v>
      </c>
      <c r="GV94" s="9">
        <v>0</v>
      </c>
      <c r="GW94" s="9">
        <v>0</v>
      </c>
      <c r="GX94" s="9">
        <v>0</v>
      </c>
      <c r="GY94" s="9">
        <v>0</v>
      </c>
      <c r="GZ94" s="9">
        <v>0</v>
      </c>
      <c r="HA94" s="9">
        <v>0</v>
      </c>
      <c r="HB94" s="9">
        <v>260786259</v>
      </c>
      <c r="HC94" s="9">
        <v>5.0923999999999997E-2</v>
      </c>
      <c r="HD94" s="9">
        <v>137603</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32469</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row>
    <row r="95" spans="1:292" x14ac:dyDescent="0.25">
      <c r="A95" s="9">
        <v>101811</v>
      </c>
      <c r="B95" s="9">
        <v>32570</v>
      </c>
      <c r="C95" s="9">
        <v>35</v>
      </c>
      <c r="D95" s="9">
        <v>2022</v>
      </c>
      <c r="E95" s="9">
        <v>5392</v>
      </c>
      <c r="F95" s="9">
        <v>0</v>
      </c>
      <c r="G95" s="9">
        <v>270.839</v>
      </c>
      <c r="H95" s="9">
        <v>232.452</v>
      </c>
      <c r="I95" s="9">
        <v>232.452</v>
      </c>
      <c r="J95" s="9">
        <v>270.839</v>
      </c>
      <c r="K95" s="9">
        <v>0</v>
      </c>
      <c r="L95" s="9">
        <v>6554</v>
      </c>
      <c r="M95" s="9">
        <v>0</v>
      </c>
      <c r="N95" s="9">
        <v>0</v>
      </c>
      <c r="O95" s="9">
        <v>0</v>
      </c>
      <c r="P95" s="9">
        <v>373.34200000000004</v>
      </c>
      <c r="Q95" s="9">
        <v>0</v>
      </c>
      <c r="R95" s="9">
        <v>119362</v>
      </c>
      <c r="S95" s="9">
        <v>319.71300000000002</v>
      </c>
      <c r="T95" s="9">
        <v>0</v>
      </c>
      <c r="U95" s="9">
        <v>119362</v>
      </c>
      <c r="V95" s="9">
        <v>27.843</v>
      </c>
      <c r="W95" s="9">
        <v>18248</v>
      </c>
      <c r="X95" s="9">
        <v>18248</v>
      </c>
      <c r="Y95" s="9">
        <v>0</v>
      </c>
      <c r="Z95" s="9">
        <v>0</v>
      </c>
      <c r="AA95" s="9">
        <v>1</v>
      </c>
      <c r="AB95" s="9">
        <v>1</v>
      </c>
      <c r="AC95" s="9">
        <v>0</v>
      </c>
      <c r="AD95" s="9" t="s">
        <v>314</v>
      </c>
      <c r="AE95" s="9">
        <v>0</v>
      </c>
      <c r="AF95" s="9">
        <v>0</v>
      </c>
      <c r="AG95" s="9">
        <v>0</v>
      </c>
      <c r="AH95" s="9">
        <v>0</v>
      </c>
      <c r="AI95" s="9">
        <v>0</v>
      </c>
      <c r="AJ95" s="9">
        <v>5104</v>
      </c>
      <c r="AK95" s="9" t="s">
        <v>651</v>
      </c>
      <c r="AL95" s="9" t="s">
        <v>343</v>
      </c>
      <c r="AM95" s="9">
        <v>0</v>
      </c>
      <c r="AN95" s="9">
        <v>0</v>
      </c>
      <c r="AO95" s="9">
        <v>0</v>
      </c>
      <c r="AP95" s="9">
        <v>0</v>
      </c>
      <c r="AQ95" s="9">
        <v>0</v>
      </c>
      <c r="AR95" s="9">
        <v>0</v>
      </c>
      <c r="AS95" s="9">
        <v>0</v>
      </c>
      <c r="AT95" s="9">
        <v>0</v>
      </c>
      <c r="AU95" s="9">
        <v>0</v>
      </c>
      <c r="AV95" s="9">
        <v>216915</v>
      </c>
      <c r="AW95" s="9">
        <v>3574559</v>
      </c>
      <c r="AX95" s="9">
        <v>3461733</v>
      </c>
      <c r="AY95" s="9">
        <v>3567895</v>
      </c>
      <c r="AZ95" s="9">
        <v>178812</v>
      </c>
      <c r="BA95" s="9">
        <v>0</v>
      </c>
      <c r="BB95" s="9">
        <v>0</v>
      </c>
      <c r="BC95" s="9">
        <v>0</v>
      </c>
      <c r="BD95" s="9">
        <v>0</v>
      </c>
      <c r="BE95" s="9">
        <v>0</v>
      </c>
      <c r="BF95" s="9">
        <v>2949817</v>
      </c>
      <c r="BG95" s="9">
        <v>0</v>
      </c>
      <c r="BH95" s="9">
        <v>216.18100000000001</v>
      </c>
      <c r="BI95" s="9">
        <v>59450</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53376</v>
      </c>
      <c r="CI95" s="9">
        <v>0</v>
      </c>
      <c r="CJ95" s="9">
        <v>4</v>
      </c>
      <c r="CK95" s="9">
        <v>0</v>
      </c>
      <c r="CL95" s="9">
        <v>0</v>
      </c>
      <c r="CM95" s="9">
        <v>0</v>
      </c>
      <c r="CN95" s="9">
        <v>0</v>
      </c>
      <c r="CO95" s="9">
        <v>0</v>
      </c>
      <c r="CP95" s="9">
        <v>0</v>
      </c>
      <c r="CQ95" s="9">
        <v>0</v>
      </c>
      <c r="CR95" s="9">
        <v>373.34200000000004</v>
      </c>
      <c r="CS95" s="9">
        <v>0</v>
      </c>
      <c r="CT95" s="9">
        <v>0</v>
      </c>
      <c r="CU95" s="9">
        <v>0</v>
      </c>
      <c r="CV95" s="9">
        <v>0</v>
      </c>
      <c r="CW95" s="9">
        <v>0</v>
      </c>
      <c r="CX95" s="9">
        <v>0</v>
      </c>
      <c r="CY95" s="9">
        <v>0</v>
      </c>
      <c r="CZ95" s="9">
        <v>0</v>
      </c>
      <c r="DA95" s="9">
        <v>1</v>
      </c>
      <c r="DB95" s="9">
        <v>1523490</v>
      </c>
      <c r="DC95" s="9">
        <v>0</v>
      </c>
      <c r="DD95" s="9">
        <v>0</v>
      </c>
      <c r="DE95" s="9">
        <v>469699</v>
      </c>
      <c r="DF95" s="9">
        <v>469699</v>
      </c>
      <c r="DG95" s="9">
        <v>358.33</v>
      </c>
      <c r="DH95" s="9">
        <v>0</v>
      </c>
      <c r="DI95" s="9">
        <v>0</v>
      </c>
      <c r="DJ95" s="9">
        <v>0</v>
      </c>
      <c r="DK95" s="9">
        <v>5392</v>
      </c>
      <c r="DL95" s="9">
        <v>0</v>
      </c>
      <c r="DM95" s="9">
        <v>1019371</v>
      </c>
      <c r="DN95" s="9">
        <v>0</v>
      </c>
      <c r="DO95" s="9">
        <v>0</v>
      </c>
      <c r="DP95" s="9">
        <v>0</v>
      </c>
      <c r="DQ95" s="9">
        <v>0</v>
      </c>
      <c r="DR95" s="9">
        <v>0</v>
      </c>
      <c r="DS95" s="9">
        <v>0</v>
      </c>
      <c r="DT95" s="9">
        <v>0</v>
      </c>
      <c r="DU95" s="9">
        <v>0</v>
      </c>
      <c r="DV95" s="9">
        <v>0</v>
      </c>
      <c r="DW95" s="9">
        <v>0</v>
      </c>
      <c r="DX95" s="9">
        <v>0</v>
      </c>
      <c r="DY95" s="9">
        <v>0</v>
      </c>
      <c r="DZ95" s="9">
        <v>0</v>
      </c>
      <c r="EA95" s="9">
        <v>0</v>
      </c>
      <c r="EB95" s="9">
        <v>0.13400000000000001</v>
      </c>
      <c r="EC95" s="9">
        <v>3.512</v>
      </c>
      <c r="ED95" s="9">
        <v>25319</v>
      </c>
      <c r="EE95" s="9">
        <v>0</v>
      </c>
      <c r="EF95" s="9">
        <v>0</v>
      </c>
      <c r="EG95" s="9">
        <v>0.12300000000000001</v>
      </c>
      <c r="EH95" s="9">
        <v>36775</v>
      </c>
      <c r="EI95" s="9">
        <v>957277</v>
      </c>
      <c r="EJ95" s="9">
        <v>36.515000000000001</v>
      </c>
      <c r="EK95" s="9">
        <v>1.103</v>
      </c>
      <c r="EL95" s="9">
        <v>0</v>
      </c>
      <c r="EM95" s="9">
        <v>0.496</v>
      </c>
      <c r="EN95" s="9">
        <v>1.6E-2</v>
      </c>
      <c r="EO95" s="9">
        <v>0</v>
      </c>
      <c r="EP95" s="9">
        <v>0</v>
      </c>
      <c r="EQ95" s="9">
        <v>38.387</v>
      </c>
      <c r="ER95" s="9">
        <v>0</v>
      </c>
      <c r="ES95" s="9">
        <v>5.6110000000000007</v>
      </c>
      <c r="ET95" s="9">
        <v>0</v>
      </c>
      <c r="EU95" s="9">
        <v>178812</v>
      </c>
      <c r="EV95" s="9">
        <v>0</v>
      </c>
      <c r="EW95" s="9">
        <v>0</v>
      </c>
      <c r="EX95" s="9">
        <v>0</v>
      </c>
      <c r="EY95" s="9">
        <v>0</v>
      </c>
      <c r="EZ95" s="9">
        <v>2911446</v>
      </c>
      <c r="FA95" s="9">
        <v>0</v>
      </c>
      <c r="FB95" s="9">
        <v>3090258</v>
      </c>
      <c r="FC95" s="9">
        <v>0.97327799999999998</v>
      </c>
      <c r="FD95" s="9">
        <v>0</v>
      </c>
      <c r="FE95" s="9">
        <v>449086</v>
      </c>
      <c r="FF95" s="9">
        <v>101201</v>
      </c>
      <c r="FG95" s="9">
        <v>6.1239999999999996E-2</v>
      </c>
      <c r="FH95" s="9">
        <v>5.4803999999999999E-2</v>
      </c>
      <c r="FI95" s="9">
        <v>0</v>
      </c>
      <c r="FJ95" s="9">
        <v>0</v>
      </c>
      <c r="FK95" s="9">
        <v>577.96199999999999</v>
      </c>
      <c r="FL95" s="9">
        <v>3693921</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3640545</v>
      </c>
      <c r="GQ95" s="9">
        <v>3640545</v>
      </c>
      <c r="GR95" s="9">
        <v>0</v>
      </c>
      <c r="GS95" s="9">
        <v>0</v>
      </c>
      <c r="GT95" s="9">
        <v>0</v>
      </c>
      <c r="GU95" s="9">
        <v>0</v>
      </c>
      <c r="GV95" s="9">
        <v>0</v>
      </c>
      <c r="GW95" s="9">
        <v>0</v>
      </c>
      <c r="GX95" s="9">
        <v>0</v>
      </c>
      <c r="GY95" s="9">
        <v>0</v>
      </c>
      <c r="GZ95" s="9">
        <v>0</v>
      </c>
      <c r="HA95" s="9">
        <v>0</v>
      </c>
      <c r="HB95" s="9">
        <v>260786259</v>
      </c>
      <c r="HC95" s="9">
        <v>5.0923999999999997E-2</v>
      </c>
      <c r="HD95" s="9">
        <v>53376</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32469</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row>
    <row r="96" spans="1:292" x14ac:dyDescent="0.25">
      <c r="A96" s="9">
        <v>101814</v>
      </c>
      <c r="B96" s="9">
        <v>32570</v>
      </c>
      <c r="C96" s="9">
        <v>35</v>
      </c>
      <c r="D96" s="9">
        <v>2022</v>
      </c>
      <c r="E96" s="9">
        <v>5392</v>
      </c>
      <c r="F96" s="9">
        <v>0</v>
      </c>
      <c r="G96" s="9">
        <v>1401.758</v>
      </c>
      <c r="H96" s="9">
        <v>1391.758</v>
      </c>
      <c r="I96" s="9">
        <v>1391.758</v>
      </c>
      <c r="J96" s="9">
        <v>1401.758</v>
      </c>
      <c r="K96" s="9">
        <v>0</v>
      </c>
      <c r="L96" s="9">
        <v>6554</v>
      </c>
      <c r="M96" s="9">
        <v>0</v>
      </c>
      <c r="N96" s="9">
        <v>0</v>
      </c>
      <c r="O96" s="9">
        <v>0</v>
      </c>
      <c r="P96" s="9">
        <v>1545.4850000000001</v>
      </c>
      <c r="Q96" s="9">
        <v>0</v>
      </c>
      <c r="R96" s="9">
        <v>494112</v>
      </c>
      <c r="S96" s="9">
        <v>319.71300000000002</v>
      </c>
      <c r="T96" s="9">
        <v>0</v>
      </c>
      <c r="U96" s="9">
        <v>494112</v>
      </c>
      <c r="V96" s="9">
        <v>574.66200000000003</v>
      </c>
      <c r="W96" s="9">
        <v>376633</v>
      </c>
      <c r="X96" s="9">
        <v>376633</v>
      </c>
      <c r="Y96" s="9">
        <v>0</v>
      </c>
      <c r="Z96" s="9">
        <v>0</v>
      </c>
      <c r="AA96" s="9">
        <v>1</v>
      </c>
      <c r="AB96" s="9">
        <v>1</v>
      </c>
      <c r="AC96" s="9">
        <v>0</v>
      </c>
      <c r="AD96" s="9" t="s">
        <v>314</v>
      </c>
      <c r="AE96" s="9">
        <v>0</v>
      </c>
      <c r="AF96" s="9">
        <v>0</v>
      </c>
      <c r="AG96" s="9">
        <v>0</v>
      </c>
      <c r="AH96" s="9">
        <v>0</v>
      </c>
      <c r="AI96" s="9">
        <v>0</v>
      </c>
      <c r="AJ96" s="9">
        <v>5104</v>
      </c>
      <c r="AK96" s="9" t="s">
        <v>651</v>
      </c>
      <c r="AL96" s="9" t="s">
        <v>344</v>
      </c>
      <c r="AM96" s="9">
        <v>0</v>
      </c>
      <c r="AN96" s="9">
        <v>0</v>
      </c>
      <c r="AO96" s="9">
        <v>0</v>
      </c>
      <c r="AP96" s="9">
        <v>0</v>
      </c>
      <c r="AQ96" s="9">
        <v>0</v>
      </c>
      <c r="AR96" s="9">
        <v>0</v>
      </c>
      <c r="AS96" s="9">
        <v>0</v>
      </c>
      <c r="AT96" s="9">
        <v>0</v>
      </c>
      <c r="AU96" s="9">
        <v>0</v>
      </c>
      <c r="AV96" s="9">
        <v>749048</v>
      </c>
      <c r="AW96" s="9">
        <v>13840401</v>
      </c>
      <c r="AX96" s="9">
        <v>13806276</v>
      </c>
      <c r="AY96" s="9">
        <v>15104247</v>
      </c>
      <c r="AZ96" s="9">
        <v>494112</v>
      </c>
      <c r="BA96" s="9">
        <v>68.25</v>
      </c>
      <c r="BB96" s="9">
        <v>0</v>
      </c>
      <c r="BC96" s="9">
        <v>0</v>
      </c>
      <c r="BD96" s="9">
        <v>0</v>
      </c>
      <c r="BE96" s="9">
        <v>0</v>
      </c>
      <c r="BF96" s="9">
        <v>11722475</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1545.4850000000001</v>
      </c>
      <c r="CS96" s="9">
        <v>0</v>
      </c>
      <c r="CT96" s="9">
        <v>0</v>
      </c>
      <c r="CU96" s="9">
        <v>0</v>
      </c>
      <c r="CV96" s="9">
        <v>0</v>
      </c>
      <c r="CW96" s="9">
        <v>0</v>
      </c>
      <c r="CX96" s="9">
        <v>0</v>
      </c>
      <c r="CY96" s="9">
        <v>0</v>
      </c>
      <c r="CZ96" s="9">
        <v>0</v>
      </c>
      <c r="DA96" s="9">
        <v>1</v>
      </c>
      <c r="DB96" s="9">
        <v>9121582</v>
      </c>
      <c r="DC96" s="9">
        <v>0</v>
      </c>
      <c r="DD96" s="9">
        <v>0</v>
      </c>
      <c r="DE96" s="9">
        <v>2107989</v>
      </c>
      <c r="DF96" s="9">
        <v>2107989</v>
      </c>
      <c r="DG96" s="9">
        <v>1608.17</v>
      </c>
      <c r="DH96" s="9">
        <v>0</v>
      </c>
      <c r="DI96" s="9">
        <v>0</v>
      </c>
      <c r="DJ96" s="9">
        <v>0</v>
      </c>
      <c r="DK96" s="9">
        <v>5392</v>
      </c>
      <c r="DL96" s="9">
        <v>0</v>
      </c>
      <c r="DM96" s="9">
        <v>438125</v>
      </c>
      <c r="DN96" s="9">
        <v>0</v>
      </c>
      <c r="DO96" s="9">
        <v>0</v>
      </c>
      <c r="DP96" s="9">
        <v>0</v>
      </c>
      <c r="DQ96" s="9">
        <v>0</v>
      </c>
      <c r="DR96" s="9">
        <v>0</v>
      </c>
      <c r="DS96" s="9">
        <v>0</v>
      </c>
      <c r="DT96" s="9">
        <v>0</v>
      </c>
      <c r="DU96" s="9">
        <v>0</v>
      </c>
      <c r="DV96" s="9">
        <v>0</v>
      </c>
      <c r="DW96" s="9">
        <v>0</v>
      </c>
      <c r="DX96" s="9">
        <v>0</v>
      </c>
      <c r="DY96" s="9">
        <v>0</v>
      </c>
      <c r="DZ96" s="9">
        <v>0</v>
      </c>
      <c r="EA96" s="9">
        <v>0</v>
      </c>
      <c r="EB96" s="9">
        <v>0</v>
      </c>
      <c r="EC96" s="9">
        <v>31.684000000000001</v>
      </c>
      <c r="ED96" s="9">
        <v>228423</v>
      </c>
      <c r="EE96" s="9">
        <v>0</v>
      </c>
      <c r="EF96" s="9">
        <v>0</v>
      </c>
      <c r="EG96" s="9">
        <v>0</v>
      </c>
      <c r="EH96" s="9">
        <v>209702</v>
      </c>
      <c r="EI96" s="9">
        <v>0</v>
      </c>
      <c r="EJ96" s="9">
        <v>0</v>
      </c>
      <c r="EK96" s="9">
        <v>9.0020000000000007</v>
      </c>
      <c r="EL96" s="9">
        <v>0</v>
      </c>
      <c r="EM96" s="9">
        <v>0</v>
      </c>
      <c r="EN96" s="9">
        <v>0.998</v>
      </c>
      <c r="EO96" s="9">
        <v>0</v>
      </c>
      <c r="EP96" s="9">
        <v>0</v>
      </c>
      <c r="EQ96" s="9">
        <v>10</v>
      </c>
      <c r="ER96" s="9">
        <v>0</v>
      </c>
      <c r="ES96" s="9">
        <v>31.996000000000002</v>
      </c>
      <c r="ET96" s="9">
        <v>34125</v>
      </c>
      <c r="EU96" s="9">
        <v>494112</v>
      </c>
      <c r="EV96" s="9">
        <v>0</v>
      </c>
      <c r="EW96" s="9">
        <v>0</v>
      </c>
      <c r="EX96" s="9">
        <v>0</v>
      </c>
      <c r="EY96" s="9">
        <v>0</v>
      </c>
      <c r="EZ96" s="9">
        <v>11619454</v>
      </c>
      <c r="FA96" s="9">
        <v>0</v>
      </c>
      <c r="FB96" s="9">
        <v>12113566</v>
      </c>
      <c r="FC96" s="9">
        <v>0.97327799999999998</v>
      </c>
      <c r="FD96" s="9">
        <v>0</v>
      </c>
      <c r="FE96" s="9">
        <v>1784653</v>
      </c>
      <c r="FF96" s="9">
        <v>402169</v>
      </c>
      <c r="FG96" s="9">
        <v>6.1239999999999996E-2</v>
      </c>
      <c r="FH96" s="9">
        <v>5.4803999999999999E-2</v>
      </c>
      <c r="FI96" s="9">
        <v>0</v>
      </c>
      <c r="FJ96" s="9">
        <v>0</v>
      </c>
      <c r="FK96" s="9">
        <v>2296.8020000000001</v>
      </c>
      <c r="FL96" s="9">
        <v>14334513</v>
      </c>
      <c r="FM96" s="9">
        <v>0</v>
      </c>
      <c r="FN96" s="9">
        <v>0</v>
      </c>
      <c r="FO96" s="9">
        <v>69237</v>
      </c>
      <c r="FP96" s="9">
        <v>0</v>
      </c>
      <c r="FQ96" s="9">
        <v>69237</v>
      </c>
      <c r="FR96" s="9">
        <v>69237</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14300388</v>
      </c>
      <c r="GQ96" s="9">
        <v>14300388</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32469</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row>
    <row r="97" spans="1:292" x14ac:dyDescent="0.25">
      <c r="A97" s="9">
        <v>101815</v>
      </c>
      <c r="B97" s="9">
        <v>32570</v>
      </c>
      <c r="C97" s="9">
        <v>35</v>
      </c>
      <c r="D97" s="9">
        <v>2022</v>
      </c>
      <c r="E97" s="9">
        <v>5392</v>
      </c>
      <c r="F97" s="9">
        <v>0</v>
      </c>
      <c r="G97" s="9">
        <v>266.61799999999999</v>
      </c>
      <c r="H97" s="9">
        <v>266.40600000000001</v>
      </c>
      <c r="I97" s="9">
        <v>266.40600000000001</v>
      </c>
      <c r="J97" s="9">
        <v>266.61799999999999</v>
      </c>
      <c r="K97" s="9">
        <v>0</v>
      </c>
      <c r="L97" s="9">
        <v>6554</v>
      </c>
      <c r="M97" s="9">
        <v>0</v>
      </c>
      <c r="N97" s="9">
        <v>0</v>
      </c>
      <c r="O97" s="9">
        <v>0</v>
      </c>
      <c r="P97" s="9">
        <v>233.095</v>
      </c>
      <c r="Q97" s="9">
        <v>0</v>
      </c>
      <c r="R97" s="9">
        <v>74524</v>
      </c>
      <c r="S97" s="9">
        <v>319.71300000000002</v>
      </c>
      <c r="T97" s="9">
        <v>0</v>
      </c>
      <c r="U97" s="9">
        <v>74524</v>
      </c>
      <c r="V97" s="9">
        <v>206.42700000000002</v>
      </c>
      <c r="W97" s="9">
        <v>135292</v>
      </c>
      <c r="X97" s="9">
        <v>135292</v>
      </c>
      <c r="Y97" s="9">
        <v>0</v>
      </c>
      <c r="Z97" s="9">
        <v>0</v>
      </c>
      <c r="AA97" s="9">
        <v>1</v>
      </c>
      <c r="AB97" s="9">
        <v>1</v>
      </c>
      <c r="AC97" s="9">
        <v>0</v>
      </c>
      <c r="AD97" s="9" t="s">
        <v>314</v>
      </c>
      <c r="AE97" s="9">
        <v>0</v>
      </c>
      <c r="AF97" s="9">
        <v>0</v>
      </c>
      <c r="AG97" s="9">
        <v>0</v>
      </c>
      <c r="AH97" s="9">
        <v>0</v>
      </c>
      <c r="AI97" s="9">
        <v>0</v>
      </c>
      <c r="AJ97" s="9">
        <v>5104</v>
      </c>
      <c r="AK97" s="9" t="s">
        <v>651</v>
      </c>
      <c r="AL97" s="9" t="s">
        <v>52</v>
      </c>
      <c r="AM97" s="9">
        <v>0</v>
      </c>
      <c r="AN97" s="9">
        <v>0</v>
      </c>
      <c r="AO97" s="9">
        <v>0</v>
      </c>
      <c r="AP97" s="9">
        <v>0</v>
      </c>
      <c r="AQ97" s="9">
        <v>0</v>
      </c>
      <c r="AR97" s="9">
        <v>0</v>
      </c>
      <c r="AS97" s="9">
        <v>0</v>
      </c>
      <c r="AT97" s="9">
        <v>0</v>
      </c>
      <c r="AU97" s="9">
        <v>0</v>
      </c>
      <c r="AV97" s="9">
        <v>18360</v>
      </c>
      <c r="AW97" s="9">
        <v>2716837</v>
      </c>
      <c r="AX97" s="9">
        <v>2655126</v>
      </c>
      <c r="AY97" s="9">
        <v>2918213</v>
      </c>
      <c r="AZ97" s="9">
        <v>74524</v>
      </c>
      <c r="BA97" s="9">
        <v>18.083000000000002</v>
      </c>
      <c r="BB97" s="9">
        <v>0</v>
      </c>
      <c r="BC97" s="9">
        <v>0</v>
      </c>
      <c r="BD97" s="9">
        <v>0</v>
      </c>
      <c r="BE97" s="9">
        <v>0</v>
      </c>
      <c r="BF97" s="9">
        <v>2248466</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61711</v>
      </c>
      <c r="CI97" s="9">
        <v>0</v>
      </c>
      <c r="CJ97" s="9">
        <v>4</v>
      </c>
      <c r="CK97" s="9">
        <v>0</v>
      </c>
      <c r="CL97" s="9">
        <v>0</v>
      </c>
      <c r="CM97" s="9">
        <v>0</v>
      </c>
      <c r="CN97" s="9">
        <v>0</v>
      </c>
      <c r="CO97" s="9">
        <v>0</v>
      </c>
      <c r="CP97" s="9">
        <v>0</v>
      </c>
      <c r="CQ97" s="9">
        <v>0.5</v>
      </c>
      <c r="CR97" s="9">
        <v>233.095</v>
      </c>
      <c r="CS97" s="9">
        <v>0</v>
      </c>
      <c r="CT97" s="9">
        <v>0</v>
      </c>
      <c r="CU97" s="9">
        <v>0</v>
      </c>
      <c r="CV97" s="9">
        <v>0</v>
      </c>
      <c r="CW97" s="9">
        <v>0</v>
      </c>
      <c r="CX97" s="9">
        <v>0</v>
      </c>
      <c r="CY97" s="9">
        <v>0</v>
      </c>
      <c r="CZ97" s="9">
        <v>0</v>
      </c>
      <c r="DA97" s="9">
        <v>1</v>
      </c>
      <c r="DB97" s="9">
        <v>1746025</v>
      </c>
      <c r="DC97" s="9">
        <v>0</v>
      </c>
      <c r="DD97" s="9">
        <v>0</v>
      </c>
      <c r="DE97" s="9">
        <v>332511</v>
      </c>
      <c r="DF97" s="9">
        <v>332511</v>
      </c>
      <c r="DG97" s="9">
        <v>253.67000000000002</v>
      </c>
      <c r="DH97" s="9">
        <v>0</v>
      </c>
      <c r="DI97" s="9">
        <v>0</v>
      </c>
      <c r="DJ97" s="9">
        <v>0</v>
      </c>
      <c r="DK97" s="9">
        <v>5392</v>
      </c>
      <c r="DL97" s="9">
        <v>0</v>
      </c>
      <c r="DM97" s="9">
        <v>96372</v>
      </c>
      <c r="DN97" s="9">
        <v>0</v>
      </c>
      <c r="DO97" s="9">
        <v>0</v>
      </c>
      <c r="DP97" s="9">
        <v>0</v>
      </c>
      <c r="DQ97" s="9">
        <v>0</v>
      </c>
      <c r="DR97" s="9">
        <v>0</v>
      </c>
      <c r="DS97" s="9">
        <v>0</v>
      </c>
      <c r="DT97" s="9">
        <v>0</v>
      </c>
      <c r="DU97" s="9">
        <v>0</v>
      </c>
      <c r="DV97" s="9">
        <v>0</v>
      </c>
      <c r="DW97" s="9">
        <v>0</v>
      </c>
      <c r="DX97" s="9">
        <v>0</v>
      </c>
      <c r="DY97" s="9">
        <v>0</v>
      </c>
      <c r="DZ97" s="9">
        <v>0</v>
      </c>
      <c r="EA97" s="9">
        <v>0</v>
      </c>
      <c r="EB97" s="9">
        <v>0</v>
      </c>
      <c r="EC97" s="9">
        <v>12.404</v>
      </c>
      <c r="ED97" s="9">
        <v>89425</v>
      </c>
      <c r="EE97" s="9">
        <v>0</v>
      </c>
      <c r="EF97" s="9">
        <v>0</v>
      </c>
      <c r="EG97" s="9">
        <v>0</v>
      </c>
      <c r="EH97" s="9">
        <v>6947</v>
      </c>
      <c r="EI97" s="9">
        <v>0</v>
      </c>
      <c r="EJ97" s="9">
        <v>0</v>
      </c>
      <c r="EK97" s="9">
        <v>0</v>
      </c>
      <c r="EL97" s="9">
        <v>0</v>
      </c>
      <c r="EM97" s="9">
        <v>0</v>
      </c>
      <c r="EN97" s="9">
        <v>0.21200000000000002</v>
      </c>
      <c r="EO97" s="9">
        <v>0</v>
      </c>
      <c r="EP97" s="9">
        <v>0</v>
      </c>
      <c r="EQ97" s="9">
        <v>0.21200000000000002</v>
      </c>
      <c r="ER97" s="9">
        <v>0</v>
      </c>
      <c r="ES97" s="9">
        <v>1.06</v>
      </c>
      <c r="ET97" s="9">
        <v>9167</v>
      </c>
      <c r="EU97" s="9">
        <v>74524</v>
      </c>
      <c r="EV97" s="9">
        <v>0</v>
      </c>
      <c r="EW97" s="9">
        <v>0</v>
      </c>
      <c r="EX97" s="9">
        <v>0</v>
      </c>
      <c r="EY97" s="9">
        <v>0</v>
      </c>
      <c r="EZ97" s="9">
        <v>2235676</v>
      </c>
      <c r="FA97" s="9">
        <v>0</v>
      </c>
      <c r="FB97" s="9">
        <v>2310200</v>
      </c>
      <c r="FC97" s="9">
        <v>0.97327799999999998</v>
      </c>
      <c r="FD97" s="9">
        <v>0</v>
      </c>
      <c r="FE97" s="9">
        <v>342311</v>
      </c>
      <c r="FF97" s="9">
        <v>77139</v>
      </c>
      <c r="FG97" s="9">
        <v>6.1239999999999996E-2</v>
      </c>
      <c r="FH97" s="9">
        <v>5.4803999999999999E-2</v>
      </c>
      <c r="FI97" s="9">
        <v>0</v>
      </c>
      <c r="FJ97" s="9">
        <v>0</v>
      </c>
      <c r="FK97" s="9">
        <v>440.54500000000002</v>
      </c>
      <c r="FL97" s="9">
        <v>2791361</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2729650</v>
      </c>
      <c r="GQ97" s="9">
        <v>2729650</v>
      </c>
      <c r="GR97" s="9">
        <v>0</v>
      </c>
      <c r="GS97" s="9">
        <v>0</v>
      </c>
      <c r="GT97" s="9">
        <v>0</v>
      </c>
      <c r="GU97" s="9">
        <v>0</v>
      </c>
      <c r="GV97" s="9">
        <v>0</v>
      </c>
      <c r="GW97" s="9">
        <v>0</v>
      </c>
      <c r="GX97" s="9">
        <v>0</v>
      </c>
      <c r="GY97" s="9">
        <v>0</v>
      </c>
      <c r="GZ97" s="9">
        <v>0</v>
      </c>
      <c r="HA97" s="9">
        <v>0</v>
      </c>
      <c r="HB97" s="9">
        <v>260786259</v>
      </c>
      <c r="HC97" s="9">
        <v>5.0923999999999997E-2</v>
      </c>
      <c r="HD97" s="9">
        <v>52544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32469</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row>
    <row r="98" spans="1:292" x14ac:dyDescent="0.25">
      <c r="A98" s="9">
        <v>101819</v>
      </c>
      <c r="B98" s="9">
        <v>32570</v>
      </c>
      <c r="C98" s="9">
        <v>35</v>
      </c>
      <c r="D98" s="9">
        <v>2022</v>
      </c>
      <c r="E98" s="9">
        <v>5392</v>
      </c>
      <c r="F98" s="9">
        <v>0</v>
      </c>
      <c r="G98" s="9">
        <v>464.51800000000003</v>
      </c>
      <c r="H98" s="9">
        <v>458.03800000000001</v>
      </c>
      <c r="I98" s="9">
        <v>458.03800000000001</v>
      </c>
      <c r="J98" s="9">
        <v>464.51800000000003</v>
      </c>
      <c r="K98" s="9">
        <v>0</v>
      </c>
      <c r="L98" s="9">
        <v>6554</v>
      </c>
      <c r="M98" s="9">
        <v>0</v>
      </c>
      <c r="N98" s="9">
        <v>0</v>
      </c>
      <c r="O98" s="9">
        <v>0</v>
      </c>
      <c r="P98" s="9">
        <v>453.63200000000001</v>
      </c>
      <c r="Q98" s="9">
        <v>0</v>
      </c>
      <c r="R98" s="9">
        <v>145032</v>
      </c>
      <c r="S98" s="9">
        <v>319.71300000000002</v>
      </c>
      <c r="T98" s="9">
        <v>0</v>
      </c>
      <c r="U98" s="9">
        <v>145032</v>
      </c>
      <c r="V98" s="9">
        <v>383.95600000000002</v>
      </c>
      <c r="W98" s="9">
        <v>251645</v>
      </c>
      <c r="X98" s="9">
        <v>251645</v>
      </c>
      <c r="Y98" s="9">
        <v>0</v>
      </c>
      <c r="Z98" s="9">
        <v>0</v>
      </c>
      <c r="AA98" s="9">
        <v>1</v>
      </c>
      <c r="AB98" s="9">
        <v>1</v>
      </c>
      <c r="AC98" s="9">
        <v>0</v>
      </c>
      <c r="AD98" s="9" t="s">
        <v>314</v>
      </c>
      <c r="AE98" s="9">
        <v>0</v>
      </c>
      <c r="AF98" s="9">
        <v>0</v>
      </c>
      <c r="AG98" s="9">
        <v>0</v>
      </c>
      <c r="AH98" s="9">
        <v>0</v>
      </c>
      <c r="AI98" s="9">
        <v>0</v>
      </c>
      <c r="AJ98" s="9">
        <v>5104</v>
      </c>
      <c r="AK98" s="9" t="s">
        <v>651</v>
      </c>
      <c r="AL98" s="9" t="s">
        <v>345</v>
      </c>
      <c r="AM98" s="9">
        <v>0</v>
      </c>
      <c r="AN98" s="9">
        <v>0</v>
      </c>
      <c r="AO98" s="9">
        <v>0</v>
      </c>
      <c r="AP98" s="9">
        <v>0</v>
      </c>
      <c r="AQ98" s="9">
        <v>0</v>
      </c>
      <c r="AR98" s="9">
        <v>0</v>
      </c>
      <c r="AS98" s="9">
        <v>0</v>
      </c>
      <c r="AT98" s="9">
        <v>0</v>
      </c>
      <c r="AU98" s="9">
        <v>0</v>
      </c>
      <c r="AV98" s="9">
        <v>350553</v>
      </c>
      <c r="AW98" s="9">
        <v>4771334</v>
      </c>
      <c r="AX98" s="9">
        <v>4665350</v>
      </c>
      <c r="AY98" s="9">
        <v>5486543</v>
      </c>
      <c r="AZ98" s="9">
        <v>145032</v>
      </c>
      <c r="BA98" s="9">
        <v>28.5</v>
      </c>
      <c r="BB98" s="9">
        <v>0</v>
      </c>
      <c r="BC98" s="9">
        <v>0</v>
      </c>
      <c r="BD98" s="9">
        <v>0</v>
      </c>
      <c r="BE98" s="9">
        <v>0</v>
      </c>
      <c r="BF98" s="9">
        <v>3962405</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105984</v>
      </c>
      <c r="CI98" s="9">
        <v>0</v>
      </c>
      <c r="CJ98" s="9">
        <v>4</v>
      </c>
      <c r="CK98" s="9">
        <v>0</v>
      </c>
      <c r="CL98" s="9">
        <v>0</v>
      </c>
      <c r="CM98" s="9">
        <v>0</v>
      </c>
      <c r="CN98" s="9">
        <v>0</v>
      </c>
      <c r="CO98" s="9">
        <v>0</v>
      </c>
      <c r="CP98" s="9">
        <v>0</v>
      </c>
      <c r="CQ98" s="9">
        <v>0.75</v>
      </c>
      <c r="CR98" s="9">
        <v>453.63200000000001</v>
      </c>
      <c r="CS98" s="9">
        <v>0</v>
      </c>
      <c r="CT98" s="9">
        <v>0</v>
      </c>
      <c r="CU98" s="9">
        <v>0</v>
      </c>
      <c r="CV98" s="9">
        <v>0</v>
      </c>
      <c r="CW98" s="9">
        <v>0</v>
      </c>
      <c r="CX98" s="9">
        <v>0</v>
      </c>
      <c r="CY98" s="9">
        <v>0</v>
      </c>
      <c r="CZ98" s="9">
        <v>0</v>
      </c>
      <c r="DA98" s="9">
        <v>1</v>
      </c>
      <c r="DB98" s="9">
        <v>3001981</v>
      </c>
      <c r="DC98" s="9">
        <v>0</v>
      </c>
      <c r="DD98" s="9">
        <v>0</v>
      </c>
      <c r="DE98" s="9">
        <v>657799</v>
      </c>
      <c r="DF98" s="9">
        <v>657799</v>
      </c>
      <c r="DG98" s="9">
        <v>501.83</v>
      </c>
      <c r="DH98" s="9">
        <v>0</v>
      </c>
      <c r="DI98" s="9">
        <v>0</v>
      </c>
      <c r="DJ98" s="9">
        <v>0</v>
      </c>
      <c r="DK98" s="9">
        <v>5392</v>
      </c>
      <c r="DL98" s="9">
        <v>0</v>
      </c>
      <c r="DM98" s="9">
        <v>159773</v>
      </c>
      <c r="DN98" s="9">
        <v>0</v>
      </c>
      <c r="DO98" s="9">
        <v>0</v>
      </c>
      <c r="DP98" s="9">
        <v>0</v>
      </c>
      <c r="DQ98" s="9">
        <v>0</v>
      </c>
      <c r="DR98" s="9">
        <v>0</v>
      </c>
      <c r="DS98" s="9">
        <v>0</v>
      </c>
      <c r="DT98" s="9">
        <v>0</v>
      </c>
      <c r="DU98" s="9">
        <v>0</v>
      </c>
      <c r="DV98" s="9">
        <v>0</v>
      </c>
      <c r="DW98" s="9">
        <v>0</v>
      </c>
      <c r="DX98" s="9">
        <v>0</v>
      </c>
      <c r="DY98" s="9">
        <v>0</v>
      </c>
      <c r="DZ98" s="9">
        <v>0</v>
      </c>
      <c r="EA98" s="9">
        <v>0</v>
      </c>
      <c r="EB98" s="9">
        <v>0</v>
      </c>
      <c r="EC98" s="9">
        <v>2.7800000000000002</v>
      </c>
      <c r="ED98" s="9">
        <v>20042</v>
      </c>
      <c r="EE98" s="9">
        <v>0</v>
      </c>
      <c r="EF98" s="9">
        <v>0</v>
      </c>
      <c r="EG98" s="9">
        <v>0</v>
      </c>
      <c r="EH98" s="9">
        <v>139731</v>
      </c>
      <c r="EI98" s="9">
        <v>0</v>
      </c>
      <c r="EJ98" s="9">
        <v>0</v>
      </c>
      <c r="EK98" s="9">
        <v>5.0710000000000006</v>
      </c>
      <c r="EL98" s="9">
        <v>0</v>
      </c>
      <c r="EM98" s="9">
        <v>0.46900000000000003</v>
      </c>
      <c r="EN98" s="9">
        <v>0.94000000000000006</v>
      </c>
      <c r="EO98" s="9">
        <v>0</v>
      </c>
      <c r="EP98" s="9">
        <v>0</v>
      </c>
      <c r="EQ98" s="9">
        <v>6.48</v>
      </c>
      <c r="ER98" s="9">
        <v>0</v>
      </c>
      <c r="ES98" s="9">
        <v>21.32</v>
      </c>
      <c r="ET98" s="9">
        <v>14438</v>
      </c>
      <c r="EU98" s="9">
        <v>145032</v>
      </c>
      <c r="EV98" s="9">
        <v>0</v>
      </c>
      <c r="EW98" s="9">
        <v>0</v>
      </c>
      <c r="EX98" s="9">
        <v>0</v>
      </c>
      <c r="EY98" s="9">
        <v>0</v>
      </c>
      <c r="EZ98" s="9">
        <v>3926166</v>
      </c>
      <c r="FA98" s="9">
        <v>0</v>
      </c>
      <c r="FB98" s="9">
        <v>4071198</v>
      </c>
      <c r="FC98" s="9">
        <v>0.97327799999999998</v>
      </c>
      <c r="FD98" s="9">
        <v>0</v>
      </c>
      <c r="FE98" s="9">
        <v>603244</v>
      </c>
      <c r="FF98" s="9">
        <v>135940</v>
      </c>
      <c r="FG98" s="9">
        <v>6.1239999999999996E-2</v>
      </c>
      <c r="FH98" s="9">
        <v>5.4803999999999999E-2</v>
      </c>
      <c r="FI98" s="9">
        <v>0</v>
      </c>
      <c r="FJ98" s="9">
        <v>0</v>
      </c>
      <c r="FK98" s="9">
        <v>776.36</v>
      </c>
      <c r="FL98" s="9">
        <v>4916366</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4810382</v>
      </c>
      <c r="GQ98" s="9">
        <v>4810382</v>
      </c>
      <c r="GR98" s="9">
        <v>0</v>
      </c>
      <c r="GS98" s="9">
        <v>0</v>
      </c>
      <c r="GT98" s="9">
        <v>0</v>
      </c>
      <c r="GU98" s="9">
        <v>0</v>
      </c>
      <c r="GV98" s="9">
        <v>0</v>
      </c>
      <c r="GW98" s="9">
        <v>0</v>
      </c>
      <c r="GX98" s="9">
        <v>0</v>
      </c>
      <c r="GY98" s="9">
        <v>0</v>
      </c>
      <c r="GZ98" s="9">
        <v>0</v>
      </c>
      <c r="HA98" s="9">
        <v>0</v>
      </c>
      <c r="HB98" s="9">
        <v>260786259</v>
      </c>
      <c r="HC98" s="9">
        <v>5.0923999999999997E-2</v>
      </c>
      <c r="HD98" s="9">
        <v>91546</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233.29600000000002</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32469</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row>
    <row r="99" spans="1:292" x14ac:dyDescent="0.25">
      <c r="A99" s="9">
        <v>101821</v>
      </c>
      <c r="B99" s="9">
        <v>32570</v>
      </c>
      <c r="C99" s="9">
        <v>35</v>
      </c>
      <c r="D99" s="9">
        <v>2022</v>
      </c>
      <c r="E99" s="9">
        <v>5392</v>
      </c>
      <c r="F99" s="9">
        <v>0</v>
      </c>
      <c r="G99" s="9">
        <v>164.83100000000002</v>
      </c>
      <c r="H99" s="9">
        <v>141.79400000000001</v>
      </c>
      <c r="I99" s="9">
        <v>141.79400000000001</v>
      </c>
      <c r="J99" s="9">
        <v>164.83100000000002</v>
      </c>
      <c r="K99" s="9">
        <v>0</v>
      </c>
      <c r="L99" s="9">
        <v>6554</v>
      </c>
      <c r="M99" s="9">
        <v>0</v>
      </c>
      <c r="N99" s="9">
        <v>0</v>
      </c>
      <c r="O99" s="9">
        <v>0</v>
      </c>
      <c r="P99" s="9">
        <v>193.67500000000001</v>
      </c>
      <c r="Q99" s="9">
        <v>0</v>
      </c>
      <c r="R99" s="9">
        <v>61920</v>
      </c>
      <c r="S99" s="9">
        <v>319.71300000000002</v>
      </c>
      <c r="T99" s="9">
        <v>0</v>
      </c>
      <c r="U99" s="9">
        <v>61920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651</v>
      </c>
      <c r="AL99" s="9" t="s">
        <v>9</v>
      </c>
      <c r="AM99" s="9">
        <v>0</v>
      </c>
      <c r="AN99" s="9">
        <v>0</v>
      </c>
      <c r="AO99" s="9">
        <v>0</v>
      </c>
      <c r="AP99" s="9">
        <v>0</v>
      </c>
      <c r="AQ99" s="9">
        <v>0</v>
      </c>
      <c r="AR99" s="9">
        <v>0</v>
      </c>
      <c r="AS99" s="9">
        <v>0</v>
      </c>
      <c r="AT99" s="9">
        <v>0</v>
      </c>
      <c r="AU99" s="9">
        <v>0</v>
      </c>
      <c r="AV99" s="9">
        <v>10823</v>
      </c>
      <c r="AW99" s="9">
        <v>1833234</v>
      </c>
      <c r="AX99" s="9">
        <v>1755421</v>
      </c>
      <c r="AY99" s="9">
        <v>1831239</v>
      </c>
      <c r="AZ99" s="9">
        <v>107248</v>
      </c>
      <c r="BA99" s="9">
        <v>0</v>
      </c>
      <c r="BB99" s="9">
        <v>0</v>
      </c>
      <c r="BC99" s="9">
        <v>0</v>
      </c>
      <c r="BD99" s="9">
        <v>0</v>
      </c>
      <c r="BE99" s="9">
        <v>0</v>
      </c>
      <c r="BF99" s="9">
        <v>1496979</v>
      </c>
      <c r="BG99" s="9">
        <v>0</v>
      </c>
      <c r="BH99" s="9">
        <v>164.82900000000001</v>
      </c>
      <c r="BI99" s="9">
        <v>45328</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32485</v>
      </c>
      <c r="CI99" s="9">
        <v>0</v>
      </c>
      <c r="CJ99" s="9">
        <v>4</v>
      </c>
      <c r="CK99" s="9">
        <v>0</v>
      </c>
      <c r="CL99" s="9">
        <v>0</v>
      </c>
      <c r="CM99" s="9">
        <v>0</v>
      </c>
      <c r="CN99" s="9">
        <v>0</v>
      </c>
      <c r="CO99" s="9">
        <v>0</v>
      </c>
      <c r="CP99" s="9">
        <v>0.34600000000000003</v>
      </c>
      <c r="CQ99" s="9">
        <v>0</v>
      </c>
      <c r="CR99" s="9">
        <v>193.67500000000001</v>
      </c>
      <c r="CS99" s="9">
        <v>0</v>
      </c>
      <c r="CT99" s="9">
        <v>0</v>
      </c>
      <c r="CU99" s="9">
        <v>0</v>
      </c>
      <c r="CV99" s="9">
        <v>0</v>
      </c>
      <c r="CW99" s="9">
        <v>0</v>
      </c>
      <c r="CX99" s="9">
        <v>0</v>
      </c>
      <c r="CY99" s="9">
        <v>0</v>
      </c>
      <c r="CZ99" s="9">
        <v>0</v>
      </c>
      <c r="DA99" s="9">
        <v>1</v>
      </c>
      <c r="DB99" s="9">
        <v>929318</v>
      </c>
      <c r="DC99" s="9">
        <v>0</v>
      </c>
      <c r="DD99" s="9">
        <v>0</v>
      </c>
      <c r="DE99" s="9">
        <v>268059</v>
      </c>
      <c r="DF99" s="9">
        <v>273524</v>
      </c>
      <c r="DG99" s="9">
        <v>204.5</v>
      </c>
      <c r="DH99" s="9">
        <v>0</v>
      </c>
      <c r="DI99" s="9">
        <v>5465</v>
      </c>
      <c r="DJ99" s="9">
        <v>0</v>
      </c>
      <c r="DK99" s="9">
        <v>5392</v>
      </c>
      <c r="DL99" s="9">
        <v>0</v>
      </c>
      <c r="DM99" s="9">
        <v>191999</v>
      </c>
      <c r="DN99" s="9">
        <v>0</v>
      </c>
      <c r="DO99" s="9">
        <v>0</v>
      </c>
      <c r="DP99" s="9">
        <v>0</v>
      </c>
      <c r="DQ99" s="9">
        <v>0</v>
      </c>
      <c r="DR99" s="9">
        <v>0</v>
      </c>
      <c r="DS99" s="9">
        <v>0</v>
      </c>
      <c r="DT99" s="9">
        <v>0</v>
      </c>
      <c r="DU99" s="9">
        <v>0</v>
      </c>
      <c r="DV99" s="9">
        <v>0</v>
      </c>
      <c r="DW99" s="9">
        <v>0</v>
      </c>
      <c r="DX99" s="9">
        <v>0</v>
      </c>
      <c r="DY99" s="9">
        <v>0</v>
      </c>
      <c r="DZ99" s="9">
        <v>0</v>
      </c>
      <c r="EA99" s="9">
        <v>0</v>
      </c>
      <c r="EB99" s="9">
        <v>0</v>
      </c>
      <c r="EC99" s="9">
        <v>7.8100000000000005</v>
      </c>
      <c r="ED99" s="9">
        <v>56305</v>
      </c>
      <c r="EE99" s="9">
        <v>0</v>
      </c>
      <c r="EF99" s="9">
        <v>0</v>
      </c>
      <c r="EG99" s="9">
        <v>0</v>
      </c>
      <c r="EH99" s="9">
        <v>135694</v>
      </c>
      <c r="EI99" s="9">
        <v>0</v>
      </c>
      <c r="EJ99" s="9">
        <v>0</v>
      </c>
      <c r="EK99" s="9">
        <v>6.7680000000000007</v>
      </c>
      <c r="EL99" s="9">
        <v>0</v>
      </c>
      <c r="EM99" s="9">
        <v>0</v>
      </c>
      <c r="EN99" s="9">
        <v>0.08</v>
      </c>
      <c r="EO99" s="9">
        <v>0</v>
      </c>
      <c r="EP99" s="9">
        <v>0</v>
      </c>
      <c r="EQ99" s="9">
        <v>6.8480000000000008</v>
      </c>
      <c r="ER99" s="9">
        <v>0</v>
      </c>
      <c r="ES99" s="9">
        <v>20.704000000000001</v>
      </c>
      <c r="ET99" s="9">
        <v>0</v>
      </c>
      <c r="EU99" s="9">
        <v>107248</v>
      </c>
      <c r="EV99" s="9">
        <v>0</v>
      </c>
      <c r="EW99" s="9">
        <v>0</v>
      </c>
      <c r="EX99" s="9">
        <v>0</v>
      </c>
      <c r="EY99" s="9">
        <v>0</v>
      </c>
      <c r="EZ99" s="9">
        <v>1476160</v>
      </c>
      <c r="FA99" s="9">
        <v>0</v>
      </c>
      <c r="FB99" s="9">
        <v>1583408</v>
      </c>
      <c r="FC99" s="9">
        <v>0.97327799999999998</v>
      </c>
      <c r="FD99" s="9">
        <v>0</v>
      </c>
      <c r="FE99" s="9">
        <v>227903</v>
      </c>
      <c r="FF99" s="9">
        <v>51358</v>
      </c>
      <c r="FG99" s="9">
        <v>6.1239999999999996E-2</v>
      </c>
      <c r="FH99" s="9">
        <v>5.4803999999999999E-2</v>
      </c>
      <c r="FI99" s="9">
        <v>0</v>
      </c>
      <c r="FJ99" s="9">
        <v>0</v>
      </c>
      <c r="FK99" s="9">
        <v>293.30500000000001</v>
      </c>
      <c r="FL99" s="9">
        <v>1895154</v>
      </c>
      <c r="FM99" s="9">
        <v>0</v>
      </c>
      <c r="FN99" s="9">
        <v>0</v>
      </c>
      <c r="FO99" s="9">
        <v>0</v>
      </c>
      <c r="FP99" s="9">
        <v>0</v>
      </c>
      <c r="FQ99" s="9">
        <v>0</v>
      </c>
      <c r="FR99" s="9">
        <v>0</v>
      </c>
      <c r="FS99" s="9">
        <v>0</v>
      </c>
      <c r="FT99" s="9">
        <v>0</v>
      </c>
      <c r="FU99" s="9">
        <v>0</v>
      </c>
      <c r="FV99" s="9">
        <v>0</v>
      </c>
      <c r="FW99" s="9">
        <v>0</v>
      </c>
      <c r="FX99" s="9">
        <v>0</v>
      </c>
      <c r="FY99" s="9">
        <v>0</v>
      </c>
      <c r="FZ99" s="9">
        <v>0</v>
      </c>
      <c r="GA99" s="9">
        <v>0</v>
      </c>
      <c r="GB99" s="9">
        <v>143239</v>
      </c>
      <c r="GC99" s="9">
        <v>143239</v>
      </c>
      <c r="GD99" s="9">
        <v>16.189</v>
      </c>
      <c r="GE99" s="9">
        <v>0</v>
      </c>
      <c r="GF99" s="9">
        <v>0</v>
      </c>
      <c r="GG99" s="9">
        <v>0</v>
      </c>
      <c r="GH99" s="9">
        <v>0</v>
      </c>
      <c r="GI99" s="9">
        <v>0</v>
      </c>
      <c r="GJ99" s="9">
        <v>0</v>
      </c>
      <c r="GK99" s="9">
        <v>5208</v>
      </c>
      <c r="GL99" s="9">
        <v>7250</v>
      </c>
      <c r="GM99" s="9">
        <v>0</v>
      </c>
      <c r="GN99" s="9">
        <v>0</v>
      </c>
      <c r="GO99" s="9">
        <v>0</v>
      </c>
      <c r="GP99" s="9">
        <v>1862669</v>
      </c>
      <c r="GQ99" s="9">
        <v>1862669</v>
      </c>
      <c r="GR99" s="9">
        <v>0</v>
      </c>
      <c r="GS99" s="9">
        <v>0</v>
      </c>
      <c r="GT99" s="9">
        <v>0</v>
      </c>
      <c r="GU99" s="9">
        <v>0</v>
      </c>
      <c r="GV99" s="9">
        <v>0</v>
      </c>
      <c r="GW99" s="9">
        <v>0</v>
      </c>
      <c r="GX99" s="9">
        <v>0</v>
      </c>
      <c r="GY99" s="9">
        <v>0</v>
      </c>
      <c r="GZ99" s="9">
        <v>0</v>
      </c>
      <c r="HA99" s="9">
        <v>0</v>
      </c>
      <c r="HB99" s="9">
        <v>260786259</v>
      </c>
      <c r="HC99" s="9">
        <v>5.0923999999999997E-2</v>
      </c>
      <c r="HD99" s="9">
        <v>32485</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32469</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row>
    <row r="100" spans="1:292" x14ac:dyDescent="0.25">
      <c r="A100" s="9">
        <v>101828</v>
      </c>
      <c r="B100" s="9">
        <v>32570</v>
      </c>
      <c r="C100" s="9">
        <v>35</v>
      </c>
      <c r="D100" s="9">
        <v>2022</v>
      </c>
      <c r="E100" s="9">
        <v>5392</v>
      </c>
      <c r="F100" s="9">
        <v>0</v>
      </c>
      <c r="G100" s="9">
        <v>2041.5940000000001</v>
      </c>
      <c r="H100" s="9">
        <v>1978.125</v>
      </c>
      <c r="I100" s="9">
        <v>1978.125</v>
      </c>
      <c r="J100" s="9">
        <v>2041.5940000000001</v>
      </c>
      <c r="K100" s="9">
        <v>0</v>
      </c>
      <c r="L100" s="9">
        <v>6554</v>
      </c>
      <c r="M100" s="9">
        <v>0</v>
      </c>
      <c r="N100" s="9">
        <v>0</v>
      </c>
      <c r="O100" s="9">
        <v>0</v>
      </c>
      <c r="P100" s="9">
        <v>2136.201</v>
      </c>
      <c r="Q100" s="9">
        <v>0</v>
      </c>
      <c r="R100" s="9">
        <v>682971</v>
      </c>
      <c r="S100" s="9">
        <v>319.71300000000002</v>
      </c>
      <c r="T100" s="9">
        <v>0</v>
      </c>
      <c r="U100" s="9">
        <v>682971</v>
      </c>
      <c r="V100" s="9">
        <v>1014.422</v>
      </c>
      <c r="W100" s="9">
        <v>664852</v>
      </c>
      <c r="X100" s="9">
        <v>664852</v>
      </c>
      <c r="Y100" s="9">
        <v>0</v>
      </c>
      <c r="Z100" s="9">
        <v>0</v>
      </c>
      <c r="AA100" s="9">
        <v>1</v>
      </c>
      <c r="AB100" s="9">
        <v>1</v>
      </c>
      <c r="AC100" s="9">
        <v>0</v>
      </c>
      <c r="AD100" s="9" t="s">
        <v>314</v>
      </c>
      <c r="AE100" s="9">
        <v>0</v>
      </c>
      <c r="AF100" s="9">
        <v>0</v>
      </c>
      <c r="AG100" s="9">
        <v>0</v>
      </c>
      <c r="AH100" s="9">
        <v>0</v>
      </c>
      <c r="AI100" s="9">
        <v>0</v>
      </c>
      <c r="AJ100" s="9">
        <v>5104</v>
      </c>
      <c r="AK100" s="9" t="s">
        <v>651</v>
      </c>
      <c r="AL100" s="9" t="s">
        <v>346</v>
      </c>
      <c r="AM100" s="9">
        <v>0</v>
      </c>
      <c r="AN100" s="9">
        <v>0</v>
      </c>
      <c r="AO100" s="9">
        <v>0</v>
      </c>
      <c r="AP100" s="9">
        <v>0</v>
      </c>
      <c r="AQ100" s="9">
        <v>0</v>
      </c>
      <c r="AR100" s="9">
        <v>0</v>
      </c>
      <c r="AS100" s="9">
        <v>0</v>
      </c>
      <c r="AT100" s="9">
        <v>0</v>
      </c>
      <c r="AU100" s="9">
        <v>0</v>
      </c>
      <c r="AV100" s="9">
        <v>1140742</v>
      </c>
      <c r="AW100" s="9">
        <v>20447631</v>
      </c>
      <c r="AX100" s="9">
        <v>19943221</v>
      </c>
      <c r="AY100" s="9">
        <v>22836505</v>
      </c>
      <c r="AZ100" s="9">
        <v>785028</v>
      </c>
      <c r="BA100" s="9">
        <v>0</v>
      </c>
      <c r="BB100" s="9">
        <v>0</v>
      </c>
      <c r="BC100" s="9">
        <v>0</v>
      </c>
      <c r="BD100" s="9">
        <v>0</v>
      </c>
      <c r="BE100" s="9">
        <v>0</v>
      </c>
      <c r="BF100" s="9">
        <v>16990194</v>
      </c>
      <c r="BG100" s="9">
        <v>0</v>
      </c>
      <c r="BH100" s="9">
        <v>371.11500000000001</v>
      </c>
      <c r="BI100" s="9">
        <v>102057</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402353</v>
      </c>
      <c r="CI100" s="9">
        <v>0</v>
      </c>
      <c r="CJ100" s="9">
        <v>4</v>
      </c>
      <c r="CK100" s="9">
        <v>0</v>
      </c>
      <c r="CL100" s="9">
        <v>0</v>
      </c>
      <c r="CM100" s="9">
        <v>0</v>
      </c>
      <c r="CN100" s="9">
        <v>0</v>
      </c>
      <c r="CO100" s="9">
        <v>0</v>
      </c>
      <c r="CP100" s="9">
        <v>0</v>
      </c>
      <c r="CQ100" s="9">
        <v>0</v>
      </c>
      <c r="CR100" s="9">
        <v>2136.201</v>
      </c>
      <c r="CS100" s="9">
        <v>0</v>
      </c>
      <c r="CT100" s="9">
        <v>0</v>
      </c>
      <c r="CU100" s="9">
        <v>0</v>
      </c>
      <c r="CV100" s="9">
        <v>0</v>
      </c>
      <c r="CW100" s="9">
        <v>0</v>
      </c>
      <c r="CX100" s="9">
        <v>0</v>
      </c>
      <c r="CY100" s="9">
        <v>0</v>
      </c>
      <c r="CZ100" s="9">
        <v>0</v>
      </c>
      <c r="DA100" s="9">
        <v>1</v>
      </c>
      <c r="DB100" s="9">
        <v>12964631</v>
      </c>
      <c r="DC100" s="9">
        <v>0</v>
      </c>
      <c r="DD100" s="9">
        <v>0</v>
      </c>
      <c r="DE100" s="9">
        <v>2942746</v>
      </c>
      <c r="DF100" s="9">
        <v>2942746</v>
      </c>
      <c r="DG100" s="9">
        <v>2245</v>
      </c>
      <c r="DH100" s="9">
        <v>0</v>
      </c>
      <c r="DI100" s="9">
        <v>0</v>
      </c>
      <c r="DJ100" s="9">
        <v>0</v>
      </c>
      <c r="DK100" s="9">
        <v>5392</v>
      </c>
      <c r="DL100" s="9">
        <v>0</v>
      </c>
      <c r="DM100" s="9">
        <v>556672</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2.9319999999999999</v>
      </c>
      <c r="ED100" s="9">
        <v>21138</v>
      </c>
      <c r="EE100" s="9">
        <v>0</v>
      </c>
      <c r="EF100" s="9">
        <v>0</v>
      </c>
      <c r="EG100" s="9">
        <v>0</v>
      </c>
      <c r="EH100" s="9">
        <v>535534</v>
      </c>
      <c r="EI100" s="9">
        <v>0</v>
      </c>
      <c r="EJ100" s="9">
        <v>0</v>
      </c>
      <c r="EK100" s="9">
        <v>22.279</v>
      </c>
      <c r="EL100" s="9">
        <v>0</v>
      </c>
      <c r="EM100" s="9">
        <v>2.923</v>
      </c>
      <c r="EN100" s="9">
        <v>1.2210000000000001</v>
      </c>
      <c r="EO100" s="9">
        <v>0</v>
      </c>
      <c r="EP100" s="9">
        <v>0</v>
      </c>
      <c r="EQ100" s="9">
        <v>26.423000000000002</v>
      </c>
      <c r="ER100" s="9">
        <v>0</v>
      </c>
      <c r="ES100" s="9">
        <v>81.710999999999999</v>
      </c>
      <c r="ET100" s="9">
        <v>0</v>
      </c>
      <c r="EU100" s="9">
        <v>785028</v>
      </c>
      <c r="EV100" s="9">
        <v>0</v>
      </c>
      <c r="EW100" s="9">
        <v>0</v>
      </c>
      <c r="EX100" s="9">
        <v>0</v>
      </c>
      <c r="EY100" s="9">
        <v>0</v>
      </c>
      <c r="EZ100" s="9">
        <v>16773709</v>
      </c>
      <c r="FA100" s="9">
        <v>0</v>
      </c>
      <c r="FB100" s="9">
        <v>17558737</v>
      </c>
      <c r="FC100" s="9">
        <v>0.97327799999999998</v>
      </c>
      <c r="FD100" s="9">
        <v>0</v>
      </c>
      <c r="FE100" s="9">
        <v>2586621</v>
      </c>
      <c r="FF100" s="9">
        <v>582891</v>
      </c>
      <c r="FG100" s="9">
        <v>6.1239999999999996E-2</v>
      </c>
      <c r="FH100" s="9">
        <v>5.4803999999999999E-2</v>
      </c>
      <c r="FI100" s="9">
        <v>0</v>
      </c>
      <c r="FJ100" s="9">
        <v>0</v>
      </c>
      <c r="FK100" s="9">
        <v>3328.9140000000002</v>
      </c>
      <c r="FL100" s="9">
        <v>21130602</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327779</v>
      </c>
      <c r="GC100" s="9">
        <v>327779</v>
      </c>
      <c r="GD100" s="9">
        <v>37.045999999999999</v>
      </c>
      <c r="GE100" s="9">
        <v>0</v>
      </c>
      <c r="GF100" s="9">
        <v>0</v>
      </c>
      <c r="GG100" s="9">
        <v>0</v>
      </c>
      <c r="GH100" s="9">
        <v>0</v>
      </c>
      <c r="GI100" s="9">
        <v>0</v>
      </c>
      <c r="GJ100" s="9">
        <v>0</v>
      </c>
      <c r="GK100" s="9">
        <v>5143</v>
      </c>
      <c r="GL100" s="9">
        <v>24455</v>
      </c>
      <c r="GM100" s="9">
        <v>0</v>
      </c>
      <c r="GN100" s="9">
        <v>0</v>
      </c>
      <c r="GO100" s="9">
        <v>0</v>
      </c>
      <c r="GP100" s="9">
        <v>20728249</v>
      </c>
      <c r="GQ100" s="9">
        <v>20728249</v>
      </c>
      <c r="GR100" s="9">
        <v>0</v>
      </c>
      <c r="GS100" s="9">
        <v>0</v>
      </c>
      <c r="GT100" s="9">
        <v>0</v>
      </c>
      <c r="GU100" s="9">
        <v>0</v>
      </c>
      <c r="GV100" s="9">
        <v>0</v>
      </c>
      <c r="GW100" s="9">
        <v>0</v>
      </c>
      <c r="GX100" s="9">
        <v>0</v>
      </c>
      <c r="GY100" s="9">
        <v>0</v>
      </c>
      <c r="GZ100" s="9">
        <v>0</v>
      </c>
      <c r="HA100" s="9">
        <v>0</v>
      </c>
      <c r="HB100" s="9">
        <v>260786259</v>
      </c>
      <c r="HC100" s="9">
        <v>5.0923999999999997E-2</v>
      </c>
      <c r="HD100" s="9">
        <v>402353</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377.30400000000003</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32469</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row>
    <row r="101" spans="1:292" x14ac:dyDescent="0.25">
      <c r="A101" s="9">
        <v>101837</v>
      </c>
      <c r="B101" s="9">
        <v>32570</v>
      </c>
      <c r="C101" s="9">
        <v>35</v>
      </c>
      <c r="D101" s="9">
        <v>2022</v>
      </c>
      <c r="E101" s="9">
        <v>5392</v>
      </c>
      <c r="F101" s="9">
        <v>0</v>
      </c>
      <c r="G101" s="9">
        <v>303.11900000000003</v>
      </c>
      <c r="H101" s="9">
        <v>250.78700000000001</v>
      </c>
      <c r="I101" s="9">
        <v>250.78700000000001</v>
      </c>
      <c r="J101" s="9">
        <v>303.11900000000003</v>
      </c>
      <c r="K101" s="9">
        <v>0</v>
      </c>
      <c r="L101" s="9">
        <v>6554</v>
      </c>
      <c r="M101" s="9">
        <v>0</v>
      </c>
      <c r="N101" s="9">
        <v>0</v>
      </c>
      <c r="O101" s="9">
        <v>0</v>
      </c>
      <c r="P101" s="9">
        <v>310.14699999999999</v>
      </c>
      <c r="Q101" s="9">
        <v>0</v>
      </c>
      <c r="R101" s="9">
        <v>99158</v>
      </c>
      <c r="S101" s="9">
        <v>319.71300000000002</v>
      </c>
      <c r="T101" s="9">
        <v>0</v>
      </c>
      <c r="U101" s="9">
        <v>99158</v>
      </c>
      <c r="V101" s="9">
        <v>11.974</v>
      </c>
      <c r="W101" s="9">
        <v>7848</v>
      </c>
      <c r="X101" s="9">
        <v>7848</v>
      </c>
      <c r="Y101" s="9">
        <v>0</v>
      </c>
      <c r="Z101" s="9">
        <v>0</v>
      </c>
      <c r="AA101" s="9">
        <v>1</v>
      </c>
      <c r="AB101" s="9">
        <v>1</v>
      </c>
      <c r="AC101" s="9">
        <v>0</v>
      </c>
      <c r="AD101" s="9" t="s">
        <v>314</v>
      </c>
      <c r="AE101" s="9">
        <v>0</v>
      </c>
      <c r="AF101" s="9">
        <v>0</v>
      </c>
      <c r="AG101" s="9">
        <v>0</v>
      </c>
      <c r="AH101" s="9">
        <v>0</v>
      </c>
      <c r="AI101" s="9">
        <v>0</v>
      </c>
      <c r="AJ101" s="9">
        <v>5104</v>
      </c>
      <c r="AK101" s="9" t="s">
        <v>651</v>
      </c>
      <c r="AL101" s="9" t="s">
        <v>12</v>
      </c>
      <c r="AM101" s="9">
        <v>0</v>
      </c>
      <c r="AN101" s="9">
        <v>0</v>
      </c>
      <c r="AO101" s="9">
        <v>0</v>
      </c>
      <c r="AP101" s="9">
        <v>0</v>
      </c>
      <c r="AQ101" s="9">
        <v>0</v>
      </c>
      <c r="AR101" s="9">
        <v>0</v>
      </c>
      <c r="AS101" s="9">
        <v>0</v>
      </c>
      <c r="AT101" s="9">
        <v>0</v>
      </c>
      <c r="AU101" s="9">
        <v>0</v>
      </c>
      <c r="AV101" s="9">
        <v>42326</v>
      </c>
      <c r="AW101" s="9">
        <v>2924394</v>
      </c>
      <c r="AX101" s="9">
        <v>2818498</v>
      </c>
      <c r="AY101" s="9">
        <v>3057307</v>
      </c>
      <c r="AZ101" s="9">
        <v>143316</v>
      </c>
      <c r="BA101" s="9">
        <v>4</v>
      </c>
      <c r="BB101" s="9">
        <v>0</v>
      </c>
      <c r="BC101" s="9">
        <v>0</v>
      </c>
      <c r="BD101" s="9">
        <v>0</v>
      </c>
      <c r="BE101" s="9">
        <v>0</v>
      </c>
      <c r="BF101" s="9">
        <v>2384889</v>
      </c>
      <c r="BG101" s="9">
        <v>0</v>
      </c>
      <c r="BH101" s="9">
        <v>160.57500000000002</v>
      </c>
      <c r="BI101" s="9">
        <v>44158</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9">
        <v>61738</v>
      </c>
      <c r="CI101" s="9">
        <v>0</v>
      </c>
      <c r="CJ101" s="9">
        <v>4</v>
      </c>
      <c r="CK101" s="9">
        <v>0</v>
      </c>
      <c r="CL101" s="9">
        <v>0</v>
      </c>
      <c r="CM101" s="9">
        <v>0</v>
      </c>
      <c r="CN101" s="9">
        <v>0</v>
      </c>
      <c r="CO101" s="9">
        <v>0</v>
      </c>
      <c r="CP101" s="9">
        <v>0</v>
      </c>
      <c r="CQ101" s="9">
        <v>0</v>
      </c>
      <c r="CR101" s="9">
        <v>310.14699999999999</v>
      </c>
      <c r="CS101" s="9">
        <v>0</v>
      </c>
      <c r="CT101" s="9">
        <v>0</v>
      </c>
      <c r="CU101" s="9">
        <v>0</v>
      </c>
      <c r="CV101" s="9">
        <v>0</v>
      </c>
      <c r="CW101" s="9">
        <v>0</v>
      </c>
      <c r="CX101" s="9">
        <v>0</v>
      </c>
      <c r="CY101" s="9">
        <v>0</v>
      </c>
      <c r="CZ101" s="9">
        <v>0</v>
      </c>
      <c r="DA101" s="9">
        <v>1</v>
      </c>
      <c r="DB101" s="9">
        <v>1643658</v>
      </c>
      <c r="DC101" s="9">
        <v>0</v>
      </c>
      <c r="DD101" s="9">
        <v>0</v>
      </c>
      <c r="DE101" s="9">
        <v>197275</v>
      </c>
      <c r="DF101" s="9">
        <v>197275</v>
      </c>
      <c r="DG101" s="9">
        <v>150.5</v>
      </c>
      <c r="DH101" s="9">
        <v>0</v>
      </c>
      <c r="DI101" s="9">
        <v>0</v>
      </c>
      <c r="DJ101" s="9">
        <v>0</v>
      </c>
      <c r="DK101" s="9">
        <v>5392</v>
      </c>
      <c r="DL101" s="9">
        <v>0</v>
      </c>
      <c r="DM101" s="9">
        <v>140392</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18.378</v>
      </c>
      <c r="ED101" s="9">
        <v>132494</v>
      </c>
      <c r="EE101" s="9">
        <v>0</v>
      </c>
      <c r="EF101" s="9">
        <v>0</v>
      </c>
      <c r="EG101" s="9">
        <v>0</v>
      </c>
      <c r="EH101" s="9">
        <v>7898</v>
      </c>
      <c r="EI101" s="9">
        <v>0</v>
      </c>
      <c r="EJ101" s="9">
        <v>0</v>
      </c>
      <c r="EK101" s="9">
        <v>0</v>
      </c>
      <c r="EL101" s="9">
        <v>0</v>
      </c>
      <c r="EM101" s="9">
        <v>0</v>
      </c>
      <c r="EN101" s="9">
        <v>0.24100000000000002</v>
      </c>
      <c r="EO101" s="9">
        <v>0</v>
      </c>
      <c r="EP101" s="9">
        <v>0</v>
      </c>
      <c r="EQ101" s="9">
        <v>0.24100000000000002</v>
      </c>
      <c r="ER101" s="9">
        <v>0</v>
      </c>
      <c r="ES101" s="9">
        <v>1.2050000000000001</v>
      </c>
      <c r="ET101" s="9">
        <v>2000</v>
      </c>
      <c r="EU101" s="9">
        <v>143316</v>
      </c>
      <c r="EV101" s="9">
        <v>0</v>
      </c>
      <c r="EW101" s="9">
        <v>0</v>
      </c>
      <c r="EX101" s="9">
        <v>0</v>
      </c>
      <c r="EY101" s="9">
        <v>0</v>
      </c>
      <c r="EZ101" s="9">
        <v>2373598</v>
      </c>
      <c r="FA101" s="9">
        <v>0</v>
      </c>
      <c r="FB101" s="9">
        <v>2516914</v>
      </c>
      <c r="FC101" s="9">
        <v>0.97327799999999998</v>
      </c>
      <c r="FD101" s="9">
        <v>0</v>
      </c>
      <c r="FE101" s="9">
        <v>363080</v>
      </c>
      <c r="FF101" s="9">
        <v>81820</v>
      </c>
      <c r="FG101" s="9">
        <v>6.1239999999999996E-2</v>
      </c>
      <c r="FH101" s="9">
        <v>5.4803999999999999E-2</v>
      </c>
      <c r="FI101" s="9">
        <v>0</v>
      </c>
      <c r="FJ101" s="9">
        <v>0</v>
      </c>
      <c r="FK101" s="9">
        <v>467.27500000000003</v>
      </c>
      <c r="FL101" s="9">
        <v>3023552</v>
      </c>
      <c r="FM101" s="9">
        <v>0</v>
      </c>
      <c r="FN101" s="9">
        <v>0</v>
      </c>
      <c r="FO101" s="9">
        <v>22387</v>
      </c>
      <c r="FP101" s="9">
        <v>0</v>
      </c>
      <c r="FQ101" s="9">
        <v>22387</v>
      </c>
      <c r="FR101" s="9">
        <v>22387</v>
      </c>
      <c r="FS101" s="9">
        <v>0</v>
      </c>
      <c r="FT101" s="9">
        <v>0</v>
      </c>
      <c r="FU101" s="9">
        <v>0</v>
      </c>
      <c r="FV101" s="9">
        <v>0</v>
      </c>
      <c r="FW101" s="9">
        <v>0</v>
      </c>
      <c r="FX101" s="9">
        <v>0</v>
      </c>
      <c r="FY101" s="9">
        <v>0</v>
      </c>
      <c r="FZ101" s="9">
        <v>300</v>
      </c>
      <c r="GA101" s="9">
        <v>6.0060000000000002</v>
      </c>
      <c r="GB101" s="9">
        <v>461196</v>
      </c>
      <c r="GC101" s="9">
        <v>461196</v>
      </c>
      <c r="GD101" s="9">
        <v>52.091000000000001</v>
      </c>
      <c r="GE101" s="9">
        <v>0</v>
      </c>
      <c r="GF101" s="9">
        <v>0</v>
      </c>
      <c r="GG101" s="9">
        <v>0</v>
      </c>
      <c r="GH101" s="9">
        <v>0</v>
      </c>
      <c r="GI101" s="9">
        <v>0</v>
      </c>
      <c r="GJ101" s="9">
        <v>0</v>
      </c>
      <c r="GK101" s="9">
        <v>5238</v>
      </c>
      <c r="GL101" s="9">
        <v>9088</v>
      </c>
      <c r="GM101" s="9">
        <v>0</v>
      </c>
      <c r="GN101" s="9">
        <v>31476</v>
      </c>
      <c r="GO101" s="9">
        <v>0</v>
      </c>
      <c r="GP101" s="9">
        <v>2961814</v>
      </c>
      <c r="GQ101" s="9">
        <v>2961814</v>
      </c>
      <c r="GR101" s="9">
        <v>0</v>
      </c>
      <c r="GS101" s="9">
        <v>0</v>
      </c>
      <c r="GT101" s="9">
        <v>0</v>
      </c>
      <c r="GU101" s="9">
        <v>0</v>
      </c>
      <c r="GV101" s="9">
        <v>0</v>
      </c>
      <c r="GW101" s="9">
        <v>0</v>
      </c>
      <c r="GX101" s="9">
        <v>0</v>
      </c>
      <c r="GY101" s="9">
        <v>0</v>
      </c>
      <c r="GZ101" s="9">
        <v>0</v>
      </c>
      <c r="HA101" s="9">
        <v>0</v>
      </c>
      <c r="HB101" s="9">
        <v>260786259</v>
      </c>
      <c r="HC101" s="9">
        <v>5.0923999999999997E-2</v>
      </c>
      <c r="HD101" s="9">
        <v>59738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32469</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row>
    <row r="102" spans="1:292" x14ac:dyDescent="0.25">
      <c r="A102" s="9">
        <v>101838</v>
      </c>
      <c r="B102" s="9">
        <v>32570</v>
      </c>
      <c r="C102" s="9">
        <v>35</v>
      </c>
      <c r="D102" s="9">
        <v>2022</v>
      </c>
      <c r="E102" s="9">
        <v>5392</v>
      </c>
      <c r="F102" s="9">
        <v>0</v>
      </c>
      <c r="G102" s="9">
        <v>1736.25</v>
      </c>
      <c r="H102" s="9">
        <v>1638.701</v>
      </c>
      <c r="I102" s="9">
        <v>1638.701</v>
      </c>
      <c r="J102" s="9">
        <v>1736.25</v>
      </c>
      <c r="K102" s="9">
        <v>0</v>
      </c>
      <c r="L102" s="9">
        <v>6554</v>
      </c>
      <c r="M102" s="9">
        <v>0</v>
      </c>
      <c r="N102" s="9">
        <v>0</v>
      </c>
      <c r="O102" s="9">
        <v>0</v>
      </c>
      <c r="P102" s="9">
        <v>1702.384</v>
      </c>
      <c r="Q102" s="9">
        <v>0</v>
      </c>
      <c r="R102" s="9">
        <v>544274</v>
      </c>
      <c r="S102" s="9">
        <v>319.71300000000002</v>
      </c>
      <c r="T102" s="9">
        <v>0</v>
      </c>
      <c r="U102" s="9">
        <v>544274</v>
      </c>
      <c r="V102" s="9">
        <v>1002.0780000000001</v>
      </c>
      <c r="W102" s="9">
        <v>656762</v>
      </c>
      <c r="X102" s="9">
        <v>656762</v>
      </c>
      <c r="Y102" s="9">
        <v>0</v>
      </c>
      <c r="Z102" s="9">
        <v>0</v>
      </c>
      <c r="AA102" s="9">
        <v>1</v>
      </c>
      <c r="AB102" s="9">
        <v>1</v>
      </c>
      <c r="AC102" s="9">
        <v>0</v>
      </c>
      <c r="AD102" s="9" t="s">
        <v>314</v>
      </c>
      <c r="AE102" s="9">
        <v>0</v>
      </c>
      <c r="AF102" s="9">
        <v>0</v>
      </c>
      <c r="AG102" s="9">
        <v>0</v>
      </c>
      <c r="AH102" s="9">
        <v>0</v>
      </c>
      <c r="AI102" s="9">
        <v>0</v>
      </c>
      <c r="AJ102" s="9">
        <v>5104</v>
      </c>
      <c r="AK102" s="9" t="s">
        <v>651</v>
      </c>
      <c r="AL102" s="9" t="s">
        <v>13</v>
      </c>
      <c r="AM102" s="9">
        <v>0</v>
      </c>
      <c r="AN102" s="9">
        <v>0</v>
      </c>
      <c r="AO102" s="9">
        <v>0</v>
      </c>
      <c r="AP102" s="9">
        <v>0</v>
      </c>
      <c r="AQ102" s="9">
        <v>0</v>
      </c>
      <c r="AR102" s="9">
        <v>0</v>
      </c>
      <c r="AS102" s="9">
        <v>0</v>
      </c>
      <c r="AT102" s="9">
        <v>0</v>
      </c>
      <c r="AU102" s="9">
        <v>0</v>
      </c>
      <c r="AV102" s="9">
        <v>619096</v>
      </c>
      <c r="AW102" s="9">
        <v>18116851</v>
      </c>
      <c r="AX102" s="9">
        <v>17647111</v>
      </c>
      <c r="AY102" s="9">
        <v>20049043</v>
      </c>
      <c r="AZ102" s="9">
        <v>671838</v>
      </c>
      <c r="BA102" s="9">
        <v>0</v>
      </c>
      <c r="BB102" s="9">
        <v>0</v>
      </c>
      <c r="BC102" s="9">
        <v>0</v>
      </c>
      <c r="BD102" s="9">
        <v>0</v>
      </c>
      <c r="BE102" s="9">
        <v>0</v>
      </c>
      <c r="BF102" s="9">
        <v>14947244</v>
      </c>
      <c r="BG102" s="9">
        <v>0</v>
      </c>
      <c r="BH102" s="9">
        <v>463.86799999999999</v>
      </c>
      <c r="BI102" s="9">
        <v>127564</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9">
        <v>342176</v>
      </c>
      <c r="CI102" s="9">
        <v>0</v>
      </c>
      <c r="CJ102" s="9">
        <v>4</v>
      </c>
      <c r="CK102" s="9">
        <v>0</v>
      </c>
      <c r="CL102" s="9">
        <v>0</v>
      </c>
      <c r="CM102" s="9">
        <v>0</v>
      </c>
      <c r="CN102" s="9">
        <v>0</v>
      </c>
      <c r="CO102" s="9">
        <v>0</v>
      </c>
      <c r="CP102" s="9">
        <v>0.30599999999999999</v>
      </c>
      <c r="CQ102" s="9">
        <v>0</v>
      </c>
      <c r="CR102" s="9">
        <v>1702.384</v>
      </c>
      <c r="CS102" s="9">
        <v>0</v>
      </c>
      <c r="CT102" s="9">
        <v>0</v>
      </c>
      <c r="CU102" s="9">
        <v>0</v>
      </c>
      <c r="CV102" s="9">
        <v>0</v>
      </c>
      <c r="CW102" s="9">
        <v>0</v>
      </c>
      <c r="CX102" s="9">
        <v>0</v>
      </c>
      <c r="CY102" s="9">
        <v>0</v>
      </c>
      <c r="CZ102" s="9">
        <v>0</v>
      </c>
      <c r="DA102" s="9">
        <v>1</v>
      </c>
      <c r="DB102" s="9">
        <v>10740046</v>
      </c>
      <c r="DC102" s="9">
        <v>0</v>
      </c>
      <c r="DD102" s="9">
        <v>0</v>
      </c>
      <c r="DE102" s="9">
        <v>1816992</v>
      </c>
      <c r="DF102" s="9">
        <v>1821825</v>
      </c>
      <c r="DG102" s="9">
        <v>1386.17</v>
      </c>
      <c r="DH102" s="9">
        <v>0</v>
      </c>
      <c r="DI102" s="9">
        <v>4833</v>
      </c>
      <c r="DJ102" s="9">
        <v>0</v>
      </c>
      <c r="DK102" s="9">
        <v>5392</v>
      </c>
      <c r="DL102" s="9">
        <v>0</v>
      </c>
      <c r="DM102" s="9">
        <v>1800763</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55.77</v>
      </c>
      <c r="ED102" s="9">
        <v>402068</v>
      </c>
      <c r="EE102" s="9">
        <v>0</v>
      </c>
      <c r="EF102" s="9">
        <v>0</v>
      </c>
      <c r="EG102" s="9">
        <v>0</v>
      </c>
      <c r="EH102" s="9">
        <v>572236</v>
      </c>
      <c r="EI102" s="9">
        <v>826459</v>
      </c>
      <c r="EJ102" s="9">
        <v>31.525000000000002</v>
      </c>
      <c r="EK102" s="9">
        <v>25.842000000000002</v>
      </c>
      <c r="EL102" s="9">
        <v>0</v>
      </c>
      <c r="EM102" s="9">
        <v>0</v>
      </c>
      <c r="EN102" s="9">
        <v>1.9570000000000001</v>
      </c>
      <c r="EO102" s="9">
        <v>0</v>
      </c>
      <c r="EP102" s="9">
        <v>0</v>
      </c>
      <c r="EQ102" s="9">
        <v>59.324000000000005</v>
      </c>
      <c r="ER102" s="9">
        <v>0</v>
      </c>
      <c r="ES102" s="9">
        <v>87.311000000000007</v>
      </c>
      <c r="ET102" s="9">
        <v>0</v>
      </c>
      <c r="EU102" s="9">
        <v>671838</v>
      </c>
      <c r="EV102" s="9">
        <v>0</v>
      </c>
      <c r="EW102" s="9">
        <v>0</v>
      </c>
      <c r="EX102" s="9">
        <v>0</v>
      </c>
      <c r="EY102" s="9">
        <v>0</v>
      </c>
      <c r="EZ102" s="9">
        <v>14858710</v>
      </c>
      <c r="FA102" s="9">
        <v>0</v>
      </c>
      <c r="FB102" s="9">
        <v>15530548</v>
      </c>
      <c r="FC102" s="9">
        <v>0.97327799999999998</v>
      </c>
      <c r="FD102" s="9">
        <v>0</v>
      </c>
      <c r="FE102" s="9">
        <v>2275598</v>
      </c>
      <c r="FF102" s="9">
        <v>512803</v>
      </c>
      <c r="FG102" s="9">
        <v>6.1239999999999996E-2</v>
      </c>
      <c r="FH102" s="9">
        <v>5.4803999999999999E-2</v>
      </c>
      <c r="FI102" s="9">
        <v>0</v>
      </c>
      <c r="FJ102" s="9">
        <v>0</v>
      </c>
      <c r="FK102" s="9">
        <v>2928.636</v>
      </c>
      <c r="FL102" s="9">
        <v>18661125</v>
      </c>
      <c r="FM102" s="9">
        <v>0</v>
      </c>
      <c r="FN102" s="9">
        <v>0</v>
      </c>
      <c r="FO102" s="9">
        <v>45346</v>
      </c>
      <c r="FP102" s="9">
        <v>0</v>
      </c>
      <c r="FQ102" s="9">
        <v>45346</v>
      </c>
      <c r="FR102" s="9">
        <v>45346</v>
      </c>
      <c r="FS102" s="9">
        <v>0</v>
      </c>
      <c r="FT102" s="9">
        <v>0</v>
      </c>
      <c r="FU102" s="9">
        <v>0</v>
      </c>
      <c r="FV102" s="9">
        <v>0</v>
      </c>
      <c r="FW102" s="9">
        <v>0</v>
      </c>
      <c r="FX102" s="9">
        <v>0</v>
      </c>
      <c r="FY102" s="9">
        <v>0</v>
      </c>
      <c r="FZ102" s="9">
        <v>31</v>
      </c>
      <c r="GA102" s="9">
        <v>0.622</v>
      </c>
      <c r="GB102" s="9">
        <v>338242</v>
      </c>
      <c r="GC102" s="9">
        <v>338242</v>
      </c>
      <c r="GD102" s="9">
        <v>38.225000000000001</v>
      </c>
      <c r="GE102" s="9">
        <v>0</v>
      </c>
      <c r="GF102" s="9">
        <v>0</v>
      </c>
      <c r="GG102" s="9">
        <v>0</v>
      </c>
      <c r="GH102" s="9">
        <v>0</v>
      </c>
      <c r="GI102" s="9">
        <v>0</v>
      </c>
      <c r="GJ102" s="9">
        <v>0</v>
      </c>
      <c r="GK102" s="9">
        <v>5167</v>
      </c>
      <c r="GL102" s="9">
        <v>32090</v>
      </c>
      <c r="GM102" s="9">
        <v>0</v>
      </c>
      <c r="GN102" s="9">
        <v>0</v>
      </c>
      <c r="GO102" s="9">
        <v>0</v>
      </c>
      <c r="GP102" s="9">
        <v>18318949</v>
      </c>
      <c r="GQ102" s="9">
        <v>18318949</v>
      </c>
      <c r="GR102" s="9">
        <v>0</v>
      </c>
      <c r="GS102" s="9">
        <v>0</v>
      </c>
      <c r="GT102" s="9">
        <v>0</v>
      </c>
      <c r="GU102" s="9">
        <v>0</v>
      </c>
      <c r="GV102" s="9">
        <v>0</v>
      </c>
      <c r="GW102" s="9">
        <v>0</v>
      </c>
      <c r="GX102" s="9">
        <v>0</v>
      </c>
      <c r="GY102" s="9">
        <v>0</v>
      </c>
      <c r="GZ102" s="9">
        <v>0</v>
      </c>
      <c r="HA102" s="9">
        <v>0</v>
      </c>
      <c r="HB102" s="9">
        <v>260786259</v>
      </c>
      <c r="HC102" s="9">
        <v>5.0923999999999997E-2</v>
      </c>
      <c r="HD102" s="9">
        <v>342176</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32469</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row>
    <row r="103" spans="1:292" x14ac:dyDescent="0.25">
      <c r="A103" s="9">
        <v>101840</v>
      </c>
      <c r="B103" s="9">
        <v>32570</v>
      </c>
      <c r="C103" s="9">
        <v>35</v>
      </c>
      <c r="D103" s="9">
        <v>2022</v>
      </c>
      <c r="E103" s="9">
        <v>5392</v>
      </c>
      <c r="F103" s="9">
        <v>0</v>
      </c>
      <c r="G103" s="9">
        <v>388.53800000000001</v>
      </c>
      <c r="H103" s="9">
        <v>385.72900000000004</v>
      </c>
      <c r="I103" s="9">
        <v>385.72900000000004</v>
      </c>
      <c r="J103" s="9">
        <v>388.53800000000001</v>
      </c>
      <c r="K103" s="9">
        <v>0</v>
      </c>
      <c r="L103" s="9">
        <v>6554</v>
      </c>
      <c r="M103" s="9">
        <v>0</v>
      </c>
      <c r="N103" s="9">
        <v>0</v>
      </c>
      <c r="O103" s="9">
        <v>0</v>
      </c>
      <c r="P103" s="9">
        <v>365.36700000000002</v>
      </c>
      <c r="Q103" s="9">
        <v>0</v>
      </c>
      <c r="R103" s="9">
        <v>116813</v>
      </c>
      <c r="S103" s="9">
        <v>319.71300000000002</v>
      </c>
      <c r="T103" s="9">
        <v>0</v>
      </c>
      <c r="U103" s="9">
        <v>116813</v>
      </c>
      <c r="V103" s="9">
        <v>8.1170000000000009</v>
      </c>
      <c r="W103" s="9">
        <v>5320</v>
      </c>
      <c r="X103" s="9">
        <v>5320</v>
      </c>
      <c r="Y103" s="9">
        <v>0</v>
      </c>
      <c r="Z103" s="9">
        <v>0</v>
      </c>
      <c r="AA103" s="9">
        <v>1</v>
      </c>
      <c r="AB103" s="9">
        <v>1</v>
      </c>
      <c r="AC103" s="9">
        <v>0</v>
      </c>
      <c r="AD103" s="9" t="s">
        <v>314</v>
      </c>
      <c r="AE103" s="9">
        <v>0</v>
      </c>
      <c r="AF103" s="9">
        <v>0</v>
      </c>
      <c r="AG103" s="9">
        <v>0</v>
      </c>
      <c r="AH103" s="9">
        <v>0</v>
      </c>
      <c r="AI103" s="9">
        <v>0</v>
      </c>
      <c r="AJ103" s="9">
        <v>5104</v>
      </c>
      <c r="AK103" s="9" t="s">
        <v>651</v>
      </c>
      <c r="AL103" s="9" t="s">
        <v>29</v>
      </c>
      <c r="AM103" s="9">
        <v>0</v>
      </c>
      <c r="AN103" s="9">
        <v>0</v>
      </c>
      <c r="AO103" s="9">
        <v>0</v>
      </c>
      <c r="AP103" s="9">
        <v>0</v>
      </c>
      <c r="AQ103" s="9">
        <v>0</v>
      </c>
      <c r="AR103" s="9">
        <v>0</v>
      </c>
      <c r="AS103" s="9">
        <v>0</v>
      </c>
      <c r="AT103" s="9">
        <v>0</v>
      </c>
      <c r="AU103" s="9">
        <v>0</v>
      </c>
      <c r="AV103" s="9">
        <v>149345</v>
      </c>
      <c r="AW103" s="9">
        <v>3896902</v>
      </c>
      <c r="AX103" s="9">
        <v>3807038</v>
      </c>
      <c r="AY103" s="9">
        <v>4243244</v>
      </c>
      <c r="AZ103" s="9">
        <v>116813</v>
      </c>
      <c r="BA103" s="9">
        <v>26.583000000000002</v>
      </c>
      <c r="BB103" s="9">
        <v>15279</v>
      </c>
      <c r="BC103" s="9">
        <v>15279</v>
      </c>
      <c r="BD103" s="9">
        <v>19.427</v>
      </c>
      <c r="BE103" s="9">
        <v>0</v>
      </c>
      <c r="BF103" s="9">
        <v>3232152</v>
      </c>
      <c r="BG103" s="9">
        <v>0</v>
      </c>
      <c r="BH103" s="9">
        <v>0</v>
      </c>
      <c r="BI103" s="9">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9">
        <v>89864</v>
      </c>
      <c r="CI103" s="9">
        <v>0</v>
      </c>
      <c r="CJ103" s="9">
        <v>4</v>
      </c>
      <c r="CK103" s="9">
        <v>0</v>
      </c>
      <c r="CL103" s="9">
        <v>0</v>
      </c>
      <c r="CM103" s="9">
        <v>0</v>
      </c>
      <c r="CN103" s="9">
        <v>0</v>
      </c>
      <c r="CO103" s="9">
        <v>0</v>
      </c>
      <c r="CP103" s="9">
        <v>0</v>
      </c>
      <c r="CQ103" s="9">
        <v>0</v>
      </c>
      <c r="CR103" s="9">
        <v>365.36700000000002</v>
      </c>
      <c r="CS103" s="9">
        <v>0</v>
      </c>
      <c r="CT103" s="9">
        <v>0</v>
      </c>
      <c r="CU103" s="9">
        <v>0</v>
      </c>
      <c r="CV103" s="9">
        <v>0</v>
      </c>
      <c r="CW103" s="9">
        <v>0</v>
      </c>
      <c r="CX103" s="9">
        <v>0</v>
      </c>
      <c r="CY103" s="9">
        <v>0</v>
      </c>
      <c r="CZ103" s="9">
        <v>0</v>
      </c>
      <c r="DA103" s="9">
        <v>1</v>
      </c>
      <c r="DB103" s="9">
        <v>2528068</v>
      </c>
      <c r="DC103" s="9">
        <v>0</v>
      </c>
      <c r="DD103" s="9">
        <v>0</v>
      </c>
      <c r="DE103" s="9">
        <v>684238</v>
      </c>
      <c r="DF103" s="9">
        <v>684238</v>
      </c>
      <c r="DG103" s="9">
        <v>522</v>
      </c>
      <c r="DH103" s="9">
        <v>0</v>
      </c>
      <c r="DI103" s="9">
        <v>0</v>
      </c>
      <c r="DJ103" s="9">
        <v>0</v>
      </c>
      <c r="DK103" s="9">
        <v>5392</v>
      </c>
      <c r="DL103" s="9">
        <v>0</v>
      </c>
      <c r="DM103" s="9">
        <v>87990</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3.9530000000000003</v>
      </c>
      <c r="ED103" s="9">
        <v>28499</v>
      </c>
      <c r="EE103" s="9">
        <v>0</v>
      </c>
      <c r="EF103" s="9">
        <v>0</v>
      </c>
      <c r="EG103" s="9">
        <v>0</v>
      </c>
      <c r="EH103" s="9">
        <v>59491</v>
      </c>
      <c r="EI103" s="9">
        <v>0</v>
      </c>
      <c r="EJ103" s="9">
        <v>0</v>
      </c>
      <c r="EK103" s="9">
        <v>2.484</v>
      </c>
      <c r="EL103" s="9">
        <v>0</v>
      </c>
      <c r="EM103" s="9">
        <v>0</v>
      </c>
      <c r="EN103" s="9">
        <v>0.32500000000000001</v>
      </c>
      <c r="EO103" s="9">
        <v>0</v>
      </c>
      <c r="EP103" s="9">
        <v>0</v>
      </c>
      <c r="EQ103" s="9">
        <v>2.8090000000000002</v>
      </c>
      <c r="ER103" s="9">
        <v>0</v>
      </c>
      <c r="ES103" s="9">
        <v>9.077</v>
      </c>
      <c r="ET103" s="9">
        <v>13292</v>
      </c>
      <c r="EU103" s="9">
        <v>116813</v>
      </c>
      <c r="EV103" s="9">
        <v>0</v>
      </c>
      <c r="EW103" s="9">
        <v>0</v>
      </c>
      <c r="EX103" s="9">
        <v>0</v>
      </c>
      <c r="EY103" s="9">
        <v>0</v>
      </c>
      <c r="EZ103" s="9">
        <v>3204082</v>
      </c>
      <c r="FA103" s="9">
        <v>0</v>
      </c>
      <c r="FB103" s="9">
        <v>3320895</v>
      </c>
      <c r="FC103" s="9">
        <v>0.97327799999999998</v>
      </c>
      <c r="FD103" s="9">
        <v>0</v>
      </c>
      <c r="FE103" s="9">
        <v>492069</v>
      </c>
      <c r="FF103" s="9">
        <v>110887</v>
      </c>
      <c r="FG103" s="9">
        <v>6.1239999999999996E-2</v>
      </c>
      <c r="FH103" s="9">
        <v>5.4803999999999999E-2</v>
      </c>
      <c r="FI103" s="9">
        <v>0</v>
      </c>
      <c r="FJ103" s="9">
        <v>0</v>
      </c>
      <c r="FK103" s="9">
        <v>633.28</v>
      </c>
      <c r="FL103" s="9">
        <v>4013715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9">
        <v>0</v>
      </c>
      <c r="GC103" s="9">
        <v>0</v>
      </c>
      <c r="GD103" s="9">
        <v>0</v>
      </c>
      <c r="GE103" s="9">
        <v>0</v>
      </c>
      <c r="GF103" s="9">
        <v>0</v>
      </c>
      <c r="GG103" s="9">
        <v>0</v>
      </c>
      <c r="GH103" s="9">
        <v>0</v>
      </c>
      <c r="GI103" s="9">
        <v>0</v>
      </c>
      <c r="GJ103" s="9">
        <v>0</v>
      </c>
      <c r="GK103" s="9">
        <v>4970</v>
      </c>
      <c r="GL103" s="9">
        <v>12974</v>
      </c>
      <c r="GM103" s="9">
        <v>0</v>
      </c>
      <c r="GN103" s="9">
        <v>0</v>
      </c>
      <c r="GO103" s="9">
        <v>0</v>
      </c>
      <c r="GP103" s="9">
        <v>3923851</v>
      </c>
      <c r="GQ103" s="9">
        <v>3923851</v>
      </c>
      <c r="GR103" s="9">
        <v>0</v>
      </c>
      <c r="GS103" s="9">
        <v>0</v>
      </c>
      <c r="GT103" s="9">
        <v>0</v>
      </c>
      <c r="GU103" s="9">
        <v>0</v>
      </c>
      <c r="GV103" s="9">
        <v>0</v>
      </c>
      <c r="GW103" s="9">
        <v>0</v>
      </c>
      <c r="GX103" s="9">
        <v>0</v>
      </c>
      <c r="GY103" s="9">
        <v>0</v>
      </c>
      <c r="GZ103" s="9">
        <v>0</v>
      </c>
      <c r="HA103" s="9">
        <v>0</v>
      </c>
      <c r="HB103" s="9">
        <v>260786259</v>
      </c>
      <c r="HC103" s="9">
        <v>5.0923999999999997E-2</v>
      </c>
      <c r="HD103" s="9">
        <v>76572</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32469</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row>
    <row r="104" spans="1:292" x14ac:dyDescent="0.25">
      <c r="A104" s="9">
        <v>101842</v>
      </c>
      <c r="B104" s="9">
        <v>32570</v>
      </c>
      <c r="C104" s="9">
        <v>35</v>
      </c>
      <c r="D104" s="9">
        <v>2022</v>
      </c>
      <c r="E104" s="9">
        <v>5392</v>
      </c>
      <c r="F104" s="9">
        <v>0</v>
      </c>
      <c r="G104" s="9">
        <v>50.436</v>
      </c>
      <c r="H104" s="9">
        <v>31.970000000000002</v>
      </c>
      <c r="I104" s="9">
        <v>31.970000000000002</v>
      </c>
      <c r="J104" s="9">
        <v>50.436</v>
      </c>
      <c r="K104" s="9">
        <v>0</v>
      </c>
      <c r="L104" s="9">
        <v>6554</v>
      </c>
      <c r="M104" s="9">
        <v>0</v>
      </c>
      <c r="N104" s="9">
        <v>0</v>
      </c>
      <c r="O104" s="9">
        <v>0</v>
      </c>
      <c r="P104" s="9">
        <v>60.114000000000004</v>
      </c>
      <c r="Q104" s="9">
        <v>0</v>
      </c>
      <c r="R104" s="9">
        <v>19219</v>
      </c>
      <c r="S104" s="9">
        <v>319.71300000000002</v>
      </c>
      <c r="T104" s="9">
        <v>0</v>
      </c>
      <c r="U104" s="9">
        <v>19219</v>
      </c>
      <c r="V104" s="9">
        <v>11.463000000000001</v>
      </c>
      <c r="W104" s="9">
        <v>7513</v>
      </c>
      <c r="X104" s="9">
        <v>7513</v>
      </c>
      <c r="Y104" s="9">
        <v>0</v>
      </c>
      <c r="Z104" s="9">
        <v>0</v>
      </c>
      <c r="AA104" s="9">
        <v>1</v>
      </c>
      <c r="AB104" s="9">
        <v>1</v>
      </c>
      <c r="AC104" s="9">
        <v>0</v>
      </c>
      <c r="AD104" s="9" t="s">
        <v>314</v>
      </c>
      <c r="AE104" s="9">
        <v>0</v>
      </c>
      <c r="AF104" s="9">
        <v>0</v>
      </c>
      <c r="AG104" s="9">
        <v>0</v>
      </c>
      <c r="AH104" s="9">
        <v>0</v>
      </c>
      <c r="AI104" s="9">
        <v>0</v>
      </c>
      <c r="AJ104" s="9">
        <v>5104</v>
      </c>
      <c r="AK104" s="9" t="s">
        <v>651</v>
      </c>
      <c r="AL104" s="9" t="s">
        <v>30</v>
      </c>
      <c r="AM104" s="9">
        <v>0</v>
      </c>
      <c r="AN104" s="9">
        <v>0</v>
      </c>
      <c r="AO104" s="9">
        <v>0</v>
      </c>
      <c r="AP104" s="9">
        <v>0</v>
      </c>
      <c r="AQ104" s="9">
        <v>0</v>
      </c>
      <c r="AR104" s="9">
        <v>0</v>
      </c>
      <c r="AS104" s="9">
        <v>0</v>
      </c>
      <c r="AT104" s="9">
        <v>0</v>
      </c>
      <c r="AU104" s="9">
        <v>0</v>
      </c>
      <c r="AV104" s="9">
        <v>32998</v>
      </c>
      <c r="AW104" s="9">
        <v>535833</v>
      </c>
      <c r="AX104" s="9">
        <v>517507</v>
      </c>
      <c r="AY104" s="9">
        <v>571881</v>
      </c>
      <c r="AZ104" s="9">
        <v>25668</v>
      </c>
      <c r="BA104" s="9">
        <v>3.8330000000000002</v>
      </c>
      <c r="BB104" s="9">
        <v>0</v>
      </c>
      <c r="BC104" s="9">
        <v>0</v>
      </c>
      <c r="BD104" s="9">
        <v>0</v>
      </c>
      <c r="BE104" s="9">
        <v>0</v>
      </c>
      <c r="BF104" s="9">
        <v>442111</v>
      </c>
      <c r="BG104" s="9">
        <v>0</v>
      </c>
      <c r="BH104" s="9">
        <v>23.452000000000002</v>
      </c>
      <c r="BI104" s="9">
        <v>6449</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9">
        <v>11877</v>
      </c>
      <c r="CI104" s="9">
        <v>0</v>
      </c>
      <c r="CJ104" s="9">
        <v>4</v>
      </c>
      <c r="CK104" s="9">
        <v>0</v>
      </c>
      <c r="CL104" s="9">
        <v>0</v>
      </c>
      <c r="CM104" s="9">
        <v>0</v>
      </c>
      <c r="CN104" s="9">
        <v>0</v>
      </c>
      <c r="CO104" s="9">
        <v>0</v>
      </c>
      <c r="CP104" s="9">
        <v>0</v>
      </c>
      <c r="CQ104" s="9">
        <v>8.3000000000000004E-2</v>
      </c>
      <c r="CR104" s="9">
        <v>60.114000000000004</v>
      </c>
      <c r="CS104" s="9">
        <v>0</v>
      </c>
      <c r="CT104" s="9">
        <v>0</v>
      </c>
      <c r="CU104" s="9">
        <v>0</v>
      </c>
      <c r="CV104" s="9">
        <v>0</v>
      </c>
      <c r="CW104" s="9">
        <v>0</v>
      </c>
      <c r="CX104" s="9">
        <v>0</v>
      </c>
      <c r="CY104" s="9">
        <v>0</v>
      </c>
      <c r="CZ104" s="9">
        <v>0</v>
      </c>
      <c r="DA104" s="9">
        <v>1</v>
      </c>
      <c r="DB104" s="9">
        <v>209531</v>
      </c>
      <c r="DC104" s="9">
        <v>0</v>
      </c>
      <c r="DD104" s="9">
        <v>0</v>
      </c>
      <c r="DE104" s="9">
        <v>49378</v>
      </c>
      <c r="DF104" s="9">
        <v>49378</v>
      </c>
      <c r="DG104" s="9">
        <v>37.67</v>
      </c>
      <c r="DH104" s="9">
        <v>0</v>
      </c>
      <c r="DI104" s="9">
        <v>0</v>
      </c>
      <c r="DJ104" s="9">
        <v>0</v>
      </c>
      <c r="DK104" s="9">
        <v>5392</v>
      </c>
      <c r="DL104" s="9">
        <v>0</v>
      </c>
      <c r="DM104" s="9">
        <v>24245</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3.363</v>
      </c>
      <c r="ED104" s="9">
        <v>24245</v>
      </c>
      <c r="EE104" s="9">
        <v>0</v>
      </c>
      <c r="EF104" s="9">
        <v>0</v>
      </c>
      <c r="EG104" s="9">
        <v>0</v>
      </c>
      <c r="EH104" s="9">
        <v>0</v>
      </c>
      <c r="EI104" s="9">
        <v>0</v>
      </c>
      <c r="EJ104" s="9">
        <v>0</v>
      </c>
      <c r="EK104" s="9">
        <v>0</v>
      </c>
      <c r="EL104" s="9">
        <v>0</v>
      </c>
      <c r="EM104" s="9">
        <v>0</v>
      </c>
      <c r="EN104" s="9">
        <v>0</v>
      </c>
      <c r="EO104" s="9">
        <v>0</v>
      </c>
      <c r="EP104" s="9">
        <v>0</v>
      </c>
      <c r="EQ104" s="9">
        <v>0</v>
      </c>
      <c r="ER104" s="9">
        <v>0</v>
      </c>
      <c r="ES104" s="9">
        <v>0</v>
      </c>
      <c r="ET104" s="9">
        <v>1937</v>
      </c>
      <c r="EU104" s="9">
        <v>25668</v>
      </c>
      <c r="EV104" s="9">
        <v>0</v>
      </c>
      <c r="EW104" s="9">
        <v>0</v>
      </c>
      <c r="EX104" s="9">
        <v>0</v>
      </c>
      <c r="EY104" s="9">
        <v>0</v>
      </c>
      <c r="EZ104" s="9">
        <v>435031</v>
      </c>
      <c r="FA104" s="9">
        <v>0</v>
      </c>
      <c r="FB104" s="9">
        <v>460699</v>
      </c>
      <c r="FC104" s="9">
        <v>0.97327799999999998</v>
      </c>
      <c r="FD104" s="9">
        <v>0</v>
      </c>
      <c r="FE104" s="9">
        <v>67308</v>
      </c>
      <c r="FF104" s="9">
        <v>15168</v>
      </c>
      <c r="FG104" s="9">
        <v>6.1239999999999996E-2</v>
      </c>
      <c r="FH104" s="9">
        <v>5.4803999999999999E-2</v>
      </c>
      <c r="FI104" s="9">
        <v>0</v>
      </c>
      <c r="FJ104" s="9">
        <v>0</v>
      </c>
      <c r="FK104" s="9">
        <v>86.624000000000009</v>
      </c>
      <c r="FL104" s="9">
        <v>555052</v>
      </c>
      <c r="FM104" s="9">
        <v>0</v>
      </c>
      <c r="FN104" s="9">
        <v>0</v>
      </c>
      <c r="FO104" s="9">
        <v>0</v>
      </c>
      <c r="FP104" s="9">
        <v>0</v>
      </c>
      <c r="FQ104" s="9">
        <v>0</v>
      </c>
      <c r="FR104" s="9">
        <v>0</v>
      </c>
      <c r="FS104" s="9">
        <v>0</v>
      </c>
      <c r="FT104" s="9">
        <v>0</v>
      </c>
      <c r="FU104" s="9">
        <v>0</v>
      </c>
      <c r="FV104" s="9">
        <v>0</v>
      </c>
      <c r="FW104" s="9">
        <v>0</v>
      </c>
      <c r="FX104" s="9">
        <v>0</v>
      </c>
      <c r="FY104" s="9">
        <v>0</v>
      </c>
      <c r="FZ104" s="9">
        <v>197</v>
      </c>
      <c r="GA104" s="9">
        <v>3.9470000000000001</v>
      </c>
      <c r="GB104" s="9">
        <v>163583</v>
      </c>
      <c r="GC104" s="9">
        <v>163583</v>
      </c>
      <c r="GD104" s="9">
        <v>18.466000000000001</v>
      </c>
      <c r="GE104" s="9">
        <v>0</v>
      </c>
      <c r="GF104" s="9">
        <v>0</v>
      </c>
      <c r="GG104" s="9">
        <v>0</v>
      </c>
      <c r="GH104" s="9">
        <v>0</v>
      </c>
      <c r="GI104" s="9">
        <v>0</v>
      </c>
      <c r="GJ104" s="9">
        <v>0</v>
      </c>
      <c r="GK104" s="9">
        <v>5305</v>
      </c>
      <c r="GL104" s="9">
        <v>2818</v>
      </c>
      <c r="GM104" s="9">
        <v>0</v>
      </c>
      <c r="GN104" s="9">
        <v>0</v>
      </c>
      <c r="GO104" s="9">
        <v>0</v>
      </c>
      <c r="GP104" s="9">
        <v>543175</v>
      </c>
      <c r="GQ104" s="9">
        <v>543175</v>
      </c>
      <c r="GR104" s="9">
        <v>0</v>
      </c>
      <c r="GS104" s="9">
        <v>0</v>
      </c>
      <c r="GT104" s="9">
        <v>0</v>
      </c>
      <c r="GU104" s="9">
        <v>0</v>
      </c>
      <c r="GV104" s="9">
        <v>0</v>
      </c>
      <c r="GW104" s="9">
        <v>0</v>
      </c>
      <c r="GX104" s="9">
        <v>0</v>
      </c>
      <c r="GY104" s="9">
        <v>0</v>
      </c>
      <c r="GZ104" s="9">
        <v>0</v>
      </c>
      <c r="HA104" s="9">
        <v>0</v>
      </c>
      <c r="HB104" s="9">
        <v>260786259</v>
      </c>
      <c r="HC104" s="9">
        <v>5.0923999999999997E-2</v>
      </c>
      <c r="HD104" s="9">
        <v>9940</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32469</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row>
    <row r="105" spans="1:292" x14ac:dyDescent="0.25">
      <c r="A105" s="9">
        <v>101845</v>
      </c>
      <c r="B105" s="9">
        <v>32570</v>
      </c>
      <c r="C105" s="9">
        <v>35</v>
      </c>
      <c r="D105" s="9">
        <v>2022</v>
      </c>
      <c r="E105" s="9">
        <v>5392</v>
      </c>
      <c r="F105" s="9">
        <v>0</v>
      </c>
      <c r="G105" s="9">
        <v>11459.829</v>
      </c>
      <c r="H105" s="9">
        <v>10757.424999999999</v>
      </c>
      <c r="I105" s="9">
        <v>10757.424999999999</v>
      </c>
      <c r="J105" s="9">
        <v>11459.829</v>
      </c>
      <c r="K105" s="9">
        <v>0</v>
      </c>
      <c r="L105" s="9">
        <v>6554</v>
      </c>
      <c r="M105" s="9">
        <v>0</v>
      </c>
      <c r="N105" s="9">
        <v>0</v>
      </c>
      <c r="O105" s="9">
        <v>0</v>
      </c>
      <c r="P105" s="9">
        <v>10872.768</v>
      </c>
      <c r="Q105" s="9">
        <v>0</v>
      </c>
      <c r="R105" s="9">
        <v>3476165</v>
      </c>
      <c r="S105" s="9">
        <v>319.71300000000002</v>
      </c>
      <c r="T105" s="9">
        <v>0</v>
      </c>
      <c r="U105" s="9">
        <v>3476165</v>
      </c>
      <c r="V105" s="9">
        <v>4.7520000000000007</v>
      </c>
      <c r="W105" s="9">
        <v>3114</v>
      </c>
      <c r="X105" s="9">
        <v>3114</v>
      </c>
      <c r="Y105" s="9">
        <v>0</v>
      </c>
      <c r="Z105" s="9">
        <v>0</v>
      </c>
      <c r="AA105" s="9">
        <v>1</v>
      </c>
      <c r="AB105" s="9">
        <v>1</v>
      </c>
      <c r="AC105" s="9">
        <v>0</v>
      </c>
      <c r="AD105" s="9" t="s">
        <v>314</v>
      </c>
      <c r="AE105" s="9">
        <v>0</v>
      </c>
      <c r="AF105" s="9">
        <v>0</v>
      </c>
      <c r="AG105" s="9">
        <v>0</v>
      </c>
      <c r="AH105" s="9">
        <v>0</v>
      </c>
      <c r="AI105" s="9">
        <v>0</v>
      </c>
      <c r="AJ105" s="9">
        <v>5104</v>
      </c>
      <c r="AK105" s="9" t="s">
        <v>651</v>
      </c>
      <c r="AL105" s="9" t="s">
        <v>101</v>
      </c>
      <c r="AM105" s="9">
        <v>0</v>
      </c>
      <c r="AN105" s="9">
        <v>0</v>
      </c>
      <c r="AO105" s="9">
        <v>0</v>
      </c>
      <c r="AP105" s="9">
        <v>0</v>
      </c>
      <c r="AQ105" s="9">
        <v>0</v>
      </c>
      <c r="AR105" s="9">
        <v>0</v>
      </c>
      <c r="AS105" s="9">
        <v>0</v>
      </c>
      <c r="AT105" s="9">
        <v>0</v>
      </c>
      <c r="AU105" s="9">
        <v>0</v>
      </c>
      <c r="AV105" s="9">
        <v>6455581</v>
      </c>
      <c r="AW105" s="9">
        <v>115115170</v>
      </c>
      <c r="AX105" s="9">
        <v>111020649</v>
      </c>
      <c r="AY105" s="9">
        <v>121678998</v>
      </c>
      <c r="AZ105" s="9">
        <v>5060875</v>
      </c>
      <c r="BA105" s="9">
        <v>486.91700000000003</v>
      </c>
      <c r="BB105" s="9">
        <v>0</v>
      </c>
      <c r="BC105" s="9">
        <v>0</v>
      </c>
      <c r="BD105" s="9">
        <v>0</v>
      </c>
      <c r="BE105" s="9">
        <v>0</v>
      </c>
      <c r="BF105" s="9">
        <v>93678893</v>
      </c>
      <c r="BG105" s="9">
        <v>0</v>
      </c>
      <c r="BH105" s="9">
        <v>5397.2539999999999</v>
      </c>
      <c r="BI105" s="9">
        <v>1484245</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262.81800000000004</v>
      </c>
      <c r="CB105" s="9">
        <v>100465</v>
      </c>
      <c r="CC105" s="9">
        <v>0</v>
      </c>
      <c r="CD105" s="9">
        <v>0</v>
      </c>
      <c r="CE105" s="9">
        <v>0</v>
      </c>
      <c r="CF105" s="9">
        <v>0</v>
      </c>
      <c r="CG105" s="9">
        <v>0</v>
      </c>
      <c r="CH105" s="9">
        <v>2509811</v>
      </c>
      <c r="CI105" s="9">
        <v>0</v>
      </c>
      <c r="CJ105" s="9">
        <v>4</v>
      </c>
      <c r="CK105" s="9">
        <v>0</v>
      </c>
      <c r="CL105" s="9">
        <v>0</v>
      </c>
      <c r="CM105" s="9">
        <v>0</v>
      </c>
      <c r="CN105" s="9">
        <v>0</v>
      </c>
      <c r="CO105" s="9">
        <v>0</v>
      </c>
      <c r="CP105" s="9">
        <v>2.1240000000000001</v>
      </c>
      <c r="CQ105" s="9">
        <v>31.5</v>
      </c>
      <c r="CR105" s="9">
        <v>10872.768</v>
      </c>
      <c r="CS105" s="9">
        <v>0</v>
      </c>
      <c r="CT105" s="9">
        <v>0</v>
      </c>
      <c r="CU105" s="9">
        <v>0</v>
      </c>
      <c r="CV105" s="9">
        <v>0</v>
      </c>
      <c r="CW105" s="9">
        <v>0</v>
      </c>
      <c r="CX105" s="9">
        <v>0</v>
      </c>
      <c r="CY105" s="9">
        <v>0</v>
      </c>
      <c r="CZ105" s="9">
        <v>0</v>
      </c>
      <c r="DA105" s="9">
        <v>1</v>
      </c>
      <c r="DB105" s="9">
        <v>70504163</v>
      </c>
      <c r="DC105" s="9">
        <v>0</v>
      </c>
      <c r="DD105" s="9">
        <v>0</v>
      </c>
      <c r="DE105" s="9">
        <v>15309266</v>
      </c>
      <c r="DF105" s="9">
        <v>15342815</v>
      </c>
      <c r="DG105" s="9">
        <v>11679.33</v>
      </c>
      <c r="DH105" s="9">
        <v>0</v>
      </c>
      <c r="DI105" s="9">
        <v>33549</v>
      </c>
      <c r="DJ105" s="9">
        <v>0</v>
      </c>
      <c r="DK105" s="9">
        <v>5392</v>
      </c>
      <c r="DL105" s="9">
        <v>0</v>
      </c>
      <c r="DM105" s="9">
        <v>6418886</v>
      </c>
      <c r="DN105" s="9">
        <v>0</v>
      </c>
      <c r="DO105" s="9">
        <v>0</v>
      </c>
      <c r="DP105" s="9">
        <v>0</v>
      </c>
      <c r="DQ105" s="9">
        <v>0</v>
      </c>
      <c r="DR105" s="9">
        <v>0</v>
      </c>
      <c r="DS105" s="9">
        <v>0</v>
      </c>
      <c r="DT105" s="9">
        <v>0</v>
      </c>
      <c r="DU105" s="9">
        <v>0</v>
      </c>
      <c r="DV105" s="9">
        <v>0</v>
      </c>
      <c r="DW105" s="9">
        <v>0</v>
      </c>
      <c r="DX105" s="9">
        <v>0</v>
      </c>
      <c r="DY105" s="9">
        <v>0</v>
      </c>
      <c r="DZ105" s="9">
        <v>0</v>
      </c>
      <c r="EA105" s="9">
        <v>0</v>
      </c>
      <c r="EB105" s="9">
        <v>0</v>
      </c>
      <c r="EC105" s="9">
        <v>190.42400000000001</v>
      </c>
      <c r="ED105" s="9">
        <v>1372843</v>
      </c>
      <c r="EE105" s="9">
        <v>0</v>
      </c>
      <c r="EF105" s="9">
        <v>0</v>
      </c>
      <c r="EG105" s="9">
        <v>0</v>
      </c>
      <c r="EH105" s="9">
        <v>5046043</v>
      </c>
      <c r="EI105" s="9">
        <v>0</v>
      </c>
      <c r="EJ105" s="9">
        <v>0</v>
      </c>
      <c r="EK105" s="9">
        <v>223.607</v>
      </c>
      <c r="EL105" s="9">
        <v>0</v>
      </c>
      <c r="EM105" s="9">
        <v>22.324000000000002</v>
      </c>
      <c r="EN105" s="9">
        <v>6.4250000000000007</v>
      </c>
      <c r="EO105" s="9">
        <v>0</v>
      </c>
      <c r="EP105" s="9">
        <v>0</v>
      </c>
      <c r="EQ105" s="9">
        <v>252.35600000000002</v>
      </c>
      <c r="ER105" s="9">
        <v>0</v>
      </c>
      <c r="ES105" s="9">
        <v>769.91800000000001</v>
      </c>
      <c r="ET105" s="9">
        <v>251334</v>
      </c>
      <c r="EU105" s="9">
        <v>5060875</v>
      </c>
      <c r="EV105" s="9">
        <v>0</v>
      </c>
      <c r="EW105" s="9">
        <v>0</v>
      </c>
      <c r="EX105" s="9">
        <v>0</v>
      </c>
      <c r="EY105" s="9">
        <v>0</v>
      </c>
      <c r="EZ105" s="9">
        <v>93544899</v>
      </c>
      <c r="FA105" s="9">
        <v>0</v>
      </c>
      <c r="FB105" s="9">
        <v>98605774</v>
      </c>
      <c r="FC105" s="9">
        <v>0.97327799999999998</v>
      </c>
      <c r="FD105" s="9">
        <v>0</v>
      </c>
      <c r="FE105" s="9">
        <v>14261860</v>
      </c>
      <c r="FF105" s="9">
        <v>3213890</v>
      </c>
      <c r="FG105" s="9">
        <v>6.1239999999999996E-2</v>
      </c>
      <c r="FH105" s="9">
        <v>5.4803999999999999E-2</v>
      </c>
      <c r="FI105" s="9">
        <v>0</v>
      </c>
      <c r="FJ105" s="9">
        <v>0</v>
      </c>
      <c r="FK105" s="9">
        <v>18354.645</v>
      </c>
      <c r="FL105" s="9">
        <v>118591335</v>
      </c>
      <c r="FM105" s="9">
        <v>0</v>
      </c>
      <c r="FN105" s="9">
        <v>0</v>
      </c>
      <c r="FO105" s="9">
        <v>770106</v>
      </c>
      <c r="FP105" s="9">
        <v>0</v>
      </c>
      <c r="FQ105" s="9">
        <v>770106</v>
      </c>
      <c r="FR105" s="9">
        <v>770106</v>
      </c>
      <c r="FS105" s="9">
        <v>0</v>
      </c>
      <c r="FT105" s="9">
        <v>0</v>
      </c>
      <c r="FU105" s="9">
        <v>0</v>
      </c>
      <c r="FV105" s="9">
        <v>0</v>
      </c>
      <c r="FW105" s="9">
        <v>0</v>
      </c>
      <c r="FX105" s="9">
        <v>0</v>
      </c>
      <c r="FY105" s="9">
        <v>0</v>
      </c>
      <c r="FZ105" s="9">
        <v>0</v>
      </c>
      <c r="GA105" s="9">
        <v>0</v>
      </c>
      <c r="GB105" s="9">
        <v>3981980</v>
      </c>
      <c r="GC105" s="9">
        <v>3981980</v>
      </c>
      <c r="GD105" s="9">
        <v>450.048</v>
      </c>
      <c r="GE105" s="9">
        <v>0</v>
      </c>
      <c r="GF105" s="9">
        <v>0</v>
      </c>
      <c r="GG105" s="9">
        <v>0</v>
      </c>
      <c r="GH105" s="9">
        <v>0</v>
      </c>
      <c r="GI105" s="9">
        <v>0</v>
      </c>
      <c r="GJ105" s="9">
        <v>0</v>
      </c>
      <c r="GK105" s="9">
        <v>5294</v>
      </c>
      <c r="GL105" s="9">
        <v>84870</v>
      </c>
      <c r="GM105" s="9">
        <v>0</v>
      </c>
      <c r="GN105" s="9">
        <v>466563</v>
      </c>
      <c r="GO105" s="9">
        <v>0</v>
      </c>
      <c r="GP105" s="9">
        <v>116081524</v>
      </c>
      <c r="GQ105" s="9">
        <v>116081524</v>
      </c>
      <c r="GR105" s="9">
        <v>0</v>
      </c>
      <c r="GS105" s="9">
        <v>0</v>
      </c>
      <c r="GT105" s="9">
        <v>0</v>
      </c>
      <c r="GU105" s="9">
        <v>0</v>
      </c>
      <c r="GV105" s="9">
        <v>0</v>
      </c>
      <c r="GW105" s="9">
        <v>0</v>
      </c>
      <c r="GX105" s="9">
        <v>0</v>
      </c>
      <c r="GY105" s="9">
        <v>0</v>
      </c>
      <c r="GZ105" s="9">
        <v>0</v>
      </c>
      <c r="HA105" s="9">
        <v>0</v>
      </c>
      <c r="HB105" s="9">
        <v>260786259</v>
      </c>
      <c r="HC105" s="9">
        <v>5.0923999999999997E-2</v>
      </c>
      <c r="HD105" s="9">
        <v>2258477</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32469</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row>
    <row r="106" spans="1:292" x14ac:dyDescent="0.25">
      <c r="A106" s="9">
        <v>101846</v>
      </c>
      <c r="B106" s="9">
        <v>32570</v>
      </c>
      <c r="C106" s="9">
        <v>35</v>
      </c>
      <c r="D106" s="9">
        <v>2022</v>
      </c>
      <c r="E106" s="9">
        <v>5392</v>
      </c>
      <c r="F106" s="9">
        <v>0</v>
      </c>
      <c r="G106" s="9">
        <v>3263.56</v>
      </c>
      <c r="H106" s="9">
        <v>2949.2719999999999</v>
      </c>
      <c r="I106" s="9">
        <v>2949.2719999999999</v>
      </c>
      <c r="J106" s="9">
        <v>3263.56</v>
      </c>
      <c r="K106" s="9">
        <v>0</v>
      </c>
      <c r="L106" s="9">
        <v>6554</v>
      </c>
      <c r="M106" s="9">
        <v>0</v>
      </c>
      <c r="N106" s="9">
        <v>0</v>
      </c>
      <c r="O106" s="9">
        <v>0</v>
      </c>
      <c r="P106" s="9">
        <v>3165.2580000000003</v>
      </c>
      <c r="Q106" s="9">
        <v>0</v>
      </c>
      <c r="R106" s="9">
        <v>1011974</v>
      </c>
      <c r="S106" s="9">
        <v>319.71300000000002</v>
      </c>
      <c r="T106" s="9">
        <v>0</v>
      </c>
      <c r="U106" s="9">
        <v>1011974</v>
      </c>
      <c r="V106" s="9">
        <v>1058.9940000000001</v>
      </c>
      <c r="W106" s="9">
        <v>694065</v>
      </c>
      <c r="X106" s="9">
        <v>694065</v>
      </c>
      <c r="Y106" s="9">
        <v>0</v>
      </c>
      <c r="Z106" s="9">
        <v>0</v>
      </c>
      <c r="AA106" s="9">
        <v>1</v>
      </c>
      <c r="AB106" s="9">
        <v>1</v>
      </c>
      <c r="AC106" s="9">
        <v>0</v>
      </c>
      <c r="AD106" s="9" t="s">
        <v>314</v>
      </c>
      <c r="AE106" s="9">
        <v>0</v>
      </c>
      <c r="AF106" s="9">
        <v>0</v>
      </c>
      <c r="AG106" s="9">
        <v>0</v>
      </c>
      <c r="AH106" s="9">
        <v>0</v>
      </c>
      <c r="AI106" s="9">
        <v>0</v>
      </c>
      <c r="AJ106" s="9">
        <v>5104</v>
      </c>
      <c r="AK106" s="9" t="s">
        <v>651</v>
      </c>
      <c r="AL106" s="9" t="s">
        <v>31</v>
      </c>
      <c r="AM106" s="9">
        <v>0</v>
      </c>
      <c r="AN106" s="9">
        <v>0</v>
      </c>
      <c r="AO106" s="9">
        <v>0</v>
      </c>
      <c r="AP106" s="9">
        <v>0</v>
      </c>
      <c r="AQ106" s="9">
        <v>0</v>
      </c>
      <c r="AR106" s="9">
        <v>0</v>
      </c>
      <c r="AS106" s="9">
        <v>0</v>
      </c>
      <c r="AT106" s="9">
        <v>0</v>
      </c>
      <c r="AU106" s="9">
        <v>0</v>
      </c>
      <c r="AV106" s="9">
        <v>854486</v>
      </c>
      <c r="AW106" s="9">
        <v>33294386</v>
      </c>
      <c r="AX106" s="9">
        <v>32321022</v>
      </c>
      <c r="AY106" s="9">
        <v>35244935</v>
      </c>
      <c r="AZ106" s="9">
        <v>1303954</v>
      </c>
      <c r="BA106" s="9">
        <v>76.417000000000002</v>
      </c>
      <c r="BB106" s="9">
        <v>128336</v>
      </c>
      <c r="BC106" s="9">
        <v>128336</v>
      </c>
      <c r="BD106" s="9">
        <v>163.178</v>
      </c>
      <c r="BE106" s="9">
        <v>0</v>
      </c>
      <c r="BF106" s="9">
        <v>27457035</v>
      </c>
      <c r="BG106" s="9">
        <v>0</v>
      </c>
      <c r="BH106" s="9">
        <v>1061.7440000000001</v>
      </c>
      <c r="BI106" s="9">
        <v>291980</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681384</v>
      </c>
      <c r="CI106" s="9">
        <v>0</v>
      </c>
      <c r="CJ106" s="9">
        <v>4</v>
      </c>
      <c r="CK106" s="9">
        <v>0</v>
      </c>
      <c r="CL106" s="9">
        <v>0</v>
      </c>
      <c r="CM106" s="9">
        <v>0</v>
      </c>
      <c r="CN106" s="9">
        <v>0</v>
      </c>
      <c r="CO106" s="9">
        <v>0</v>
      </c>
      <c r="CP106" s="9">
        <v>0</v>
      </c>
      <c r="CQ106" s="9">
        <v>0</v>
      </c>
      <c r="CR106" s="9">
        <v>3165.2580000000003</v>
      </c>
      <c r="CS106" s="9">
        <v>0</v>
      </c>
      <c r="CT106" s="9">
        <v>0</v>
      </c>
      <c r="CU106" s="9">
        <v>0</v>
      </c>
      <c r="CV106" s="9">
        <v>0</v>
      </c>
      <c r="CW106" s="9">
        <v>0</v>
      </c>
      <c r="CX106" s="9">
        <v>0</v>
      </c>
      <c r="CY106" s="9">
        <v>0</v>
      </c>
      <c r="CZ106" s="9">
        <v>0</v>
      </c>
      <c r="DA106" s="9">
        <v>1</v>
      </c>
      <c r="DB106" s="9">
        <v>19329529</v>
      </c>
      <c r="DC106" s="9">
        <v>0</v>
      </c>
      <c r="DD106" s="9">
        <v>0</v>
      </c>
      <c r="DE106" s="9">
        <v>3705854</v>
      </c>
      <c r="DF106" s="9">
        <v>3705854</v>
      </c>
      <c r="DG106" s="9">
        <v>2827.17</v>
      </c>
      <c r="DH106" s="9">
        <v>0</v>
      </c>
      <c r="DI106" s="9">
        <v>0</v>
      </c>
      <c r="DJ106" s="9">
        <v>0</v>
      </c>
      <c r="DK106" s="9">
        <v>5392</v>
      </c>
      <c r="DL106" s="9">
        <v>0</v>
      </c>
      <c r="DM106" s="9">
        <v>2479474</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55.806000000000004</v>
      </c>
      <c r="ED106" s="9">
        <v>402328</v>
      </c>
      <c r="EE106" s="9">
        <v>0</v>
      </c>
      <c r="EF106" s="9">
        <v>0</v>
      </c>
      <c r="EG106" s="9">
        <v>0</v>
      </c>
      <c r="EH106" s="9">
        <v>2077146</v>
      </c>
      <c r="EI106" s="9">
        <v>0</v>
      </c>
      <c r="EJ106" s="9">
        <v>0</v>
      </c>
      <c r="EK106" s="9">
        <v>84.135000000000005</v>
      </c>
      <c r="EL106" s="9">
        <v>0</v>
      </c>
      <c r="EM106" s="9">
        <v>14.286000000000001</v>
      </c>
      <c r="EN106" s="9">
        <v>4.3330000000000002</v>
      </c>
      <c r="EO106" s="9">
        <v>0</v>
      </c>
      <c r="EP106" s="9">
        <v>0</v>
      </c>
      <c r="EQ106" s="9">
        <v>102.754</v>
      </c>
      <c r="ER106" s="9">
        <v>0</v>
      </c>
      <c r="ES106" s="9">
        <v>316.928</v>
      </c>
      <c r="ET106" s="9">
        <v>38209</v>
      </c>
      <c r="EU106" s="9">
        <v>1303954</v>
      </c>
      <c r="EV106" s="9">
        <v>0</v>
      </c>
      <c r="EW106" s="9">
        <v>0</v>
      </c>
      <c r="EX106" s="9">
        <v>0</v>
      </c>
      <c r="EY106" s="9">
        <v>0</v>
      </c>
      <c r="EZ106" s="9">
        <v>27198926</v>
      </c>
      <c r="FA106" s="9">
        <v>0</v>
      </c>
      <c r="FB106" s="9">
        <v>28502880</v>
      </c>
      <c r="FC106" s="9">
        <v>0.97327799999999998</v>
      </c>
      <c r="FD106" s="9">
        <v>0</v>
      </c>
      <c r="FE106" s="9">
        <v>4180113</v>
      </c>
      <c r="FF106" s="9">
        <v>941983</v>
      </c>
      <c r="FG106" s="9">
        <v>6.1239999999999996E-2</v>
      </c>
      <c r="FH106" s="9">
        <v>5.4803999999999999E-2</v>
      </c>
      <c r="FI106" s="9">
        <v>0</v>
      </c>
      <c r="FJ106" s="9">
        <v>0</v>
      </c>
      <c r="FK106" s="9">
        <v>5379.6980000000003</v>
      </c>
      <c r="FL106" s="9">
        <v>34306360</v>
      </c>
      <c r="FM106" s="9">
        <v>0</v>
      </c>
      <c r="FN106" s="9">
        <v>0</v>
      </c>
      <c r="FO106" s="9">
        <v>0</v>
      </c>
      <c r="FP106" s="9">
        <v>0</v>
      </c>
      <c r="FQ106" s="9">
        <v>0</v>
      </c>
      <c r="FR106" s="9">
        <v>0</v>
      </c>
      <c r="FS106" s="9">
        <v>0</v>
      </c>
      <c r="FT106" s="9">
        <v>0</v>
      </c>
      <c r="FU106" s="9">
        <v>0</v>
      </c>
      <c r="FV106" s="9">
        <v>0</v>
      </c>
      <c r="FW106" s="9">
        <v>0</v>
      </c>
      <c r="FX106" s="9">
        <v>0</v>
      </c>
      <c r="FY106" s="9">
        <v>0</v>
      </c>
      <c r="FZ106" s="9">
        <v>2010</v>
      </c>
      <c r="GA106" s="9">
        <v>40.198</v>
      </c>
      <c r="GB106" s="9">
        <v>1873642</v>
      </c>
      <c r="GC106" s="9">
        <v>1873642</v>
      </c>
      <c r="GD106" s="9">
        <v>211.53400000000002</v>
      </c>
      <c r="GE106" s="9">
        <v>0</v>
      </c>
      <c r="GF106" s="9">
        <v>0</v>
      </c>
      <c r="GG106" s="9">
        <v>0</v>
      </c>
      <c r="GH106" s="9">
        <v>0</v>
      </c>
      <c r="GI106" s="9">
        <v>0</v>
      </c>
      <c r="GJ106" s="9">
        <v>0</v>
      </c>
      <c r="GK106" s="9">
        <v>5152.9530000000004</v>
      </c>
      <c r="GL106" s="9">
        <v>46024</v>
      </c>
      <c r="GM106" s="9">
        <v>0</v>
      </c>
      <c r="GN106" s="9">
        <v>0</v>
      </c>
      <c r="GO106" s="9">
        <v>0</v>
      </c>
      <c r="GP106" s="9">
        <v>33624976</v>
      </c>
      <c r="GQ106" s="9">
        <v>33624976</v>
      </c>
      <c r="GR106" s="9">
        <v>0</v>
      </c>
      <c r="GS106" s="9">
        <v>0</v>
      </c>
      <c r="GT106" s="9">
        <v>0</v>
      </c>
      <c r="GU106" s="9">
        <v>0</v>
      </c>
      <c r="GV106" s="9">
        <v>0</v>
      </c>
      <c r="GW106" s="9">
        <v>0</v>
      </c>
      <c r="GX106" s="9">
        <v>0</v>
      </c>
      <c r="GY106" s="9">
        <v>0</v>
      </c>
      <c r="GZ106" s="9">
        <v>0</v>
      </c>
      <c r="HA106" s="9">
        <v>0</v>
      </c>
      <c r="HB106" s="9">
        <v>260786259</v>
      </c>
      <c r="HC106" s="9">
        <v>5.0923999999999997E-2</v>
      </c>
      <c r="HD106" s="9">
        <v>643175</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32469</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row>
    <row r="107" spans="1:292" x14ac:dyDescent="0.25">
      <c r="A107" s="9">
        <v>101847</v>
      </c>
      <c r="B107" s="9">
        <v>32570</v>
      </c>
      <c r="C107" s="9">
        <v>35</v>
      </c>
      <c r="D107" s="9">
        <v>2022</v>
      </c>
      <c r="E107" s="9">
        <v>5392</v>
      </c>
      <c r="F107" s="9">
        <v>0</v>
      </c>
      <c r="G107" s="9">
        <v>452.62800000000004</v>
      </c>
      <c r="H107" s="9">
        <v>452.33199999999999</v>
      </c>
      <c r="I107" s="9">
        <v>452.33199999999999</v>
      </c>
      <c r="J107" s="9">
        <v>452.62800000000004</v>
      </c>
      <c r="K107" s="9">
        <v>0</v>
      </c>
      <c r="L107" s="9">
        <v>6554</v>
      </c>
      <c r="M107" s="9">
        <v>0</v>
      </c>
      <c r="N107" s="9">
        <v>0</v>
      </c>
      <c r="O107" s="9">
        <v>0</v>
      </c>
      <c r="P107" s="9">
        <v>439.96700000000004</v>
      </c>
      <c r="Q107" s="9">
        <v>0</v>
      </c>
      <c r="R107" s="9">
        <v>140663</v>
      </c>
      <c r="S107" s="9">
        <v>319.71300000000002</v>
      </c>
      <c r="T107" s="9">
        <v>0</v>
      </c>
      <c r="U107" s="9">
        <v>140663</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651</v>
      </c>
      <c r="AL107" s="9" t="s">
        <v>32</v>
      </c>
      <c r="AM107" s="9">
        <v>0</v>
      </c>
      <c r="AN107" s="9">
        <v>0</v>
      </c>
      <c r="AO107" s="9">
        <v>0</v>
      </c>
      <c r="AP107" s="9">
        <v>0</v>
      </c>
      <c r="AQ107" s="9">
        <v>0</v>
      </c>
      <c r="AR107" s="9">
        <v>0</v>
      </c>
      <c r="AS107" s="9">
        <v>0</v>
      </c>
      <c r="AT107" s="9">
        <v>0</v>
      </c>
      <c r="AU107" s="9">
        <v>0</v>
      </c>
      <c r="AV107" s="9">
        <v>187871</v>
      </c>
      <c r="AW107" s="9">
        <v>4332154</v>
      </c>
      <c r="AX107" s="9">
        <v>4238076</v>
      </c>
      <c r="AY107" s="9">
        <v>4516070</v>
      </c>
      <c r="AZ107" s="9">
        <v>140663</v>
      </c>
      <c r="BA107" s="9">
        <v>9.75</v>
      </c>
      <c r="BB107" s="9">
        <v>0</v>
      </c>
      <c r="BC107" s="9">
        <v>0</v>
      </c>
      <c r="BD107" s="9">
        <v>0</v>
      </c>
      <c r="BE107" s="9">
        <v>0</v>
      </c>
      <c r="BF107" s="9">
        <v>3606853</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94078</v>
      </c>
      <c r="CI107" s="9">
        <v>0</v>
      </c>
      <c r="CJ107" s="9">
        <v>4</v>
      </c>
      <c r="CK107" s="9">
        <v>0</v>
      </c>
      <c r="CL107" s="9">
        <v>0</v>
      </c>
      <c r="CM107" s="9">
        <v>0</v>
      </c>
      <c r="CN107" s="9">
        <v>0</v>
      </c>
      <c r="CO107" s="9">
        <v>0</v>
      </c>
      <c r="CP107" s="9">
        <v>0</v>
      </c>
      <c r="CQ107" s="9">
        <v>0</v>
      </c>
      <c r="CR107" s="9">
        <v>439.96700000000004</v>
      </c>
      <c r="CS107" s="9">
        <v>0</v>
      </c>
      <c r="CT107" s="9">
        <v>0</v>
      </c>
      <c r="CU107" s="9">
        <v>0</v>
      </c>
      <c r="CV107" s="9">
        <v>0</v>
      </c>
      <c r="CW107" s="9">
        <v>0</v>
      </c>
      <c r="CX107" s="9">
        <v>0</v>
      </c>
      <c r="CY107" s="9">
        <v>0</v>
      </c>
      <c r="CZ107" s="9">
        <v>0</v>
      </c>
      <c r="DA107" s="9">
        <v>1</v>
      </c>
      <c r="DB107" s="9">
        <v>2964584</v>
      </c>
      <c r="DC107" s="9">
        <v>0</v>
      </c>
      <c r="DD107" s="9">
        <v>0</v>
      </c>
      <c r="DE107" s="9">
        <v>572387</v>
      </c>
      <c r="DF107" s="9">
        <v>572387</v>
      </c>
      <c r="DG107" s="9">
        <v>436.67</v>
      </c>
      <c r="DH107" s="9">
        <v>0</v>
      </c>
      <c r="DI107" s="9">
        <v>0</v>
      </c>
      <c r="DJ107" s="9">
        <v>0</v>
      </c>
      <c r="DK107" s="9">
        <v>5392</v>
      </c>
      <c r="DL107" s="9">
        <v>0</v>
      </c>
      <c r="DM107" s="9">
        <v>168912</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22.084</v>
      </c>
      <c r="ED107" s="9">
        <v>159212</v>
      </c>
      <c r="EE107" s="9">
        <v>0</v>
      </c>
      <c r="EF107" s="9">
        <v>0</v>
      </c>
      <c r="EG107" s="9">
        <v>0</v>
      </c>
      <c r="EH107" s="9">
        <v>9700</v>
      </c>
      <c r="EI107" s="9">
        <v>0</v>
      </c>
      <c r="EJ107" s="9">
        <v>0</v>
      </c>
      <c r="EK107" s="9">
        <v>0</v>
      </c>
      <c r="EL107" s="9">
        <v>0</v>
      </c>
      <c r="EM107" s="9">
        <v>0</v>
      </c>
      <c r="EN107" s="9">
        <v>0.29600000000000004</v>
      </c>
      <c r="EO107" s="9">
        <v>0</v>
      </c>
      <c r="EP107" s="9">
        <v>0</v>
      </c>
      <c r="EQ107" s="9">
        <v>0.29600000000000004</v>
      </c>
      <c r="ER107" s="9">
        <v>0</v>
      </c>
      <c r="ES107" s="9">
        <v>1.48</v>
      </c>
      <c r="ET107" s="9">
        <v>4875</v>
      </c>
      <c r="EU107" s="9">
        <v>140663</v>
      </c>
      <c r="EV107" s="9">
        <v>0</v>
      </c>
      <c r="EW107" s="9">
        <v>0</v>
      </c>
      <c r="EX107" s="9">
        <v>0</v>
      </c>
      <c r="EY107" s="9">
        <v>0</v>
      </c>
      <c r="EZ107" s="9">
        <v>3565220</v>
      </c>
      <c r="FA107" s="9">
        <v>0</v>
      </c>
      <c r="FB107" s="9">
        <v>3705883</v>
      </c>
      <c r="FC107" s="9">
        <v>0.97327799999999998</v>
      </c>
      <c r="FD107" s="9">
        <v>0</v>
      </c>
      <c r="FE107" s="9">
        <v>549114</v>
      </c>
      <c r="FF107" s="9">
        <v>123742</v>
      </c>
      <c r="FG107" s="9">
        <v>6.1239999999999996E-2</v>
      </c>
      <c r="FH107" s="9">
        <v>5.4803999999999999E-2</v>
      </c>
      <c r="FI107" s="9">
        <v>0</v>
      </c>
      <c r="FJ107" s="9">
        <v>0</v>
      </c>
      <c r="FK107" s="9">
        <v>706.69600000000003</v>
      </c>
      <c r="FL107" s="9">
        <v>4472817</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4378739</v>
      </c>
      <c r="GQ107" s="9">
        <v>4378739</v>
      </c>
      <c r="GR107" s="9">
        <v>0</v>
      </c>
      <c r="GS107" s="9">
        <v>0</v>
      </c>
      <c r="GT107" s="9">
        <v>0</v>
      </c>
      <c r="GU107" s="9">
        <v>0</v>
      </c>
      <c r="GV107" s="9">
        <v>0</v>
      </c>
      <c r="GW107" s="9">
        <v>0</v>
      </c>
      <c r="GX107" s="9">
        <v>0</v>
      </c>
      <c r="GY107" s="9">
        <v>0</v>
      </c>
      <c r="GZ107" s="9">
        <v>0</v>
      </c>
      <c r="HA107" s="9">
        <v>0</v>
      </c>
      <c r="HB107" s="9">
        <v>260786259</v>
      </c>
      <c r="HC107" s="9">
        <v>5.0923999999999997E-2</v>
      </c>
      <c r="HD107" s="9">
        <v>89203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32469</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row>
    <row r="108" spans="1:292" x14ac:dyDescent="0.25">
      <c r="A108" s="9">
        <v>101849</v>
      </c>
      <c r="B108" s="9">
        <v>32570</v>
      </c>
      <c r="C108" s="9">
        <v>35</v>
      </c>
      <c r="D108" s="9">
        <v>2022</v>
      </c>
      <c r="E108" s="9">
        <v>5392</v>
      </c>
      <c r="F108" s="9">
        <v>0</v>
      </c>
      <c r="G108" s="9">
        <v>228.87700000000001</v>
      </c>
      <c r="H108" s="9">
        <v>227.76400000000001</v>
      </c>
      <c r="I108" s="9">
        <v>227.76400000000001</v>
      </c>
      <c r="J108" s="9">
        <v>228.87700000000001</v>
      </c>
      <c r="K108" s="9">
        <v>0</v>
      </c>
      <c r="L108" s="9">
        <v>6554</v>
      </c>
      <c r="M108" s="9">
        <v>0</v>
      </c>
      <c r="N108" s="9">
        <v>0</v>
      </c>
      <c r="O108" s="9">
        <v>0</v>
      </c>
      <c r="P108" s="9">
        <v>222.72200000000001</v>
      </c>
      <c r="Q108" s="9">
        <v>0</v>
      </c>
      <c r="R108" s="9">
        <v>71207</v>
      </c>
      <c r="S108" s="9">
        <v>319.71300000000002</v>
      </c>
      <c r="T108" s="9">
        <v>0</v>
      </c>
      <c r="U108" s="9">
        <v>71207</v>
      </c>
      <c r="V108" s="9">
        <v>78.621000000000009</v>
      </c>
      <c r="W108" s="9">
        <v>51528</v>
      </c>
      <c r="X108" s="9">
        <v>51528</v>
      </c>
      <c r="Y108" s="9">
        <v>0</v>
      </c>
      <c r="Z108" s="9">
        <v>0</v>
      </c>
      <c r="AA108" s="9">
        <v>1</v>
      </c>
      <c r="AB108" s="9">
        <v>1</v>
      </c>
      <c r="AC108" s="9">
        <v>0</v>
      </c>
      <c r="AD108" s="9" t="s">
        <v>314</v>
      </c>
      <c r="AE108" s="9">
        <v>0</v>
      </c>
      <c r="AF108" s="9">
        <v>0</v>
      </c>
      <c r="AG108" s="9">
        <v>0</v>
      </c>
      <c r="AH108" s="9">
        <v>0</v>
      </c>
      <c r="AI108" s="9">
        <v>0</v>
      </c>
      <c r="AJ108" s="9">
        <v>5104</v>
      </c>
      <c r="AK108" s="9" t="s">
        <v>651</v>
      </c>
      <c r="AL108" s="9" t="s">
        <v>14</v>
      </c>
      <c r="AM108" s="9">
        <v>0</v>
      </c>
      <c r="AN108" s="9">
        <v>0</v>
      </c>
      <c r="AO108" s="9">
        <v>0</v>
      </c>
      <c r="AP108" s="9">
        <v>0</v>
      </c>
      <c r="AQ108" s="9">
        <v>0</v>
      </c>
      <c r="AR108" s="9">
        <v>0</v>
      </c>
      <c r="AS108" s="9">
        <v>0</v>
      </c>
      <c r="AT108" s="9">
        <v>0</v>
      </c>
      <c r="AU108" s="9">
        <v>0</v>
      </c>
      <c r="AV108" s="9">
        <v>159860</v>
      </c>
      <c r="AW108" s="9">
        <v>2221976</v>
      </c>
      <c r="AX108" s="9">
        <v>2170160</v>
      </c>
      <c r="AY108" s="9">
        <v>2404343</v>
      </c>
      <c r="AZ108" s="9">
        <v>71207</v>
      </c>
      <c r="BA108" s="9">
        <v>13.417</v>
      </c>
      <c r="BB108" s="9">
        <v>0</v>
      </c>
      <c r="BC108" s="9">
        <v>0</v>
      </c>
      <c r="BD108" s="9">
        <v>0</v>
      </c>
      <c r="BE108" s="9">
        <v>0</v>
      </c>
      <c r="BF108" s="9">
        <v>1846257</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51816</v>
      </c>
      <c r="CI108" s="9">
        <v>0</v>
      </c>
      <c r="CJ108" s="9">
        <v>4</v>
      </c>
      <c r="CK108" s="9">
        <v>0</v>
      </c>
      <c r="CL108" s="9">
        <v>0</v>
      </c>
      <c r="CM108" s="9">
        <v>0</v>
      </c>
      <c r="CN108" s="9">
        <v>0</v>
      </c>
      <c r="CO108" s="9">
        <v>0</v>
      </c>
      <c r="CP108" s="9">
        <v>0</v>
      </c>
      <c r="CQ108" s="9">
        <v>0</v>
      </c>
      <c r="CR108" s="9">
        <v>222.72200000000001</v>
      </c>
      <c r="CS108" s="9">
        <v>0</v>
      </c>
      <c r="CT108" s="9">
        <v>0</v>
      </c>
      <c r="CU108" s="9">
        <v>0</v>
      </c>
      <c r="CV108" s="9">
        <v>0</v>
      </c>
      <c r="CW108" s="9">
        <v>0</v>
      </c>
      <c r="CX108" s="9">
        <v>0</v>
      </c>
      <c r="CY108" s="9">
        <v>0</v>
      </c>
      <c r="CZ108" s="9">
        <v>0</v>
      </c>
      <c r="DA108" s="9">
        <v>1</v>
      </c>
      <c r="DB108" s="9">
        <v>1492765</v>
      </c>
      <c r="DC108" s="9">
        <v>0</v>
      </c>
      <c r="DD108" s="9">
        <v>0</v>
      </c>
      <c r="DE108" s="9">
        <v>321146</v>
      </c>
      <c r="DF108" s="9">
        <v>321146</v>
      </c>
      <c r="DG108" s="9">
        <v>245</v>
      </c>
      <c r="DH108" s="9">
        <v>0</v>
      </c>
      <c r="DI108" s="9">
        <v>0</v>
      </c>
      <c r="DJ108" s="9">
        <v>0</v>
      </c>
      <c r="DK108" s="9">
        <v>5392</v>
      </c>
      <c r="DL108" s="9">
        <v>0</v>
      </c>
      <c r="DM108" s="9">
        <v>31509</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1.006</v>
      </c>
      <c r="ED108" s="9">
        <v>7253</v>
      </c>
      <c r="EE108" s="9">
        <v>0</v>
      </c>
      <c r="EF108" s="9">
        <v>0</v>
      </c>
      <c r="EG108" s="9">
        <v>0</v>
      </c>
      <c r="EH108" s="9">
        <v>24256</v>
      </c>
      <c r="EI108" s="9">
        <v>0</v>
      </c>
      <c r="EJ108" s="9">
        <v>0</v>
      </c>
      <c r="EK108" s="9">
        <v>0.93200000000000005</v>
      </c>
      <c r="EL108" s="9">
        <v>0</v>
      </c>
      <c r="EM108" s="9">
        <v>0</v>
      </c>
      <c r="EN108" s="9">
        <v>0.18100000000000002</v>
      </c>
      <c r="EO108" s="9">
        <v>0</v>
      </c>
      <c r="EP108" s="9">
        <v>0</v>
      </c>
      <c r="EQ108" s="9">
        <v>1.113</v>
      </c>
      <c r="ER108" s="9">
        <v>0</v>
      </c>
      <c r="ES108" s="9">
        <v>3.7010000000000001</v>
      </c>
      <c r="ET108" s="9">
        <v>6709</v>
      </c>
      <c r="EU108" s="9">
        <v>71207</v>
      </c>
      <c r="EV108" s="9">
        <v>0</v>
      </c>
      <c r="EW108" s="9">
        <v>0</v>
      </c>
      <c r="EX108" s="9">
        <v>0</v>
      </c>
      <c r="EY108" s="9">
        <v>0</v>
      </c>
      <c r="EZ108" s="9">
        <v>1825741</v>
      </c>
      <c r="FA108" s="9">
        <v>0</v>
      </c>
      <c r="FB108" s="9">
        <v>1896948</v>
      </c>
      <c r="FC108" s="9">
        <v>0.97327799999999998</v>
      </c>
      <c r="FD108" s="9">
        <v>0</v>
      </c>
      <c r="FE108" s="9">
        <v>281078</v>
      </c>
      <c r="FF108" s="9">
        <v>63341</v>
      </c>
      <c r="FG108" s="9">
        <v>6.1239999999999996E-2</v>
      </c>
      <c r="FH108" s="9">
        <v>5.4803999999999999E-2</v>
      </c>
      <c r="FI108" s="9">
        <v>0</v>
      </c>
      <c r="FJ108" s="9">
        <v>0</v>
      </c>
      <c r="FK108" s="9">
        <v>361.74</v>
      </c>
      <c r="FL108" s="9">
        <v>2293183</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2241367</v>
      </c>
      <c r="GQ108" s="9">
        <v>2241367</v>
      </c>
      <c r="GR108" s="9">
        <v>0</v>
      </c>
      <c r="GS108" s="9">
        <v>0</v>
      </c>
      <c r="GT108" s="9">
        <v>0</v>
      </c>
      <c r="GU108" s="9">
        <v>0</v>
      </c>
      <c r="GV108" s="9">
        <v>0</v>
      </c>
      <c r="GW108" s="9">
        <v>0</v>
      </c>
      <c r="GX108" s="9">
        <v>0</v>
      </c>
      <c r="GY108" s="9">
        <v>0</v>
      </c>
      <c r="GZ108" s="9">
        <v>0</v>
      </c>
      <c r="HA108" s="9">
        <v>0</v>
      </c>
      <c r="HB108" s="9">
        <v>260786259</v>
      </c>
      <c r="HC108" s="9">
        <v>5.0923999999999997E-2</v>
      </c>
      <c r="HD108" s="9">
        <v>45107</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32469</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row>
    <row r="109" spans="1:292" x14ac:dyDescent="0.25">
      <c r="A109" s="9">
        <v>101853</v>
      </c>
      <c r="B109" s="9">
        <v>32570</v>
      </c>
      <c r="C109" s="9">
        <v>35</v>
      </c>
      <c r="D109" s="9">
        <v>2022</v>
      </c>
      <c r="E109" s="9">
        <v>5392</v>
      </c>
      <c r="F109" s="9">
        <v>0</v>
      </c>
      <c r="G109" s="9">
        <v>1240.347</v>
      </c>
      <c r="H109" s="9">
        <v>1216.2570000000001</v>
      </c>
      <c r="I109" s="9">
        <v>1216.2570000000001</v>
      </c>
      <c r="J109" s="9">
        <v>1240.347</v>
      </c>
      <c r="K109" s="9">
        <v>0</v>
      </c>
      <c r="L109" s="9">
        <v>6554</v>
      </c>
      <c r="M109" s="9">
        <v>0</v>
      </c>
      <c r="N109" s="9">
        <v>0</v>
      </c>
      <c r="O109" s="9">
        <v>0</v>
      </c>
      <c r="P109" s="9">
        <v>1271.059</v>
      </c>
      <c r="Q109" s="9">
        <v>0</v>
      </c>
      <c r="R109" s="9">
        <v>406374</v>
      </c>
      <c r="S109" s="9">
        <v>319.71300000000002</v>
      </c>
      <c r="T109" s="9">
        <v>0</v>
      </c>
      <c r="U109" s="9">
        <v>406374</v>
      </c>
      <c r="V109" s="9">
        <v>688.44400000000007</v>
      </c>
      <c r="W109" s="9">
        <v>451206</v>
      </c>
      <c r="X109" s="9">
        <v>451206</v>
      </c>
      <c r="Y109" s="9">
        <v>0</v>
      </c>
      <c r="Z109" s="9">
        <v>0</v>
      </c>
      <c r="AA109" s="9">
        <v>1</v>
      </c>
      <c r="AB109" s="9">
        <v>1</v>
      </c>
      <c r="AC109" s="9">
        <v>0</v>
      </c>
      <c r="AD109" s="9" t="s">
        <v>314</v>
      </c>
      <c r="AE109" s="9">
        <v>0</v>
      </c>
      <c r="AF109" s="9">
        <v>0</v>
      </c>
      <c r="AG109" s="9">
        <v>0</v>
      </c>
      <c r="AH109" s="9">
        <v>0</v>
      </c>
      <c r="AI109" s="9">
        <v>0</v>
      </c>
      <c r="AJ109" s="9">
        <v>5104</v>
      </c>
      <c r="AK109" s="9" t="s">
        <v>651</v>
      </c>
      <c r="AL109" s="9" t="s">
        <v>98</v>
      </c>
      <c r="AM109" s="9">
        <v>0</v>
      </c>
      <c r="AN109" s="9">
        <v>0</v>
      </c>
      <c r="AO109" s="9">
        <v>0</v>
      </c>
      <c r="AP109" s="9">
        <v>0</v>
      </c>
      <c r="AQ109" s="9">
        <v>0</v>
      </c>
      <c r="AR109" s="9">
        <v>0</v>
      </c>
      <c r="AS109" s="9">
        <v>0</v>
      </c>
      <c r="AT109" s="9">
        <v>0</v>
      </c>
      <c r="AU109" s="9">
        <v>0</v>
      </c>
      <c r="AV109" s="9">
        <v>285156</v>
      </c>
      <c r="AW109" s="9">
        <v>13595430</v>
      </c>
      <c r="AX109" s="9">
        <v>13350985</v>
      </c>
      <c r="AY109" s="9">
        <v>14547578</v>
      </c>
      <c r="AZ109" s="9">
        <v>406374</v>
      </c>
      <c r="BA109" s="9">
        <v>0</v>
      </c>
      <c r="BB109" s="9">
        <v>0</v>
      </c>
      <c r="BC109" s="9">
        <v>0</v>
      </c>
      <c r="BD109" s="9">
        <v>0</v>
      </c>
      <c r="BE109" s="9">
        <v>0</v>
      </c>
      <c r="BF109" s="9">
        <v>11332203</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244445</v>
      </c>
      <c r="CI109" s="9">
        <v>0</v>
      </c>
      <c r="CJ109" s="9">
        <v>4</v>
      </c>
      <c r="CK109" s="9">
        <v>0</v>
      </c>
      <c r="CL109" s="9">
        <v>0</v>
      </c>
      <c r="CM109" s="9">
        <v>0</v>
      </c>
      <c r="CN109" s="9">
        <v>0</v>
      </c>
      <c r="CO109" s="9">
        <v>0</v>
      </c>
      <c r="CP109" s="9">
        <v>0</v>
      </c>
      <c r="CQ109" s="9">
        <v>0</v>
      </c>
      <c r="CR109" s="9">
        <v>1271.059</v>
      </c>
      <c r="CS109" s="9">
        <v>0</v>
      </c>
      <c r="CT109" s="9">
        <v>0</v>
      </c>
      <c r="CU109" s="9">
        <v>0</v>
      </c>
      <c r="CV109" s="9">
        <v>0</v>
      </c>
      <c r="CW109" s="9">
        <v>0</v>
      </c>
      <c r="CX109" s="9">
        <v>0</v>
      </c>
      <c r="CY109" s="9">
        <v>0</v>
      </c>
      <c r="CZ109" s="9">
        <v>0</v>
      </c>
      <c r="DA109" s="9">
        <v>1</v>
      </c>
      <c r="DB109" s="9">
        <v>7971348</v>
      </c>
      <c r="DC109" s="9">
        <v>0</v>
      </c>
      <c r="DD109" s="9">
        <v>0</v>
      </c>
      <c r="DE109" s="9">
        <v>2596695</v>
      </c>
      <c r="DF109" s="9">
        <v>2596695</v>
      </c>
      <c r="DG109" s="9">
        <v>1981</v>
      </c>
      <c r="DH109" s="9">
        <v>0</v>
      </c>
      <c r="DI109" s="9">
        <v>0</v>
      </c>
      <c r="DJ109" s="9">
        <v>0</v>
      </c>
      <c r="DK109" s="9">
        <v>5392</v>
      </c>
      <c r="DL109" s="9">
        <v>0</v>
      </c>
      <c r="DM109" s="9">
        <v>624093</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14.012</v>
      </c>
      <c r="ED109" s="9">
        <v>101018</v>
      </c>
      <c r="EE109" s="9">
        <v>0</v>
      </c>
      <c r="EF109" s="9">
        <v>0</v>
      </c>
      <c r="EG109" s="9">
        <v>0</v>
      </c>
      <c r="EH109" s="9">
        <v>523075</v>
      </c>
      <c r="EI109" s="9">
        <v>0</v>
      </c>
      <c r="EJ109" s="9">
        <v>0</v>
      </c>
      <c r="EK109" s="9">
        <v>19.850000000000001</v>
      </c>
      <c r="EL109" s="9">
        <v>0</v>
      </c>
      <c r="EM109" s="9">
        <v>0.47000000000000003</v>
      </c>
      <c r="EN109" s="9">
        <v>3.77</v>
      </c>
      <c r="EO109" s="9">
        <v>0</v>
      </c>
      <c r="EP109" s="9">
        <v>0</v>
      </c>
      <c r="EQ109" s="9">
        <v>24.09</v>
      </c>
      <c r="ER109" s="9">
        <v>0</v>
      </c>
      <c r="ES109" s="9">
        <v>79.81</v>
      </c>
      <c r="ET109" s="9">
        <v>0</v>
      </c>
      <c r="EU109" s="9">
        <v>406374</v>
      </c>
      <c r="EV109" s="9">
        <v>0</v>
      </c>
      <c r="EW109" s="9">
        <v>0</v>
      </c>
      <c r="EX109" s="9">
        <v>0</v>
      </c>
      <c r="EY109" s="9">
        <v>0</v>
      </c>
      <c r="EZ109" s="9">
        <v>11236968</v>
      </c>
      <c r="FA109" s="9">
        <v>0</v>
      </c>
      <c r="FB109" s="9">
        <v>11643342</v>
      </c>
      <c r="FC109" s="9">
        <v>0.97327799999999998</v>
      </c>
      <c r="FD109" s="9">
        <v>0</v>
      </c>
      <c r="FE109" s="9">
        <v>1725237</v>
      </c>
      <c r="FF109" s="9">
        <v>388780</v>
      </c>
      <c r="FG109" s="9">
        <v>6.1239999999999996E-2</v>
      </c>
      <c r="FH109" s="9">
        <v>5.4803999999999999E-2</v>
      </c>
      <c r="FI109" s="9">
        <v>0</v>
      </c>
      <c r="FJ109" s="9">
        <v>0</v>
      </c>
      <c r="FK109" s="9">
        <v>2220.335</v>
      </c>
      <c r="FL109" s="9">
        <v>14001804</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13757359</v>
      </c>
      <c r="GQ109" s="9">
        <v>13757359</v>
      </c>
      <c r="GR109" s="9">
        <v>0</v>
      </c>
      <c r="GS109" s="9">
        <v>0</v>
      </c>
      <c r="GT109" s="9">
        <v>0</v>
      </c>
      <c r="GU109" s="9">
        <v>0</v>
      </c>
      <c r="GV109" s="9">
        <v>0</v>
      </c>
      <c r="GW109" s="9">
        <v>0</v>
      </c>
      <c r="GX109" s="9">
        <v>0</v>
      </c>
      <c r="GY109" s="9">
        <v>0</v>
      </c>
      <c r="GZ109" s="9">
        <v>0</v>
      </c>
      <c r="HA109" s="9">
        <v>0</v>
      </c>
      <c r="HB109" s="9">
        <v>260786259</v>
      </c>
      <c r="HC109" s="9">
        <v>5.0923999999999997E-2</v>
      </c>
      <c r="HD109" s="9">
        <v>244445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32469</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row>
    <row r="110" spans="1:292" x14ac:dyDescent="0.25">
      <c r="A110" s="9">
        <v>101855</v>
      </c>
      <c r="B110" s="9">
        <v>32570</v>
      </c>
      <c r="C110" s="9">
        <v>35</v>
      </c>
      <c r="D110" s="9">
        <v>2022</v>
      </c>
      <c r="E110" s="9">
        <v>5392</v>
      </c>
      <c r="F110" s="9">
        <v>0</v>
      </c>
      <c r="G110" s="9">
        <v>226.09</v>
      </c>
      <c r="H110" s="9">
        <v>224.006</v>
      </c>
      <c r="I110" s="9">
        <v>224.006</v>
      </c>
      <c r="J110" s="9">
        <v>226.09</v>
      </c>
      <c r="K110" s="9">
        <v>0</v>
      </c>
      <c r="L110" s="9">
        <v>6554</v>
      </c>
      <c r="M110" s="9">
        <v>0</v>
      </c>
      <c r="N110" s="9">
        <v>0</v>
      </c>
      <c r="O110" s="9">
        <v>0</v>
      </c>
      <c r="P110" s="9">
        <v>242.96700000000001</v>
      </c>
      <c r="Q110" s="9">
        <v>0</v>
      </c>
      <c r="R110" s="9">
        <v>77680</v>
      </c>
      <c r="S110" s="9">
        <v>319.71300000000002</v>
      </c>
      <c r="T110" s="9">
        <v>0</v>
      </c>
      <c r="U110" s="9">
        <v>77680</v>
      </c>
      <c r="V110" s="9">
        <v>1.5090000000000001</v>
      </c>
      <c r="W110" s="9">
        <v>989</v>
      </c>
      <c r="X110" s="9">
        <v>989</v>
      </c>
      <c r="Y110" s="9">
        <v>0</v>
      </c>
      <c r="Z110" s="9">
        <v>0</v>
      </c>
      <c r="AA110" s="9">
        <v>1</v>
      </c>
      <c r="AB110" s="9">
        <v>1</v>
      </c>
      <c r="AC110" s="9">
        <v>0</v>
      </c>
      <c r="AD110" s="9" t="s">
        <v>314</v>
      </c>
      <c r="AE110" s="9">
        <v>0</v>
      </c>
      <c r="AF110" s="9">
        <v>0</v>
      </c>
      <c r="AG110" s="9">
        <v>0</v>
      </c>
      <c r="AH110" s="9">
        <v>0</v>
      </c>
      <c r="AI110" s="9">
        <v>0</v>
      </c>
      <c r="AJ110" s="9">
        <v>5104</v>
      </c>
      <c r="AK110" s="9" t="s">
        <v>651</v>
      </c>
      <c r="AL110" s="9" t="s">
        <v>2</v>
      </c>
      <c r="AM110" s="9">
        <v>0</v>
      </c>
      <c r="AN110" s="9">
        <v>0</v>
      </c>
      <c r="AO110" s="9">
        <v>0</v>
      </c>
      <c r="AP110" s="9">
        <v>0</v>
      </c>
      <c r="AQ110" s="9">
        <v>0</v>
      </c>
      <c r="AR110" s="9">
        <v>0</v>
      </c>
      <c r="AS110" s="9">
        <v>0</v>
      </c>
      <c r="AT110" s="9">
        <v>0</v>
      </c>
      <c r="AU110" s="9">
        <v>0</v>
      </c>
      <c r="AV110" s="9">
        <v>94698</v>
      </c>
      <c r="AW110" s="9">
        <v>2167829</v>
      </c>
      <c r="AX110" s="9">
        <v>2123272</v>
      </c>
      <c r="AY110" s="9">
        <v>2369607</v>
      </c>
      <c r="AZ110" s="9">
        <v>77680</v>
      </c>
      <c r="BA110" s="9">
        <v>0</v>
      </c>
      <c r="BB110" s="9">
        <v>0</v>
      </c>
      <c r="BC110" s="9">
        <v>0</v>
      </c>
      <c r="BD110" s="9">
        <v>0</v>
      </c>
      <c r="BE110" s="9">
        <v>0</v>
      </c>
      <c r="BF110" s="9">
        <v>1808865</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44557</v>
      </c>
      <c r="CI110" s="9">
        <v>0</v>
      </c>
      <c r="CJ110" s="9">
        <v>4</v>
      </c>
      <c r="CK110" s="9">
        <v>0</v>
      </c>
      <c r="CL110" s="9">
        <v>0</v>
      </c>
      <c r="CM110" s="9">
        <v>0</v>
      </c>
      <c r="CN110" s="9">
        <v>0</v>
      </c>
      <c r="CO110" s="9">
        <v>0</v>
      </c>
      <c r="CP110" s="9">
        <v>0</v>
      </c>
      <c r="CQ110" s="9">
        <v>0</v>
      </c>
      <c r="CR110" s="9">
        <v>242.96700000000001</v>
      </c>
      <c r="CS110" s="9">
        <v>0</v>
      </c>
      <c r="CT110" s="9">
        <v>0</v>
      </c>
      <c r="CU110" s="9">
        <v>0</v>
      </c>
      <c r="CV110" s="9">
        <v>0</v>
      </c>
      <c r="CW110" s="9">
        <v>0</v>
      </c>
      <c r="CX110" s="9">
        <v>0</v>
      </c>
      <c r="CY110" s="9">
        <v>0</v>
      </c>
      <c r="CZ110" s="9">
        <v>0</v>
      </c>
      <c r="DA110" s="9">
        <v>1</v>
      </c>
      <c r="DB110" s="9">
        <v>1468135</v>
      </c>
      <c r="DC110" s="9">
        <v>0</v>
      </c>
      <c r="DD110" s="9">
        <v>0</v>
      </c>
      <c r="DE110" s="9">
        <v>337531</v>
      </c>
      <c r="DF110" s="9">
        <v>337531</v>
      </c>
      <c r="DG110" s="9">
        <v>257.5</v>
      </c>
      <c r="DH110" s="9">
        <v>0</v>
      </c>
      <c r="DI110" s="9">
        <v>0</v>
      </c>
      <c r="DJ110" s="9">
        <v>0</v>
      </c>
      <c r="DK110" s="9">
        <v>5392</v>
      </c>
      <c r="DL110" s="9">
        <v>0</v>
      </c>
      <c r="DM110" s="9">
        <v>51875</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0.61</v>
      </c>
      <c r="ED110" s="9">
        <v>4398</v>
      </c>
      <c r="EE110" s="9">
        <v>0</v>
      </c>
      <c r="EF110" s="9">
        <v>0</v>
      </c>
      <c r="EG110" s="9">
        <v>0</v>
      </c>
      <c r="EH110" s="9">
        <v>47477</v>
      </c>
      <c r="EI110" s="9">
        <v>0</v>
      </c>
      <c r="EJ110" s="9">
        <v>0</v>
      </c>
      <c r="EK110" s="9">
        <v>1.5880000000000001</v>
      </c>
      <c r="EL110" s="9">
        <v>0</v>
      </c>
      <c r="EM110" s="9">
        <v>0</v>
      </c>
      <c r="EN110" s="9">
        <v>0.496</v>
      </c>
      <c r="EO110" s="9">
        <v>0</v>
      </c>
      <c r="EP110" s="9">
        <v>0</v>
      </c>
      <c r="EQ110" s="9">
        <v>2.0840000000000001</v>
      </c>
      <c r="ER110" s="9">
        <v>0</v>
      </c>
      <c r="ES110" s="9">
        <v>7.2440000000000007</v>
      </c>
      <c r="ET110" s="9">
        <v>0</v>
      </c>
      <c r="EU110" s="9">
        <v>77680</v>
      </c>
      <c r="EV110" s="9">
        <v>0</v>
      </c>
      <c r="EW110" s="9">
        <v>0</v>
      </c>
      <c r="EX110" s="9">
        <v>0</v>
      </c>
      <c r="EY110" s="9">
        <v>0</v>
      </c>
      <c r="EZ110" s="9">
        <v>1785829</v>
      </c>
      <c r="FA110" s="9">
        <v>0</v>
      </c>
      <c r="FB110" s="9">
        <v>1863509</v>
      </c>
      <c r="FC110" s="9">
        <v>0.97327799999999998</v>
      </c>
      <c r="FD110" s="9">
        <v>0</v>
      </c>
      <c r="FE110" s="9">
        <v>275385</v>
      </c>
      <c r="FF110" s="9">
        <v>62058</v>
      </c>
      <c r="FG110" s="9">
        <v>6.1239999999999996E-2</v>
      </c>
      <c r="FH110" s="9">
        <v>5.4803999999999999E-2</v>
      </c>
      <c r="FI110" s="9">
        <v>0</v>
      </c>
      <c r="FJ110" s="9">
        <v>0</v>
      </c>
      <c r="FK110" s="9">
        <v>354.41400000000004</v>
      </c>
      <c r="FL110" s="9">
        <v>2245509</v>
      </c>
      <c r="FM110" s="9">
        <v>0</v>
      </c>
      <c r="FN110" s="9">
        <v>0</v>
      </c>
      <c r="FO110" s="9">
        <v>4979</v>
      </c>
      <c r="FP110" s="9">
        <v>0</v>
      </c>
      <c r="FQ110" s="9">
        <v>4979</v>
      </c>
      <c r="FR110" s="9">
        <v>4979</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2200952</v>
      </c>
      <c r="GQ110" s="9">
        <v>2200952</v>
      </c>
      <c r="GR110" s="9">
        <v>0</v>
      </c>
      <c r="GS110" s="9">
        <v>0</v>
      </c>
      <c r="GT110" s="9">
        <v>0</v>
      </c>
      <c r="GU110" s="9">
        <v>0</v>
      </c>
      <c r="GV110" s="9">
        <v>0</v>
      </c>
      <c r="GW110" s="9">
        <v>0</v>
      </c>
      <c r="GX110" s="9">
        <v>0</v>
      </c>
      <c r="GY110" s="9">
        <v>0</v>
      </c>
      <c r="GZ110" s="9">
        <v>0</v>
      </c>
      <c r="HA110" s="9">
        <v>0</v>
      </c>
      <c r="HB110" s="9">
        <v>260786259</v>
      </c>
      <c r="HC110" s="9">
        <v>5.0923999999999997E-2</v>
      </c>
      <c r="HD110" s="9">
        <v>44557</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32469</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row>
    <row r="111" spans="1:292" x14ac:dyDescent="0.25">
      <c r="A111" s="9">
        <v>101856</v>
      </c>
      <c r="B111" s="9">
        <v>32570</v>
      </c>
      <c r="C111" s="9">
        <v>35</v>
      </c>
      <c r="D111" s="9">
        <v>2022</v>
      </c>
      <c r="E111" s="9">
        <v>5392</v>
      </c>
      <c r="F111" s="9">
        <v>0</v>
      </c>
      <c r="G111" s="9">
        <v>604.05799999999999</v>
      </c>
      <c r="H111" s="9">
        <v>600.36300000000006</v>
      </c>
      <c r="I111" s="9">
        <v>600.36300000000006</v>
      </c>
      <c r="J111" s="9">
        <v>604.05799999999999</v>
      </c>
      <c r="K111" s="9">
        <v>0</v>
      </c>
      <c r="L111" s="9">
        <v>6554</v>
      </c>
      <c r="M111" s="9">
        <v>0</v>
      </c>
      <c r="N111" s="9">
        <v>0</v>
      </c>
      <c r="O111" s="9">
        <v>0</v>
      </c>
      <c r="P111" s="9">
        <v>573.64300000000003</v>
      </c>
      <c r="Q111" s="9">
        <v>0</v>
      </c>
      <c r="R111" s="9">
        <v>183401</v>
      </c>
      <c r="S111" s="9">
        <v>319.71300000000002</v>
      </c>
      <c r="T111" s="9">
        <v>0</v>
      </c>
      <c r="U111" s="9">
        <v>183401</v>
      </c>
      <c r="V111" s="9">
        <v>523.36099999999999</v>
      </c>
      <c r="W111" s="9">
        <v>343011</v>
      </c>
      <c r="X111" s="9">
        <v>343011</v>
      </c>
      <c r="Y111" s="9">
        <v>0</v>
      </c>
      <c r="Z111" s="9">
        <v>0</v>
      </c>
      <c r="AA111" s="9">
        <v>1</v>
      </c>
      <c r="AB111" s="9">
        <v>1</v>
      </c>
      <c r="AC111" s="9">
        <v>0</v>
      </c>
      <c r="AD111" s="9" t="s">
        <v>314</v>
      </c>
      <c r="AE111" s="9">
        <v>0</v>
      </c>
      <c r="AF111" s="9">
        <v>0</v>
      </c>
      <c r="AG111" s="9">
        <v>0</v>
      </c>
      <c r="AH111" s="9">
        <v>0</v>
      </c>
      <c r="AI111" s="9">
        <v>0</v>
      </c>
      <c r="AJ111" s="9">
        <v>5104</v>
      </c>
      <c r="AK111" s="9" t="s">
        <v>651</v>
      </c>
      <c r="AL111" s="9" t="s">
        <v>33</v>
      </c>
      <c r="AM111" s="9">
        <v>0</v>
      </c>
      <c r="AN111" s="9">
        <v>0</v>
      </c>
      <c r="AO111" s="9">
        <v>0</v>
      </c>
      <c r="AP111" s="9">
        <v>0</v>
      </c>
      <c r="AQ111" s="9">
        <v>0</v>
      </c>
      <c r="AR111" s="9">
        <v>0</v>
      </c>
      <c r="AS111" s="9">
        <v>0</v>
      </c>
      <c r="AT111" s="9">
        <v>0</v>
      </c>
      <c r="AU111" s="9">
        <v>0</v>
      </c>
      <c r="AV111" s="9">
        <v>857942</v>
      </c>
      <c r="AW111" s="9">
        <v>6107146</v>
      </c>
      <c r="AX111" s="9">
        <v>5988100</v>
      </c>
      <c r="AY111" s="9">
        <v>7577672</v>
      </c>
      <c r="AZ111" s="9">
        <v>183401</v>
      </c>
      <c r="BA111" s="9">
        <v>0</v>
      </c>
      <c r="BB111" s="9">
        <v>0</v>
      </c>
      <c r="BC111" s="9">
        <v>0</v>
      </c>
      <c r="BD111" s="9">
        <v>0</v>
      </c>
      <c r="BE111" s="9">
        <v>0</v>
      </c>
      <c r="BF111" s="9">
        <v>5083585</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119046</v>
      </c>
      <c r="CI111" s="9">
        <v>0</v>
      </c>
      <c r="CJ111" s="9">
        <v>4</v>
      </c>
      <c r="CK111" s="9">
        <v>0</v>
      </c>
      <c r="CL111" s="9">
        <v>0</v>
      </c>
      <c r="CM111" s="9">
        <v>0</v>
      </c>
      <c r="CN111" s="9">
        <v>0</v>
      </c>
      <c r="CO111" s="9">
        <v>0</v>
      </c>
      <c r="CP111" s="9">
        <v>0</v>
      </c>
      <c r="CQ111" s="9">
        <v>0</v>
      </c>
      <c r="CR111" s="9">
        <v>573.64300000000003</v>
      </c>
      <c r="CS111" s="9">
        <v>0</v>
      </c>
      <c r="CT111" s="9">
        <v>0</v>
      </c>
      <c r="CU111" s="9">
        <v>0</v>
      </c>
      <c r="CV111" s="9">
        <v>0</v>
      </c>
      <c r="CW111" s="9">
        <v>0</v>
      </c>
      <c r="CX111" s="9">
        <v>0</v>
      </c>
      <c r="CY111" s="9">
        <v>0</v>
      </c>
      <c r="CZ111" s="9">
        <v>0</v>
      </c>
      <c r="DA111" s="9">
        <v>1</v>
      </c>
      <c r="DB111" s="9">
        <v>3934779</v>
      </c>
      <c r="DC111" s="9">
        <v>0</v>
      </c>
      <c r="DD111" s="9">
        <v>0</v>
      </c>
      <c r="DE111" s="9">
        <v>858141</v>
      </c>
      <c r="DF111" s="9">
        <v>858141</v>
      </c>
      <c r="DG111" s="9">
        <v>654.66999999999996</v>
      </c>
      <c r="DH111" s="9">
        <v>0</v>
      </c>
      <c r="DI111" s="9">
        <v>0</v>
      </c>
      <c r="DJ111" s="9">
        <v>0</v>
      </c>
      <c r="DK111" s="9">
        <v>5392</v>
      </c>
      <c r="DL111" s="9">
        <v>0</v>
      </c>
      <c r="DM111" s="9">
        <v>87230</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0.9840000000000001</v>
      </c>
      <c r="ED111" s="9">
        <v>7094</v>
      </c>
      <c r="EE111" s="9">
        <v>0</v>
      </c>
      <c r="EF111" s="9">
        <v>0</v>
      </c>
      <c r="EG111" s="9">
        <v>0</v>
      </c>
      <c r="EH111" s="9">
        <v>80136</v>
      </c>
      <c r="EI111" s="9">
        <v>0</v>
      </c>
      <c r="EJ111" s="9">
        <v>0</v>
      </c>
      <c r="EK111" s="9">
        <v>3.1240000000000001</v>
      </c>
      <c r="EL111" s="9">
        <v>0</v>
      </c>
      <c r="EM111" s="9">
        <v>0</v>
      </c>
      <c r="EN111" s="9">
        <v>0.57100000000000006</v>
      </c>
      <c r="EO111" s="9">
        <v>0</v>
      </c>
      <c r="EP111" s="9">
        <v>0</v>
      </c>
      <c r="EQ111" s="9">
        <v>3.6950000000000003</v>
      </c>
      <c r="ER111" s="9">
        <v>0</v>
      </c>
      <c r="ES111" s="9">
        <v>12.227</v>
      </c>
      <c r="ET111" s="9">
        <v>0</v>
      </c>
      <c r="EU111" s="9">
        <v>183401</v>
      </c>
      <c r="EV111" s="9">
        <v>0</v>
      </c>
      <c r="EW111" s="9">
        <v>0</v>
      </c>
      <c r="EX111" s="9">
        <v>0</v>
      </c>
      <c r="EY111" s="9">
        <v>0</v>
      </c>
      <c r="EZ111" s="9">
        <v>5039760</v>
      </c>
      <c r="FA111" s="9">
        <v>0</v>
      </c>
      <c r="FB111" s="9">
        <v>5223161</v>
      </c>
      <c r="FC111" s="9">
        <v>0.97327799999999998</v>
      </c>
      <c r="FD111" s="9">
        <v>0</v>
      </c>
      <c r="FE111" s="9">
        <v>773935</v>
      </c>
      <c r="FF111" s="9">
        <v>174405</v>
      </c>
      <c r="FG111" s="9">
        <v>6.1239999999999996E-2</v>
      </c>
      <c r="FH111" s="9">
        <v>5.4803999999999999E-2</v>
      </c>
      <c r="FI111" s="9">
        <v>0</v>
      </c>
      <c r="FJ111" s="9">
        <v>0</v>
      </c>
      <c r="FK111" s="9">
        <v>996.03399999999999</v>
      </c>
      <c r="FL111" s="9">
        <v>6290547</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6171501</v>
      </c>
      <c r="GQ111" s="9">
        <v>6171501</v>
      </c>
      <c r="GR111" s="9">
        <v>0</v>
      </c>
      <c r="GS111" s="9">
        <v>0</v>
      </c>
      <c r="GT111" s="9">
        <v>0</v>
      </c>
      <c r="GU111" s="9">
        <v>0</v>
      </c>
      <c r="GV111" s="9">
        <v>0</v>
      </c>
      <c r="GW111" s="9">
        <v>0</v>
      </c>
      <c r="GX111" s="9">
        <v>0</v>
      </c>
      <c r="GY111" s="9">
        <v>0</v>
      </c>
      <c r="GZ111" s="9">
        <v>0</v>
      </c>
      <c r="HA111" s="9">
        <v>0</v>
      </c>
      <c r="HB111" s="9">
        <v>260786259</v>
      </c>
      <c r="HC111" s="9">
        <v>5.0923999999999997E-2</v>
      </c>
      <c r="HD111" s="9">
        <v>119046</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403.91400000000004</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32469</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row>
    <row r="112" spans="1:292" x14ac:dyDescent="0.25">
      <c r="A112" s="9">
        <v>101858</v>
      </c>
      <c r="B112" s="9">
        <v>32570</v>
      </c>
      <c r="C112" s="9">
        <v>35</v>
      </c>
      <c r="D112" s="9">
        <v>2022</v>
      </c>
      <c r="E112" s="9">
        <v>5392</v>
      </c>
      <c r="F112" s="9">
        <v>0</v>
      </c>
      <c r="G112" s="9">
        <v>5264.3440000000001</v>
      </c>
      <c r="H112" s="9">
        <v>5032.7970000000005</v>
      </c>
      <c r="I112" s="9">
        <v>5032.7970000000005</v>
      </c>
      <c r="J112" s="9">
        <v>5264.3440000000001</v>
      </c>
      <c r="K112" s="9">
        <v>0</v>
      </c>
      <c r="L112" s="9">
        <v>6554</v>
      </c>
      <c r="M112" s="9">
        <v>0</v>
      </c>
      <c r="N112" s="9">
        <v>0</v>
      </c>
      <c r="O112" s="9">
        <v>0</v>
      </c>
      <c r="P112" s="9">
        <v>4784.2750000000005</v>
      </c>
      <c r="Q112" s="9">
        <v>0</v>
      </c>
      <c r="R112" s="9">
        <v>1529595</v>
      </c>
      <c r="S112" s="9">
        <v>319.71300000000002</v>
      </c>
      <c r="T112" s="9">
        <v>0</v>
      </c>
      <c r="U112" s="9">
        <v>1529595</v>
      </c>
      <c r="V112" s="9">
        <v>1321.4840000000002</v>
      </c>
      <c r="W112" s="9">
        <v>866101</v>
      </c>
      <c r="X112" s="9">
        <v>866101</v>
      </c>
      <c r="Y112" s="9">
        <v>0</v>
      </c>
      <c r="Z112" s="9">
        <v>0</v>
      </c>
      <c r="AA112" s="9">
        <v>1</v>
      </c>
      <c r="AB112" s="9">
        <v>1</v>
      </c>
      <c r="AC112" s="9">
        <v>0</v>
      </c>
      <c r="AD112" s="9" t="s">
        <v>314</v>
      </c>
      <c r="AE112" s="9">
        <v>0</v>
      </c>
      <c r="AF112" s="9">
        <v>0</v>
      </c>
      <c r="AG112" s="9">
        <v>0</v>
      </c>
      <c r="AH112" s="9">
        <v>0</v>
      </c>
      <c r="AI112" s="9">
        <v>0</v>
      </c>
      <c r="AJ112" s="9">
        <v>5104</v>
      </c>
      <c r="AK112" s="9" t="s">
        <v>651</v>
      </c>
      <c r="AL112" s="9" t="s">
        <v>59</v>
      </c>
      <c r="AM112" s="9">
        <v>0</v>
      </c>
      <c r="AN112" s="9">
        <v>0</v>
      </c>
      <c r="AO112" s="9">
        <v>0</v>
      </c>
      <c r="AP112" s="9">
        <v>0</v>
      </c>
      <c r="AQ112" s="9">
        <v>0</v>
      </c>
      <c r="AR112" s="9">
        <v>0</v>
      </c>
      <c r="AS112" s="9">
        <v>0</v>
      </c>
      <c r="AT112" s="9">
        <v>0</v>
      </c>
      <c r="AU112" s="9">
        <v>0</v>
      </c>
      <c r="AV112" s="9">
        <v>763993</v>
      </c>
      <c r="AW112" s="9">
        <v>50488780</v>
      </c>
      <c r="AX112" s="9">
        <v>48982218</v>
      </c>
      <c r="AY112" s="9">
        <v>53677972</v>
      </c>
      <c r="AZ112" s="9">
        <v>1947297</v>
      </c>
      <c r="BA112" s="9">
        <v>102.75</v>
      </c>
      <c r="BB112" s="9">
        <v>207015</v>
      </c>
      <c r="BC112" s="9">
        <v>207015</v>
      </c>
      <c r="BD112" s="9">
        <v>263.21699999999998</v>
      </c>
      <c r="BE112" s="9">
        <v>0</v>
      </c>
      <c r="BF112" s="9">
        <v>41607559</v>
      </c>
      <c r="BG112" s="9">
        <v>0</v>
      </c>
      <c r="BH112" s="9">
        <v>915.36099999999999</v>
      </c>
      <c r="BI112" s="9">
        <v>251724</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434.202</v>
      </c>
      <c r="CB112" s="9">
        <v>165978</v>
      </c>
      <c r="CC112" s="9">
        <v>0</v>
      </c>
      <c r="CD112" s="9">
        <v>0</v>
      </c>
      <c r="CE112" s="9">
        <v>0</v>
      </c>
      <c r="CF112" s="9">
        <v>0</v>
      </c>
      <c r="CG112" s="9">
        <v>0</v>
      </c>
      <c r="CH112" s="9">
        <v>1088860</v>
      </c>
      <c r="CI112" s="9">
        <v>0</v>
      </c>
      <c r="CJ112" s="9">
        <v>4</v>
      </c>
      <c r="CK112" s="9">
        <v>0</v>
      </c>
      <c r="CL112" s="9">
        <v>0</v>
      </c>
      <c r="CM112" s="9">
        <v>0</v>
      </c>
      <c r="CN112" s="9">
        <v>0</v>
      </c>
      <c r="CO112" s="9">
        <v>0</v>
      </c>
      <c r="CP112" s="9">
        <v>0</v>
      </c>
      <c r="CQ112" s="9">
        <v>0</v>
      </c>
      <c r="CR112" s="9">
        <v>4784.2750000000005</v>
      </c>
      <c r="CS112" s="9">
        <v>0</v>
      </c>
      <c r="CT112" s="9">
        <v>0</v>
      </c>
      <c r="CU112" s="9">
        <v>0</v>
      </c>
      <c r="CV112" s="9">
        <v>0</v>
      </c>
      <c r="CW112" s="9">
        <v>0</v>
      </c>
      <c r="CX112" s="9">
        <v>0</v>
      </c>
      <c r="CY112" s="9">
        <v>0</v>
      </c>
      <c r="CZ112" s="9">
        <v>0</v>
      </c>
      <c r="DA112" s="9">
        <v>1</v>
      </c>
      <c r="DB112" s="9">
        <v>32984952</v>
      </c>
      <c r="DC112" s="9">
        <v>0</v>
      </c>
      <c r="DD112" s="9">
        <v>0</v>
      </c>
      <c r="DE112" s="9">
        <v>4774366</v>
      </c>
      <c r="DF112" s="9">
        <v>4774366</v>
      </c>
      <c r="DG112" s="9">
        <v>3642.33</v>
      </c>
      <c r="DH112" s="9">
        <v>0</v>
      </c>
      <c r="DI112" s="9">
        <v>0</v>
      </c>
      <c r="DJ112" s="9">
        <v>0</v>
      </c>
      <c r="DK112" s="9">
        <v>5392</v>
      </c>
      <c r="DL112" s="9">
        <v>0</v>
      </c>
      <c r="DM112" s="9">
        <v>2765561</v>
      </c>
      <c r="DN112" s="9">
        <v>0</v>
      </c>
      <c r="DO112" s="9">
        <v>0</v>
      </c>
      <c r="DP112" s="9">
        <v>0</v>
      </c>
      <c r="DQ112" s="9">
        <v>0</v>
      </c>
      <c r="DR112" s="9">
        <v>0</v>
      </c>
      <c r="DS112" s="9">
        <v>0</v>
      </c>
      <c r="DT112" s="9">
        <v>0</v>
      </c>
      <c r="DU112" s="9">
        <v>0</v>
      </c>
      <c r="DV112" s="9">
        <v>0</v>
      </c>
      <c r="DW112" s="9">
        <v>0</v>
      </c>
      <c r="DX112" s="9">
        <v>0</v>
      </c>
      <c r="DY112" s="9">
        <v>0</v>
      </c>
      <c r="DZ112" s="9">
        <v>0</v>
      </c>
      <c r="EA112" s="9">
        <v>0</v>
      </c>
      <c r="EB112" s="9">
        <v>0</v>
      </c>
      <c r="EC112" s="9">
        <v>93.533000000000001</v>
      </c>
      <c r="ED112" s="9">
        <v>674317</v>
      </c>
      <c r="EE112" s="9">
        <v>0</v>
      </c>
      <c r="EF112" s="9">
        <v>0</v>
      </c>
      <c r="EG112" s="9">
        <v>0</v>
      </c>
      <c r="EH112" s="9">
        <v>2091244</v>
      </c>
      <c r="EI112" s="9">
        <v>0</v>
      </c>
      <c r="EJ112" s="9">
        <v>0</v>
      </c>
      <c r="EK112" s="9">
        <v>74.183000000000007</v>
      </c>
      <c r="EL112" s="9">
        <v>0</v>
      </c>
      <c r="EM112" s="9">
        <v>19.845000000000002</v>
      </c>
      <c r="EN112" s="9">
        <v>7.399</v>
      </c>
      <c r="EO112" s="9">
        <v>0</v>
      </c>
      <c r="EP112" s="9">
        <v>0</v>
      </c>
      <c r="EQ112" s="9">
        <v>101.42700000000001</v>
      </c>
      <c r="ER112" s="9">
        <v>0</v>
      </c>
      <c r="ES112" s="9">
        <v>319.07900000000001</v>
      </c>
      <c r="ET112" s="9">
        <v>51375</v>
      </c>
      <c r="EU112" s="9">
        <v>1947297</v>
      </c>
      <c r="EV112" s="9">
        <v>0</v>
      </c>
      <c r="EW112" s="9">
        <v>0</v>
      </c>
      <c r="EX112" s="9">
        <v>0</v>
      </c>
      <c r="EY112" s="9">
        <v>0</v>
      </c>
      <c r="EZ112" s="9">
        <v>41220349</v>
      </c>
      <c r="FA112" s="9">
        <v>0</v>
      </c>
      <c r="FB112" s="9">
        <v>43167646</v>
      </c>
      <c r="FC112" s="9">
        <v>0.97327799999999998</v>
      </c>
      <c r="FD112" s="9">
        <v>0</v>
      </c>
      <c r="FE112" s="9">
        <v>6334417</v>
      </c>
      <c r="FF112" s="9">
        <v>1427452</v>
      </c>
      <c r="FG112" s="9">
        <v>6.1239999999999996E-2</v>
      </c>
      <c r="FH112" s="9">
        <v>5.4803999999999999E-2</v>
      </c>
      <c r="FI112" s="9">
        <v>0</v>
      </c>
      <c r="FJ112" s="9">
        <v>0</v>
      </c>
      <c r="FK112" s="9">
        <v>8152.2310000000007</v>
      </c>
      <c r="FL112" s="9">
        <v>52018375</v>
      </c>
      <c r="FM112" s="9">
        <v>0</v>
      </c>
      <c r="FN112" s="9">
        <v>0</v>
      </c>
      <c r="FO112" s="9">
        <v>0</v>
      </c>
      <c r="FP112" s="9">
        <v>0</v>
      </c>
      <c r="FQ112" s="9">
        <v>0</v>
      </c>
      <c r="FR112" s="9">
        <v>0</v>
      </c>
      <c r="FS112" s="9">
        <v>0</v>
      </c>
      <c r="FT112" s="9">
        <v>0</v>
      </c>
      <c r="FU112" s="9">
        <v>0</v>
      </c>
      <c r="FV112" s="9">
        <v>0</v>
      </c>
      <c r="FW112" s="9">
        <v>0</v>
      </c>
      <c r="FX112" s="9">
        <v>0</v>
      </c>
      <c r="FY112" s="9">
        <v>0</v>
      </c>
      <c r="FZ112" s="9">
        <v>661</v>
      </c>
      <c r="GA112" s="9">
        <v>13.21</v>
      </c>
      <c r="GB112" s="9">
        <v>1151949</v>
      </c>
      <c r="GC112" s="9">
        <v>1151949</v>
      </c>
      <c r="GD112" s="9">
        <v>130.12</v>
      </c>
      <c r="GE112" s="9">
        <v>0</v>
      </c>
      <c r="GF112" s="9">
        <v>0</v>
      </c>
      <c r="GG112" s="9">
        <v>0</v>
      </c>
      <c r="GH112" s="9">
        <v>0</v>
      </c>
      <c r="GI112" s="9">
        <v>0</v>
      </c>
      <c r="GJ112" s="9">
        <v>0</v>
      </c>
      <c r="GK112" s="9">
        <v>5121</v>
      </c>
      <c r="GL112" s="9">
        <v>18083</v>
      </c>
      <c r="GM112" s="9">
        <v>0</v>
      </c>
      <c r="GN112" s="9">
        <v>0</v>
      </c>
      <c r="GO112" s="9">
        <v>0</v>
      </c>
      <c r="GP112" s="9">
        <v>50929515</v>
      </c>
      <c r="GQ112" s="9">
        <v>50929515</v>
      </c>
      <c r="GR112" s="9">
        <v>0</v>
      </c>
      <c r="GS112" s="9">
        <v>0</v>
      </c>
      <c r="GT112" s="9">
        <v>0</v>
      </c>
      <c r="GU112" s="9">
        <v>0</v>
      </c>
      <c r="GV112" s="9">
        <v>0</v>
      </c>
      <c r="GW112" s="9">
        <v>0</v>
      </c>
      <c r="GX112" s="9">
        <v>0</v>
      </c>
      <c r="GY112" s="9">
        <v>0</v>
      </c>
      <c r="GZ112" s="9">
        <v>0</v>
      </c>
      <c r="HA112" s="9">
        <v>0</v>
      </c>
      <c r="HB112" s="9">
        <v>260786259</v>
      </c>
      <c r="HC112" s="9">
        <v>5.0923999999999997E-2</v>
      </c>
      <c r="HD112" s="9">
        <v>1037485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32469</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row>
    <row r="113" spans="1:292" x14ac:dyDescent="0.25">
      <c r="A113" s="9">
        <v>101859</v>
      </c>
      <c r="B113" s="9">
        <v>32570</v>
      </c>
      <c r="C113" s="9">
        <v>35</v>
      </c>
      <c r="D113" s="9">
        <v>2022</v>
      </c>
      <c r="E113" s="9">
        <v>5392</v>
      </c>
      <c r="F113" s="9">
        <v>0</v>
      </c>
      <c r="G113" s="9">
        <v>504.74900000000002</v>
      </c>
      <c r="H113" s="9">
        <v>494.94500000000005</v>
      </c>
      <c r="I113" s="9">
        <v>494.94500000000005</v>
      </c>
      <c r="J113" s="9">
        <v>504.74900000000002</v>
      </c>
      <c r="K113" s="9">
        <v>0</v>
      </c>
      <c r="L113" s="9">
        <v>6554</v>
      </c>
      <c r="M113" s="9">
        <v>0</v>
      </c>
      <c r="N113" s="9">
        <v>0</v>
      </c>
      <c r="O113" s="9">
        <v>0</v>
      </c>
      <c r="P113" s="9">
        <v>494.92200000000003</v>
      </c>
      <c r="Q113" s="9">
        <v>0</v>
      </c>
      <c r="R113" s="9">
        <v>158233</v>
      </c>
      <c r="S113" s="9">
        <v>319.71300000000002</v>
      </c>
      <c r="T113" s="9">
        <v>0</v>
      </c>
      <c r="U113" s="9">
        <v>158233</v>
      </c>
      <c r="V113" s="9">
        <v>280.43</v>
      </c>
      <c r="W113" s="9">
        <v>183794</v>
      </c>
      <c r="X113" s="9">
        <v>183794</v>
      </c>
      <c r="Y113" s="9">
        <v>0</v>
      </c>
      <c r="Z113" s="9">
        <v>0</v>
      </c>
      <c r="AA113" s="9">
        <v>1</v>
      </c>
      <c r="AB113" s="9">
        <v>1</v>
      </c>
      <c r="AC113" s="9">
        <v>0</v>
      </c>
      <c r="AD113" s="9" t="s">
        <v>314</v>
      </c>
      <c r="AE113" s="9">
        <v>0</v>
      </c>
      <c r="AF113" s="9">
        <v>0</v>
      </c>
      <c r="AG113" s="9">
        <v>0</v>
      </c>
      <c r="AH113" s="9">
        <v>0</v>
      </c>
      <c r="AI113" s="9">
        <v>0</v>
      </c>
      <c r="AJ113" s="9">
        <v>5104</v>
      </c>
      <c r="AK113" s="9" t="s">
        <v>651</v>
      </c>
      <c r="AL113" s="9" t="s">
        <v>347</v>
      </c>
      <c r="AM113" s="9">
        <v>0</v>
      </c>
      <c r="AN113" s="9">
        <v>0</v>
      </c>
      <c r="AO113" s="9">
        <v>0</v>
      </c>
      <c r="AP113" s="9">
        <v>0</v>
      </c>
      <c r="AQ113" s="9">
        <v>0</v>
      </c>
      <c r="AR113" s="9">
        <v>0</v>
      </c>
      <c r="AS113" s="9">
        <v>0</v>
      </c>
      <c r="AT113" s="9">
        <v>0</v>
      </c>
      <c r="AU113" s="9">
        <v>0</v>
      </c>
      <c r="AV113" s="9">
        <v>406404</v>
      </c>
      <c r="AW113" s="9">
        <v>5055223</v>
      </c>
      <c r="AX113" s="9">
        <v>4955748</v>
      </c>
      <c r="AY113" s="9">
        <v>5684221</v>
      </c>
      <c r="AZ113" s="9">
        <v>158233</v>
      </c>
      <c r="BA113" s="9">
        <v>0</v>
      </c>
      <c r="BB113" s="9">
        <v>0</v>
      </c>
      <c r="BC113" s="9">
        <v>0</v>
      </c>
      <c r="BD113" s="9">
        <v>0</v>
      </c>
      <c r="BE113" s="9">
        <v>0</v>
      </c>
      <c r="BF113" s="9">
        <v>4212485</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99475</v>
      </c>
      <c r="CI113" s="9">
        <v>0</v>
      </c>
      <c r="CJ113" s="9">
        <v>4</v>
      </c>
      <c r="CK113" s="9">
        <v>0</v>
      </c>
      <c r="CL113" s="9">
        <v>0</v>
      </c>
      <c r="CM113" s="9">
        <v>0</v>
      </c>
      <c r="CN113" s="9">
        <v>0</v>
      </c>
      <c r="CO113" s="9">
        <v>0</v>
      </c>
      <c r="CP113" s="9">
        <v>0</v>
      </c>
      <c r="CQ113" s="9">
        <v>0</v>
      </c>
      <c r="CR113" s="9">
        <v>494.92200000000003</v>
      </c>
      <c r="CS113" s="9">
        <v>0</v>
      </c>
      <c r="CT113" s="9">
        <v>0</v>
      </c>
      <c r="CU113" s="9">
        <v>0</v>
      </c>
      <c r="CV113" s="9">
        <v>0</v>
      </c>
      <c r="CW113" s="9">
        <v>0</v>
      </c>
      <c r="CX113" s="9">
        <v>0</v>
      </c>
      <c r="CY113" s="9">
        <v>0</v>
      </c>
      <c r="CZ113" s="9">
        <v>0</v>
      </c>
      <c r="DA113" s="9">
        <v>1</v>
      </c>
      <c r="DB113" s="9">
        <v>3243870</v>
      </c>
      <c r="DC113" s="9">
        <v>0</v>
      </c>
      <c r="DD113" s="9">
        <v>0</v>
      </c>
      <c r="DE113" s="9">
        <v>632684</v>
      </c>
      <c r="DF113" s="9">
        <v>632684</v>
      </c>
      <c r="DG113" s="9">
        <v>482.67</v>
      </c>
      <c r="DH113" s="9">
        <v>0</v>
      </c>
      <c r="DI113" s="9">
        <v>0</v>
      </c>
      <c r="DJ113" s="9">
        <v>0</v>
      </c>
      <c r="DK113" s="9">
        <v>5392</v>
      </c>
      <c r="DL113" s="9">
        <v>0</v>
      </c>
      <c r="DM113" s="9">
        <v>267796</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9.18</v>
      </c>
      <c r="ED113" s="9">
        <v>66182</v>
      </c>
      <c r="EE113" s="9">
        <v>0</v>
      </c>
      <c r="EF113" s="9">
        <v>0</v>
      </c>
      <c r="EG113" s="9">
        <v>0</v>
      </c>
      <c r="EH113" s="9">
        <v>201614</v>
      </c>
      <c r="EI113" s="9">
        <v>0</v>
      </c>
      <c r="EJ113" s="9">
        <v>0</v>
      </c>
      <c r="EK113" s="9">
        <v>9.1289999999999996</v>
      </c>
      <c r="EL113" s="9">
        <v>0</v>
      </c>
      <c r="EM113" s="9">
        <v>0</v>
      </c>
      <c r="EN113" s="9">
        <v>0.67500000000000004</v>
      </c>
      <c r="EO113" s="9">
        <v>0</v>
      </c>
      <c r="EP113" s="9">
        <v>0</v>
      </c>
      <c r="EQ113" s="9">
        <v>9.8040000000000003</v>
      </c>
      <c r="ER113" s="9">
        <v>0</v>
      </c>
      <c r="ES113" s="9">
        <v>30.762</v>
      </c>
      <c r="ET113" s="9">
        <v>0</v>
      </c>
      <c r="EU113" s="9">
        <v>158233</v>
      </c>
      <c r="EV113" s="9">
        <v>0</v>
      </c>
      <c r="EW113" s="9">
        <v>0</v>
      </c>
      <c r="EX113" s="9">
        <v>0</v>
      </c>
      <c r="EY113" s="9">
        <v>0</v>
      </c>
      <c r="EZ113" s="9">
        <v>4169911</v>
      </c>
      <c r="FA113" s="9">
        <v>0</v>
      </c>
      <c r="FB113" s="9">
        <v>4328144</v>
      </c>
      <c r="FC113" s="9">
        <v>0.97327799999999998</v>
      </c>
      <c r="FD113" s="9">
        <v>0</v>
      </c>
      <c r="FE113" s="9">
        <v>641317</v>
      </c>
      <c r="FF113" s="9">
        <v>144520</v>
      </c>
      <c r="FG113" s="9">
        <v>6.1239999999999996E-2</v>
      </c>
      <c r="FH113" s="9">
        <v>5.4803999999999999E-2</v>
      </c>
      <c r="FI113" s="9">
        <v>0</v>
      </c>
      <c r="FJ113" s="9">
        <v>0</v>
      </c>
      <c r="FK113" s="9">
        <v>825.35900000000004</v>
      </c>
      <c r="FL113" s="9">
        <v>5213456</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5113981</v>
      </c>
      <c r="GQ113" s="9">
        <v>5113981</v>
      </c>
      <c r="GR113" s="9">
        <v>0</v>
      </c>
      <c r="GS113" s="9">
        <v>0</v>
      </c>
      <c r="GT113" s="9">
        <v>0</v>
      </c>
      <c r="GU113" s="9">
        <v>0</v>
      </c>
      <c r="GV113" s="9">
        <v>0</v>
      </c>
      <c r="GW113" s="9">
        <v>0</v>
      </c>
      <c r="GX113" s="9">
        <v>0</v>
      </c>
      <c r="GY113" s="9">
        <v>0</v>
      </c>
      <c r="GZ113" s="9">
        <v>0</v>
      </c>
      <c r="HA113" s="9">
        <v>0</v>
      </c>
      <c r="HB113" s="9">
        <v>260786259</v>
      </c>
      <c r="HC113" s="9">
        <v>5.0923999999999997E-2</v>
      </c>
      <c r="HD113" s="9">
        <v>99475</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32469</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row>
    <row r="114" spans="1:292" x14ac:dyDescent="0.25">
      <c r="A114" s="9">
        <v>101861</v>
      </c>
      <c r="B114" s="9">
        <v>32570</v>
      </c>
      <c r="C114" s="9">
        <v>35</v>
      </c>
      <c r="D114" s="9">
        <v>2022</v>
      </c>
      <c r="E114" s="9">
        <v>5392</v>
      </c>
      <c r="F114" s="9">
        <v>0</v>
      </c>
      <c r="G114" s="9">
        <v>739.38499999999999</v>
      </c>
      <c r="H114" s="9">
        <v>725.923</v>
      </c>
      <c r="I114" s="9">
        <v>725.923</v>
      </c>
      <c r="J114" s="9">
        <v>739.38499999999999</v>
      </c>
      <c r="K114" s="9">
        <v>0</v>
      </c>
      <c r="L114" s="9">
        <v>6554</v>
      </c>
      <c r="M114" s="9">
        <v>0</v>
      </c>
      <c r="N114" s="9">
        <v>0</v>
      </c>
      <c r="O114" s="9">
        <v>0</v>
      </c>
      <c r="P114" s="9">
        <v>1117.278</v>
      </c>
      <c r="Q114" s="9">
        <v>0</v>
      </c>
      <c r="R114" s="9">
        <v>357208</v>
      </c>
      <c r="S114" s="9">
        <v>319.71300000000002</v>
      </c>
      <c r="T114" s="9">
        <v>0</v>
      </c>
      <c r="U114" s="9">
        <v>357208</v>
      </c>
      <c r="V114" s="9">
        <v>21.105</v>
      </c>
      <c r="W114" s="9">
        <v>13832</v>
      </c>
      <c r="X114" s="9">
        <v>13832</v>
      </c>
      <c r="Y114" s="9">
        <v>0</v>
      </c>
      <c r="Z114" s="9">
        <v>0</v>
      </c>
      <c r="AA114" s="9">
        <v>1</v>
      </c>
      <c r="AB114" s="9">
        <v>1</v>
      </c>
      <c r="AC114" s="9">
        <v>0</v>
      </c>
      <c r="AD114" s="9" t="s">
        <v>314</v>
      </c>
      <c r="AE114" s="9">
        <v>0</v>
      </c>
      <c r="AF114" s="9">
        <v>0</v>
      </c>
      <c r="AG114" s="9">
        <v>0</v>
      </c>
      <c r="AH114" s="9">
        <v>0</v>
      </c>
      <c r="AI114" s="9">
        <v>0</v>
      </c>
      <c r="AJ114" s="9">
        <v>5104</v>
      </c>
      <c r="AK114" s="9" t="s">
        <v>651</v>
      </c>
      <c r="AL114" s="9" t="s">
        <v>348</v>
      </c>
      <c r="AM114" s="9">
        <v>0</v>
      </c>
      <c r="AN114" s="9">
        <v>0</v>
      </c>
      <c r="AO114" s="9">
        <v>0</v>
      </c>
      <c r="AP114" s="9">
        <v>0</v>
      </c>
      <c r="AQ114" s="9">
        <v>0</v>
      </c>
      <c r="AR114" s="9">
        <v>0</v>
      </c>
      <c r="AS114" s="9">
        <v>0</v>
      </c>
      <c r="AT114" s="9">
        <v>0</v>
      </c>
      <c r="AU114" s="9">
        <v>0</v>
      </c>
      <c r="AV114" s="9">
        <v>644895</v>
      </c>
      <c r="AW114" s="9">
        <v>7604894</v>
      </c>
      <c r="AX114" s="9">
        <v>7459178</v>
      </c>
      <c r="AY114" s="9">
        <v>8271024</v>
      </c>
      <c r="AZ114" s="9">
        <v>357208</v>
      </c>
      <c r="BA114" s="9">
        <v>0</v>
      </c>
      <c r="BB114" s="9">
        <v>19272</v>
      </c>
      <c r="BC114" s="9">
        <v>19272</v>
      </c>
      <c r="BD114" s="9">
        <v>24.504000000000001</v>
      </c>
      <c r="BE114" s="9">
        <v>0</v>
      </c>
      <c r="BF114" s="9">
        <v>6394250</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0</v>
      </c>
      <c r="CB114" s="9">
        <v>0</v>
      </c>
      <c r="CC114" s="9">
        <v>0</v>
      </c>
      <c r="CD114" s="9">
        <v>0</v>
      </c>
      <c r="CE114" s="9">
        <v>0</v>
      </c>
      <c r="CF114" s="9">
        <v>0</v>
      </c>
      <c r="CG114" s="9">
        <v>0</v>
      </c>
      <c r="CH114" s="9">
        <v>145716</v>
      </c>
      <c r="CI114" s="9">
        <v>0</v>
      </c>
      <c r="CJ114" s="9">
        <v>5</v>
      </c>
      <c r="CK114" s="9">
        <v>0</v>
      </c>
      <c r="CL114" s="9">
        <v>0</v>
      </c>
      <c r="CM114" s="9">
        <v>0</v>
      </c>
      <c r="CN114" s="9">
        <v>0</v>
      </c>
      <c r="CO114" s="9">
        <v>0</v>
      </c>
      <c r="CP114" s="9">
        <v>0</v>
      </c>
      <c r="CQ114" s="9">
        <v>0</v>
      </c>
      <c r="CR114" s="9">
        <v>1117.278</v>
      </c>
      <c r="CS114" s="9">
        <v>0</v>
      </c>
      <c r="CT114" s="9">
        <v>0</v>
      </c>
      <c r="CU114" s="9">
        <v>0</v>
      </c>
      <c r="CV114" s="9">
        <v>0</v>
      </c>
      <c r="CW114" s="9">
        <v>0</v>
      </c>
      <c r="CX114" s="9">
        <v>0</v>
      </c>
      <c r="CY114" s="9">
        <v>0</v>
      </c>
      <c r="CZ114" s="9">
        <v>0</v>
      </c>
      <c r="DA114" s="9">
        <v>1</v>
      </c>
      <c r="DB114" s="9">
        <v>4757699</v>
      </c>
      <c r="DC114" s="9">
        <v>0</v>
      </c>
      <c r="DD114" s="9">
        <v>0</v>
      </c>
      <c r="DE114" s="9">
        <v>1247659</v>
      </c>
      <c r="DF114" s="9">
        <v>1247659</v>
      </c>
      <c r="DG114" s="9">
        <v>951.83</v>
      </c>
      <c r="DH114" s="9">
        <v>0</v>
      </c>
      <c r="DI114" s="9">
        <v>0</v>
      </c>
      <c r="DJ114" s="9">
        <v>0</v>
      </c>
      <c r="DK114" s="9">
        <v>5392</v>
      </c>
      <c r="DL114" s="9">
        <v>0</v>
      </c>
      <c r="DM114" s="9">
        <v>531350</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35.306000000000004</v>
      </c>
      <c r="ED114" s="9">
        <v>254535</v>
      </c>
      <c r="EE114" s="9">
        <v>0</v>
      </c>
      <c r="EF114" s="9">
        <v>0</v>
      </c>
      <c r="EG114" s="9">
        <v>0</v>
      </c>
      <c r="EH114" s="9">
        <v>276815</v>
      </c>
      <c r="EI114" s="9">
        <v>0</v>
      </c>
      <c r="EJ114" s="9">
        <v>0</v>
      </c>
      <c r="EK114" s="9">
        <v>12.537000000000001</v>
      </c>
      <c r="EL114" s="9">
        <v>0</v>
      </c>
      <c r="EM114" s="9">
        <v>0</v>
      </c>
      <c r="EN114" s="9">
        <v>0.92500000000000004</v>
      </c>
      <c r="EO114" s="9">
        <v>0</v>
      </c>
      <c r="EP114" s="9">
        <v>0</v>
      </c>
      <c r="EQ114" s="9">
        <v>13.462000000000002</v>
      </c>
      <c r="ER114" s="9">
        <v>0</v>
      </c>
      <c r="ES114" s="9">
        <v>42.236000000000004</v>
      </c>
      <c r="ET114" s="9">
        <v>0</v>
      </c>
      <c r="EU114" s="9">
        <v>357208</v>
      </c>
      <c r="EV114" s="9">
        <v>0</v>
      </c>
      <c r="EW114" s="9">
        <v>0</v>
      </c>
      <c r="EX114" s="9">
        <v>0</v>
      </c>
      <c r="EY114" s="9">
        <v>0</v>
      </c>
      <c r="EZ114" s="9">
        <v>6266334</v>
      </c>
      <c r="FA114" s="9">
        <v>0</v>
      </c>
      <c r="FB114" s="9">
        <v>6623542</v>
      </c>
      <c r="FC114" s="9">
        <v>0.97327799999999998</v>
      </c>
      <c r="FD114" s="9">
        <v>0</v>
      </c>
      <c r="FE114" s="9">
        <v>973473</v>
      </c>
      <c r="FF114" s="9">
        <v>219371</v>
      </c>
      <c r="FG114" s="9">
        <v>6.1239999999999996E-2</v>
      </c>
      <c r="FH114" s="9">
        <v>5.4803999999999999E-2</v>
      </c>
      <c r="FI114" s="9">
        <v>0</v>
      </c>
      <c r="FJ114" s="9">
        <v>0</v>
      </c>
      <c r="FK114" s="9">
        <v>1252.835</v>
      </c>
      <c r="FL114" s="9">
        <v>7962102</v>
      </c>
      <c r="FM114" s="9">
        <v>0</v>
      </c>
      <c r="FN114" s="9">
        <v>0</v>
      </c>
      <c r="FO114" s="9">
        <v>53730</v>
      </c>
      <c r="FP114" s="9">
        <v>0</v>
      </c>
      <c r="FQ114" s="9">
        <v>53730</v>
      </c>
      <c r="FR114" s="9">
        <v>53730</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7816386</v>
      </c>
      <c r="GQ114" s="9">
        <v>7816386</v>
      </c>
      <c r="GR114" s="9">
        <v>0</v>
      </c>
      <c r="GS114" s="9">
        <v>0</v>
      </c>
      <c r="GT114" s="9">
        <v>0</v>
      </c>
      <c r="GU114" s="9">
        <v>0</v>
      </c>
      <c r="GV114" s="9">
        <v>0</v>
      </c>
      <c r="GW114" s="9">
        <v>0</v>
      </c>
      <c r="GX114" s="9">
        <v>0</v>
      </c>
      <c r="GY114" s="9">
        <v>0</v>
      </c>
      <c r="GZ114" s="9">
        <v>0</v>
      </c>
      <c r="HA114" s="9">
        <v>0</v>
      </c>
      <c r="HB114" s="9">
        <v>260786259</v>
      </c>
      <c r="HC114" s="9">
        <v>5.0923999999999997E-2</v>
      </c>
      <c r="HD114" s="9">
        <v>145716</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32469</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row>
    <row r="115" spans="1:292" x14ac:dyDescent="0.25">
      <c r="A115" s="9">
        <v>101862</v>
      </c>
      <c r="B115" s="9">
        <v>32570</v>
      </c>
      <c r="C115" s="9">
        <v>35</v>
      </c>
      <c r="D115" s="9">
        <v>2022</v>
      </c>
      <c r="E115" s="9">
        <v>5392</v>
      </c>
      <c r="F115" s="9">
        <v>0</v>
      </c>
      <c r="G115" s="9">
        <v>3680.5730000000003</v>
      </c>
      <c r="H115" s="9">
        <v>3423.9300000000003</v>
      </c>
      <c r="I115" s="9">
        <v>3423.9300000000003</v>
      </c>
      <c r="J115" s="9">
        <v>3680.5730000000003</v>
      </c>
      <c r="K115" s="9">
        <v>0</v>
      </c>
      <c r="L115" s="9">
        <v>6554</v>
      </c>
      <c r="M115" s="9">
        <v>0</v>
      </c>
      <c r="N115" s="9">
        <v>0</v>
      </c>
      <c r="O115" s="9">
        <v>0</v>
      </c>
      <c r="P115" s="9">
        <v>3616.9830000000002</v>
      </c>
      <c r="Q115" s="9">
        <v>0</v>
      </c>
      <c r="R115" s="9">
        <v>1156396</v>
      </c>
      <c r="S115" s="9">
        <v>319.71300000000002</v>
      </c>
      <c r="T115" s="9">
        <v>0</v>
      </c>
      <c r="U115" s="9">
        <v>1156396</v>
      </c>
      <c r="V115" s="9">
        <v>762.45100000000002</v>
      </c>
      <c r="W115" s="9">
        <v>499710</v>
      </c>
      <c r="X115" s="9">
        <v>499710</v>
      </c>
      <c r="Y115" s="9">
        <v>0</v>
      </c>
      <c r="Z115" s="9">
        <v>0</v>
      </c>
      <c r="AA115" s="9">
        <v>1</v>
      </c>
      <c r="AB115" s="9">
        <v>1</v>
      </c>
      <c r="AC115" s="9">
        <v>0</v>
      </c>
      <c r="AD115" s="9" t="s">
        <v>314</v>
      </c>
      <c r="AE115" s="9">
        <v>0</v>
      </c>
      <c r="AF115" s="9">
        <v>0</v>
      </c>
      <c r="AG115" s="9">
        <v>0</v>
      </c>
      <c r="AH115" s="9">
        <v>0</v>
      </c>
      <c r="AI115" s="9">
        <v>0</v>
      </c>
      <c r="AJ115" s="9">
        <v>5104</v>
      </c>
      <c r="AK115" s="9" t="s">
        <v>651</v>
      </c>
      <c r="AL115" s="9" t="s">
        <v>349</v>
      </c>
      <c r="AM115" s="9">
        <v>0</v>
      </c>
      <c r="AN115" s="9">
        <v>0</v>
      </c>
      <c r="AO115" s="9">
        <v>0</v>
      </c>
      <c r="AP115" s="9">
        <v>0</v>
      </c>
      <c r="AQ115" s="9">
        <v>0</v>
      </c>
      <c r="AR115" s="9">
        <v>0</v>
      </c>
      <c r="AS115" s="9">
        <v>0</v>
      </c>
      <c r="AT115" s="9">
        <v>0</v>
      </c>
      <c r="AU115" s="9">
        <v>0</v>
      </c>
      <c r="AV115" s="9">
        <v>336852</v>
      </c>
      <c r="AW115" s="9">
        <v>34623138</v>
      </c>
      <c r="AX115" s="9">
        <v>33541937</v>
      </c>
      <c r="AY115" s="9">
        <v>36307946</v>
      </c>
      <c r="AZ115" s="9">
        <v>1469029</v>
      </c>
      <c r="BA115" s="9">
        <v>86.417000000000002</v>
      </c>
      <c r="BB115" s="9">
        <v>144735</v>
      </c>
      <c r="BC115" s="9">
        <v>144735</v>
      </c>
      <c r="BD115" s="9">
        <v>184.029</v>
      </c>
      <c r="BE115" s="9">
        <v>0</v>
      </c>
      <c r="BF115" s="9">
        <v>28581689</v>
      </c>
      <c r="BG115" s="9">
        <v>0</v>
      </c>
      <c r="BH115" s="9">
        <v>1101.45</v>
      </c>
      <c r="BI115" s="9">
        <v>302899</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25.465</v>
      </c>
      <c r="CB115" s="9">
        <v>9734</v>
      </c>
      <c r="CC115" s="9">
        <v>0</v>
      </c>
      <c r="CD115" s="9">
        <v>0</v>
      </c>
      <c r="CE115" s="9">
        <v>0</v>
      </c>
      <c r="CF115" s="9">
        <v>0</v>
      </c>
      <c r="CG115" s="9">
        <v>0</v>
      </c>
      <c r="CH115" s="9">
        <v>768568</v>
      </c>
      <c r="CI115" s="9">
        <v>0</v>
      </c>
      <c r="CJ115" s="9">
        <v>4</v>
      </c>
      <c r="CK115" s="9">
        <v>0</v>
      </c>
      <c r="CL115" s="9">
        <v>0</v>
      </c>
      <c r="CM115" s="9">
        <v>0</v>
      </c>
      <c r="CN115" s="9">
        <v>0</v>
      </c>
      <c r="CO115" s="9">
        <v>0</v>
      </c>
      <c r="CP115" s="9">
        <v>0</v>
      </c>
      <c r="CQ115" s="9">
        <v>0</v>
      </c>
      <c r="CR115" s="9">
        <v>3616.9830000000002</v>
      </c>
      <c r="CS115" s="9">
        <v>0</v>
      </c>
      <c r="CT115" s="9">
        <v>0</v>
      </c>
      <c r="CU115" s="9">
        <v>0</v>
      </c>
      <c r="CV115" s="9">
        <v>0</v>
      </c>
      <c r="CW115" s="9">
        <v>0</v>
      </c>
      <c r="CX115" s="9">
        <v>0</v>
      </c>
      <c r="CY115" s="9">
        <v>0</v>
      </c>
      <c r="CZ115" s="9">
        <v>0</v>
      </c>
      <c r="DA115" s="9">
        <v>1</v>
      </c>
      <c r="DB115" s="9">
        <v>22440437</v>
      </c>
      <c r="DC115" s="9">
        <v>0</v>
      </c>
      <c r="DD115" s="9">
        <v>0</v>
      </c>
      <c r="DE115" s="9">
        <v>2832206</v>
      </c>
      <c r="DF115" s="9">
        <v>2832206</v>
      </c>
      <c r="DG115" s="9">
        <v>2160.67</v>
      </c>
      <c r="DH115" s="9">
        <v>0</v>
      </c>
      <c r="DI115" s="9">
        <v>0</v>
      </c>
      <c r="DJ115" s="9">
        <v>0</v>
      </c>
      <c r="DK115" s="9">
        <v>5392</v>
      </c>
      <c r="DL115" s="9">
        <v>0</v>
      </c>
      <c r="DM115" s="9">
        <v>1837461</v>
      </c>
      <c r="DN115" s="9">
        <v>0</v>
      </c>
      <c r="DO115" s="9">
        <v>0</v>
      </c>
      <c r="DP115" s="9">
        <v>0</v>
      </c>
      <c r="DQ115" s="9">
        <v>0</v>
      </c>
      <c r="DR115" s="9">
        <v>0</v>
      </c>
      <c r="DS115" s="9">
        <v>0</v>
      </c>
      <c r="DT115" s="9">
        <v>0</v>
      </c>
      <c r="DU115" s="9">
        <v>0</v>
      </c>
      <c r="DV115" s="9">
        <v>0</v>
      </c>
      <c r="DW115" s="9">
        <v>0</v>
      </c>
      <c r="DX115" s="9">
        <v>0</v>
      </c>
      <c r="DY115" s="9">
        <v>0</v>
      </c>
      <c r="DZ115" s="9">
        <v>0</v>
      </c>
      <c r="EA115" s="9">
        <v>0</v>
      </c>
      <c r="EB115" s="9">
        <v>3.3000000000000002E-2</v>
      </c>
      <c r="EC115" s="9">
        <v>42.792000000000002</v>
      </c>
      <c r="ED115" s="9">
        <v>308505</v>
      </c>
      <c r="EE115" s="9">
        <v>0</v>
      </c>
      <c r="EF115" s="9">
        <v>0</v>
      </c>
      <c r="EG115" s="9">
        <v>0</v>
      </c>
      <c r="EH115" s="9">
        <v>1528956</v>
      </c>
      <c r="EI115" s="9">
        <v>0</v>
      </c>
      <c r="EJ115" s="9">
        <v>0</v>
      </c>
      <c r="EK115" s="9">
        <v>63.546000000000006</v>
      </c>
      <c r="EL115" s="9">
        <v>0</v>
      </c>
      <c r="EM115" s="9">
        <v>6.343</v>
      </c>
      <c r="EN115" s="9">
        <v>4.7040000000000006</v>
      </c>
      <c r="EO115" s="9">
        <v>0</v>
      </c>
      <c r="EP115" s="9">
        <v>0</v>
      </c>
      <c r="EQ115" s="9">
        <v>74.626000000000005</v>
      </c>
      <c r="ER115" s="9">
        <v>0</v>
      </c>
      <c r="ES115" s="9">
        <v>233.286</v>
      </c>
      <c r="ET115" s="9">
        <v>43209</v>
      </c>
      <c r="EU115" s="9">
        <v>1469029</v>
      </c>
      <c r="EV115" s="9">
        <v>0</v>
      </c>
      <c r="EW115" s="9">
        <v>0</v>
      </c>
      <c r="EX115" s="9">
        <v>0</v>
      </c>
      <c r="EY115" s="9">
        <v>0</v>
      </c>
      <c r="EZ115" s="9">
        <v>28210037</v>
      </c>
      <c r="FA115" s="9">
        <v>0</v>
      </c>
      <c r="FB115" s="9">
        <v>29679066</v>
      </c>
      <c r="FC115" s="9">
        <v>0.97327799999999998</v>
      </c>
      <c r="FD115" s="9">
        <v>0</v>
      </c>
      <c r="FE115" s="9">
        <v>4351333</v>
      </c>
      <c r="FF115" s="9">
        <v>980567</v>
      </c>
      <c r="FG115" s="9">
        <v>6.1239999999999996E-2</v>
      </c>
      <c r="FH115" s="9">
        <v>5.4803999999999999E-2</v>
      </c>
      <c r="FI115" s="9">
        <v>0</v>
      </c>
      <c r="FJ115" s="9">
        <v>0</v>
      </c>
      <c r="FK115" s="9">
        <v>5600.0529999999999</v>
      </c>
      <c r="FL115" s="9">
        <v>35779534</v>
      </c>
      <c r="FM115" s="9">
        <v>0</v>
      </c>
      <c r="FN115" s="9">
        <v>0</v>
      </c>
      <c r="FO115" s="9">
        <v>0</v>
      </c>
      <c r="FP115" s="9">
        <v>0</v>
      </c>
      <c r="FQ115" s="9">
        <v>0</v>
      </c>
      <c r="FR115" s="9">
        <v>0</v>
      </c>
      <c r="FS115" s="9">
        <v>0</v>
      </c>
      <c r="FT115" s="9">
        <v>0</v>
      </c>
      <c r="FU115" s="9">
        <v>0</v>
      </c>
      <c r="FV115" s="9">
        <v>0</v>
      </c>
      <c r="FW115" s="9">
        <v>0</v>
      </c>
      <c r="FX115" s="9">
        <v>0</v>
      </c>
      <c r="FY115" s="9">
        <v>0</v>
      </c>
      <c r="FZ115" s="9">
        <v>1416</v>
      </c>
      <c r="GA115" s="9">
        <v>28.315000000000001</v>
      </c>
      <c r="GB115" s="9">
        <v>1611884</v>
      </c>
      <c r="GC115" s="9">
        <v>1611884</v>
      </c>
      <c r="GD115" s="9">
        <v>182.017</v>
      </c>
      <c r="GE115" s="9">
        <v>0</v>
      </c>
      <c r="GF115" s="9">
        <v>0</v>
      </c>
      <c r="GG115" s="9">
        <v>0</v>
      </c>
      <c r="GH115" s="9">
        <v>0</v>
      </c>
      <c r="GI115" s="9">
        <v>0</v>
      </c>
      <c r="GJ115" s="9">
        <v>0</v>
      </c>
      <c r="GK115" s="9">
        <v>5101</v>
      </c>
      <c r="GL115" s="9">
        <v>10856</v>
      </c>
      <c r="GM115" s="9">
        <v>0</v>
      </c>
      <c r="GN115" s="9">
        <v>0</v>
      </c>
      <c r="GO115" s="9">
        <v>0</v>
      </c>
      <c r="GP115" s="9">
        <v>35010966</v>
      </c>
      <c r="GQ115" s="9">
        <v>35010966</v>
      </c>
      <c r="GR115" s="9">
        <v>0</v>
      </c>
      <c r="GS115" s="9">
        <v>0</v>
      </c>
      <c r="GT115" s="9">
        <v>0</v>
      </c>
      <c r="GU115" s="9">
        <v>0</v>
      </c>
      <c r="GV115" s="9">
        <v>0</v>
      </c>
      <c r="GW115" s="9">
        <v>0</v>
      </c>
      <c r="GX115" s="9">
        <v>0</v>
      </c>
      <c r="GY115" s="9">
        <v>0</v>
      </c>
      <c r="GZ115" s="9">
        <v>0</v>
      </c>
      <c r="HA115" s="9">
        <v>0</v>
      </c>
      <c r="HB115" s="9">
        <v>260786259</v>
      </c>
      <c r="HC115" s="9">
        <v>5.0923999999999997E-2</v>
      </c>
      <c r="HD115" s="9">
        <v>725359</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32469</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row>
    <row r="116" spans="1:292" x14ac:dyDescent="0.25">
      <c r="A116" s="9">
        <v>101864</v>
      </c>
      <c r="B116" s="9">
        <v>32570</v>
      </c>
      <c r="C116" s="9">
        <v>35</v>
      </c>
      <c r="D116" s="9">
        <v>2022</v>
      </c>
      <c r="E116" s="9">
        <v>5392</v>
      </c>
      <c r="F116" s="9">
        <v>0</v>
      </c>
      <c r="G116" s="9">
        <v>178.495</v>
      </c>
      <c r="H116" s="9">
        <v>176.67400000000001</v>
      </c>
      <c r="I116" s="9">
        <v>176.67400000000001</v>
      </c>
      <c r="J116" s="9">
        <v>178.495</v>
      </c>
      <c r="K116" s="9">
        <v>0</v>
      </c>
      <c r="L116" s="9">
        <v>6554</v>
      </c>
      <c r="M116" s="9">
        <v>0</v>
      </c>
      <c r="N116" s="9">
        <v>0</v>
      </c>
      <c r="O116" s="9">
        <v>0</v>
      </c>
      <c r="P116" s="9">
        <v>215.83</v>
      </c>
      <c r="Q116" s="9">
        <v>0</v>
      </c>
      <c r="R116" s="9">
        <v>69004</v>
      </c>
      <c r="S116" s="9">
        <v>319.71300000000002</v>
      </c>
      <c r="T116" s="9">
        <v>0</v>
      </c>
      <c r="U116" s="9">
        <v>69004</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651</v>
      </c>
      <c r="AL116" s="9" t="s">
        <v>350</v>
      </c>
      <c r="AM116" s="9">
        <v>0</v>
      </c>
      <c r="AN116" s="9">
        <v>0</v>
      </c>
      <c r="AO116" s="9">
        <v>0</v>
      </c>
      <c r="AP116" s="9">
        <v>0</v>
      </c>
      <c r="AQ116" s="9">
        <v>0</v>
      </c>
      <c r="AR116" s="9">
        <v>0</v>
      </c>
      <c r="AS116" s="9">
        <v>0</v>
      </c>
      <c r="AT116" s="9">
        <v>0</v>
      </c>
      <c r="AU116" s="9">
        <v>0</v>
      </c>
      <c r="AV116" s="9">
        <v>99407</v>
      </c>
      <c r="AW116" s="9">
        <v>1831516</v>
      </c>
      <c r="AX116" s="9">
        <v>1796339</v>
      </c>
      <c r="AY116" s="9">
        <v>1887718</v>
      </c>
      <c r="AZ116" s="9">
        <v>69004</v>
      </c>
      <c r="BA116" s="9">
        <v>0</v>
      </c>
      <c r="BB116" s="9">
        <v>0</v>
      </c>
      <c r="BC116" s="9">
        <v>0</v>
      </c>
      <c r="BD116" s="9">
        <v>0</v>
      </c>
      <c r="BE116" s="9">
        <v>0</v>
      </c>
      <c r="BF116" s="9">
        <v>1521568</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35177</v>
      </c>
      <c r="CI116" s="9">
        <v>0</v>
      </c>
      <c r="CJ116" s="9">
        <v>4</v>
      </c>
      <c r="CK116" s="9">
        <v>0</v>
      </c>
      <c r="CL116" s="9">
        <v>0</v>
      </c>
      <c r="CM116" s="9">
        <v>0</v>
      </c>
      <c r="CN116" s="9">
        <v>0</v>
      </c>
      <c r="CO116" s="9">
        <v>0</v>
      </c>
      <c r="CP116" s="9">
        <v>0</v>
      </c>
      <c r="CQ116" s="9">
        <v>0</v>
      </c>
      <c r="CR116" s="9">
        <v>215.83</v>
      </c>
      <c r="CS116" s="9">
        <v>0</v>
      </c>
      <c r="CT116" s="9">
        <v>0</v>
      </c>
      <c r="CU116" s="9">
        <v>0</v>
      </c>
      <c r="CV116" s="9">
        <v>0</v>
      </c>
      <c r="CW116" s="9">
        <v>0</v>
      </c>
      <c r="CX116" s="9">
        <v>0</v>
      </c>
      <c r="CY116" s="9">
        <v>0</v>
      </c>
      <c r="CZ116" s="9">
        <v>0</v>
      </c>
      <c r="DA116" s="9">
        <v>1</v>
      </c>
      <c r="DB116" s="9">
        <v>1157921</v>
      </c>
      <c r="DC116" s="9">
        <v>0</v>
      </c>
      <c r="DD116" s="9">
        <v>0</v>
      </c>
      <c r="DE116" s="9">
        <v>294707</v>
      </c>
      <c r="DF116" s="9">
        <v>294707</v>
      </c>
      <c r="DG116" s="9">
        <v>224.83</v>
      </c>
      <c r="DH116" s="9">
        <v>0</v>
      </c>
      <c r="DI116" s="9">
        <v>0</v>
      </c>
      <c r="DJ116" s="9">
        <v>0</v>
      </c>
      <c r="DK116" s="9">
        <v>5392</v>
      </c>
      <c r="DL116" s="9">
        <v>0</v>
      </c>
      <c r="DM116" s="9">
        <v>110716</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10.349</v>
      </c>
      <c r="ED116" s="9">
        <v>74610</v>
      </c>
      <c r="EE116" s="9">
        <v>0</v>
      </c>
      <c r="EF116" s="9">
        <v>0</v>
      </c>
      <c r="EG116" s="9">
        <v>0</v>
      </c>
      <c r="EH116" s="9">
        <v>36106</v>
      </c>
      <c r="EI116" s="9">
        <v>0</v>
      </c>
      <c r="EJ116" s="9">
        <v>0</v>
      </c>
      <c r="EK116" s="9">
        <v>1.798</v>
      </c>
      <c r="EL116" s="9">
        <v>0</v>
      </c>
      <c r="EM116" s="9">
        <v>0</v>
      </c>
      <c r="EN116" s="9">
        <v>2.3E-2</v>
      </c>
      <c r="EO116" s="9">
        <v>0</v>
      </c>
      <c r="EP116" s="9">
        <v>0</v>
      </c>
      <c r="EQ116" s="9">
        <v>1.8210000000000002</v>
      </c>
      <c r="ER116" s="9">
        <v>0</v>
      </c>
      <c r="ES116" s="9">
        <v>5.5090000000000003</v>
      </c>
      <c r="ET116" s="9">
        <v>0</v>
      </c>
      <c r="EU116" s="9">
        <v>69004</v>
      </c>
      <c r="EV116" s="9">
        <v>0</v>
      </c>
      <c r="EW116" s="9">
        <v>0</v>
      </c>
      <c r="EX116" s="9">
        <v>0</v>
      </c>
      <c r="EY116" s="9">
        <v>0</v>
      </c>
      <c r="EZ116" s="9">
        <v>1512492</v>
      </c>
      <c r="FA116" s="9">
        <v>0</v>
      </c>
      <c r="FB116" s="9">
        <v>1581496</v>
      </c>
      <c r="FC116" s="9">
        <v>0.97327799999999998</v>
      </c>
      <c r="FD116" s="9">
        <v>0</v>
      </c>
      <c r="FE116" s="9">
        <v>231646</v>
      </c>
      <c r="FF116" s="9">
        <v>52201</v>
      </c>
      <c r="FG116" s="9">
        <v>6.1239999999999996E-2</v>
      </c>
      <c r="FH116" s="9">
        <v>5.4803999999999999E-2</v>
      </c>
      <c r="FI116" s="9">
        <v>0</v>
      </c>
      <c r="FJ116" s="9">
        <v>0</v>
      </c>
      <c r="FK116" s="9">
        <v>298.12299999999999</v>
      </c>
      <c r="FL116" s="9">
        <v>1900520</v>
      </c>
      <c r="FM116" s="9">
        <v>0</v>
      </c>
      <c r="FN116" s="9">
        <v>0</v>
      </c>
      <c r="FO116" s="9">
        <v>14447</v>
      </c>
      <c r="FP116" s="9">
        <v>3705</v>
      </c>
      <c r="FQ116" s="9">
        <v>18152</v>
      </c>
      <c r="FR116" s="9">
        <v>14447</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1865343</v>
      </c>
      <c r="GQ116" s="9">
        <v>1865343</v>
      </c>
      <c r="GR116" s="9">
        <v>0</v>
      </c>
      <c r="GS116" s="9">
        <v>0</v>
      </c>
      <c r="GT116" s="9">
        <v>0</v>
      </c>
      <c r="GU116" s="9">
        <v>0</v>
      </c>
      <c r="GV116" s="9">
        <v>0</v>
      </c>
      <c r="GW116" s="9">
        <v>0</v>
      </c>
      <c r="GX116" s="9">
        <v>0</v>
      </c>
      <c r="GY116" s="9">
        <v>0</v>
      </c>
      <c r="GZ116" s="9">
        <v>0</v>
      </c>
      <c r="HA116" s="9">
        <v>0</v>
      </c>
      <c r="HB116" s="9">
        <v>260786259</v>
      </c>
      <c r="HC116" s="9">
        <v>5.0923999999999997E-2</v>
      </c>
      <c r="HD116" s="9">
        <v>35177</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32469</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row>
    <row r="117" spans="1:292" x14ac:dyDescent="0.25">
      <c r="A117" s="9">
        <v>101868</v>
      </c>
      <c r="B117" s="9">
        <v>32570</v>
      </c>
      <c r="C117" s="9">
        <v>35</v>
      </c>
      <c r="D117" s="9">
        <v>2022</v>
      </c>
      <c r="E117" s="9">
        <v>5392</v>
      </c>
      <c r="F117" s="9">
        <v>0</v>
      </c>
      <c r="G117" s="9">
        <v>446.99100000000004</v>
      </c>
      <c r="H117" s="9">
        <v>397.33600000000001</v>
      </c>
      <c r="I117" s="9">
        <v>397.33600000000001</v>
      </c>
      <c r="J117" s="9">
        <v>446.99100000000004</v>
      </c>
      <c r="K117" s="9">
        <v>0</v>
      </c>
      <c r="L117" s="9">
        <v>6554</v>
      </c>
      <c r="M117" s="9">
        <v>0</v>
      </c>
      <c r="N117" s="9">
        <v>0</v>
      </c>
      <c r="O117" s="9">
        <v>0</v>
      </c>
      <c r="P117" s="9">
        <v>449.50600000000003</v>
      </c>
      <c r="Q117" s="9">
        <v>0</v>
      </c>
      <c r="R117" s="9">
        <v>143713</v>
      </c>
      <c r="S117" s="9">
        <v>319.71300000000002</v>
      </c>
      <c r="T117" s="9">
        <v>0</v>
      </c>
      <c r="U117" s="9">
        <v>143713</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651</v>
      </c>
      <c r="AL117" s="9" t="s">
        <v>351</v>
      </c>
      <c r="AM117" s="9">
        <v>0</v>
      </c>
      <c r="AN117" s="9">
        <v>0</v>
      </c>
      <c r="AO117" s="9">
        <v>0</v>
      </c>
      <c r="AP117" s="9">
        <v>0</v>
      </c>
      <c r="AQ117" s="9">
        <v>0</v>
      </c>
      <c r="AR117" s="9">
        <v>0</v>
      </c>
      <c r="AS117" s="9">
        <v>0</v>
      </c>
      <c r="AT117" s="9">
        <v>0</v>
      </c>
      <c r="AU117" s="9">
        <v>0</v>
      </c>
      <c r="AV117" s="9">
        <v>129998</v>
      </c>
      <c r="AW117" s="9">
        <v>4842643</v>
      </c>
      <c r="AX117" s="9">
        <v>4696884</v>
      </c>
      <c r="AY117" s="9">
        <v>4939064</v>
      </c>
      <c r="AZ117" s="9">
        <v>201380</v>
      </c>
      <c r="BA117" s="9">
        <v>0</v>
      </c>
      <c r="BB117" s="9">
        <v>0</v>
      </c>
      <c r="BC117" s="9">
        <v>0</v>
      </c>
      <c r="BD117" s="9">
        <v>0</v>
      </c>
      <c r="BE117" s="9">
        <v>0</v>
      </c>
      <c r="BF117" s="9">
        <v>3953894</v>
      </c>
      <c r="BG117" s="9">
        <v>0</v>
      </c>
      <c r="BH117" s="9">
        <v>209.69800000000001</v>
      </c>
      <c r="BI117" s="9">
        <v>57667</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88092</v>
      </c>
      <c r="CI117" s="9">
        <v>0</v>
      </c>
      <c r="CJ117" s="9">
        <v>5</v>
      </c>
      <c r="CK117" s="9">
        <v>0</v>
      </c>
      <c r="CL117" s="9">
        <v>0</v>
      </c>
      <c r="CM117" s="9">
        <v>0</v>
      </c>
      <c r="CN117" s="9">
        <v>0</v>
      </c>
      <c r="CO117" s="9">
        <v>0</v>
      </c>
      <c r="CP117" s="9">
        <v>9.5000000000000001E-2</v>
      </c>
      <c r="CQ117" s="9">
        <v>0</v>
      </c>
      <c r="CR117" s="9">
        <v>449.50600000000003</v>
      </c>
      <c r="CS117" s="9">
        <v>0</v>
      </c>
      <c r="CT117" s="9">
        <v>0</v>
      </c>
      <c r="CU117" s="9">
        <v>0</v>
      </c>
      <c r="CV117" s="9">
        <v>0</v>
      </c>
      <c r="CW117" s="9">
        <v>0</v>
      </c>
      <c r="CX117" s="9">
        <v>0</v>
      </c>
      <c r="CY117" s="9">
        <v>0</v>
      </c>
      <c r="CZ117" s="9">
        <v>0</v>
      </c>
      <c r="DA117" s="9">
        <v>1</v>
      </c>
      <c r="DB117" s="9">
        <v>2604140</v>
      </c>
      <c r="DC117" s="9">
        <v>0</v>
      </c>
      <c r="DD117" s="9">
        <v>0</v>
      </c>
      <c r="DE117" s="9">
        <v>580462</v>
      </c>
      <c r="DF117" s="9">
        <v>581963</v>
      </c>
      <c r="DG117" s="9">
        <v>442.83</v>
      </c>
      <c r="DH117" s="9">
        <v>0</v>
      </c>
      <c r="DI117" s="9">
        <v>1501</v>
      </c>
      <c r="DJ117" s="9">
        <v>0</v>
      </c>
      <c r="DK117" s="9">
        <v>5392</v>
      </c>
      <c r="DL117" s="9">
        <v>0</v>
      </c>
      <c r="DM117" s="9">
        <v>512482</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47.696000000000005</v>
      </c>
      <c r="ED117" s="9">
        <v>343860</v>
      </c>
      <c r="EE117" s="9">
        <v>0</v>
      </c>
      <c r="EF117" s="9">
        <v>0</v>
      </c>
      <c r="EG117" s="9">
        <v>0</v>
      </c>
      <c r="EH117" s="9">
        <v>165633</v>
      </c>
      <c r="EI117" s="9">
        <v>2989</v>
      </c>
      <c r="EJ117" s="9">
        <v>0.114</v>
      </c>
      <c r="EK117" s="9">
        <v>7.5470000000000006</v>
      </c>
      <c r="EL117" s="9">
        <v>0</v>
      </c>
      <c r="EM117" s="9">
        <v>0.877</v>
      </c>
      <c r="EN117" s="9">
        <v>0</v>
      </c>
      <c r="EO117" s="9">
        <v>0</v>
      </c>
      <c r="EP117" s="9">
        <v>0</v>
      </c>
      <c r="EQ117" s="9">
        <v>8.5380000000000003</v>
      </c>
      <c r="ER117" s="9">
        <v>0</v>
      </c>
      <c r="ES117" s="9">
        <v>25.272000000000002</v>
      </c>
      <c r="ET117" s="9">
        <v>0</v>
      </c>
      <c r="EU117" s="9">
        <v>201380</v>
      </c>
      <c r="EV117" s="9">
        <v>0</v>
      </c>
      <c r="EW117" s="9">
        <v>0</v>
      </c>
      <c r="EX117" s="9">
        <v>0</v>
      </c>
      <c r="EY117" s="9">
        <v>0</v>
      </c>
      <c r="EZ117" s="9">
        <v>3959288</v>
      </c>
      <c r="FA117" s="9">
        <v>0</v>
      </c>
      <c r="FB117" s="9">
        <v>4160668</v>
      </c>
      <c r="FC117" s="9">
        <v>0.97327799999999998</v>
      </c>
      <c r="FD117" s="9">
        <v>0</v>
      </c>
      <c r="FE117" s="9">
        <v>601948</v>
      </c>
      <c r="FF117" s="9">
        <v>135648</v>
      </c>
      <c r="FG117" s="9">
        <v>6.1239999999999996E-2</v>
      </c>
      <c r="FH117" s="9">
        <v>5.4803999999999999E-2</v>
      </c>
      <c r="FI117" s="9">
        <v>0</v>
      </c>
      <c r="FJ117" s="9">
        <v>0</v>
      </c>
      <c r="FK117" s="9">
        <v>774.69200000000001</v>
      </c>
      <c r="FL117" s="9">
        <v>4986356</v>
      </c>
      <c r="FM117" s="9">
        <v>0</v>
      </c>
      <c r="FN117" s="9">
        <v>0</v>
      </c>
      <c r="FO117" s="9">
        <v>40548</v>
      </c>
      <c r="FP117" s="9">
        <v>0</v>
      </c>
      <c r="FQ117" s="9">
        <v>40548</v>
      </c>
      <c r="FR117" s="9">
        <v>40548</v>
      </c>
      <c r="FS117" s="9">
        <v>0</v>
      </c>
      <c r="FT117" s="9">
        <v>0</v>
      </c>
      <c r="FU117" s="9">
        <v>0</v>
      </c>
      <c r="FV117" s="9">
        <v>0</v>
      </c>
      <c r="FW117" s="9">
        <v>0</v>
      </c>
      <c r="FX117" s="9">
        <v>0</v>
      </c>
      <c r="FY117" s="9">
        <v>0</v>
      </c>
      <c r="FZ117" s="9">
        <v>68</v>
      </c>
      <c r="GA117" s="9">
        <v>1.3680000000000001</v>
      </c>
      <c r="GB117" s="9">
        <v>363868</v>
      </c>
      <c r="GC117" s="9">
        <v>363868</v>
      </c>
      <c r="GD117" s="9">
        <v>41.117000000000004</v>
      </c>
      <c r="GE117" s="9">
        <v>0</v>
      </c>
      <c r="GF117" s="9">
        <v>0</v>
      </c>
      <c r="GG117" s="9">
        <v>0</v>
      </c>
      <c r="GH117" s="9">
        <v>0</v>
      </c>
      <c r="GI117" s="9">
        <v>0</v>
      </c>
      <c r="GJ117" s="9">
        <v>0</v>
      </c>
      <c r="GK117" s="9">
        <v>4971</v>
      </c>
      <c r="GL117" s="9">
        <v>0</v>
      </c>
      <c r="GM117" s="9">
        <v>0</v>
      </c>
      <c r="GN117" s="9">
        <v>0</v>
      </c>
      <c r="GO117" s="9">
        <v>0</v>
      </c>
      <c r="GP117" s="9">
        <v>4898264</v>
      </c>
      <c r="GQ117" s="9">
        <v>4898264</v>
      </c>
      <c r="GR117" s="9">
        <v>0</v>
      </c>
      <c r="GS117" s="9">
        <v>0</v>
      </c>
      <c r="GT117" s="9">
        <v>0</v>
      </c>
      <c r="GU117" s="9">
        <v>0</v>
      </c>
      <c r="GV117" s="9">
        <v>0</v>
      </c>
      <c r="GW117" s="9">
        <v>0</v>
      </c>
      <c r="GX117" s="9">
        <v>0</v>
      </c>
      <c r="GY117" s="9">
        <v>0</v>
      </c>
      <c r="GZ117" s="9">
        <v>0</v>
      </c>
      <c r="HA117" s="9">
        <v>0</v>
      </c>
      <c r="HB117" s="9">
        <v>260786259</v>
      </c>
      <c r="HC117" s="9">
        <v>5.0923999999999997E-2</v>
      </c>
      <c r="HD117" s="9">
        <v>88092</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32469</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row>
    <row r="118" spans="1:292" x14ac:dyDescent="0.25">
      <c r="A118" s="9">
        <v>101870</v>
      </c>
      <c r="B118" s="9">
        <v>32570</v>
      </c>
      <c r="C118" s="9">
        <v>35</v>
      </c>
      <c r="D118" s="9">
        <v>2022</v>
      </c>
      <c r="E118" s="9">
        <v>5392</v>
      </c>
      <c r="F118" s="9">
        <v>0</v>
      </c>
      <c r="G118" s="9">
        <v>801.69100000000003</v>
      </c>
      <c r="H118" s="9">
        <v>787.16600000000005</v>
      </c>
      <c r="I118" s="9">
        <v>787.16600000000005</v>
      </c>
      <c r="J118" s="9">
        <v>801.69100000000003</v>
      </c>
      <c r="K118" s="9">
        <v>0</v>
      </c>
      <c r="L118" s="9">
        <v>6554</v>
      </c>
      <c r="M118" s="9">
        <v>0</v>
      </c>
      <c r="N118" s="9">
        <v>0</v>
      </c>
      <c r="O118" s="9">
        <v>0</v>
      </c>
      <c r="P118" s="9">
        <v>631.98099999999999</v>
      </c>
      <c r="Q118" s="9">
        <v>0</v>
      </c>
      <c r="R118" s="9">
        <v>202053</v>
      </c>
      <c r="S118" s="9">
        <v>319.71300000000002</v>
      </c>
      <c r="T118" s="9">
        <v>0</v>
      </c>
      <c r="U118" s="9">
        <v>202053</v>
      </c>
      <c r="V118" s="9">
        <v>156.298</v>
      </c>
      <c r="W118" s="9">
        <v>102438</v>
      </c>
      <c r="X118" s="9">
        <v>102438</v>
      </c>
      <c r="Y118" s="9">
        <v>0</v>
      </c>
      <c r="Z118" s="9">
        <v>0</v>
      </c>
      <c r="AA118" s="9">
        <v>1</v>
      </c>
      <c r="AB118" s="9">
        <v>1</v>
      </c>
      <c r="AC118" s="9">
        <v>0</v>
      </c>
      <c r="AD118" s="9" t="s">
        <v>314</v>
      </c>
      <c r="AE118" s="9">
        <v>0</v>
      </c>
      <c r="AF118" s="9">
        <v>0</v>
      </c>
      <c r="AG118" s="9">
        <v>0</v>
      </c>
      <c r="AH118" s="9">
        <v>0</v>
      </c>
      <c r="AI118" s="9">
        <v>0</v>
      </c>
      <c r="AJ118" s="9">
        <v>5104</v>
      </c>
      <c r="AK118" s="9" t="s">
        <v>651</v>
      </c>
      <c r="AL118" s="9" t="s">
        <v>368</v>
      </c>
      <c r="AM118" s="9">
        <v>0</v>
      </c>
      <c r="AN118" s="9">
        <v>0</v>
      </c>
      <c r="AO118" s="9">
        <v>0</v>
      </c>
      <c r="AP118" s="9">
        <v>0</v>
      </c>
      <c r="AQ118" s="9">
        <v>0</v>
      </c>
      <c r="AR118" s="9">
        <v>0</v>
      </c>
      <c r="AS118" s="9">
        <v>0</v>
      </c>
      <c r="AT118" s="9">
        <v>0</v>
      </c>
      <c r="AU118" s="9">
        <v>0</v>
      </c>
      <c r="AV118" s="9">
        <v>7615</v>
      </c>
      <c r="AW118" s="9">
        <v>7527290</v>
      </c>
      <c r="AX118" s="9">
        <v>7357624</v>
      </c>
      <c r="AY118" s="9">
        <v>8109202</v>
      </c>
      <c r="AZ118" s="9">
        <v>213724</v>
      </c>
      <c r="BA118" s="9">
        <v>0</v>
      </c>
      <c r="BB118" s="9">
        <v>0</v>
      </c>
      <c r="BC118" s="9">
        <v>0</v>
      </c>
      <c r="BD118" s="9">
        <v>0</v>
      </c>
      <c r="BE118" s="9">
        <v>0</v>
      </c>
      <c r="BF118" s="9">
        <v>6227052</v>
      </c>
      <c r="BG118" s="9">
        <v>0</v>
      </c>
      <c r="BH118" s="9">
        <v>42.44</v>
      </c>
      <c r="BI118" s="9">
        <v>11671</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157995</v>
      </c>
      <c r="CI118" s="9">
        <v>0</v>
      </c>
      <c r="CJ118" s="9">
        <v>4</v>
      </c>
      <c r="CK118" s="9">
        <v>0</v>
      </c>
      <c r="CL118" s="9">
        <v>0</v>
      </c>
      <c r="CM118" s="9">
        <v>0</v>
      </c>
      <c r="CN118" s="9">
        <v>0</v>
      </c>
      <c r="CO118" s="9">
        <v>0</v>
      </c>
      <c r="CP118" s="9">
        <v>0</v>
      </c>
      <c r="CQ118" s="9">
        <v>0</v>
      </c>
      <c r="CR118" s="9">
        <v>631.98099999999999</v>
      </c>
      <c r="CS118" s="9">
        <v>0</v>
      </c>
      <c r="CT118" s="9">
        <v>0</v>
      </c>
      <c r="CU118" s="9">
        <v>0</v>
      </c>
      <c r="CV118" s="9">
        <v>0</v>
      </c>
      <c r="CW118" s="9">
        <v>0</v>
      </c>
      <c r="CX118" s="9">
        <v>0</v>
      </c>
      <c r="CY118" s="9">
        <v>0</v>
      </c>
      <c r="CZ118" s="9">
        <v>0</v>
      </c>
      <c r="DA118" s="9">
        <v>1</v>
      </c>
      <c r="DB118" s="9">
        <v>5159086</v>
      </c>
      <c r="DC118" s="9">
        <v>0</v>
      </c>
      <c r="DD118" s="9">
        <v>0</v>
      </c>
      <c r="DE118" s="9">
        <v>658244</v>
      </c>
      <c r="DF118" s="9">
        <v>658244</v>
      </c>
      <c r="DG118" s="9">
        <v>502.17</v>
      </c>
      <c r="DH118" s="9">
        <v>0</v>
      </c>
      <c r="DI118" s="9">
        <v>0</v>
      </c>
      <c r="DJ118" s="9">
        <v>0</v>
      </c>
      <c r="DK118" s="9">
        <v>5392</v>
      </c>
      <c r="DL118" s="9">
        <v>0</v>
      </c>
      <c r="DM118" s="9">
        <v>424159</v>
      </c>
      <c r="DN118" s="9">
        <v>0</v>
      </c>
      <c r="DO118" s="9">
        <v>369</v>
      </c>
      <c r="DP118" s="9">
        <v>0</v>
      </c>
      <c r="DQ118" s="9">
        <v>0</v>
      </c>
      <c r="DR118" s="9">
        <v>0</v>
      </c>
      <c r="DS118" s="9">
        <v>0</v>
      </c>
      <c r="DT118" s="9">
        <v>2.5000000000000001E-2</v>
      </c>
      <c r="DU118" s="9">
        <v>0</v>
      </c>
      <c r="DV118" s="9">
        <v>0</v>
      </c>
      <c r="DW118" s="9">
        <v>0</v>
      </c>
      <c r="DX118" s="9">
        <v>0</v>
      </c>
      <c r="DY118" s="9">
        <v>0</v>
      </c>
      <c r="DZ118" s="9">
        <v>7.4999999999999997E-2</v>
      </c>
      <c r="EA118" s="9">
        <v>0</v>
      </c>
      <c r="EB118" s="9">
        <v>0</v>
      </c>
      <c r="EC118" s="9">
        <v>34.004000000000005</v>
      </c>
      <c r="ED118" s="9">
        <v>245148</v>
      </c>
      <c r="EE118" s="9">
        <v>0</v>
      </c>
      <c r="EF118" s="9">
        <v>0</v>
      </c>
      <c r="EG118" s="9">
        <v>0</v>
      </c>
      <c r="EH118" s="9">
        <v>178642</v>
      </c>
      <c r="EI118" s="9">
        <v>0</v>
      </c>
      <c r="EJ118" s="9">
        <v>0</v>
      </c>
      <c r="EK118" s="9">
        <v>7.399</v>
      </c>
      <c r="EL118" s="9">
        <v>0</v>
      </c>
      <c r="EM118" s="9">
        <v>0</v>
      </c>
      <c r="EN118" s="9">
        <v>1.012</v>
      </c>
      <c r="EO118" s="9">
        <v>0</v>
      </c>
      <c r="EP118" s="9">
        <v>0</v>
      </c>
      <c r="EQ118" s="9">
        <v>8.4109999999999996</v>
      </c>
      <c r="ER118" s="9">
        <v>0</v>
      </c>
      <c r="ES118" s="9">
        <v>27.257000000000001</v>
      </c>
      <c r="ET118" s="9">
        <v>0</v>
      </c>
      <c r="EU118" s="9">
        <v>213724</v>
      </c>
      <c r="EV118" s="9">
        <v>0</v>
      </c>
      <c r="EW118" s="9">
        <v>0</v>
      </c>
      <c r="EX118" s="9">
        <v>0</v>
      </c>
      <c r="EY118" s="9">
        <v>0</v>
      </c>
      <c r="EZ118" s="9">
        <v>6195970</v>
      </c>
      <c r="FA118" s="9">
        <v>0</v>
      </c>
      <c r="FB118" s="9">
        <v>6409694</v>
      </c>
      <c r="FC118" s="9">
        <v>0.97327799999999998</v>
      </c>
      <c r="FD118" s="9">
        <v>0</v>
      </c>
      <c r="FE118" s="9">
        <v>948019</v>
      </c>
      <c r="FF118" s="9">
        <v>213635</v>
      </c>
      <c r="FG118" s="9">
        <v>6.1239999999999996E-2</v>
      </c>
      <c r="FH118" s="9">
        <v>5.4803999999999999E-2</v>
      </c>
      <c r="FI118" s="9">
        <v>0</v>
      </c>
      <c r="FJ118" s="9">
        <v>0</v>
      </c>
      <c r="FK118" s="9">
        <v>1220.076</v>
      </c>
      <c r="FL118" s="9">
        <v>7729343</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54096</v>
      </c>
      <c r="GC118" s="9">
        <v>54096</v>
      </c>
      <c r="GD118" s="9">
        <v>6.1139999999999999</v>
      </c>
      <c r="GE118" s="9">
        <v>0</v>
      </c>
      <c r="GF118" s="9">
        <v>0</v>
      </c>
      <c r="GG118" s="9">
        <v>0</v>
      </c>
      <c r="GH118" s="9">
        <v>0</v>
      </c>
      <c r="GI118" s="9">
        <v>0</v>
      </c>
      <c r="GJ118" s="9">
        <v>0</v>
      </c>
      <c r="GK118" s="9">
        <v>0</v>
      </c>
      <c r="GL118" s="9">
        <v>0</v>
      </c>
      <c r="GM118" s="9">
        <v>0</v>
      </c>
      <c r="GN118" s="9">
        <v>0</v>
      </c>
      <c r="GO118" s="9">
        <v>0</v>
      </c>
      <c r="GP118" s="9">
        <v>7571348</v>
      </c>
      <c r="GQ118" s="9">
        <v>7571348</v>
      </c>
      <c r="GR118" s="9">
        <v>0</v>
      </c>
      <c r="GS118" s="9">
        <v>0</v>
      </c>
      <c r="GT118" s="9">
        <v>0</v>
      </c>
      <c r="GU118" s="9">
        <v>0</v>
      </c>
      <c r="GV118" s="9">
        <v>0</v>
      </c>
      <c r="GW118" s="9">
        <v>0</v>
      </c>
      <c r="GX118" s="9">
        <v>0</v>
      </c>
      <c r="GY118" s="9">
        <v>0</v>
      </c>
      <c r="GZ118" s="9">
        <v>0</v>
      </c>
      <c r="HA118" s="9">
        <v>0</v>
      </c>
      <c r="HB118" s="9">
        <v>260786259</v>
      </c>
      <c r="HC118" s="9">
        <v>5.0923999999999997E-2</v>
      </c>
      <c r="HD118" s="9">
        <v>157995</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32469</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row>
    <row r="119" spans="1:292" x14ac:dyDescent="0.25">
      <c r="A119" s="9">
        <v>101871</v>
      </c>
      <c r="B119" s="9">
        <v>32570</v>
      </c>
      <c r="C119" s="9">
        <v>35</v>
      </c>
      <c r="D119" s="9">
        <v>2022</v>
      </c>
      <c r="E119" s="9">
        <v>5392</v>
      </c>
      <c r="F119" s="9">
        <v>0</v>
      </c>
      <c r="G119" s="9">
        <v>120.039</v>
      </c>
      <c r="H119" s="9">
        <v>119.69</v>
      </c>
      <c r="I119" s="9">
        <v>119.69</v>
      </c>
      <c r="J119" s="9">
        <v>120.039</v>
      </c>
      <c r="K119" s="9">
        <v>0</v>
      </c>
      <c r="L119" s="9">
        <v>6554</v>
      </c>
      <c r="M119" s="9">
        <v>0</v>
      </c>
      <c r="N119" s="9">
        <v>0</v>
      </c>
      <c r="O119" s="9">
        <v>0</v>
      </c>
      <c r="P119" s="9">
        <v>156.672</v>
      </c>
      <c r="Q119" s="9">
        <v>0</v>
      </c>
      <c r="R119" s="9">
        <v>50090</v>
      </c>
      <c r="S119" s="9">
        <v>319.71300000000002</v>
      </c>
      <c r="T119" s="9">
        <v>0</v>
      </c>
      <c r="U119" s="9">
        <v>50090</v>
      </c>
      <c r="V119" s="9">
        <v>13.632000000000001</v>
      </c>
      <c r="W119" s="9">
        <v>8934</v>
      </c>
      <c r="X119" s="9">
        <v>8934</v>
      </c>
      <c r="Y119" s="9">
        <v>0</v>
      </c>
      <c r="Z119" s="9">
        <v>0</v>
      </c>
      <c r="AA119" s="9">
        <v>1</v>
      </c>
      <c r="AB119" s="9">
        <v>1</v>
      </c>
      <c r="AC119" s="9">
        <v>0</v>
      </c>
      <c r="AD119" s="9" t="s">
        <v>314</v>
      </c>
      <c r="AE119" s="9">
        <v>0</v>
      </c>
      <c r="AF119" s="9">
        <v>0</v>
      </c>
      <c r="AG119" s="9">
        <v>0</v>
      </c>
      <c r="AH119" s="9">
        <v>0</v>
      </c>
      <c r="AI119" s="9">
        <v>0</v>
      </c>
      <c r="AJ119" s="9">
        <v>5104</v>
      </c>
      <c r="AK119" s="9" t="s">
        <v>651</v>
      </c>
      <c r="AL119" s="9" t="s">
        <v>382</v>
      </c>
      <c r="AM119" s="9">
        <v>0</v>
      </c>
      <c r="AN119" s="9">
        <v>0</v>
      </c>
      <c r="AO119" s="9">
        <v>0</v>
      </c>
      <c r="AP119" s="9">
        <v>0</v>
      </c>
      <c r="AQ119" s="9">
        <v>0</v>
      </c>
      <c r="AR119" s="9">
        <v>0</v>
      </c>
      <c r="AS119" s="9">
        <v>0</v>
      </c>
      <c r="AT119" s="9">
        <v>0</v>
      </c>
      <c r="AU119" s="9">
        <v>0</v>
      </c>
      <c r="AV119" s="9">
        <v>106238</v>
      </c>
      <c r="AW119" s="9">
        <v>1363001</v>
      </c>
      <c r="AX119" s="9">
        <v>1291108</v>
      </c>
      <c r="AY119" s="9">
        <v>1517501</v>
      </c>
      <c r="AZ119" s="9">
        <v>98326</v>
      </c>
      <c r="BA119" s="9">
        <v>0</v>
      </c>
      <c r="BB119" s="9">
        <v>0</v>
      </c>
      <c r="BC119" s="9">
        <v>0</v>
      </c>
      <c r="BD119" s="9">
        <v>0</v>
      </c>
      <c r="BE119" s="9">
        <v>0</v>
      </c>
      <c r="BF119" s="9">
        <v>1104771</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126.18600000000001</v>
      </c>
      <c r="CB119" s="9">
        <v>48236</v>
      </c>
      <c r="CC119" s="9">
        <v>0</v>
      </c>
      <c r="CD119" s="9">
        <v>0</v>
      </c>
      <c r="CE119" s="9">
        <v>0</v>
      </c>
      <c r="CF119" s="9">
        <v>0</v>
      </c>
      <c r="CG119" s="9">
        <v>0</v>
      </c>
      <c r="CH119" s="9">
        <v>23657</v>
      </c>
      <c r="CI119" s="9">
        <v>0</v>
      </c>
      <c r="CJ119" s="9">
        <v>5</v>
      </c>
      <c r="CK119" s="9">
        <v>0</v>
      </c>
      <c r="CL119" s="9">
        <v>0</v>
      </c>
      <c r="CM119" s="9">
        <v>0</v>
      </c>
      <c r="CN119" s="9">
        <v>0</v>
      </c>
      <c r="CO119" s="9">
        <v>0</v>
      </c>
      <c r="CP119" s="9">
        <v>0</v>
      </c>
      <c r="CQ119" s="9">
        <v>0</v>
      </c>
      <c r="CR119" s="9">
        <v>156.672</v>
      </c>
      <c r="CS119" s="9">
        <v>0</v>
      </c>
      <c r="CT119" s="9">
        <v>0</v>
      </c>
      <c r="CU119" s="9">
        <v>0</v>
      </c>
      <c r="CV119" s="9">
        <v>0</v>
      </c>
      <c r="CW119" s="9">
        <v>0</v>
      </c>
      <c r="CX119" s="9">
        <v>0</v>
      </c>
      <c r="CY119" s="9">
        <v>0</v>
      </c>
      <c r="CZ119" s="9">
        <v>0</v>
      </c>
      <c r="DA119" s="9">
        <v>1</v>
      </c>
      <c r="DB119" s="9">
        <v>784448</v>
      </c>
      <c r="DC119" s="9">
        <v>0</v>
      </c>
      <c r="DD119" s="9">
        <v>0</v>
      </c>
      <c r="DE119" s="9">
        <v>153364</v>
      </c>
      <c r="DF119" s="9">
        <v>153364</v>
      </c>
      <c r="DG119" s="9">
        <v>117</v>
      </c>
      <c r="DH119" s="9">
        <v>0</v>
      </c>
      <c r="DI119" s="9">
        <v>0</v>
      </c>
      <c r="DJ119" s="9">
        <v>0</v>
      </c>
      <c r="DK119" s="9">
        <v>5392</v>
      </c>
      <c r="DL119" s="9">
        <v>0</v>
      </c>
      <c r="DM119" s="9">
        <v>188358</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24.944000000000003</v>
      </c>
      <c r="ED119" s="9">
        <v>179831</v>
      </c>
      <c r="EE119" s="9">
        <v>0</v>
      </c>
      <c r="EF119" s="9">
        <v>0</v>
      </c>
      <c r="EG119" s="9">
        <v>0</v>
      </c>
      <c r="EH119" s="9">
        <v>8527</v>
      </c>
      <c r="EI119" s="9">
        <v>0</v>
      </c>
      <c r="EJ119" s="9">
        <v>0</v>
      </c>
      <c r="EK119" s="9">
        <v>0</v>
      </c>
      <c r="EL119" s="9">
        <v>0</v>
      </c>
      <c r="EM119" s="9">
        <v>0.222</v>
      </c>
      <c r="EN119" s="9">
        <v>0.127</v>
      </c>
      <c r="EO119" s="9">
        <v>0</v>
      </c>
      <c r="EP119" s="9">
        <v>0</v>
      </c>
      <c r="EQ119" s="9">
        <v>0.34900000000000003</v>
      </c>
      <c r="ER119" s="9">
        <v>0</v>
      </c>
      <c r="ES119" s="9">
        <v>1.3010000000000002</v>
      </c>
      <c r="ET119" s="9">
        <v>0</v>
      </c>
      <c r="EU119" s="9">
        <v>98326</v>
      </c>
      <c r="EV119" s="9">
        <v>0</v>
      </c>
      <c r="EW119" s="9">
        <v>0</v>
      </c>
      <c r="EX119" s="9">
        <v>0</v>
      </c>
      <c r="EY119" s="9">
        <v>0</v>
      </c>
      <c r="EZ119" s="9">
        <v>1085014</v>
      </c>
      <c r="FA119" s="9">
        <v>0</v>
      </c>
      <c r="FB119" s="9">
        <v>1183340</v>
      </c>
      <c r="FC119" s="9">
        <v>0.97327799999999998</v>
      </c>
      <c r="FD119" s="9">
        <v>0</v>
      </c>
      <c r="FE119" s="9">
        <v>168192</v>
      </c>
      <c r="FF119" s="9">
        <v>37902</v>
      </c>
      <c r="FG119" s="9">
        <v>6.1239999999999996E-2</v>
      </c>
      <c r="FH119" s="9">
        <v>5.4803999999999999E-2</v>
      </c>
      <c r="FI119" s="9">
        <v>0</v>
      </c>
      <c r="FJ119" s="9">
        <v>0</v>
      </c>
      <c r="FK119" s="9">
        <v>216.459</v>
      </c>
      <c r="FL119" s="9">
        <v>1413091</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1389434</v>
      </c>
      <c r="GQ119" s="9">
        <v>1389434</v>
      </c>
      <c r="GR119" s="9">
        <v>0</v>
      </c>
      <c r="GS119" s="9">
        <v>0</v>
      </c>
      <c r="GT119" s="9">
        <v>0</v>
      </c>
      <c r="GU119" s="9">
        <v>0</v>
      </c>
      <c r="GV119" s="9">
        <v>0</v>
      </c>
      <c r="GW119" s="9">
        <v>0</v>
      </c>
      <c r="GX119" s="9">
        <v>0</v>
      </c>
      <c r="GY119" s="9">
        <v>0</v>
      </c>
      <c r="GZ119" s="9">
        <v>0</v>
      </c>
      <c r="HA119" s="9">
        <v>0</v>
      </c>
      <c r="HB119" s="9">
        <v>260786259</v>
      </c>
      <c r="HC119" s="9">
        <v>5.0923999999999997E-2</v>
      </c>
      <c r="HD119" s="9">
        <v>23657</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32469</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row>
    <row r="120" spans="1:292" x14ac:dyDescent="0.25">
      <c r="A120" s="9">
        <v>101872</v>
      </c>
      <c r="B120" s="9">
        <v>32570</v>
      </c>
      <c r="C120" s="9">
        <v>35</v>
      </c>
      <c r="D120" s="9">
        <v>2022</v>
      </c>
      <c r="E120" s="9">
        <v>5392</v>
      </c>
      <c r="F120" s="9">
        <v>0</v>
      </c>
      <c r="G120" s="9">
        <v>142.70000000000002</v>
      </c>
      <c r="H120" s="9">
        <v>140.941</v>
      </c>
      <c r="I120" s="9">
        <v>140.941</v>
      </c>
      <c r="J120" s="9">
        <v>142.70000000000002</v>
      </c>
      <c r="K120" s="9">
        <v>0</v>
      </c>
      <c r="L120" s="9">
        <v>6554</v>
      </c>
      <c r="M120" s="9">
        <v>0</v>
      </c>
      <c r="N120" s="9">
        <v>0</v>
      </c>
      <c r="O120" s="9">
        <v>0</v>
      </c>
      <c r="P120" s="9">
        <v>63.399000000000001</v>
      </c>
      <c r="Q120" s="9">
        <v>0</v>
      </c>
      <c r="R120" s="9">
        <v>20269</v>
      </c>
      <c r="S120" s="9">
        <v>319.71300000000002</v>
      </c>
      <c r="T120" s="9">
        <v>0</v>
      </c>
      <c r="U120" s="9">
        <v>20269</v>
      </c>
      <c r="V120" s="9">
        <v>70.016000000000005</v>
      </c>
      <c r="W120" s="9">
        <v>45888</v>
      </c>
      <c r="X120" s="9">
        <v>45888</v>
      </c>
      <c r="Y120" s="9">
        <v>0</v>
      </c>
      <c r="Z120" s="9">
        <v>0</v>
      </c>
      <c r="AA120" s="9">
        <v>1</v>
      </c>
      <c r="AB120" s="9">
        <v>1</v>
      </c>
      <c r="AC120" s="9">
        <v>0</v>
      </c>
      <c r="AD120" s="9" t="s">
        <v>314</v>
      </c>
      <c r="AE120" s="9">
        <v>0</v>
      </c>
      <c r="AF120" s="9">
        <v>0</v>
      </c>
      <c r="AG120" s="9">
        <v>0</v>
      </c>
      <c r="AH120" s="9">
        <v>0</v>
      </c>
      <c r="AI120" s="9">
        <v>0</v>
      </c>
      <c r="AJ120" s="9">
        <v>5104</v>
      </c>
      <c r="AK120" s="9" t="s">
        <v>651</v>
      </c>
      <c r="AL120" s="9" t="s">
        <v>437</v>
      </c>
      <c r="AM120" s="9">
        <v>0</v>
      </c>
      <c r="AN120" s="9">
        <v>0</v>
      </c>
      <c r="AO120" s="9">
        <v>0</v>
      </c>
      <c r="AP120" s="9">
        <v>0</v>
      </c>
      <c r="AQ120" s="9">
        <v>0</v>
      </c>
      <c r="AR120" s="9">
        <v>0</v>
      </c>
      <c r="AS120" s="9">
        <v>0</v>
      </c>
      <c r="AT120" s="9">
        <v>0</v>
      </c>
      <c r="AU120" s="9">
        <v>0</v>
      </c>
      <c r="AV120" s="9">
        <v>25015</v>
      </c>
      <c r="AW120" s="9">
        <v>1435495</v>
      </c>
      <c r="AX120" s="9">
        <v>1378180</v>
      </c>
      <c r="AY120" s="9">
        <v>1627739</v>
      </c>
      <c r="AZ120" s="9">
        <v>49461</v>
      </c>
      <c r="BA120" s="9">
        <v>0</v>
      </c>
      <c r="BB120" s="9">
        <v>0</v>
      </c>
      <c r="BC120" s="9">
        <v>0</v>
      </c>
      <c r="BD120" s="9">
        <v>0</v>
      </c>
      <c r="BE120" s="9">
        <v>0</v>
      </c>
      <c r="BF120" s="9">
        <v>1142552</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76.368000000000009</v>
      </c>
      <c r="CB120" s="9">
        <v>29192</v>
      </c>
      <c r="CC120" s="9">
        <v>0</v>
      </c>
      <c r="CD120" s="9">
        <v>0</v>
      </c>
      <c r="CE120" s="9">
        <v>0</v>
      </c>
      <c r="CF120" s="9">
        <v>0</v>
      </c>
      <c r="CG120" s="9">
        <v>0</v>
      </c>
      <c r="CH120" s="9">
        <v>28123</v>
      </c>
      <c r="CI120" s="9">
        <v>0</v>
      </c>
      <c r="CJ120" s="9">
        <v>5</v>
      </c>
      <c r="CK120" s="9">
        <v>0</v>
      </c>
      <c r="CL120" s="9">
        <v>0</v>
      </c>
      <c r="CM120" s="9">
        <v>0</v>
      </c>
      <c r="CN120" s="9">
        <v>0</v>
      </c>
      <c r="CO120" s="9">
        <v>0</v>
      </c>
      <c r="CP120" s="9">
        <v>0</v>
      </c>
      <c r="CQ120" s="9">
        <v>0</v>
      </c>
      <c r="CR120" s="9">
        <v>63.399000000000001</v>
      </c>
      <c r="CS120" s="9">
        <v>0</v>
      </c>
      <c r="CT120" s="9">
        <v>0</v>
      </c>
      <c r="CU120" s="9">
        <v>0</v>
      </c>
      <c r="CV120" s="9">
        <v>0</v>
      </c>
      <c r="CW120" s="9">
        <v>0</v>
      </c>
      <c r="CX120" s="9">
        <v>0</v>
      </c>
      <c r="CY120" s="9">
        <v>0</v>
      </c>
      <c r="CZ120" s="9">
        <v>0</v>
      </c>
      <c r="DA120" s="9">
        <v>1</v>
      </c>
      <c r="DB120" s="9">
        <v>923727</v>
      </c>
      <c r="DC120" s="9">
        <v>0</v>
      </c>
      <c r="DD120" s="9">
        <v>0</v>
      </c>
      <c r="DE120" s="9">
        <v>109888</v>
      </c>
      <c r="DF120" s="9">
        <v>109888</v>
      </c>
      <c r="DG120" s="9">
        <v>83.832999999999998</v>
      </c>
      <c r="DH120" s="9">
        <v>0</v>
      </c>
      <c r="DI120" s="9">
        <v>0</v>
      </c>
      <c r="DJ120" s="9">
        <v>0</v>
      </c>
      <c r="DK120" s="9">
        <v>5392</v>
      </c>
      <c r="DL120" s="9">
        <v>0</v>
      </c>
      <c r="DM120" s="9">
        <v>94419</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8.043000000000001</v>
      </c>
      <c r="ED120" s="9">
        <v>57985</v>
      </c>
      <c r="EE120" s="9">
        <v>0</v>
      </c>
      <c r="EF120" s="9">
        <v>0</v>
      </c>
      <c r="EG120" s="9">
        <v>0</v>
      </c>
      <c r="EH120" s="9">
        <v>36434</v>
      </c>
      <c r="EI120" s="9">
        <v>0</v>
      </c>
      <c r="EJ120" s="9">
        <v>0</v>
      </c>
      <c r="EK120" s="9">
        <v>1.6180000000000001</v>
      </c>
      <c r="EL120" s="9">
        <v>0</v>
      </c>
      <c r="EM120" s="9">
        <v>0</v>
      </c>
      <c r="EN120" s="9">
        <v>0.14100000000000001</v>
      </c>
      <c r="EO120" s="9">
        <v>0</v>
      </c>
      <c r="EP120" s="9">
        <v>0</v>
      </c>
      <c r="EQ120" s="9">
        <v>1.7590000000000001</v>
      </c>
      <c r="ER120" s="9">
        <v>0</v>
      </c>
      <c r="ES120" s="9">
        <v>5.5590000000000002</v>
      </c>
      <c r="ET120" s="9">
        <v>0</v>
      </c>
      <c r="EU120" s="9">
        <v>49461</v>
      </c>
      <c r="EV120" s="9">
        <v>0</v>
      </c>
      <c r="EW120" s="9">
        <v>0</v>
      </c>
      <c r="EX120" s="9">
        <v>0</v>
      </c>
      <c r="EY120" s="9">
        <v>0</v>
      </c>
      <c r="EZ120" s="9">
        <v>1165038</v>
      </c>
      <c r="FA120" s="9">
        <v>0</v>
      </c>
      <c r="FB120" s="9">
        <v>1214499</v>
      </c>
      <c r="FC120" s="9">
        <v>0.97327799999999998</v>
      </c>
      <c r="FD120" s="9">
        <v>0</v>
      </c>
      <c r="FE120" s="9">
        <v>173944</v>
      </c>
      <c r="FF120" s="9">
        <v>39198</v>
      </c>
      <c r="FG120" s="9">
        <v>6.1239999999999996E-2</v>
      </c>
      <c r="FH120" s="9">
        <v>5.4803999999999999E-2</v>
      </c>
      <c r="FI120" s="9">
        <v>0</v>
      </c>
      <c r="FJ120" s="9">
        <v>0</v>
      </c>
      <c r="FK120" s="9">
        <v>223.86200000000002</v>
      </c>
      <c r="FL120" s="9">
        <v>1455764</v>
      </c>
      <c r="FM120" s="9">
        <v>0</v>
      </c>
      <c r="FN120" s="9">
        <v>0</v>
      </c>
      <c r="FO120" s="9">
        <v>11385</v>
      </c>
      <c r="FP120" s="9">
        <v>0</v>
      </c>
      <c r="FQ120" s="9">
        <v>11385</v>
      </c>
      <c r="FR120" s="9">
        <v>11385</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1427641</v>
      </c>
      <c r="GQ120" s="9">
        <v>1427641</v>
      </c>
      <c r="GR120" s="9">
        <v>0</v>
      </c>
      <c r="GS120" s="9">
        <v>0</v>
      </c>
      <c r="GT120" s="9">
        <v>0</v>
      </c>
      <c r="GU120" s="9">
        <v>0</v>
      </c>
      <c r="GV120" s="9">
        <v>0</v>
      </c>
      <c r="GW120" s="9">
        <v>0</v>
      </c>
      <c r="GX120" s="9">
        <v>0</v>
      </c>
      <c r="GY120" s="9">
        <v>0</v>
      </c>
      <c r="GZ120" s="9">
        <v>0</v>
      </c>
      <c r="HA120" s="9">
        <v>0</v>
      </c>
      <c r="HB120" s="9">
        <v>260786259</v>
      </c>
      <c r="HC120" s="9">
        <v>5.0923999999999997E-2</v>
      </c>
      <c r="HD120" s="9">
        <v>28123</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32469</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row>
    <row r="121" spans="1:292" x14ac:dyDescent="0.25">
      <c r="A121" s="9">
        <v>101873</v>
      </c>
      <c r="B121" s="9">
        <v>32570</v>
      </c>
      <c r="C121" s="9">
        <v>35</v>
      </c>
      <c r="D121" s="9">
        <v>2022</v>
      </c>
      <c r="E121" s="9">
        <v>5392</v>
      </c>
      <c r="F121" s="9">
        <v>0</v>
      </c>
      <c r="G121" s="9">
        <v>243.84300000000002</v>
      </c>
      <c r="H121" s="9">
        <v>241.56700000000001</v>
      </c>
      <c r="I121" s="9">
        <v>241.56700000000001</v>
      </c>
      <c r="J121" s="9">
        <v>243.84300000000002</v>
      </c>
      <c r="K121" s="9">
        <v>0</v>
      </c>
      <c r="L121" s="9">
        <v>6554</v>
      </c>
      <c r="M121" s="9">
        <v>0</v>
      </c>
      <c r="N121" s="9">
        <v>0</v>
      </c>
      <c r="O121" s="9">
        <v>0</v>
      </c>
      <c r="P121" s="9">
        <v>203.03900000000002</v>
      </c>
      <c r="Q121" s="9">
        <v>0</v>
      </c>
      <c r="R121" s="9">
        <v>64914</v>
      </c>
      <c r="S121" s="9">
        <v>319.71300000000002</v>
      </c>
      <c r="T121" s="9">
        <v>0</v>
      </c>
      <c r="U121" s="9">
        <v>64914</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651</v>
      </c>
      <c r="AL121" s="9" t="s">
        <v>446</v>
      </c>
      <c r="AM121" s="9">
        <v>0</v>
      </c>
      <c r="AN121" s="9">
        <v>0</v>
      </c>
      <c r="AO121" s="9">
        <v>0</v>
      </c>
      <c r="AP121" s="9">
        <v>0</v>
      </c>
      <c r="AQ121" s="9">
        <v>0</v>
      </c>
      <c r="AR121" s="9">
        <v>0</v>
      </c>
      <c r="AS121" s="9">
        <v>0</v>
      </c>
      <c r="AT121" s="9">
        <v>0</v>
      </c>
      <c r="AU121" s="9">
        <v>0</v>
      </c>
      <c r="AV121" s="9">
        <v>152752</v>
      </c>
      <c r="AW121" s="9">
        <v>2321462</v>
      </c>
      <c r="AX121" s="9">
        <v>2317081</v>
      </c>
      <c r="AY121" s="9">
        <v>2538047</v>
      </c>
      <c r="AZ121" s="9">
        <v>69295</v>
      </c>
      <c r="BA121" s="9">
        <v>0</v>
      </c>
      <c r="BB121" s="9">
        <v>0</v>
      </c>
      <c r="BC121" s="9">
        <v>0</v>
      </c>
      <c r="BD121" s="9">
        <v>0</v>
      </c>
      <c r="BE121" s="9">
        <v>0</v>
      </c>
      <c r="BF121" s="9">
        <v>1943897</v>
      </c>
      <c r="BG121" s="9">
        <v>0</v>
      </c>
      <c r="BH121" s="9">
        <v>15.932</v>
      </c>
      <c r="BI121" s="9">
        <v>4381</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203.03900000000002</v>
      </c>
      <c r="CS121" s="9">
        <v>0</v>
      </c>
      <c r="CT121" s="9">
        <v>0</v>
      </c>
      <c r="CU121" s="9">
        <v>0</v>
      </c>
      <c r="CV121" s="9">
        <v>0</v>
      </c>
      <c r="CW121" s="9">
        <v>0</v>
      </c>
      <c r="CX121" s="9">
        <v>0</v>
      </c>
      <c r="CY121" s="9">
        <v>0</v>
      </c>
      <c r="CZ121" s="9">
        <v>0</v>
      </c>
      <c r="DA121" s="9">
        <v>1</v>
      </c>
      <c r="DB121" s="9">
        <v>1583230</v>
      </c>
      <c r="DC121" s="9">
        <v>0</v>
      </c>
      <c r="DD121" s="9">
        <v>0</v>
      </c>
      <c r="DE121" s="9">
        <v>292745</v>
      </c>
      <c r="DF121" s="9">
        <v>292745</v>
      </c>
      <c r="DG121" s="9">
        <v>223.333</v>
      </c>
      <c r="DH121" s="9">
        <v>0</v>
      </c>
      <c r="DI121" s="9">
        <v>0</v>
      </c>
      <c r="DJ121" s="9">
        <v>0</v>
      </c>
      <c r="DK121" s="9">
        <v>5392</v>
      </c>
      <c r="DL121" s="9">
        <v>0</v>
      </c>
      <c r="DM121" s="9">
        <v>121294</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10.528</v>
      </c>
      <c r="ED121" s="9">
        <v>75901</v>
      </c>
      <c r="EE121" s="9">
        <v>0</v>
      </c>
      <c r="EF121" s="9">
        <v>0</v>
      </c>
      <c r="EG121" s="9">
        <v>0</v>
      </c>
      <c r="EH121" s="9">
        <v>45393</v>
      </c>
      <c r="EI121" s="9">
        <v>0</v>
      </c>
      <c r="EJ121" s="9">
        <v>0</v>
      </c>
      <c r="EK121" s="9">
        <v>1.764</v>
      </c>
      <c r="EL121" s="9">
        <v>0</v>
      </c>
      <c r="EM121" s="9">
        <v>0.46300000000000002</v>
      </c>
      <c r="EN121" s="9">
        <v>4.9000000000000002E-2</v>
      </c>
      <c r="EO121" s="9">
        <v>0</v>
      </c>
      <c r="EP121" s="9">
        <v>0</v>
      </c>
      <c r="EQ121" s="9">
        <v>2.2760000000000002</v>
      </c>
      <c r="ER121" s="9">
        <v>0</v>
      </c>
      <c r="ES121" s="9">
        <v>6.9260000000000002</v>
      </c>
      <c r="ET121" s="9">
        <v>0</v>
      </c>
      <c r="EU121" s="9">
        <v>69295</v>
      </c>
      <c r="EV121" s="9">
        <v>0</v>
      </c>
      <c r="EW121" s="9">
        <v>0</v>
      </c>
      <c r="EX121" s="9">
        <v>0</v>
      </c>
      <c r="EY121" s="9">
        <v>0</v>
      </c>
      <c r="EZ121" s="9">
        <v>1954448</v>
      </c>
      <c r="FA121" s="9">
        <v>0</v>
      </c>
      <c r="FB121" s="9">
        <v>2023743</v>
      </c>
      <c r="FC121" s="9">
        <v>0.97327799999999998</v>
      </c>
      <c r="FD121" s="9">
        <v>0</v>
      </c>
      <c r="FE121" s="9">
        <v>295943</v>
      </c>
      <c r="FF121" s="9">
        <v>66690</v>
      </c>
      <c r="FG121" s="9">
        <v>6.1239999999999996E-2</v>
      </c>
      <c r="FH121" s="9">
        <v>5.4803999999999999E-2</v>
      </c>
      <c r="FI121" s="9">
        <v>0</v>
      </c>
      <c r="FJ121" s="9">
        <v>0</v>
      </c>
      <c r="FK121" s="9">
        <v>380.87100000000004</v>
      </c>
      <c r="FL121" s="9">
        <v>2386376</v>
      </c>
      <c r="FM121" s="9">
        <v>0</v>
      </c>
      <c r="FN121" s="9">
        <v>0</v>
      </c>
      <c r="FO121" s="9">
        <v>22093</v>
      </c>
      <c r="FP121" s="9">
        <v>0</v>
      </c>
      <c r="FQ121" s="9">
        <v>22093</v>
      </c>
      <c r="FR121" s="9">
        <v>22093</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2386376</v>
      </c>
      <c r="GQ121" s="9">
        <v>2386376</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32469</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row>
    <row r="122" spans="1:292" x14ac:dyDescent="0.25">
      <c r="A122" s="9">
        <v>101874</v>
      </c>
      <c r="B122" s="9">
        <v>32570</v>
      </c>
      <c r="C122" s="9">
        <v>35</v>
      </c>
      <c r="D122" s="9">
        <v>2022</v>
      </c>
      <c r="E122" s="9">
        <v>5392</v>
      </c>
      <c r="F122" s="9">
        <v>0</v>
      </c>
      <c r="G122" s="9">
        <v>384.16</v>
      </c>
      <c r="H122" s="9">
        <v>343.38300000000004</v>
      </c>
      <c r="I122" s="9">
        <v>343.38300000000004</v>
      </c>
      <c r="J122" s="9">
        <v>384.16</v>
      </c>
      <c r="K122" s="9">
        <v>0</v>
      </c>
      <c r="L122" s="9">
        <v>6554</v>
      </c>
      <c r="M122" s="9">
        <v>0</v>
      </c>
      <c r="N122" s="9">
        <v>0</v>
      </c>
      <c r="O122" s="9">
        <v>0</v>
      </c>
      <c r="P122" s="9">
        <v>357.02100000000002</v>
      </c>
      <c r="Q122" s="9">
        <v>0</v>
      </c>
      <c r="R122" s="9">
        <v>114144</v>
      </c>
      <c r="S122" s="9">
        <v>319.71300000000002</v>
      </c>
      <c r="T122" s="9">
        <v>0</v>
      </c>
      <c r="U122" s="9">
        <v>114144</v>
      </c>
      <c r="V122" s="9">
        <v>3.915</v>
      </c>
      <c r="W122" s="9">
        <v>2566</v>
      </c>
      <c r="X122" s="9">
        <v>2566</v>
      </c>
      <c r="Y122" s="9">
        <v>0</v>
      </c>
      <c r="Z122" s="9">
        <v>0</v>
      </c>
      <c r="AA122" s="9">
        <v>1</v>
      </c>
      <c r="AB122" s="9">
        <v>1</v>
      </c>
      <c r="AC122" s="9">
        <v>0</v>
      </c>
      <c r="AD122" s="9" t="s">
        <v>314</v>
      </c>
      <c r="AE122" s="9">
        <v>0</v>
      </c>
      <c r="AF122" s="9">
        <v>0</v>
      </c>
      <c r="AG122" s="9">
        <v>0</v>
      </c>
      <c r="AH122" s="9">
        <v>0</v>
      </c>
      <c r="AI122" s="9">
        <v>0</v>
      </c>
      <c r="AJ122" s="9">
        <v>5104</v>
      </c>
      <c r="AK122" s="9" t="s">
        <v>651</v>
      </c>
      <c r="AL122" s="9" t="s">
        <v>439</v>
      </c>
      <c r="AM122" s="9">
        <v>0</v>
      </c>
      <c r="AN122" s="9">
        <v>0</v>
      </c>
      <c r="AO122" s="9">
        <v>0</v>
      </c>
      <c r="AP122" s="9">
        <v>0</v>
      </c>
      <c r="AQ122" s="9">
        <v>0</v>
      </c>
      <c r="AR122" s="9">
        <v>0</v>
      </c>
      <c r="AS122" s="9">
        <v>0</v>
      </c>
      <c r="AT122" s="9">
        <v>0</v>
      </c>
      <c r="AU122" s="9">
        <v>0</v>
      </c>
      <c r="AV122" s="9">
        <v>76021</v>
      </c>
      <c r="AW122" s="9">
        <v>3404057</v>
      </c>
      <c r="AX122" s="9">
        <v>3336189</v>
      </c>
      <c r="AY122" s="9">
        <v>3542206</v>
      </c>
      <c r="AZ122" s="9">
        <v>182012</v>
      </c>
      <c r="BA122" s="9">
        <v>0</v>
      </c>
      <c r="BB122" s="9">
        <v>0</v>
      </c>
      <c r="BC122" s="9">
        <v>0</v>
      </c>
      <c r="BD122" s="9">
        <v>0</v>
      </c>
      <c r="BE122" s="9">
        <v>0</v>
      </c>
      <c r="BF122" s="9">
        <v>2842106</v>
      </c>
      <c r="BG122" s="9">
        <v>0</v>
      </c>
      <c r="BH122" s="9">
        <v>192.51900000000001</v>
      </c>
      <c r="BI122" s="9">
        <v>52943</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39.044000000000004</v>
      </c>
      <c r="CB122" s="9">
        <v>14925</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357.02100000000002</v>
      </c>
      <c r="CS122" s="9">
        <v>0</v>
      </c>
      <c r="CT122" s="9">
        <v>0</v>
      </c>
      <c r="CU122" s="9">
        <v>0</v>
      </c>
      <c r="CV122" s="9">
        <v>0</v>
      </c>
      <c r="CW122" s="9">
        <v>0</v>
      </c>
      <c r="CX122" s="9">
        <v>0</v>
      </c>
      <c r="CY122" s="9">
        <v>0</v>
      </c>
      <c r="CZ122" s="9">
        <v>0</v>
      </c>
      <c r="DA122" s="9">
        <v>1</v>
      </c>
      <c r="DB122" s="9">
        <v>2250532</v>
      </c>
      <c r="DC122" s="9">
        <v>0</v>
      </c>
      <c r="DD122" s="9">
        <v>0</v>
      </c>
      <c r="DE122" s="9">
        <v>157951</v>
      </c>
      <c r="DF122" s="9">
        <v>157951</v>
      </c>
      <c r="DG122" s="9">
        <v>120.5</v>
      </c>
      <c r="DH122" s="9">
        <v>0</v>
      </c>
      <c r="DI122" s="9">
        <v>0</v>
      </c>
      <c r="DJ122" s="9">
        <v>0</v>
      </c>
      <c r="DK122" s="9">
        <v>5392</v>
      </c>
      <c r="DL122" s="9">
        <v>0</v>
      </c>
      <c r="DM122" s="9">
        <v>148523</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20.474</v>
      </c>
      <c r="ED122" s="9">
        <v>147605</v>
      </c>
      <c r="EE122" s="9">
        <v>0</v>
      </c>
      <c r="EF122" s="9">
        <v>0</v>
      </c>
      <c r="EG122" s="9">
        <v>0</v>
      </c>
      <c r="EH122" s="9">
        <v>918</v>
      </c>
      <c r="EI122" s="9">
        <v>0</v>
      </c>
      <c r="EJ122" s="9">
        <v>0</v>
      </c>
      <c r="EK122" s="9">
        <v>0</v>
      </c>
      <c r="EL122" s="9">
        <v>0</v>
      </c>
      <c r="EM122" s="9">
        <v>0</v>
      </c>
      <c r="EN122" s="9">
        <v>2.8000000000000001E-2</v>
      </c>
      <c r="EO122" s="9">
        <v>0</v>
      </c>
      <c r="EP122" s="9">
        <v>0</v>
      </c>
      <c r="EQ122" s="9">
        <v>2.8000000000000001E-2</v>
      </c>
      <c r="ER122" s="9">
        <v>0</v>
      </c>
      <c r="ES122" s="9">
        <v>0.14000000000000001</v>
      </c>
      <c r="ET122" s="9">
        <v>0</v>
      </c>
      <c r="EU122" s="9">
        <v>182012</v>
      </c>
      <c r="EV122" s="9">
        <v>0</v>
      </c>
      <c r="EW122" s="9">
        <v>0</v>
      </c>
      <c r="EX122" s="9">
        <v>0</v>
      </c>
      <c r="EY122" s="9">
        <v>0</v>
      </c>
      <c r="EZ122" s="9">
        <v>2805995</v>
      </c>
      <c r="FA122" s="9">
        <v>0</v>
      </c>
      <c r="FB122" s="9">
        <v>2988007</v>
      </c>
      <c r="FC122" s="9">
        <v>0.97327799999999998</v>
      </c>
      <c r="FD122" s="9">
        <v>0</v>
      </c>
      <c r="FE122" s="9">
        <v>432688</v>
      </c>
      <c r="FF122" s="9">
        <v>97506</v>
      </c>
      <c r="FG122" s="9">
        <v>6.1239999999999996E-2</v>
      </c>
      <c r="FH122" s="9">
        <v>5.4803999999999999E-2</v>
      </c>
      <c r="FI122" s="9">
        <v>0</v>
      </c>
      <c r="FJ122" s="9">
        <v>0</v>
      </c>
      <c r="FK122" s="9">
        <v>556.85800000000006</v>
      </c>
      <c r="FL122" s="9">
        <v>3518201</v>
      </c>
      <c r="FM122" s="9">
        <v>0</v>
      </c>
      <c r="FN122" s="9">
        <v>0</v>
      </c>
      <c r="FO122" s="9">
        <v>0</v>
      </c>
      <c r="FP122" s="9">
        <v>0</v>
      </c>
      <c r="FQ122" s="9">
        <v>0</v>
      </c>
      <c r="FR122" s="9">
        <v>0</v>
      </c>
      <c r="FS122" s="9">
        <v>0</v>
      </c>
      <c r="FT122" s="9">
        <v>0</v>
      </c>
      <c r="FU122" s="9">
        <v>0</v>
      </c>
      <c r="FV122" s="9">
        <v>0</v>
      </c>
      <c r="FW122" s="9">
        <v>0</v>
      </c>
      <c r="FX122" s="9">
        <v>0</v>
      </c>
      <c r="FY122" s="9">
        <v>0</v>
      </c>
      <c r="FZ122" s="9">
        <v>24</v>
      </c>
      <c r="GA122" s="9">
        <v>0.48100000000000004</v>
      </c>
      <c r="GB122" s="9">
        <v>360567</v>
      </c>
      <c r="GC122" s="9">
        <v>360567</v>
      </c>
      <c r="GD122" s="9">
        <v>40.749000000000002</v>
      </c>
      <c r="GE122" s="9">
        <v>0</v>
      </c>
      <c r="GF122" s="9">
        <v>0</v>
      </c>
      <c r="GG122" s="9">
        <v>0</v>
      </c>
      <c r="GH122" s="9">
        <v>0</v>
      </c>
      <c r="GI122" s="9">
        <v>0</v>
      </c>
      <c r="GJ122" s="9">
        <v>0</v>
      </c>
      <c r="GK122" s="9">
        <v>0</v>
      </c>
      <c r="GL122" s="9">
        <v>0</v>
      </c>
      <c r="GM122" s="9">
        <v>0</v>
      </c>
      <c r="GN122" s="9">
        <v>0</v>
      </c>
      <c r="GO122" s="9">
        <v>0</v>
      </c>
      <c r="GP122" s="9">
        <v>3518201</v>
      </c>
      <c r="GQ122" s="9">
        <v>3518201</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32469</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row>
    <row r="123" spans="1:292" x14ac:dyDescent="0.25">
      <c r="A123" s="9">
        <v>101875</v>
      </c>
      <c r="B123" s="9">
        <v>32570</v>
      </c>
      <c r="C123" s="9">
        <v>35</v>
      </c>
      <c r="D123" s="9">
        <v>2022</v>
      </c>
      <c r="E123" s="9">
        <v>5392</v>
      </c>
      <c r="F123" s="9">
        <v>0</v>
      </c>
      <c r="G123" s="9">
        <v>36.548999999999999</v>
      </c>
      <c r="H123" s="9">
        <v>36.338999999999999</v>
      </c>
      <c r="I123" s="9">
        <v>36.338999999999999</v>
      </c>
      <c r="J123" s="9">
        <v>36.548999999999999</v>
      </c>
      <c r="K123" s="9">
        <v>0</v>
      </c>
      <c r="L123" s="9">
        <v>6554</v>
      </c>
      <c r="M123" s="9">
        <v>0</v>
      </c>
      <c r="N123" s="9">
        <v>0</v>
      </c>
      <c r="O123" s="9">
        <v>0</v>
      </c>
      <c r="P123" s="9">
        <v>0</v>
      </c>
      <c r="Q123" s="9">
        <v>0</v>
      </c>
      <c r="R123" s="9">
        <v>0</v>
      </c>
      <c r="S123" s="9">
        <v>319.71300000000002</v>
      </c>
      <c r="T123" s="9">
        <v>0</v>
      </c>
      <c r="U123" s="9">
        <v>0</v>
      </c>
      <c r="V123" s="9">
        <v>0.40400000000000003</v>
      </c>
      <c r="W123" s="9">
        <v>265</v>
      </c>
      <c r="X123" s="9">
        <v>265</v>
      </c>
      <c r="Y123" s="9">
        <v>0</v>
      </c>
      <c r="Z123" s="9">
        <v>0</v>
      </c>
      <c r="AA123" s="9">
        <v>1</v>
      </c>
      <c r="AB123" s="9">
        <v>1</v>
      </c>
      <c r="AC123" s="9">
        <v>0</v>
      </c>
      <c r="AD123" s="9" t="s">
        <v>314</v>
      </c>
      <c r="AE123" s="9">
        <v>0</v>
      </c>
      <c r="AF123" s="9">
        <v>0</v>
      </c>
      <c r="AG123" s="9">
        <v>0</v>
      </c>
      <c r="AH123" s="9">
        <v>0</v>
      </c>
      <c r="AI123" s="9">
        <v>0</v>
      </c>
      <c r="AJ123" s="9">
        <v>5104</v>
      </c>
      <c r="AK123" s="9" t="s">
        <v>651</v>
      </c>
      <c r="AL123" s="9" t="s">
        <v>458</v>
      </c>
      <c r="AM123" s="9">
        <v>0</v>
      </c>
      <c r="AN123" s="9">
        <v>0</v>
      </c>
      <c r="AO123" s="9">
        <v>0</v>
      </c>
      <c r="AP123" s="9">
        <v>0</v>
      </c>
      <c r="AQ123" s="9">
        <v>0</v>
      </c>
      <c r="AR123" s="9">
        <v>0</v>
      </c>
      <c r="AS123" s="9">
        <v>0</v>
      </c>
      <c r="AT123" s="9">
        <v>0</v>
      </c>
      <c r="AU123" s="9">
        <v>0</v>
      </c>
      <c r="AV123" s="9">
        <v>42016</v>
      </c>
      <c r="AW123" s="9">
        <v>392275</v>
      </c>
      <c r="AX123" s="9">
        <v>392275</v>
      </c>
      <c r="AY123" s="9">
        <v>430277</v>
      </c>
      <c r="AZ123" s="9">
        <v>0</v>
      </c>
      <c r="BA123" s="9">
        <v>0</v>
      </c>
      <c r="BB123" s="9">
        <v>0</v>
      </c>
      <c r="BC123" s="9">
        <v>0</v>
      </c>
      <c r="BD123" s="9">
        <v>0</v>
      </c>
      <c r="BE123" s="9">
        <v>0</v>
      </c>
      <c r="BF123" s="9">
        <v>323124</v>
      </c>
      <c r="BG123" s="9">
        <v>0</v>
      </c>
      <c r="BH123" s="9">
        <v>0</v>
      </c>
      <c r="BI123" s="9">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9">
        <v>0</v>
      </c>
      <c r="CI123" s="9">
        <v>0</v>
      </c>
      <c r="CJ123" s="9">
        <v>4</v>
      </c>
      <c r="CK123" s="9">
        <v>0</v>
      </c>
      <c r="CL123" s="9">
        <v>0</v>
      </c>
      <c r="CM123" s="9">
        <v>0</v>
      </c>
      <c r="CN123" s="9">
        <v>0</v>
      </c>
      <c r="CO123" s="9">
        <v>0</v>
      </c>
      <c r="CP123" s="9">
        <v>0</v>
      </c>
      <c r="CQ123" s="9">
        <v>0</v>
      </c>
      <c r="CR123" s="9">
        <v>0</v>
      </c>
      <c r="CS123" s="9">
        <v>0</v>
      </c>
      <c r="CT123" s="9">
        <v>0</v>
      </c>
      <c r="CU123" s="9">
        <v>0</v>
      </c>
      <c r="CV123" s="9">
        <v>0</v>
      </c>
      <c r="CW123" s="9">
        <v>0</v>
      </c>
      <c r="CX123" s="9">
        <v>0</v>
      </c>
      <c r="CY123" s="9">
        <v>0</v>
      </c>
      <c r="CZ123" s="9">
        <v>0</v>
      </c>
      <c r="DA123" s="9">
        <v>1</v>
      </c>
      <c r="DB123" s="9">
        <v>238166</v>
      </c>
      <c r="DC123" s="9">
        <v>0</v>
      </c>
      <c r="DD123" s="9">
        <v>0</v>
      </c>
      <c r="DE123" s="9">
        <v>87824</v>
      </c>
      <c r="DF123" s="9">
        <v>87824</v>
      </c>
      <c r="DG123" s="9">
        <v>67</v>
      </c>
      <c r="DH123" s="9">
        <v>0</v>
      </c>
      <c r="DI123" s="9">
        <v>0</v>
      </c>
      <c r="DJ123" s="9">
        <v>0</v>
      </c>
      <c r="DK123" s="9">
        <v>5392</v>
      </c>
      <c r="DL123" s="9">
        <v>0</v>
      </c>
      <c r="DM123" s="9">
        <v>5741</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0</v>
      </c>
      <c r="ED123" s="9">
        <v>0</v>
      </c>
      <c r="EE123" s="9">
        <v>0</v>
      </c>
      <c r="EF123" s="9">
        <v>0</v>
      </c>
      <c r="EG123" s="9">
        <v>0</v>
      </c>
      <c r="EH123" s="9">
        <v>5741</v>
      </c>
      <c r="EI123" s="9">
        <v>0</v>
      </c>
      <c r="EJ123" s="9">
        <v>0</v>
      </c>
      <c r="EK123" s="9">
        <v>8.7000000000000008E-2</v>
      </c>
      <c r="EL123" s="9">
        <v>0</v>
      </c>
      <c r="EM123" s="9">
        <v>0</v>
      </c>
      <c r="EN123" s="9">
        <v>0.12300000000000001</v>
      </c>
      <c r="EO123" s="9">
        <v>0</v>
      </c>
      <c r="EP123" s="9">
        <v>0</v>
      </c>
      <c r="EQ123" s="9">
        <v>0.21</v>
      </c>
      <c r="ER123" s="9">
        <v>0</v>
      </c>
      <c r="ES123" s="9">
        <v>0.876</v>
      </c>
      <c r="ET123" s="9">
        <v>0</v>
      </c>
      <c r="EU123" s="9">
        <v>0</v>
      </c>
      <c r="EV123" s="9">
        <v>0</v>
      </c>
      <c r="EW123" s="9">
        <v>0</v>
      </c>
      <c r="EX123" s="9">
        <v>0</v>
      </c>
      <c r="EY123" s="9">
        <v>0</v>
      </c>
      <c r="EZ123" s="9">
        <v>331996</v>
      </c>
      <c r="FA123" s="9">
        <v>0</v>
      </c>
      <c r="FB123" s="9">
        <v>331996</v>
      </c>
      <c r="FC123" s="9">
        <v>0.97327799999999998</v>
      </c>
      <c r="FD123" s="9">
        <v>0</v>
      </c>
      <c r="FE123" s="9">
        <v>49193</v>
      </c>
      <c r="FF123" s="9">
        <v>11086</v>
      </c>
      <c r="FG123" s="9">
        <v>6.1239999999999996E-2</v>
      </c>
      <c r="FH123" s="9">
        <v>5.4803999999999999E-2</v>
      </c>
      <c r="FI123" s="9">
        <v>0</v>
      </c>
      <c r="FJ123" s="9">
        <v>0</v>
      </c>
      <c r="FK123" s="9">
        <v>63.31</v>
      </c>
      <c r="FL123" s="9">
        <v>392275</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9">
        <v>0</v>
      </c>
      <c r="GC123" s="9">
        <v>0</v>
      </c>
      <c r="GD123" s="9">
        <v>0</v>
      </c>
      <c r="GE123" s="9">
        <v>0</v>
      </c>
      <c r="GF123" s="9">
        <v>0</v>
      </c>
      <c r="GG123" s="9">
        <v>0</v>
      </c>
      <c r="GH123" s="9">
        <v>0</v>
      </c>
      <c r="GI123" s="9">
        <v>0</v>
      </c>
      <c r="GJ123" s="9">
        <v>0</v>
      </c>
      <c r="GK123" s="9">
        <v>0</v>
      </c>
      <c r="GL123" s="9">
        <v>0</v>
      </c>
      <c r="GM123" s="9">
        <v>0</v>
      </c>
      <c r="GN123" s="9">
        <v>0</v>
      </c>
      <c r="GO123" s="9">
        <v>0</v>
      </c>
      <c r="GP123" s="9">
        <v>392275</v>
      </c>
      <c r="GQ123" s="9">
        <v>392275</v>
      </c>
      <c r="GR123" s="9">
        <v>0</v>
      </c>
      <c r="GS123" s="9">
        <v>0</v>
      </c>
      <c r="GT123" s="9">
        <v>0</v>
      </c>
      <c r="GU123" s="9">
        <v>0</v>
      </c>
      <c r="GV123" s="9">
        <v>0</v>
      </c>
      <c r="GW123" s="9">
        <v>0</v>
      </c>
      <c r="GX123" s="9">
        <v>0</v>
      </c>
      <c r="GY123" s="9">
        <v>0</v>
      </c>
      <c r="GZ123" s="9">
        <v>0</v>
      </c>
      <c r="HA123" s="9">
        <v>0</v>
      </c>
      <c r="HB123" s="9">
        <v>0</v>
      </c>
      <c r="HC123" s="9">
        <v>0</v>
      </c>
      <c r="HD123" s="9">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32469</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row>
    <row r="124" spans="1:292" x14ac:dyDescent="0.25">
      <c r="A124" s="9">
        <v>101876</v>
      </c>
      <c r="B124" s="9">
        <v>32570</v>
      </c>
      <c r="C124" s="9">
        <v>35</v>
      </c>
      <c r="D124" s="9">
        <v>2022</v>
      </c>
      <c r="E124" s="9">
        <v>5392</v>
      </c>
      <c r="F124" s="9">
        <v>0</v>
      </c>
      <c r="G124" s="9">
        <v>61.671000000000006</v>
      </c>
      <c r="H124" s="9">
        <v>61.1</v>
      </c>
      <c r="I124" s="9">
        <v>61.1</v>
      </c>
      <c r="J124" s="9">
        <v>61.671000000000006</v>
      </c>
      <c r="K124" s="9">
        <v>0</v>
      </c>
      <c r="L124" s="9">
        <v>6554</v>
      </c>
      <c r="M124" s="9">
        <v>0</v>
      </c>
      <c r="N124" s="9">
        <v>0</v>
      </c>
      <c r="O124" s="9">
        <v>0</v>
      </c>
      <c r="P124" s="9">
        <v>0</v>
      </c>
      <c r="Q124" s="9">
        <v>0</v>
      </c>
      <c r="R124" s="9">
        <v>0</v>
      </c>
      <c r="S124" s="9">
        <v>319.71300000000002</v>
      </c>
      <c r="T124" s="9">
        <v>0</v>
      </c>
      <c r="U124" s="9">
        <v>0</v>
      </c>
      <c r="V124" s="9">
        <v>10.042</v>
      </c>
      <c r="W124" s="9">
        <v>6582</v>
      </c>
      <c r="X124" s="9">
        <v>6582</v>
      </c>
      <c r="Y124" s="9">
        <v>0</v>
      </c>
      <c r="Z124" s="9">
        <v>0</v>
      </c>
      <c r="AA124" s="9">
        <v>1</v>
      </c>
      <c r="AB124" s="9">
        <v>1</v>
      </c>
      <c r="AC124" s="9">
        <v>0</v>
      </c>
      <c r="AD124" s="9" t="s">
        <v>314</v>
      </c>
      <c r="AE124" s="9">
        <v>0</v>
      </c>
      <c r="AF124" s="9">
        <v>0</v>
      </c>
      <c r="AG124" s="9">
        <v>0</v>
      </c>
      <c r="AH124" s="9">
        <v>0</v>
      </c>
      <c r="AI124" s="9">
        <v>0</v>
      </c>
      <c r="AJ124" s="9">
        <v>5104</v>
      </c>
      <c r="AK124" s="9" t="s">
        <v>651</v>
      </c>
      <c r="AL124" s="9" t="s">
        <v>459</v>
      </c>
      <c r="AM124" s="9">
        <v>0</v>
      </c>
      <c r="AN124" s="9">
        <v>0</v>
      </c>
      <c r="AO124" s="9">
        <v>0</v>
      </c>
      <c r="AP124" s="9">
        <v>0</v>
      </c>
      <c r="AQ124" s="9">
        <v>0</v>
      </c>
      <c r="AR124" s="9">
        <v>0</v>
      </c>
      <c r="AS124" s="9">
        <v>0</v>
      </c>
      <c r="AT124" s="9">
        <v>0</v>
      </c>
      <c r="AU124" s="9">
        <v>0</v>
      </c>
      <c r="AV124" s="9">
        <v>79378</v>
      </c>
      <c r="AW124" s="9">
        <v>599971</v>
      </c>
      <c r="AX124" s="9">
        <v>599971</v>
      </c>
      <c r="AY124" s="9">
        <v>717412</v>
      </c>
      <c r="AZ124" s="9">
        <v>0</v>
      </c>
      <c r="BA124" s="9">
        <v>0</v>
      </c>
      <c r="BB124" s="9">
        <v>0</v>
      </c>
      <c r="BC124" s="9">
        <v>0</v>
      </c>
      <c r="BD124" s="9">
        <v>0</v>
      </c>
      <c r="BE124" s="9">
        <v>0</v>
      </c>
      <c r="BF124" s="9">
        <v>494208</v>
      </c>
      <c r="BG124" s="9">
        <v>0</v>
      </c>
      <c r="BH124" s="9">
        <v>0</v>
      </c>
      <c r="BI124" s="9">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9">
        <v>0</v>
      </c>
      <c r="CI124" s="9">
        <v>0</v>
      </c>
      <c r="CJ124" s="9">
        <v>4</v>
      </c>
      <c r="CK124" s="9">
        <v>0</v>
      </c>
      <c r="CL124" s="9">
        <v>0</v>
      </c>
      <c r="CM124" s="9">
        <v>0</v>
      </c>
      <c r="CN124" s="9">
        <v>0</v>
      </c>
      <c r="CO124" s="9">
        <v>0</v>
      </c>
      <c r="CP124" s="9">
        <v>0</v>
      </c>
      <c r="CQ124" s="9">
        <v>0</v>
      </c>
      <c r="CR124" s="9">
        <v>0</v>
      </c>
      <c r="CS124" s="9">
        <v>0</v>
      </c>
      <c r="CT124" s="9">
        <v>0</v>
      </c>
      <c r="CU124" s="9">
        <v>0</v>
      </c>
      <c r="CV124" s="9">
        <v>0</v>
      </c>
      <c r="CW124" s="9">
        <v>0</v>
      </c>
      <c r="CX124" s="9">
        <v>0</v>
      </c>
      <c r="CY124" s="9">
        <v>0</v>
      </c>
      <c r="CZ124" s="9">
        <v>0</v>
      </c>
      <c r="DA124" s="9">
        <v>1</v>
      </c>
      <c r="DB124" s="9">
        <v>400449</v>
      </c>
      <c r="DC124" s="9">
        <v>0</v>
      </c>
      <c r="DD124" s="9">
        <v>0</v>
      </c>
      <c r="DE124" s="9">
        <v>78648</v>
      </c>
      <c r="DF124" s="9">
        <v>78648</v>
      </c>
      <c r="DG124" s="9">
        <v>60</v>
      </c>
      <c r="DH124" s="9">
        <v>0</v>
      </c>
      <c r="DI124" s="9">
        <v>0</v>
      </c>
      <c r="DJ124" s="9">
        <v>0</v>
      </c>
      <c r="DK124" s="9">
        <v>5392</v>
      </c>
      <c r="DL124" s="9">
        <v>0</v>
      </c>
      <c r="DM124" s="9">
        <v>22098</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1.0370000000000001</v>
      </c>
      <c r="ED124" s="9">
        <v>7476</v>
      </c>
      <c r="EE124" s="9">
        <v>0</v>
      </c>
      <c r="EF124" s="9">
        <v>0</v>
      </c>
      <c r="EG124" s="9">
        <v>0</v>
      </c>
      <c r="EH124" s="9">
        <v>14622</v>
      </c>
      <c r="EI124" s="9">
        <v>0</v>
      </c>
      <c r="EJ124" s="9">
        <v>0</v>
      </c>
      <c r="EK124" s="9">
        <v>0.312</v>
      </c>
      <c r="EL124" s="9">
        <v>0</v>
      </c>
      <c r="EM124" s="9">
        <v>0</v>
      </c>
      <c r="EN124" s="9">
        <v>0.25900000000000001</v>
      </c>
      <c r="EO124" s="9">
        <v>0</v>
      </c>
      <c r="EP124" s="9">
        <v>0</v>
      </c>
      <c r="EQ124" s="9">
        <v>0.57100000000000006</v>
      </c>
      <c r="ER124" s="9">
        <v>0</v>
      </c>
      <c r="ES124" s="9">
        <v>2.2310000000000003</v>
      </c>
      <c r="ET124" s="9">
        <v>0</v>
      </c>
      <c r="EU124" s="9">
        <v>0</v>
      </c>
      <c r="EV124" s="9">
        <v>0</v>
      </c>
      <c r="EW124" s="9">
        <v>0</v>
      </c>
      <c r="EX124" s="9">
        <v>0</v>
      </c>
      <c r="EY124" s="9">
        <v>0</v>
      </c>
      <c r="EZ124" s="9">
        <v>507777</v>
      </c>
      <c r="FA124" s="9">
        <v>0</v>
      </c>
      <c r="FB124" s="9">
        <v>507777</v>
      </c>
      <c r="FC124" s="9">
        <v>0.97327799999999998</v>
      </c>
      <c r="FD124" s="9">
        <v>0</v>
      </c>
      <c r="FE124" s="9">
        <v>75239</v>
      </c>
      <c r="FF124" s="9">
        <v>16955</v>
      </c>
      <c r="FG124" s="9">
        <v>6.1239999999999996E-2</v>
      </c>
      <c r="FH124" s="9">
        <v>5.4803999999999999E-2</v>
      </c>
      <c r="FI124" s="9">
        <v>0</v>
      </c>
      <c r="FJ124" s="9">
        <v>0</v>
      </c>
      <c r="FK124" s="9">
        <v>96.831000000000003</v>
      </c>
      <c r="FL124" s="9">
        <v>599971</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9">
        <v>0</v>
      </c>
      <c r="GC124" s="9">
        <v>0</v>
      </c>
      <c r="GD124" s="9">
        <v>0</v>
      </c>
      <c r="GE124" s="9">
        <v>0</v>
      </c>
      <c r="GF124" s="9">
        <v>0</v>
      </c>
      <c r="GG124" s="9">
        <v>0</v>
      </c>
      <c r="GH124" s="9">
        <v>0</v>
      </c>
      <c r="GI124" s="9">
        <v>0</v>
      </c>
      <c r="GJ124" s="9">
        <v>0</v>
      </c>
      <c r="GK124" s="9">
        <v>0</v>
      </c>
      <c r="GL124" s="9">
        <v>0</v>
      </c>
      <c r="GM124" s="9">
        <v>0</v>
      </c>
      <c r="GN124" s="9">
        <v>0</v>
      </c>
      <c r="GO124" s="9">
        <v>0</v>
      </c>
      <c r="GP124" s="9">
        <v>599971</v>
      </c>
      <c r="GQ124" s="9">
        <v>599971</v>
      </c>
      <c r="GR124" s="9">
        <v>0</v>
      </c>
      <c r="GS124" s="9">
        <v>0</v>
      </c>
      <c r="GT124" s="9">
        <v>0</v>
      </c>
      <c r="GU124" s="9">
        <v>0</v>
      </c>
      <c r="GV124" s="9">
        <v>0</v>
      </c>
      <c r="GW124" s="9">
        <v>0</v>
      </c>
      <c r="GX124" s="9">
        <v>0</v>
      </c>
      <c r="GY124" s="9">
        <v>0</v>
      </c>
      <c r="GZ124" s="9">
        <v>0</v>
      </c>
      <c r="HA124" s="9">
        <v>0</v>
      </c>
      <c r="HB124" s="9">
        <v>0</v>
      </c>
      <c r="HC124" s="9">
        <v>0</v>
      </c>
      <c r="HD124" s="9">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32469</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row>
    <row r="125" spans="1:292" ht="14.5" x14ac:dyDescent="0.35">
      <c r="A125" s="9">
        <v>101877</v>
      </c>
      <c r="B125" s="9">
        <v>32570</v>
      </c>
      <c r="C125" s="9">
        <v>0</v>
      </c>
      <c r="D125" s="9">
        <v>0</v>
      </c>
      <c r="E125" s="9">
        <v>5392</v>
      </c>
      <c r="F125" s="9">
        <v>0</v>
      </c>
      <c r="G125" s="9">
        <v>0</v>
      </c>
      <c r="H125" s="9">
        <v>0</v>
      </c>
      <c r="I125" s="9">
        <v>0</v>
      </c>
      <c r="J125" s="9">
        <v>0</v>
      </c>
      <c r="K125" s="9">
        <v>0</v>
      </c>
      <c r="L125" s="9">
        <v>6554</v>
      </c>
      <c r="M125" s="9">
        <v>0</v>
      </c>
      <c r="N125" s="9">
        <v>0</v>
      </c>
      <c r="O125" s="9">
        <v>0</v>
      </c>
      <c r="P125" s="9">
        <v>0</v>
      </c>
      <c r="Q125" s="9">
        <v>0</v>
      </c>
      <c r="R125" s="9">
        <v>0</v>
      </c>
      <c r="S125" s="9">
        <v>319.71300000000002</v>
      </c>
      <c r="T125" s="9">
        <v>0</v>
      </c>
      <c r="U125" s="9">
        <v>0</v>
      </c>
      <c r="V125" s="9">
        <v>0</v>
      </c>
      <c r="W125" s="9">
        <v>0</v>
      </c>
      <c r="X125" s="9">
        <v>0</v>
      </c>
      <c r="Y125" s="9">
        <v>0</v>
      </c>
      <c r="Z125" s="9">
        <v>0</v>
      </c>
      <c r="AA125" s="9">
        <v>0</v>
      </c>
      <c r="AB125" s="9">
        <v>0</v>
      </c>
      <c r="AC125" s="9">
        <v>0</v>
      </c>
      <c r="AD125" s="9">
        <v>0</v>
      </c>
      <c r="AE125" s="9">
        <v>0</v>
      </c>
      <c r="AF125" s="9">
        <v>0</v>
      </c>
      <c r="AG125" s="9">
        <v>0</v>
      </c>
      <c r="AH125" s="9">
        <v>0</v>
      </c>
      <c r="AI125" s="9">
        <v>0</v>
      </c>
      <c r="AJ125" s="9">
        <v>0</v>
      </c>
      <c r="AK125" s="9">
        <v>0</v>
      </c>
      <c r="AL125" s="12" t="s">
        <v>539</v>
      </c>
      <c r="AM125" s="9">
        <v>0</v>
      </c>
      <c r="AN125" s="9">
        <v>0</v>
      </c>
      <c r="AO125" s="9">
        <v>0</v>
      </c>
      <c r="AP125" s="9">
        <v>0</v>
      </c>
      <c r="AQ125" s="9">
        <v>0</v>
      </c>
      <c r="AR125" s="9">
        <v>0</v>
      </c>
      <c r="AS125" s="9">
        <v>0</v>
      </c>
      <c r="AT125" s="9">
        <v>0</v>
      </c>
      <c r="AU125" s="9">
        <v>0</v>
      </c>
      <c r="AV125" s="9">
        <v>0</v>
      </c>
      <c r="AW125" s="9">
        <v>0</v>
      </c>
      <c r="AX125" s="9">
        <v>0</v>
      </c>
      <c r="AY125" s="9">
        <v>0</v>
      </c>
      <c r="AZ125" s="9">
        <v>0</v>
      </c>
      <c r="BA125" s="9">
        <v>0</v>
      </c>
      <c r="BB125" s="9">
        <v>0</v>
      </c>
      <c r="BC125" s="9">
        <v>0</v>
      </c>
      <c r="BD125" s="9">
        <v>0</v>
      </c>
      <c r="BE125" s="9">
        <v>0</v>
      </c>
      <c r="BF125" s="9">
        <v>0</v>
      </c>
      <c r="BG125" s="9">
        <v>0</v>
      </c>
      <c r="BH125" s="9">
        <v>0</v>
      </c>
      <c r="BI125" s="9">
        <v>0</v>
      </c>
      <c r="BJ125" s="9">
        <v>0</v>
      </c>
      <c r="BK125" s="9">
        <v>0</v>
      </c>
      <c r="BL125" s="9">
        <v>0</v>
      </c>
      <c r="BM125" s="9">
        <v>0</v>
      </c>
      <c r="BN125" s="9">
        <v>0</v>
      </c>
      <c r="BO125" s="9">
        <v>0</v>
      </c>
      <c r="BP125" s="9">
        <v>0</v>
      </c>
      <c r="BQ125" s="9">
        <v>5392</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9">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5392</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9">
        <v>0</v>
      </c>
      <c r="EU125" s="9">
        <v>0</v>
      </c>
      <c r="EV125" s="9">
        <v>0</v>
      </c>
      <c r="EW125" s="9">
        <v>0</v>
      </c>
      <c r="EX125" s="9">
        <v>0</v>
      </c>
      <c r="EY125" s="9">
        <v>0</v>
      </c>
      <c r="EZ125" s="9">
        <v>0</v>
      </c>
      <c r="FA125" s="9">
        <v>0</v>
      </c>
      <c r="FB125" s="9">
        <v>0</v>
      </c>
      <c r="FC125" s="9">
        <v>0.97327799999999998</v>
      </c>
      <c r="FD125" s="9">
        <v>0</v>
      </c>
      <c r="FE125" s="9">
        <v>0</v>
      </c>
      <c r="FF125" s="9">
        <v>0</v>
      </c>
      <c r="FG125" s="9">
        <v>6.1239999999999996E-2</v>
      </c>
      <c r="FH125" s="9">
        <v>5.4803999999999999E-2</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9">
        <v>0</v>
      </c>
      <c r="GC125" s="9">
        <v>0</v>
      </c>
      <c r="GD125" s="9">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5.0923999999999997E-2</v>
      </c>
      <c r="HD125" s="9">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row>
    <row r="126" spans="1:292" ht="13" x14ac:dyDescent="0.3">
      <c r="A126" s="9">
        <v>101878</v>
      </c>
      <c r="B126" s="9">
        <v>32570</v>
      </c>
      <c r="C126" s="9">
        <v>35</v>
      </c>
      <c r="D126" s="9">
        <v>2022</v>
      </c>
      <c r="E126" s="9">
        <v>5392</v>
      </c>
      <c r="F126" s="9">
        <v>0</v>
      </c>
      <c r="G126" s="9">
        <v>0</v>
      </c>
      <c r="H126" s="9">
        <v>0</v>
      </c>
      <c r="I126" s="9">
        <v>0</v>
      </c>
      <c r="J126" s="9">
        <v>0</v>
      </c>
      <c r="K126" s="9">
        <v>0</v>
      </c>
      <c r="L126" s="9">
        <v>6554</v>
      </c>
      <c r="M126" s="9">
        <v>0</v>
      </c>
      <c r="N126" s="9">
        <v>0</v>
      </c>
      <c r="O126" s="9">
        <v>0</v>
      </c>
      <c r="P126" s="9">
        <v>0</v>
      </c>
      <c r="Q126" s="9">
        <v>0</v>
      </c>
      <c r="R126" s="10">
        <v>0</v>
      </c>
      <c r="S126" s="9">
        <v>319.71300000000002</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712</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0.97327799999999998</v>
      </c>
      <c r="FD126" s="9">
        <v>0</v>
      </c>
      <c r="FE126" s="9">
        <v>0</v>
      </c>
      <c r="FF126" s="9">
        <v>0</v>
      </c>
      <c r="FG126" s="9">
        <v>6.0988999999999995E-2</v>
      </c>
      <c r="FH126" s="9">
        <v>5.4558999999999996E-2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row>
    <row r="127" spans="1:292" ht="13" x14ac:dyDescent="0.3">
      <c r="A127" s="9">
        <v>105801</v>
      </c>
      <c r="B127" s="9">
        <v>32570</v>
      </c>
      <c r="C127" s="9">
        <v>35</v>
      </c>
      <c r="D127" s="9">
        <v>2022</v>
      </c>
      <c r="E127" s="9">
        <v>5392</v>
      </c>
      <c r="F127" s="9">
        <v>0</v>
      </c>
      <c r="G127" s="9">
        <v>131.249</v>
      </c>
      <c r="H127" s="9">
        <v>123.15100000000001</v>
      </c>
      <c r="I127" s="9">
        <v>123.15100000000001</v>
      </c>
      <c r="J127" s="9">
        <v>131.249</v>
      </c>
      <c r="K127" s="9">
        <v>0</v>
      </c>
      <c r="L127" s="9">
        <v>6554</v>
      </c>
      <c r="M127" s="9">
        <v>0</v>
      </c>
      <c r="N127" s="9">
        <v>0</v>
      </c>
      <c r="O127" s="9">
        <v>0</v>
      </c>
      <c r="P127" s="9">
        <v>144.21899999999999</v>
      </c>
      <c r="Q127" s="9">
        <v>0</v>
      </c>
      <c r="R127" s="10">
        <v>46109</v>
      </c>
      <c r="S127" s="9">
        <v>319.71300000000002</v>
      </c>
      <c r="T127" s="9">
        <v>0</v>
      </c>
      <c r="U127" s="10">
        <v>46109</v>
      </c>
      <c r="V127" s="10">
        <v>0</v>
      </c>
      <c r="W127" s="10">
        <v>0</v>
      </c>
      <c r="X127" s="10">
        <v>0</v>
      </c>
      <c r="Y127" s="9">
        <v>0</v>
      </c>
      <c r="Z127" s="9">
        <v>0</v>
      </c>
      <c r="AA127" s="9">
        <v>1</v>
      </c>
      <c r="AB127" s="9">
        <v>1</v>
      </c>
      <c r="AC127" s="9">
        <v>0</v>
      </c>
      <c r="AD127" s="9" t="s">
        <v>314</v>
      </c>
      <c r="AE127" s="9">
        <v>0</v>
      </c>
      <c r="AF127" s="9">
        <v>0</v>
      </c>
      <c r="AG127" s="9">
        <v>0</v>
      </c>
      <c r="AH127" s="9">
        <v>0</v>
      </c>
      <c r="AI127" s="9">
        <v>0</v>
      </c>
      <c r="AJ127" s="9">
        <v>5104</v>
      </c>
      <c r="AK127" s="9" t="s">
        <v>651</v>
      </c>
      <c r="AL127" s="9" t="s">
        <v>34</v>
      </c>
      <c r="AM127" s="9">
        <v>0</v>
      </c>
      <c r="AN127" s="9">
        <v>0</v>
      </c>
      <c r="AO127" s="9">
        <v>0</v>
      </c>
      <c r="AP127" s="9">
        <v>0</v>
      </c>
      <c r="AQ127" s="9">
        <v>0</v>
      </c>
      <c r="AR127" s="9">
        <v>0</v>
      </c>
      <c r="AS127" s="9">
        <v>0</v>
      </c>
      <c r="AT127" s="9">
        <v>0</v>
      </c>
      <c r="AU127" s="9">
        <v>0</v>
      </c>
      <c r="AV127" s="9">
        <v>95064</v>
      </c>
      <c r="AW127" s="9">
        <v>1404998</v>
      </c>
      <c r="AX127" s="9">
        <v>1341916</v>
      </c>
      <c r="AY127" s="9">
        <v>1525550</v>
      </c>
      <c r="AZ127" s="9">
        <v>77991</v>
      </c>
      <c r="BA127" s="10">
        <v>8.1669999999999998</v>
      </c>
      <c r="BB127" s="9">
        <v>0</v>
      </c>
      <c r="BC127" s="9">
        <v>0</v>
      </c>
      <c r="BD127" s="9">
        <v>0</v>
      </c>
      <c r="BE127" s="9">
        <v>0</v>
      </c>
      <c r="BF127" s="9">
        <v>1088885</v>
      </c>
      <c r="BG127" s="9">
        <v>0</v>
      </c>
      <c r="BH127" s="10">
        <v>115.93300000000001</v>
      </c>
      <c r="BI127" s="10">
        <v>31882</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10">
        <v>31200</v>
      </c>
      <c r="CI127" s="9">
        <v>0</v>
      </c>
      <c r="CJ127" s="9">
        <v>4</v>
      </c>
      <c r="CK127" s="9">
        <v>0</v>
      </c>
      <c r="CL127" s="9">
        <v>0</v>
      </c>
      <c r="CM127" s="9">
        <v>0</v>
      </c>
      <c r="CN127" s="9">
        <v>0</v>
      </c>
      <c r="CO127" s="9">
        <v>0</v>
      </c>
      <c r="CP127" s="9">
        <v>0</v>
      </c>
      <c r="CQ127" s="9">
        <v>5</v>
      </c>
      <c r="CR127" s="9">
        <v>144.21899999999999</v>
      </c>
      <c r="CS127" s="9">
        <v>0</v>
      </c>
      <c r="CT127" s="9">
        <v>0</v>
      </c>
      <c r="CU127" s="9">
        <v>0</v>
      </c>
      <c r="CV127" s="9">
        <v>0</v>
      </c>
      <c r="CW127" s="9">
        <v>0</v>
      </c>
      <c r="CX127" s="9">
        <v>0</v>
      </c>
      <c r="CY127" s="9">
        <v>0</v>
      </c>
      <c r="CZ127" s="9">
        <v>0</v>
      </c>
      <c r="DA127" s="9">
        <v>1</v>
      </c>
      <c r="DB127" s="9">
        <v>807132</v>
      </c>
      <c r="DC127" s="9">
        <v>0</v>
      </c>
      <c r="DD127" s="9">
        <v>0</v>
      </c>
      <c r="DE127" s="9">
        <v>113384</v>
      </c>
      <c r="DF127" s="9">
        <v>113384</v>
      </c>
      <c r="DG127" s="9">
        <v>86.5</v>
      </c>
      <c r="DH127" s="9">
        <v>0</v>
      </c>
      <c r="DI127" s="9">
        <v>0</v>
      </c>
      <c r="DJ127" s="9">
        <v>0</v>
      </c>
      <c r="DK127" s="9">
        <v>5392</v>
      </c>
      <c r="DL127" s="9">
        <v>0</v>
      </c>
      <c r="DM127" s="9">
        <v>140604</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15.191000000000001</v>
      </c>
      <c r="ED127" s="9">
        <v>109518</v>
      </c>
      <c r="EE127" s="9">
        <v>0</v>
      </c>
      <c r="EF127" s="9">
        <v>0</v>
      </c>
      <c r="EG127" s="9">
        <v>0</v>
      </c>
      <c r="EH127" s="9">
        <v>31086</v>
      </c>
      <c r="EI127" s="9">
        <v>0</v>
      </c>
      <c r="EJ127" s="9">
        <v>0</v>
      </c>
      <c r="EK127" s="9">
        <v>1.5810000000000002</v>
      </c>
      <c r="EL127" s="9">
        <v>0</v>
      </c>
      <c r="EM127" s="9">
        <v>0</v>
      </c>
      <c r="EN127" s="9">
        <v>0</v>
      </c>
      <c r="EO127" s="9">
        <v>0</v>
      </c>
      <c r="EP127" s="9">
        <v>0</v>
      </c>
      <c r="EQ127" s="9">
        <v>1.5810000000000002</v>
      </c>
      <c r="ER127" s="9">
        <v>0</v>
      </c>
      <c r="ES127" s="9">
        <v>4.7430000000000003</v>
      </c>
      <c r="ET127" s="10">
        <v>5334</v>
      </c>
      <c r="EU127" s="9">
        <v>77991</v>
      </c>
      <c r="EV127" s="9">
        <v>0</v>
      </c>
      <c r="EW127" s="9">
        <v>0</v>
      </c>
      <c r="EX127" s="9">
        <v>0</v>
      </c>
      <c r="EY127" s="9">
        <v>0</v>
      </c>
      <c r="EZ127" s="9">
        <v>1138785</v>
      </c>
      <c r="FA127" s="9">
        <v>0</v>
      </c>
      <c r="FB127" s="10">
        <v>1216776</v>
      </c>
      <c r="FC127" s="9">
        <v>0.97327799999999998</v>
      </c>
      <c r="FD127" s="9">
        <v>0</v>
      </c>
      <c r="FE127" s="9">
        <v>165774</v>
      </c>
      <c r="FF127" s="9">
        <v>37357</v>
      </c>
      <c r="FG127" s="9">
        <v>6.1239999999999996E-2</v>
      </c>
      <c r="FH127" s="9">
        <v>5.4803999999999999E-2</v>
      </c>
      <c r="FI127" s="9">
        <v>0</v>
      </c>
      <c r="FJ127" s="9">
        <v>0</v>
      </c>
      <c r="FK127" s="9">
        <v>213.34700000000001</v>
      </c>
      <c r="FL127" s="9">
        <v>1451107</v>
      </c>
      <c r="FM127" s="9">
        <v>0</v>
      </c>
      <c r="FN127" s="9">
        <v>0</v>
      </c>
      <c r="FO127" s="9">
        <v>66112</v>
      </c>
      <c r="FP127" s="9">
        <v>0</v>
      </c>
      <c r="FQ127" s="9">
        <v>66112</v>
      </c>
      <c r="FR127" s="9">
        <v>66112</v>
      </c>
      <c r="FS127" s="9">
        <v>0</v>
      </c>
      <c r="FT127" s="9">
        <v>0</v>
      </c>
      <c r="FU127" s="9">
        <v>0</v>
      </c>
      <c r="FV127" s="9">
        <v>0</v>
      </c>
      <c r="FW127" s="9">
        <v>0</v>
      </c>
      <c r="FX127" s="9">
        <v>0</v>
      </c>
      <c r="FY127" s="9">
        <v>0</v>
      </c>
      <c r="FZ127" s="9">
        <v>0</v>
      </c>
      <c r="GA127" s="9">
        <v>0</v>
      </c>
      <c r="GB127" s="10">
        <v>57662</v>
      </c>
      <c r="GC127" s="10">
        <v>57662</v>
      </c>
      <c r="GD127" s="10">
        <v>6.5170000000000003</v>
      </c>
      <c r="GE127" s="9">
        <v>0</v>
      </c>
      <c r="GF127" s="9">
        <v>0</v>
      </c>
      <c r="GG127" s="9">
        <v>0</v>
      </c>
      <c r="GH127" s="9">
        <v>0</v>
      </c>
      <c r="GI127" s="9">
        <v>0</v>
      </c>
      <c r="GJ127" s="9">
        <v>0</v>
      </c>
      <c r="GK127" s="9">
        <v>5779</v>
      </c>
      <c r="GL127" s="9">
        <v>3597</v>
      </c>
      <c r="GM127" s="9">
        <v>0</v>
      </c>
      <c r="GN127" s="9">
        <v>44710</v>
      </c>
      <c r="GO127" s="9">
        <v>0</v>
      </c>
      <c r="GP127" s="9">
        <v>1419907</v>
      </c>
      <c r="GQ127" s="9">
        <v>1419907</v>
      </c>
      <c r="GR127" s="9">
        <v>0</v>
      </c>
      <c r="GS127" s="9">
        <v>0</v>
      </c>
      <c r="GT127" s="9">
        <v>0</v>
      </c>
      <c r="GU127" s="9">
        <v>0</v>
      </c>
      <c r="GV127" s="9">
        <v>0</v>
      </c>
      <c r="GW127" s="9">
        <v>0</v>
      </c>
      <c r="GX127" s="9">
        <v>0</v>
      </c>
      <c r="GY127" s="9">
        <v>0</v>
      </c>
      <c r="GZ127" s="9">
        <v>0</v>
      </c>
      <c r="HA127" s="9">
        <v>0</v>
      </c>
      <c r="HB127" s="9">
        <v>260786259</v>
      </c>
      <c r="HC127" s="9">
        <v>5.0923999999999997E-2</v>
      </c>
      <c r="HD127" s="10">
        <v>25866</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32469</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row>
    <row r="128" spans="1:292" x14ac:dyDescent="0.25">
      <c r="A128" s="9">
        <v>105802</v>
      </c>
      <c r="B128" s="9">
        <v>32570</v>
      </c>
      <c r="C128" s="9">
        <v>35</v>
      </c>
      <c r="D128" s="9">
        <v>2022</v>
      </c>
      <c r="E128" s="9">
        <v>5392</v>
      </c>
      <c r="F128" s="9">
        <v>0</v>
      </c>
      <c r="G128" s="9">
        <v>179.64400000000001</v>
      </c>
      <c r="H128" s="9">
        <v>179.27100000000002</v>
      </c>
      <c r="I128" s="9">
        <v>179.27100000000002</v>
      </c>
      <c r="J128" s="9">
        <v>179.64400000000001</v>
      </c>
      <c r="K128" s="9">
        <v>0</v>
      </c>
      <c r="L128" s="9">
        <v>6554</v>
      </c>
      <c r="M128" s="9">
        <v>0</v>
      </c>
      <c r="N128" s="9">
        <v>0</v>
      </c>
      <c r="O128" s="9">
        <v>0</v>
      </c>
      <c r="P128" s="9">
        <v>217.32300000000001</v>
      </c>
      <c r="Q128" s="9">
        <v>0</v>
      </c>
      <c r="R128" s="9">
        <v>69481</v>
      </c>
      <c r="S128" s="9">
        <v>319.71300000000002</v>
      </c>
      <c r="T128" s="9">
        <v>0</v>
      </c>
      <c r="U128" s="9">
        <v>69481</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651</v>
      </c>
      <c r="AL128" s="9" t="s">
        <v>3</v>
      </c>
      <c r="AM128" s="9">
        <v>0</v>
      </c>
      <c r="AN128" s="9">
        <v>0</v>
      </c>
      <c r="AO128" s="9">
        <v>0</v>
      </c>
      <c r="AP128" s="9">
        <v>0</v>
      </c>
      <c r="AQ128" s="9">
        <v>0</v>
      </c>
      <c r="AR128" s="9">
        <v>0</v>
      </c>
      <c r="AS128" s="9">
        <v>0</v>
      </c>
      <c r="AT128" s="9">
        <v>0</v>
      </c>
      <c r="AU128" s="9">
        <v>0</v>
      </c>
      <c r="AV128" s="9">
        <v>83880</v>
      </c>
      <c r="AW128" s="9">
        <v>1834045</v>
      </c>
      <c r="AX128" s="9">
        <v>1825191</v>
      </c>
      <c r="AY128" s="9">
        <v>1912179</v>
      </c>
      <c r="AZ128" s="9">
        <v>69481</v>
      </c>
      <c r="BA128" s="9">
        <v>15</v>
      </c>
      <c r="BB128" s="9">
        <v>0</v>
      </c>
      <c r="BC128" s="9">
        <v>0</v>
      </c>
      <c r="BD128" s="9">
        <v>0</v>
      </c>
      <c r="BE128" s="9">
        <v>0</v>
      </c>
      <c r="BF128" s="9">
        <v>1547283</v>
      </c>
      <c r="BG128" s="9">
        <v>0</v>
      </c>
      <c r="BH128" s="9">
        <v>0</v>
      </c>
      <c r="BI128" s="9">
        <v>0</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8854</v>
      </c>
      <c r="CI128" s="9">
        <v>0</v>
      </c>
      <c r="CJ128" s="9">
        <v>4</v>
      </c>
      <c r="CK128" s="9">
        <v>0</v>
      </c>
      <c r="CL128" s="9">
        <v>0</v>
      </c>
      <c r="CM128" s="9">
        <v>0</v>
      </c>
      <c r="CN128" s="9">
        <v>0</v>
      </c>
      <c r="CO128" s="9">
        <v>0</v>
      </c>
      <c r="CP128" s="9">
        <v>0</v>
      </c>
      <c r="CQ128" s="9">
        <v>5.4170000000000007</v>
      </c>
      <c r="CR128" s="9">
        <v>217.32300000000001</v>
      </c>
      <c r="CS128" s="9">
        <v>0</v>
      </c>
      <c r="CT128" s="9">
        <v>0</v>
      </c>
      <c r="CU128" s="9">
        <v>0</v>
      </c>
      <c r="CV128" s="9">
        <v>0</v>
      </c>
      <c r="CW128" s="9">
        <v>0</v>
      </c>
      <c r="CX128" s="9">
        <v>0</v>
      </c>
      <c r="CY128" s="9">
        <v>0</v>
      </c>
      <c r="CZ128" s="9">
        <v>0</v>
      </c>
      <c r="DA128" s="9">
        <v>1</v>
      </c>
      <c r="DB128" s="9">
        <v>1174942</v>
      </c>
      <c r="DC128" s="9">
        <v>0</v>
      </c>
      <c r="DD128" s="9">
        <v>0</v>
      </c>
      <c r="DE128" s="9">
        <v>310882</v>
      </c>
      <c r="DF128" s="9">
        <v>310882</v>
      </c>
      <c r="DG128" s="9">
        <v>237.17000000000002</v>
      </c>
      <c r="DH128" s="9">
        <v>0</v>
      </c>
      <c r="DI128" s="9">
        <v>0</v>
      </c>
      <c r="DJ128" s="9">
        <v>0</v>
      </c>
      <c r="DK128" s="9">
        <v>5392</v>
      </c>
      <c r="DL128" s="9">
        <v>0</v>
      </c>
      <c r="DM128" s="9">
        <v>103941</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12.722000000000001</v>
      </c>
      <c r="ED128" s="9">
        <v>91718</v>
      </c>
      <c r="EE128" s="9">
        <v>0</v>
      </c>
      <c r="EF128" s="9">
        <v>0</v>
      </c>
      <c r="EG128" s="9">
        <v>0</v>
      </c>
      <c r="EH128" s="9">
        <v>12223</v>
      </c>
      <c r="EI128" s="9">
        <v>0</v>
      </c>
      <c r="EJ128" s="9">
        <v>0</v>
      </c>
      <c r="EK128" s="9">
        <v>0</v>
      </c>
      <c r="EL128" s="9">
        <v>0</v>
      </c>
      <c r="EM128" s="9">
        <v>0</v>
      </c>
      <c r="EN128" s="9">
        <v>0.373</v>
      </c>
      <c r="EO128" s="9">
        <v>0</v>
      </c>
      <c r="EP128" s="9">
        <v>0</v>
      </c>
      <c r="EQ128" s="9">
        <v>0.373</v>
      </c>
      <c r="ER128" s="9">
        <v>0</v>
      </c>
      <c r="ES128" s="9">
        <v>1.865</v>
      </c>
      <c r="ET128" s="9">
        <v>8854</v>
      </c>
      <c r="EU128" s="9">
        <v>69481</v>
      </c>
      <c r="EV128" s="9">
        <v>0</v>
      </c>
      <c r="EW128" s="9">
        <v>0</v>
      </c>
      <c r="EX128" s="9">
        <v>0</v>
      </c>
      <c r="EY128" s="9">
        <v>0</v>
      </c>
      <c r="EZ128" s="9">
        <v>1536547</v>
      </c>
      <c r="FA128" s="9">
        <v>0</v>
      </c>
      <c r="FB128" s="9">
        <v>1606028</v>
      </c>
      <c r="FC128" s="9">
        <v>0.97327799999999998</v>
      </c>
      <c r="FD128" s="9">
        <v>0</v>
      </c>
      <c r="FE128" s="9">
        <v>235561</v>
      </c>
      <c r="FF128" s="9">
        <v>53083</v>
      </c>
      <c r="FG128" s="9">
        <v>6.1239999999999996E-2</v>
      </c>
      <c r="FH128" s="9">
        <v>5.4803999999999999E-2</v>
      </c>
      <c r="FI128" s="9">
        <v>0</v>
      </c>
      <c r="FJ128" s="9">
        <v>0</v>
      </c>
      <c r="FK128" s="9">
        <v>303.161</v>
      </c>
      <c r="FL128" s="9">
        <v>1903526</v>
      </c>
      <c r="FM128" s="9">
        <v>0</v>
      </c>
      <c r="FN128" s="9">
        <v>0</v>
      </c>
      <c r="FO128" s="9">
        <v>16263</v>
      </c>
      <c r="FP128" s="9">
        <v>0</v>
      </c>
      <c r="FQ128" s="9">
        <v>16263</v>
      </c>
      <c r="FR128" s="9">
        <v>16263</v>
      </c>
      <c r="FS128" s="9">
        <v>0</v>
      </c>
      <c r="FT128" s="9">
        <v>0</v>
      </c>
      <c r="FU128" s="9">
        <v>0</v>
      </c>
      <c r="FV128" s="9">
        <v>0</v>
      </c>
      <c r="FW128" s="9">
        <v>0</v>
      </c>
      <c r="FX128" s="9">
        <v>0</v>
      </c>
      <c r="FY128" s="9">
        <v>0</v>
      </c>
      <c r="FZ128" s="9">
        <v>0</v>
      </c>
      <c r="GA128" s="9">
        <v>0</v>
      </c>
      <c r="GB128" s="9">
        <v>0</v>
      </c>
      <c r="GC128" s="9">
        <v>0</v>
      </c>
      <c r="GD128" s="9">
        <v>0</v>
      </c>
      <c r="GE128" s="9">
        <v>0</v>
      </c>
      <c r="GF128" s="9">
        <v>0</v>
      </c>
      <c r="GG128" s="9">
        <v>0</v>
      </c>
      <c r="GH128" s="9">
        <v>0</v>
      </c>
      <c r="GI128" s="9">
        <v>0</v>
      </c>
      <c r="GJ128" s="9">
        <v>0</v>
      </c>
      <c r="GK128" s="9">
        <v>5083</v>
      </c>
      <c r="GL128" s="9">
        <v>2925</v>
      </c>
      <c r="GM128" s="9">
        <v>0</v>
      </c>
      <c r="GN128" s="9">
        <v>0</v>
      </c>
      <c r="GO128" s="9">
        <v>0</v>
      </c>
      <c r="GP128" s="9">
        <v>1894672</v>
      </c>
      <c r="GQ128" s="9">
        <v>1894672</v>
      </c>
      <c r="GR128" s="9">
        <v>0</v>
      </c>
      <c r="GS128" s="9">
        <v>0</v>
      </c>
      <c r="GT128" s="9">
        <v>0</v>
      </c>
      <c r="GU128" s="9">
        <v>0</v>
      </c>
      <c r="GV128" s="9">
        <v>0</v>
      </c>
      <c r="GW128" s="9">
        <v>0</v>
      </c>
      <c r="GX128" s="9">
        <v>0</v>
      </c>
      <c r="GY128" s="9">
        <v>0</v>
      </c>
      <c r="GZ128" s="9">
        <v>0</v>
      </c>
      <c r="HA128" s="9">
        <v>0</v>
      </c>
      <c r="HB128" s="9">
        <v>0</v>
      </c>
      <c r="HC128" s="9">
        <v>0</v>
      </c>
      <c r="HD128" s="9">
        <v>0</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32469</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row>
    <row r="129" spans="1:292" x14ac:dyDescent="0.25">
      <c r="A129" s="9">
        <v>105803</v>
      </c>
      <c r="B129" s="9">
        <v>32570</v>
      </c>
      <c r="C129" s="9">
        <v>35</v>
      </c>
      <c r="D129" s="9">
        <v>2022</v>
      </c>
      <c r="E129" s="9">
        <v>5392</v>
      </c>
      <c r="F129" s="9">
        <v>0</v>
      </c>
      <c r="G129" s="9">
        <v>181.41900000000001</v>
      </c>
      <c r="H129" s="9">
        <v>78.332000000000008</v>
      </c>
      <c r="I129" s="9">
        <v>78.332000000000008</v>
      </c>
      <c r="J129" s="9">
        <v>181.41900000000001</v>
      </c>
      <c r="K129" s="9">
        <v>0</v>
      </c>
      <c r="L129" s="9">
        <v>6554</v>
      </c>
      <c r="M129" s="9">
        <v>0</v>
      </c>
      <c r="N129" s="9">
        <v>0</v>
      </c>
      <c r="O129" s="9">
        <v>0</v>
      </c>
      <c r="P129" s="9">
        <v>178.101</v>
      </c>
      <c r="Q129" s="9">
        <v>0</v>
      </c>
      <c r="R129" s="9">
        <v>56941</v>
      </c>
      <c r="S129" s="9">
        <v>319.71300000000002</v>
      </c>
      <c r="T129" s="9">
        <v>0</v>
      </c>
      <c r="U129" s="9">
        <v>56941</v>
      </c>
      <c r="V129" s="9">
        <v>2.84</v>
      </c>
      <c r="W129" s="9">
        <v>1861</v>
      </c>
      <c r="X129" s="9">
        <v>1861</v>
      </c>
      <c r="Y129" s="9">
        <v>0</v>
      </c>
      <c r="Z129" s="9">
        <v>0</v>
      </c>
      <c r="AA129" s="9">
        <v>1</v>
      </c>
      <c r="AB129" s="9">
        <v>1</v>
      </c>
      <c r="AC129" s="9">
        <v>0</v>
      </c>
      <c r="AD129" s="9" t="s">
        <v>314</v>
      </c>
      <c r="AE129" s="9">
        <v>0</v>
      </c>
      <c r="AF129" s="9">
        <v>0</v>
      </c>
      <c r="AG129" s="9">
        <v>0</v>
      </c>
      <c r="AH129" s="9">
        <v>0</v>
      </c>
      <c r="AI129" s="9">
        <v>0</v>
      </c>
      <c r="AJ129" s="9">
        <v>5104</v>
      </c>
      <c r="AK129" s="9" t="s">
        <v>651</v>
      </c>
      <c r="AL129" s="9" t="s">
        <v>369</v>
      </c>
      <c r="AM129" s="9">
        <v>0</v>
      </c>
      <c r="AN129" s="9">
        <v>0</v>
      </c>
      <c r="AO129" s="9">
        <v>0</v>
      </c>
      <c r="AP129" s="9">
        <v>0</v>
      </c>
      <c r="AQ129" s="9">
        <v>0</v>
      </c>
      <c r="AR129" s="9">
        <v>0</v>
      </c>
      <c r="AS129" s="9">
        <v>0</v>
      </c>
      <c r="AT129" s="9">
        <v>0</v>
      </c>
      <c r="AU129" s="9">
        <v>0</v>
      </c>
      <c r="AV129" s="9">
        <v>85</v>
      </c>
      <c r="AW129" s="9">
        <v>4040077</v>
      </c>
      <c r="AX129" s="9">
        <v>3984278</v>
      </c>
      <c r="AY129" s="9">
        <v>3983251</v>
      </c>
      <c r="AZ129" s="9">
        <v>76986</v>
      </c>
      <c r="BA129" s="9">
        <v>0</v>
      </c>
      <c r="BB129" s="9">
        <v>0</v>
      </c>
      <c r="BC129" s="9">
        <v>0</v>
      </c>
      <c r="BD129" s="9">
        <v>0</v>
      </c>
      <c r="BE129" s="9">
        <v>0</v>
      </c>
      <c r="BF129" s="9">
        <v>3328830</v>
      </c>
      <c r="BG129" s="9">
        <v>0</v>
      </c>
      <c r="BH129" s="9">
        <v>72.891000000000005</v>
      </c>
      <c r="BI129" s="9">
        <v>20045</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35754</v>
      </c>
      <c r="CI129" s="9">
        <v>0</v>
      </c>
      <c r="CJ129" s="9">
        <v>4</v>
      </c>
      <c r="CK129" s="9">
        <v>0</v>
      </c>
      <c r="CL129" s="9">
        <v>0</v>
      </c>
      <c r="CM129" s="9">
        <v>0</v>
      </c>
      <c r="CN129" s="9">
        <v>0</v>
      </c>
      <c r="CO129" s="9">
        <v>0</v>
      </c>
      <c r="CP129" s="9">
        <v>0</v>
      </c>
      <c r="CQ129" s="9">
        <v>0</v>
      </c>
      <c r="CR129" s="9">
        <v>178.101</v>
      </c>
      <c r="CS129" s="9">
        <v>0</v>
      </c>
      <c r="CT129" s="9">
        <v>0</v>
      </c>
      <c r="CU129" s="9">
        <v>0</v>
      </c>
      <c r="CV129" s="9">
        <v>0</v>
      </c>
      <c r="CW129" s="9">
        <v>0</v>
      </c>
      <c r="CX129" s="9">
        <v>0</v>
      </c>
      <c r="CY129" s="9">
        <v>0</v>
      </c>
      <c r="CZ129" s="9">
        <v>0</v>
      </c>
      <c r="DA129" s="9">
        <v>1</v>
      </c>
      <c r="DB129" s="9">
        <v>513388</v>
      </c>
      <c r="DC129" s="9">
        <v>0</v>
      </c>
      <c r="DD129" s="9">
        <v>0</v>
      </c>
      <c r="DE129" s="9">
        <v>237478</v>
      </c>
      <c r="DF129" s="9">
        <v>237478</v>
      </c>
      <c r="DG129" s="9">
        <v>181.17000000000002</v>
      </c>
      <c r="DH129" s="9">
        <v>0</v>
      </c>
      <c r="DI129" s="9">
        <v>0</v>
      </c>
      <c r="DJ129" s="9">
        <v>0</v>
      </c>
      <c r="DK129" s="9">
        <v>5392</v>
      </c>
      <c r="DL129" s="9">
        <v>0</v>
      </c>
      <c r="DM129" s="9">
        <v>2647415</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0.498</v>
      </c>
      <c r="ED129" s="9">
        <v>3590</v>
      </c>
      <c r="EE129" s="9">
        <v>0</v>
      </c>
      <c r="EF129" s="9">
        <v>0</v>
      </c>
      <c r="EG129" s="9">
        <v>0</v>
      </c>
      <c r="EH129" s="9">
        <v>55624</v>
      </c>
      <c r="EI129" s="9">
        <v>2588201</v>
      </c>
      <c r="EJ129" s="9">
        <v>98.725999999999999</v>
      </c>
      <c r="EK129" s="9">
        <v>0.9840000000000001</v>
      </c>
      <c r="EL129" s="9">
        <v>0</v>
      </c>
      <c r="EM129" s="9">
        <v>0</v>
      </c>
      <c r="EN129" s="9">
        <v>1.107</v>
      </c>
      <c r="EO129" s="9">
        <v>0</v>
      </c>
      <c r="EP129" s="9">
        <v>0</v>
      </c>
      <c r="EQ129" s="9">
        <v>100.81700000000001</v>
      </c>
      <c r="ER129" s="9">
        <v>0</v>
      </c>
      <c r="ES129" s="9">
        <v>8.4870000000000001</v>
      </c>
      <c r="ET129" s="9">
        <v>0</v>
      </c>
      <c r="EU129" s="9">
        <v>76986</v>
      </c>
      <c r="EV129" s="9">
        <v>0</v>
      </c>
      <c r="EW129" s="9">
        <v>0</v>
      </c>
      <c r="EX129" s="9">
        <v>0</v>
      </c>
      <c r="EY129" s="9">
        <v>0</v>
      </c>
      <c r="EZ129" s="9">
        <v>3363286</v>
      </c>
      <c r="FA129" s="9">
        <v>0</v>
      </c>
      <c r="FB129" s="9">
        <v>3440272</v>
      </c>
      <c r="FC129" s="9">
        <v>0.97327799999999998</v>
      </c>
      <c r="FD129" s="9">
        <v>0</v>
      </c>
      <c r="FE129" s="9">
        <v>506788</v>
      </c>
      <c r="FF129" s="9">
        <v>114204</v>
      </c>
      <c r="FG129" s="9">
        <v>6.1239999999999996E-2</v>
      </c>
      <c r="FH129" s="9">
        <v>5.4803999999999999E-2</v>
      </c>
      <c r="FI129" s="9">
        <v>0</v>
      </c>
      <c r="FJ129" s="9">
        <v>0</v>
      </c>
      <c r="FK129" s="9">
        <v>652.22300000000007</v>
      </c>
      <c r="FL129" s="9">
        <v>4097018</v>
      </c>
      <c r="FM129" s="9">
        <v>0</v>
      </c>
      <c r="FN129" s="9">
        <v>0</v>
      </c>
      <c r="FO129" s="9">
        <v>0</v>
      </c>
      <c r="FP129" s="9">
        <v>0</v>
      </c>
      <c r="FQ129" s="9">
        <v>0</v>
      </c>
      <c r="FR129" s="9">
        <v>0</v>
      </c>
      <c r="FS129" s="9">
        <v>0</v>
      </c>
      <c r="FT129" s="9">
        <v>0</v>
      </c>
      <c r="FU129" s="9">
        <v>0</v>
      </c>
      <c r="FV129" s="9">
        <v>0</v>
      </c>
      <c r="FW129" s="9">
        <v>0</v>
      </c>
      <c r="FX129" s="9">
        <v>0</v>
      </c>
      <c r="FY129" s="9">
        <v>0</v>
      </c>
      <c r="FZ129" s="9">
        <v>0</v>
      </c>
      <c r="GA129" s="9">
        <v>0</v>
      </c>
      <c r="GB129" s="9">
        <v>20085</v>
      </c>
      <c r="GC129" s="9">
        <v>20085</v>
      </c>
      <c r="GD129" s="9">
        <v>2.27</v>
      </c>
      <c r="GE129" s="9">
        <v>0</v>
      </c>
      <c r="GF129" s="9">
        <v>0</v>
      </c>
      <c r="GG129" s="9">
        <v>0</v>
      </c>
      <c r="GH129" s="9">
        <v>0</v>
      </c>
      <c r="GI129" s="9">
        <v>0</v>
      </c>
      <c r="GJ129" s="9">
        <v>0</v>
      </c>
      <c r="GK129" s="9">
        <v>0</v>
      </c>
      <c r="GL129" s="9">
        <v>0</v>
      </c>
      <c r="GM129" s="9">
        <v>0</v>
      </c>
      <c r="GN129" s="9">
        <v>0</v>
      </c>
      <c r="GO129" s="9">
        <v>0</v>
      </c>
      <c r="GP129" s="9">
        <v>4061264</v>
      </c>
      <c r="GQ129" s="9">
        <v>4061264</v>
      </c>
      <c r="GR129" s="9">
        <v>0</v>
      </c>
      <c r="GS129" s="9">
        <v>0</v>
      </c>
      <c r="GT129" s="9">
        <v>0</v>
      </c>
      <c r="GU129" s="9">
        <v>0</v>
      </c>
      <c r="GV129" s="9">
        <v>0</v>
      </c>
      <c r="GW129" s="9">
        <v>0</v>
      </c>
      <c r="GX129" s="9">
        <v>0</v>
      </c>
      <c r="GY129" s="9">
        <v>0</v>
      </c>
      <c r="GZ129" s="9">
        <v>0</v>
      </c>
      <c r="HA129" s="9">
        <v>0</v>
      </c>
      <c r="HB129" s="9">
        <v>260786259</v>
      </c>
      <c r="HC129" s="9">
        <v>5.0923999999999997E-2</v>
      </c>
      <c r="HD129" s="9">
        <v>35754</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32469</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row>
    <row r="130" spans="1:292"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c r="Y130" s="9">
        <v>0</v>
      </c>
      <c r="Z130" s="9">
        <v>0</v>
      </c>
      <c r="AA130" s="9">
        <v>0</v>
      </c>
      <c r="AB130" s="9">
        <v>0</v>
      </c>
      <c r="AC130" s="9">
        <v>0</v>
      </c>
      <c r="AD130" s="9">
        <v>0</v>
      </c>
      <c r="AE130" s="9">
        <v>0</v>
      </c>
      <c r="AF130" s="9">
        <v>0</v>
      </c>
      <c r="AG130" s="9">
        <v>0</v>
      </c>
      <c r="AH130" s="9">
        <v>0</v>
      </c>
      <c r="AI130" s="9">
        <v>0</v>
      </c>
      <c r="AJ130" s="9">
        <v>0</v>
      </c>
      <c r="AK130" s="9">
        <v>0</v>
      </c>
      <c r="AL130" s="9">
        <v>0</v>
      </c>
      <c r="AM130" s="9">
        <v>0</v>
      </c>
      <c r="AN130" s="9">
        <v>0</v>
      </c>
      <c r="AO130" s="9">
        <v>0</v>
      </c>
      <c r="AP130" s="9">
        <v>0</v>
      </c>
      <c r="AQ130" s="9">
        <v>0</v>
      </c>
      <c r="AR130" s="9">
        <v>0</v>
      </c>
      <c r="AS130" s="9">
        <v>0</v>
      </c>
      <c r="AT130" s="9">
        <v>0</v>
      </c>
      <c r="AU130" s="9">
        <v>0</v>
      </c>
      <c r="AV130" s="9">
        <v>0</v>
      </c>
      <c r="AW130" s="9">
        <v>0</v>
      </c>
      <c r="AX130" s="9">
        <v>0</v>
      </c>
      <c r="AY130" s="9">
        <v>0</v>
      </c>
      <c r="AZ130" s="9">
        <v>0</v>
      </c>
      <c r="BA130" s="9">
        <v>0</v>
      </c>
      <c r="BB130" s="9">
        <v>0</v>
      </c>
      <c r="BC130" s="9">
        <v>0</v>
      </c>
      <c r="BD130" s="9">
        <v>0</v>
      </c>
      <c r="BE130" s="9">
        <v>0</v>
      </c>
      <c r="BF130" s="9">
        <v>0</v>
      </c>
      <c r="BG130" s="9">
        <v>0</v>
      </c>
      <c r="BH130" s="9">
        <v>0</v>
      </c>
      <c r="BI130" s="9">
        <v>0</v>
      </c>
      <c r="BJ130" s="9">
        <v>0</v>
      </c>
      <c r="BK130" s="9">
        <v>0</v>
      </c>
      <c r="BL130" s="9">
        <v>0</v>
      </c>
      <c r="BM130" s="9">
        <v>0</v>
      </c>
      <c r="BN130" s="9">
        <v>0</v>
      </c>
      <c r="BO130" s="9">
        <v>0</v>
      </c>
      <c r="BP130" s="9">
        <v>0</v>
      </c>
      <c r="BQ130" s="9">
        <v>0</v>
      </c>
      <c r="BR130" s="9">
        <v>0</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0</v>
      </c>
      <c r="CI130" s="9">
        <v>0</v>
      </c>
      <c r="CJ130" s="9">
        <v>0</v>
      </c>
      <c r="CK130" s="9">
        <v>0</v>
      </c>
      <c r="CL130" s="9">
        <v>0</v>
      </c>
      <c r="CM130" s="9">
        <v>0</v>
      </c>
      <c r="CN130" s="9">
        <v>0</v>
      </c>
      <c r="CO130" s="9">
        <v>0</v>
      </c>
      <c r="CP130" s="9">
        <v>0</v>
      </c>
      <c r="CQ130" s="9">
        <v>0</v>
      </c>
      <c r="CR130" s="9">
        <v>0</v>
      </c>
      <c r="CS130" s="9">
        <v>0</v>
      </c>
      <c r="CT130" s="9">
        <v>0</v>
      </c>
      <c r="CU130" s="9">
        <v>0</v>
      </c>
      <c r="CV130" s="9">
        <v>0</v>
      </c>
      <c r="CW130" s="9">
        <v>0</v>
      </c>
      <c r="CX130" s="9">
        <v>0</v>
      </c>
      <c r="CY130" s="9">
        <v>0</v>
      </c>
      <c r="CZ130" s="9">
        <v>0</v>
      </c>
      <c r="DA130" s="9">
        <v>0</v>
      </c>
      <c r="DB130" s="9">
        <v>0</v>
      </c>
      <c r="DC130" s="9">
        <v>0</v>
      </c>
      <c r="DD130" s="9">
        <v>0</v>
      </c>
      <c r="DE130" s="9">
        <v>0</v>
      </c>
      <c r="DF130" s="9">
        <v>0</v>
      </c>
      <c r="DG130" s="9">
        <v>0</v>
      </c>
      <c r="DH130" s="9">
        <v>0</v>
      </c>
      <c r="DI130" s="9">
        <v>0</v>
      </c>
      <c r="DJ130" s="9">
        <v>0</v>
      </c>
      <c r="DK130" s="9">
        <v>0</v>
      </c>
      <c r="DL130" s="9">
        <v>0</v>
      </c>
      <c r="DM130" s="9">
        <v>0</v>
      </c>
      <c r="DN130" s="9">
        <v>0</v>
      </c>
      <c r="DO130" s="9">
        <v>0</v>
      </c>
      <c r="DP130" s="9">
        <v>0</v>
      </c>
      <c r="DQ130" s="9">
        <v>0</v>
      </c>
      <c r="DR130" s="9">
        <v>0</v>
      </c>
      <c r="DS130" s="9">
        <v>0</v>
      </c>
      <c r="DT130" s="9">
        <v>0</v>
      </c>
      <c r="DU130" s="9">
        <v>0</v>
      </c>
      <c r="DV130" s="9">
        <v>0</v>
      </c>
      <c r="DW130" s="9">
        <v>0</v>
      </c>
      <c r="DX130" s="9">
        <v>0</v>
      </c>
      <c r="DY130" s="9">
        <v>0</v>
      </c>
      <c r="DZ130" s="9">
        <v>0</v>
      </c>
      <c r="EA130" s="9">
        <v>0</v>
      </c>
      <c r="EB130" s="9">
        <v>0</v>
      </c>
      <c r="EC130" s="9">
        <v>0</v>
      </c>
      <c r="ED130" s="9">
        <v>0</v>
      </c>
      <c r="EE130" s="9">
        <v>0</v>
      </c>
      <c r="EF130" s="9">
        <v>0</v>
      </c>
      <c r="EG130" s="9">
        <v>0</v>
      </c>
      <c r="EH130" s="9">
        <v>0</v>
      </c>
      <c r="EI130" s="9">
        <v>0</v>
      </c>
      <c r="EJ130" s="9">
        <v>0</v>
      </c>
      <c r="EK130" s="9">
        <v>0</v>
      </c>
      <c r="EL130" s="9">
        <v>0</v>
      </c>
      <c r="EM130" s="9">
        <v>0</v>
      </c>
      <c r="EN130" s="9">
        <v>0</v>
      </c>
      <c r="EO130" s="9">
        <v>0</v>
      </c>
      <c r="EP130" s="9">
        <v>0</v>
      </c>
      <c r="EQ130" s="9">
        <v>0</v>
      </c>
      <c r="ER130" s="9">
        <v>0</v>
      </c>
      <c r="ES130" s="9">
        <v>0</v>
      </c>
      <c r="ET130" s="9">
        <v>0</v>
      </c>
      <c r="EU130" s="9">
        <v>0</v>
      </c>
      <c r="EV130" s="9">
        <v>0</v>
      </c>
      <c r="EW130" s="9">
        <v>0</v>
      </c>
      <c r="EX130" s="9">
        <v>0</v>
      </c>
      <c r="EY130" s="9">
        <v>0</v>
      </c>
      <c r="EZ130" s="9">
        <v>0</v>
      </c>
      <c r="FA130" s="9">
        <v>0</v>
      </c>
      <c r="FB130" s="9">
        <v>0</v>
      </c>
      <c r="FC130" s="9">
        <v>0</v>
      </c>
      <c r="FD130" s="9">
        <v>0</v>
      </c>
      <c r="FE130" s="9">
        <v>0</v>
      </c>
      <c r="FF130" s="9">
        <v>0</v>
      </c>
      <c r="FG130" s="9">
        <v>0</v>
      </c>
      <c r="FH130" s="9">
        <v>0</v>
      </c>
      <c r="FI130" s="9">
        <v>0</v>
      </c>
      <c r="FJ130" s="9">
        <v>0</v>
      </c>
      <c r="FK130" s="9">
        <v>0</v>
      </c>
      <c r="FL130" s="9">
        <v>0</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0</v>
      </c>
      <c r="GC130" s="9">
        <v>0</v>
      </c>
      <c r="GD130" s="9">
        <v>0</v>
      </c>
      <c r="GE130" s="9">
        <v>0</v>
      </c>
      <c r="GF130" s="9">
        <v>0</v>
      </c>
      <c r="GG130" s="9">
        <v>0</v>
      </c>
      <c r="GH130" s="9">
        <v>0</v>
      </c>
      <c r="GI130" s="9">
        <v>0</v>
      </c>
      <c r="GJ130" s="9">
        <v>0</v>
      </c>
      <c r="GK130" s="9">
        <v>0</v>
      </c>
      <c r="GL130" s="9">
        <v>0</v>
      </c>
      <c r="GM130" s="9">
        <v>0</v>
      </c>
      <c r="GN130" s="9">
        <v>0</v>
      </c>
      <c r="GO130" s="9">
        <v>0</v>
      </c>
      <c r="GP130" s="9">
        <v>0</v>
      </c>
      <c r="GQ130" s="9">
        <v>0</v>
      </c>
      <c r="GR130" s="9">
        <v>0</v>
      </c>
      <c r="GS130" s="9">
        <v>0</v>
      </c>
      <c r="GT130" s="9">
        <v>0</v>
      </c>
      <c r="GU130" s="9">
        <v>0</v>
      </c>
      <c r="GV130" s="9">
        <v>0</v>
      </c>
      <c r="GW130" s="9">
        <v>0</v>
      </c>
      <c r="GX130" s="9">
        <v>0</v>
      </c>
      <c r="GY130" s="9">
        <v>0</v>
      </c>
      <c r="GZ130" s="9">
        <v>0</v>
      </c>
      <c r="HA130" s="9">
        <v>0</v>
      </c>
      <c r="HB130" s="9">
        <v>0</v>
      </c>
      <c r="HC130" s="9">
        <v>0</v>
      </c>
      <c r="HD130" s="9">
        <v>0</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0</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row>
    <row r="131" spans="1:292" x14ac:dyDescent="0.25">
      <c r="A131" s="9">
        <v>108802</v>
      </c>
      <c r="B131" s="9">
        <v>32570</v>
      </c>
      <c r="C131" s="9">
        <v>35</v>
      </c>
      <c r="D131" s="9">
        <v>2022</v>
      </c>
      <c r="E131" s="9">
        <v>5392</v>
      </c>
      <c r="F131" s="9">
        <v>0</v>
      </c>
      <c r="G131" s="9">
        <v>951.55400000000009</v>
      </c>
      <c r="H131" s="9">
        <v>939.73500000000001</v>
      </c>
      <c r="I131" s="9">
        <v>939.73500000000001</v>
      </c>
      <c r="J131" s="9">
        <v>951.55400000000009</v>
      </c>
      <c r="K131" s="9">
        <v>0</v>
      </c>
      <c r="L131" s="9">
        <v>6554</v>
      </c>
      <c r="M131" s="9">
        <v>0</v>
      </c>
      <c r="N131" s="9">
        <v>0</v>
      </c>
      <c r="O131" s="9">
        <v>0</v>
      </c>
      <c r="P131" s="9">
        <v>1053.9870000000001</v>
      </c>
      <c r="Q131" s="9">
        <v>0</v>
      </c>
      <c r="R131" s="9">
        <v>336973</v>
      </c>
      <c r="S131" s="9">
        <v>319.71300000000002</v>
      </c>
      <c r="T131" s="9">
        <v>0</v>
      </c>
      <c r="U131" s="9">
        <v>336973</v>
      </c>
      <c r="V131" s="9">
        <v>267.8</v>
      </c>
      <c r="W131" s="9">
        <v>175516</v>
      </c>
      <c r="X131" s="9">
        <v>175516</v>
      </c>
      <c r="Y131" s="9">
        <v>0</v>
      </c>
      <c r="Z131" s="9">
        <v>0</v>
      </c>
      <c r="AA131" s="9">
        <v>1</v>
      </c>
      <c r="AB131" s="9">
        <v>1</v>
      </c>
      <c r="AC131" s="9">
        <v>0</v>
      </c>
      <c r="AD131" s="9" t="s">
        <v>314</v>
      </c>
      <c r="AE131" s="9">
        <v>0</v>
      </c>
      <c r="AF131" s="9">
        <v>0</v>
      </c>
      <c r="AG131" s="9">
        <v>0</v>
      </c>
      <c r="AH131" s="9">
        <v>0</v>
      </c>
      <c r="AI131" s="9">
        <v>0</v>
      </c>
      <c r="AJ131" s="9">
        <v>5104</v>
      </c>
      <c r="AK131" s="9" t="s">
        <v>651</v>
      </c>
      <c r="AL131" s="9" t="s">
        <v>352</v>
      </c>
      <c r="AM131" s="9">
        <v>0</v>
      </c>
      <c r="AN131" s="9">
        <v>0</v>
      </c>
      <c r="AO131" s="9">
        <v>0</v>
      </c>
      <c r="AP131" s="9">
        <v>0</v>
      </c>
      <c r="AQ131" s="9">
        <v>0</v>
      </c>
      <c r="AR131" s="9">
        <v>0</v>
      </c>
      <c r="AS131" s="9">
        <v>0</v>
      </c>
      <c r="AT131" s="9">
        <v>0</v>
      </c>
      <c r="AU131" s="9">
        <v>0</v>
      </c>
      <c r="AV131" s="9">
        <v>360386</v>
      </c>
      <c r="AW131" s="9">
        <v>9738492</v>
      </c>
      <c r="AX131" s="9">
        <v>9480247</v>
      </c>
      <c r="AY131" s="9">
        <v>10024615</v>
      </c>
      <c r="AZ131" s="9">
        <v>352563</v>
      </c>
      <c r="BA131" s="9">
        <v>107.417</v>
      </c>
      <c r="BB131" s="9">
        <v>31819</v>
      </c>
      <c r="BC131" s="9">
        <v>31819</v>
      </c>
      <c r="BD131" s="9">
        <v>40.457999999999998</v>
      </c>
      <c r="BE131" s="9">
        <v>0</v>
      </c>
      <c r="BF131" s="9">
        <v>8086635</v>
      </c>
      <c r="BG131" s="9">
        <v>0</v>
      </c>
      <c r="BH131" s="9">
        <v>0</v>
      </c>
      <c r="BI131" s="9">
        <v>0</v>
      </c>
      <c r="BJ131" s="9">
        <v>12</v>
      </c>
      <c r="BK131" s="9">
        <v>0</v>
      </c>
      <c r="BL131" s="9">
        <v>0</v>
      </c>
      <c r="BM131" s="9">
        <v>0</v>
      </c>
      <c r="BN131" s="9">
        <v>0</v>
      </c>
      <c r="BO131" s="9">
        <v>0</v>
      </c>
      <c r="BP131" s="9">
        <v>0</v>
      </c>
      <c r="BQ131" s="9">
        <v>5392</v>
      </c>
      <c r="BR131" s="9">
        <v>1</v>
      </c>
      <c r="BS131" s="9">
        <v>0</v>
      </c>
      <c r="BT131" s="9">
        <v>0</v>
      </c>
      <c r="BU131" s="9">
        <v>0</v>
      </c>
      <c r="BV131" s="9">
        <v>0</v>
      </c>
      <c r="BW131" s="9">
        <v>0</v>
      </c>
      <c r="BX131" s="9">
        <v>0</v>
      </c>
      <c r="BY131" s="9">
        <v>0</v>
      </c>
      <c r="BZ131" s="9">
        <v>0</v>
      </c>
      <c r="CA131" s="9">
        <v>40.783999999999999</v>
      </c>
      <c r="CB131" s="9">
        <v>15590</v>
      </c>
      <c r="CC131" s="9">
        <v>0</v>
      </c>
      <c r="CD131" s="9">
        <v>0</v>
      </c>
      <c r="CE131" s="9">
        <v>0</v>
      </c>
      <c r="CF131" s="9">
        <v>0</v>
      </c>
      <c r="CG131" s="9">
        <v>0</v>
      </c>
      <c r="CH131" s="9">
        <v>242655</v>
      </c>
      <c r="CI131" s="9">
        <v>0</v>
      </c>
      <c r="CJ131" s="9">
        <v>4</v>
      </c>
      <c r="CK131" s="9">
        <v>0</v>
      </c>
      <c r="CL131" s="9">
        <v>0</v>
      </c>
      <c r="CM131" s="9">
        <v>0</v>
      </c>
      <c r="CN131" s="9">
        <v>0</v>
      </c>
      <c r="CO131" s="9">
        <v>0</v>
      </c>
      <c r="CP131" s="9">
        <v>0</v>
      </c>
      <c r="CQ131" s="9">
        <v>5.6670000000000007</v>
      </c>
      <c r="CR131" s="9">
        <v>1053.9870000000001</v>
      </c>
      <c r="CS131" s="9">
        <v>0</v>
      </c>
      <c r="CT131" s="9">
        <v>0</v>
      </c>
      <c r="CU131" s="9">
        <v>0</v>
      </c>
      <c r="CV131" s="9">
        <v>0</v>
      </c>
      <c r="CW131" s="9">
        <v>0</v>
      </c>
      <c r="CX131" s="9">
        <v>0</v>
      </c>
      <c r="CY131" s="9">
        <v>0</v>
      </c>
      <c r="CZ131" s="9">
        <v>0</v>
      </c>
      <c r="DA131" s="9">
        <v>1</v>
      </c>
      <c r="DB131" s="9">
        <v>6159023</v>
      </c>
      <c r="DC131" s="9">
        <v>0</v>
      </c>
      <c r="DD131" s="9">
        <v>0</v>
      </c>
      <c r="DE131" s="9">
        <v>1590000</v>
      </c>
      <c r="DF131" s="9">
        <v>1590000</v>
      </c>
      <c r="DG131" s="9">
        <v>1213</v>
      </c>
      <c r="DH131" s="9">
        <v>0</v>
      </c>
      <c r="DI131" s="9">
        <v>0</v>
      </c>
      <c r="DJ131" s="9">
        <v>0</v>
      </c>
      <c r="DK131" s="9">
        <v>5392</v>
      </c>
      <c r="DL131" s="9">
        <v>0</v>
      </c>
      <c r="DM131" s="9">
        <v>352305</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14.741000000000001</v>
      </c>
      <c r="ED131" s="9">
        <v>106274</v>
      </c>
      <c r="EE131" s="9">
        <v>0</v>
      </c>
      <c r="EF131" s="9">
        <v>0</v>
      </c>
      <c r="EG131" s="9">
        <v>0</v>
      </c>
      <c r="EH131" s="9">
        <v>246031</v>
      </c>
      <c r="EI131" s="9">
        <v>0</v>
      </c>
      <c r="EJ131" s="9">
        <v>0</v>
      </c>
      <c r="EK131" s="9">
        <v>10.326000000000001</v>
      </c>
      <c r="EL131" s="9">
        <v>0</v>
      </c>
      <c r="EM131" s="9">
        <v>0.45200000000000001</v>
      </c>
      <c r="EN131" s="9">
        <v>1.0410000000000001</v>
      </c>
      <c r="EO131" s="9">
        <v>0</v>
      </c>
      <c r="EP131" s="9">
        <v>0</v>
      </c>
      <c r="EQ131" s="9">
        <v>11.819000000000001</v>
      </c>
      <c r="ER131" s="9">
        <v>0</v>
      </c>
      <c r="ES131" s="9">
        <v>37.539000000000001</v>
      </c>
      <c r="ET131" s="9">
        <v>55125</v>
      </c>
      <c r="EU131" s="9">
        <v>352563</v>
      </c>
      <c r="EV131" s="9">
        <v>0</v>
      </c>
      <c r="EW131" s="9">
        <v>0</v>
      </c>
      <c r="EX131" s="9">
        <v>0</v>
      </c>
      <c r="EY131" s="9">
        <v>0</v>
      </c>
      <c r="EZ131" s="9">
        <v>7971690</v>
      </c>
      <c r="FA131" s="9">
        <v>0</v>
      </c>
      <c r="FB131" s="9">
        <v>8324253</v>
      </c>
      <c r="FC131" s="9">
        <v>0.97327799999999998</v>
      </c>
      <c r="FD131" s="9">
        <v>0</v>
      </c>
      <c r="FE131" s="9">
        <v>1231125</v>
      </c>
      <c r="FF131" s="9">
        <v>277432</v>
      </c>
      <c r="FG131" s="9">
        <v>6.1239999999999996E-2</v>
      </c>
      <c r="FH131" s="9">
        <v>5.4803999999999999E-2</v>
      </c>
      <c r="FI131" s="9">
        <v>0</v>
      </c>
      <c r="FJ131" s="9">
        <v>0</v>
      </c>
      <c r="FK131" s="9">
        <v>1584.4260000000002</v>
      </c>
      <c r="FL131" s="9">
        <v>10075465</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9">
        <v>0</v>
      </c>
      <c r="GC131" s="9">
        <v>0</v>
      </c>
      <c r="GD131" s="9">
        <v>0</v>
      </c>
      <c r="GE131" s="9">
        <v>0</v>
      </c>
      <c r="GF131" s="9">
        <v>0</v>
      </c>
      <c r="GG131" s="9">
        <v>0</v>
      </c>
      <c r="GH131" s="9">
        <v>0</v>
      </c>
      <c r="GI131" s="9">
        <v>0</v>
      </c>
      <c r="GJ131" s="9">
        <v>0</v>
      </c>
      <c r="GK131" s="9">
        <v>4978</v>
      </c>
      <c r="GL131" s="9">
        <v>16256</v>
      </c>
      <c r="GM131" s="9">
        <v>0</v>
      </c>
      <c r="GN131" s="9">
        <v>0</v>
      </c>
      <c r="GO131" s="9">
        <v>0</v>
      </c>
      <c r="GP131" s="9">
        <v>9832810</v>
      </c>
      <c r="GQ131" s="9">
        <v>9832810</v>
      </c>
      <c r="GR131" s="9">
        <v>0</v>
      </c>
      <c r="GS131" s="9">
        <v>0</v>
      </c>
      <c r="GT131" s="9">
        <v>0</v>
      </c>
      <c r="GU131" s="9">
        <v>0</v>
      </c>
      <c r="GV131" s="9">
        <v>0</v>
      </c>
      <c r="GW131" s="9">
        <v>0</v>
      </c>
      <c r="GX131" s="9">
        <v>0</v>
      </c>
      <c r="GY131" s="9">
        <v>0</v>
      </c>
      <c r="GZ131" s="9">
        <v>0</v>
      </c>
      <c r="HA131" s="9">
        <v>0</v>
      </c>
      <c r="HB131" s="9">
        <v>260786259</v>
      </c>
      <c r="HC131" s="9">
        <v>5.0923999999999997E-2</v>
      </c>
      <c r="HD131" s="9">
        <v>187530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32469</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row>
    <row r="132" spans="1:292" x14ac:dyDescent="0.25">
      <c r="A132" s="9">
        <v>108804</v>
      </c>
      <c r="B132" s="9">
        <v>32570</v>
      </c>
      <c r="C132" s="9">
        <v>35</v>
      </c>
      <c r="D132" s="9">
        <v>2022</v>
      </c>
      <c r="E132" s="9">
        <v>5392</v>
      </c>
      <c r="F132" s="9">
        <v>0</v>
      </c>
      <c r="G132" s="9">
        <v>408.74600000000004</v>
      </c>
      <c r="H132" s="9">
        <v>375.964</v>
      </c>
      <c r="I132" s="9">
        <v>375.964</v>
      </c>
      <c r="J132" s="9">
        <v>408.74600000000004</v>
      </c>
      <c r="K132" s="9">
        <v>0</v>
      </c>
      <c r="L132" s="9">
        <v>6554</v>
      </c>
      <c r="M132" s="9">
        <v>0</v>
      </c>
      <c r="N132" s="9">
        <v>0</v>
      </c>
      <c r="O132" s="9">
        <v>0</v>
      </c>
      <c r="P132" s="9">
        <v>342.42500000000001</v>
      </c>
      <c r="Q132" s="9">
        <v>0</v>
      </c>
      <c r="R132" s="9">
        <v>109478</v>
      </c>
      <c r="S132" s="9">
        <v>319.71300000000002</v>
      </c>
      <c r="T132" s="9">
        <v>0</v>
      </c>
      <c r="U132" s="9">
        <v>109478</v>
      </c>
      <c r="V132" s="9">
        <v>95.385000000000005</v>
      </c>
      <c r="W132" s="9">
        <v>62515</v>
      </c>
      <c r="X132" s="9">
        <v>62515</v>
      </c>
      <c r="Y132" s="9">
        <v>0</v>
      </c>
      <c r="Z132" s="9">
        <v>0</v>
      </c>
      <c r="AA132" s="9">
        <v>1</v>
      </c>
      <c r="AB132" s="9">
        <v>1</v>
      </c>
      <c r="AC132" s="9">
        <v>0</v>
      </c>
      <c r="AD132" s="9" t="s">
        <v>314</v>
      </c>
      <c r="AE132" s="9">
        <v>0</v>
      </c>
      <c r="AF132" s="9">
        <v>0</v>
      </c>
      <c r="AG132" s="9">
        <v>0</v>
      </c>
      <c r="AH132" s="9">
        <v>0</v>
      </c>
      <c r="AI132" s="9">
        <v>0</v>
      </c>
      <c r="AJ132" s="9">
        <v>5104</v>
      </c>
      <c r="AK132" s="9" t="s">
        <v>651</v>
      </c>
      <c r="AL132" s="9" t="s">
        <v>460</v>
      </c>
      <c r="AM132" s="9">
        <v>0</v>
      </c>
      <c r="AN132" s="9">
        <v>0</v>
      </c>
      <c r="AO132" s="9">
        <v>0</v>
      </c>
      <c r="AP132" s="9">
        <v>0</v>
      </c>
      <c r="AQ132" s="9">
        <v>0</v>
      </c>
      <c r="AR132" s="9">
        <v>0</v>
      </c>
      <c r="AS132" s="9">
        <v>0</v>
      </c>
      <c r="AT132" s="9">
        <v>0</v>
      </c>
      <c r="AU132" s="9">
        <v>0</v>
      </c>
      <c r="AV132" s="9">
        <v>108558</v>
      </c>
      <c r="AW132" s="9">
        <v>4415564</v>
      </c>
      <c r="AX132" s="9">
        <v>4195300</v>
      </c>
      <c r="AY132" s="9">
        <v>4656435</v>
      </c>
      <c r="AZ132" s="9">
        <v>236020</v>
      </c>
      <c r="BA132" s="9">
        <v>20.5</v>
      </c>
      <c r="BB132" s="9">
        <v>2408</v>
      </c>
      <c r="BC132" s="9">
        <v>2408</v>
      </c>
      <c r="BD132" s="9">
        <v>3.0620000000000003</v>
      </c>
      <c r="BE132" s="9">
        <v>0</v>
      </c>
      <c r="BF132" s="9">
        <v>3545929</v>
      </c>
      <c r="BG132" s="9">
        <v>0</v>
      </c>
      <c r="BH132" s="9">
        <v>408.726</v>
      </c>
      <c r="BI132" s="9">
        <v>112400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36.997</v>
      </c>
      <c r="CB132" s="9">
        <v>14142</v>
      </c>
      <c r="CC132" s="9">
        <v>0</v>
      </c>
      <c r="CD132" s="9">
        <v>0</v>
      </c>
      <c r="CE132" s="9">
        <v>0</v>
      </c>
      <c r="CF132" s="9">
        <v>0</v>
      </c>
      <c r="CG132" s="9">
        <v>0</v>
      </c>
      <c r="CH132" s="9">
        <v>93722</v>
      </c>
      <c r="CI132" s="9">
        <v>0</v>
      </c>
      <c r="CJ132" s="9">
        <v>4</v>
      </c>
      <c r="CK132" s="9">
        <v>0</v>
      </c>
      <c r="CL132" s="9">
        <v>0</v>
      </c>
      <c r="CM132" s="9">
        <v>0</v>
      </c>
      <c r="CN132" s="9">
        <v>0</v>
      </c>
      <c r="CO132" s="9">
        <v>0</v>
      </c>
      <c r="CP132" s="9">
        <v>2.7680000000000002</v>
      </c>
      <c r="CQ132" s="9">
        <v>11.667</v>
      </c>
      <c r="CR132" s="9">
        <v>342.42500000000001</v>
      </c>
      <c r="CS132" s="9">
        <v>0</v>
      </c>
      <c r="CT132" s="9">
        <v>0</v>
      </c>
      <c r="CU132" s="9">
        <v>0</v>
      </c>
      <c r="CV132" s="9">
        <v>0</v>
      </c>
      <c r="CW132" s="9">
        <v>0</v>
      </c>
      <c r="CX132" s="9">
        <v>0</v>
      </c>
      <c r="CY132" s="9">
        <v>0</v>
      </c>
      <c r="CZ132" s="9">
        <v>0</v>
      </c>
      <c r="DA132" s="9">
        <v>1</v>
      </c>
      <c r="DB132" s="9">
        <v>2464068</v>
      </c>
      <c r="DC132" s="9">
        <v>0</v>
      </c>
      <c r="DD132" s="9">
        <v>0</v>
      </c>
      <c r="DE132" s="9">
        <v>460523</v>
      </c>
      <c r="DF132" s="9">
        <v>504244</v>
      </c>
      <c r="DG132" s="9">
        <v>351.33</v>
      </c>
      <c r="DH132" s="9">
        <v>0</v>
      </c>
      <c r="DI132" s="9">
        <v>43721</v>
      </c>
      <c r="DJ132" s="9">
        <v>0</v>
      </c>
      <c r="DK132" s="9">
        <v>5392</v>
      </c>
      <c r="DL132" s="9">
        <v>0</v>
      </c>
      <c r="DM132" s="9">
        <v>321871</v>
      </c>
      <c r="DN132" s="9">
        <v>0</v>
      </c>
      <c r="DO132" s="9">
        <v>0</v>
      </c>
      <c r="DP132" s="9">
        <v>0</v>
      </c>
      <c r="DQ132" s="9">
        <v>0</v>
      </c>
      <c r="DR132" s="9">
        <v>0</v>
      </c>
      <c r="DS132" s="9">
        <v>0</v>
      </c>
      <c r="DT132" s="9">
        <v>0</v>
      </c>
      <c r="DU132" s="9">
        <v>0</v>
      </c>
      <c r="DV132" s="9">
        <v>0</v>
      </c>
      <c r="DW132" s="9">
        <v>0</v>
      </c>
      <c r="DX132" s="9">
        <v>0</v>
      </c>
      <c r="DY132" s="9">
        <v>0</v>
      </c>
      <c r="DZ132" s="9">
        <v>0</v>
      </c>
      <c r="EA132" s="9">
        <v>1.8000000000000002E-2</v>
      </c>
      <c r="EB132" s="9">
        <v>0</v>
      </c>
      <c r="EC132" s="9">
        <v>43.817</v>
      </c>
      <c r="ED132" s="9">
        <v>315894</v>
      </c>
      <c r="EE132" s="9">
        <v>0</v>
      </c>
      <c r="EF132" s="9">
        <v>0</v>
      </c>
      <c r="EG132" s="9">
        <v>0</v>
      </c>
      <c r="EH132" s="9">
        <v>5977</v>
      </c>
      <c r="EI132" s="9">
        <v>0</v>
      </c>
      <c r="EJ132" s="9">
        <v>0</v>
      </c>
      <c r="EK132" s="9">
        <v>8.4000000000000005E-2</v>
      </c>
      <c r="EL132" s="9">
        <v>0</v>
      </c>
      <c r="EM132" s="9">
        <v>0</v>
      </c>
      <c r="EN132" s="9">
        <v>0.114</v>
      </c>
      <c r="EO132" s="9">
        <v>0</v>
      </c>
      <c r="EP132" s="9">
        <v>0</v>
      </c>
      <c r="EQ132" s="9">
        <v>0.216</v>
      </c>
      <c r="ER132" s="9">
        <v>0</v>
      </c>
      <c r="ES132" s="9">
        <v>0.91200000000000003</v>
      </c>
      <c r="ET132" s="9">
        <v>13167</v>
      </c>
      <c r="EU132" s="9">
        <v>236020</v>
      </c>
      <c r="EV132" s="9">
        <v>0</v>
      </c>
      <c r="EW132" s="9">
        <v>0</v>
      </c>
      <c r="EX132" s="9">
        <v>0</v>
      </c>
      <c r="EY132" s="9">
        <v>0</v>
      </c>
      <c r="EZ132" s="9">
        <v>3533809</v>
      </c>
      <c r="FA132" s="9">
        <v>0</v>
      </c>
      <c r="FB132" s="9">
        <v>3769829</v>
      </c>
      <c r="FC132" s="9">
        <v>0.97327799999999998</v>
      </c>
      <c r="FD132" s="9">
        <v>0</v>
      </c>
      <c r="FE132" s="9">
        <v>539839</v>
      </c>
      <c r="FF132" s="9">
        <v>121652</v>
      </c>
      <c r="FG132" s="9">
        <v>6.1239999999999996E-2</v>
      </c>
      <c r="FH132" s="9">
        <v>5.4803999999999999E-2</v>
      </c>
      <c r="FI132" s="9">
        <v>0</v>
      </c>
      <c r="FJ132" s="9">
        <v>0</v>
      </c>
      <c r="FK132" s="9">
        <v>694.75900000000001</v>
      </c>
      <c r="FL132" s="9">
        <v>4525042</v>
      </c>
      <c r="FM132" s="9">
        <v>0</v>
      </c>
      <c r="FN132" s="9">
        <v>0</v>
      </c>
      <c r="FO132" s="9">
        <v>0</v>
      </c>
      <c r="FP132" s="9">
        <v>0</v>
      </c>
      <c r="FQ132" s="9">
        <v>0</v>
      </c>
      <c r="FR132" s="9">
        <v>0</v>
      </c>
      <c r="FS132" s="9">
        <v>0</v>
      </c>
      <c r="FT132" s="9">
        <v>0</v>
      </c>
      <c r="FU132" s="9">
        <v>0</v>
      </c>
      <c r="FV132" s="9">
        <v>0</v>
      </c>
      <c r="FW132" s="9">
        <v>0</v>
      </c>
      <c r="FX132" s="9">
        <v>0</v>
      </c>
      <c r="FY132" s="9">
        <v>0</v>
      </c>
      <c r="FZ132" s="9">
        <v>40</v>
      </c>
      <c r="GA132" s="9">
        <v>0.79600000000000004</v>
      </c>
      <c r="GB132" s="9">
        <v>288181</v>
      </c>
      <c r="GC132" s="9">
        <v>288181</v>
      </c>
      <c r="GD132" s="9">
        <v>32.566000000000003</v>
      </c>
      <c r="GE132" s="9">
        <v>0</v>
      </c>
      <c r="GF132" s="9">
        <v>0</v>
      </c>
      <c r="GG132" s="9">
        <v>0</v>
      </c>
      <c r="GH132" s="9">
        <v>0</v>
      </c>
      <c r="GI132" s="9">
        <v>0</v>
      </c>
      <c r="GJ132" s="9">
        <v>0</v>
      </c>
      <c r="GK132" s="9">
        <v>5153</v>
      </c>
      <c r="GL132" s="9">
        <v>9199</v>
      </c>
      <c r="GM132" s="9">
        <v>0</v>
      </c>
      <c r="GN132" s="9">
        <v>0</v>
      </c>
      <c r="GO132" s="9">
        <v>0</v>
      </c>
      <c r="GP132" s="9">
        <v>4431320</v>
      </c>
      <c r="GQ132" s="9">
        <v>4431320</v>
      </c>
      <c r="GR132" s="9">
        <v>0</v>
      </c>
      <c r="GS132" s="9">
        <v>0</v>
      </c>
      <c r="GT132" s="9">
        <v>0</v>
      </c>
      <c r="GU132" s="9">
        <v>0</v>
      </c>
      <c r="GV132" s="9">
        <v>0</v>
      </c>
      <c r="GW132" s="9">
        <v>0</v>
      </c>
      <c r="GX132" s="9">
        <v>0</v>
      </c>
      <c r="GY132" s="9">
        <v>0</v>
      </c>
      <c r="GZ132" s="9">
        <v>0</v>
      </c>
      <c r="HA132" s="9">
        <v>0</v>
      </c>
      <c r="HB132" s="9">
        <v>260786259</v>
      </c>
      <c r="HC132" s="9">
        <v>5.0923999999999997E-2</v>
      </c>
      <c r="HD132" s="9">
        <v>80555</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32469</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row>
    <row r="133" spans="1:292" x14ac:dyDescent="0.25">
      <c r="A133" s="9">
        <v>108807</v>
      </c>
      <c r="B133" s="9">
        <v>32570</v>
      </c>
      <c r="C133" s="9">
        <v>35</v>
      </c>
      <c r="D133" s="9">
        <v>2022</v>
      </c>
      <c r="E133" s="9">
        <v>5392</v>
      </c>
      <c r="F133" s="9">
        <v>0</v>
      </c>
      <c r="G133" s="9">
        <v>45921.092000000004</v>
      </c>
      <c r="H133" s="9">
        <v>45282.395000000004</v>
      </c>
      <c r="I133" s="9">
        <v>45282.395000000004</v>
      </c>
      <c r="J133" s="9">
        <v>45921.092000000004</v>
      </c>
      <c r="K133" s="9">
        <v>0</v>
      </c>
      <c r="L133" s="9">
        <v>6554</v>
      </c>
      <c r="M133" s="9">
        <v>0</v>
      </c>
      <c r="N133" s="9">
        <v>0</v>
      </c>
      <c r="O133" s="9">
        <v>0</v>
      </c>
      <c r="P133" s="9">
        <v>39558.521000000001</v>
      </c>
      <c r="Q133" s="9">
        <v>0</v>
      </c>
      <c r="R133" s="9">
        <v>12647373</v>
      </c>
      <c r="S133" s="9">
        <v>319.71300000000002</v>
      </c>
      <c r="T133" s="9">
        <v>0</v>
      </c>
      <c r="U133" s="9">
        <v>12647373</v>
      </c>
      <c r="V133" s="9">
        <v>16803.174999999999</v>
      </c>
      <c r="W133" s="9">
        <v>11012801</v>
      </c>
      <c r="X133" s="9">
        <v>11012801</v>
      </c>
      <c r="Y133" s="9">
        <v>0</v>
      </c>
      <c r="Z133" s="9">
        <v>0</v>
      </c>
      <c r="AA133" s="9">
        <v>1</v>
      </c>
      <c r="AB133" s="9">
        <v>1</v>
      </c>
      <c r="AC133" s="9">
        <v>0</v>
      </c>
      <c r="AD133" s="9" t="s">
        <v>314</v>
      </c>
      <c r="AE133" s="9">
        <v>0</v>
      </c>
      <c r="AF133" s="9">
        <v>0</v>
      </c>
      <c r="AG133" s="9">
        <v>0</v>
      </c>
      <c r="AH133" s="9">
        <v>0</v>
      </c>
      <c r="AI133" s="9">
        <v>0</v>
      </c>
      <c r="AJ133" s="9">
        <v>5104</v>
      </c>
      <c r="AK133" s="9" t="s">
        <v>651</v>
      </c>
      <c r="AL133" s="9" t="s">
        <v>95</v>
      </c>
      <c r="AM133" s="9">
        <v>0</v>
      </c>
      <c r="AN133" s="9">
        <v>0</v>
      </c>
      <c r="AO133" s="9">
        <v>0</v>
      </c>
      <c r="AP133" s="9">
        <v>0</v>
      </c>
      <c r="AQ133" s="9">
        <v>0</v>
      </c>
      <c r="AR133" s="9">
        <v>0</v>
      </c>
      <c r="AS133" s="9">
        <v>0</v>
      </c>
      <c r="AT133" s="9">
        <v>0</v>
      </c>
      <c r="AU133" s="9">
        <v>0</v>
      </c>
      <c r="AV133" s="9">
        <v>5932451</v>
      </c>
      <c r="AW133" s="9">
        <v>456262707</v>
      </c>
      <c r="AX133" s="9">
        <v>443316016</v>
      </c>
      <c r="AY133" s="9">
        <v>487000347</v>
      </c>
      <c r="AZ133" s="9">
        <v>15305102</v>
      </c>
      <c r="BA133" s="9">
        <v>2384.25</v>
      </c>
      <c r="BB133" s="9">
        <v>0</v>
      </c>
      <c r="BC133" s="9">
        <v>0</v>
      </c>
      <c r="BD133" s="9">
        <v>0</v>
      </c>
      <c r="BE133" s="9">
        <v>0</v>
      </c>
      <c r="BF133" s="9">
        <v>374014564</v>
      </c>
      <c r="BG133" s="9">
        <v>0</v>
      </c>
      <c r="BH133" s="9">
        <v>7334.2460000000001</v>
      </c>
      <c r="BI133" s="9">
        <v>2016918</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1676.376</v>
      </c>
      <c r="CB133" s="9">
        <v>640811</v>
      </c>
      <c r="CC133" s="9">
        <v>0</v>
      </c>
      <c r="CD133" s="9">
        <v>0</v>
      </c>
      <c r="CE133" s="9">
        <v>0</v>
      </c>
      <c r="CF133" s="9">
        <v>0</v>
      </c>
      <c r="CG133" s="9">
        <v>0</v>
      </c>
      <c r="CH133" s="9">
        <v>10288962</v>
      </c>
      <c r="CI133" s="9">
        <v>0</v>
      </c>
      <c r="CJ133" s="9">
        <v>5</v>
      </c>
      <c r="CK133" s="9">
        <v>0</v>
      </c>
      <c r="CL133" s="9">
        <v>0</v>
      </c>
      <c r="CM133" s="9">
        <v>0</v>
      </c>
      <c r="CN133" s="9">
        <v>0</v>
      </c>
      <c r="CO133" s="9">
        <v>0</v>
      </c>
      <c r="CP133" s="9">
        <v>0.79</v>
      </c>
      <c r="CQ133" s="9">
        <v>187.25</v>
      </c>
      <c r="CR133" s="9">
        <v>39558.521000000001</v>
      </c>
      <c r="CS133" s="9">
        <v>0</v>
      </c>
      <c r="CT133" s="9">
        <v>0</v>
      </c>
      <c r="CU133" s="9">
        <v>0</v>
      </c>
      <c r="CV133" s="9">
        <v>0</v>
      </c>
      <c r="CW133" s="9">
        <v>0</v>
      </c>
      <c r="CX133" s="9">
        <v>0</v>
      </c>
      <c r="CY133" s="9">
        <v>0</v>
      </c>
      <c r="CZ133" s="9">
        <v>0</v>
      </c>
      <c r="DA133" s="9">
        <v>1</v>
      </c>
      <c r="DB133" s="9">
        <v>296780817</v>
      </c>
      <c r="DC133" s="9">
        <v>0</v>
      </c>
      <c r="DD133" s="9">
        <v>0</v>
      </c>
      <c r="DE133" s="9">
        <v>55489218</v>
      </c>
      <c r="DF133" s="9">
        <v>55501696</v>
      </c>
      <c r="DG133" s="9">
        <v>42332.33</v>
      </c>
      <c r="DH133" s="9">
        <v>0</v>
      </c>
      <c r="DI133" s="9">
        <v>12478</v>
      </c>
      <c r="DJ133" s="9">
        <v>0</v>
      </c>
      <c r="DK133" s="9">
        <v>5392</v>
      </c>
      <c r="DL133" s="9">
        <v>0</v>
      </c>
      <c r="DM133" s="9">
        <v>20522927</v>
      </c>
      <c r="DN133" s="9">
        <v>0</v>
      </c>
      <c r="DO133" s="9">
        <v>0</v>
      </c>
      <c r="DP133" s="9">
        <v>0</v>
      </c>
      <c r="DQ133" s="9">
        <v>0</v>
      </c>
      <c r="DR133" s="9">
        <v>0</v>
      </c>
      <c r="DS133" s="9">
        <v>0</v>
      </c>
      <c r="DT133" s="9">
        <v>0</v>
      </c>
      <c r="DU133" s="9">
        <v>0</v>
      </c>
      <c r="DV133" s="9">
        <v>0</v>
      </c>
      <c r="DW133" s="9">
        <v>0</v>
      </c>
      <c r="DX133" s="9">
        <v>0</v>
      </c>
      <c r="DY133" s="9">
        <v>0</v>
      </c>
      <c r="DZ133" s="9">
        <v>0</v>
      </c>
      <c r="EA133" s="9">
        <v>0.57700000000000007</v>
      </c>
      <c r="EB133" s="9">
        <v>0</v>
      </c>
      <c r="EC133" s="9">
        <v>1129.6300000000001</v>
      </c>
      <c r="ED133" s="9">
        <v>8143955</v>
      </c>
      <c r="EE133" s="9">
        <v>0</v>
      </c>
      <c r="EF133" s="9">
        <v>0</v>
      </c>
      <c r="EG133" s="9">
        <v>0</v>
      </c>
      <c r="EH133" s="9">
        <v>12378972</v>
      </c>
      <c r="EI133" s="9">
        <v>0</v>
      </c>
      <c r="EJ133" s="9">
        <v>0</v>
      </c>
      <c r="EK133" s="9">
        <v>262.98200000000003</v>
      </c>
      <c r="EL133" s="9">
        <v>6.2970000000000006</v>
      </c>
      <c r="EM133" s="9">
        <v>257.95</v>
      </c>
      <c r="EN133" s="9">
        <v>64.617000000000004</v>
      </c>
      <c r="EO133" s="9">
        <v>0</v>
      </c>
      <c r="EP133" s="9">
        <v>0</v>
      </c>
      <c r="EQ133" s="9">
        <v>586.12599999999998</v>
      </c>
      <c r="ER133" s="9">
        <v>0</v>
      </c>
      <c r="ES133" s="9">
        <v>1888.7660000000001</v>
      </c>
      <c r="ET133" s="9">
        <v>1238938</v>
      </c>
      <c r="EU133" s="9">
        <v>15305102</v>
      </c>
      <c r="EV133" s="9">
        <v>0</v>
      </c>
      <c r="EW133" s="9">
        <v>0</v>
      </c>
      <c r="EX133" s="9">
        <v>0</v>
      </c>
      <c r="EY133" s="9">
        <v>0</v>
      </c>
      <c r="EZ133" s="9">
        <v>373543790</v>
      </c>
      <c r="FA133" s="9">
        <v>0</v>
      </c>
      <c r="FB133" s="9">
        <v>388848892</v>
      </c>
      <c r="FC133" s="9">
        <v>0.97327799999999998</v>
      </c>
      <c r="FD133" s="9">
        <v>0</v>
      </c>
      <c r="FE133" s="9">
        <v>56940717</v>
      </c>
      <c r="FF133" s="9">
        <v>12831509</v>
      </c>
      <c r="FG133" s="9">
        <v>6.1239999999999996E-2</v>
      </c>
      <c r="FH133" s="9">
        <v>5.4803999999999999E-2</v>
      </c>
      <c r="FI133" s="9">
        <v>0</v>
      </c>
      <c r="FJ133" s="9">
        <v>0</v>
      </c>
      <c r="FK133" s="9">
        <v>73281.232000000004</v>
      </c>
      <c r="FL133" s="9">
        <v>468910080</v>
      </c>
      <c r="FM133" s="9">
        <v>0</v>
      </c>
      <c r="FN133" s="9">
        <v>0</v>
      </c>
      <c r="FO133" s="9">
        <v>1482944</v>
      </c>
      <c r="FP133" s="9">
        <v>424643</v>
      </c>
      <c r="FQ133" s="9">
        <v>1907587</v>
      </c>
      <c r="FR133" s="9">
        <v>1482944</v>
      </c>
      <c r="FS133" s="9">
        <v>0</v>
      </c>
      <c r="FT133" s="9">
        <v>0</v>
      </c>
      <c r="FU133" s="9">
        <v>0</v>
      </c>
      <c r="FV133" s="9">
        <v>0</v>
      </c>
      <c r="FW133" s="9">
        <v>0</v>
      </c>
      <c r="FX133" s="9">
        <v>0</v>
      </c>
      <c r="FY133" s="9">
        <v>0</v>
      </c>
      <c r="FZ133" s="9">
        <v>192</v>
      </c>
      <c r="GA133" s="9">
        <v>3.8420000000000001</v>
      </c>
      <c r="GB133" s="9">
        <v>465335</v>
      </c>
      <c r="GC133" s="9">
        <v>465335</v>
      </c>
      <c r="GD133" s="9">
        <v>52.571000000000005</v>
      </c>
      <c r="GE133" s="9">
        <v>0</v>
      </c>
      <c r="GF133" s="9">
        <v>0</v>
      </c>
      <c r="GG133" s="9">
        <v>0</v>
      </c>
      <c r="GH133" s="9">
        <v>0</v>
      </c>
      <c r="GI133" s="9">
        <v>0</v>
      </c>
      <c r="GJ133" s="9">
        <v>0</v>
      </c>
      <c r="GK133" s="9">
        <v>5071</v>
      </c>
      <c r="GL133" s="9">
        <v>120568</v>
      </c>
      <c r="GM133" s="9">
        <v>0</v>
      </c>
      <c r="GN133" s="9">
        <v>563496</v>
      </c>
      <c r="GO133" s="9">
        <v>0</v>
      </c>
      <c r="GP133" s="9">
        <v>458621118</v>
      </c>
      <c r="GQ133" s="9">
        <v>458621118</v>
      </c>
      <c r="GR133" s="9">
        <v>0</v>
      </c>
      <c r="GS133" s="9">
        <v>0</v>
      </c>
      <c r="GT133" s="9">
        <v>0</v>
      </c>
      <c r="GU133" s="9">
        <v>0</v>
      </c>
      <c r="GV133" s="9">
        <v>0</v>
      </c>
      <c r="GW133" s="9">
        <v>0</v>
      </c>
      <c r="GX133" s="9">
        <v>0</v>
      </c>
      <c r="GY133" s="9">
        <v>0</v>
      </c>
      <c r="GZ133" s="9">
        <v>0</v>
      </c>
      <c r="HA133" s="9">
        <v>0</v>
      </c>
      <c r="HB133" s="9">
        <v>260786259</v>
      </c>
      <c r="HC133" s="9">
        <v>5.0923999999999997E-2</v>
      </c>
      <c r="HD133" s="9">
        <v>9050024</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32469</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row>
    <row r="134" spans="1:292" x14ac:dyDescent="0.25">
      <c r="A134" s="9">
        <v>108808</v>
      </c>
      <c r="B134" s="9">
        <v>32570</v>
      </c>
      <c r="C134" s="9">
        <v>35</v>
      </c>
      <c r="D134" s="9">
        <v>2022</v>
      </c>
      <c r="E134" s="9">
        <v>5392</v>
      </c>
      <c r="F134" s="9">
        <v>0</v>
      </c>
      <c r="G134" s="9">
        <v>4032.7270000000003</v>
      </c>
      <c r="H134" s="9">
        <v>3747.0590000000002</v>
      </c>
      <c r="I134" s="9">
        <v>3747.0590000000002</v>
      </c>
      <c r="J134" s="9">
        <v>4032.7270000000003</v>
      </c>
      <c r="K134" s="9">
        <v>0</v>
      </c>
      <c r="L134" s="9">
        <v>6554</v>
      </c>
      <c r="M134" s="9">
        <v>0</v>
      </c>
      <c r="N134" s="9">
        <v>0</v>
      </c>
      <c r="O134" s="9">
        <v>0</v>
      </c>
      <c r="P134" s="9">
        <v>3764.5930000000003</v>
      </c>
      <c r="Q134" s="9">
        <v>0</v>
      </c>
      <c r="R134" s="9">
        <v>1203589</v>
      </c>
      <c r="S134" s="9">
        <v>319.71300000000002</v>
      </c>
      <c r="T134" s="9">
        <v>0</v>
      </c>
      <c r="U134" s="9">
        <v>1203589</v>
      </c>
      <c r="V134" s="9">
        <v>1648.596</v>
      </c>
      <c r="W134" s="9">
        <v>1080490</v>
      </c>
      <c r="X134" s="9">
        <v>1080490</v>
      </c>
      <c r="Y134" s="9">
        <v>0</v>
      </c>
      <c r="Z134" s="9">
        <v>0</v>
      </c>
      <c r="AA134" s="9">
        <v>1</v>
      </c>
      <c r="AB134" s="9">
        <v>1</v>
      </c>
      <c r="AC134" s="9">
        <v>0</v>
      </c>
      <c r="AD134" s="9" t="s">
        <v>314</v>
      </c>
      <c r="AE134" s="9">
        <v>0</v>
      </c>
      <c r="AF134" s="9">
        <v>0</v>
      </c>
      <c r="AG134" s="9">
        <v>0</v>
      </c>
      <c r="AH134" s="9">
        <v>0</v>
      </c>
      <c r="AI134" s="9">
        <v>0</v>
      </c>
      <c r="AJ134" s="9">
        <v>5104</v>
      </c>
      <c r="AK134" s="9" t="s">
        <v>651</v>
      </c>
      <c r="AL134" s="9" t="s">
        <v>88</v>
      </c>
      <c r="AM134" s="9">
        <v>0</v>
      </c>
      <c r="AN134" s="9">
        <v>0</v>
      </c>
      <c r="AO134" s="9">
        <v>0</v>
      </c>
      <c r="AP134" s="9">
        <v>0</v>
      </c>
      <c r="AQ134" s="9">
        <v>0</v>
      </c>
      <c r="AR134" s="9">
        <v>0</v>
      </c>
      <c r="AS134" s="9">
        <v>0</v>
      </c>
      <c r="AT134" s="9">
        <v>0</v>
      </c>
      <c r="AU134" s="9">
        <v>0</v>
      </c>
      <c r="AV134" s="9">
        <v>993393</v>
      </c>
      <c r="AW134" s="9">
        <v>40284215</v>
      </c>
      <c r="AX134" s="9">
        <v>39314379</v>
      </c>
      <c r="AY134" s="9">
        <v>42165808</v>
      </c>
      <c r="AZ134" s="9">
        <v>1378664</v>
      </c>
      <c r="BA134" s="9">
        <v>0</v>
      </c>
      <c r="BB134" s="9">
        <v>158583</v>
      </c>
      <c r="BC134" s="9">
        <v>158583</v>
      </c>
      <c r="BD134" s="9">
        <v>201.636</v>
      </c>
      <c r="BE134" s="9">
        <v>0</v>
      </c>
      <c r="BF134" s="9">
        <v>33375436</v>
      </c>
      <c r="BG134" s="9">
        <v>0</v>
      </c>
      <c r="BH134" s="9">
        <v>636.63800000000003</v>
      </c>
      <c r="BI134" s="9">
        <v>175075</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0</v>
      </c>
      <c r="CB134" s="9">
        <v>0</v>
      </c>
      <c r="CC134" s="9">
        <v>0</v>
      </c>
      <c r="CD134" s="9">
        <v>0</v>
      </c>
      <c r="CE134" s="9">
        <v>0</v>
      </c>
      <c r="CF134" s="9">
        <v>0</v>
      </c>
      <c r="CG134" s="9">
        <v>0</v>
      </c>
      <c r="CH134" s="9">
        <v>794761</v>
      </c>
      <c r="CI134" s="9">
        <v>0</v>
      </c>
      <c r="CJ134" s="9">
        <v>4</v>
      </c>
      <c r="CK134" s="9">
        <v>0</v>
      </c>
      <c r="CL134" s="9">
        <v>0</v>
      </c>
      <c r="CM134" s="9">
        <v>0</v>
      </c>
      <c r="CN134" s="9">
        <v>0</v>
      </c>
      <c r="CO134" s="9">
        <v>0</v>
      </c>
      <c r="CP134" s="9">
        <v>0</v>
      </c>
      <c r="CQ134" s="9">
        <v>0</v>
      </c>
      <c r="CR134" s="9">
        <v>3764.5930000000003</v>
      </c>
      <c r="CS134" s="9">
        <v>0</v>
      </c>
      <c r="CT134" s="9">
        <v>0</v>
      </c>
      <c r="CU134" s="9">
        <v>0</v>
      </c>
      <c r="CV134" s="9">
        <v>0</v>
      </c>
      <c r="CW134" s="9">
        <v>0</v>
      </c>
      <c r="CX134" s="9">
        <v>0</v>
      </c>
      <c r="CY134" s="9">
        <v>0</v>
      </c>
      <c r="CZ134" s="9">
        <v>0</v>
      </c>
      <c r="DA134" s="9">
        <v>1</v>
      </c>
      <c r="DB134" s="9">
        <v>24558225</v>
      </c>
      <c r="DC134" s="9">
        <v>0</v>
      </c>
      <c r="DD134" s="9">
        <v>0</v>
      </c>
      <c r="DE134" s="9">
        <v>4936696</v>
      </c>
      <c r="DF134" s="9">
        <v>4936696</v>
      </c>
      <c r="DG134" s="9">
        <v>3766.17</v>
      </c>
      <c r="DH134" s="9">
        <v>0</v>
      </c>
      <c r="DI134" s="9">
        <v>0</v>
      </c>
      <c r="DJ134" s="9">
        <v>0</v>
      </c>
      <c r="DK134" s="9">
        <v>5392</v>
      </c>
      <c r="DL134" s="9">
        <v>0</v>
      </c>
      <c r="DM134" s="9">
        <v>1722794</v>
      </c>
      <c r="DN134" s="9">
        <v>0</v>
      </c>
      <c r="DO134" s="9">
        <v>1711</v>
      </c>
      <c r="DP134" s="9">
        <v>0</v>
      </c>
      <c r="DQ134" s="9">
        <v>0</v>
      </c>
      <c r="DR134" s="9">
        <v>0</v>
      </c>
      <c r="DS134" s="9">
        <v>0</v>
      </c>
      <c r="DT134" s="9">
        <v>0</v>
      </c>
      <c r="DU134" s="9">
        <v>0</v>
      </c>
      <c r="DV134" s="9">
        <v>0.11600000000000001</v>
      </c>
      <c r="DW134" s="9">
        <v>0</v>
      </c>
      <c r="DX134" s="9">
        <v>0</v>
      </c>
      <c r="DY134" s="9">
        <v>0</v>
      </c>
      <c r="DZ134" s="9">
        <v>0.34800000000000003</v>
      </c>
      <c r="EA134" s="9">
        <v>1E-3</v>
      </c>
      <c r="EB134" s="9">
        <v>0</v>
      </c>
      <c r="EC134" s="9">
        <v>14.693000000000001</v>
      </c>
      <c r="ED134" s="9">
        <v>105928</v>
      </c>
      <c r="EE134" s="9">
        <v>0</v>
      </c>
      <c r="EF134" s="9">
        <v>0</v>
      </c>
      <c r="EG134" s="9">
        <v>0</v>
      </c>
      <c r="EH134" s="9">
        <v>1615155</v>
      </c>
      <c r="EI134" s="9">
        <v>0</v>
      </c>
      <c r="EJ134" s="9">
        <v>0</v>
      </c>
      <c r="EK134" s="9">
        <v>66.661000000000001</v>
      </c>
      <c r="EL134" s="9">
        <v>0</v>
      </c>
      <c r="EM134" s="9">
        <v>6.4850000000000003</v>
      </c>
      <c r="EN134" s="9">
        <v>5.399</v>
      </c>
      <c r="EO134" s="9">
        <v>0</v>
      </c>
      <c r="EP134" s="9">
        <v>0</v>
      </c>
      <c r="EQ134" s="9">
        <v>78.546000000000006</v>
      </c>
      <c r="ER134" s="9">
        <v>0</v>
      </c>
      <c r="ES134" s="9">
        <v>246.43800000000002</v>
      </c>
      <c r="ET134" s="9">
        <v>0</v>
      </c>
      <c r="EU134" s="9">
        <v>1378664</v>
      </c>
      <c r="EV134" s="9">
        <v>0</v>
      </c>
      <c r="EW134" s="9">
        <v>0</v>
      </c>
      <c r="EX134" s="9">
        <v>0</v>
      </c>
      <c r="EY134" s="9">
        <v>0</v>
      </c>
      <c r="EZ134" s="9">
        <v>33088209</v>
      </c>
      <c r="FA134" s="9">
        <v>0</v>
      </c>
      <c r="FB134" s="9">
        <v>34466873</v>
      </c>
      <c r="FC134" s="9">
        <v>0.97327799999999998</v>
      </c>
      <c r="FD134" s="9">
        <v>0</v>
      </c>
      <c r="FE134" s="9">
        <v>5081142</v>
      </c>
      <c r="FF134" s="9">
        <v>1145028</v>
      </c>
      <c r="FG134" s="9">
        <v>6.1239999999999996E-2</v>
      </c>
      <c r="FH134" s="9">
        <v>5.4803999999999999E-2</v>
      </c>
      <c r="FI134" s="9">
        <v>0</v>
      </c>
      <c r="FJ134" s="9">
        <v>0</v>
      </c>
      <c r="FK134" s="9">
        <v>6539.299</v>
      </c>
      <c r="FL134" s="9">
        <v>41487804</v>
      </c>
      <c r="FM134" s="9">
        <v>0</v>
      </c>
      <c r="FN134" s="9">
        <v>0</v>
      </c>
      <c r="FO134" s="9">
        <v>0</v>
      </c>
      <c r="FP134" s="9">
        <v>0</v>
      </c>
      <c r="FQ134" s="9">
        <v>0</v>
      </c>
      <c r="FR134" s="9">
        <v>0</v>
      </c>
      <c r="FS134" s="9">
        <v>0</v>
      </c>
      <c r="FT134" s="9">
        <v>0</v>
      </c>
      <c r="FU134" s="9">
        <v>0</v>
      </c>
      <c r="FV134" s="9">
        <v>0</v>
      </c>
      <c r="FW134" s="9">
        <v>0</v>
      </c>
      <c r="FX134" s="9">
        <v>0</v>
      </c>
      <c r="FY134" s="9">
        <v>0</v>
      </c>
      <c r="FZ134" s="9">
        <v>2415</v>
      </c>
      <c r="GA134" s="9">
        <v>48.308</v>
      </c>
      <c r="GB134" s="9">
        <v>1835010</v>
      </c>
      <c r="GC134" s="9">
        <v>1835010</v>
      </c>
      <c r="GD134" s="9">
        <v>207.12200000000001</v>
      </c>
      <c r="GE134" s="9">
        <v>0</v>
      </c>
      <c r="GF134" s="9">
        <v>0</v>
      </c>
      <c r="GG134" s="9">
        <v>0</v>
      </c>
      <c r="GH134" s="9">
        <v>0</v>
      </c>
      <c r="GI134" s="9">
        <v>0</v>
      </c>
      <c r="GJ134" s="9">
        <v>0</v>
      </c>
      <c r="GK134" s="9">
        <v>4955</v>
      </c>
      <c r="GL134" s="9">
        <v>19656</v>
      </c>
      <c r="GM134" s="9">
        <v>0</v>
      </c>
      <c r="GN134" s="9">
        <v>0</v>
      </c>
      <c r="GO134" s="9">
        <v>0</v>
      </c>
      <c r="GP134" s="9">
        <v>40693043</v>
      </c>
      <c r="GQ134" s="9">
        <v>40693043</v>
      </c>
      <c r="GR134" s="9">
        <v>0</v>
      </c>
      <c r="GS134" s="9">
        <v>0</v>
      </c>
      <c r="GT134" s="9">
        <v>0</v>
      </c>
      <c r="GU134" s="9">
        <v>0</v>
      </c>
      <c r="GV134" s="9">
        <v>0</v>
      </c>
      <c r="GW134" s="9">
        <v>0</v>
      </c>
      <c r="GX134" s="9">
        <v>0</v>
      </c>
      <c r="GY134" s="9">
        <v>0</v>
      </c>
      <c r="GZ134" s="9">
        <v>0</v>
      </c>
      <c r="HA134" s="9">
        <v>0</v>
      </c>
      <c r="HB134" s="9">
        <v>260786259</v>
      </c>
      <c r="HC134" s="9">
        <v>5.0923999999999997E-2</v>
      </c>
      <c r="HD134" s="9">
        <v>794761</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402.32800000000003</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32469</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row>
    <row r="135" spans="1:292" x14ac:dyDescent="0.25">
      <c r="A135" s="9">
        <v>108809</v>
      </c>
      <c r="B135" s="9">
        <v>32570</v>
      </c>
      <c r="C135" s="9">
        <v>35</v>
      </c>
      <c r="D135" s="9">
        <v>2022</v>
      </c>
      <c r="E135" s="9">
        <v>5392</v>
      </c>
      <c r="F135" s="9">
        <v>0</v>
      </c>
      <c r="G135" s="9">
        <v>270.94600000000003</v>
      </c>
      <c r="H135" s="9">
        <v>259.608</v>
      </c>
      <c r="I135" s="9">
        <v>259.608</v>
      </c>
      <c r="J135" s="9">
        <v>270.94600000000003</v>
      </c>
      <c r="K135" s="9">
        <v>0</v>
      </c>
      <c r="L135" s="9">
        <v>6554</v>
      </c>
      <c r="M135" s="9">
        <v>0</v>
      </c>
      <c r="N135" s="9">
        <v>0</v>
      </c>
      <c r="O135" s="9">
        <v>0</v>
      </c>
      <c r="P135" s="9">
        <v>219.833</v>
      </c>
      <c r="Q135" s="9">
        <v>0</v>
      </c>
      <c r="R135" s="9">
        <v>70283</v>
      </c>
      <c r="S135" s="9">
        <v>319.71300000000002</v>
      </c>
      <c r="T135" s="9">
        <v>0</v>
      </c>
      <c r="U135" s="9">
        <v>70283</v>
      </c>
      <c r="V135" s="9">
        <v>166.87</v>
      </c>
      <c r="W135" s="9">
        <v>109367</v>
      </c>
      <c r="X135" s="9">
        <v>109367</v>
      </c>
      <c r="Y135" s="9">
        <v>0</v>
      </c>
      <c r="Z135" s="9">
        <v>0</v>
      </c>
      <c r="AA135" s="9">
        <v>1</v>
      </c>
      <c r="AB135" s="9">
        <v>1</v>
      </c>
      <c r="AC135" s="9">
        <v>0</v>
      </c>
      <c r="AD135" s="9" t="s">
        <v>314</v>
      </c>
      <c r="AE135" s="9">
        <v>0</v>
      </c>
      <c r="AF135" s="9">
        <v>0</v>
      </c>
      <c r="AG135" s="9">
        <v>0</v>
      </c>
      <c r="AH135" s="9">
        <v>0</v>
      </c>
      <c r="AI135" s="9">
        <v>0</v>
      </c>
      <c r="AJ135" s="9">
        <v>5104</v>
      </c>
      <c r="AK135" s="9" t="s">
        <v>651</v>
      </c>
      <c r="AL135" s="9" t="s">
        <v>116</v>
      </c>
      <c r="AM135" s="9">
        <v>0</v>
      </c>
      <c r="AN135" s="9">
        <v>0</v>
      </c>
      <c r="AO135" s="9">
        <v>0</v>
      </c>
      <c r="AP135" s="9">
        <v>0</v>
      </c>
      <c r="AQ135" s="9">
        <v>0</v>
      </c>
      <c r="AR135" s="9">
        <v>0</v>
      </c>
      <c r="AS135" s="9">
        <v>0</v>
      </c>
      <c r="AT135" s="9">
        <v>0</v>
      </c>
      <c r="AU135" s="9">
        <v>0</v>
      </c>
      <c r="AV135" s="9">
        <v>120398</v>
      </c>
      <c r="AW135" s="9">
        <v>2808027</v>
      </c>
      <c r="AX135" s="9">
        <v>2754630</v>
      </c>
      <c r="AY135" s="9">
        <v>3114801</v>
      </c>
      <c r="AZ135" s="9">
        <v>70283</v>
      </c>
      <c r="BA135" s="9">
        <v>0</v>
      </c>
      <c r="BB135" s="9">
        <v>5515</v>
      </c>
      <c r="BC135" s="9">
        <v>5515</v>
      </c>
      <c r="BD135" s="9">
        <v>7.0120000000000005</v>
      </c>
      <c r="BE135" s="9">
        <v>0</v>
      </c>
      <c r="BF135" s="9">
        <v>2326936</v>
      </c>
      <c r="BG135" s="9">
        <v>0</v>
      </c>
      <c r="BH135" s="9">
        <v>0</v>
      </c>
      <c r="BI135" s="9">
        <v>0</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53397</v>
      </c>
      <c r="CI135" s="9">
        <v>0</v>
      </c>
      <c r="CJ135" s="9">
        <v>4</v>
      </c>
      <c r="CK135" s="9">
        <v>0</v>
      </c>
      <c r="CL135" s="9">
        <v>0</v>
      </c>
      <c r="CM135" s="9">
        <v>0</v>
      </c>
      <c r="CN135" s="9">
        <v>0</v>
      </c>
      <c r="CO135" s="9">
        <v>0</v>
      </c>
      <c r="CP135" s="9">
        <v>0</v>
      </c>
      <c r="CQ135" s="9">
        <v>0</v>
      </c>
      <c r="CR135" s="9">
        <v>219.833</v>
      </c>
      <c r="CS135" s="9">
        <v>0</v>
      </c>
      <c r="CT135" s="9">
        <v>0</v>
      </c>
      <c r="CU135" s="9">
        <v>0</v>
      </c>
      <c r="CV135" s="9">
        <v>0</v>
      </c>
      <c r="CW135" s="9">
        <v>0</v>
      </c>
      <c r="CX135" s="9">
        <v>0</v>
      </c>
      <c r="CY135" s="9">
        <v>0</v>
      </c>
      <c r="CZ135" s="9">
        <v>0</v>
      </c>
      <c r="DA135" s="9">
        <v>1</v>
      </c>
      <c r="DB135" s="9">
        <v>1701471</v>
      </c>
      <c r="DC135" s="9">
        <v>0</v>
      </c>
      <c r="DD135" s="9">
        <v>0</v>
      </c>
      <c r="DE135" s="9">
        <v>342342</v>
      </c>
      <c r="DF135" s="9">
        <v>342342</v>
      </c>
      <c r="DG135" s="9">
        <v>261.17</v>
      </c>
      <c r="DH135" s="9">
        <v>0</v>
      </c>
      <c r="DI135" s="9">
        <v>0</v>
      </c>
      <c r="DJ135" s="9">
        <v>0</v>
      </c>
      <c r="DK135" s="9">
        <v>5392</v>
      </c>
      <c r="DL135" s="9">
        <v>0</v>
      </c>
      <c r="DM135" s="9">
        <v>232130</v>
      </c>
      <c r="DN135" s="9">
        <v>0</v>
      </c>
      <c r="DO135" s="9">
        <v>0</v>
      </c>
      <c r="DP135" s="9">
        <v>0</v>
      </c>
      <c r="DQ135" s="9">
        <v>0</v>
      </c>
      <c r="DR135" s="9">
        <v>0</v>
      </c>
      <c r="DS135" s="9">
        <v>0</v>
      </c>
      <c r="DT135" s="9">
        <v>0</v>
      </c>
      <c r="DU135" s="9">
        <v>0</v>
      </c>
      <c r="DV135" s="9">
        <v>0</v>
      </c>
      <c r="DW135" s="9">
        <v>0</v>
      </c>
      <c r="DX135" s="9">
        <v>0</v>
      </c>
      <c r="DY135" s="9">
        <v>0</v>
      </c>
      <c r="DZ135" s="9">
        <v>0</v>
      </c>
      <c r="EA135" s="9">
        <v>0</v>
      </c>
      <c r="EB135" s="9">
        <v>0</v>
      </c>
      <c r="EC135" s="9">
        <v>0</v>
      </c>
      <c r="ED135" s="9">
        <v>0</v>
      </c>
      <c r="EE135" s="9">
        <v>0</v>
      </c>
      <c r="EF135" s="9">
        <v>0</v>
      </c>
      <c r="EG135" s="9">
        <v>0</v>
      </c>
      <c r="EH135" s="9">
        <v>232130</v>
      </c>
      <c r="EI135" s="9">
        <v>0</v>
      </c>
      <c r="EJ135" s="9">
        <v>0</v>
      </c>
      <c r="EK135" s="9">
        <v>10.636000000000001</v>
      </c>
      <c r="EL135" s="9">
        <v>0</v>
      </c>
      <c r="EM135" s="9">
        <v>0</v>
      </c>
      <c r="EN135" s="9">
        <v>0.70200000000000007</v>
      </c>
      <c r="EO135" s="9">
        <v>0</v>
      </c>
      <c r="EP135" s="9">
        <v>0</v>
      </c>
      <c r="EQ135" s="9">
        <v>11.338000000000001</v>
      </c>
      <c r="ER135" s="9">
        <v>0</v>
      </c>
      <c r="ES135" s="9">
        <v>35.417999999999999</v>
      </c>
      <c r="ET135" s="9">
        <v>0</v>
      </c>
      <c r="EU135" s="9">
        <v>70283</v>
      </c>
      <c r="EV135" s="9">
        <v>0</v>
      </c>
      <c r="EW135" s="9">
        <v>0</v>
      </c>
      <c r="EX135" s="9">
        <v>0</v>
      </c>
      <c r="EY135" s="9">
        <v>0</v>
      </c>
      <c r="EZ135" s="9">
        <v>2320542</v>
      </c>
      <c r="FA135" s="9">
        <v>0</v>
      </c>
      <c r="FB135" s="9">
        <v>2390825</v>
      </c>
      <c r="FC135" s="9">
        <v>0.97327799999999998</v>
      </c>
      <c r="FD135" s="9">
        <v>0</v>
      </c>
      <c r="FE135" s="9">
        <v>354257</v>
      </c>
      <c r="FF135" s="9">
        <v>79831</v>
      </c>
      <c r="FG135" s="9">
        <v>6.1239999999999996E-2</v>
      </c>
      <c r="FH135" s="9">
        <v>5.4803999999999999E-2</v>
      </c>
      <c r="FI135" s="9">
        <v>0</v>
      </c>
      <c r="FJ135" s="9">
        <v>0</v>
      </c>
      <c r="FK135" s="9">
        <v>455.92</v>
      </c>
      <c r="FL135" s="9">
        <v>2878310</v>
      </c>
      <c r="FM135" s="9">
        <v>0</v>
      </c>
      <c r="FN135" s="9">
        <v>0</v>
      </c>
      <c r="FO135" s="9">
        <v>0</v>
      </c>
      <c r="FP135" s="9">
        <v>0</v>
      </c>
      <c r="FQ135" s="9">
        <v>0</v>
      </c>
      <c r="FR135" s="9">
        <v>0</v>
      </c>
      <c r="FS135" s="9">
        <v>0</v>
      </c>
      <c r="FT135" s="9">
        <v>0</v>
      </c>
      <c r="FU135" s="9">
        <v>0</v>
      </c>
      <c r="FV135" s="9">
        <v>0</v>
      </c>
      <c r="FW135" s="9">
        <v>0</v>
      </c>
      <c r="FX135" s="9">
        <v>0</v>
      </c>
      <c r="FY135" s="9">
        <v>0</v>
      </c>
      <c r="FZ135" s="9">
        <v>0</v>
      </c>
      <c r="GA135" s="9">
        <v>0</v>
      </c>
      <c r="GB135" s="9">
        <v>0</v>
      </c>
      <c r="GC135" s="9">
        <v>0</v>
      </c>
      <c r="GD135" s="9">
        <v>0</v>
      </c>
      <c r="GE135" s="9">
        <v>0</v>
      </c>
      <c r="GF135" s="9">
        <v>0</v>
      </c>
      <c r="GG135" s="9">
        <v>0</v>
      </c>
      <c r="GH135" s="9">
        <v>0</v>
      </c>
      <c r="GI135" s="9">
        <v>0</v>
      </c>
      <c r="GJ135" s="9">
        <v>0</v>
      </c>
      <c r="GK135" s="9">
        <v>4971</v>
      </c>
      <c r="GL135" s="9">
        <v>0</v>
      </c>
      <c r="GM135" s="9">
        <v>0</v>
      </c>
      <c r="GN135" s="9">
        <v>0</v>
      </c>
      <c r="GO135" s="9">
        <v>0</v>
      </c>
      <c r="GP135" s="9">
        <v>2824913</v>
      </c>
      <c r="GQ135" s="9">
        <v>2824913</v>
      </c>
      <c r="GR135" s="9">
        <v>0</v>
      </c>
      <c r="GS135" s="9">
        <v>0</v>
      </c>
      <c r="GT135" s="9">
        <v>0</v>
      </c>
      <c r="GU135" s="9">
        <v>0</v>
      </c>
      <c r="GV135" s="9">
        <v>0</v>
      </c>
      <c r="GW135" s="9">
        <v>0</v>
      </c>
      <c r="GX135" s="9">
        <v>0</v>
      </c>
      <c r="GY135" s="9">
        <v>0</v>
      </c>
      <c r="GZ135" s="9">
        <v>0</v>
      </c>
      <c r="HA135" s="9">
        <v>0</v>
      </c>
      <c r="HB135" s="9">
        <v>260786259</v>
      </c>
      <c r="HC135" s="9">
        <v>5.0923999999999997E-2</v>
      </c>
      <c r="HD135" s="9">
        <v>53397</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76.132000000000005</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32469</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row>
    <row r="136" spans="1:292" ht="14.5" x14ac:dyDescent="0.35">
      <c r="A136" s="9">
        <v>108810</v>
      </c>
      <c r="B136" s="9">
        <v>32570</v>
      </c>
      <c r="C136" s="9">
        <v>0</v>
      </c>
      <c r="D136" s="9">
        <v>0</v>
      </c>
      <c r="E136" s="9">
        <v>5392</v>
      </c>
      <c r="F136" s="9">
        <v>0</v>
      </c>
      <c r="G136" s="9">
        <v>0</v>
      </c>
      <c r="H136" s="9">
        <v>0</v>
      </c>
      <c r="I136" s="9">
        <v>0</v>
      </c>
      <c r="J136" s="9">
        <v>0</v>
      </c>
      <c r="K136" s="9">
        <v>0</v>
      </c>
      <c r="L136" s="9">
        <v>6554</v>
      </c>
      <c r="M136" s="9">
        <v>0</v>
      </c>
      <c r="N136" s="9">
        <v>0</v>
      </c>
      <c r="O136" s="9">
        <v>0</v>
      </c>
      <c r="P136" s="9">
        <v>0</v>
      </c>
      <c r="Q136" s="9">
        <v>0</v>
      </c>
      <c r="R136" s="9">
        <v>0</v>
      </c>
      <c r="S136" s="9">
        <v>319.71300000000002</v>
      </c>
      <c r="T136" s="9">
        <v>0</v>
      </c>
      <c r="U136" s="9">
        <v>0</v>
      </c>
      <c r="V136" s="9">
        <v>0</v>
      </c>
      <c r="W136" s="9">
        <v>0</v>
      </c>
      <c r="X136" s="9">
        <v>0</v>
      </c>
      <c r="Y136" s="9">
        <v>0</v>
      </c>
      <c r="Z136" s="9">
        <v>0</v>
      </c>
      <c r="AA136" s="9">
        <v>0</v>
      </c>
      <c r="AB136" s="9">
        <v>0</v>
      </c>
      <c r="AC136" s="9">
        <v>0</v>
      </c>
      <c r="AD136" s="9">
        <v>0</v>
      </c>
      <c r="AE136" s="9">
        <v>0</v>
      </c>
      <c r="AF136" s="9">
        <v>0</v>
      </c>
      <c r="AG136" s="9">
        <v>0</v>
      </c>
      <c r="AH136" s="9">
        <v>0</v>
      </c>
      <c r="AI136" s="9">
        <v>0</v>
      </c>
      <c r="AJ136" s="9">
        <v>0</v>
      </c>
      <c r="AK136" s="9">
        <v>0</v>
      </c>
      <c r="AL136" s="12" t="s">
        <v>706</v>
      </c>
      <c r="AM136" s="9">
        <v>0</v>
      </c>
      <c r="AN136" s="9">
        <v>0</v>
      </c>
      <c r="AO136" s="9">
        <v>0</v>
      </c>
      <c r="AP136" s="9">
        <v>0</v>
      </c>
      <c r="AQ136" s="9">
        <v>0</v>
      </c>
      <c r="AR136" s="9">
        <v>0</v>
      </c>
      <c r="AS136" s="9">
        <v>0</v>
      </c>
      <c r="AT136" s="9">
        <v>0</v>
      </c>
      <c r="AU136" s="9">
        <v>0</v>
      </c>
      <c r="AV136" s="9">
        <v>0</v>
      </c>
      <c r="AW136" s="9">
        <v>0</v>
      </c>
      <c r="AX136" s="9">
        <v>0</v>
      </c>
      <c r="AY136" s="9">
        <v>0</v>
      </c>
      <c r="AZ136" s="9">
        <v>0</v>
      </c>
      <c r="BA136" s="9">
        <v>0</v>
      </c>
      <c r="BB136" s="9">
        <v>0</v>
      </c>
      <c r="BC136" s="9">
        <v>0</v>
      </c>
      <c r="BD136" s="9">
        <v>0</v>
      </c>
      <c r="BE136" s="9">
        <v>0</v>
      </c>
      <c r="BF136" s="9">
        <v>0</v>
      </c>
      <c r="BG136" s="9">
        <v>0</v>
      </c>
      <c r="BH136" s="9">
        <v>0</v>
      </c>
      <c r="BI136" s="9">
        <v>0</v>
      </c>
      <c r="BJ136" s="9">
        <v>0</v>
      </c>
      <c r="BK136" s="9">
        <v>0</v>
      </c>
      <c r="BL136" s="9">
        <v>0</v>
      </c>
      <c r="BM136" s="9">
        <v>0</v>
      </c>
      <c r="BN136" s="9">
        <v>0</v>
      </c>
      <c r="BO136" s="9">
        <v>0</v>
      </c>
      <c r="BP136" s="9">
        <v>0</v>
      </c>
      <c r="BQ136" s="9">
        <v>5392</v>
      </c>
      <c r="BR136" s="9">
        <v>0</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0</v>
      </c>
      <c r="CI136" s="9">
        <v>0</v>
      </c>
      <c r="CJ136" s="9">
        <v>0</v>
      </c>
      <c r="CK136" s="9">
        <v>0</v>
      </c>
      <c r="CL136" s="9">
        <v>0</v>
      </c>
      <c r="CM136" s="9">
        <v>0</v>
      </c>
      <c r="CN136" s="9">
        <v>0</v>
      </c>
      <c r="CO136" s="9">
        <v>0</v>
      </c>
      <c r="CP136" s="9">
        <v>0</v>
      </c>
      <c r="CQ136" s="9">
        <v>0</v>
      </c>
      <c r="CR136" s="9">
        <v>0</v>
      </c>
      <c r="CS136" s="9">
        <v>0</v>
      </c>
      <c r="CT136" s="9">
        <v>0</v>
      </c>
      <c r="CU136" s="9">
        <v>0</v>
      </c>
      <c r="CV136" s="9">
        <v>0</v>
      </c>
      <c r="CW136" s="9">
        <v>0</v>
      </c>
      <c r="CX136" s="9">
        <v>0</v>
      </c>
      <c r="CY136" s="9">
        <v>0</v>
      </c>
      <c r="CZ136" s="9">
        <v>0</v>
      </c>
      <c r="DA136" s="9">
        <v>0</v>
      </c>
      <c r="DB136" s="9">
        <v>0</v>
      </c>
      <c r="DC136" s="9">
        <v>0</v>
      </c>
      <c r="DD136" s="9">
        <v>0</v>
      </c>
      <c r="DE136" s="9">
        <v>0</v>
      </c>
      <c r="DF136" s="9">
        <v>0</v>
      </c>
      <c r="DG136" s="9">
        <v>0</v>
      </c>
      <c r="DH136" s="9">
        <v>0</v>
      </c>
      <c r="DI136" s="9">
        <v>0</v>
      </c>
      <c r="DJ136" s="9">
        <v>0</v>
      </c>
      <c r="DK136" s="9">
        <v>5392</v>
      </c>
      <c r="DL136" s="9">
        <v>0</v>
      </c>
      <c r="DM136" s="9">
        <v>0</v>
      </c>
      <c r="DN136" s="9">
        <v>0</v>
      </c>
      <c r="DO136" s="9">
        <v>0</v>
      </c>
      <c r="DP136" s="9">
        <v>0</v>
      </c>
      <c r="DQ136" s="9">
        <v>0</v>
      </c>
      <c r="DR136" s="9">
        <v>0</v>
      </c>
      <c r="DS136" s="9">
        <v>0</v>
      </c>
      <c r="DT136" s="9">
        <v>0</v>
      </c>
      <c r="DU136" s="9">
        <v>0</v>
      </c>
      <c r="DV136" s="9">
        <v>0</v>
      </c>
      <c r="DW136" s="9">
        <v>0</v>
      </c>
      <c r="DX136" s="9">
        <v>0</v>
      </c>
      <c r="DY136" s="9">
        <v>0</v>
      </c>
      <c r="DZ136" s="9">
        <v>0</v>
      </c>
      <c r="EA136" s="9">
        <v>0</v>
      </c>
      <c r="EB136" s="9">
        <v>0</v>
      </c>
      <c r="EC136" s="9">
        <v>0</v>
      </c>
      <c r="ED136" s="9">
        <v>0</v>
      </c>
      <c r="EE136" s="9">
        <v>0</v>
      </c>
      <c r="EF136" s="9">
        <v>0</v>
      </c>
      <c r="EG136" s="9">
        <v>0</v>
      </c>
      <c r="EH136" s="9">
        <v>0</v>
      </c>
      <c r="EI136" s="9">
        <v>0</v>
      </c>
      <c r="EJ136" s="9">
        <v>0</v>
      </c>
      <c r="EK136" s="9">
        <v>0</v>
      </c>
      <c r="EL136" s="9">
        <v>0</v>
      </c>
      <c r="EM136" s="9">
        <v>0</v>
      </c>
      <c r="EN136" s="9">
        <v>0</v>
      </c>
      <c r="EO136" s="9">
        <v>0</v>
      </c>
      <c r="EP136" s="9">
        <v>0</v>
      </c>
      <c r="EQ136" s="9">
        <v>0</v>
      </c>
      <c r="ER136" s="9">
        <v>0</v>
      </c>
      <c r="ES136" s="9">
        <v>0</v>
      </c>
      <c r="ET136" s="9">
        <v>0</v>
      </c>
      <c r="EU136" s="9">
        <v>0</v>
      </c>
      <c r="EV136" s="9">
        <v>0</v>
      </c>
      <c r="EW136" s="9">
        <v>0</v>
      </c>
      <c r="EX136" s="9">
        <v>0</v>
      </c>
      <c r="EY136" s="9">
        <v>0</v>
      </c>
      <c r="EZ136" s="9">
        <v>0</v>
      </c>
      <c r="FA136" s="9">
        <v>0</v>
      </c>
      <c r="FB136" s="9">
        <v>0</v>
      </c>
      <c r="FC136" s="9">
        <v>0.97327799999999998</v>
      </c>
      <c r="FD136" s="9">
        <v>0</v>
      </c>
      <c r="FE136" s="9">
        <v>0</v>
      </c>
      <c r="FF136" s="9">
        <v>0</v>
      </c>
      <c r="FG136" s="9">
        <v>6.1239999999999996E-2</v>
      </c>
      <c r="FH136" s="9">
        <v>5.4803999999999999E-2</v>
      </c>
      <c r="FI136" s="9">
        <v>0</v>
      </c>
      <c r="FJ136" s="9">
        <v>0</v>
      </c>
      <c r="FK136" s="9">
        <v>0</v>
      </c>
      <c r="FL136" s="9">
        <v>0</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0</v>
      </c>
      <c r="GL136" s="9">
        <v>0</v>
      </c>
      <c r="GM136" s="9">
        <v>0</v>
      </c>
      <c r="GN136" s="9">
        <v>0</v>
      </c>
      <c r="GO136" s="9">
        <v>0</v>
      </c>
      <c r="GP136" s="9">
        <v>0</v>
      </c>
      <c r="GQ136" s="9">
        <v>0</v>
      </c>
      <c r="GR136" s="9">
        <v>0</v>
      </c>
      <c r="GS136" s="9">
        <v>0</v>
      </c>
      <c r="GT136" s="9">
        <v>0</v>
      </c>
      <c r="GU136" s="9">
        <v>0</v>
      </c>
      <c r="GV136" s="9">
        <v>0</v>
      </c>
      <c r="GW136" s="9">
        <v>0</v>
      </c>
      <c r="GX136" s="9">
        <v>0</v>
      </c>
      <c r="GY136" s="9">
        <v>0</v>
      </c>
      <c r="GZ136" s="9">
        <v>0</v>
      </c>
      <c r="HA136" s="9">
        <v>0</v>
      </c>
      <c r="HB136" s="9">
        <v>0</v>
      </c>
      <c r="HC136" s="9">
        <v>5.0923999999999997E-2</v>
      </c>
      <c r="HD136" s="9">
        <v>0</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0</v>
      </c>
    </row>
    <row r="137" spans="1:292" ht="13" x14ac:dyDescent="0.3">
      <c r="A137" s="9">
        <v>111801</v>
      </c>
      <c r="B137" s="9">
        <v>32570</v>
      </c>
      <c r="C137" s="9">
        <v>35</v>
      </c>
      <c r="D137" s="9">
        <v>2022</v>
      </c>
      <c r="E137" s="9">
        <v>5392</v>
      </c>
      <c r="F137" s="9">
        <v>0</v>
      </c>
      <c r="G137" s="9">
        <v>81.09</v>
      </c>
      <c r="H137" s="9">
        <v>68.963000000000008</v>
      </c>
      <c r="I137" s="9">
        <v>68.963000000000008</v>
      </c>
      <c r="J137" s="9">
        <v>81.09</v>
      </c>
      <c r="K137" s="9">
        <v>0</v>
      </c>
      <c r="L137" s="9">
        <v>6554</v>
      </c>
      <c r="M137" s="9">
        <v>0</v>
      </c>
      <c r="N137" s="9">
        <v>0</v>
      </c>
      <c r="O137" s="9">
        <v>0</v>
      </c>
      <c r="P137" s="9">
        <v>82.26400000000001</v>
      </c>
      <c r="Q137" s="9">
        <v>0</v>
      </c>
      <c r="R137" s="10">
        <v>26301</v>
      </c>
      <c r="S137" s="9">
        <v>319.71300000000002</v>
      </c>
      <c r="T137" s="9">
        <v>0</v>
      </c>
      <c r="U137" s="10">
        <v>26301</v>
      </c>
      <c r="V137" s="10">
        <v>0</v>
      </c>
      <c r="W137" s="10">
        <v>0</v>
      </c>
      <c r="X137" s="10">
        <v>0</v>
      </c>
      <c r="Y137" s="9">
        <v>0</v>
      </c>
      <c r="Z137" s="9">
        <v>0</v>
      </c>
      <c r="AA137" s="9">
        <v>1</v>
      </c>
      <c r="AB137" s="9">
        <v>1</v>
      </c>
      <c r="AC137" s="9">
        <v>0</v>
      </c>
      <c r="AD137" s="9" t="s">
        <v>314</v>
      </c>
      <c r="AE137" s="9">
        <v>0</v>
      </c>
      <c r="AF137" s="9">
        <v>0</v>
      </c>
      <c r="AG137" s="9">
        <v>0</v>
      </c>
      <c r="AH137" s="9">
        <v>0</v>
      </c>
      <c r="AI137" s="9">
        <v>0</v>
      </c>
      <c r="AJ137" s="9">
        <v>5104</v>
      </c>
      <c r="AK137" s="9" t="s">
        <v>651</v>
      </c>
      <c r="AL137" s="9" t="s">
        <v>461</v>
      </c>
      <c r="AM137" s="9">
        <v>0</v>
      </c>
      <c r="AN137" s="9">
        <v>0</v>
      </c>
      <c r="AO137" s="9">
        <v>0</v>
      </c>
      <c r="AP137" s="9">
        <v>0</v>
      </c>
      <c r="AQ137" s="9">
        <v>0</v>
      </c>
      <c r="AR137" s="9">
        <v>0</v>
      </c>
      <c r="AS137" s="9">
        <v>0</v>
      </c>
      <c r="AT137" s="9">
        <v>0</v>
      </c>
      <c r="AU137" s="9">
        <v>0</v>
      </c>
      <c r="AV137" s="9">
        <v>409</v>
      </c>
      <c r="AW137" s="9">
        <v>893697</v>
      </c>
      <c r="AX137" s="9">
        <v>856776</v>
      </c>
      <c r="AY137" s="9">
        <v>1010925</v>
      </c>
      <c r="AZ137" s="9">
        <v>47241</v>
      </c>
      <c r="BA137" s="10">
        <v>0</v>
      </c>
      <c r="BB137" s="9">
        <v>0</v>
      </c>
      <c r="BC137" s="9">
        <v>0</v>
      </c>
      <c r="BD137" s="9">
        <v>0</v>
      </c>
      <c r="BE137" s="9">
        <v>0</v>
      </c>
      <c r="BF137" s="9">
        <v>727407</v>
      </c>
      <c r="BG137" s="9">
        <v>0</v>
      </c>
      <c r="BH137" s="10">
        <v>76.147000000000006</v>
      </c>
      <c r="BI137" s="10">
        <v>20940</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10">
        <v>15981</v>
      </c>
      <c r="CI137" s="9">
        <v>0</v>
      </c>
      <c r="CJ137" s="9">
        <v>4</v>
      </c>
      <c r="CK137" s="9">
        <v>0</v>
      </c>
      <c r="CL137" s="9">
        <v>0</v>
      </c>
      <c r="CM137" s="9">
        <v>0</v>
      </c>
      <c r="CN137" s="9">
        <v>0</v>
      </c>
      <c r="CO137" s="9">
        <v>0</v>
      </c>
      <c r="CP137" s="9">
        <v>0</v>
      </c>
      <c r="CQ137" s="9">
        <v>0</v>
      </c>
      <c r="CR137" s="9">
        <v>82.26400000000001</v>
      </c>
      <c r="CS137" s="9">
        <v>0</v>
      </c>
      <c r="CT137" s="9">
        <v>0</v>
      </c>
      <c r="CU137" s="9">
        <v>0</v>
      </c>
      <c r="CV137" s="9">
        <v>0</v>
      </c>
      <c r="CW137" s="9">
        <v>0</v>
      </c>
      <c r="CX137" s="9">
        <v>0</v>
      </c>
      <c r="CY137" s="9">
        <v>0</v>
      </c>
      <c r="CZ137" s="9">
        <v>0</v>
      </c>
      <c r="DA137" s="9">
        <v>1</v>
      </c>
      <c r="DB137" s="9">
        <v>451984</v>
      </c>
      <c r="DC137" s="9">
        <v>0</v>
      </c>
      <c r="DD137" s="9">
        <v>0</v>
      </c>
      <c r="DE137" s="9">
        <v>0</v>
      </c>
      <c r="DF137" s="9">
        <v>0</v>
      </c>
      <c r="DG137" s="9">
        <v>0</v>
      </c>
      <c r="DH137" s="9">
        <v>0</v>
      </c>
      <c r="DI137" s="9">
        <v>0</v>
      </c>
      <c r="DJ137" s="9">
        <v>0</v>
      </c>
      <c r="DK137" s="9">
        <v>5392</v>
      </c>
      <c r="DL137" s="9">
        <v>0</v>
      </c>
      <c r="DM137" s="9">
        <v>283919</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283919</v>
      </c>
      <c r="EJ137" s="9">
        <v>10.83</v>
      </c>
      <c r="EK137" s="9">
        <v>0</v>
      </c>
      <c r="EL137" s="9">
        <v>0</v>
      </c>
      <c r="EM137" s="9">
        <v>0</v>
      </c>
      <c r="EN137" s="9">
        <v>0</v>
      </c>
      <c r="EO137" s="9">
        <v>0</v>
      </c>
      <c r="EP137" s="9">
        <v>0</v>
      </c>
      <c r="EQ137" s="9">
        <v>10.83</v>
      </c>
      <c r="ER137" s="9">
        <v>0</v>
      </c>
      <c r="ES137" s="9">
        <v>0</v>
      </c>
      <c r="ET137" s="10">
        <v>0</v>
      </c>
      <c r="EU137" s="9">
        <v>47241</v>
      </c>
      <c r="EV137" s="9">
        <v>0</v>
      </c>
      <c r="EW137" s="9">
        <v>0</v>
      </c>
      <c r="EX137" s="9">
        <v>0</v>
      </c>
      <c r="EY137" s="9">
        <v>0</v>
      </c>
      <c r="EZ137" s="9">
        <v>721078</v>
      </c>
      <c r="FA137" s="9">
        <v>0</v>
      </c>
      <c r="FB137" s="10">
        <v>768319</v>
      </c>
      <c r="FC137" s="9">
        <v>0.97327799999999998</v>
      </c>
      <c r="FD137" s="9">
        <v>0</v>
      </c>
      <c r="FE137" s="9">
        <v>110742</v>
      </c>
      <c r="FF137" s="9">
        <v>24956</v>
      </c>
      <c r="FG137" s="9">
        <v>6.1239999999999996E-2</v>
      </c>
      <c r="FH137" s="9">
        <v>5.4803999999999999E-2</v>
      </c>
      <c r="FI137" s="9">
        <v>0</v>
      </c>
      <c r="FJ137" s="9">
        <v>0</v>
      </c>
      <c r="FK137" s="9">
        <v>142.52200000000002</v>
      </c>
      <c r="FL137" s="9">
        <v>919998</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10">
        <v>11476</v>
      </c>
      <c r="GC137" s="10">
        <v>11476</v>
      </c>
      <c r="GD137" s="10">
        <v>1.2970000000000002</v>
      </c>
      <c r="GE137" s="9">
        <v>0</v>
      </c>
      <c r="GF137" s="9">
        <v>0</v>
      </c>
      <c r="GG137" s="9">
        <v>0</v>
      </c>
      <c r="GH137" s="9">
        <v>0</v>
      </c>
      <c r="GI137" s="9">
        <v>0</v>
      </c>
      <c r="GJ137" s="9">
        <v>0</v>
      </c>
      <c r="GK137" s="9">
        <v>0</v>
      </c>
      <c r="GL137" s="9">
        <v>0</v>
      </c>
      <c r="GM137" s="9">
        <v>0</v>
      </c>
      <c r="GN137" s="9">
        <v>0</v>
      </c>
      <c r="GO137" s="9">
        <v>0</v>
      </c>
      <c r="GP137" s="9">
        <v>904017</v>
      </c>
      <c r="GQ137" s="9">
        <v>904017</v>
      </c>
      <c r="GR137" s="9">
        <v>0</v>
      </c>
      <c r="GS137" s="9">
        <v>0</v>
      </c>
      <c r="GT137" s="9">
        <v>0</v>
      </c>
      <c r="GU137" s="9">
        <v>0</v>
      </c>
      <c r="GV137" s="9">
        <v>0</v>
      </c>
      <c r="GW137" s="9">
        <v>0</v>
      </c>
      <c r="GX137" s="9">
        <v>0</v>
      </c>
      <c r="GY137" s="9">
        <v>0</v>
      </c>
      <c r="GZ137" s="9">
        <v>0</v>
      </c>
      <c r="HA137" s="9">
        <v>0</v>
      </c>
      <c r="HB137" s="9">
        <v>260786259</v>
      </c>
      <c r="HC137" s="9">
        <v>5.0923999999999997E-2</v>
      </c>
      <c r="HD137" s="10">
        <v>15981</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32469</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row>
    <row r="138" spans="1:292" x14ac:dyDescent="0.25">
      <c r="A138" s="9">
        <v>123803</v>
      </c>
      <c r="B138" s="9">
        <v>32570</v>
      </c>
      <c r="C138" s="9">
        <v>35</v>
      </c>
      <c r="D138" s="9">
        <v>2022</v>
      </c>
      <c r="E138" s="9">
        <v>5392</v>
      </c>
      <c r="F138" s="9">
        <v>0</v>
      </c>
      <c r="G138" s="9">
        <v>361.31600000000003</v>
      </c>
      <c r="H138" s="9">
        <v>354.928</v>
      </c>
      <c r="I138" s="9">
        <v>354.928</v>
      </c>
      <c r="J138" s="9">
        <v>361.31600000000003</v>
      </c>
      <c r="K138" s="9">
        <v>0</v>
      </c>
      <c r="L138" s="9">
        <v>6554</v>
      </c>
      <c r="M138" s="9">
        <v>0</v>
      </c>
      <c r="N138" s="9">
        <v>0</v>
      </c>
      <c r="O138" s="9">
        <v>0</v>
      </c>
      <c r="P138" s="9">
        <v>354.89300000000003</v>
      </c>
      <c r="Q138" s="9">
        <v>0</v>
      </c>
      <c r="R138" s="9">
        <v>113464</v>
      </c>
      <c r="S138" s="9">
        <v>319.71300000000002</v>
      </c>
      <c r="T138" s="9">
        <v>0</v>
      </c>
      <c r="U138" s="9">
        <v>113464</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651</v>
      </c>
      <c r="AL138" s="9" t="s">
        <v>354</v>
      </c>
      <c r="AM138" s="9">
        <v>0</v>
      </c>
      <c r="AN138" s="9">
        <v>0</v>
      </c>
      <c r="AO138" s="9">
        <v>0</v>
      </c>
      <c r="AP138" s="9">
        <v>0</v>
      </c>
      <c r="AQ138" s="9">
        <v>0</v>
      </c>
      <c r="AR138" s="9">
        <v>0</v>
      </c>
      <c r="AS138" s="9">
        <v>0</v>
      </c>
      <c r="AT138" s="9">
        <v>0</v>
      </c>
      <c r="AU138" s="9">
        <v>0</v>
      </c>
      <c r="AV138" s="9">
        <v>182111</v>
      </c>
      <c r="AW138" s="9">
        <v>3635108</v>
      </c>
      <c r="AX138" s="9">
        <v>3524804</v>
      </c>
      <c r="AY138" s="9">
        <v>3888977</v>
      </c>
      <c r="AZ138" s="9">
        <v>135165</v>
      </c>
      <c r="BA138" s="9">
        <v>34</v>
      </c>
      <c r="BB138" s="9">
        <v>0</v>
      </c>
      <c r="BC138" s="9">
        <v>0</v>
      </c>
      <c r="BD138" s="9">
        <v>0</v>
      </c>
      <c r="BE138" s="9">
        <v>0</v>
      </c>
      <c r="BF138" s="9">
        <v>2969546</v>
      </c>
      <c r="BG138" s="9">
        <v>0</v>
      </c>
      <c r="BH138" s="9">
        <v>78.912999999999997</v>
      </c>
      <c r="BI138" s="9">
        <v>21701</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88603</v>
      </c>
      <c r="CI138" s="9">
        <v>0</v>
      </c>
      <c r="CJ138" s="9">
        <v>4</v>
      </c>
      <c r="CK138" s="9">
        <v>0</v>
      </c>
      <c r="CL138" s="9">
        <v>0</v>
      </c>
      <c r="CM138" s="9">
        <v>0</v>
      </c>
      <c r="CN138" s="9">
        <v>0</v>
      </c>
      <c r="CO138" s="9">
        <v>0</v>
      </c>
      <c r="CP138" s="9">
        <v>0</v>
      </c>
      <c r="CQ138" s="9">
        <v>1.5830000000000002</v>
      </c>
      <c r="CR138" s="9">
        <v>354.89300000000003</v>
      </c>
      <c r="CS138" s="9">
        <v>0</v>
      </c>
      <c r="CT138" s="9">
        <v>0</v>
      </c>
      <c r="CU138" s="9">
        <v>0</v>
      </c>
      <c r="CV138" s="9">
        <v>0</v>
      </c>
      <c r="CW138" s="9">
        <v>0</v>
      </c>
      <c r="CX138" s="9">
        <v>0</v>
      </c>
      <c r="CY138" s="9">
        <v>0</v>
      </c>
      <c r="CZ138" s="9">
        <v>0</v>
      </c>
      <c r="DA138" s="9">
        <v>1</v>
      </c>
      <c r="DB138" s="9">
        <v>2326198</v>
      </c>
      <c r="DC138" s="9">
        <v>0</v>
      </c>
      <c r="DD138" s="9">
        <v>0</v>
      </c>
      <c r="DE138" s="9">
        <v>600124</v>
      </c>
      <c r="DF138" s="9">
        <v>600124</v>
      </c>
      <c r="DG138" s="9">
        <v>457.83</v>
      </c>
      <c r="DH138" s="9">
        <v>0</v>
      </c>
      <c r="DI138" s="9">
        <v>0</v>
      </c>
      <c r="DJ138" s="9">
        <v>0</v>
      </c>
      <c r="DK138" s="9">
        <v>5392</v>
      </c>
      <c r="DL138" s="9">
        <v>0</v>
      </c>
      <c r="DM138" s="9">
        <v>69470</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8.9860000000000007</v>
      </c>
      <c r="ED138" s="9">
        <v>64784</v>
      </c>
      <c r="EE138" s="9">
        <v>0</v>
      </c>
      <c r="EF138" s="9">
        <v>0</v>
      </c>
      <c r="EG138" s="9">
        <v>0</v>
      </c>
      <c r="EH138" s="9">
        <v>4686</v>
      </c>
      <c r="EI138" s="9">
        <v>0</v>
      </c>
      <c r="EJ138" s="9">
        <v>0</v>
      </c>
      <c r="EK138" s="9">
        <v>0</v>
      </c>
      <c r="EL138" s="9">
        <v>0</v>
      </c>
      <c r="EM138" s="9">
        <v>0</v>
      </c>
      <c r="EN138" s="9">
        <v>0.14300000000000002</v>
      </c>
      <c r="EO138" s="9">
        <v>0</v>
      </c>
      <c r="EP138" s="9">
        <v>0</v>
      </c>
      <c r="EQ138" s="9">
        <v>0.14300000000000002</v>
      </c>
      <c r="ER138" s="9">
        <v>0</v>
      </c>
      <c r="ES138" s="9">
        <v>0.71500000000000008</v>
      </c>
      <c r="ET138" s="9">
        <v>17396</v>
      </c>
      <c r="EU138" s="9">
        <v>135165</v>
      </c>
      <c r="EV138" s="9">
        <v>0</v>
      </c>
      <c r="EW138" s="9">
        <v>0</v>
      </c>
      <c r="EX138" s="9">
        <v>0</v>
      </c>
      <c r="EY138" s="9">
        <v>0</v>
      </c>
      <c r="EZ138" s="9">
        <v>2970836</v>
      </c>
      <c r="FA138" s="9">
        <v>0</v>
      </c>
      <c r="FB138" s="9">
        <v>3106001</v>
      </c>
      <c r="FC138" s="9">
        <v>0.97327799999999998</v>
      </c>
      <c r="FD138" s="9">
        <v>0</v>
      </c>
      <c r="FE138" s="9">
        <v>452090</v>
      </c>
      <c r="FF138" s="9">
        <v>101878</v>
      </c>
      <c r="FG138" s="9">
        <v>6.1239999999999996E-2</v>
      </c>
      <c r="FH138" s="9">
        <v>5.4803999999999999E-2</v>
      </c>
      <c r="FI138" s="9">
        <v>0</v>
      </c>
      <c r="FJ138" s="9">
        <v>0</v>
      </c>
      <c r="FK138" s="9">
        <v>581.82799999999997</v>
      </c>
      <c r="FL138" s="9">
        <v>3748572</v>
      </c>
      <c r="FM138" s="9">
        <v>0</v>
      </c>
      <c r="FN138" s="9">
        <v>0</v>
      </c>
      <c r="FO138" s="9">
        <v>33222</v>
      </c>
      <c r="FP138" s="9">
        <v>0</v>
      </c>
      <c r="FQ138" s="9">
        <v>33222</v>
      </c>
      <c r="FR138" s="9">
        <v>33222</v>
      </c>
      <c r="FS138" s="9">
        <v>0</v>
      </c>
      <c r="FT138" s="9">
        <v>0</v>
      </c>
      <c r="FU138" s="9">
        <v>0</v>
      </c>
      <c r="FV138" s="9">
        <v>0</v>
      </c>
      <c r="FW138" s="9">
        <v>0</v>
      </c>
      <c r="FX138" s="9">
        <v>0</v>
      </c>
      <c r="FY138" s="9">
        <v>0</v>
      </c>
      <c r="FZ138" s="9">
        <v>31</v>
      </c>
      <c r="GA138" s="9">
        <v>0.61799999999999999</v>
      </c>
      <c r="GB138" s="9">
        <v>55286</v>
      </c>
      <c r="GC138" s="9">
        <v>55286</v>
      </c>
      <c r="GD138" s="9">
        <v>6.2450000000000001</v>
      </c>
      <c r="GE138" s="9">
        <v>0</v>
      </c>
      <c r="GF138" s="9">
        <v>0</v>
      </c>
      <c r="GG138" s="9">
        <v>0</v>
      </c>
      <c r="GH138" s="9">
        <v>0</v>
      </c>
      <c r="GI138" s="9">
        <v>0</v>
      </c>
      <c r="GJ138" s="9">
        <v>0</v>
      </c>
      <c r="GK138" s="9">
        <v>5375</v>
      </c>
      <c r="GL138" s="9">
        <v>12000</v>
      </c>
      <c r="GM138" s="9">
        <v>0</v>
      </c>
      <c r="GN138" s="9">
        <v>44080</v>
      </c>
      <c r="GO138" s="9">
        <v>0</v>
      </c>
      <c r="GP138" s="9">
        <v>3659969</v>
      </c>
      <c r="GQ138" s="9">
        <v>3659969</v>
      </c>
      <c r="GR138" s="9">
        <v>0</v>
      </c>
      <c r="GS138" s="9">
        <v>0</v>
      </c>
      <c r="GT138" s="9">
        <v>0</v>
      </c>
      <c r="GU138" s="9">
        <v>0</v>
      </c>
      <c r="GV138" s="9">
        <v>0</v>
      </c>
      <c r="GW138" s="9">
        <v>0</v>
      </c>
      <c r="GX138" s="9">
        <v>0</v>
      </c>
      <c r="GY138" s="9">
        <v>0</v>
      </c>
      <c r="GZ138" s="9">
        <v>0</v>
      </c>
      <c r="HA138" s="9">
        <v>0</v>
      </c>
      <c r="HB138" s="9">
        <v>260786259</v>
      </c>
      <c r="HC138" s="9">
        <v>5.0923999999999997E-2</v>
      </c>
      <c r="HD138" s="9">
        <v>71207</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32469</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row>
    <row r="139" spans="1:292" x14ac:dyDescent="0.25">
      <c r="A139" s="9">
        <v>123805</v>
      </c>
      <c r="B139" s="9">
        <v>32570</v>
      </c>
      <c r="C139" s="9">
        <v>35</v>
      </c>
      <c r="D139" s="9">
        <v>2022</v>
      </c>
      <c r="E139" s="9">
        <v>5392</v>
      </c>
      <c r="F139" s="9">
        <v>0</v>
      </c>
      <c r="G139" s="9">
        <v>429.21899999999999</v>
      </c>
      <c r="H139" s="9">
        <v>424.71300000000002</v>
      </c>
      <c r="I139" s="9">
        <v>424.71300000000002</v>
      </c>
      <c r="J139" s="9">
        <v>429.21899999999999</v>
      </c>
      <c r="K139" s="9">
        <v>0</v>
      </c>
      <c r="L139" s="9">
        <v>6554</v>
      </c>
      <c r="M139" s="9">
        <v>0</v>
      </c>
      <c r="N139" s="9">
        <v>0</v>
      </c>
      <c r="O139" s="9">
        <v>0</v>
      </c>
      <c r="P139" s="9">
        <v>408.14400000000001</v>
      </c>
      <c r="Q139" s="9">
        <v>0</v>
      </c>
      <c r="R139" s="9">
        <v>130489</v>
      </c>
      <c r="S139" s="9">
        <v>319.71300000000002</v>
      </c>
      <c r="T139" s="9">
        <v>0</v>
      </c>
      <c r="U139" s="9">
        <v>130489</v>
      </c>
      <c r="V139" s="9">
        <v>242.49</v>
      </c>
      <c r="W139" s="9">
        <v>158928</v>
      </c>
      <c r="X139" s="9">
        <v>158928</v>
      </c>
      <c r="Y139" s="9">
        <v>0</v>
      </c>
      <c r="Z139" s="9">
        <v>0</v>
      </c>
      <c r="AA139" s="9">
        <v>1</v>
      </c>
      <c r="AB139" s="9">
        <v>1</v>
      </c>
      <c r="AC139" s="9">
        <v>0</v>
      </c>
      <c r="AD139" s="9" t="s">
        <v>314</v>
      </c>
      <c r="AE139" s="9">
        <v>0</v>
      </c>
      <c r="AF139" s="9">
        <v>0</v>
      </c>
      <c r="AG139" s="9">
        <v>0</v>
      </c>
      <c r="AH139" s="9">
        <v>0</v>
      </c>
      <c r="AI139" s="9">
        <v>0</v>
      </c>
      <c r="AJ139" s="9">
        <v>5104</v>
      </c>
      <c r="AK139" s="9" t="s">
        <v>651</v>
      </c>
      <c r="AL139" s="9" t="s">
        <v>4</v>
      </c>
      <c r="AM139" s="9">
        <v>0</v>
      </c>
      <c r="AN139" s="9">
        <v>0</v>
      </c>
      <c r="AO139" s="9">
        <v>0</v>
      </c>
      <c r="AP139" s="9">
        <v>0</v>
      </c>
      <c r="AQ139" s="9">
        <v>0</v>
      </c>
      <c r="AR139" s="9">
        <v>0</v>
      </c>
      <c r="AS139" s="9">
        <v>0</v>
      </c>
      <c r="AT139" s="9">
        <v>0</v>
      </c>
      <c r="AU139" s="9">
        <v>0</v>
      </c>
      <c r="AV139" s="9">
        <v>91040</v>
      </c>
      <c r="AW139" s="9">
        <v>4411537</v>
      </c>
      <c r="AX139" s="9">
        <v>4326447</v>
      </c>
      <c r="AY139" s="9">
        <v>4771498</v>
      </c>
      <c r="AZ139" s="9">
        <v>130489</v>
      </c>
      <c r="BA139" s="9">
        <v>1</v>
      </c>
      <c r="BB139" s="9">
        <v>12524</v>
      </c>
      <c r="BC139" s="9">
        <v>12524</v>
      </c>
      <c r="BD139" s="9">
        <v>15.924000000000001</v>
      </c>
      <c r="BE139" s="9">
        <v>0</v>
      </c>
      <c r="BF139" s="9">
        <v>3671265</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85090</v>
      </c>
      <c r="CI139" s="9">
        <v>0</v>
      </c>
      <c r="CJ139" s="9">
        <v>4</v>
      </c>
      <c r="CK139" s="9">
        <v>0</v>
      </c>
      <c r="CL139" s="9">
        <v>0</v>
      </c>
      <c r="CM139" s="9">
        <v>0</v>
      </c>
      <c r="CN139" s="9">
        <v>0</v>
      </c>
      <c r="CO139" s="9">
        <v>0</v>
      </c>
      <c r="CP139" s="9">
        <v>0</v>
      </c>
      <c r="CQ139" s="9">
        <v>0</v>
      </c>
      <c r="CR139" s="9">
        <v>408.14400000000001</v>
      </c>
      <c r="CS139" s="9">
        <v>0</v>
      </c>
      <c r="CT139" s="9">
        <v>0</v>
      </c>
      <c r="CU139" s="9">
        <v>0</v>
      </c>
      <c r="CV139" s="9">
        <v>0</v>
      </c>
      <c r="CW139" s="9">
        <v>0</v>
      </c>
      <c r="CX139" s="9">
        <v>0</v>
      </c>
      <c r="CY139" s="9">
        <v>0</v>
      </c>
      <c r="CZ139" s="9">
        <v>0</v>
      </c>
      <c r="DA139" s="9">
        <v>1</v>
      </c>
      <c r="DB139" s="9">
        <v>2783569</v>
      </c>
      <c r="DC139" s="9">
        <v>0</v>
      </c>
      <c r="DD139" s="9">
        <v>0</v>
      </c>
      <c r="DE139" s="9">
        <v>536773</v>
      </c>
      <c r="DF139" s="9">
        <v>536773</v>
      </c>
      <c r="DG139" s="9">
        <v>409.5</v>
      </c>
      <c r="DH139" s="9">
        <v>0</v>
      </c>
      <c r="DI139" s="9">
        <v>0</v>
      </c>
      <c r="DJ139" s="9">
        <v>0</v>
      </c>
      <c r="DK139" s="9">
        <v>5392</v>
      </c>
      <c r="DL139" s="9">
        <v>0</v>
      </c>
      <c r="DM139" s="9">
        <v>280270</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22.822000000000003</v>
      </c>
      <c r="ED139" s="9">
        <v>164533</v>
      </c>
      <c r="EE139" s="9">
        <v>0</v>
      </c>
      <c r="EF139" s="9">
        <v>0</v>
      </c>
      <c r="EG139" s="9">
        <v>0</v>
      </c>
      <c r="EH139" s="9">
        <v>36224</v>
      </c>
      <c r="EI139" s="9">
        <v>79513</v>
      </c>
      <c r="EJ139" s="9">
        <v>3.0330000000000004</v>
      </c>
      <c r="EK139" s="9">
        <v>0.91900000000000004</v>
      </c>
      <c r="EL139" s="9">
        <v>0</v>
      </c>
      <c r="EM139" s="9">
        <v>0</v>
      </c>
      <c r="EN139" s="9">
        <v>0.55400000000000005</v>
      </c>
      <c r="EO139" s="9">
        <v>0</v>
      </c>
      <c r="EP139" s="9">
        <v>0</v>
      </c>
      <c r="EQ139" s="9">
        <v>4.5060000000000002</v>
      </c>
      <c r="ER139" s="9">
        <v>0</v>
      </c>
      <c r="ES139" s="9">
        <v>5.5270000000000001</v>
      </c>
      <c r="ET139" s="9">
        <v>500</v>
      </c>
      <c r="EU139" s="9">
        <v>130489</v>
      </c>
      <c r="EV139" s="9">
        <v>0</v>
      </c>
      <c r="EW139" s="9">
        <v>0</v>
      </c>
      <c r="EX139" s="9">
        <v>0</v>
      </c>
      <c r="EY139" s="9">
        <v>0</v>
      </c>
      <c r="EZ139" s="9">
        <v>3641575</v>
      </c>
      <c r="FA139" s="9">
        <v>0</v>
      </c>
      <c r="FB139" s="9">
        <v>3772064</v>
      </c>
      <c r="FC139" s="9">
        <v>0.97327799999999998</v>
      </c>
      <c r="FD139" s="9">
        <v>0</v>
      </c>
      <c r="FE139" s="9">
        <v>558920</v>
      </c>
      <c r="FF139" s="9">
        <v>125952</v>
      </c>
      <c r="FG139" s="9">
        <v>6.1239999999999996E-2</v>
      </c>
      <c r="FH139" s="9">
        <v>5.4803999999999999E-2</v>
      </c>
      <c r="FI139" s="9">
        <v>0</v>
      </c>
      <c r="FJ139" s="9">
        <v>0</v>
      </c>
      <c r="FK139" s="9">
        <v>719.31600000000003</v>
      </c>
      <c r="FL139" s="9">
        <v>4542026</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4456936</v>
      </c>
      <c r="GQ139" s="9">
        <v>4456936</v>
      </c>
      <c r="GR139" s="9">
        <v>0</v>
      </c>
      <c r="GS139" s="9">
        <v>0</v>
      </c>
      <c r="GT139" s="9">
        <v>0</v>
      </c>
      <c r="GU139" s="9">
        <v>0</v>
      </c>
      <c r="GV139" s="9">
        <v>0</v>
      </c>
      <c r="GW139" s="9">
        <v>0</v>
      </c>
      <c r="GX139" s="9">
        <v>0</v>
      </c>
      <c r="GY139" s="9">
        <v>0</v>
      </c>
      <c r="GZ139" s="9">
        <v>0</v>
      </c>
      <c r="HA139" s="9">
        <v>0</v>
      </c>
      <c r="HB139" s="9">
        <v>260786259</v>
      </c>
      <c r="HC139" s="9">
        <v>5.0923999999999997E-2</v>
      </c>
      <c r="HD139" s="9">
        <v>84590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32469</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row>
    <row r="140" spans="1:292" x14ac:dyDescent="0.25">
      <c r="A140" s="9">
        <v>123807</v>
      </c>
      <c r="B140" s="9">
        <v>32570</v>
      </c>
      <c r="C140" s="9">
        <v>35</v>
      </c>
      <c r="D140" s="9">
        <v>2022</v>
      </c>
      <c r="E140" s="9">
        <v>5392</v>
      </c>
      <c r="F140" s="9">
        <v>0</v>
      </c>
      <c r="G140" s="9">
        <v>1632.4350000000002</v>
      </c>
      <c r="H140" s="9">
        <v>1441.9870000000001</v>
      </c>
      <c r="I140" s="9">
        <v>1441.9870000000001</v>
      </c>
      <c r="J140" s="9">
        <v>1632.4350000000002</v>
      </c>
      <c r="K140" s="9">
        <v>0</v>
      </c>
      <c r="L140" s="9">
        <v>6554</v>
      </c>
      <c r="M140" s="9">
        <v>0</v>
      </c>
      <c r="N140" s="9">
        <v>0</v>
      </c>
      <c r="O140" s="9">
        <v>0</v>
      </c>
      <c r="P140" s="9">
        <v>1279.3630000000001</v>
      </c>
      <c r="Q140" s="9">
        <v>0</v>
      </c>
      <c r="R140" s="9">
        <v>409029</v>
      </c>
      <c r="S140" s="9">
        <v>319.71300000000002</v>
      </c>
      <c r="T140" s="9">
        <v>0</v>
      </c>
      <c r="U140" s="9">
        <v>409029</v>
      </c>
      <c r="V140" s="9">
        <v>678.21900000000005</v>
      </c>
      <c r="W140" s="9">
        <v>444505</v>
      </c>
      <c r="X140" s="9">
        <v>444505</v>
      </c>
      <c r="Y140" s="9">
        <v>0</v>
      </c>
      <c r="Z140" s="9">
        <v>0</v>
      </c>
      <c r="AA140" s="9">
        <v>1</v>
      </c>
      <c r="AB140" s="9">
        <v>1</v>
      </c>
      <c r="AC140" s="9">
        <v>0</v>
      </c>
      <c r="AD140" s="9" t="s">
        <v>314</v>
      </c>
      <c r="AE140" s="9">
        <v>0</v>
      </c>
      <c r="AF140" s="9">
        <v>0</v>
      </c>
      <c r="AG140" s="9">
        <v>0</v>
      </c>
      <c r="AH140" s="9">
        <v>0</v>
      </c>
      <c r="AI140" s="9">
        <v>0</v>
      </c>
      <c r="AJ140" s="9">
        <v>5104</v>
      </c>
      <c r="AK140" s="9" t="s">
        <v>651</v>
      </c>
      <c r="AL140" s="9" t="s">
        <v>355</v>
      </c>
      <c r="AM140" s="9">
        <v>0</v>
      </c>
      <c r="AN140" s="9">
        <v>0</v>
      </c>
      <c r="AO140" s="9">
        <v>0</v>
      </c>
      <c r="AP140" s="9">
        <v>0</v>
      </c>
      <c r="AQ140" s="9">
        <v>0</v>
      </c>
      <c r="AR140" s="9">
        <v>0</v>
      </c>
      <c r="AS140" s="9">
        <v>0</v>
      </c>
      <c r="AT140" s="9">
        <v>0</v>
      </c>
      <c r="AU140" s="9">
        <v>0</v>
      </c>
      <c r="AV140" s="9">
        <v>456</v>
      </c>
      <c r="AW140" s="9">
        <v>16617984</v>
      </c>
      <c r="AX140" s="9">
        <v>16184189</v>
      </c>
      <c r="AY140" s="9">
        <v>17594564</v>
      </c>
      <c r="AZ140" s="9">
        <v>521107</v>
      </c>
      <c r="BA140" s="9">
        <v>0</v>
      </c>
      <c r="BB140" s="9">
        <v>0</v>
      </c>
      <c r="BC140" s="9">
        <v>0</v>
      </c>
      <c r="BD140" s="9">
        <v>0</v>
      </c>
      <c r="BE140" s="9">
        <v>0</v>
      </c>
      <c r="BF140" s="9">
        <v>13651642</v>
      </c>
      <c r="BG140" s="9">
        <v>0</v>
      </c>
      <c r="BH140" s="9">
        <v>407.55600000000004</v>
      </c>
      <c r="BI140" s="9">
        <v>112078</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9">
        <v>321717</v>
      </c>
      <c r="CI140" s="9">
        <v>0</v>
      </c>
      <c r="CJ140" s="9">
        <v>4</v>
      </c>
      <c r="CK140" s="9">
        <v>0</v>
      </c>
      <c r="CL140" s="9">
        <v>0</v>
      </c>
      <c r="CM140" s="9">
        <v>0</v>
      </c>
      <c r="CN140" s="9">
        <v>0</v>
      </c>
      <c r="CO140" s="9">
        <v>0</v>
      </c>
      <c r="CP140" s="9">
        <v>0</v>
      </c>
      <c r="CQ140" s="9">
        <v>0</v>
      </c>
      <c r="CR140" s="9">
        <v>1279.3630000000001</v>
      </c>
      <c r="CS140" s="9">
        <v>0</v>
      </c>
      <c r="CT140" s="9">
        <v>0</v>
      </c>
      <c r="CU140" s="9">
        <v>0</v>
      </c>
      <c r="CV140" s="9">
        <v>0</v>
      </c>
      <c r="CW140" s="9">
        <v>0</v>
      </c>
      <c r="CX140" s="9">
        <v>0</v>
      </c>
      <c r="CY140" s="9">
        <v>0</v>
      </c>
      <c r="CZ140" s="9">
        <v>0</v>
      </c>
      <c r="DA140" s="9">
        <v>1</v>
      </c>
      <c r="DB140" s="9">
        <v>9450783</v>
      </c>
      <c r="DC140" s="9">
        <v>0</v>
      </c>
      <c r="DD140" s="9">
        <v>0</v>
      </c>
      <c r="DE140" s="9">
        <v>2090503</v>
      </c>
      <c r="DF140" s="9">
        <v>2090503</v>
      </c>
      <c r="DG140" s="9">
        <v>1594.83</v>
      </c>
      <c r="DH140" s="9">
        <v>0</v>
      </c>
      <c r="DI140" s="9">
        <v>0</v>
      </c>
      <c r="DJ140" s="9">
        <v>0</v>
      </c>
      <c r="DK140" s="9">
        <v>5392</v>
      </c>
      <c r="DL140" s="9">
        <v>0</v>
      </c>
      <c r="DM140" s="9">
        <v>582101</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8.1710000000000012</v>
      </c>
      <c r="ED140" s="9">
        <v>58908</v>
      </c>
      <c r="EE140" s="9">
        <v>0</v>
      </c>
      <c r="EF140" s="9">
        <v>0</v>
      </c>
      <c r="EG140" s="9">
        <v>0</v>
      </c>
      <c r="EH140" s="9">
        <v>523193</v>
      </c>
      <c r="EI140" s="9">
        <v>0</v>
      </c>
      <c r="EJ140" s="9">
        <v>0</v>
      </c>
      <c r="EK140" s="9">
        <v>17.376000000000001</v>
      </c>
      <c r="EL140" s="9">
        <v>0</v>
      </c>
      <c r="EM140" s="9">
        <v>6.9850000000000003</v>
      </c>
      <c r="EN140" s="9">
        <v>1.349</v>
      </c>
      <c r="EO140" s="9">
        <v>0</v>
      </c>
      <c r="EP140" s="9">
        <v>0</v>
      </c>
      <c r="EQ140" s="9">
        <v>25.71</v>
      </c>
      <c r="ER140" s="9">
        <v>0</v>
      </c>
      <c r="ES140" s="9">
        <v>79.828000000000003</v>
      </c>
      <c r="ET140" s="9">
        <v>0</v>
      </c>
      <c r="EU140" s="9">
        <v>521107</v>
      </c>
      <c r="EV140" s="9">
        <v>0</v>
      </c>
      <c r="EW140" s="9">
        <v>0</v>
      </c>
      <c r="EX140" s="9">
        <v>0</v>
      </c>
      <c r="EY140" s="9">
        <v>0</v>
      </c>
      <c r="EZ140" s="9">
        <v>13637482</v>
      </c>
      <c r="FA140" s="9">
        <v>0</v>
      </c>
      <c r="FB140" s="9">
        <v>14158589</v>
      </c>
      <c r="FC140" s="9">
        <v>0.97327799999999998</v>
      </c>
      <c r="FD140" s="9">
        <v>0</v>
      </c>
      <c r="FE140" s="9">
        <v>2078353</v>
      </c>
      <c r="FF140" s="9">
        <v>468354</v>
      </c>
      <c r="FG140" s="9">
        <v>6.1239999999999996E-2</v>
      </c>
      <c r="FH140" s="9">
        <v>5.4803999999999999E-2</v>
      </c>
      <c r="FI140" s="9">
        <v>0</v>
      </c>
      <c r="FJ140" s="9">
        <v>0</v>
      </c>
      <c r="FK140" s="9">
        <v>2674.7870000000003</v>
      </c>
      <c r="FL140" s="9">
        <v>17027013</v>
      </c>
      <c r="FM140" s="9">
        <v>0</v>
      </c>
      <c r="FN140" s="9">
        <v>0</v>
      </c>
      <c r="FO140" s="9">
        <v>11339</v>
      </c>
      <c r="FP140" s="9">
        <v>6199</v>
      </c>
      <c r="FQ140" s="9">
        <v>20047</v>
      </c>
      <c r="FR140" s="9">
        <v>11339</v>
      </c>
      <c r="FS140" s="9">
        <v>2509</v>
      </c>
      <c r="FT140" s="9">
        <v>0</v>
      </c>
      <c r="FU140" s="9">
        <v>0</v>
      </c>
      <c r="FV140" s="9">
        <v>0</v>
      </c>
      <c r="FW140" s="9">
        <v>0</v>
      </c>
      <c r="FX140" s="9">
        <v>0</v>
      </c>
      <c r="FY140" s="9">
        <v>0</v>
      </c>
      <c r="FZ140" s="9">
        <v>986</v>
      </c>
      <c r="GA140" s="9">
        <v>19.728999999999999</v>
      </c>
      <c r="GB140" s="9">
        <v>1458572</v>
      </c>
      <c r="GC140" s="9">
        <v>1458572</v>
      </c>
      <c r="GD140" s="9">
        <v>164.738</v>
      </c>
      <c r="GE140" s="9">
        <v>0</v>
      </c>
      <c r="GF140" s="9">
        <v>0</v>
      </c>
      <c r="GG140" s="9">
        <v>0</v>
      </c>
      <c r="GH140" s="9">
        <v>0</v>
      </c>
      <c r="GI140" s="9">
        <v>0</v>
      </c>
      <c r="GJ140" s="9">
        <v>0</v>
      </c>
      <c r="GK140" s="9">
        <v>4971</v>
      </c>
      <c r="GL140" s="9">
        <v>0</v>
      </c>
      <c r="GM140" s="9">
        <v>0</v>
      </c>
      <c r="GN140" s="9">
        <v>0</v>
      </c>
      <c r="GO140" s="9">
        <v>0</v>
      </c>
      <c r="GP140" s="9">
        <v>16705296</v>
      </c>
      <c r="GQ140" s="9">
        <v>16705296</v>
      </c>
      <c r="GR140" s="9">
        <v>0</v>
      </c>
      <c r="GS140" s="9">
        <v>0</v>
      </c>
      <c r="GT140" s="9">
        <v>0</v>
      </c>
      <c r="GU140" s="9">
        <v>0</v>
      </c>
      <c r="GV140" s="9">
        <v>0</v>
      </c>
      <c r="GW140" s="9">
        <v>0</v>
      </c>
      <c r="GX140" s="9">
        <v>0</v>
      </c>
      <c r="GY140" s="9">
        <v>0</v>
      </c>
      <c r="GZ140" s="9">
        <v>0</v>
      </c>
      <c r="HA140" s="9">
        <v>0</v>
      </c>
      <c r="HB140" s="9">
        <v>260786259</v>
      </c>
      <c r="HC140" s="9">
        <v>5.0923999999999997E-2</v>
      </c>
      <c r="HD140" s="9">
        <v>321717</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32469</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row>
    <row r="141" spans="1:292" ht="13" x14ac:dyDescent="0.3">
      <c r="A141" s="9">
        <v>130801</v>
      </c>
      <c r="B141" s="9">
        <v>32570</v>
      </c>
      <c r="C141" s="9">
        <v>35</v>
      </c>
      <c r="D141" s="9">
        <v>2022</v>
      </c>
      <c r="E141" s="9">
        <v>5392</v>
      </c>
      <c r="F141" s="9">
        <v>0</v>
      </c>
      <c r="G141" s="9">
        <v>86.275000000000006</v>
      </c>
      <c r="H141" s="9">
        <v>55.627000000000002</v>
      </c>
      <c r="I141" s="9">
        <v>55.627000000000002</v>
      </c>
      <c r="J141" s="9">
        <v>86.275000000000006</v>
      </c>
      <c r="K141" s="9">
        <v>0</v>
      </c>
      <c r="L141" s="9">
        <v>6554</v>
      </c>
      <c r="M141" s="9">
        <v>0</v>
      </c>
      <c r="N141" s="9">
        <v>0</v>
      </c>
      <c r="O141" s="9">
        <v>0</v>
      </c>
      <c r="P141" s="9">
        <v>107.465</v>
      </c>
      <c r="Q141" s="9">
        <v>0</v>
      </c>
      <c r="R141" s="10">
        <v>34358</v>
      </c>
      <c r="S141" s="9">
        <v>319.71300000000002</v>
      </c>
      <c r="T141" s="9">
        <v>0</v>
      </c>
      <c r="U141" s="10">
        <v>34358</v>
      </c>
      <c r="V141" s="10">
        <v>0</v>
      </c>
      <c r="W141" s="10">
        <v>0</v>
      </c>
      <c r="X141" s="10">
        <v>0</v>
      </c>
      <c r="Y141" s="9">
        <v>0</v>
      </c>
      <c r="Z141" s="9">
        <v>0</v>
      </c>
      <c r="AA141" s="9">
        <v>1</v>
      </c>
      <c r="AB141" s="9">
        <v>1</v>
      </c>
      <c r="AC141" s="9">
        <v>0</v>
      </c>
      <c r="AD141" s="9" t="s">
        <v>314</v>
      </c>
      <c r="AE141" s="9">
        <v>0</v>
      </c>
      <c r="AF141" s="9">
        <v>0</v>
      </c>
      <c r="AG141" s="9">
        <v>0</v>
      </c>
      <c r="AH141" s="9">
        <v>0</v>
      </c>
      <c r="AI141" s="9">
        <v>0</v>
      </c>
      <c r="AJ141" s="9">
        <v>5104</v>
      </c>
      <c r="AK141" s="9" t="s">
        <v>651</v>
      </c>
      <c r="AL141" s="9" t="s">
        <v>441</v>
      </c>
      <c r="AM141" s="9">
        <v>0</v>
      </c>
      <c r="AN141" s="9">
        <v>0</v>
      </c>
      <c r="AO141" s="9">
        <v>0</v>
      </c>
      <c r="AP141" s="9">
        <v>0</v>
      </c>
      <c r="AQ141" s="9">
        <v>0</v>
      </c>
      <c r="AR141" s="9">
        <v>0</v>
      </c>
      <c r="AS141" s="9">
        <v>0</v>
      </c>
      <c r="AT141" s="9">
        <v>0</v>
      </c>
      <c r="AU141" s="9">
        <v>0</v>
      </c>
      <c r="AV141" s="9">
        <v>121986</v>
      </c>
      <c r="AW141" s="9">
        <v>1509476</v>
      </c>
      <c r="AX141" s="9">
        <v>1482025</v>
      </c>
      <c r="AY141" s="9">
        <v>1476299</v>
      </c>
      <c r="AZ141" s="9">
        <v>44806</v>
      </c>
      <c r="BA141" s="10">
        <v>0</v>
      </c>
      <c r="BB141" s="9">
        <v>0</v>
      </c>
      <c r="BC141" s="9">
        <v>0</v>
      </c>
      <c r="BD141" s="9">
        <v>0</v>
      </c>
      <c r="BE141" s="9">
        <v>0</v>
      </c>
      <c r="BF141" s="9">
        <v>1249073</v>
      </c>
      <c r="BG141" s="9">
        <v>0</v>
      </c>
      <c r="BH141" s="10">
        <v>37.993000000000002</v>
      </c>
      <c r="BI141" s="10">
        <v>10448</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10">
        <v>17003</v>
      </c>
      <c r="CI141" s="9">
        <v>0</v>
      </c>
      <c r="CJ141" s="9">
        <v>4</v>
      </c>
      <c r="CK141" s="9">
        <v>0</v>
      </c>
      <c r="CL141" s="9">
        <v>0</v>
      </c>
      <c r="CM141" s="9">
        <v>0</v>
      </c>
      <c r="CN141" s="9">
        <v>0</v>
      </c>
      <c r="CO141" s="9">
        <v>0</v>
      </c>
      <c r="CP141" s="9">
        <v>0</v>
      </c>
      <c r="CQ141" s="9">
        <v>0</v>
      </c>
      <c r="CR141" s="9">
        <v>107.465</v>
      </c>
      <c r="CS141" s="9">
        <v>0</v>
      </c>
      <c r="CT141" s="9">
        <v>0</v>
      </c>
      <c r="CU141" s="9">
        <v>0</v>
      </c>
      <c r="CV141" s="9">
        <v>0</v>
      </c>
      <c r="CW141" s="9">
        <v>0</v>
      </c>
      <c r="CX141" s="9">
        <v>0</v>
      </c>
      <c r="CY141" s="9">
        <v>0</v>
      </c>
      <c r="CZ141" s="9">
        <v>0</v>
      </c>
      <c r="DA141" s="9">
        <v>1</v>
      </c>
      <c r="DB141" s="9">
        <v>364579</v>
      </c>
      <c r="DC141" s="9">
        <v>0</v>
      </c>
      <c r="DD141" s="9">
        <v>0</v>
      </c>
      <c r="DE141" s="9">
        <v>146377</v>
      </c>
      <c r="DF141" s="9">
        <v>146377</v>
      </c>
      <c r="DG141" s="9">
        <v>111.67</v>
      </c>
      <c r="DH141" s="9">
        <v>0</v>
      </c>
      <c r="DI141" s="9">
        <v>0</v>
      </c>
      <c r="DJ141" s="9">
        <v>0</v>
      </c>
      <c r="DK141" s="9">
        <v>5392</v>
      </c>
      <c r="DL141" s="9">
        <v>0</v>
      </c>
      <c r="DM141" s="9">
        <v>748443</v>
      </c>
      <c r="DN141" s="9">
        <v>0</v>
      </c>
      <c r="DO141" s="9">
        <v>0</v>
      </c>
      <c r="DP141" s="9">
        <v>0</v>
      </c>
      <c r="DQ141" s="9">
        <v>0</v>
      </c>
      <c r="DR141" s="9">
        <v>0</v>
      </c>
      <c r="DS141" s="9">
        <v>0</v>
      </c>
      <c r="DT141" s="9">
        <v>0</v>
      </c>
      <c r="DU141" s="9">
        <v>0</v>
      </c>
      <c r="DV141" s="9">
        <v>0</v>
      </c>
      <c r="DW141" s="9">
        <v>0</v>
      </c>
      <c r="DX141" s="9">
        <v>0</v>
      </c>
      <c r="DY141" s="9">
        <v>0</v>
      </c>
      <c r="DZ141" s="9">
        <v>0</v>
      </c>
      <c r="EA141" s="9">
        <v>0</v>
      </c>
      <c r="EB141" s="9">
        <v>0</v>
      </c>
      <c r="EC141" s="9">
        <v>2.2749999999999999</v>
      </c>
      <c r="ED141" s="9">
        <v>16401</v>
      </c>
      <c r="EE141" s="9">
        <v>0</v>
      </c>
      <c r="EF141" s="9">
        <v>0</v>
      </c>
      <c r="EG141" s="9">
        <v>0</v>
      </c>
      <c r="EH141" s="9">
        <v>9398</v>
      </c>
      <c r="EI141" s="9">
        <v>722644</v>
      </c>
      <c r="EJ141" s="9">
        <v>27.565000000000001</v>
      </c>
      <c r="EK141" s="9">
        <v>9.4E-2</v>
      </c>
      <c r="EL141" s="9">
        <v>0</v>
      </c>
      <c r="EM141" s="9">
        <v>0.124</v>
      </c>
      <c r="EN141" s="9">
        <v>0.156</v>
      </c>
      <c r="EO141" s="9">
        <v>0</v>
      </c>
      <c r="EP141" s="9">
        <v>0</v>
      </c>
      <c r="EQ141" s="9">
        <v>27.939</v>
      </c>
      <c r="ER141" s="9">
        <v>0</v>
      </c>
      <c r="ES141" s="9">
        <v>1.4340000000000002</v>
      </c>
      <c r="ET141" s="10">
        <v>0</v>
      </c>
      <c r="EU141" s="9">
        <v>44806</v>
      </c>
      <c r="EV141" s="9">
        <v>0</v>
      </c>
      <c r="EW141" s="9">
        <v>0</v>
      </c>
      <c r="EX141" s="9">
        <v>0</v>
      </c>
      <c r="EY141" s="9">
        <v>0</v>
      </c>
      <c r="EZ141" s="9">
        <v>1249010</v>
      </c>
      <c r="FA141" s="9">
        <v>0</v>
      </c>
      <c r="FB141" s="10">
        <v>1293816</v>
      </c>
      <c r="FC141" s="9">
        <v>0.97327799999999998</v>
      </c>
      <c r="FD141" s="9">
        <v>0</v>
      </c>
      <c r="FE141" s="9">
        <v>190162</v>
      </c>
      <c r="FF141" s="9">
        <v>42853</v>
      </c>
      <c r="FG141" s="9">
        <v>6.1239999999999996E-2</v>
      </c>
      <c r="FH141" s="9">
        <v>5.4803999999999999E-2</v>
      </c>
      <c r="FI141" s="9">
        <v>0</v>
      </c>
      <c r="FJ141" s="9">
        <v>0</v>
      </c>
      <c r="FK141" s="9">
        <v>244.733</v>
      </c>
      <c r="FL141" s="9">
        <v>1543834</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10">
        <v>23969</v>
      </c>
      <c r="GC141" s="10">
        <v>23969</v>
      </c>
      <c r="GD141" s="10">
        <v>2.7090000000000001</v>
      </c>
      <c r="GE141" s="9">
        <v>0</v>
      </c>
      <c r="GF141" s="9">
        <v>0</v>
      </c>
      <c r="GG141" s="9">
        <v>0</v>
      </c>
      <c r="GH141" s="9">
        <v>0</v>
      </c>
      <c r="GI141" s="9">
        <v>0</v>
      </c>
      <c r="GJ141" s="9">
        <v>0</v>
      </c>
      <c r="GK141" s="9">
        <v>5022</v>
      </c>
      <c r="GL141" s="9">
        <v>2399</v>
      </c>
      <c r="GM141" s="9">
        <v>0</v>
      </c>
      <c r="GN141" s="9">
        <v>0</v>
      </c>
      <c r="GO141" s="9">
        <v>0</v>
      </c>
      <c r="GP141" s="9">
        <v>1526831</v>
      </c>
      <c r="GQ141" s="9">
        <v>1526831</v>
      </c>
      <c r="GR141" s="9">
        <v>0</v>
      </c>
      <c r="GS141" s="9">
        <v>0</v>
      </c>
      <c r="GT141" s="9">
        <v>0</v>
      </c>
      <c r="GU141" s="9">
        <v>0</v>
      </c>
      <c r="GV141" s="9">
        <v>0</v>
      </c>
      <c r="GW141" s="9">
        <v>0</v>
      </c>
      <c r="GX141" s="9">
        <v>0</v>
      </c>
      <c r="GY141" s="9">
        <v>0</v>
      </c>
      <c r="GZ141" s="9">
        <v>0</v>
      </c>
      <c r="HA141" s="9">
        <v>0</v>
      </c>
      <c r="HB141" s="9">
        <v>260786259</v>
      </c>
      <c r="HC141" s="9">
        <v>5.0923999999999997E-2</v>
      </c>
      <c r="HD141" s="10">
        <v>17003</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32469</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row>
    <row r="142" spans="1:292" x14ac:dyDescent="0.25">
      <c r="A142" s="9">
        <v>152802</v>
      </c>
      <c r="B142" s="9">
        <v>32570</v>
      </c>
      <c r="C142" s="9">
        <v>35</v>
      </c>
      <c r="D142" s="9">
        <v>2022</v>
      </c>
      <c r="E142" s="9">
        <v>5392</v>
      </c>
      <c r="F142" s="9">
        <v>0</v>
      </c>
      <c r="G142" s="9">
        <v>244.02700000000002</v>
      </c>
      <c r="H142" s="9">
        <v>239.87300000000002</v>
      </c>
      <c r="I142" s="9">
        <v>239.87300000000002</v>
      </c>
      <c r="J142" s="9">
        <v>244.02700000000002</v>
      </c>
      <c r="K142" s="9">
        <v>0</v>
      </c>
      <c r="L142" s="9">
        <v>6554</v>
      </c>
      <c r="M142" s="9">
        <v>0</v>
      </c>
      <c r="N142" s="9">
        <v>0</v>
      </c>
      <c r="O142" s="9">
        <v>0</v>
      </c>
      <c r="P142" s="9">
        <v>243.13</v>
      </c>
      <c r="Q142" s="9">
        <v>0</v>
      </c>
      <c r="R142" s="9">
        <v>77732</v>
      </c>
      <c r="S142" s="9">
        <v>319.71300000000002</v>
      </c>
      <c r="T142" s="9">
        <v>0</v>
      </c>
      <c r="U142" s="9">
        <v>77732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651</v>
      </c>
      <c r="AL142" s="9" t="s">
        <v>89</v>
      </c>
      <c r="AM142" s="9">
        <v>0</v>
      </c>
      <c r="AN142" s="9">
        <v>0</v>
      </c>
      <c r="AO142" s="9">
        <v>0</v>
      </c>
      <c r="AP142" s="9">
        <v>0</v>
      </c>
      <c r="AQ142" s="9">
        <v>0</v>
      </c>
      <c r="AR142" s="9">
        <v>0</v>
      </c>
      <c r="AS142" s="9">
        <v>0</v>
      </c>
      <c r="AT142" s="9">
        <v>0</v>
      </c>
      <c r="AU142" s="9">
        <v>0</v>
      </c>
      <c r="AV142" s="9">
        <v>108185</v>
      </c>
      <c r="AW142" s="9">
        <v>2348578</v>
      </c>
      <c r="AX142" s="9">
        <v>2294736</v>
      </c>
      <c r="AY142" s="9">
        <v>2600061</v>
      </c>
      <c r="AZ142" s="9">
        <v>77732</v>
      </c>
      <c r="BA142" s="9">
        <v>11.25</v>
      </c>
      <c r="BB142" s="9">
        <v>0</v>
      </c>
      <c r="BC142" s="9">
        <v>0</v>
      </c>
      <c r="BD142" s="9">
        <v>0</v>
      </c>
      <c r="BE142" s="9">
        <v>0</v>
      </c>
      <c r="BF142" s="9">
        <v>1954248</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53842</v>
      </c>
      <c r="CI142" s="9">
        <v>0</v>
      </c>
      <c r="CJ142" s="9">
        <v>4</v>
      </c>
      <c r="CK142" s="9">
        <v>0</v>
      </c>
      <c r="CL142" s="9">
        <v>0</v>
      </c>
      <c r="CM142" s="9">
        <v>0</v>
      </c>
      <c r="CN142" s="9">
        <v>0</v>
      </c>
      <c r="CO142" s="9">
        <v>0</v>
      </c>
      <c r="CP142" s="9">
        <v>0</v>
      </c>
      <c r="CQ142" s="9">
        <v>0.5</v>
      </c>
      <c r="CR142" s="9">
        <v>243.13</v>
      </c>
      <c r="CS142" s="9">
        <v>0</v>
      </c>
      <c r="CT142" s="9">
        <v>0</v>
      </c>
      <c r="CU142" s="9">
        <v>0</v>
      </c>
      <c r="CV142" s="9">
        <v>0</v>
      </c>
      <c r="CW142" s="9">
        <v>0</v>
      </c>
      <c r="CX142" s="9">
        <v>0</v>
      </c>
      <c r="CY142" s="9">
        <v>0</v>
      </c>
      <c r="CZ142" s="9">
        <v>0</v>
      </c>
      <c r="DA142" s="9">
        <v>1</v>
      </c>
      <c r="DB142" s="9">
        <v>1572128</v>
      </c>
      <c r="DC142" s="9">
        <v>0</v>
      </c>
      <c r="DD142" s="9">
        <v>0</v>
      </c>
      <c r="DE142" s="9">
        <v>336653</v>
      </c>
      <c r="DF142" s="9">
        <v>336653</v>
      </c>
      <c r="DG142" s="9">
        <v>256.83</v>
      </c>
      <c r="DH142" s="9">
        <v>0</v>
      </c>
      <c r="DI142" s="9">
        <v>0</v>
      </c>
      <c r="DJ142" s="9">
        <v>0</v>
      </c>
      <c r="DK142" s="9">
        <v>5392</v>
      </c>
      <c r="DL142" s="9">
        <v>0</v>
      </c>
      <c r="DM142" s="9">
        <v>99123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99123</v>
      </c>
      <c r="EI142" s="9">
        <v>0</v>
      </c>
      <c r="EJ142" s="9">
        <v>0</v>
      </c>
      <c r="EK142" s="9">
        <v>2.823</v>
      </c>
      <c r="EL142" s="9">
        <v>0</v>
      </c>
      <c r="EM142" s="9">
        <v>0</v>
      </c>
      <c r="EN142" s="9">
        <v>1.331</v>
      </c>
      <c r="EO142" s="9">
        <v>0</v>
      </c>
      <c r="EP142" s="9">
        <v>0</v>
      </c>
      <c r="EQ142" s="9">
        <v>4.1539999999999999</v>
      </c>
      <c r="ER142" s="9">
        <v>0</v>
      </c>
      <c r="ES142" s="9">
        <v>15.124000000000001</v>
      </c>
      <c r="ET142" s="9">
        <v>5750</v>
      </c>
      <c r="EU142" s="9">
        <v>77732</v>
      </c>
      <c r="EV142" s="9">
        <v>0</v>
      </c>
      <c r="EW142" s="9">
        <v>0</v>
      </c>
      <c r="EX142" s="9">
        <v>0</v>
      </c>
      <c r="EY142" s="9">
        <v>0</v>
      </c>
      <c r="EZ142" s="9">
        <v>1930172</v>
      </c>
      <c r="FA142" s="9">
        <v>0</v>
      </c>
      <c r="FB142" s="9">
        <v>2007904</v>
      </c>
      <c r="FC142" s="9">
        <v>0.97327799999999998</v>
      </c>
      <c r="FD142" s="9">
        <v>0</v>
      </c>
      <c r="FE142" s="9">
        <v>297519</v>
      </c>
      <c r="FF142" s="9">
        <v>67045</v>
      </c>
      <c r="FG142" s="9">
        <v>6.1239999999999996E-2</v>
      </c>
      <c r="FH142" s="9">
        <v>5.4803999999999999E-2</v>
      </c>
      <c r="FI142" s="9">
        <v>0</v>
      </c>
      <c r="FJ142" s="9">
        <v>0</v>
      </c>
      <c r="FK142" s="9">
        <v>382.899</v>
      </c>
      <c r="FL142" s="9">
        <v>2426310</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2372468</v>
      </c>
      <c r="GQ142" s="9">
        <v>2372468</v>
      </c>
      <c r="GR142" s="9">
        <v>0</v>
      </c>
      <c r="GS142" s="9">
        <v>0</v>
      </c>
      <c r="GT142" s="9">
        <v>0</v>
      </c>
      <c r="GU142" s="9">
        <v>0</v>
      </c>
      <c r="GV142" s="9">
        <v>0</v>
      </c>
      <c r="GW142" s="9">
        <v>0</v>
      </c>
      <c r="GX142" s="9">
        <v>0</v>
      </c>
      <c r="GY142" s="9">
        <v>0</v>
      </c>
      <c r="GZ142" s="9">
        <v>0</v>
      </c>
      <c r="HA142" s="9">
        <v>0</v>
      </c>
      <c r="HB142" s="9">
        <v>260786259</v>
      </c>
      <c r="HC142" s="9">
        <v>5.0923999999999997E-2</v>
      </c>
      <c r="HD142" s="9">
        <v>48092</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32469</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row>
    <row r="143" spans="1:292" x14ac:dyDescent="0.25">
      <c r="A143" s="9">
        <v>152803</v>
      </c>
      <c r="B143" s="9">
        <v>32570</v>
      </c>
      <c r="C143" s="9">
        <v>35</v>
      </c>
      <c r="D143" s="9">
        <v>2022</v>
      </c>
      <c r="E143" s="9">
        <v>5392</v>
      </c>
      <c r="F143" s="9">
        <v>0</v>
      </c>
      <c r="G143" s="9">
        <v>165.52700000000002</v>
      </c>
      <c r="H143" s="9">
        <v>130.56200000000001</v>
      </c>
      <c r="I143" s="9">
        <v>130.56200000000001</v>
      </c>
      <c r="J143" s="9">
        <v>165.52700000000002</v>
      </c>
      <c r="K143" s="9">
        <v>0</v>
      </c>
      <c r="L143" s="9">
        <v>6554</v>
      </c>
      <c r="M143" s="9">
        <v>0</v>
      </c>
      <c r="N143" s="9">
        <v>0</v>
      </c>
      <c r="O143" s="9">
        <v>0</v>
      </c>
      <c r="P143" s="9">
        <v>181.35400000000001</v>
      </c>
      <c r="Q143" s="9">
        <v>0</v>
      </c>
      <c r="R143" s="9">
        <v>57981</v>
      </c>
      <c r="S143" s="9">
        <v>319.71300000000002</v>
      </c>
      <c r="T143" s="9">
        <v>0</v>
      </c>
      <c r="U143" s="9">
        <v>57981</v>
      </c>
      <c r="V143" s="9">
        <v>5.82</v>
      </c>
      <c r="W143" s="9">
        <v>3814</v>
      </c>
      <c r="X143" s="9">
        <v>3814</v>
      </c>
      <c r="Y143" s="9">
        <v>0</v>
      </c>
      <c r="Z143" s="9">
        <v>0</v>
      </c>
      <c r="AA143" s="9">
        <v>1</v>
      </c>
      <c r="AB143" s="9">
        <v>1</v>
      </c>
      <c r="AC143" s="9">
        <v>0</v>
      </c>
      <c r="AD143" s="9" t="s">
        <v>314</v>
      </c>
      <c r="AE143" s="9">
        <v>0</v>
      </c>
      <c r="AF143" s="9">
        <v>0</v>
      </c>
      <c r="AG143" s="9">
        <v>0</v>
      </c>
      <c r="AH143" s="9">
        <v>0</v>
      </c>
      <c r="AI143" s="9">
        <v>0</v>
      </c>
      <c r="AJ143" s="9">
        <v>5104</v>
      </c>
      <c r="AK143" s="9" t="s">
        <v>651</v>
      </c>
      <c r="AL143" s="9" t="s">
        <v>466</v>
      </c>
      <c r="AM143" s="9">
        <v>0</v>
      </c>
      <c r="AN143" s="9">
        <v>0</v>
      </c>
      <c r="AO143" s="9">
        <v>0</v>
      </c>
      <c r="AP143" s="9">
        <v>0</v>
      </c>
      <c r="AQ143" s="9">
        <v>0</v>
      </c>
      <c r="AR143" s="9">
        <v>0</v>
      </c>
      <c r="AS143" s="9">
        <v>0</v>
      </c>
      <c r="AT143" s="9">
        <v>0</v>
      </c>
      <c r="AU143" s="9">
        <v>0</v>
      </c>
      <c r="AV143" s="9">
        <v>149831</v>
      </c>
      <c r="AW143" s="9">
        <v>1913778</v>
      </c>
      <c r="AX143" s="9">
        <v>1830637</v>
      </c>
      <c r="AY143" s="9">
        <v>1980164</v>
      </c>
      <c r="AZ143" s="9">
        <v>103500</v>
      </c>
      <c r="BA143" s="9">
        <v>4</v>
      </c>
      <c r="BB143" s="9">
        <v>0</v>
      </c>
      <c r="BC143" s="9">
        <v>0</v>
      </c>
      <c r="BD143" s="9">
        <v>0</v>
      </c>
      <c r="BE143" s="9">
        <v>0</v>
      </c>
      <c r="BF143" s="9">
        <v>1555691</v>
      </c>
      <c r="BG143" s="9">
        <v>0</v>
      </c>
      <c r="BH143" s="9">
        <v>165.523</v>
      </c>
      <c r="BI143" s="9">
        <v>45519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37622</v>
      </c>
      <c r="CI143" s="9">
        <v>0</v>
      </c>
      <c r="CJ143" s="9">
        <v>4</v>
      </c>
      <c r="CK143" s="9">
        <v>0</v>
      </c>
      <c r="CL143" s="9">
        <v>0</v>
      </c>
      <c r="CM143" s="9">
        <v>0</v>
      </c>
      <c r="CN143" s="9">
        <v>0</v>
      </c>
      <c r="CO143" s="9">
        <v>0</v>
      </c>
      <c r="CP143" s="9">
        <v>2.2789999999999999</v>
      </c>
      <c r="CQ143" s="9">
        <v>12</v>
      </c>
      <c r="CR143" s="9">
        <v>181.35400000000001</v>
      </c>
      <c r="CS143" s="9">
        <v>0</v>
      </c>
      <c r="CT143" s="9">
        <v>0</v>
      </c>
      <c r="CU143" s="9">
        <v>0</v>
      </c>
      <c r="CV143" s="9">
        <v>0</v>
      </c>
      <c r="CW143" s="9">
        <v>0</v>
      </c>
      <c r="CX143" s="9">
        <v>0</v>
      </c>
      <c r="CY143" s="9">
        <v>0</v>
      </c>
      <c r="CZ143" s="9">
        <v>0</v>
      </c>
      <c r="DA143" s="9">
        <v>1</v>
      </c>
      <c r="DB143" s="9">
        <v>855703</v>
      </c>
      <c r="DC143" s="9">
        <v>0</v>
      </c>
      <c r="DD143" s="9">
        <v>0</v>
      </c>
      <c r="DE143" s="9">
        <v>219126</v>
      </c>
      <c r="DF143" s="9">
        <v>255123</v>
      </c>
      <c r="DG143" s="9">
        <v>167.17000000000002</v>
      </c>
      <c r="DH143" s="9">
        <v>0</v>
      </c>
      <c r="DI143" s="9">
        <v>35997</v>
      </c>
      <c r="DJ143" s="9">
        <v>0</v>
      </c>
      <c r="DK143" s="9">
        <v>5392</v>
      </c>
      <c r="DL143" s="9">
        <v>0</v>
      </c>
      <c r="DM143" s="9">
        <v>175448</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23.885000000000002</v>
      </c>
      <c r="ED143" s="9">
        <v>172197</v>
      </c>
      <c r="EE143" s="9">
        <v>0</v>
      </c>
      <c r="EF143" s="9">
        <v>0</v>
      </c>
      <c r="EG143" s="9">
        <v>0</v>
      </c>
      <c r="EH143" s="9">
        <v>3251</v>
      </c>
      <c r="EI143" s="9">
        <v>0</v>
      </c>
      <c r="EJ143" s="9">
        <v>0</v>
      </c>
      <c r="EK143" s="9">
        <v>0.10200000000000001</v>
      </c>
      <c r="EL143" s="9">
        <v>0</v>
      </c>
      <c r="EM143" s="9">
        <v>0</v>
      </c>
      <c r="EN143" s="9">
        <v>3.7999999999999999E-2</v>
      </c>
      <c r="EO143" s="9">
        <v>0</v>
      </c>
      <c r="EP143" s="9">
        <v>0</v>
      </c>
      <c r="EQ143" s="9">
        <v>0.14000000000000001</v>
      </c>
      <c r="ER143" s="9">
        <v>0</v>
      </c>
      <c r="ES143" s="9">
        <v>0.496</v>
      </c>
      <c r="ET143" s="9">
        <v>5000</v>
      </c>
      <c r="EU143" s="9">
        <v>103500</v>
      </c>
      <c r="EV143" s="9">
        <v>0</v>
      </c>
      <c r="EW143" s="9">
        <v>0</v>
      </c>
      <c r="EX143" s="9">
        <v>0</v>
      </c>
      <c r="EY143" s="9">
        <v>0</v>
      </c>
      <c r="EZ143" s="9">
        <v>1540423</v>
      </c>
      <c r="FA143" s="9">
        <v>0</v>
      </c>
      <c r="FB143" s="9">
        <v>1643923</v>
      </c>
      <c r="FC143" s="9">
        <v>0.97327799999999998</v>
      </c>
      <c r="FD143" s="9">
        <v>0</v>
      </c>
      <c r="FE143" s="9">
        <v>236842</v>
      </c>
      <c r="FF143" s="9">
        <v>53372</v>
      </c>
      <c r="FG143" s="9">
        <v>6.1239999999999996E-2</v>
      </c>
      <c r="FH143" s="9">
        <v>5.4803999999999999E-2</v>
      </c>
      <c r="FI143" s="9">
        <v>0</v>
      </c>
      <c r="FJ143" s="9">
        <v>0</v>
      </c>
      <c r="FK143" s="9">
        <v>304.80900000000003</v>
      </c>
      <c r="FL143" s="9">
        <v>1971759</v>
      </c>
      <c r="FM143" s="9">
        <v>0</v>
      </c>
      <c r="FN143" s="9">
        <v>0</v>
      </c>
      <c r="FO143" s="9">
        <v>0</v>
      </c>
      <c r="FP143" s="9">
        <v>0</v>
      </c>
      <c r="FQ143" s="9">
        <v>0</v>
      </c>
      <c r="FR143" s="9">
        <v>0</v>
      </c>
      <c r="FS143" s="9">
        <v>0</v>
      </c>
      <c r="FT143" s="9">
        <v>0</v>
      </c>
      <c r="FU143" s="9">
        <v>0</v>
      </c>
      <c r="FV143" s="9">
        <v>0</v>
      </c>
      <c r="FW143" s="9">
        <v>0</v>
      </c>
      <c r="FX143" s="9">
        <v>0</v>
      </c>
      <c r="FY143" s="9">
        <v>0</v>
      </c>
      <c r="FZ143" s="9">
        <v>188</v>
      </c>
      <c r="GA143" s="9">
        <v>3.7520000000000002</v>
      </c>
      <c r="GB143" s="9">
        <v>308316</v>
      </c>
      <c r="GC143" s="9">
        <v>308316</v>
      </c>
      <c r="GD143" s="9">
        <v>34.825000000000003</v>
      </c>
      <c r="GE143" s="9">
        <v>0</v>
      </c>
      <c r="GF143" s="9">
        <v>0</v>
      </c>
      <c r="GG143" s="9">
        <v>0</v>
      </c>
      <c r="GH143" s="9">
        <v>0</v>
      </c>
      <c r="GI143" s="9">
        <v>0</v>
      </c>
      <c r="GJ143" s="9">
        <v>0</v>
      </c>
      <c r="GK143" s="9">
        <v>5105</v>
      </c>
      <c r="GL143" s="9">
        <v>4357</v>
      </c>
      <c r="GM143" s="9">
        <v>0</v>
      </c>
      <c r="GN143" s="9">
        <v>0</v>
      </c>
      <c r="GO143" s="9">
        <v>0</v>
      </c>
      <c r="GP143" s="9">
        <v>1934137</v>
      </c>
      <c r="GQ143" s="9">
        <v>1934137</v>
      </c>
      <c r="GR143" s="9">
        <v>0</v>
      </c>
      <c r="GS143" s="9">
        <v>0</v>
      </c>
      <c r="GT143" s="9">
        <v>0</v>
      </c>
      <c r="GU143" s="9">
        <v>0</v>
      </c>
      <c r="GV143" s="9">
        <v>0</v>
      </c>
      <c r="GW143" s="9">
        <v>0</v>
      </c>
      <c r="GX143" s="9">
        <v>0</v>
      </c>
      <c r="GY143" s="9">
        <v>0</v>
      </c>
      <c r="GZ143" s="9">
        <v>0</v>
      </c>
      <c r="HA143" s="9">
        <v>0</v>
      </c>
      <c r="HB143" s="9">
        <v>260786259</v>
      </c>
      <c r="HC143" s="9">
        <v>5.0923999999999997E-2</v>
      </c>
      <c r="HD143" s="9">
        <v>32622</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32469</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row>
    <row r="144" spans="1:292" x14ac:dyDescent="0.25">
      <c r="A144" s="9">
        <v>152806</v>
      </c>
      <c r="B144" s="9">
        <v>32570</v>
      </c>
      <c r="C144" s="9">
        <v>35</v>
      </c>
      <c r="D144" s="9">
        <v>2022</v>
      </c>
      <c r="E144" s="9">
        <v>5392</v>
      </c>
      <c r="F144" s="9">
        <v>0</v>
      </c>
      <c r="G144" s="9">
        <v>73.790000000000006</v>
      </c>
      <c r="H144" s="9">
        <v>68.33</v>
      </c>
      <c r="I144" s="9">
        <v>68.33</v>
      </c>
      <c r="J144" s="9">
        <v>73.790000000000006</v>
      </c>
      <c r="K144" s="9">
        <v>0</v>
      </c>
      <c r="L144" s="9">
        <v>6554</v>
      </c>
      <c r="M144" s="9">
        <v>0</v>
      </c>
      <c r="N144" s="9">
        <v>0</v>
      </c>
      <c r="O144" s="9">
        <v>0</v>
      </c>
      <c r="P144" s="9">
        <v>0</v>
      </c>
      <c r="Q144" s="9">
        <v>0</v>
      </c>
      <c r="R144" s="9">
        <v>0</v>
      </c>
      <c r="S144" s="9">
        <v>319.71300000000002</v>
      </c>
      <c r="T144" s="9">
        <v>0</v>
      </c>
      <c r="U144" s="9">
        <v>0</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651</v>
      </c>
      <c r="AL144" s="9" t="s">
        <v>535</v>
      </c>
      <c r="AM144" s="9">
        <v>0</v>
      </c>
      <c r="AN144" s="9">
        <v>0</v>
      </c>
      <c r="AO144" s="9">
        <v>0</v>
      </c>
      <c r="AP144" s="9">
        <v>0</v>
      </c>
      <c r="AQ144" s="9">
        <v>0</v>
      </c>
      <c r="AR144" s="9">
        <v>0</v>
      </c>
      <c r="AS144" s="9">
        <v>0</v>
      </c>
      <c r="AT144" s="9">
        <v>0</v>
      </c>
      <c r="AU144" s="9">
        <v>0</v>
      </c>
      <c r="AV144" s="9">
        <v>19588</v>
      </c>
      <c r="AW144" s="9">
        <v>827065</v>
      </c>
      <c r="AX144" s="9">
        <v>827065</v>
      </c>
      <c r="AY144" s="9">
        <v>852273</v>
      </c>
      <c r="AZ144" s="9">
        <v>0</v>
      </c>
      <c r="BA144" s="9">
        <v>0</v>
      </c>
      <c r="BB144" s="9">
        <v>0</v>
      </c>
      <c r="BC144" s="9">
        <v>0</v>
      </c>
      <c r="BD144" s="9">
        <v>0</v>
      </c>
      <c r="BE144" s="9">
        <v>0</v>
      </c>
      <c r="BF144" s="9">
        <v>681269</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0</v>
      </c>
      <c r="CS144" s="9">
        <v>0</v>
      </c>
      <c r="CT144" s="9">
        <v>0</v>
      </c>
      <c r="CU144" s="9">
        <v>0</v>
      </c>
      <c r="CV144" s="9">
        <v>0</v>
      </c>
      <c r="CW144" s="9">
        <v>0</v>
      </c>
      <c r="CX144" s="9">
        <v>0</v>
      </c>
      <c r="CY144" s="9">
        <v>0</v>
      </c>
      <c r="CZ144" s="9">
        <v>0</v>
      </c>
      <c r="DA144" s="9">
        <v>1</v>
      </c>
      <c r="DB144" s="9">
        <v>447835</v>
      </c>
      <c r="DC144" s="9">
        <v>0</v>
      </c>
      <c r="DD144" s="9">
        <v>0</v>
      </c>
      <c r="DE144" s="9">
        <v>98310</v>
      </c>
      <c r="DF144" s="9">
        <v>98310</v>
      </c>
      <c r="DG144" s="9">
        <v>75</v>
      </c>
      <c r="DH144" s="9">
        <v>0</v>
      </c>
      <c r="DI144" s="9">
        <v>0</v>
      </c>
      <c r="DJ144" s="9">
        <v>0</v>
      </c>
      <c r="DK144" s="9">
        <v>5392</v>
      </c>
      <c r="DL144" s="9">
        <v>0</v>
      </c>
      <c r="DM144" s="9">
        <v>153829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5.8100000000000005</v>
      </c>
      <c r="ED144" s="9">
        <v>41887</v>
      </c>
      <c r="EE144" s="9">
        <v>0</v>
      </c>
      <c r="EF144" s="9">
        <v>0</v>
      </c>
      <c r="EG144" s="9">
        <v>0</v>
      </c>
      <c r="EH144" s="9">
        <v>111942</v>
      </c>
      <c r="EI144" s="9">
        <v>0</v>
      </c>
      <c r="EJ144" s="9">
        <v>0</v>
      </c>
      <c r="EK144" s="9">
        <v>5.1100000000000003</v>
      </c>
      <c r="EL144" s="9">
        <v>0</v>
      </c>
      <c r="EM144" s="9">
        <v>0</v>
      </c>
      <c r="EN144" s="9">
        <v>0.35000000000000003</v>
      </c>
      <c r="EO144" s="9">
        <v>0</v>
      </c>
      <c r="EP144" s="9">
        <v>0</v>
      </c>
      <c r="EQ144" s="9">
        <v>5.46</v>
      </c>
      <c r="ER144" s="9">
        <v>0</v>
      </c>
      <c r="ES144" s="9">
        <v>17.080000000000002</v>
      </c>
      <c r="ET144" s="9">
        <v>0</v>
      </c>
      <c r="EU144" s="9">
        <v>0</v>
      </c>
      <c r="EV144" s="9">
        <v>0</v>
      </c>
      <c r="EW144" s="9">
        <v>0</v>
      </c>
      <c r="EX144" s="9">
        <v>0</v>
      </c>
      <c r="EY144" s="9">
        <v>0</v>
      </c>
      <c r="EZ144" s="9">
        <v>699974</v>
      </c>
      <c r="FA144" s="9">
        <v>0</v>
      </c>
      <c r="FB144" s="9">
        <v>699974</v>
      </c>
      <c r="FC144" s="9">
        <v>0.97327799999999998</v>
      </c>
      <c r="FD144" s="9">
        <v>0</v>
      </c>
      <c r="FE144" s="9">
        <v>103718</v>
      </c>
      <c r="FF144" s="9">
        <v>23373</v>
      </c>
      <c r="FG144" s="9">
        <v>6.1239999999999996E-2</v>
      </c>
      <c r="FH144" s="9">
        <v>5.4803999999999999E-2</v>
      </c>
      <c r="FI144" s="9">
        <v>0</v>
      </c>
      <c r="FJ144" s="9">
        <v>0</v>
      </c>
      <c r="FK144" s="9">
        <v>133.482</v>
      </c>
      <c r="FL144" s="9">
        <v>827065</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827065</v>
      </c>
      <c r="GQ144" s="9">
        <v>827065</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32469</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row>
    <row r="145" spans="1:292" ht="13" x14ac:dyDescent="0.3">
      <c r="A145" s="9">
        <v>161801</v>
      </c>
      <c r="B145" s="9">
        <v>32570</v>
      </c>
      <c r="C145" s="9">
        <v>35</v>
      </c>
      <c r="D145" s="9">
        <v>2022</v>
      </c>
      <c r="E145" s="9">
        <v>5392</v>
      </c>
      <c r="F145" s="9">
        <v>0</v>
      </c>
      <c r="G145" s="9">
        <v>211.17000000000002</v>
      </c>
      <c r="H145" s="9">
        <v>206.20700000000002</v>
      </c>
      <c r="I145" s="9">
        <v>206.20700000000002</v>
      </c>
      <c r="J145" s="9">
        <v>211.17000000000002</v>
      </c>
      <c r="K145" s="9">
        <v>0</v>
      </c>
      <c r="L145" s="9">
        <v>6554</v>
      </c>
      <c r="M145" s="9">
        <v>0</v>
      </c>
      <c r="N145" s="9">
        <v>0</v>
      </c>
      <c r="O145" s="9">
        <v>0</v>
      </c>
      <c r="P145" s="9">
        <v>192.73700000000002</v>
      </c>
      <c r="Q145" s="9">
        <v>0</v>
      </c>
      <c r="R145" s="10">
        <v>61621</v>
      </c>
      <c r="S145" s="9">
        <v>319.71300000000002</v>
      </c>
      <c r="T145" s="9">
        <v>0</v>
      </c>
      <c r="U145" s="10">
        <v>61621</v>
      </c>
      <c r="V145" s="10">
        <v>55.752000000000002</v>
      </c>
      <c r="W145" s="10">
        <v>36540</v>
      </c>
      <c r="X145" s="10">
        <v>36540</v>
      </c>
      <c r="Y145" s="9">
        <v>0</v>
      </c>
      <c r="Z145" s="9">
        <v>0</v>
      </c>
      <c r="AA145" s="9">
        <v>1</v>
      </c>
      <c r="AB145" s="9">
        <v>1</v>
      </c>
      <c r="AC145" s="9">
        <v>0</v>
      </c>
      <c r="AD145" s="9" t="s">
        <v>314</v>
      </c>
      <c r="AE145" s="9">
        <v>0</v>
      </c>
      <c r="AF145" s="9">
        <v>0</v>
      </c>
      <c r="AG145" s="9">
        <v>0</v>
      </c>
      <c r="AH145" s="9">
        <v>0</v>
      </c>
      <c r="AI145" s="9">
        <v>0</v>
      </c>
      <c r="AJ145" s="9">
        <v>5104</v>
      </c>
      <c r="AK145" s="9" t="s">
        <v>651</v>
      </c>
      <c r="AL145" s="9" t="s">
        <v>5</v>
      </c>
      <c r="AM145" s="9">
        <v>0</v>
      </c>
      <c r="AN145" s="9">
        <v>0</v>
      </c>
      <c r="AO145" s="9">
        <v>0</v>
      </c>
      <c r="AP145" s="9">
        <v>0</v>
      </c>
      <c r="AQ145" s="9">
        <v>0</v>
      </c>
      <c r="AR145" s="9">
        <v>0</v>
      </c>
      <c r="AS145" s="9">
        <v>0</v>
      </c>
      <c r="AT145" s="9">
        <v>0</v>
      </c>
      <c r="AU145" s="9">
        <v>0</v>
      </c>
      <c r="AV145" s="9">
        <v>62968</v>
      </c>
      <c r="AW145" s="9">
        <v>2093359</v>
      </c>
      <c r="AX145" s="9">
        <v>2051742</v>
      </c>
      <c r="AY145" s="9">
        <v>2349897</v>
      </c>
      <c r="AZ145" s="9">
        <v>61621</v>
      </c>
      <c r="BA145" s="10">
        <v>0</v>
      </c>
      <c r="BB145" s="9">
        <v>2343</v>
      </c>
      <c r="BC145" s="9">
        <v>2343</v>
      </c>
      <c r="BD145" s="9">
        <v>2.9790000000000001</v>
      </c>
      <c r="BE145" s="9">
        <v>0</v>
      </c>
      <c r="BF145" s="9">
        <v>1740818</v>
      </c>
      <c r="BG145" s="9">
        <v>0</v>
      </c>
      <c r="BH145" s="10">
        <v>0</v>
      </c>
      <c r="BI145" s="10">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10">
        <v>41617</v>
      </c>
      <c r="CI145" s="9">
        <v>0</v>
      </c>
      <c r="CJ145" s="9">
        <v>4</v>
      </c>
      <c r="CK145" s="9">
        <v>0</v>
      </c>
      <c r="CL145" s="9">
        <v>0</v>
      </c>
      <c r="CM145" s="9">
        <v>0</v>
      </c>
      <c r="CN145" s="9">
        <v>0</v>
      </c>
      <c r="CO145" s="9">
        <v>0</v>
      </c>
      <c r="CP145" s="9">
        <v>0</v>
      </c>
      <c r="CQ145" s="9">
        <v>0</v>
      </c>
      <c r="CR145" s="9">
        <v>192.73700000000002</v>
      </c>
      <c r="CS145" s="9">
        <v>0</v>
      </c>
      <c r="CT145" s="9">
        <v>0</v>
      </c>
      <c r="CU145" s="9">
        <v>0</v>
      </c>
      <c r="CV145" s="9">
        <v>0</v>
      </c>
      <c r="CW145" s="9">
        <v>0</v>
      </c>
      <c r="CX145" s="9">
        <v>0</v>
      </c>
      <c r="CY145" s="9">
        <v>0</v>
      </c>
      <c r="CZ145" s="9">
        <v>0</v>
      </c>
      <c r="DA145" s="9">
        <v>1</v>
      </c>
      <c r="DB145" s="9">
        <v>1351481</v>
      </c>
      <c r="DC145" s="9">
        <v>0</v>
      </c>
      <c r="DD145" s="9">
        <v>0</v>
      </c>
      <c r="DE145" s="9">
        <v>292531</v>
      </c>
      <c r="DF145" s="9">
        <v>292531</v>
      </c>
      <c r="DG145" s="9">
        <v>223.17000000000002</v>
      </c>
      <c r="DH145" s="9">
        <v>0</v>
      </c>
      <c r="DI145" s="9">
        <v>0</v>
      </c>
      <c r="DJ145" s="9">
        <v>0</v>
      </c>
      <c r="DK145" s="9">
        <v>5392</v>
      </c>
      <c r="DL145" s="9">
        <v>0</v>
      </c>
      <c r="DM145" s="9">
        <v>105719</v>
      </c>
      <c r="DN145" s="9">
        <v>0</v>
      </c>
      <c r="DO145" s="9">
        <v>0</v>
      </c>
      <c r="DP145" s="9">
        <v>0</v>
      </c>
      <c r="DQ145" s="9">
        <v>0</v>
      </c>
      <c r="DR145" s="9">
        <v>0</v>
      </c>
      <c r="DS145" s="9">
        <v>0</v>
      </c>
      <c r="DT145" s="9">
        <v>0</v>
      </c>
      <c r="DU145" s="9">
        <v>0</v>
      </c>
      <c r="DV145" s="9">
        <v>0</v>
      </c>
      <c r="DW145" s="9">
        <v>0</v>
      </c>
      <c r="DX145" s="9">
        <v>0</v>
      </c>
      <c r="DY145" s="9">
        <v>0</v>
      </c>
      <c r="DZ145" s="9">
        <v>0</v>
      </c>
      <c r="EA145" s="9">
        <v>0</v>
      </c>
      <c r="EB145" s="9">
        <v>0</v>
      </c>
      <c r="EC145" s="9">
        <v>0.36499999999999999</v>
      </c>
      <c r="ED145" s="9">
        <v>2631</v>
      </c>
      <c r="EE145" s="9">
        <v>0</v>
      </c>
      <c r="EF145" s="9">
        <v>0</v>
      </c>
      <c r="EG145" s="9">
        <v>0</v>
      </c>
      <c r="EH145" s="9">
        <v>103088</v>
      </c>
      <c r="EI145" s="9">
        <v>0</v>
      </c>
      <c r="EJ145" s="9">
        <v>0</v>
      </c>
      <c r="EK145" s="9">
        <v>4.5430000000000001</v>
      </c>
      <c r="EL145" s="9">
        <v>0</v>
      </c>
      <c r="EM145" s="9">
        <v>0</v>
      </c>
      <c r="EN145" s="9">
        <v>0.42</v>
      </c>
      <c r="EO145" s="9">
        <v>0</v>
      </c>
      <c r="EP145" s="9">
        <v>0</v>
      </c>
      <c r="EQ145" s="9">
        <v>4.9630000000000001</v>
      </c>
      <c r="ER145" s="9">
        <v>0</v>
      </c>
      <c r="ES145" s="9">
        <v>15.729000000000001</v>
      </c>
      <c r="ET145" s="10">
        <v>0</v>
      </c>
      <c r="EU145" s="9">
        <v>61621</v>
      </c>
      <c r="EV145" s="9">
        <v>0</v>
      </c>
      <c r="EW145" s="9">
        <v>0</v>
      </c>
      <c r="EX145" s="9">
        <v>0</v>
      </c>
      <c r="EY145" s="9">
        <v>0</v>
      </c>
      <c r="EZ145" s="9">
        <v>1726993</v>
      </c>
      <c r="FA145" s="9">
        <v>0</v>
      </c>
      <c r="FB145" s="10">
        <v>1788614</v>
      </c>
      <c r="FC145" s="9">
        <v>0.97327799999999998</v>
      </c>
      <c r="FD145" s="9">
        <v>0</v>
      </c>
      <c r="FE145" s="9">
        <v>265026</v>
      </c>
      <c r="FF145" s="9">
        <v>59723</v>
      </c>
      <c r="FG145" s="9">
        <v>6.1239999999999996E-2</v>
      </c>
      <c r="FH145" s="9">
        <v>5.4803999999999999E-2</v>
      </c>
      <c r="FI145" s="9">
        <v>0</v>
      </c>
      <c r="FJ145" s="9">
        <v>0</v>
      </c>
      <c r="FK145" s="9">
        <v>341.08100000000002</v>
      </c>
      <c r="FL145" s="9">
        <v>2154980</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10">
        <v>0</v>
      </c>
      <c r="GC145" s="10">
        <v>0</v>
      </c>
      <c r="GD145" s="10">
        <v>0</v>
      </c>
      <c r="GE145" s="9">
        <v>0</v>
      </c>
      <c r="GF145" s="9">
        <v>0</v>
      </c>
      <c r="GG145" s="9">
        <v>0</v>
      </c>
      <c r="GH145" s="9">
        <v>0</v>
      </c>
      <c r="GI145" s="9">
        <v>0</v>
      </c>
      <c r="GJ145" s="9">
        <v>0</v>
      </c>
      <c r="GK145" s="9">
        <v>4957</v>
      </c>
      <c r="GL145" s="9">
        <v>5949</v>
      </c>
      <c r="GM145" s="9">
        <v>0</v>
      </c>
      <c r="GN145" s="9">
        <v>0</v>
      </c>
      <c r="GO145" s="9">
        <v>0</v>
      </c>
      <c r="GP145" s="9">
        <v>2113363</v>
      </c>
      <c r="GQ145" s="9">
        <v>2113363</v>
      </c>
      <c r="GR145" s="9">
        <v>0</v>
      </c>
      <c r="GS145" s="9">
        <v>0</v>
      </c>
      <c r="GT145" s="9">
        <v>0</v>
      </c>
      <c r="GU145" s="9">
        <v>0</v>
      </c>
      <c r="GV145" s="9">
        <v>0</v>
      </c>
      <c r="GW145" s="9">
        <v>0</v>
      </c>
      <c r="GX145" s="9">
        <v>0</v>
      </c>
      <c r="GY145" s="9">
        <v>0</v>
      </c>
      <c r="GZ145" s="9">
        <v>0</v>
      </c>
      <c r="HA145" s="9">
        <v>0</v>
      </c>
      <c r="HB145" s="9">
        <v>260786259</v>
      </c>
      <c r="HC145" s="9">
        <v>5.0923999999999997E-2</v>
      </c>
      <c r="HD145" s="10">
        <v>41617</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32469</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row>
    <row r="146" spans="1:292" x14ac:dyDescent="0.25">
      <c r="A146" s="9">
        <v>161802</v>
      </c>
      <c r="B146" s="9">
        <v>32570</v>
      </c>
      <c r="C146" s="9">
        <v>35</v>
      </c>
      <c r="D146" s="9">
        <v>2022</v>
      </c>
      <c r="E146" s="9">
        <v>5392</v>
      </c>
      <c r="F146" s="9">
        <v>0</v>
      </c>
      <c r="G146" s="9">
        <v>755.81100000000004</v>
      </c>
      <c r="H146" s="9">
        <v>702.68299999999999</v>
      </c>
      <c r="I146" s="9">
        <v>702.68299999999999</v>
      </c>
      <c r="J146" s="9">
        <v>755.81100000000004</v>
      </c>
      <c r="K146" s="9">
        <v>0</v>
      </c>
      <c r="L146" s="9">
        <v>6554</v>
      </c>
      <c r="M146" s="9">
        <v>0</v>
      </c>
      <c r="N146" s="9">
        <v>0</v>
      </c>
      <c r="O146" s="9">
        <v>0</v>
      </c>
      <c r="P146" s="9">
        <v>748.68500000000006</v>
      </c>
      <c r="Q146" s="9">
        <v>0</v>
      </c>
      <c r="R146" s="9">
        <v>239364</v>
      </c>
      <c r="S146" s="9">
        <v>319.71300000000002</v>
      </c>
      <c r="T146" s="9">
        <v>0</v>
      </c>
      <c r="U146" s="9">
        <v>239364</v>
      </c>
      <c r="V146" s="9">
        <v>71.088999999999999</v>
      </c>
      <c r="W146" s="9">
        <v>46592</v>
      </c>
      <c r="X146" s="9">
        <v>46592</v>
      </c>
      <c r="Y146" s="9">
        <v>0</v>
      </c>
      <c r="Z146" s="9">
        <v>0</v>
      </c>
      <c r="AA146" s="9">
        <v>1</v>
      </c>
      <c r="AB146" s="9">
        <v>1</v>
      </c>
      <c r="AC146" s="9">
        <v>0</v>
      </c>
      <c r="AD146" s="9" t="s">
        <v>314</v>
      </c>
      <c r="AE146" s="9">
        <v>0</v>
      </c>
      <c r="AF146" s="9">
        <v>0</v>
      </c>
      <c r="AG146" s="9">
        <v>0</v>
      </c>
      <c r="AH146" s="9">
        <v>0</v>
      </c>
      <c r="AI146" s="9">
        <v>0</v>
      </c>
      <c r="AJ146" s="9">
        <v>5104</v>
      </c>
      <c r="AK146" s="9" t="s">
        <v>651</v>
      </c>
      <c r="AL146" s="9" t="s">
        <v>357</v>
      </c>
      <c r="AM146" s="9">
        <v>0</v>
      </c>
      <c r="AN146" s="9">
        <v>0</v>
      </c>
      <c r="AO146" s="9">
        <v>0</v>
      </c>
      <c r="AP146" s="9">
        <v>0</v>
      </c>
      <c r="AQ146" s="9">
        <v>0</v>
      </c>
      <c r="AR146" s="9">
        <v>0</v>
      </c>
      <c r="AS146" s="9">
        <v>0</v>
      </c>
      <c r="AT146" s="9">
        <v>0</v>
      </c>
      <c r="AU146" s="9">
        <v>0</v>
      </c>
      <c r="AV146" s="9">
        <v>169893</v>
      </c>
      <c r="AW146" s="9">
        <v>7669735</v>
      </c>
      <c r="AX146" s="9">
        <v>7474977</v>
      </c>
      <c r="AY146" s="9">
        <v>8152110</v>
      </c>
      <c r="AZ146" s="9">
        <v>285168</v>
      </c>
      <c r="BA146" s="9">
        <v>0</v>
      </c>
      <c r="BB146" s="9">
        <v>0</v>
      </c>
      <c r="BC146" s="9">
        <v>0</v>
      </c>
      <c r="BD146" s="9">
        <v>0</v>
      </c>
      <c r="BE146" s="9">
        <v>0</v>
      </c>
      <c r="BF146" s="9">
        <v>6354453</v>
      </c>
      <c r="BG146" s="9">
        <v>0</v>
      </c>
      <c r="BH146" s="9">
        <v>166.56100000000001</v>
      </c>
      <c r="BI146" s="9">
        <v>45804</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148954</v>
      </c>
      <c r="CI146" s="9">
        <v>0</v>
      </c>
      <c r="CJ146" s="9">
        <v>4</v>
      </c>
      <c r="CK146" s="9">
        <v>0</v>
      </c>
      <c r="CL146" s="9">
        <v>0</v>
      </c>
      <c r="CM146" s="9">
        <v>0</v>
      </c>
      <c r="CN146" s="9">
        <v>0</v>
      </c>
      <c r="CO146" s="9">
        <v>0</v>
      </c>
      <c r="CP146" s="9">
        <v>0</v>
      </c>
      <c r="CQ146" s="9">
        <v>0</v>
      </c>
      <c r="CR146" s="9">
        <v>748.68500000000006</v>
      </c>
      <c r="CS146" s="9">
        <v>0</v>
      </c>
      <c r="CT146" s="9">
        <v>0</v>
      </c>
      <c r="CU146" s="9">
        <v>0</v>
      </c>
      <c r="CV146" s="9">
        <v>0</v>
      </c>
      <c r="CW146" s="9">
        <v>0</v>
      </c>
      <c r="CX146" s="9">
        <v>0</v>
      </c>
      <c r="CY146" s="9">
        <v>0</v>
      </c>
      <c r="CZ146" s="9">
        <v>0</v>
      </c>
      <c r="DA146" s="9">
        <v>1</v>
      </c>
      <c r="DB146" s="9">
        <v>4605384</v>
      </c>
      <c r="DC146" s="9">
        <v>0</v>
      </c>
      <c r="DD146" s="9">
        <v>0</v>
      </c>
      <c r="DE146" s="9">
        <v>824270</v>
      </c>
      <c r="DF146" s="9">
        <v>824270</v>
      </c>
      <c r="DG146" s="9">
        <v>628.83000000000004</v>
      </c>
      <c r="DH146" s="9">
        <v>0</v>
      </c>
      <c r="DI146" s="9">
        <v>0</v>
      </c>
      <c r="DJ146" s="9">
        <v>0</v>
      </c>
      <c r="DK146" s="9">
        <v>5392</v>
      </c>
      <c r="DL146" s="9">
        <v>0</v>
      </c>
      <c r="DM146" s="9">
        <v>695850</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58.229000000000006</v>
      </c>
      <c r="ED146" s="9">
        <v>419796</v>
      </c>
      <c r="EE146" s="9">
        <v>0</v>
      </c>
      <c r="EF146" s="9">
        <v>0</v>
      </c>
      <c r="EG146" s="9">
        <v>0</v>
      </c>
      <c r="EH146" s="9">
        <v>276054</v>
      </c>
      <c r="EI146" s="9">
        <v>0</v>
      </c>
      <c r="EJ146" s="9">
        <v>0</v>
      </c>
      <c r="EK146" s="9">
        <v>10.114000000000001</v>
      </c>
      <c r="EL146" s="9">
        <v>0</v>
      </c>
      <c r="EM146" s="9">
        <v>0.90600000000000003</v>
      </c>
      <c r="EN146" s="9">
        <v>1.8120000000000001</v>
      </c>
      <c r="EO146" s="9">
        <v>0</v>
      </c>
      <c r="EP146" s="9">
        <v>0</v>
      </c>
      <c r="EQ146" s="9">
        <v>12.832000000000001</v>
      </c>
      <c r="ER146" s="9">
        <v>0</v>
      </c>
      <c r="ES146" s="9">
        <v>42.12</v>
      </c>
      <c r="ET146" s="9">
        <v>0</v>
      </c>
      <c r="EU146" s="9">
        <v>285168</v>
      </c>
      <c r="EV146" s="9">
        <v>0</v>
      </c>
      <c r="EW146" s="9">
        <v>0</v>
      </c>
      <c r="EX146" s="9">
        <v>0</v>
      </c>
      <c r="EY146" s="9">
        <v>0</v>
      </c>
      <c r="EZ146" s="9">
        <v>6289558</v>
      </c>
      <c r="FA146" s="9">
        <v>0</v>
      </c>
      <c r="FB146" s="9">
        <v>6574726</v>
      </c>
      <c r="FC146" s="9">
        <v>0.97327799999999998</v>
      </c>
      <c r="FD146" s="9">
        <v>0</v>
      </c>
      <c r="FE146" s="9">
        <v>967414</v>
      </c>
      <c r="FF146" s="9">
        <v>218005</v>
      </c>
      <c r="FG146" s="9">
        <v>6.1239999999999996E-2</v>
      </c>
      <c r="FH146" s="9">
        <v>5.4803999999999999E-2</v>
      </c>
      <c r="FI146" s="9">
        <v>0</v>
      </c>
      <c r="FJ146" s="9">
        <v>0</v>
      </c>
      <c r="FK146" s="9">
        <v>1245.037</v>
      </c>
      <c r="FL146" s="9">
        <v>7909099</v>
      </c>
      <c r="FM146" s="9">
        <v>0</v>
      </c>
      <c r="FN146" s="9">
        <v>0</v>
      </c>
      <c r="FO146" s="9">
        <v>0</v>
      </c>
      <c r="FP146" s="9">
        <v>0</v>
      </c>
      <c r="FQ146" s="9">
        <v>0</v>
      </c>
      <c r="FR146" s="9">
        <v>0</v>
      </c>
      <c r="FS146" s="9">
        <v>0</v>
      </c>
      <c r="FT146" s="9">
        <v>0</v>
      </c>
      <c r="FU146" s="9">
        <v>0</v>
      </c>
      <c r="FV146" s="9">
        <v>0</v>
      </c>
      <c r="FW146" s="9">
        <v>0</v>
      </c>
      <c r="FX146" s="9">
        <v>0</v>
      </c>
      <c r="FY146" s="9">
        <v>0</v>
      </c>
      <c r="FZ146" s="9">
        <v>291</v>
      </c>
      <c r="GA146" s="9">
        <v>5.8170000000000002</v>
      </c>
      <c r="GB146" s="9">
        <v>356826</v>
      </c>
      <c r="GC146" s="9">
        <v>356826</v>
      </c>
      <c r="GD146" s="9">
        <v>40.295999999999999</v>
      </c>
      <c r="GE146" s="9">
        <v>0</v>
      </c>
      <c r="GF146" s="9">
        <v>0</v>
      </c>
      <c r="GG146" s="9">
        <v>0</v>
      </c>
      <c r="GH146" s="9">
        <v>0</v>
      </c>
      <c r="GI146" s="9">
        <v>0</v>
      </c>
      <c r="GJ146" s="9">
        <v>0</v>
      </c>
      <c r="GK146" s="9">
        <v>5181</v>
      </c>
      <c r="GL146" s="9">
        <v>11424</v>
      </c>
      <c r="GM146" s="9">
        <v>0</v>
      </c>
      <c r="GN146" s="9">
        <v>0</v>
      </c>
      <c r="GO146" s="9">
        <v>0</v>
      </c>
      <c r="GP146" s="9">
        <v>7760145</v>
      </c>
      <c r="GQ146" s="9">
        <v>7760145</v>
      </c>
      <c r="GR146" s="9">
        <v>0</v>
      </c>
      <c r="GS146" s="9">
        <v>0</v>
      </c>
      <c r="GT146" s="9">
        <v>0</v>
      </c>
      <c r="GU146" s="9">
        <v>0</v>
      </c>
      <c r="GV146" s="9">
        <v>0</v>
      </c>
      <c r="GW146" s="9">
        <v>0</v>
      </c>
      <c r="GX146" s="9">
        <v>0</v>
      </c>
      <c r="GY146" s="9">
        <v>0</v>
      </c>
      <c r="GZ146" s="9">
        <v>0</v>
      </c>
      <c r="HA146" s="9">
        <v>0</v>
      </c>
      <c r="HB146" s="9">
        <v>260786259</v>
      </c>
      <c r="HC146" s="9">
        <v>5.0923999999999997E-2</v>
      </c>
      <c r="HD146" s="9">
        <v>148954</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32469</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row>
    <row r="147" spans="1:292" x14ac:dyDescent="0.25">
      <c r="A147" s="9">
        <v>161807</v>
      </c>
      <c r="B147" s="9">
        <v>32570</v>
      </c>
      <c r="C147" s="9">
        <v>35</v>
      </c>
      <c r="D147" s="9">
        <v>2022</v>
      </c>
      <c r="E147" s="9">
        <v>5392</v>
      </c>
      <c r="F147" s="9">
        <v>0</v>
      </c>
      <c r="G147" s="9">
        <v>9112.2650000000012</v>
      </c>
      <c r="H147" s="9">
        <v>8289.8990000000013</v>
      </c>
      <c r="I147" s="9">
        <v>8289.8990000000013</v>
      </c>
      <c r="J147" s="9">
        <v>9112.2650000000012</v>
      </c>
      <c r="K147" s="9">
        <v>0</v>
      </c>
      <c r="L147" s="9">
        <v>6554</v>
      </c>
      <c r="M147" s="9">
        <v>0</v>
      </c>
      <c r="N147" s="9">
        <v>0</v>
      </c>
      <c r="O147" s="9">
        <v>0</v>
      </c>
      <c r="P147" s="9">
        <v>9200.4390000000003</v>
      </c>
      <c r="Q147" s="9">
        <v>0</v>
      </c>
      <c r="R147" s="9">
        <v>2941500</v>
      </c>
      <c r="S147" s="9">
        <v>319.71300000000002</v>
      </c>
      <c r="T147" s="9">
        <v>0</v>
      </c>
      <c r="U147" s="9">
        <v>2941500</v>
      </c>
      <c r="V147" s="9">
        <v>2526.0520000000001</v>
      </c>
      <c r="W147" s="9">
        <v>1655574</v>
      </c>
      <c r="X147" s="9">
        <v>1655574</v>
      </c>
      <c r="Y147" s="9">
        <v>0</v>
      </c>
      <c r="Z147" s="9">
        <v>0</v>
      </c>
      <c r="AA147" s="9">
        <v>1</v>
      </c>
      <c r="AB147" s="9">
        <v>1</v>
      </c>
      <c r="AC147" s="9">
        <v>0</v>
      </c>
      <c r="AD147" s="9" t="s">
        <v>314</v>
      </c>
      <c r="AE147" s="9">
        <v>0</v>
      </c>
      <c r="AF147" s="9">
        <v>0</v>
      </c>
      <c r="AG147" s="9">
        <v>0</v>
      </c>
      <c r="AH147" s="9">
        <v>0</v>
      </c>
      <c r="AI147" s="9">
        <v>0</v>
      </c>
      <c r="AJ147" s="9">
        <v>5104</v>
      </c>
      <c r="AK147" s="9" t="s">
        <v>651</v>
      </c>
      <c r="AL147" s="9" t="s">
        <v>358</v>
      </c>
      <c r="AM147" s="9">
        <v>0</v>
      </c>
      <c r="AN147" s="9">
        <v>0</v>
      </c>
      <c r="AO147" s="9">
        <v>0</v>
      </c>
      <c r="AP147" s="9">
        <v>0</v>
      </c>
      <c r="AQ147" s="9">
        <v>0</v>
      </c>
      <c r="AR147" s="9">
        <v>0</v>
      </c>
      <c r="AS147" s="9">
        <v>0</v>
      </c>
      <c r="AT147" s="9">
        <v>0</v>
      </c>
      <c r="AU147" s="9">
        <v>0</v>
      </c>
      <c r="AV147" s="9">
        <v>977012</v>
      </c>
      <c r="AW147" s="9">
        <v>89777220</v>
      </c>
      <c r="AX147" s="9">
        <v>87257054</v>
      </c>
      <c r="AY147" s="9">
        <v>93412039</v>
      </c>
      <c r="AZ147" s="9">
        <v>3586008</v>
      </c>
      <c r="BA147" s="9">
        <v>159.667</v>
      </c>
      <c r="BB147" s="9">
        <v>358331</v>
      </c>
      <c r="BC147" s="9">
        <v>358331</v>
      </c>
      <c r="BD147" s="9">
        <v>455.613</v>
      </c>
      <c r="BE147" s="9">
        <v>0</v>
      </c>
      <c r="BF147" s="9">
        <v>74298297</v>
      </c>
      <c r="BG147" s="9">
        <v>0</v>
      </c>
      <c r="BH147" s="9">
        <v>2343.665</v>
      </c>
      <c r="BI147" s="9">
        <v>644508</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1875658</v>
      </c>
      <c r="CI147" s="9">
        <v>0</v>
      </c>
      <c r="CJ147" s="9">
        <v>4</v>
      </c>
      <c r="CK147" s="9">
        <v>0</v>
      </c>
      <c r="CL147" s="9">
        <v>0</v>
      </c>
      <c r="CM147" s="9">
        <v>0</v>
      </c>
      <c r="CN147" s="9">
        <v>0</v>
      </c>
      <c r="CO147" s="9">
        <v>0</v>
      </c>
      <c r="CP147" s="9">
        <v>0</v>
      </c>
      <c r="CQ147" s="9">
        <v>0</v>
      </c>
      <c r="CR147" s="9">
        <v>9200.4390000000003</v>
      </c>
      <c r="CS147" s="9">
        <v>0</v>
      </c>
      <c r="CT147" s="9">
        <v>0</v>
      </c>
      <c r="CU147" s="9">
        <v>0</v>
      </c>
      <c r="CV147" s="9">
        <v>0</v>
      </c>
      <c r="CW147" s="9">
        <v>0</v>
      </c>
      <c r="CX147" s="9">
        <v>0</v>
      </c>
      <c r="CY147" s="9">
        <v>0</v>
      </c>
      <c r="CZ147" s="9">
        <v>0</v>
      </c>
      <c r="DA147" s="9">
        <v>1</v>
      </c>
      <c r="DB147" s="9">
        <v>54331998</v>
      </c>
      <c r="DC147" s="9">
        <v>0</v>
      </c>
      <c r="DD147" s="9">
        <v>0</v>
      </c>
      <c r="DE147" s="9">
        <v>8343019</v>
      </c>
      <c r="DF147" s="9">
        <v>8343019</v>
      </c>
      <c r="DG147" s="9">
        <v>6364.83</v>
      </c>
      <c r="DH147" s="9">
        <v>0</v>
      </c>
      <c r="DI147" s="9">
        <v>0</v>
      </c>
      <c r="DJ147" s="9">
        <v>0</v>
      </c>
      <c r="DK147" s="9">
        <v>5392</v>
      </c>
      <c r="DL147" s="9">
        <v>0</v>
      </c>
      <c r="DM147" s="9">
        <v>7131700</v>
      </c>
      <c r="DN147" s="9">
        <v>0</v>
      </c>
      <c r="DO147" s="9">
        <v>0</v>
      </c>
      <c r="DP147" s="9">
        <v>0</v>
      </c>
      <c r="DQ147" s="9">
        <v>0</v>
      </c>
      <c r="DR147" s="9">
        <v>0</v>
      </c>
      <c r="DS147" s="9">
        <v>0</v>
      </c>
      <c r="DT147" s="9">
        <v>0</v>
      </c>
      <c r="DU147" s="9">
        <v>0</v>
      </c>
      <c r="DV147" s="9">
        <v>0</v>
      </c>
      <c r="DW147" s="9">
        <v>0</v>
      </c>
      <c r="DX147" s="9">
        <v>0</v>
      </c>
      <c r="DY147" s="9">
        <v>0</v>
      </c>
      <c r="DZ147" s="9">
        <v>0</v>
      </c>
      <c r="EA147" s="9">
        <v>3.6000000000000004E-2</v>
      </c>
      <c r="EB147" s="9">
        <v>0</v>
      </c>
      <c r="EC147" s="9">
        <v>111.586</v>
      </c>
      <c r="ED147" s="9">
        <v>804468</v>
      </c>
      <c r="EE147" s="9">
        <v>0</v>
      </c>
      <c r="EF147" s="9">
        <v>0</v>
      </c>
      <c r="EG147" s="9">
        <v>0</v>
      </c>
      <c r="EH147" s="9">
        <v>6327232</v>
      </c>
      <c r="EI147" s="9">
        <v>0</v>
      </c>
      <c r="EJ147" s="9">
        <v>0</v>
      </c>
      <c r="EK147" s="9">
        <v>265.18600000000004</v>
      </c>
      <c r="EL147" s="9">
        <v>0</v>
      </c>
      <c r="EM147" s="9">
        <v>32.414000000000001</v>
      </c>
      <c r="EN147" s="9">
        <v>14.484</v>
      </c>
      <c r="EO147" s="9">
        <v>0</v>
      </c>
      <c r="EP147" s="9">
        <v>0</v>
      </c>
      <c r="EQ147" s="9">
        <v>312.12</v>
      </c>
      <c r="ER147" s="9">
        <v>0</v>
      </c>
      <c r="ES147" s="9">
        <v>965.4</v>
      </c>
      <c r="ET147" s="9">
        <v>79834</v>
      </c>
      <c r="EU147" s="9">
        <v>3586008</v>
      </c>
      <c r="EV147" s="9">
        <v>0</v>
      </c>
      <c r="EW147" s="9">
        <v>0</v>
      </c>
      <c r="EX147" s="9">
        <v>0</v>
      </c>
      <c r="EY147" s="9">
        <v>0</v>
      </c>
      <c r="EZ147" s="9">
        <v>73396745</v>
      </c>
      <c r="FA147" s="9">
        <v>0</v>
      </c>
      <c r="FB147" s="9">
        <v>76982753</v>
      </c>
      <c r="FC147" s="9">
        <v>0.97327799999999998</v>
      </c>
      <c r="FD147" s="9">
        <v>0</v>
      </c>
      <c r="FE147" s="9">
        <v>11311319</v>
      </c>
      <c r="FF147" s="9">
        <v>2548990</v>
      </c>
      <c r="FG147" s="9">
        <v>6.1239999999999996E-2</v>
      </c>
      <c r="FH147" s="9">
        <v>5.4803999999999999E-2</v>
      </c>
      <c r="FI147" s="9">
        <v>0</v>
      </c>
      <c r="FJ147" s="9">
        <v>0</v>
      </c>
      <c r="FK147" s="9">
        <v>14557.376</v>
      </c>
      <c r="FL147" s="9">
        <v>92718720</v>
      </c>
      <c r="FM147" s="9">
        <v>0</v>
      </c>
      <c r="FN147" s="9">
        <v>0</v>
      </c>
      <c r="FO147" s="9">
        <v>0</v>
      </c>
      <c r="FP147" s="9">
        <v>0</v>
      </c>
      <c r="FQ147" s="9">
        <v>0</v>
      </c>
      <c r="FR147" s="9">
        <v>0</v>
      </c>
      <c r="FS147" s="9">
        <v>0</v>
      </c>
      <c r="FT147" s="9">
        <v>0</v>
      </c>
      <c r="FU147" s="9">
        <v>0</v>
      </c>
      <c r="FV147" s="9">
        <v>0</v>
      </c>
      <c r="FW147" s="9">
        <v>0</v>
      </c>
      <c r="FX147" s="9">
        <v>0</v>
      </c>
      <c r="FY147" s="9">
        <v>0</v>
      </c>
      <c r="FZ147" s="9">
        <v>3017</v>
      </c>
      <c r="GA147" s="9">
        <v>60.343000000000004</v>
      </c>
      <c r="GB147" s="9">
        <v>4517623</v>
      </c>
      <c r="GC147" s="9">
        <v>4517623</v>
      </c>
      <c r="GD147" s="9">
        <v>510.24600000000004</v>
      </c>
      <c r="GE147" s="9">
        <v>0</v>
      </c>
      <c r="GF147" s="9">
        <v>0</v>
      </c>
      <c r="GG147" s="9">
        <v>0</v>
      </c>
      <c r="GH147" s="9">
        <v>0</v>
      </c>
      <c r="GI147" s="9">
        <v>0</v>
      </c>
      <c r="GJ147" s="9">
        <v>0</v>
      </c>
      <c r="GK147" s="9">
        <v>5114</v>
      </c>
      <c r="GL147" s="9">
        <v>11682</v>
      </c>
      <c r="GM147" s="9">
        <v>0</v>
      </c>
      <c r="GN147" s="9">
        <v>0</v>
      </c>
      <c r="GO147" s="9">
        <v>0</v>
      </c>
      <c r="GP147" s="9">
        <v>90843062</v>
      </c>
      <c r="GQ147" s="9">
        <v>90843062</v>
      </c>
      <c r="GR147" s="9">
        <v>0</v>
      </c>
      <c r="GS147" s="9">
        <v>0</v>
      </c>
      <c r="GT147" s="9">
        <v>0</v>
      </c>
      <c r="GU147" s="9">
        <v>0</v>
      </c>
      <c r="GV147" s="9">
        <v>0</v>
      </c>
      <c r="GW147" s="9">
        <v>0</v>
      </c>
      <c r="GX147" s="9">
        <v>0</v>
      </c>
      <c r="GY147" s="9">
        <v>0</v>
      </c>
      <c r="GZ147" s="9">
        <v>0</v>
      </c>
      <c r="HA147" s="9">
        <v>0</v>
      </c>
      <c r="HB147" s="9">
        <v>260786259</v>
      </c>
      <c r="HC147" s="9">
        <v>5.0923999999999997E-2</v>
      </c>
      <c r="HD147" s="9">
        <v>1795824</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32469</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row>
    <row r="148" spans="1:292" x14ac:dyDescent="0.25">
      <c r="A148" s="9">
        <v>165802</v>
      </c>
      <c r="B148" s="9">
        <v>32570</v>
      </c>
      <c r="C148" s="9">
        <v>35</v>
      </c>
      <c r="D148" s="9">
        <v>2022</v>
      </c>
      <c r="E148" s="9">
        <v>5392</v>
      </c>
      <c r="F148" s="9">
        <v>0</v>
      </c>
      <c r="G148" s="9">
        <v>361.23200000000003</v>
      </c>
      <c r="H148" s="9">
        <v>356.79599999999999</v>
      </c>
      <c r="I148" s="9">
        <v>356.79599999999999</v>
      </c>
      <c r="J148" s="9">
        <v>361.23200000000003</v>
      </c>
      <c r="K148" s="9">
        <v>0</v>
      </c>
      <c r="L148" s="9">
        <v>6554</v>
      </c>
      <c r="M148" s="9">
        <v>0</v>
      </c>
      <c r="N148" s="9">
        <v>0</v>
      </c>
      <c r="O148" s="9">
        <v>0</v>
      </c>
      <c r="P148" s="9">
        <v>390.66200000000003</v>
      </c>
      <c r="Q148" s="9">
        <v>0</v>
      </c>
      <c r="R148" s="9">
        <v>124900</v>
      </c>
      <c r="S148" s="9">
        <v>319.71300000000002</v>
      </c>
      <c r="T148" s="9">
        <v>0</v>
      </c>
      <c r="U148" s="9">
        <v>124900</v>
      </c>
      <c r="V148" s="9">
        <v>16.86</v>
      </c>
      <c r="W148" s="9">
        <v>11050</v>
      </c>
      <c r="X148" s="9">
        <v>11050</v>
      </c>
      <c r="Y148" s="9">
        <v>0</v>
      </c>
      <c r="Z148" s="9">
        <v>0</v>
      </c>
      <c r="AA148" s="9">
        <v>1</v>
      </c>
      <c r="AB148" s="9">
        <v>1</v>
      </c>
      <c r="AC148" s="9">
        <v>0</v>
      </c>
      <c r="AD148" s="9" t="s">
        <v>314</v>
      </c>
      <c r="AE148" s="9">
        <v>0</v>
      </c>
      <c r="AF148" s="9">
        <v>0</v>
      </c>
      <c r="AG148" s="9">
        <v>0</v>
      </c>
      <c r="AH148" s="9">
        <v>0</v>
      </c>
      <c r="AI148" s="9">
        <v>0</v>
      </c>
      <c r="AJ148" s="9">
        <v>5104</v>
      </c>
      <c r="AK148" s="9" t="s">
        <v>651</v>
      </c>
      <c r="AL148" s="9" t="s">
        <v>90</v>
      </c>
      <c r="AM148" s="9">
        <v>0</v>
      </c>
      <c r="AN148" s="9">
        <v>0</v>
      </c>
      <c r="AO148" s="9">
        <v>0</v>
      </c>
      <c r="AP148" s="9">
        <v>0</v>
      </c>
      <c r="AQ148" s="9">
        <v>0</v>
      </c>
      <c r="AR148" s="9">
        <v>0</v>
      </c>
      <c r="AS148" s="9">
        <v>0</v>
      </c>
      <c r="AT148" s="9">
        <v>0</v>
      </c>
      <c r="AU148" s="9">
        <v>0</v>
      </c>
      <c r="AV148" s="9">
        <v>43770</v>
      </c>
      <c r="AW148" s="9">
        <v>3198769</v>
      </c>
      <c r="AX148" s="9">
        <v>3120869</v>
      </c>
      <c r="AY148" s="9">
        <v>3272746</v>
      </c>
      <c r="AZ148" s="9">
        <v>124900</v>
      </c>
      <c r="BA148" s="9">
        <v>13.417</v>
      </c>
      <c r="BB148" s="9">
        <v>14205</v>
      </c>
      <c r="BC148" s="9">
        <v>14205</v>
      </c>
      <c r="BD148" s="9">
        <v>18.062000000000001</v>
      </c>
      <c r="BE148" s="9">
        <v>0</v>
      </c>
      <c r="BF148" s="9">
        <v>2673602</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77900</v>
      </c>
      <c r="CI148" s="9">
        <v>0</v>
      </c>
      <c r="CJ148" s="9">
        <v>4</v>
      </c>
      <c r="CK148" s="9">
        <v>0</v>
      </c>
      <c r="CL148" s="9">
        <v>0</v>
      </c>
      <c r="CM148" s="9">
        <v>0</v>
      </c>
      <c r="CN148" s="9">
        <v>0</v>
      </c>
      <c r="CO148" s="9">
        <v>0</v>
      </c>
      <c r="CP148" s="9">
        <v>0</v>
      </c>
      <c r="CQ148" s="9">
        <v>0</v>
      </c>
      <c r="CR148" s="9">
        <v>390.66200000000003</v>
      </c>
      <c r="CS148" s="9">
        <v>0</v>
      </c>
      <c r="CT148" s="9">
        <v>0</v>
      </c>
      <c r="CU148" s="9">
        <v>0</v>
      </c>
      <c r="CV148" s="9">
        <v>0</v>
      </c>
      <c r="CW148" s="9">
        <v>0</v>
      </c>
      <c r="CX148" s="9">
        <v>0</v>
      </c>
      <c r="CY148" s="9">
        <v>0</v>
      </c>
      <c r="CZ148" s="9">
        <v>0</v>
      </c>
      <c r="DA148" s="9">
        <v>1</v>
      </c>
      <c r="DB148" s="9">
        <v>2338441</v>
      </c>
      <c r="DC148" s="9">
        <v>0</v>
      </c>
      <c r="DD148" s="9">
        <v>0</v>
      </c>
      <c r="DE148" s="9">
        <v>280079</v>
      </c>
      <c r="DF148" s="9">
        <v>280079</v>
      </c>
      <c r="DG148" s="9">
        <v>213.67000000000002</v>
      </c>
      <c r="DH148" s="9">
        <v>0</v>
      </c>
      <c r="DI148" s="9">
        <v>0</v>
      </c>
      <c r="DJ148" s="9">
        <v>0</v>
      </c>
      <c r="DK148" s="9">
        <v>5392</v>
      </c>
      <c r="DL148" s="9">
        <v>0</v>
      </c>
      <c r="DM148" s="9">
        <v>103234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1.732</v>
      </c>
      <c r="ED148" s="9">
        <v>12487</v>
      </c>
      <c r="EE148" s="9">
        <v>0</v>
      </c>
      <c r="EF148" s="9">
        <v>0</v>
      </c>
      <c r="EG148" s="9">
        <v>0</v>
      </c>
      <c r="EH148" s="9">
        <v>90747</v>
      </c>
      <c r="EI148" s="9">
        <v>0</v>
      </c>
      <c r="EJ148" s="9">
        <v>0</v>
      </c>
      <c r="EK148" s="9">
        <v>4.1669999999999998</v>
      </c>
      <c r="EL148" s="9">
        <v>0</v>
      </c>
      <c r="EM148" s="9">
        <v>0</v>
      </c>
      <c r="EN148" s="9">
        <v>0.26900000000000002</v>
      </c>
      <c r="EO148" s="9">
        <v>0</v>
      </c>
      <c r="EP148" s="9">
        <v>0</v>
      </c>
      <c r="EQ148" s="9">
        <v>4.4359999999999999</v>
      </c>
      <c r="ER148" s="9">
        <v>0</v>
      </c>
      <c r="ES148" s="9">
        <v>13.846</v>
      </c>
      <c r="ET148" s="9">
        <v>6709</v>
      </c>
      <c r="EU148" s="9">
        <v>124900</v>
      </c>
      <c r="EV148" s="9">
        <v>0</v>
      </c>
      <c r="EW148" s="9">
        <v>0</v>
      </c>
      <c r="EX148" s="9">
        <v>0</v>
      </c>
      <c r="EY148" s="9">
        <v>0</v>
      </c>
      <c r="EZ148" s="9">
        <v>2622109</v>
      </c>
      <c r="FA148" s="9">
        <v>0</v>
      </c>
      <c r="FB148" s="9">
        <v>2747009</v>
      </c>
      <c r="FC148" s="9">
        <v>0.97327799999999998</v>
      </c>
      <c r="FD148" s="9">
        <v>0</v>
      </c>
      <c r="FE148" s="9">
        <v>407035</v>
      </c>
      <c r="FF148" s="9">
        <v>91725</v>
      </c>
      <c r="FG148" s="9">
        <v>6.1239999999999996E-2</v>
      </c>
      <c r="FH148" s="9">
        <v>5.4803999999999999E-2</v>
      </c>
      <c r="FI148" s="9">
        <v>0</v>
      </c>
      <c r="FJ148" s="9">
        <v>0</v>
      </c>
      <c r="FK148" s="9">
        <v>523.84300000000007</v>
      </c>
      <c r="FL148" s="9">
        <v>3323669</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3245769</v>
      </c>
      <c r="GQ148" s="9">
        <v>3245769</v>
      </c>
      <c r="GR148" s="9">
        <v>0</v>
      </c>
      <c r="GS148" s="9">
        <v>0</v>
      </c>
      <c r="GT148" s="9">
        <v>0</v>
      </c>
      <c r="GU148" s="9">
        <v>0</v>
      </c>
      <c r="GV148" s="9">
        <v>0</v>
      </c>
      <c r="GW148" s="9">
        <v>0</v>
      </c>
      <c r="GX148" s="9">
        <v>0</v>
      </c>
      <c r="GY148" s="9">
        <v>0</v>
      </c>
      <c r="GZ148" s="9">
        <v>0</v>
      </c>
      <c r="HA148" s="9">
        <v>0</v>
      </c>
      <c r="HB148" s="9">
        <v>260786259</v>
      </c>
      <c r="HC148" s="9">
        <v>5.0923999999999997E-2</v>
      </c>
      <c r="HD148" s="9">
        <v>71191</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32469</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row>
    <row r="149" spans="1:292" ht="13" x14ac:dyDescent="0.3">
      <c r="A149" s="9">
        <v>170801</v>
      </c>
      <c r="B149" s="9">
        <v>32570</v>
      </c>
      <c r="C149" s="9">
        <v>35</v>
      </c>
      <c r="D149" s="9">
        <v>2022</v>
      </c>
      <c r="E149" s="9">
        <v>5392</v>
      </c>
      <c r="F149" s="9">
        <v>0</v>
      </c>
      <c r="G149" s="9">
        <v>441.57500000000005</v>
      </c>
      <c r="H149" s="9">
        <v>432.99900000000002</v>
      </c>
      <c r="I149" s="9">
        <v>432.99900000000002</v>
      </c>
      <c r="J149" s="9">
        <v>441.57500000000005</v>
      </c>
      <c r="K149" s="9">
        <v>0</v>
      </c>
      <c r="L149" s="9">
        <v>6554</v>
      </c>
      <c r="M149" s="9">
        <v>0</v>
      </c>
      <c r="N149" s="9">
        <v>0</v>
      </c>
      <c r="O149" s="9">
        <v>0</v>
      </c>
      <c r="P149" s="9">
        <v>373.00300000000004</v>
      </c>
      <c r="Q149" s="9">
        <v>0</v>
      </c>
      <c r="R149" s="10">
        <v>119254</v>
      </c>
      <c r="S149" s="9">
        <v>319.71300000000002</v>
      </c>
      <c r="T149" s="9">
        <v>0</v>
      </c>
      <c r="U149" s="10">
        <v>119254</v>
      </c>
      <c r="V149" s="10">
        <v>87.054000000000002</v>
      </c>
      <c r="W149" s="10">
        <v>57055</v>
      </c>
      <c r="X149" s="10">
        <v>57055</v>
      </c>
      <c r="Y149" s="9">
        <v>0</v>
      </c>
      <c r="Z149" s="9">
        <v>0</v>
      </c>
      <c r="AA149" s="9">
        <v>1</v>
      </c>
      <c r="AB149" s="9">
        <v>1</v>
      </c>
      <c r="AC149" s="9">
        <v>0</v>
      </c>
      <c r="AD149" s="9" t="s">
        <v>314</v>
      </c>
      <c r="AE149" s="9">
        <v>0</v>
      </c>
      <c r="AF149" s="9">
        <v>0</v>
      </c>
      <c r="AG149" s="9">
        <v>0</v>
      </c>
      <c r="AH149" s="9">
        <v>0</v>
      </c>
      <c r="AI149" s="9">
        <v>0</v>
      </c>
      <c r="AJ149" s="9">
        <v>5104</v>
      </c>
      <c r="AK149" s="9" t="s">
        <v>651</v>
      </c>
      <c r="AL149" s="9" t="s">
        <v>70</v>
      </c>
      <c r="AM149" s="9">
        <v>0</v>
      </c>
      <c r="AN149" s="9">
        <v>0</v>
      </c>
      <c r="AO149" s="9">
        <v>0</v>
      </c>
      <c r="AP149" s="9">
        <v>0</v>
      </c>
      <c r="AQ149" s="9">
        <v>0</v>
      </c>
      <c r="AR149" s="9">
        <v>0</v>
      </c>
      <c r="AS149" s="9">
        <v>0</v>
      </c>
      <c r="AT149" s="9">
        <v>0</v>
      </c>
      <c r="AU149" s="9">
        <v>0</v>
      </c>
      <c r="AV149" s="9">
        <v>312411</v>
      </c>
      <c r="AW149" s="9">
        <v>4563734</v>
      </c>
      <c r="AX149" s="9">
        <v>4463375</v>
      </c>
      <c r="AY149" s="9">
        <v>5058819</v>
      </c>
      <c r="AZ149" s="9">
        <v>119254</v>
      </c>
      <c r="BA149" s="10">
        <v>26.667000000000002</v>
      </c>
      <c r="BB149" s="9">
        <v>0</v>
      </c>
      <c r="BC149" s="9">
        <v>0</v>
      </c>
      <c r="BD149" s="9">
        <v>0</v>
      </c>
      <c r="BE149" s="9">
        <v>0</v>
      </c>
      <c r="BF149" s="9">
        <v>3647867</v>
      </c>
      <c r="BG149" s="9">
        <v>0</v>
      </c>
      <c r="BH149" s="10">
        <v>0</v>
      </c>
      <c r="BI149" s="10">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10">
        <v>100359</v>
      </c>
      <c r="CI149" s="9">
        <v>0</v>
      </c>
      <c r="CJ149" s="9">
        <v>4</v>
      </c>
      <c r="CK149" s="9">
        <v>0</v>
      </c>
      <c r="CL149" s="9">
        <v>0</v>
      </c>
      <c r="CM149" s="9">
        <v>0</v>
      </c>
      <c r="CN149" s="9">
        <v>0</v>
      </c>
      <c r="CO149" s="9">
        <v>0</v>
      </c>
      <c r="CP149" s="9">
        <v>0</v>
      </c>
      <c r="CQ149" s="9">
        <v>0</v>
      </c>
      <c r="CR149" s="9">
        <v>373.00300000000004</v>
      </c>
      <c r="CS149" s="9">
        <v>0</v>
      </c>
      <c r="CT149" s="9">
        <v>0</v>
      </c>
      <c r="CU149" s="9">
        <v>0</v>
      </c>
      <c r="CV149" s="9">
        <v>0</v>
      </c>
      <c r="CW149" s="9">
        <v>0</v>
      </c>
      <c r="CX149" s="9">
        <v>0</v>
      </c>
      <c r="CY149" s="9">
        <v>0</v>
      </c>
      <c r="CZ149" s="9">
        <v>0</v>
      </c>
      <c r="DA149" s="9">
        <v>1</v>
      </c>
      <c r="DB149" s="9">
        <v>2837875</v>
      </c>
      <c r="DC149" s="9">
        <v>0</v>
      </c>
      <c r="DD149" s="9">
        <v>0</v>
      </c>
      <c r="DE149" s="9">
        <v>567354</v>
      </c>
      <c r="DF149" s="9">
        <v>567354</v>
      </c>
      <c r="DG149" s="9">
        <v>432.83</v>
      </c>
      <c r="DH149" s="9">
        <v>0</v>
      </c>
      <c r="DI149" s="9">
        <v>0</v>
      </c>
      <c r="DJ149" s="9">
        <v>0</v>
      </c>
      <c r="DK149" s="9">
        <v>5392</v>
      </c>
      <c r="DL149" s="9">
        <v>0</v>
      </c>
      <c r="DM149" s="9">
        <v>285740</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15.347000000000001</v>
      </c>
      <c r="ED149" s="9">
        <v>110643</v>
      </c>
      <c r="EE149" s="9">
        <v>0</v>
      </c>
      <c r="EF149" s="9">
        <v>0</v>
      </c>
      <c r="EG149" s="9">
        <v>0</v>
      </c>
      <c r="EH149" s="9">
        <v>175097</v>
      </c>
      <c r="EI149" s="9">
        <v>0</v>
      </c>
      <c r="EJ149" s="9">
        <v>0</v>
      </c>
      <c r="EK149" s="9">
        <v>8.0820000000000007</v>
      </c>
      <c r="EL149" s="9">
        <v>0</v>
      </c>
      <c r="EM149" s="9">
        <v>0</v>
      </c>
      <c r="EN149" s="9">
        <v>0.49400000000000005</v>
      </c>
      <c r="EO149" s="9">
        <v>0</v>
      </c>
      <c r="EP149" s="9">
        <v>0</v>
      </c>
      <c r="EQ149" s="9">
        <v>8.5760000000000005</v>
      </c>
      <c r="ER149" s="9">
        <v>0</v>
      </c>
      <c r="ES149" s="9">
        <v>26.716000000000001</v>
      </c>
      <c r="ET149" s="10">
        <v>13334</v>
      </c>
      <c r="EU149" s="9">
        <v>119254</v>
      </c>
      <c r="EV149" s="9">
        <v>0</v>
      </c>
      <c r="EW149" s="9">
        <v>0</v>
      </c>
      <c r="EX149" s="9">
        <v>0</v>
      </c>
      <c r="EY149" s="9">
        <v>0</v>
      </c>
      <c r="EZ149" s="9">
        <v>3782868</v>
      </c>
      <c r="FA149" s="9">
        <v>0</v>
      </c>
      <c r="FB149" s="10">
        <v>3902122</v>
      </c>
      <c r="FC149" s="9">
        <v>0.97327799999999998</v>
      </c>
      <c r="FD149" s="9">
        <v>0</v>
      </c>
      <c r="FE149" s="9">
        <v>555358</v>
      </c>
      <c r="FF149" s="9">
        <v>125149</v>
      </c>
      <c r="FG149" s="9">
        <v>6.1239999999999996E-2</v>
      </c>
      <c r="FH149" s="9">
        <v>5.4803999999999999E-2</v>
      </c>
      <c r="FI149" s="9">
        <v>0</v>
      </c>
      <c r="FJ149" s="9">
        <v>0</v>
      </c>
      <c r="FK149" s="9">
        <v>714.73200000000008</v>
      </c>
      <c r="FL149" s="9">
        <v>4682988</v>
      </c>
      <c r="FM149" s="9">
        <v>0</v>
      </c>
      <c r="FN149" s="9">
        <v>0</v>
      </c>
      <c r="FO149" s="9">
        <v>154098</v>
      </c>
      <c r="FP149" s="9">
        <v>0</v>
      </c>
      <c r="FQ149" s="9">
        <v>154098</v>
      </c>
      <c r="FR149" s="9">
        <v>154098</v>
      </c>
      <c r="FS149" s="9">
        <v>0</v>
      </c>
      <c r="FT149" s="9">
        <v>0</v>
      </c>
      <c r="FU149" s="9">
        <v>0</v>
      </c>
      <c r="FV149" s="9">
        <v>0</v>
      </c>
      <c r="FW149" s="9">
        <v>0</v>
      </c>
      <c r="FX149" s="9">
        <v>0</v>
      </c>
      <c r="FY149" s="9">
        <v>0</v>
      </c>
      <c r="FZ149" s="9">
        <v>0</v>
      </c>
      <c r="GA149" s="9">
        <v>0</v>
      </c>
      <c r="GB149" s="10">
        <v>0</v>
      </c>
      <c r="GC149" s="10">
        <v>0</v>
      </c>
      <c r="GD149" s="10">
        <v>0</v>
      </c>
      <c r="GE149" s="9">
        <v>0</v>
      </c>
      <c r="GF149" s="9">
        <v>0</v>
      </c>
      <c r="GG149" s="9">
        <v>0</v>
      </c>
      <c r="GH149" s="9">
        <v>0</v>
      </c>
      <c r="GI149" s="9">
        <v>0</v>
      </c>
      <c r="GJ149" s="9">
        <v>0</v>
      </c>
      <c r="GK149" s="9">
        <v>5116</v>
      </c>
      <c r="GL149" s="9">
        <v>11276</v>
      </c>
      <c r="GM149" s="9">
        <v>0</v>
      </c>
      <c r="GN149" s="9">
        <v>43177</v>
      </c>
      <c r="GO149" s="9">
        <v>0</v>
      </c>
      <c r="GP149" s="9">
        <v>4582629</v>
      </c>
      <c r="GQ149" s="9">
        <v>4582629</v>
      </c>
      <c r="GR149" s="9">
        <v>0</v>
      </c>
      <c r="GS149" s="9">
        <v>0</v>
      </c>
      <c r="GT149" s="9">
        <v>0</v>
      </c>
      <c r="GU149" s="9">
        <v>0</v>
      </c>
      <c r="GV149" s="9">
        <v>0</v>
      </c>
      <c r="GW149" s="9">
        <v>0</v>
      </c>
      <c r="GX149" s="9">
        <v>0</v>
      </c>
      <c r="GY149" s="9">
        <v>0</v>
      </c>
      <c r="GZ149" s="9">
        <v>0</v>
      </c>
      <c r="HA149" s="9">
        <v>0</v>
      </c>
      <c r="HB149" s="9">
        <v>260786259</v>
      </c>
      <c r="HC149" s="9">
        <v>5.0923999999999997E-2</v>
      </c>
      <c r="HD149" s="10">
        <v>87025</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32469</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row>
    <row r="150" spans="1:292" x14ac:dyDescent="0.25">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9">
        <v>0</v>
      </c>
      <c r="S150" s="9">
        <v>0</v>
      </c>
      <c r="T150" s="9">
        <v>0</v>
      </c>
      <c r="U150" s="9">
        <v>0</v>
      </c>
      <c r="V150" s="9">
        <v>0</v>
      </c>
      <c r="W150" s="9">
        <v>0</v>
      </c>
      <c r="X150" s="9">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9">
        <v>0</v>
      </c>
      <c r="BB150" s="9">
        <v>0</v>
      </c>
      <c r="BC150" s="9">
        <v>0</v>
      </c>
      <c r="BD150" s="9">
        <v>0</v>
      </c>
      <c r="BE150" s="9">
        <v>0</v>
      </c>
      <c r="BF150" s="9">
        <v>0</v>
      </c>
      <c r="BG150" s="9">
        <v>0</v>
      </c>
      <c r="BH150" s="9">
        <v>0</v>
      </c>
      <c r="BI150" s="9">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9">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9">
        <v>0</v>
      </c>
      <c r="EU150" s="9">
        <v>0</v>
      </c>
      <c r="EV150" s="9">
        <v>0</v>
      </c>
      <c r="EW150" s="9">
        <v>0</v>
      </c>
      <c r="EX150" s="9">
        <v>0</v>
      </c>
      <c r="EY150" s="9">
        <v>0</v>
      </c>
      <c r="EZ150" s="9">
        <v>0</v>
      </c>
      <c r="FA150" s="9">
        <v>0</v>
      </c>
      <c r="FB150" s="9">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9">
        <v>0</v>
      </c>
      <c r="GC150" s="9">
        <v>0</v>
      </c>
      <c r="GD150" s="9">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9">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row>
    <row r="151" spans="1:292" ht="13" x14ac:dyDescent="0.3">
      <c r="A151" s="9">
        <v>174801</v>
      </c>
      <c r="B151" s="9">
        <v>32570</v>
      </c>
      <c r="C151" s="9">
        <v>35</v>
      </c>
      <c r="D151" s="9">
        <v>2022</v>
      </c>
      <c r="E151" s="9">
        <v>5392</v>
      </c>
      <c r="F151" s="9">
        <v>0</v>
      </c>
      <c r="G151" s="9">
        <v>248.584</v>
      </c>
      <c r="H151" s="9">
        <v>245.935</v>
      </c>
      <c r="I151" s="9">
        <v>245.935</v>
      </c>
      <c r="J151" s="9">
        <v>248.584</v>
      </c>
      <c r="K151" s="9">
        <v>0</v>
      </c>
      <c r="L151" s="9">
        <v>6554</v>
      </c>
      <c r="M151" s="9">
        <v>0</v>
      </c>
      <c r="N151" s="9">
        <v>0</v>
      </c>
      <c r="O151" s="9">
        <v>0</v>
      </c>
      <c r="P151" s="9">
        <v>249.501</v>
      </c>
      <c r="Q151" s="9">
        <v>0</v>
      </c>
      <c r="R151" s="10">
        <v>79769</v>
      </c>
      <c r="S151" s="9">
        <v>319.71300000000002</v>
      </c>
      <c r="T151" s="9">
        <v>0</v>
      </c>
      <c r="U151" s="10">
        <v>79769</v>
      </c>
      <c r="V151" s="10">
        <v>7.3660000000000005</v>
      </c>
      <c r="W151" s="10">
        <v>4828</v>
      </c>
      <c r="X151" s="10">
        <v>4828</v>
      </c>
      <c r="Y151" s="9">
        <v>0</v>
      </c>
      <c r="Z151" s="9">
        <v>0</v>
      </c>
      <c r="AA151" s="9">
        <v>1</v>
      </c>
      <c r="AB151" s="9">
        <v>1</v>
      </c>
      <c r="AC151" s="9">
        <v>0</v>
      </c>
      <c r="AD151" s="9" t="s">
        <v>314</v>
      </c>
      <c r="AE151" s="9">
        <v>0</v>
      </c>
      <c r="AF151" s="9">
        <v>0</v>
      </c>
      <c r="AG151" s="9">
        <v>0</v>
      </c>
      <c r="AH151" s="9">
        <v>0</v>
      </c>
      <c r="AI151" s="9">
        <v>0</v>
      </c>
      <c r="AJ151" s="9">
        <v>5104</v>
      </c>
      <c r="AK151" s="9" t="s">
        <v>651</v>
      </c>
      <c r="AL151" s="9" t="s">
        <v>359</v>
      </c>
      <c r="AM151" s="9">
        <v>0</v>
      </c>
      <c r="AN151" s="9">
        <v>0</v>
      </c>
      <c r="AO151" s="9">
        <v>0</v>
      </c>
      <c r="AP151" s="9">
        <v>0</v>
      </c>
      <c r="AQ151" s="9">
        <v>0</v>
      </c>
      <c r="AR151" s="9">
        <v>0</v>
      </c>
      <c r="AS151" s="9">
        <v>0</v>
      </c>
      <c r="AT151" s="9">
        <v>0</v>
      </c>
      <c r="AU151" s="9">
        <v>0</v>
      </c>
      <c r="AV151" s="9">
        <v>43</v>
      </c>
      <c r="AW151" s="9">
        <v>2001477</v>
      </c>
      <c r="AX151" s="9">
        <v>1952487</v>
      </c>
      <c r="AY151" s="9">
        <v>2107245</v>
      </c>
      <c r="AZ151" s="9">
        <v>79769</v>
      </c>
      <c r="BA151" s="10">
        <v>0</v>
      </c>
      <c r="BB151" s="9">
        <v>0</v>
      </c>
      <c r="BC151" s="9">
        <v>0</v>
      </c>
      <c r="BD151" s="9">
        <v>0</v>
      </c>
      <c r="BE151" s="9">
        <v>0</v>
      </c>
      <c r="BF151" s="9">
        <v>1674009</v>
      </c>
      <c r="BG151" s="9">
        <v>0</v>
      </c>
      <c r="BH151" s="10">
        <v>0</v>
      </c>
      <c r="BI151" s="10">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10">
        <v>48990</v>
      </c>
      <c r="CI151" s="9">
        <v>0</v>
      </c>
      <c r="CJ151" s="9">
        <v>4</v>
      </c>
      <c r="CK151" s="9">
        <v>0</v>
      </c>
      <c r="CL151" s="9">
        <v>0</v>
      </c>
      <c r="CM151" s="9">
        <v>0</v>
      </c>
      <c r="CN151" s="9">
        <v>0</v>
      </c>
      <c r="CO151" s="9">
        <v>0</v>
      </c>
      <c r="CP151" s="9">
        <v>0</v>
      </c>
      <c r="CQ151" s="9">
        <v>0</v>
      </c>
      <c r="CR151" s="9">
        <v>249.501</v>
      </c>
      <c r="CS151" s="9">
        <v>0</v>
      </c>
      <c r="CT151" s="9">
        <v>0</v>
      </c>
      <c r="CU151" s="9">
        <v>0</v>
      </c>
      <c r="CV151" s="9">
        <v>0</v>
      </c>
      <c r="CW151" s="9">
        <v>0</v>
      </c>
      <c r="CX151" s="9">
        <v>0</v>
      </c>
      <c r="CY151" s="9">
        <v>0</v>
      </c>
      <c r="CZ151" s="9">
        <v>0</v>
      </c>
      <c r="DA151" s="9">
        <v>1</v>
      </c>
      <c r="DB151" s="9">
        <v>1611858</v>
      </c>
      <c r="DC151" s="9">
        <v>0</v>
      </c>
      <c r="DD151" s="9">
        <v>0</v>
      </c>
      <c r="DE151" s="9">
        <v>22284</v>
      </c>
      <c r="DF151" s="9">
        <v>22284</v>
      </c>
      <c r="DG151" s="9">
        <v>17</v>
      </c>
      <c r="DH151" s="9">
        <v>0</v>
      </c>
      <c r="DI151" s="9">
        <v>0</v>
      </c>
      <c r="DJ151" s="9">
        <v>0</v>
      </c>
      <c r="DK151" s="9">
        <v>5392</v>
      </c>
      <c r="DL151" s="9">
        <v>0</v>
      </c>
      <c r="DM151" s="9">
        <v>81001</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2.9710000000000001</v>
      </c>
      <c r="ED151" s="9">
        <v>21419</v>
      </c>
      <c r="EE151" s="9">
        <v>0</v>
      </c>
      <c r="EF151" s="9">
        <v>0</v>
      </c>
      <c r="EG151" s="9">
        <v>0</v>
      </c>
      <c r="EH151" s="9">
        <v>59582</v>
      </c>
      <c r="EI151" s="9">
        <v>0</v>
      </c>
      <c r="EJ151" s="9">
        <v>0</v>
      </c>
      <c r="EK151" s="9">
        <v>2.077</v>
      </c>
      <c r="EL151" s="9">
        <v>0</v>
      </c>
      <c r="EM151" s="9">
        <v>0</v>
      </c>
      <c r="EN151" s="9">
        <v>0.57200000000000006</v>
      </c>
      <c r="EO151" s="9">
        <v>0</v>
      </c>
      <c r="EP151" s="9">
        <v>0</v>
      </c>
      <c r="EQ151" s="9">
        <v>2.649</v>
      </c>
      <c r="ER151" s="9">
        <v>0</v>
      </c>
      <c r="ES151" s="9">
        <v>9.0910000000000011</v>
      </c>
      <c r="ET151" s="10">
        <v>0</v>
      </c>
      <c r="EU151" s="9">
        <v>79769</v>
      </c>
      <c r="EV151" s="9">
        <v>0</v>
      </c>
      <c r="EW151" s="9">
        <v>0</v>
      </c>
      <c r="EX151" s="9">
        <v>0</v>
      </c>
      <c r="EY151" s="9">
        <v>0</v>
      </c>
      <c r="EZ151" s="9">
        <v>1640202</v>
      </c>
      <c r="FA151" s="9">
        <v>0</v>
      </c>
      <c r="FB151" s="10">
        <v>1719971</v>
      </c>
      <c r="FC151" s="9">
        <v>0.97327799999999998</v>
      </c>
      <c r="FD151" s="9">
        <v>0</v>
      </c>
      <c r="FE151" s="9">
        <v>254854</v>
      </c>
      <c r="FF151" s="9">
        <v>57431</v>
      </c>
      <c r="FG151" s="9">
        <v>6.1239999999999996E-2</v>
      </c>
      <c r="FH151" s="9">
        <v>5.4803999999999999E-2</v>
      </c>
      <c r="FI151" s="9">
        <v>0</v>
      </c>
      <c r="FJ151" s="9">
        <v>0</v>
      </c>
      <c r="FK151" s="9">
        <v>327.99100000000004</v>
      </c>
      <c r="FL151" s="9">
        <v>2081246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10">
        <v>0</v>
      </c>
      <c r="GC151" s="10">
        <v>0</v>
      </c>
      <c r="GD151" s="10">
        <v>0</v>
      </c>
      <c r="GE151" s="9">
        <v>0</v>
      </c>
      <c r="GF151" s="9">
        <v>0</v>
      </c>
      <c r="GG151" s="9">
        <v>0</v>
      </c>
      <c r="GH151" s="9">
        <v>0</v>
      </c>
      <c r="GI151" s="9">
        <v>0</v>
      </c>
      <c r="GJ151" s="9">
        <v>0</v>
      </c>
      <c r="GK151" s="9">
        <v>4971</v>
      </c>
      <c r="GL151" s="9">
        <v>4602</v>
      </c>
      <c r="GM151" s="9">
        <v>0</v>
      </c>
      <c r="GN151" s="9">
        <v>0</v>
      </c>
      <c r="GO151" s="9">
        <v>0</v>
      </c>
      <c r="GP151" s="9">
        <v>2032256</v>
      </c>
      <c r="GQ151" s="9">
        <v>2032256</v>
      </c>
      <c r="GR151" s="9">
        <v>0</v>
      </c>
      <c r="GS151" s="9">
        <v>0</v>
      </c>
      <c r="GT151" s="9">
        <v>0</v>
      </c>
      <c r="GU151" s="9">
        <v>0</v>
      </c>
      <c r="GV151" s="9">
        <v>0</v>
      </c>
      <c r="GW151" s="9">
        <v>0</v>
      </c>
      <c r="GX151" s="9">
        <v>0</v>
      </c>
      <c r="GY151" s="9">
        <v>0</v>
      </c>
      <c r="GZ151" s="9">
        <v>0</v>
      </c>
      <c r="HA151" s="9">
        <v>0</v>
      </c>
      <c r="HB151" s="9">
        <v>260786259</v>
      </c>
      <c r="HC151" s="9">
        <v>5.0923999999999997E-2</v>
      </c>
      <c r="HD151" s="10">
        <v>48990</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32469</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row>
    <row r="152" spans="1:292" ht="13" x14ac:dyDescent="0.3">
      <c r="A152" s="9">
        <v>178801</v>
      </c>
      <c r="B152" s="9">
        <v>32570</v>
      </c>
      <c r="C152" s="9">
        <v>35</v>
      </c>
      <c r="D152" s="9">
        <v>2022</v>
      </c>
      <c r="E152" s="9">
        <v>5392</v>
      </c>
      <c r="F152" s="9">
        <v>0</v>
      </c>
      <c r="G152" s="9">
        <v>202.04</v>
      </c>
      <c r="H152" s="9">
        <v>201.75500000000002</v>
      </c>
      <c r="I152" s="9">
        <v>201.75500000000002</v>
      </c>
      <c r="J152" s="9">
        <v>202.04</v>
      </c>
      <c r="K152" s="9">
        <v>0</v>
      </c>
      <c r="L152" s="9">
        <v>6554</v>
      </c>
      <c r="M152" s="9">
        <v>0</v>
      </c>
      <c r="N152" s="9">
        <v>0</v>
      </c>
      <c r="O152" s="9">
        <v>0</v>
      </c>
      <c r="P152" s="9">
        <v>178.43700000000001</v>
      </c>
      <c r="Q152" s="9">
        <v>0</v>
      </c>
      <c r="R152" s="10">
        <v>57049</v>
      </c>
      <c r="S152" s="9">
        <v>319.71300000000002</v>
      </c>
      <c r="T152" s="9">
        <v>0</v>
      </c>
      <c r="U152" s="10">
        <v>57049</v>
      </c>
      <c r="V152" s="10">
        <v>36.795999999999999</v>
      </c>
      <c r="W152" s="10">
        <v>24116</v>
      </c>
      <c r="X152" s="10">
        <v>24116</v>
      </c>
      <c r="Y152" s="9">
        <v>0</v>
      </c>
      <c r="Z152" s="9">
        <v>0</v>
      </c>
      <c r="AA152" s="9">
        <v>1</v>
      </c>
      <c r="AB152" s="9">
        <v>1</v>
      </c>
      <c r="AC152" s="9">
        <v>0</v>
      </c>
      <c r="AD152" s="9" t="s">
        <v>314</v>
      </c>
      <c r="AE152" s="9">
        <v>0</v>
      </c>
      <c r="AF152" s="9">
        <v>0</v>
      </c>
      <c r="AG152" s="9">
        <v>0</v>
      </c>
      <c r="AH152" s="9">
        <v>0</v>
      </c>
      <c r="AI152" s="9">
        <v>0</v>
      </c>
      <c r="AJ152" s="9">
        <v>5104</v>
      </c>
      <c r="AK152" s="9" t="s">
        <v>651</v>
      </c>
      <c r="AL152" s="9" t="s">
        <v>93</v>
      </c>
      <c r="AM152" s="9">
        <v>0</v>
      </c>
      <c r="AN152" s="9">
        <v>0</v>
      </c>
      <c r="AO152" s="9">
        <v>0</v>
      </c>
      <c r="AP152" s="9">
        <v>0</v>
      </c>
      <c r="AQ152" s="9">
        <v>0</v>
      </c>
      <c r="AR152" s="9">
        <v>0</v>
      </c>
      <c r="AS152" s="9">
        <v>0</v>
      </c>
      <c r="AT152" s="9">
        <v>0</v>
      </c>
      <c r="AU152" s="9">
        <v>0</v>
      </c>
      <c r="AV152" s="9">
        <v>59561</v>
      </c>
      <c r="AW152" s="9">
        <v>2008488</v>
      </c>
      <c r="AX152" s="9">
        <v>1961962</v>
      </c>
      <c r="AY152" s="9">
        <v>2189237</v>
      </c>
      <c r="AZ152" s="9">
        <v>57049</v>
      </c>
      <c r="BA152" s="10">
        <v>12.75</v>
      </c>
      <c r="BB152" s="9">
        <v>0</v>
      </c>
      <c r="BC152" s="9">
        <v>0</v>
      </c>
      <c r="BD152" s="9">
        <v>0</v>
      </c>
      <c r="BE152" s="9">
        <v>0</v>
      </c>
      <c r="BF152" s="9">
        <v>1663099</v>
      </c>
      <c r="BG152" s="9">
        <v>0</v>
      </c>
      <c r="BH152" s="10">
        <v>0</v>
      </c>
      <c r="BI152" s="10">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10">
        <v>46526</v>
      </c>
      <c r="CI152" s="9">
        <v>0</v>
      </c>
      <c r="CJ152" s="9">
        <v>4</v>
      </c>
      <c r="CK152" s="9">
        <v>0</v>
      </c>
      <c r="CL152" s="9">
        <v>0</v>
      </c>
      <c r="CM152" s="9">
        <v>0</v>
      </c>
      <c r="CN152" s="9">
        <v>0</v>
      </c>
      <c r="CO152" s="9">
        <v>0</v>
      </c>
      <c r="CP152" s="9">
        <v>0</v>
      </c>
      <c r="CQ152" s="9">
        <v>1.333</v>
      </c>
      <c r="CR152" s="9">
        <v>178.43700000000001</v>
      </c>
      <c r="CS152" s="9">
        <v>0</v>
      </c>
      <c r="CT152" s="9">
        <v>0</v>
      </c>
      <c r="CU152" s="9">
        <v>0</v>
      </c>
      <c r="CV152" s="9">
        <v>0</v>
      </c>
      <c r="CW152" s="9">
        <v>0</v>
      </c>
      <c r="CX152" s="9">
        <v>0</v>
      </c>
      <c r="CY152" s="9">
        <v>0</v>
      </c>
      <c r="CZ152" s="9">
        <v>0</v>
      </c>
      <c r="DA152" s="9">
        <v>1</v>
      </c>
      <c r="DB152" s="9">
        <v>1322302</v>
      </c>
      <c r="DC152" s="9">
        <v>0</v>
      </c>
      <c r="DD152" s="9">
        <v>0</v>
      </c>
      <c r="DE152" s="9">
        <v>285099</v>
      </c>
      <c r="DF152" s="9">
        <v>285099</v>
      </c>
      <c r="DG152" s="9">
        <v>217.5</v>
      </c>
      <c r="DH152" s="9">
        <v>0</v>
      </c>
      <c r="DI152" s="9">
        <v>0</v>
      </c>
      <c r="DJ152" s="9">
        <v>0</v>
      </c>
      <c r="DK152" s="9">
        <v>5392</v>
      </c>
      <c r="DL152" s="9">
        <v>0</v>
      </c>
      <c r="DM152" s="9">
        <v>77244</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9.4190000000000005</v>
      </c>
      <c r="ED152" s="9">
        <v>67905</v>
      </c>
      <c r="EE152" s="9">
        <v>0</v>
      </c>
      <c r="EF152" s="9">
        <v>0</v>
      </c>
      <c r="EG152" s="9">
        <v>0</v>
      </c>
      <c r="EH152" s="9">
        <v>9339</v>
      </c>
      <c r="EI152" s="9">
        <v>0</v>
      </c>
      <c r="EJ152" s="9">
        <v>0</v>
      </c>
      <c r="EK152" s="9">
        <v>0</v>
      </c>
      <c r="EL152" s="9">
        <v>0</v>
      </c>
      <c r="EM152" s="9">
        <v>0</v>
      </c>
      <c r="EN152" s="9">
        <v>0.28500000000000003</v>
      </c>
      <c r="EO152" s="9">
        <v>0</v>
      </c>
      <c r="EP152" s="9">
        <v>0</v>
      </c>
      <c r="EQ152" s="9">
        <v>0.28500000000000003</v>
      </c>
      <c r="ER152" s="9">
        <v>0</v>
      </c>
      <c r="ES152" s="9">
        <v>1.425</v>
      </c>
      <c r="ET152" s="10">
        <v>6708</v>
      </c>
      <c r="EU152" s="9">
        <v>57049</v>
      </c>
      <c r="EV152" s="9">
        <v>0</v>
      </c>
      <c r="EW152" s="9">
        <v>0</v>
      </c>
      <c r="EX152" s="9">
        <v>0</v>
      </c>
      <c r="EY152" s="9">
        <v>0</v>
      </c>
      <c r="EZ152" s="9">
        <v>1651712</v>
      </c>
      <c r="FA152" s="9">
        <v>0</v>
      </c>
      <c r="FB152" s="10">
        <v>1708761</v>
      </c>
      <c r="FC152" s="9">
        <v>0.97327799999999998</v>
      </c>
      <c r="FD152" s="9">
        <v>0</v>
      </c>
      <c r="FE152" s="9">
        <v>253193</v>
      </c>
      <c r="FF152" s="9">
        <v>57057</v>
      </c>
      <c r="FG152" s="9">
        <v>6.1239999999999996E-2</v>
      </c>
      <c r="FH152" s="9">
        <v>5.4803999999999999E-2</v>
      </c>
      <c r="FI152" s="9">
        <v>0</v>
      </c>
      <c r="FJ152" s="9">
        <v>0</v>
      </c>
      <c r="FK152" s="9">
        <v>325.85300000000001</v>
      </c>
      <c r="FL152" s="9">
        <v>2065537</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10">
        <v>0</v>
      </c>
      <c r="GC152" s="10">
        <v>0</v>
      </c>
      <c r="GD152" s="10">
        <v>0</v>
      </c>
      <c r="GE152" s="9">
        <v>0</v>
      </c>
      <c r="GF152" s="9">
        <v>0</v>
      </c>
      <c r="GG152" s="9">
        <v>0</v>
      </c>
      <c r="GH152" s="9">
        <v>0</v>
      </c>
      <c r="GI152" s="9">
        <v>0</v>
      </c>
      <c r="GJ152" s="9">
        <v>0</v>
      </c>
      <c r="GK152" s="9">
        <v>5062</v>
      </c>
      <c r="GL152" s="9">
        <v>7574</v>
      </c>
      <c r="GM152" s="9">
        <v>0</v>
      </c>
      <c r="GN152" s="9">
        <v>0</v>
      </c>
      <c r="GO152" s="9">
        <v>0</v>
      </c>
      <c r="GP152" s="9">
        <v>2019011</v>
      </c>
      <c r="GQ152" s="9">
        <v>2019011</v>
      </c>
      <c r="GR152" s="9">
        <v>0</v>
      </c>
      <c r="GS152" s="9">
        <v>0</v>
      </c>
      <c r="GT152" s="9">
        <v>0</v>
      </c>
      <c r="GU152" s="9">
        <v>0</v>
      </c>
      <c r="GV152" s="9">
        <v>0</v>
      </c>
      <c r="GW152" s="9">
        <v>0</v>
      </c>
      <c r="GX152" s="9">
        <v>0</v>
      </c>
      <c r="GY152" s="9">
        <v>0</v>
      </c>
      <c r="GZ152" s="9">
        <v>0</v>
      </c>
      <c r="HA152" s="9">
        <v>0</v>
      </c>
      <c r="HB152" s="9">
        <v>260786259</v>
      </c>
      <c r="HC152" s="9">
        <v>5.0923999999999997E-2</v>
      </c>
      <c r="HD152" s="10">
        <v>39818</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32469</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row>
    <row r="153" spans="1:292" x14ac:dyDescent="0.25">
      <c r="A153" s="9">
        <v>178807</v>
      </c>
      <c r="B153" s="9">
        <v>32570</v>
      </c>
      <c r="C153" s="9">
        <v>35</v>
      </c>
      <c r="D153" s="9">
        <v>2022</v>
      </c>
      <c r="E153" s="9">
        <v>5392</v>
      </c>
      <c r="F153" s="9">
        <v>0</v>
      </c>
      <c r="G153" s="9">
        <v>131.58600000000001</v>
      </c>
      <c r="H153" s="9">
        <v>127.50800000000001</v>
      </c>
      <c r="I153" s="9">
        <v>127.50800000000001</v>
      </c>
      <c r="J153" s="9">
        <v>131.58600000000001</v>
      </c>
      <c r="K153" s="9">
        <v>0</v>
      </c>
      <c r="L153" s="9">
        <v>6554</v>
      </c>
      <c r="M153" s="9">
        <v>0</v>
      </c>
      <c r="N153" s="9">
        <v>0</v>
      </c>
      <c r="O153" s="9">
        <v>0</v>
      </c>
      <c r="P153" s="9">
        <v>126.69</v>
      </c>
      <c r="Q153" s="9">
        <v>0</v>
      </c>
      <c r="R153" s="9">
        <v>40504</v>
      </c>
      <c r="S153" s="9">
        <v>319.71300000000002</v>
      </c>
      <c r="T153" s="9">
        <v>0</v>
      </c>
      <c r="U153" s="9">
        <v>40504</v>
      </c>
      <c r="V153" s="9">
        <v>6.0730000000000004</v>
      </c>
      <c r="W153" s="9">
        <v>3980</v>
      </c>
      <c r="X153" s="9">
        <v>3980</v>
      </c>
      <c r="Y153" s="9">
        <v>0</v>
      </c>
      <c r="Z153" s="9">
        <v>0</v>
      </c>
      <c r="AA153" s="9">
        <v>1</v>
      </c>
      <c r="AB153" s="9">
        <v>1</v>
      </c>
      <c r="AC153" s="9">
        <v>0</v>
      </c>
      <c r="AD153" s="9" t="s">
        <v>314</v>
      </c>
      <c r="AE153" s="9">
        <v>0</v>
      </c>
      <c r="AF153" s="9">
        <v>0</v>
      </c>
      <c r="AG153" s="9">
        <v>0</v>
      </c>
      <c r="AH153" s="9">
        <v>0</v>
      </c>
      <c r="AI153" s="9">
        <v>0</v>
      </c>
      <c r="AJ153" s="9">
        <v>5104</v>
      </c>
      <c r="AK153" s="9" t="s">
        <v>651</v>
      </c>
      <c r="AL153" s="9" t="s">
        <v>68</v>
      </c>
      <c r="AM153" s="9">
        <v>0</v>
      </c>
      <c r="AN153" s="9">
        <v>0</v>
      </c>
      <c r="AO153" s="9">
        <v>0</v>
      </c>
      <c r="AP153" s="9">
        <v>0</v>
      </c>
      <c r="AQ153" s="9">
        <v>0</v>
      </c>
      <c r="AR153" s="9">
        <v>0</v>
      </c>
      <c r="AS153" s="9">
        <v>0</v>
      </c>
      <c r="AT153" s="9">
        <v>0</v>
      </c>
      <c r="AU153" s="9">
        <v>0</v>
      </c>
      <c r="AV153" s="9">
        <v>24</v>
      </c>
      <c r="AW153" s="9">
        <v>1117576</v>
      </c>
      <c r="AX153" s="9">
        <v>1091643</v>
      </c>
      <c r="AY153" s="9">
        <v>1165627</v>
      </c>
      <c r="AZ153" s="9">
        <v>40504</v>
      </c>
      <c r="BA153" s="9">
        <v>0</v>
      </c>
      <c r="BB153" s="9">
        <v>0</v>
      </c>
      <c r="BC153" s="9">
        <v>0</v>
      </c>
      <c r="BD153" s="9">
        <v>0</v>
      </c>
      <c r="BE153" s="9">
        <v>0</v>
      </c>
      <c r="BF153" s="9">
        <v>932572</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25933</v>
      </c>
      <c r="CI153" s="9">
        <v>0</v>
      </c>
      <c r="CJ153" s="9">
        <v>4</v>
      </c>
      <c r="CK153" s="9">
        <v>0</v>
      </c>
      <c r="CL153" s="9">
        <v>0</v>
      </c>
      <c r="CM153" s="9">
        <v>0</v>
      </c>
      <c r="CN153" s="9">
        <v>0</v>
      </c>
      <c r="CO153" s="9">
        <v>0</v>
      </c>
      <c r="CP153" s="9">
        <v>0</v>
      </c>
      <c r="CQ153" s="9">
        <v>0</v>
      </c>
      <c r="CR153" s="9">
        <v>126.69</v>
      </c>
      <c r="CS153" s="9">
        <v>0</v>
      </c>
      <c r="CT153" s="9">
        <v>0</v>
      </c>
      <c r="CU153" s="9">
        <v>0</v>
      </c>
      <c r="CV153" s="9">
        <v>0</v>
      </c>
      <c r="CW153" s="9">
        <v>0</v>
      </c>
      <c r="CX153" s="9">
        <v>0</v>
      </c>
      <c r="CY153" s="9">
        <v>0</v>
      </c>
      <c r="CZ153" s="9">
        <v>0</v>
      </c>
      <c r="DA153" s="9">
        <v>1</v>
      </c>
      <c r="DB153" s="9">
        <v>835687</v>
      </c>
      <c r="DC153" s="9">
        <v>0</v>
      </c>
      <c r="DD153" s="9">
        <v>0</v>
      </c>
      <c r="DE153" s="9">
        <v>25993</v>
      </c>
      <c r="DF153" s="9">
        <v>25993</v>
      </c>
      <c r="DG153" s="9">
        <v>19.830000000000002</v>
      </c>
      <c r="DH153" s="9">
        <v>0</v>
      </c>
      <c r="DI153" s="9">
        <v>0</v>
      </c>
      <c r="DJ153" s="9">
        <v>0</v>
      </c>
      <c r="DK153" s="9">
        <v>5392</v>
      </c>
      <c r="DL153" s="9">
        <v>0</v>
      </c>
      <c r="DM153" s="9">
        <v>92517</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0.97100000000000009</v>
      </c>
      <c r="ED153" s="9">
        <v>7000</v>
      </c>
      <c r="EE153" s="9">
        <v>0</v>
      </c>
      <c r="EF153" s="9">
        <v>0</v>
      </c>
      <c r="EG153" s="9">
        <v>0</v>
      </c>
      <c r="EH153" s="9">
        <v>85517</v>
      </c>
      <c r="EI153" s="9">
        <v>0</v>
      </c>
      <c r="EJ153" s="9">
        <v>0</v>
      </c>
      <c r="EK153" s="9">
        <v>3.6710000000000003</v>
      </c>
      <c r="EL153" s="9">
        <v>0</v>
      </c>
      <c r="EM153" s="9">
        <v>0</v>
      </c>
      <c r="EN153" s="9">
        <v>0.40700000000000003</v>
      </c>
      <c r="EO153" s="9">
        <v>0</v>
      </c>
      <c r="EP153" s="9">
        <v>0</v>
      </c>
      <c r="EQ153" s="9">
        <v>4.0780000000000003</v>
      </c>
      <c r="ER153" s="9">
        <v>0</v>
      </c>
      <c r="ES153" s="9">
        <v>13.048</v>
      </c>
      <c r="ET153" s="9">
        <v>0</v>
      </c>
      <c r="EU153" s="9">
        <v>40504</v>
      </c>
      <c r="EV153" s="9">
        <v>0</v>
      </c>
      <c r="EW153" s="9">
        <v>0</v>
      </c>
      <c r="EX153" s="9">
        <v>0</v>
      </c>
      <c r="EY153" s="9">
        <v>0</v>
      </c>
      <c r="EZ153" s="9">
        <v>917673</v>
      </c>
      <c r="FA153" s="9">
        <v>0</v>
      </c>
      <c r="FB153" s="9">
        <v>958177</v>
      </c>
      <c r="FC153" s="9">
        <v>0.97327799999999998</v>
      </c>
      <c r="FD153" s="9">
        <v>0</v>
      </c>
      <c r="FE153" s="9">
        <v>141976</v>
      </c>
      <c r="FF153" s="9">
        <v>31994</v>
      </c>
      <c r="FG153" s="9">
        <v>6.1239999999999996E-2</v>
      </c>
      <c r="FH153" s="9">
        <v>5.4803999999999999E-2</v>
      </c>
      <c r="FI153" s="9">
        <v>0</v>
      </c>
      <c r="FJ153" s="9">
        <v>0</v>
      </c>
      <c r="FK153" s="9">
        <v>182.72</v>
      </c>
      <c r="FL153" s="9">
        <v>1158080</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1132147</v>
      </c>
      <c r="GQ153" s="9">
        <v>1132147</v>
      </c>
      <c r="GR153" s="9">
        <v>0</v>
      </c>
      <c r="GS153" s="9">
        <v>0</v>
      </c>
      <c r="GT153" s="9">
        <v>0</v>
      </c>
      <c r="GU153" s="9">
        <v>0</v>
      </c>
      <c r="GV153" s="9">
        <v>0</v>
      </c>
      <c r="GW153" s="9">
        <v>0</v>
      </c>
      <c r="GX153" s="9">
        <v>0</v>
      </c>
      <c r="GY153" s="9">
        <v>0</v>
      </c>
      <c r="GZ153" s="9">
        <v>0</v>
      </c>
      <c r="HA153" s="9">
        <v>0</v>
      </c>
      <c r="HB153" s="9">
        <v>260786259</v>
      </c>
      <c r="HC153" s="9">
        <v>5.0923999999999997E-2</v>
      </c>
      <c r="HD153" s="9">
        <v>25933</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32469</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row>
    <row r="154" spans="1:292" x14ac:dyDescent="0.25">
      <c r="A154" s="9">
        <v>178808</v>
      </c>
      <c r="B154" s="9">
        <v>32570</v>
      </c>
      <c r="C154" s="9">
        <v>35</v>
      </c>
      <c r="D154" s="9">
        <v>2022</v>
      </c>
      <c r="E154" s="9">
        <v>5392</v>
      </c>
      <c r="F154" s="9">
        <v>0</v>
      </c>
      <c r="G154" s="9">
        <v>478.49600000000004</v>
      </c>
      <c r="H154" s="9">
        <v>470.62600000000003</v>
      </c>
      <c r="I154" s="9">
        <v>470.62600000000003</v>
      </c>
      <c r="J154" s="9">
        <v>478.49600000000004</v>
      </c>
      <c r="K154" s="9">
        <v>0</v>
      </c>
      <c r="L154" s="9">
        <v>6554</v>
      </c>
      <c r="M154" s="9">
        <v>0</v>
      </c>
      <c r="N154" s="9">
        <v>0</v>
      </c>
      <c r="O154" s="9">
        <v>0</v>
      </c>
      <c r="P154" s="9">
        <v>465.16800000000001</v>
      </c>
      <c r="Q154" s="9">
        <v>0</v>
      </c>
      <c r="R154" s="9">
        <v>148720</v>
      </c>
      <c r="S154" s="9">
        <v>319.71300000000002</v>
      </c>
      <c r="T154" s="9">
        <v>0</v>
      </c>
      <c r="U154" s="9">
        <v>148720</v>
      </c>
      <c r="V154" s="9">
        <v>0</v>
      </c>
      <c r="W154" s="9">
        <v>0</v>
      </c>
      <c r="X154" s="9">
        <v>0</v>
      </c>
      <c r="Y154" s="9">
        <v>0</v>
      </c>
      <c r="Z154" s="9">
        <v>0</v>
      </c>
      <c r="AA154" s="9">
        <v>1</v>
      </c>
      <c r="AB154" s="9">
        <v>1</v>
      </c>
      <c r="AC154" s="9">
        <v>0</v>
      </c>
      <c r="AD154" s="9" t="s">
        <v>314</v>
      </c>
      <c r="AE154" s="9">
        <v>0</v>
      </c>
      <c r="AF154" s="9">
        <v>0</v>
      </c>
      <c r="AG154" s="9">
        <v>0</v>
      </c>
      <c r="AH154" s="9">
        <v>0</v>
      </c>
      <c r="AI154" s="9">
        <v>0</v>
      </c>
      <c r="AJ154" s="9">
        <v>5104</v>
      </c>
      <c r="AK154" s="9" t="s">
        <v>651</v>
      </c>
      <c r="AL154" s="9" t="s">
        <v>99</v>
      </c>
      <c r="AM154" s="9">
        <v>0</v>
      </c>
      <c r="AN154" s="9">
        <v>0</v>
      </c>
      <c r="AO154" s="9">
        <v>0</v>
      </c>
      <c r="AP154" s="9">
        <v>0</v>
      </c>
      <c r="AQ154" s="9">
        <v>0</v>
      </c>
      <c r="AR154" s="9">
        <v>0</v>
      </c>
      <c r="AS154" s="9">
        <v>0</v>
      </c>
      <c r="AT154" s="9">
        <v>0</v>
      </c>
      <c r="AU154" s="9">
        <v>0</v>
      </c>
      <c r="AV154" s="9">
        <v>84</v>
      </c>
      <c r="AW154" s="9">
        <v>3903434</v>
      </c>
      <c r="AX154" s="9">
        <v>3809133</v>
      </c>
      <c r="AY154" s="9">
        <v>4057726</v>
      </c>
      <c r="AZ154" s="9">
        <v>148720</v>
      </c>
      <c r="BA154" s="9">
        <v>0</v>
      </c>
      <c r="BB154" s="9">
        <v>18816</v>
      </c>
      <c r="BC154" s="9">
        <v>18816</v>
      </c>
      <c r="BD154" s="9">
        <v>23.925000000000001</v>
      </c>
      <c r="BE154" s="9">
        <v>0</v>
      </c>
      <c r="BF154" s="9">
        <v>3260160</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94301</v>
      </c>
      <c r="CI154" s="9">
        <v>0</v>
      </c>
      <c r="CJ154" s="9">
        <v>4</v>
      </c>
      <c r="CK154" s="9">
        <v>0</v>
      </c>
      <c r="CL154" s="9">
        <v>0</v>
      </c>
      <c r="CM154" s="9">
        <v>0</v>
      </c>
      <c r="CN154" s="9">
        <v>0</v>
      </c>
      <c r="CO154" s="9">
        <v>0</v>
      </c>
      <c r="CP154" s="9">
        <v>0</v>
      </c>
      <c r="CQ154" s="9">
        <v>0</v>
      </c>
      <c r="CR154" s="9">
        <v>465.16800000000001</v>
      </c>
      <c r="CS154" s="9">
        <v>0</v>
      </c>
      <c r="CT154" s="9">
        <v>0</v>
      </c>
      <c r="CU154" s="9">
        <v>0</v>
      </c>
      <c r="CV154" s="9">
        <v>0</v>
      </c>
      <c r="CW154" s="9">
        <v>0</v>
      </c>
      <c r="CX154" s="9">
        <v>0</v>
      </c>
      <c r="CY154" s="9">
        <v>0</v>
      </c>
      <c r="CZ154" s="9">
        <v>0</v>
      </c>
      <c r="DA154" s="9">
        <v>1</v>
      </c>
      <c r="DB154" s="9">
        <v>3084483</v>
      </c>
      <c r="DC154" s="9">
        <v>0</v>
      </c>
      <c r="DD154" s="9">
        <v>0</v>
      </c>
      <c r="DE154" s="9">
        <v>0</v>
      </c>
      <c r="DF154" s="9">
        <v>0</v>
      </c>
      <c r="DG154" s="9">
        <v>0</v>
      </c>
      <c r="DH154" s="9">
        <v>0</v>
      </c>
      <c r="DI154" s="9">
        <v>0</v>
      </c>
      <c r="DJ154" s="9">
        <v>0</v>
      </c>
      <c r="DK154" s="9">
        <v>5392</v>
      </c>
      <c r="DL154" s="9">
        <v>0</v>
      </c>
      <c r="DM154" s="9">
        <v>246373</v>
      </c>
      <c r="DN154" s="9">
        <v>0</v>
      </c>
      <c r="DO154" s="9">
        <v>732</v>
      </c>
      <c r="DP154" s="9">
        <v>0</v>
      </c>
      <c r="DQ154" s="9">
        <v>0</v>
      </c>
      <c r="DR154" s="9">
        <v>0</v>
      </c>
      <c r="DS154" s="9">
        <v>0</v>
      </c>
      <c r="DT154" s="9">
        <v>4.3000000000000003E-2</v>
      </c>
      <c r="DU154" s="9">
        <v>0</v>
      </c>
      <c r="DV154" s="9">
        <v>0</v>
      </c>
      <c r="DW154" s="9">
        <v>4.0000000000000001E-3</v>
      </c>
      <c r="DX154" s="9">
        <v>0</v>
      </c>
      <c r="DY154" s="9">
        <v>0</v>
      </c>
      <c r="DZ154" s="9">
        <v>0.14899999999999999</v>
      </c>
      <c r="EA154" s="9">
        <v>0</v>
      </c>
      <c r="EB154" s="9">
        <v>0</v>
      </c>
      <c r="EC154" s="9">
        <v>10.825000000000001</v>
      </c>
      <c r="ED154" s="9">
        <v>78042</v>
      </c>
      <c r="EE154" s="9">
        <v>0</v>
      </c>
      <c r="EF154" s="9">
        <v>0</v>
      </c>
      <c r="EG154" s="9">
        <v>0</v>
      </c>
      <c r="EH154" s="9">
        <v>167599</v>
      </c>
      <c r="EI154" s="9">
        <v>0</v>
      </c>
      <c r="EJ154" s="9">
        <v>0</v>
      </c>
      <c r="EK154" s="9">
        <v>6.8890000000000002</v>
      </c>
      <c r="EL154" s="9">
        <v>0</v>
      </c>
      <c r="EM154" s="9">
        <v>0</v>
      </c>
      <c r="EN154" s="9">
        <v>0.98100000000000009</v>
      </c>
      <c r="EO154" s="9">
        <v>0</v>
      </c>
      <c r="EP154" s="9">
        <v>0</v>
      </c>
      <c r="EQ154" s="9">
        <v>7.87</v>
      </c>
      <c r="ER154" s="9">
        <v>0</v>
      </c>
      <c r="ES154" s="9">
        <v>25.572000000000003</v>
      </c>
      <c r="ET154" s="9">
        <v>0</v>
      </c>
      <c r="EU154" s="9">
        <v>148720</v>
      </c>
      <c r="EV154" s="9">
        <v>0</v>
      </c>
      <c r="EW154" s="9">
        <v>0</v>
      </c>
      <c r="EX154" s="9">
        <v>0</v>
      </c>
      <c r="EY154" s="9">
        <v>0</v>
      </c>
      <c r="EZ154" s="9">
        <v>3200952</v>
      </c>
      <c r="FA154" s="9">
        <v>0</v>
      </c>
      <c r="FB154" s="9">
        <v>3349672</v>
      </c>
      <c r="FC154" s="9">
        <v>0.97327799999999998</v>
      </c>
      <c r="FD154" s="9">
        <v>0</v>
      </c>
      <c r="FE154" s="9">
        <v>496333</v>
      </c>
      <c r="FF154" s="9">
        <v>111848</v>
      </c>
      <c r="FG154" s="9">
        <v>6.1239999999999996E-2</v>
      </c>
      <c r="FH154" s="9">
        <v>5.4803999999999999E-2</v>
      </c>
      <c r="FI154" s="9">
        <v>0</v>
      </c>
      <c r="FJ154" s="9">
        <v>0</v>
      </c>
      <c r="FK154" s="9">
        <v>638.76800000000003</v>
      </c>
      <c r="FL154" s="9">
        <v>4052154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3957853</v>
      </c>
      <c r="GQ154" s="9">
        <v>3957853</v>
      </c>
      <c r="GR154" s="9">
        <v>0</v>
      </c>
      <c r="GS154" s="9">
        <v>0</v>
      </c>
      <c r="GT154" s="9">
        <v>0</v>
      </c>
      <c r="GU154" s="9">
        <v>0</v>
      </c>
      <c r="GV154" s="9">
        <v>0</v>
      </c>
      <c r="GW154" s="9">
        <v>0</v>
      </c>
      <c r="GX154" s="9">
        <v>0</v>
      </c>
      <c r="GY154" s="9">
        <v>0</v>
      </c>
      <c r="GZ154" s="9">
        <v>0</v>
      </c>
      <c r="HA154" s="9">
        <v>0</v>
      </c>
      <c r="HB154" s="9">
        <v>260786259</v>
      </c>
      <c r="HC154" s="9">
        <v>5.0923999999999997E-2</v>
      </c>
      <c r="HD154" s="9">
        <v>94301</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32469</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row>
    <row r="155" spans="1:292" ht="13" x14ac:dyDescent="0.3">
      <c r="A155" s="9">
        <v>183801</v>
      </c>
      <c r="B155" s="9">
        <v>32570</v>
      </c>
      <c r="C155" s="9">
        <v>35</v>
      </c>
      <c r="D155" s="9">
        <v>2022</v>
      </c>
      <c r="E155" s="9">
        <v>5392</v>
      </c>
      <c r="F155" s="9">
        <v>0</v>
      </c>
      <c r="G155" s="9">
        <v>152.84200000000001</v>
      </c>
      <c r="H155" s="9">
        <v>128.422</v>
      </c>
      <c r="I155" s="9">
        <v>128.422</v>
      </c>
      <c r="J155" s="9">
        <v>152.84200000000001</v>
      </c>
      <c r="K155" s="9">
        <v>0</v>
      </c>
      <c r="L155" s="9">
        <v>6554</v>
      </c>
      <c r="M155" s="9">
        <v>0</v>
      </c>
      <c r="N155" s="9">
        <v>0</v>
      </c>
      <c r="O155" s="9">
        <v>0</v>
      </c>
      <c r="P155" s="9">
        <v>139.93899999999999</v>
      </c>
      <c r="Q155" s="9">
        <v>0</v>
      </c>
      <c r="R155" s="10">
        <v>44740</v>
      </c>
      <c r="S155" s="9">
        <v>319.71300000000002</v>
      </c>
      <c r="T155" s="9">
        <v>0</v>
      </c>
      <c r="U155" s="10">
        <v>44740</v>
      </c>
      <c r="V155" s="10">
        <v>0</v>
      </c>
      <c r="W155" s="10">
        <v>0</v>
      </c>
      <c r="X155" s="10">
        <v>0</v>
      </c>
      <c r="Y155" s="9">
        <v>0</v>
      </c>
      <c r="Z155" s="9">
        <v>0</v>
      </c>
      <c r="AA155" s="9">
        <v>1</v>
      </c>
      <c r="AB155" s="9">
        <v>1</v>
      </c>
      <c r="AC155" s="9">
        <v>0</v>
      </c>
      <c r="AD155" s="9" t="s">
        <v>314</v>
      </c>
      <c r="AE155" s="9">
        <v>0</v>
      </c>
      <c r="AF155" s="9">
        <v>0</v>
      </c>
      <c r="AG155" s="9">
        <v>0</v>
      </c>
      <c r="AH155" s="9">
        <v>0</v>
      </c>
      <c r="AI155" s="9">
        <v>0</v>
      </c>
      <c r="AJ155" s="9">
        <v>5104</v>
      </c>
      <c r="AK155" s="9" t="s">
        <v>651</v>
      </c>
      <c r="AL155" s="9" t="s">
        <v>71</v>
      </c>
      <c r="AM155" s="9">
        <v>0</v>
      </c>
      <c r="AN155" s="9">
        <v>0</v>
      </c>
      <c r="AO155" s="9">
        <v>0</v>
      </c>
      <c r="AP155" s="9">
        <v>0</v>
      </c>
      <c r="AQ155" s="9">
        <v>0</v>
      </c>
      <c r="AR155" s="9">
        <v>0</v>
      </c>
      <c r="AS155" s="9">
        <v>0</v>
      </c>
      <c r="AT155" s="9">
        <v>0</v>
      </c>
      <c r="AU155" s="9">
        <v>0</v>
      </c>
      <c r="AV155" s="9">
        <v>17702</v>
      </c>
      <c r="AW155" s="9">
        <v>1506566</v>
      </c>
      <c r="AX155" s="9">
        <v>1431914</v>
      </c>
      <c r="AY155" s="9">
        <v>1570747</v>
      </c>
      <c r="AZ155" s="9">
        <v>82103</v>
      </c>
      <c r="BA155" s="10">
        <v>11.583</v>
      </c>
      <c r="BB155" s="9">
        <v>6010</v>
      </c>
      <c r="BC155" s="9">
        <v>6010</v>
      </c>
      <c r="BD155" s="9">
        <v>7.6420000000000003</v>
      </c>
      <c r="BE155" s="9">
        <v>0</v>
      </c>
      <c r="BF155" s="9">
        <v>1216349</v>
      </c>
      <c r="BG155" s="9">
        <v>0</v>
      </c>
      <c r="BH155" s="10">
        <v>135.86700000000002</v>
      </c>
      <c r="BI155" s="10">
        <v>37363</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10">
        <v>37289</v>
      </c>
      <c r="CI155" s="9">
        <v>0</v>
      </c>
      <c r="CJ155" s="9">
        <v>4</v>
      </c>
      <c r="CK155" s="9">
        <v>0</v>
      </c>
      <c r="CL155" s="9">
        <v>0</v>
      </c>
      <c r="CM155" s="9">
        <v>0</v>
      </c>
      <c r="CN155" s="9">
        <v>0</v>
      </c>
      <c r="CO155" s="9">
        <v>0</v>
      </c>
      <c r="CP155" s="9">
        <v>9.5000000000000001E-2</v>
      </c>
      <c r="CQ155" s="9">
        <v>5.5</v>
      </c>
      <c r="CR155" s="9">
        <v>139.93899999999999</v>
      </c>
      <c r="CS155" s="9">
        <v>0</v>
      </c>
      <c r="CT155" s="9">
        <v>0</v>
      </c>
      <c r="CU155" s="9">
        <v>0</v>
      </c>
      <c r="CV155" s="9">
        <v>0</v>
      </c>
      <c r="CW155" s="9">
        <v>0</v>
      </c>
      <c r="CX155" s="9">
        <v>0</v>
      </c>
      <c r="CY155" s="9">
        <v>0</v>
      </c>
      <c r="CZ155" s="9">
        <v>0</v>
      </c>
      <c r="DA155" s="9">
        <v>1</v>
      </c>
      <c r="DB155" s="9">
        <v>841678</v>
      </c>
      <c r="DC155" s="9">
        <v>0</v>
      </c>
      <c r="DD155" s="9">
        <v>0</v>
      </c>
      <c r="DE155" s="9">
        <v>88702</v>
      </c>
      <c r="DF155" s="9">
        <v>90203</v>
      </c>
      <c r="DG155" s="9">
        <v>67.67</v>
      </c>
      <c r="DH155" s="9">
        <v>0</v>
      </c>
      <c r="DI155" s="9">
        <v>1501</v>
      </c>
      <c r="DJ155" s="9">
        <v>0</v>
      </c>
      <c r="DK155" s="9">
        <v>5392</v>
      </c>
      <c r="DL155" s="9">
        <v>0</v>
      </c>
      <c r="DM155" s="9">
        <v>97279</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13.016</v>
      </c>
      <c r="ED155" s="9">
        <v>93838</v>
      </c>
      <c r="EE155" s="9">
        <v>0</v>
      </c>
      <c r="EF155" s="9">
        <v>0</v>
      </c>
      <c r="EG155" s="9">
        <v>0</v>
      </c>
      <c r="EH155" s="9">
        <v>3441</v>
      </c>
      <c r="EI155" s="9">
        <v>0</v>
      </c>
      <c r="EJ155" s="9">
        <v>0</v>
      </c>
      <c r="EK155" s="9">
        <v>0.14100000000000001</v>
      </c>
      <c r="EL155" s="9">
        <v>0</v>
      </c>
      <c r="EM155" s="9">
        <v>3.4000000000000002E-2</v>
      </c>
      <c r="EN155" s="9">
        <v>0</v>
      </c>
      <c r="EO155" s="9">
        <v>0</v>
      </c>
      <c r="EP155" s="9">
        <v>0</v>
      </c>
      <c r="EQ155" s="9">
        <v>0.17500000000000002</v>
      </c>
      <c r="ER155" s="9">
        <v>0</v>
      </c>
      <c r="ES155" s="9">
        <v>0.52500000000000002</v>
      </c>
      <c r="ET155" s="10">
        <v>7167</v>
      </c>
      <c r="EU155" s="9">
        <v>82103</v>
      </c>
      <c r="EV155" s="9">
        <v>0</v>
      </c>
      <c r="EW155" s="9">
        <v>0</v>
      </c>
      <c r="EX155" s="9">
        <v>0</v>
      </c>
      <c r="EY155" s="9">
        <v>0</v>
      </c>
      <c r="EZ155" s="9">
        <v>1205005</v>
      </c>
      <c r="FA155" s="9">
        <v>0</v>
      </c>
      <c r="FB155" s="10">
        <v>1287108</v>
      </c>
      <c r="FC155" s="9">
        <v>0.97327799999999998</v>
      </c>
      <c r="FD155" s="9">
        <v>0</v>
      </c>
      <c r="FE155" s="9">
        <v>185179</v>
      </c>
      <c r="FF155" s="9">
        <v>41730</v>
      </c>
      <c r="FG155" s="9">
        <v>6.1239999999999996E-2</v>
      </c>
      <c r="FH155" s="9">
        <v>5.4803999999999999E-2</v>
      </c>
      <c r="FI155" s="9">
        <v>0</v>
      </c>
      <c r="FJ155" s="9">
        <v>0</v>
      </c>
      <c r="FK155" s="9">
        <v>238.321</v>
      </c>
      <c r="FL155" s="9">
        <v>1551306</v>
      </c>
      <c r="FM155" s="9">
        <v>0</v>
      </c>
      <c r="FN155" s="9">
        <v>0</v>
      </c>
      <c r="FO155" s="9">
        <v>0</v>
      </c>
      <c r="FP155" s="9">
        <v>0</v>
      </c>
      <c r="FQ155" s="9">
        <v>0</v>
      </c>
      <c r="FR155" s="9">
        <v>0</v>
      </c>
      <c r="FS155" s="9">
        <v>0</v>
      </c>
      <c r="FT155" s="9">
        <v>0</v>
      </c>
      <c r="FU155" s="9">
        <v>0</v>
      </c>
      <c r="FV155" s="9">
        <v>0</v>
      </c>
      <c r="FW155" s="9">
        <v>0</v>
      </c>
      <c r="FX155" s="9">
        <v>0</v>
      </c>
      <c r="FY155" s="9">
        <v>0</v>
      </c>
      <c r="FZ155" s="9">
        <v>58</v>
      </c>
      <c r="GA155" s="9">
        <v>1.153</v>
      </c>
      <c r="GB155" s="10">
        <v>214575</v>
      </c>
      <c r="GC155" s="10">
        <v>214575</v>
      </c>
      <c r="GD155" s="10">
        <v>24.245000000000001</v>
      </c>
      <c r="GE155" s="9">
        <v>0</v>
      </c>
      <c r="GF155" s="9">
        <v>0</v>
      </c>
      <c r="GG155" s="9">
        <v>0</v>
      </c>
      <c r="GH155" s="9">
        <v>0</v>
      </c>
      <c r="GI155" s="9">
        <v>0</v>
      </c>
      <c r="GJ155" s="9">
        <v>0</v>
      </c>
      <c r="GK155" s="9">
        <v>5402</v>
      </c>
      <c r="GL155" s="9">
        <v>4530</v>
      </c>
      <c r="GM155" s="9">
        <v>0</v>
      </c>
      <c r="GN155" s="9">
        <v>0</v>
      </c>
      <c r="GO155" s="9">
        <v>0</v>
      </c>
      <c r="GP155" s="9">
        <v>1514017</v>
      </c>
      <c r="GQ155" s="9">
        <v>1514017</v>
      </c>
      <c r="GR155" s="9">
        <v>0</v>
      </c>
      <c r="GS155" s="9">
        <v>0</v>
      </c>
      <c r="GT155" s="9">
        <v>0</v>
      </c>
      <c r="GU155" s="9">
        <v>0</v>
      </c>
      <c r="GV155" s="9">
        <v>0</v>
      </c>
      <c r="GW155" s="9">
        <v>0</v>
      </c>
      <c r="GX155" s="9">
        <v>0</v>
      </c>
      <c r="GY155" s="9">
        <v>0</v>
      </c>
      <c r="GZ155" s="9">
        <v>0</v>
      </c>
      <c r="HA155" s="9">
        <v>0</v>
      </c>
      <c r="HB155" s="9">
        <v>260786259</v>
      </c>
      <c r="HC155" s="9">
        <v>5.0923999999999997E-2</v>
      </c>
      <c r="HD155" s="10">
        <v>30122</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32469</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row>
    <row r="156" spans="1:292" ht="13" x14ac:dyDescent="0.3">
      <c r="A156" s="9">
        <v>184801</v>
      </c>
      <c r="B156" s="9">
        <v>32570</v>
      </c>
      <c r="C156" s="9">
        <v>35</v>
      </c>
      <c r="D156" s="9">
        <v>2022</v>
      </c>
      <c r="E156" s="9">
        <v>5392</v>
      </c>
      <c r="F156" s="9">
        <v>0</v>
      </c>
      <c r="G156" s="9">
        <v>129.61600000000001</v>
      </c>
      <c r="H156" s="9">
        <v>77.893000000000001</v>
      </c>
      <c r="I156" s="9">
        <v>77.893000000000001</v>
      </c>
      <c r="J156" s="9">
        <v>129.61600000000001</v>
      </c>
      <c r="K156" s="9">
        <v>0</v>
      </c>
      <c r="L156" s="9">
        <v>6554</v>
      </c>
      <c r="M156" s="9">
        <v>0</v>
      </c>
      <c r="N156" s="9">
        <v>0</v>
      </c>
      <c r="O156" s="9">
        <v>0</v>
      </c>
      <c r="P156" s="9">
        <v>130.191</v>
      </c>
      <c r="Q156" s="9">
        <v>0</v>
      </c>
      <c r="R156" s="10">
        <v>41624</v>
      </c>
      <c r="S156" s="9">
        <v>319.71300000000002</v>
      </c>
      <c r="T156" s="9">
        <v>0</v>
      </c>
      <c r="U156" s="10">
        <v>41624</v>
      </c>
      <c r="V156" s="10">
        <v>0</v>
      </c>
      <c r="W156" s="10">
        <v>0</v>
      </c>
      <c r="X156" s="10">
        <v>0</v>
      </c>
      <c r="Y156" s="9">
        <v>0</v>
      </c>
      <c r="Z156" s="9">
        <v>0</v>
      </c>
      <c r="AA156" s="9">
        <v>1</v>
      </c>
      <c r="AB156" s="9">
        <v>1</v>
      </c>
      <c r="AC156" s="9">
        <v>0</v>
      </c>
      <c r="AD156" s="9" t="s">
        <v>314</v>
      </c>
      <c r="AE156" s="9">
        <v>0</v>
      </c>
      <c r="AF156" s="9">
        <v>0</v>
      </c>
      <c r="AG156" s="9">
        <v>0</v>
      </c>
      <c r="AH156" s="9">
        <v>0</v>
      </c>
      <c r="AI156" s="9">
        <v>0</v>
      </c>
      <c r="AJ156" s="9">
        <v>5104</v>
      </c>
      <c r="AK156" s="9" t="s">
        <v>651</v>
      </c>
      <c r="AL156" s="9" t="s">
        <v>6</v>
      </c>
      <c r="AM156" s="9">
        <v>0</v>
      </c>
      <c r="AN156" s="9">
        <v>0</v>
      </c>
      <c r="AO156" s="9">
        <v>0</v>
      </c>
      <c r="AP156" s="9">
        <v>0</v>
      </c>
      <c r="AQ156" s="9">
        <v>0</v>
      </c>
      <c r="AR156" s="9">
        <v>0</v>
      </c>
      <c r="AS156" s="9">
        <v>0</v>
      </c>
      <c r="AT156" s="9">
        <v>0</v>
      </c>
      <c r="AU156" s="9">
        <v>0</v>
      </c>
      <c r="AV156" s="9">
        <v>19781</v>
      </c>
      <c r="AW156" s="9">
        <v>1352846</v>
      </c>
      <c r="AX156" s="9">
        <v>1289366</v>
      </c>
      <c r="AY156" s="9">
        <v>1401100</v>
      </c>
      <c r="AZ156" s="9">
        <v>77268</v>
      </c>
      <c r="BA156" s="10">
        <v>3</v>
      </c>
      <c r="BB156" s="9">
        <v>0</v>
      </c>
      <c r="BC156" s="9">
        <v>0</v>
      </c>
      <c r="BD156" s="9">
        <v>0</v>
      </c>
      <c r="BE156" s="9">
        <v>0</v>
      </c>
      <c r="BF156" s="9">
        <v>1096363</v>
      </c>
      <c r="BG156" s="9">
        <v>0</v>
      </c>
      <c r="BH156" s="10">
        <v>129.614</v>
      </c>
      <c r="BI156" s="10">
        <v>35644</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10">
        <v>27836</v>
      </c>
      <c r="CI156" s="9">
        <v>0</v>
      </c>
      <c r="CJ156" s="9">
        <v>4</v>
      </c>
      <c r="CK156" s="9">
        <v>0</v>
      </c>
      <c r="CL156" s="9">
        <v>0</v>
      </c>
      <c r="CM156" s="9">
        <v>0</v>
      </c>
      <c r="CN156" s="9">
        <v>0</v>
      </c>
      <c r="CO156" s="9">
        <v>0</v>
      </c>
      <c r="CP156" s="9">
        <v>0.16600000000000001</v>
      </c>
      <c r="CQ156" s="9">
        <v>3.1670000000000003</v>
      </c>
      <c r="CR156" s="9">
        <v>130.191</v>
      </c>
      <c r="CS156" s="9">
        <v>0</v>
      </c>
      <c r="CT156" s="9">
        <v>0</v>
      </c>
      <c r="CU156" s="9">
        <v>0</v>
      </c>
      <c r="CV156" s="9">
        <v>0</v>
      </c>
      <c r="CW156" s="9">
        <v>0</v>
      </c>
      <c r="CX156" s="9">
        <v>0</v>
      </c>
      <c r="CY156" s="9">
        <v>0</v>
      </c>
      <c r="CZ156" s="9">
        <v>0</v>
      </c>
      <c r="DA156" s="9">
        <v>1</v>
      </c>
      <c r="DB156" s="9">
        <v>510511</v>
      </c>
      <c r="DC156" s="9">
        <v>0</v>
      </c>
      <c r="DD156" s="9">
        <v>0</v>
      </c>
      <c r="DE156" s="9">
        <v>80614</v>
      </c>
      <c r="DF156" s="9">
        <v>83236</v>
      </c>
      <c r="DG156" s="9">
        <v>61.5</v>
      </c>
      <c r="DH156" s="9">
        <v>0</v>
      </c>
      <c r="DI156" s="9">
        <v>2622</v>
      </c>
      <c r="DJ156" s="9">
        <v>0</v>
      </c>
      <c r="DK156" s="9">
        <v>5392</v>
      </c>
      <c r="DL156" s="9">
        <v>0</v>
      </c>
      <c r="DM156" s="9">
        <v>74542</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10.185</v>
      </c>
      <c r="ED156" s="9">
        <v>73428</v>
      </c>
      <c r="EE156" s="9">
        <v>0</v>
      </c>
      <c r="EF156" s="9">
        <v>0</v>
      </c>
      <c r="EG156" s="9">
        <v>0</v>
      </c>
      <c r="EH156" s="9">
        <v>1114</v>
      </c>
      <c r="EI156" s="9">
        <v>0</v>
      </c>
      <c r="EJ156" s="9">
        <v>0</v>
      </c>
      <c r="EK156" s="9">
        <v>0</v>
      </c>
      <c r="EL156" s="9">
        <v>0</v>
      </c>
      <c r="EM156" s="9">
        <v>0</v>
      </c>
      <c r="EN156" s="9">
        <v>3.4000000000000002E-2</v>
      </c>
      <c r="EO156" s="9">
        <v>0</v>
      </c>
      <c r="EP156" s="9">
        <v>0</v>
      </c>
      <c r="EQ156" s="9">
        <v>3.4000000000000002E-2</v>
      </c>
      <c r="ER156" s="9">
        <v>0</v>
      </c>
      <c r="ES156" s="9">
        <v>0.17</v>
      </c>
      <c r="ET156" s="10">
        <v>2292</v>
      </c>
      <c r="EU156" s="9">
        <v>77268</v>
      </c>
      <c r="EV156" s="9">
        <v>0</v>
      </c>
      <c r="EW156" s="9">
        <v>0</v>
      </c>
      <c r="EX156" s="9">
        <v>0</v>
      </c>
      <c r="EY156" s="9">
        <v>0</v>
      </c>
      <c r="EZ156" s="9">
        <v>1084841</v>
      </c>
      <c r="FA156" s="9">
        <v>0</v>
      </c>
      <c r="FB156" s="10">
        <v>1162109</v>
      </c>
      <c r="FC156" s="9">
        <v>0.97327799999999998</v>
      </c>
      <c r="FD156" s="9">
        <v>0</v>
      </c>
      <c r="FE156" s="9">
        <v>166912</v>
      </c>
      <c r="FF156" s="9">
        <v>37613</v>
      </c>
      <c r="FG156" s="9">
        <v>6.1239999999999996E-2</v>
      </c>
      <c r="FH156" s="9">
        <v>5.4803999999999999E-2</v>
      </c>
      <c r="FI156" s="9">
        <v>0</v>
      </c>
      <c r="FJ156" s="9">
        <v>0</v>
      </c>
      <c r="FK156" s="9">
        <v>214.81200000000001</v>
      </c>
      <c r="FL156" s="9">
        <v>1394470</v>
      </c>
      <c r="FM156" s="9">
        <v>0</v>
      </c>
      <c r="FN156" s="9">
        <v>0</v>
      </c>
      <c r="FO156" s="9">
        <v>0</v>
      </c>
      <c r="FP156" s="9">
        <v>0</v>
      </c>
      <c r="FQ156" s="9">
        <v>0</v>
      </c>
      <c r="FR156" s="9">
        <v>0</v>
      </c>
      <c r="FS156" s="9">
        <v>0</v>
      </c>
      <c r="FT156" s="9">
        <v>0</v>
      </c>
      <c r="FU156" s="9">
        <v>0</v>
      </c>
      <c r="FV156" s="9">
        <v>0</v>
      </c>
      <c r="FW156" s="9">
        <v>0</v>
      </c>
      <c r="FX156" s="9">
        <v>0</v>
      </c>
      <c r="FY156" s="9">
        <v>0</v>
      </c>
      <c r="FZ156" s="9">
        <v>836</v>
      </c>
      <c r="GA156" s="9">
        <v>16.728000000000002</v>
      </c>
      <c r="GB156" s="10">
        <v>458176</v>
      </c>
      <c r="GC156" s="10">
        <v>458176</v>
      </c>
      <c r="GD156" s="10">
        <v>51.689</v>
      </c>
      <c r="GE156" s="9">
        <v>0</v>
      </c>
      <c r="GF156" s="9">
        <v>0</v>
      </c>
      <c r="GG156" s="9">
        <v>0</v>
      </c>
      <c r="GH156" s="9">
        <v>0</v>
      </c>
      <c r="GI156" s="9">
        <v>0</v>
      </c>
      <c r="GJ156" s="9">
        <v>0</v>
      </c>
      <c r="GK156" s="9">
        <v>5285</v>
      </c>
      <c r="GL156" s="9">
        <v>4613</v>
      </c>
      <c r="GM156" s="9">
        <v>0</v>
      </c>
      <c r="GN156" s="9">
        <v>0</v>
      </c>
      <c r="GO156" s="9">
        <v>0</v>
      </c>
      <c r="GP156" s="9">
        <v>1366634</v>
      </c>
      <c r="GQ156" s="9">
        <v>1366634</v>
      </c>
      <c r="GR156" s="9">
        <v>0</v>
      </c>
      <c r="GS156" s="9">
        <v>0</v>
      </c>
      <c r="GT156" s="9">
        <v>0</v>
      </c>
      <c r="GU156" s="9">
        <v>0</v>
      </c>
      <c r="GV156" s="9">
        <v>0</v>
      </c>
      <c r="GW156" s="9">
        <v>0</v>
      </c>
      <c r="GX156" s="9">
        <v>0</v>
      </c>
      <c r="GY156" s="9">
        <v>0</v>
      </c>
      <c r="GZ156" s="9">
        <v>0</v>
      </c>
      <c r="HA156" s="9">
        <v>0</v>
      </c>
      <c r="HB156" s="9">
        <v>260786259</v>
      </c>
      <c r="HC156" s="9">
        <v>5.0923999999999997E-2</v>
      </c>
      <c r="HD156" s="10">
        <v>25544</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32469</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row>
    <row r="157" spans="1:292" ht="13" x14ac:dyDescent="0.3">
      <c r="A157" s="9">
        <v>193801</v>
      </c>
      <c r="B157" s="9">
        <v>32570</v>
      </c>
      <c r="C157" s="9">
        <v>35</v>
      </c>
      <c r="D157" s="9">
        <v>2022</v>
      </c>
      <c r="E157" s="9">
        <v>5392</v>
      </c>
      <c r="F157" s="9">
        <v>0</v>
      </c>
      <c r="G157" s="9">
        <v>197.96900000000002</v>
      </c>
      <c r="H157" s="9">
        <v>129.541</v>
      </c>
      <c r="I157" s="9">
        <v>129.541</v>
      </c>
      <c r="J157" s="9">
        <v>197.96900000000002</v>
      </c>
      <c r="K157" s="9">
        <v>0</v>
      </c>
      <c r="L157" s="9">
        <v>6554</v>
      </c>
      <c r="M157" s="9">
        <v>0</v>
      </c>
      <c r="N157" s="9">
        <v>0</v>
      </c>
      <c r="O157" s="9">
        <v>0</v>
      </c>
      <c r="P157" s="9">
        <v>202.74100000000001</v>
      </c>
      <c r="Q157" s="9">
        <v>0</v>
      </c>
      <c r="R157" s="10">
        <v>64819</v>
      </c>
      <c r="S157" s="9">
        <v>319.71300000000002</v>
      </c>
      <c r="T157" s="9">
        <v>0</v>
      </c>
      <c r="U157" s="10">
        <v>64819</v>
      </c>
      <c r="V157" s="10">
        <v>3.6740000000000004</v>
      </c>
      <c r="W157" s="10">
        <v>2408</v>
      </c>
      <c r="X157" s="10">
        <v>2408</v>
      </c>
      <c r="Y157" s="9">
        <v>0</v>
      </c>
      <c r="Z157" s="9">
        <v>0</v>
      </c>
      <c r="AA157" s="9">
        <v>1</v>
      </c>
      <c r="AB157" s="9">
        <v>1</v>
      </c>
      <c r="AC157" s="9">
        <v>0</v>
      </c>
      <c r="AD157" s="9" t="s">
        <v>314</v>
      </c>
      <c r="AE157" s="9">
        <v>0</v>
      </c>
      <c r="AF157" s="9">
        <v>0</v>
      </c>
      <c r="AG157" s="9">
        <v>0</v>
      </c>
      <c r="AH157" s="9">
        <v>0</v>
      </c>
      <c r="AI157" s="9">
        <v>0</v>
      </c>
      <c r="AJ157" s="9">
        <v>5104</v>
      </c>
      <c r="AK157" s="9" t="s">
        <v>651</v>
      </c>
      <c r="AL157" s="9" t="s">
        <v>72</v>
      </c>
      <c r="AM157" s="9">
        <v>0</v>
      </c>
      <c r="AN157" s="9">
        <v>0</v>
      </c>
      <c r="AO157" s="9">
        <v>0</v>
      </c>
      <c r="AP157" s="9">
        <v>0</v>
      </c>
      <c r="AQ157" s="9">
        <v>0</v>
      </c>
      <c r="AR157" s="9">
        <v>0</v>
      </c>
      <c r="AS157" s="9">
        <v>0</v>
      </c>
      <c r="AT157" s="9">
        <v>0</v>
      </c>
      <c r="AU157" s="9">
        <v>0</v>
      </c>
      <c r="AV157" s="9">
        <v>177184</v>
      </c>
      <c r="AW157" s="9">
        <v>3394050</v>
      </c>
      <c r="AX157" s="9">
        <v>3322583</v>
      </c>
      <c r="AY157" s="9">
        <v>3465977</v>
      </c>
      <c r="AZ157" s="9">
        <v>85354</v>
      </c>
      <c r="BA157" s="10">
        <v>23.833000000000002</v>
      </c>
      <c r="BB157" s="9">
        <v>0</v>
      </c>
      <c r="BC157" s="9">
        <v>0</v>
      </c>
      <c r="BD157" s="9">
        <v>0</v>
      </c>
      <c r="BE157" s="9">
        <v>0</v>
      </c>
      <c r="BF157" s="9">
        <v>2751952</v>
      </c>
      <c r="BG157" s="9">
        <v>0</v>
      </c>
      <c r="BH157" s="10">
        <v>74.674000000000007</v>
      </c>
      <c r="BI157" s="10">
        <v>20535</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10">
        <v>50932</v>
      </c>
      <c r="CI157" s="9">
        <v>0</v>
      </c>
      <c r="CJ157" s="9">
        <v>4</v>
      </c>
      <c r="CK157" s="9">
        <v>0</v>
      </c>
      <c r="CL157" s="9">
        <v>0</v>
      </c>
      <c r="CM157" s="9">
        <v>0</v>
      </c>
      <c r="CN157" s="9">
        <v>0</v>
      </c>
      <c r="CO157" s="9">
        <v>0</v>
      </c>
      <c r="CP157" s="9">
        <v>0</v>
      </c>
      <c r="CQ157" s="9">
        <v>0</v>
      </c>
      <c r="CR157" s="9">
        <v>202.74100000000001</v>
      </c>
      <c r="CS157" s="9">
        <v>0</v>
      </c>
      <c r="CT157" s="9">
        <v>0</v>
      </c>
      <c r="CU157" s="9">
        <v>0</v>
      </c>
      <c r="CV157" s="9">
        <v>0</v>
      </c>
      <c r="CW157" s="9">
        <v>0</v>
      </c>
      <c r="CX157" s="9">
        <v>0</v>
      </c>
      <c r="CY157" s="9">
        <v>0</v>
      </c>
      <c r="CZ157" s="9">
        <v>0</v>
      </c>
      <c r="DA157" s="9">
        <v>1</v>
      </c>
      <c r="DB157" s="9">
        <v>849012</v>
      </c>
      <c r="DC157" s="9">
        <v>0</v>
      </c>
      <c r="DD157" s="9">
        <v>0</v>
      </c>
      <c r="DE157" s="9">
        <v>265437</v>
      </c>
      <c r="DF157" s="9">
        <v>265437</v>
      </c>
      <c r="DG157" s="9">
        <v>202.5</v>
      </c>
      <c r="DH157" s="9">
        <v>0</v>
      </c>
      <c r="DI157" s="9">
        <v>0</v>
      </c>
      <c r="DJ157" s="9">
        <v>0</v>
      </c>
      <c r="DK157" s="9">
        <v>5392</v>
      </c>
      <c r="DL157" s="9">
        <v>0</v>
      </c>
      <c r="DM157" s="9">
        <v>1709060</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3.9090000000000003</v>
      </c>
      <c r="ED157" s="9">
        <v>28182</v>
      </c>
      <c r="EE157" s="9">
        <v>0</v>
      </c>
      <c r="EF157" s="9">
        <v>0</v>
      </c>
      <c r="EG157" s="9">
        <v>0</v>
      </c>
      <c r="EH157" s="9">
        <v>346641</v>
      </c>
      <c r="EI157" s="9">
        <v>1334237</v>
      </c>
      <c r="EJ157" s="9">
        <v>50.894000000000005</v>
      </c>
      <c r="EK157" s="9">
        <v>16.490000000000002</v>
      </c>
      <c r="EL157" s="9">
        <v>0</v>
      </c>
      <c r="EM157" s="9">
        <v>0.45</v>
      </c>
      <c r="EN157" s="9">
        <v>0.41400000000000003</v>
      </c>
      <c r="EO157" s="9">
        <v>0</v>
      </c>
      <c r="EP157" s="9">
        <v>0</v>
      </c>
      <c r="EQ157" s="9">
        <v>68.248000000000005</v>
      </c>
      <c r="ER157" s="9">
        <v>0</v>
      </c>
      <c r="ES157" s="9">
        <v>52.89</v>
      </c>
      <c r="ET157" s="10">
        <v>11917</v>
      </c>
      <c r="EU157" s="9">
        <v>85354</v>
      </c>
      <c r="EV157" s="9">
        <v>0</v>
      </c>
      <c r="EW157" s="9">
        <v>0</v>
      </c>
      <c r="EX157" s="9">
        <v>0</v>
      </c>
      <c r="EY157" s="9">
        <v>0</v>
      </c>
      <c r="EZ157" s="9">
        <v>2809207</v>
      </c>
      <c r="FA157" s="9">
        <v>0</v>
      </c>
      <c r="FB157" s="10">
        <v>2894561</v>
      </c>
      <c r="FC157" s="9">
        <v>0.97327799999999998</v>
      </c>
      <c r="FD157" s="9">
        <v>0</v>
      </c>
      <c r="FE157" s="9">
        <v>418963</v>
      </c>
      <c r="FF157" s="9">
        <v>94413</v>
      </c>
      <c r="FG157" s="9">
        <v>6.1239999999999996E-2</v>
      </c>
      <c r="FH157" s="9">
        <v>5.4803999999999999E-2</v>
      </c>
      <c r="FI157" s="9">
        <v>0</v>
      </c>
      <c r="FJ157" s="9">
        <v>0</v>
      </c>
      <c r="FK157" s="9">
        <v>539.19400000000007</v>
      </c>
      <c r="FL157" s="9">
        <v>3458869</v>
      </c>
      <c r="FM157" s="9">
        <v>0</v>
      </c>
      <c r="FN157" s="9">
        <v>0</v>
      </c>
      <c r="FO157" s="9">
        <v>46516</v>
      </c>
      <c r="FP157" s="9">
        <v>0</v>
      </c>
      <c r="FQ157" s="9">
        <v>46516</v>
      </c>
      <c r="FR157" s="9">
        <v>46516</v>
      </c>
      <c r="FS157" s="9">
        <v>0</v>
      </c>
      <c r="FT157" s="9">
        <v>0</v>
      </c>
      <c r="FU157" s="9">
        <v>0</v>
      </c>
      <c r="FV157" s="9">
        <v>0</v>
      </c>
      <c r="FW157" s="9">
        <v>0</v>
      </c>
      <c r="FX157" s="9">
        <v>0</v>
      </c>
      <c r="FY157" s="9">
        <v>0</v>
      </c>
      <c r="FZ157" s="9">
        <v>0</v>
      </c>
      <c r="GA157" s="9">
        <v>0</v>
      </c>
      <c r="GB157" s="10">
        <v>1593</v>
      </c>
      <c r="GC157" s="10">
        <v>1593</v>
      </c>
      <c r="GD157" s="10">
        <v>0.18</v>
      </c>
      <c r="GE157" s="9">
        <v>0</v>
      </c>
      <c r="GF157" s="9">
        <v>0</v>
      </c>
      <c r="GG157" s="9">
        <v>0</v>
      </c>
      <c r="GH157" s="9">
        <v>0</v>
      </c>
      <c r="GI157" s="9">
        <v>0</v>
      </c>
      <c r="GJ157" s="9">
        <v>0</v>
      </c>
      <c r="GK157" s="9">
        <v>5089</v>
      </c>
      <c r="GL157" s="9">
        <v>12523</v>
      </c>
      <c r="GM157" s="9">
        <v>0</v>
      </c>
      <c r="GN157" s="9">
        <v>4162</v>
      </c>
      <c r="GO157" s="9">
        <v>0</v>
      </c>
      <c r="GP157" s="9">
        <v>3407937</v>
      </c>
      <c r="GQ157" s="9">
        <v>3407937</v>
      </c>
      <c r="GR157" s="9">
        <v>0</v>
      </c>
      <c r="GS157" s="9">
        <v>0</v>
      </c>
      <c r="GT157" s="9">
        <v>0</v>
      </c>
      <c r="GU157" s="9">
        <v>0</v>
      </c>
      <c r="GV157" s="9">
        <v>0</v>
      </c>
      <c r="GW157" s="9">
        <v>0</v>
      </c>
      <c r="GX157" s="9">
        <v>0</v>
      </c>
      <c r="GY157" s="9">
        <v>0</v>
      </c>
      <c r="GZ157" s="9">
        <v>0</v>
      </c>
      <c r="HA157" s="9">
        <v>0</v>
      </c>
      <c r="HB157" s="9">
        <v>260786259</v>
      </c>
      <c r="HC157" s="9">
        <v>5.0923999999999997E-2</v>
      </c>
      <c r="HD157" s="10">
        <v>39015</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32469</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row>
    <row r="158" spans="1:292" ht="13" x14ac:dyDescent="0.3">
      <c r="A158" s="9">
        <v>212801</v>
      </c>
      <c r="B158" s="9">
        <v>32570</v>
      </c>
      <c r="C158" s="9">
        <v>35</v>
      </c>
      <c r="D158" s="9">
        <v>2022</v>
      </c>
      <c r="E158" s="9">
        <v>5392</v>
      </c>
      <c r="F158" s="9">
        <v>0</v>
      </c>
      <c r="G158" s="9">
        <v>1876.1570000000002</v>
      </c>
      <c r="H158" s="9">
        <v>1590.116</v>
      </c>
      <c r="I158" s="9">
        <v>1590.116</v>
      </c>
      <c r="J158" s="9">
        <v>1876.1570000000002</v>
      </c>
      <c r="K158" s="9">
        <v>0</v>
      </c>
      <c r="L158" s="9">
        <v>6554</v>
      </c>
      <c r="M158" s="9">
        <v>0</v>
      </c>
      <c r="N158" s="9">
        <v>0</v>
      </c>
      <c r="O158" s="9">
        <v>0</v>
      </c>
      <c r="P158" s="9">
        <v>1823.81</v>
      </c>
      <c r="Q158" s="9">
        <v>0</v>
      </c>
      <c r="R158" s="10">
        <v>583096</v>
      </c>
      <c r="S158" s="9">
        <v>319.71300000000002</v>
      </c>
      <c r="T158" s="9">
        <v>0</v>
      </c>
      <c r="U158" s="10">
        <v>583096</v>
      </c>
      <c r="V158" s="10">
        <v>123.08</v>
      </c>
      <c r="W158" s="10">
        <v>80667</v>
      </c>
      <c r="X158" s="10">
        <v>80667</v>
      </c>
      <c r="Y158" s="9">
        <v>0</v>
      </c>
      <c r="Z158" s="9">
        <v>0</v>
      </c>
      <c r="AA158" s="9">
        <v>1</v>
      </c>
      <c r="AB158" s="9">
        <v>1</v>
      </c>
      <c r="AC158" s="9">
        <v>0</v>
      </c>
      <c r="AD158" s="9" t="s">
        <v>314</v>
      </c>
      <c r="AE158" s="9">
        <v>0</v>
      </c>
      <c r="AF158" s="9">
        <v>0</v>
      </c>
      <c r="AG158" s="9">
        <v>0</v>
      </c>
      <c r="AH158" s="9">
        <v>0</v>
      </c>
      <c r="AI158" s="9">
        <v>0</v>
      </c>
      <c r="AJ158" s="9">
        <v>5104</v>
      </c>
      <c r="AK158" s="9" t="s">
        <v>651</v>
      </c>
      <c r="AL158" s="9" t="s">
        <v>73</v>
      </c>
      <c r="AM158" s="9">
        <v>0</v>
      </c>
      <c r="AN158" s="9">
        <v>0</v>
      </c>
      <c r="AO158" s="9">
        <v>0</v>
      </c>
      <c r="AP158" s="9">
        <v>0</v>
      </c>
      <c r="AQ158" s="9">
        <v>0</v>
      </c>
      <c r="AR158" s="9">
        <v>0</v>
      </c>
      <c r="AS158" s="9">
        <v>0</v>
      </c>
      <c r="AT158" s="9">
        <v>0</v>
      </c>
      <c r="AU158" s="9">
        <v>0</v>
      </c>
      <c r="AV158" s="9">
        <v>279952</v>
      </c>
      <c r="AW158" s="9">
        <v>17973765</v>
      </c>
      <c r="AX158" s="9">
        <v>17387469</v>
      </c>
      <c r="AY158" s="9">
        <v>18606471</v>
      </c>
      <c r="AZ158" s="9">
        <v>778560</v>
      </c>
      <c r="BA158" s="10">
        <v>41.333000000000006</v>
      </c>
      <c r="BB158" s="9">
        <v>0</v>
      </c>
      <c r="BC158" s="9">
        <v>0</v>
      </c>
      <c r="BD158" s="9">
        <v>0</v>
      </c>
      <c r="BE158" s="9">
        <v>0</v>
      </c>
      <c r="BF158" s="9">
        <v>14802702</v>
      </c>
      <c r="BG158" s="9">
        <v>0</v>
      </c>
      <c r="BH158" s="10">
        <v>671.51100000000008</v>
      </c>
      <c r="BI158" s="10">
        <v>184666</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28.247</v>
      </c>
      <c r="CB158" s="9">
        <v>10798</v>
      </c>
      <c r="CC158" s="9">
        <v>0</v>
      </c>
      <c r="CD158" s="9">
        <v>0</v>
      </c>
      <c r="CE158" s="9">
        <v>0</v>
      </c>
      <c r="CF158" s="9">
        <v>0</v>
      </c>
      <c r="CG158" s="9">
        <v>0</v>
      </c>
      <c r="CH158" s="10">
        <v>390832</v>
      </c>
      <c r="CI158" s="9">
        <v>0</v>
      </c>
      <c r="CJ158" s="9">
        <v>4</v>
      </c>
      <c r="CK158" s="9">
        <v>0</v>
      </c>
      <c r="CL158" s="9">
        <v>0</v>
      </c>
      <c r="CM158" s="9">
        <v>0</v>
      </c>
      <c r="CN158" s="9">
        <v>0</v>
      </c>
      <c r="CO158" s="9">
        <v>0</v>
      </c>
      <c r="CP158" s="9">
        <v>0</v>
      </c>
      <c r="CQ158" s="9">
        <v>1.667</v>
      </c>
      <c r="CR158" s="9">
        <v>1823.81</v>
      </c>
      <c r="CS158" s="9">
        <v>0</v>
      </c>
      <c r="CT158" s="9">
        <v>0</v>
      </c>
      <c r="CU158" s="9">
        <v>0</v>
      </c>
      <c r="CV158" s="9">
        <v>0</v>
      </c>
      <c r="CW158" s="9">
        <v>0</v>
      </c>
      <c r="CX158" s="9">
        <v>0</v>
      </c>
      <c r="CY158" s="9">
        <v>0</v>
      </c>
      <c r="CZ158" s="9">
        <v>0</v>
      </c>
      <c r="DA158" s="9">
        <v>1</v>
      </c>
      <c r="DB158" s="9">
        <v>10421620</v>
      </c>
      <c r="DC158" s="9">
        <v>0</v>
      </c>
      <c r="DD158" s="9">
        <v>0</v>
      </c>
      <c r="DE158" s="9">
        <v>1297469</v>
      </c>
      <c r="DF158" s="9">
        <v>1297469</v>
      </c>
      <c r="DG158" s="9">
        <v>989.83</v>
      </c>
      <c r="DH158" s="9">
        <v>0</v>
      </c>
      <c r="DI158" s="9">
        <v>0</v>
      </c>
      <c r="DJ158" s="9">
        <v>0</v>
      </c>
      <c r="DK158" s="9">
        <v>5392</v>
      </c>
      <c r="DL158" s="9">
        <v>0</v>
      </c>
      <c r="DM158" s="9">
        <v>1364157</v>
      </c>
      <c r="DN158" s="9">
        <v>0</v>
      </c>
      <c r="DO158" s="9">
        <v>0</v>
      </c>
      <c r="DP158" s="9">
        <v>0</v>
      </c>
      <c r="DQ158" s="9">
        <v>0</v>
      </c>
      <c r="DR158" s="9">
        <v>0</v>
      </c>
      <c r="DS158" s="9">
        <v>0</v>
      </c>
      <c r="DT158" s="9">
        <v>0</v>
      </c>
      <c r="DU158" s="9">
        <v>0</v>
      </c>
      <c r="DV158" s="9">
        <v>0</v>
      </c>
      <c r="DW158" s="9">
        <v>0</v>
      </c>
      <c r="DX158" s="9">
        <v>0</v>
      </c>
      <c r="DY158" s="9">
        <v>0</v>
      </c>
      <c r="DZ158" s="9">
        <v>0</v>
      </c>
      <c r="EA158" s="9">
        <v>7.5999999999999998E-2</v>
      </c>
      <c r="EB158" s="9">
        <v>0</v>
      </c>
      <c r="EC158" s="9">
        <v>33.191000000000003</v>
      </c>
      <c r="ED158" s="9">
        <v>239287</v>
      </c>
      <c r="EE158" s="9">
        <v>0</v>
      </c>
      <c r="EF158" s="9">
        <v>0</v>
      </c>
      <c r="EG158" s="9">
        <v>0</v>
      </c>
      <c r="EH158" s="9">
        <v>1124870</v>
      </c>
      <c r="EI158" s="9">
        <v>0</v>
      </c>
      <c r="EJ158" s="9">
        <v>0</v>
      </c>
      <c r="EK158" s="9">
        <v>44.273000000000003</v>
      </c>
      <c r="EL158" s="9">
        <v>0</v>
      </c>
      <c r="EM158" s="9">
        <v>7.6740000000000004</v>
      </c>
      <c r="EN158" s="9">
        <v>3.0820000000000003</v>
      </c>
      <c r="EO158" s="9">
        <v>0</v>
      </c>
      <c r="EP158" s="9">
        <v>0</v>
      </c>
      <c r="EQ158" s="9">
        <v>55.105000000000004</v>
      </c>
      <c r="ER158" s="9">
        <v>0</v>
      </c>
      <c r="ES158" s="9">
        <v>171.631</v>
      </c>
      <c r="ET158" s="10">
        <v>21083</v>
      </c>
      <c r="EU158" s="9">
        <v>778560</v>
      </c>
      <c r="EV158" s="9">
        <v>0</v>
      </c>
      <c r="EW158" s="9">
        <v>0</v>
      </c>
      <c r="EX158" s="9">
        <v>0</v>
      </c>
      <c r="EY158" s="9">
        <v>0</v>
      </c>
      <c r="EZ158" s="9">
        <v>14626032</v>
      </c>
      <c r="FA158" s="9">
        <v>0</v>
      </c>
      <c r="FB158" s="10">
        <v>15404592</v>
      </c>
      <c r="FC158" s="9">
        <v>0.97327799999999998</v>
      </c>
      <c r="FD158" s="9">
        <v>0</v>
      </c>
      <c r="FE158" s="9">
        <v>2253593</v>
      </c>
      <c r="FF158" s="9">
        <v>507844</v>
      </c>
      <c r="FG158" s="9">
        <v>6.1239999999999996E-2</v>
      </c>
      <c r="FH158" s="9">
        <v>5.4803999999999999E-2</v>
      </c>
      <c r="FI158" s="9">
        <v>0</v>
      </c>
      <c r="FJ158" s="9">
        <v>0</v>
      </c>
      <c r="FK158" s="9">
        <v>2900.3160000000003</v>
      </c>
      <c r="FL158" s="9">
        <v>18556861</v>
      </c>
      <c r="FM158" s="9">
        <v>0</v>
      </c>
      <c r="FN158" s="9">
        <v>0</v>
      </c>
      <c r="FO158" s="9">
        <v>0</v>
      </c>
      <c r="FP158" s="9">
        <v>0</v>
      </c>
      <c r="FQ158" s="9">
        <v>0</v>
      </c>
      <c r="FR158" s="9">
        <v>0</v>
      </c>
      <c r="FS158" s="9">
        <v>0</v>
      </c>
      <c r="FT158" s="9">
        <v>0</v>
      </c>
      <c r="FU158" s="9">
        <v>0</v>
      </c>
      <c r="FV158" s="9">
        <v>0</v>
      </c>
      <c r="FW158" s="9">
        <v>0</v>
      </c>
      <c r="FX158" s="9">
        <v>0</v>
      </c>
      <c r="FY158" s="9">
        <v>0</v>
      </c>
      <c r="FZ158" s="9">
        <v>1916</v>
      </c>
      <c r="GA158" s="9">
        <v>38.319000000000003</v>
      </c>
      <c r="GB158" s="10">
        <v>2045215</v>
      </c>
      <c r="GC158" s="10">
        <v>2045215</v>
      </c>
      <c r="GD158" s="10">
        <v>230.93600000000001</v>
      </c>
      <c r="GE158" s="9">
        <v>0</v>
      </c>
      <c r="GF158" s="9">
        <v>0</v>
      </c>
      <c r="GG158" s="9">
        <v>0</v>
      </c>
      <c r="GH158" s="9">
        <v>0</v>
      </c>
      <c r="GI158" s="9">
        <v>0</v>
      </c>
      <c r="GJ158" s="9">
        <v>0</v>
      </c>
      <c r="GK158" s="9">
        <v>5040</v>
      </c>
      <c r="GL158" s="9">
        <v>7142</v>
      </c>
      <c r="GM158" s="9">
        <v>0</v>
      </c>
      <c r="GN158" s="9">
        <v>0</v>
      </c>
      <c r="GO158" s="9">
        <v>0</v>
      </c>
      <c r="GP158" s="9">
        <v>18166029</v>
      </c>
      <c r="GQ158" s="9">
        <v>18166029</v>
      </c>
      <c r="GR158" s="9">
        <v>0</v>
      </c>
      <c r="GS158" s="9">
        <v>0</v>
      </c>
      <c r="GT158" s="9">
        <v>0</v>
      </c>
      <c r="GU158" s="9">
        <v>0</v>
      </c>
      <c r="GV158" s="9">
        <v>0</v>
      </c>
      <c r="GW158" s="9">
        <v>0</v>
      </c>
      <c r="GX158" s="9">
        <v>0</v>
      </c>
      <c r="GY158" s="9">
        <v>0</v>
      </c>
      <c r="GZ158" s="9">
        <v>0</v>
      </c>
      <c r="HA158" s="9">
        <v>0</v>
      </c>
      <c r="HB158" s="9">
        <v>260786259</v>
      </c>
      <c r="HC158" s="9">
        <v>5.0923999999999997E-2</v>
      </c>
      <c r="HD158" s="10">
        <v>369749</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32469</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row>
    <row r="159" spans="1:292" x14ac:dyDescent="0.25">
      <c r="A159" s="9">
        <v>212804</v>
      </c>
      <c r="B159" s="9">
        <v>32570</v>
      </c>
      <c r="C159" s="9">
        <v>35</v>
      </c>
      <c r="D159" s="9">
        <v>2022</v>
      </c>
      <c r="E159" s="9">
        <v>5392</v>
      </c>
      <c r="F159" s="9">
        <v>0</v>
      </c>
      <c r="G159" s="9">
        <v>798.18799999999999</v>
      </c>
      <c r="H159" s="9">
        <v>724.28</v>
      </c>
      <c r="I159" s="9">
        <v>724.28</v>
      </c>
      <c r="J159" s="9">
        <v>798.18799999999999</v>
      </c>
      <c r="K159" s="9">
        <v>0</v>
      </c>
      <c r="L159" s="9">
        <v>6554</v>
      </c>
      <c r="M159" s="9">
        <v>0</v>
      </c>
      <c r="N159" s="9">
        <v>0</v>
      </c>
      <c r="O159" s="9">
        <v>0</v>
      </c>
      <c r="P159" s="9">
        <v>713.79200000000003</v>
      </c>
      <c r="Q159" s="9">
        <v>0</v>
      </c>
      <c r="R159" s="9">
        <v>228209</v>
      </c>
      <c r="S159" s="9">
        <v>319.71300000000002</v>
      </c>
      <c r="T159" s="9">
        <v>0</v>
      </c>
      <c r="U159" s="9">
        <v>228209</v>
      </c>
      <c r="V159" s="9">
        <v>13.899000000000001</v>
      </c>
      <c r="W159" s="9">
        <v>9109</v>
      </c>
      <c r="X159" s="9">
        <v>9109</v>
      </c>
      <c r="Y159" s="9">
        <v>0</v>
      </c>
      <c r="Z159" s="9">
        <v>0</v>
      </c>
      <c r="AA159" s="9">
        <v>1</v>
      </c>
      <c r="AB159" s="9">
        <v>1</v>
      </c>
      <c r="AC159" s="9">
        <v>0</v>
      </c>
      <c r="AD159" s="9" t="s">
        <v>314</v>
      </c>
      <c r="AE159" s="9">
        <v>0</v>
      </c>
      <c r="AF159" s="9">
        <v>0</v>
      </c>
      <c r="AG159" s="9">
        <v>0</v>
      </c>
      <c r="AH159" s="9">
        <v>0</v>
      </c>
      <c r="AI159" s="9">
        <v>0</v>
      </c>
      <c r="AJ159" s="9">
        <v>5104</v>
      </c>
      <c r="AK159" s="9" t="s">
        <v>651</v>
      </c>
      <c r="AL159" s="9" t="s">
        <v>462</v>
      </c>
      <c r="AM159" s="9">
        <v>0</v>
      </c>
      <c r="AN159" s="9">
        <v>0</v>
      </c>
      <c r="AO159" s="9">
        <v>0</v>
      </c>
      <c r="AP159" s="9">
        <v>0</v>
      </c>
      <c r="AQ159" s="9">
        <v>0</v>
      </c>
      <c r="AR159" s="9">
        <v>0</v>
      </c>
      <c r="AS159" s="9">
        <v>0</v>
      </c>
      <c r="AT159" s="9">
        <v>0</v>
      </c>
      <c r="AU159" s="9">
        <v>0</v>
      </c>
      <c r="AV159" s="9">
        <v>2295</v>
      </c>
      <c r="AW159" s="9">
        <v>7024962</v>
      </c>
      <c r="AX159" s="9">
        <v>6808621</v>
      </c>
      <c r="AY159" s="9">
        <v>7321345</v>
      </c>
      <c r="AZ159" s="9">
        <v>287245</v>
      </c>
      <c r="BA159" s="9">
        <v>0</v>
      </c>
      <c r="BB159" s="9">
        <v>31388</v>
      </c>
      <c r="BC159" s="9">
        <v>31388</v>
      </c>
      <c r="BD159" s="9">
        <v>39.908999999999999</v>
      </c>
      <c r="BE159" s="9">
        <v>0</v>
      </c>
      <c r="BF159" s="9">
        <v>5796374</v>
      </c>
      <c r="BG159" s="9">
        <v>0</v>
      </c>
      <c r="BH159" s="9">
        <v>214.67500000000001</v>
      </c>
      <c r="BI159" s="9">
        <v>59036</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157305</v>
      </c>
      <c r="CI159" s="9">
        <v>0</v>
      </c>
      <c r="CJ159" s="9">
        <v>4</v>
      </c>
      <c r="CK159" s="9">
        <v>0</v>
      </c>
      <c r="CL159" s="9">
        <v>0</v>
      </c>
      <c r="CM159" s="9">
        <v>0</v>
      </c>
      <c r="CN159" s="9">
        <v>0</v>
      </c>
      <c r="CO159" s="9">
        <v>0</v>
      </c>
      <c r="CP159" s="9">
        <v>0</v>
      </c>
      <c r="CQ159" s="9">
        <v>0</v>
      </c>
      <c r="CR159" s="9">
        <v>713.79200000000003</v>
      </c>
      <c r="CS159" s="9">
        <v>0</v>
      </c>
      <c r="CT159" s="9">
        <v>0</v>
      </c>
      <c r="CU159" s="9">
        <v>0</v>
      </c>
      <c r="CV159" s="9">
        <v>0</v>
      </c>
      <c r="CW159" s="9">
        <v>0</v>
      </c>
      <c r="CX159" s="9">
        <v>0</v>
      </c>
      <c r="CY159" s="9">
        <v>0</v>
      </c>
      <c r="CZ159" s="9">
        <v>0</v>
      </c>
      <c r="DA159" s="9">
        <v>1</v>
      </c>
      <c r="DB159" s="9">
        <v>4746931</v>
      </c>
      <c r="DC159" s="9">
        <v>0</v>
      </c>
      <c r="DD159" s="9">
        <v>0</v>
      </c>
      <c r="DE159" s="9">
        <v>293619</v>
      </c>
      <c r="DF159" s="9">
        <v>293619</v>
      </c>
      <c r="DG159" s="9">
        <v>224</v>
      </c>
      <c r="DH159" s="9">
        <v>0</v>
      </c>
      <c r="DI159" s="9">
        <v>0</v>
      </c>
      <c r="DJ159" s="9">
        <v>0</v>
      </c>
      <c r="DK159" s="9">
        <v>5392</v>
      </c>
      <c r="DL159" s="9">
        <v>0</v>
      </c>
      <c r="DM159" s="9">
        <v>302491</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13.917</v>
      </c>
      <c r="ED159" s="9">
        <v>100333</v>
      </c>
      <c r="EE159" s="9">
        <v>0</v>
      </c>
      <c r="EF159" s="9">
        <v>0</v>
      </c>
      <c r="EG159" s="9">
        <v>0</v>
      </c>
      <c r="EH159" s="9">
        <v>202158</v>
      </c>
      <c r="EI159" s="9">
        <v>0</v>
      </c>
      <c r="EJ159" s="9">
        <v>0</v>
      </c>
      <c r="EK159" s="9">
        <v>8.0449999999999999</v>
      </c>
      <c r="EL159" s="9">
        <v>0</v>
      </c>
      <c r="EM159" s="9">
        <v>0</v>
      </c>
      <c r="EN159" s="9">
        <v>1.3420000000000001</v>
      </c>
      <c r="EO159" s="9">
        <v>0</v>
      </c>
      <c r="EP159" s="9">
        <v>0</v>
      </c>
      <c r="EQ159" s="9">
        <v>9.3870000000000005</v>
      </c>
      <c r="ER159" s="9">
        <v>0</v>
      </c>
      <c r="ES159" s="9">
        <v>30.845000000000002</v>
      </c>
      <c r="ET159" s="9">
        <v>0</v>
      </c>
      <c r="EU159" s="9">
        <v>287245</v>
      </c>
      <c r="EV159" s="9">
        <v>0</v>
      </c>
      <c r="EW159" s="9">
        <v>0</v>
      </c>
      <c r="EX159" s="9">
        <v>0</v>
      </c>
      <c r="EY159" s="9">
        <v>0</v>
      </c>
      <c r="EZ159" s="9">
        <v>5727311</v>
      </c>
      <c r="FA159" s="9">
        <v>0</v>
      </c>
      <c r="FB159" s="9">
        <v>6014556</v>
      </c>
      <c r="FC159" s="9">
        <v>0.97327799999999998</v>
      </c>
      <c r="FD159" s="9">
        <v>0</v>
      </c>
      <c r="FE159" s="9">
        <v>882451</v>
      </c>
      <c r="FF159" s="9">
        <v>198859</v>
      </c>
      <c r="FG159" s="9">
        <v>6.1239999999999996E-2</v>
      </c>
      <c r="FH159" s="9">
        <v>5.4803999999999999E-2</v>
      </c>
      <c r="FI159" s="9">
        <v>0</v>
      </c>
      <c r="FJ159" s="9">
        <v>0</v>
      </c>
      <c r="FK159" s="9">
        <v>1135.692</v>
      </c>
      <c r="FL159" s="9">
        <v>7253171</v>
      </c>
      <c r="FM159" s="9">
        <v>0</v>
      </c>
      <c r="FN159" s="9">
        <v>0</v>
      </c>
      <c r="FO159" s="9">
        <v>0</v>
      </c>
      <c r="FP159" s="9">
        <v>0</v>
      </c>
      <c r="FQ159" s="9">
        <v>0</v>
      </c>
      <c r="FR159" s="9">
        <v>0</v>
      </c>
      <c r="FS159" s="9">
        <v>0</v>
      </c>
      <c r="FT159" s="9">
        <v>0</v>
      </c>
      <c r="FU159" s="9">
        <v>0</v>
      </c>
      <c r="FV159" s="9">
        <v>0</v>
      </c>
      <c r="FW159" s="9">
        <v>0</v>
      </c>
      <c r="FX159" s="9">
        <v>0</v>
      </c>
      <c r="FY159" s="9">
        <v>0</v>
      </c>
      <c r="FZ159" s="9">
        <v>1107</v>
      </c>
      <c r="GA159" s="9">
        <v>22.134</v>
      </c>
      <c r="GB159" s="9">
        <v>571982</v>
      </c>
      <c r="GC159" s="9">
        <v>571982</v>
      </c>
      <c r="GD159" s="9">
        <v>64.521000000000001</v>
      </c>
      <c r="GE159" s="9">
        <v>0</v>
      </c>
      <c r="GF159" s="9">
        <v>0</v>
      </c>
      <c r="GG159" s="9">
        <v>0</v>
      </c>
      <c r="GH159" s="9">
        <v>0</v>
      </c>
      <c r="GI159" s="9">
        <v>0</v>
      </c>
      <c r="GJ159" s="9">
        <v>0</v>
      </c>
      <c r="GK159" s="9">
        <v>4971</v>
      </c>
      <c r="GL159" s="9">
        <v>0</v>
      </c>
      <c r="GM159" s="9">
        <v>0</v>
      </c>
      <c r="GN159" s="9">
        <v>0</v>
      </c>
      <c r="GO159" s="9">
        <v>0</v>
      </c>
      <c r="GP159" s="9">
        <v>7095866</v>
      </c>
      <c r="GQ159" s="9">
        <v>7095866</v>
      </c>
      <c r="GR159" s="9">
        <v>0</v>
      </c>
      <c r="GS159" s="9">
        <v>0</v>
      </c>
      <c r="GT159" s="9">
        <v>0</v>
      </c>
      <c r="GU159" s="9">
        <v>0</v>
      </c>
      <c r="GV159" s="9">
        <v>0</v>
      </c>
      <c r="GW159" s="9">
        <v>0</v>
      </c>
      <c r="GX159" s="9">
        <v>0</v>
      </c>
      <c r="GY159" s="9">
        <v>0</v>
      </c>
      <c r="GZ159" s="9">
        <v>0</v>
      </c>
      <c r="HA159" s="9">
        <v>0</v>
      </c>
      <c r="HB159" s="9">
        <v>260786259</v>
      </c>
      <c r="HC159" s="9">
        <v>5.0923999999999997E-2</v>
      </c>
      <c r="HD159" s="9">
        <v>157305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32469</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row>
    <row r="160" spans="1:292" ht="13" x14ac:dyDescent="0.3">
      <c r="A160" s="9">
        <v>213801</v>
      </c>
      <c r="B160" s="9">
        <v>32570</v>
      </c>
      <c r="C160" s="9">
        <v>35</v>
      </c>
      <c r="D160" s="9">
        <v>2022</v>
      </c>
      <c r="E160" s="9">
        <v>5392</v>
      </c>
      <c r="F160" s="9">
        <v>0</v>
      </c>
      <c r="G160" s="9">
        <v>208.79400000000001</v>
      </c>
      <c r="H160" s="9">
        <v>177.261</v>
      </c>
      <c r="I160" s="9">
        <v>177.261</v>
      </c>
      <c r="J160" s="9">
        <v>208.79400000000001</v>
      </c>
      <c r="K160" s="9">
        <v>0</v>
      </c>
      <c r="L160" s="9">
        <v>6554</v>
      </c>
      <c r="M160" s="9">
        <v>0</v>
      </c>
      <c r="N160" s="9">
        <v>0</v>
      </c>
      <c r="O160" s="9">
        <v>0</v>
      </c>
      <c r="P160" s="9">
        <v>209.82500000000002</v>
      </c>
      <c r="Q160" s="9">
        <v>0</v>
      </c>
      <c r="R160" s="10">
        <v>67084</v>
      </c>
      <c r="S160" s="9">
        <v>319.71300000000002</v>
      </c>
      <c r="T160" s="9">
        <v>0</v>
      </c>
      <c r="U160" s="10">
        <v>67084</v>
      </c>
      <c r="V160" s="10">
        <v>1.56</v>
      </c>
      <c r="W160" s="10">
        <v>1022</v>
      </c>
      <c r="X160" s="10">
        <v>1022</v>
      </c>
      <c r="Y160" s="9">
        <v>0</v>
      </c>
      <c r="Z160" s="9">
        <v>0</v>
      </c>
      <c r="AA160" s="9">
        <v>1</v>
      </c>
      <c r="AB160" s="9">
        <v>1</v>
      </c>
      <c r="AC160" s="9">
        <v>0</v>
      </c>
      <c r="AD160" s="9" t="s">
        <v>314</v>
      </c>
      <c r="AE160" s="9">
        <v>0</v>
      </c>
      <c r="AF160" s="9">
        <v>0</v>
      </c>
      <c r="AG160" s="9">
        <v>0</v>
      </c>
      <c r="AH160" s="9">
        <v>0</v>
      </c>
      <c r="AI160" s="9">
        <v>0</v>
      </c>
      <c r="AJ160" s="9">
        <v>5104</v>
      </c>
      <c r="AK160" s="9" t="s">
        <v>651</v>
      </c>
      <c r="AL160" s="9" t="s">
        <v>74</v>
      </c>
      <c r="AM160" s="9">
        <v>0</v>
      </c>
      <c r="AN160" s="9">
        <v>0</v>
      </c>
      <c r="AO160" s="9">
        <v>0</v>
      </c>
      <c r="AP160" s="9">
        <v>0</v>
      </c>
      <c r="AQ160" s="9">
        <v>0</v>
      </c>
      <c r="AR160" s="9">
        <v>0</v>
      </c>
      <c r="AS160" s="9">
        <v>0</v>
      </c>
      <c r="AT160" s="9">
        <v>0</v>
      </c>
      <c r="AU160" s="9">
        <v>0</v>
      </c>
      <c r="AV160" s="9">
        <v>2046</v>
      </c>
      <c r="AW160" s="9">
        <v>2341517</v>
      </c>
      <c r="AX160" s="9">
        <v>2258636</v>
      </c>
      <c r="AY160" s="9">
        <v>2381954</v>
      </c>
      <c r="AZ160" s="9">
        <v>101774</v>
      </c>
      <c r="BA160" s="10">
        <v>12</v>
      </c>
      <c r="BB160" s="9">
        <v>0</v>
      </c>
      <c r="BC160" s="9">
        <v>0</v>
      </c>
      <c r="BD160" s="9">
        <v>0</v>
      </c>
      <c r="BE160" s="9">
        <v>0</v>
      </c>
      <c r="BF160" s="9">
        <v>1915741</v>
      </c>
      <c r="BG160" s="9">
        <v>0</v>
      </c>
      <c r="BH160" s="10">
        <v>126.14500000000001</v>
      </c>
      <c r="BI160" s="10">
        <v>34690</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10">
        <v>48191</v>
      </c>
      <c r="CI160" s="9">
        <v>0</v>
      </c>
      <c r="CJ160" s="9">
        <v>4</v>
      </c>
      <c r="CK160" s="9">
        <v>0</v>
      </c>
      <c r="CL160" s="9">
        <v>0</v>
      </c>
      <c r="CM160" s="9">
        <v>0</v>
      </c>
      <c r="CN160" s="9">
        <v>0</v>
      </c>
      <c r="CO160" s="9">
        <v>0</v>
      </c>
      <c r="CP160" s="9">
        <v>0</v>
      </c>
      <c r="CQ160" s="9">
        <v>4.1669999999999998</v>
      </c>
      <c r="CR160" s="9">
        <v>209.82500000000002</v>
      </c>
      <c r="CS160" s="9">
        <v>0</v>
      </c>
      <c r="CT160" s="9">
        <v>0</v>
      </c>
      <c r="CU160" s="9">
        <v>0</v>
      </c>
      <c r="CV160" s="9">
        <v>0</v>
      </c>
      <c r="CW160" s="9">
        <v>0</v>
      </c>
      <c r="CX160" s="9">
        <v>0</v>
      </c>
      <c r="CY160" s="9">
        <v>0</v>
      </c>
      <c r="CZ160" s="9">
        <v>0</v>
      </c>
      <c r="DA160" s="9">
        <v>1</v>
      </c>
      <c r="DB160" s="9">
        <v>1161769</v>
      </c>
      <c r="DC160" s="9">
        <v>0</v>
      </c>
      <c r="DD160" s="9">
        <v>0</v>
      </c>
      <c r="DE160" s="9">
        <v>182201</v>
      </c>
      <c r="DF160" s="9">
        <v>182201</v>
      </c>
      <c r="DG160" s="9">
        <v>139</v>
      </c>
      <c r="DH160" s="9">
        <v>0</v>
      </c>
      <c r="DI160" s="9">
        <v>0</v>
      </c>
      <c r="DJ160" s="9">
        <v>0</v>
      </c>
      <c r="DK160" s="9">
        <v>5392</v>
      </c>
      <c r="DL160" s="9">
        <v>0</v>
      </c>
      <c r="DM160" s="9">
        <v>445445</v>
      </c>
      <c r="DN160" s="9">
        <v>0</v>
      </c>
      <c r="DO160" s="9">
        <v>0</v>
      </c>
      <c r="DP160" s="9">
        <v>0</v>
      </c>
      <c r="DQ160" s="9">
        <v>0</v>
      </c>
      <c r="DR160" s="9">
        <v>0</v>
      </c>
      <c r="DS160" s="9">
        <v>0</v>
      </c>
      <c r="DT160" s="9">
        <v>0</v>
      </c>
      <c r="DU160" s="9">
        <v>0</v>
      </c>
      <c r="DV160" s="9">
        <v>0</v>
      </c>
      <c r="DW160" s="9">
        <v>0</v>
      </c>
      <c r="DX160" s="9">
        <v>0</v>
      </c>
      <c r="DY160" s="9">
        <v>0</v>
      </c>
      <c r="DZ160" s="9">
        <v>0</v>
      </c>
      <c r="EA160" s="9">
        <v>0</v>
      </c>
      <c r="EB160" s="9">
        <v>11.281000000000001</v>
      </c>
      <c r="EC160" s="9">
        <v>30.343</v>
      </c>
      <c r="ED160" s="9">
        <v>218755</v>
      </c>
      <c r="EE160" s="9">
        <v>0</v>
      </c>
      <c r="EF160" s="9">
        <v>0</v>
      </c>
      <c r="EG160" s="9">
        <v>0</v>
      </c>
      <c r="EH160" s="9">
        <v>226690</v>
      </c>
      <c r="EI160" s="9">
        <v>0</v>
      </c>
      <c r="EJ160" s="9">
        <v>0</v>
      </c>
      <c r="EK160" s="9">
        <v>0</v>
      </c>
      <c r="EL160" s="9">
        <v>0</v>
      </c>
      <c r="EM160" s="9">
        <v>0</v>
      </c>
      <c r="EN160" s="9">
        <v>0.14899999999999999</v>
      </c>
      <c r="EO160" s="9">
        <v>0</v>
      </c>
      <c r="EP160" s="9">
        <v>0</v>
      </c>
      <c r="EQ160" s="9">
        <v>11.43</v>
      </c>
      <c r="ER160" s="9">
        <v>0</v>
      </c>
      <c r="ES160" s="9">
        <v>34.588000000000001</v>
      </c>
      <c r="ET160" s="10">
        <v>7042</v>
      </c>
      <c r="EU160" s="9">
        <v>101774</v>
      </c>
      <c r="EV160" s="9">
        <v>0</v>
      </c>
      <c r="EW160" s="9">
        <v>0</v>
      </c>
      <c r="EX160" s="9">
        <v>0</v>
      </c>
      <c r="EY160" s="9">
        <v>0</v>
      </c>
      <c r="EZ160" s="9">
        <v>1901256</v>
      </c>
      <c r="FA160" s="9">
        <v>0</v>
      </c>
      <c r="FB160" s="10">
        <v>2003030</v>
      </c>
      <c r="FC160" s="9">
        <v>0.97327799999999998</v>
      </c>
      <c r="FD160" s="9">
        <v>0</v>
      </c>
      <c r="FE160" s="9">
        <v>291656</v>
      </c>
      <c r="FF160" s="9">
        <v>65724</v>
      </c>
      <c r="FG160" s="9">
        <v>6.1239999999999996E-2</v>
      </c>
      <c r="FH160" s="9">
        <v>5.4803999999999999E-2</v>
      </c>
      <c r="FI160" s="9">
        <v>0</v>
      </c>
      <c r="FJ160" s="9">
        <v>0</v>
      </c>
      <c r="FK160" s="9">
        <v>375.35400000000004</v>
      </c>
      <c r="FL160" s="9">
        <v>2408601</v>
      </c>
      <c r="FM160" s="9">
        <v>0</v>
      </c>
      <c r="FN160" s="9">
        <v>0</v>
      </c>
      <c r="FO160" s="9">
        <v>0</v>
      </c>
      <c r="FP160" s="9">
        <v>0</v>
      </c>
      <c r="FQ160" s="9">
        <v>0</v>
      </c>
      <c r="FR160" s="9">
        <v>0</v>
      </c>
      <c r="FS160" s="9">
        <v>0</v>
      </c>
      <c r="FT160" s="9">
        <v>0</v>
      </c>
      <c r="FU160" s="9">
        <v>0</v>
      </c>
      <c r="FV160" s="9">
        <v>0</v>
      </c>
      <c r="FW160" s="9">
        <v>0</v>
      </c>
      <c r="FX160" s="9">
        <v>0</v>
      </c>
      <c r="FY160" s="9">
        <v>0</v>
      </c>
      <c r="FZ160" s="9">
        <v>34</v>
      </c>
      <c r="GA160" s="9">
        <v>0.67900000000000005</v>
      </c>
      <c r="GB160" s="10">
        <v>177903</v>
      </c>
      <c r="GC160" s="10">
        <v>177903</v>
      </c>
      <c r="GD160" s="10">
        <v>20.103000000000002</v>
      </c>
      <c r="GE160" s="9">
        <v>0</v>
      </c>
      <c r="GF160" s="9">
        <v>0</v>
      </c>
      <c r="GG160" s="9">
        <v>0</v>
      </c>
      <c r="GH160" s="9">
        <v>0</v>
      </c>
      <c r="GI160" s="9">
        <v>0</v>
      </c>
      <c r="GJ160" s="9">
        <v>0</v>
      </c>
      <c r="GK160" s="9">
        <v>5251</v>
      </c>
      <c r="GL160" s="9">
        <v>4711</v>
      </c>
      <c r="GM160" s="9">
        <v>0</v>
      </c>
      <c r="GN160" s="9">
        <v>0</v>
      </c>
      <c r="GO160" s="9">
        <v>0</v>
      </c>
      <c r="GP160" s="9">
        <v>2360410</v>
      </c>
      <c r="GQ160" s="9">
        <v>2360410</v>
      </c>
      <c r="GR160" s="9">
        <v>0</v>
      </c>
      <c r="GS160" s="9">
        <v>0</v>
      </c>
      <c r="GT160" s="9">
        <v>0</v>
      </c>
      <c r="GU160" s="9">
        <v>0</v>
      </c>
      <c r="GV160" s="9">
        <v>0</v>
      </c>
      <c r="GW160" s="9">
        <v>0</v>
      </c>
      <c r="GX160" s="9">
        <v>0</v>
      </c>
      <c r="GY160" s="9">
        <v>0</v>
      </c>
      <c r="GZ160" s="9">
        <v>0</v>
      </c>
      <c r="HA160" s="9">
        <v>0</v>
      </c>
      <c r="HB160" s="9">
        <v>260786259</v>
      </c>
      <c r="HC160" s="9">
        <v>5.0923999999999997E-2</v>
      </c>
      <c r="HD160" s="10">
        <v>41149</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1.56</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32469</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row>
    <row r="161" spans="1:292" ht="13" x14ac:dyDescent="0.3">
      <c r="A161" s="9">
        <v>220801</v>
      </c>
      <c r="B161" s="9">
        <v>32570</v>
      </c>
      <c r="C161" s="9">
        <v>35</v>
      </c>
      <c r="D161" s="9">
        <v>2022</v>
      </c>
      <c r="E161" s="9">
        <v>5392</v>
      </c>
      <c r="F161" s="9">
        <v>0</v>
      </c>
      <c r="G161" s="9">
        <v>369.505</v>
      </c>
      <c r="H161" s="9">
        <v>353.04200000000003</v>
      </c>
      <c r="I161" s="9">
        <v>353.04200000000003</v>
      </c>
      <c r="J161" s="9">
        <v>369.505</v>
      </c>
      <c r="K161" s="9">
        <v>0</v>
      </c>
      <c r="L161" s="9">
        <v>6554</v>
      </c>
      <c r="M161" s="9">
        <v>0</v>
      </c>
      <c r="N161" s="9">
        <v>0</v>
      </c>
      <c r="O161" s="9">
        <v>0</v>
      </c>
      <c r="P161" s="9">
        <v>367.44100000000003</v>
      </c>
      <c r="Q161" s="9">
        <v>0</v>
      </c>
      <c r="R161" s="10">
        <v>117476</v>
      </c>
      <c r="S161" s="9">
        <v>319.71300000000002</v>
      </c>
      <c r="T161" s="9">
        <v>0</v>
      </c>
      <c r="U161" s="10">
        <v>117476</v>
      </c>
      <c r="V161" s="10">
        <v>5.2650000000000006</v>
      </c>
      <c r="W161" s="10">
        <v>3451</v>
      </c>
      <c r="X161" s="10">
        <v>3451</v>
      </c>
      <c r="Y161" s="9">
        <v>0</v>
      </c>
      <c r="Z161" s="9">
        <v>0</v>
      </c>
      <c r="AA161" s="9">
        <v>1</v>
      </c>
      <c r="AB161" s="9">
        <v>1</v>
      </c>
      <c r="AC161" s="9">
        <v>0</v>
      </c>
      <c r="AD161" s="9" t="s">
        <v>314</v>
      </c>
      <c r="AE161" s="9">
        <v>0</v>
      </c>
      <c r="AF161" s="9">
        <v>0</v>
      </c>
      <c r="AG161" s="9">
        <v>0</v>
      </c>
      <c r="AH161" s="9">
        <v>0</v>
      </c>
      <c r="AI161" s="9">
        <v>0</v>
      </c>
      <c r="AJ161" s="9">
        <v>5104</v>
      </c>
      <c r="AK161" s="9" t="s">
        <v>651</v>
      </c>
      <c r="AL161" s="9" t="s">
        <v>75</v>
      </c>
      <c r="AM161" s="9">
        <v>0</v>
      </c>
      <c r="AN161" s="9">
        <v>0</v>
      </c>
      <c r="AO161" s="9">
        <v>0</v>
      </c>
      <c r="AP161" s="9">
        <v>0</v>
      </c>
      <c r="AQ161" s="9">
        <v>0</v>
      </c>
      <c r="AR161" s="9">
        <v>0</v>
      </c>
      <c r="AS161" s="9">
        <v>0</v>
      </c>
      <c r="AT161" s="9">
        <v>0</v>
      </c>
      <c r="AU161" s="9">
        <v>0</v>
      </c>
      <c r="AV161" s="9">
        <v>94</v>
      </c>
      <c r="AW161" s="9">
        <v>2980502</v>
      </c>
      <c r="AX161" s="9">
        <v>2890480</v>
      </c>
      <c r="AY161" s="9">
        <v>3269247</v>
      </c>
      <c r="AZ161" s="9">
        <v>133260</v>
      </c>
      <c r="BA161" s="10">
        <v>1.8330000000000002</v>
      </c>
      <c r="BB161" s="9">
        <v>0</v>
      </c>
      <c r="BC161" s="9">
        <v>0</v>
      </c>
      <c r="BD161" s="9">
        <v>0</v>
      </c>
      <c r="BE161" s="9">
        <v>0</v>
      </c>
      <c r="BF161" s="9">
        <v>2477712</v>
      </c>
      <c r="BG161" s="9">
        <v>0</v>
      </c>
      <c r="BH161" s="10">
        <v>57.396000000000001</v>
      </c>
      <c r="BI161" s="10">
        <v>15784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10">
        <v>74238</v>
      </c>
      <c r="CI161" s="9">
        <v>0</v>
      </c>
      <c r="CJ161" s="9">
        <v>4</v>
      </c>
      <c r="CK161" s="9">
        <v>0</v>
      </c>
      <c r="CL161" s="9">
        <v>0</v>
      </c>
      <c r="CM161" s="9">
        <v>0</v>
      </c>
      <c r="CN161" s="9">
        <v>0</v>
      </c>
      <c r="CO161" s="9">
        <v>0</v>
      </c>
      <c r="CP161" s="9">
        <v>0</v>
      </c>
      <c r="CQ161" s="9">
        <v>2</v>
      </c>
      <c r="CR161" s="9">
        <v>367.44100000000003</v>
      </c>
      <c r="CS161" s="9">
        <v>0</v>
      </c>
      <c r="CT161" s="9">
        <v>0</v>
      </c>
      <c r="CU161" s="9">
        <v>0</v>
      </c>
      <c r="CV161" s="9">
        <v>0</v>
      </c>
      <c r="CW161" s="9">
        <v>0</v>
      </c>
      <c r="CX161" s="9">
        <v>0</v>
      </c>
      <c r="CY161" s="9">
        <v>0</v>
      </c>
      <c r="CZ161" s="9">
        <v>0</v>
      </c>
      <c r="DA161" s="9">
        <v>1</v>
      </c>
      <c r="DB161" s="9">
        <v>2313837</v>
      </c>
      <c r="DC161" s="9">
        <v>0</v>
      </c>
      <c r="DD161" s="9">
        <v>0</v>
      </c>
      <c r="DE161" s="9">
        <v>0</v>
      </c>
      <c r="DF161" s="9">
        <v>0</v>
      </c>
      <c r="DG161" s="9">
        <v>0</v>
      </c>
      <c r="DH161" s="9">
        <v>0</v>
      </c>
      <c r="DI161" s="9">
        <v>0</v>
      </c>
      <c r="DJ161" s="9">
        <v>0</v>
      </c>
      <c r="DK161" s="9">
        <v>5392</v>
      </c>
      <c r="DL161" s="9">
        <v>0</v>
      </c>
      <c r="DM161" s="9">
        <v>96524</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7.7550000000000008</v>
      </c>
      <c r="ED161" s="9">
        <v>55909</v>
      </c>
      <c r="EE161" s="9">
        <v>0</v>
      </c>
      <c r="EF161" s="9">
        <v>0</v>
      </c>
      <c r="EG161" s="9">
        <v>0</v>
      </c>
      <c r="EH161" s="9">
        <v>40615</v>
      </c>
      <c r="EI161" s="9">
        <v>0</v>
      </c>
      <c r="EJ161" s="9">
        <v>0</v>
      </c>
      <c r="EK161" s="9">
        <v>0.85400000000000009</v>
      </c>
      <c r="EL161" s="9">
        <v>0</v>
      </c>
      <c r="EM161" s="9">
        <v>0</v>
      </c>
      <c r="EN161" s="9">
        <v>0.72699999999999998</v>
      </c>
      <c r="EO161" s="9">
        <v>0</v>
      </c>
      <c r="EP161" s="9">
        <v>0</v>
      </c>
      <c r="EQ161" s="9">
        <v>1.5810000000000002</v>
      </c>
      <c r="ER161" s="9">
        <v>0</v>
      </c>
      <c r="ES161" s="9">
        <v>6.1970000000000001</v>
      </c>
      <c r="ET161" s="10">
        <v>1417</v>
      </c>
      <c r="EU161" s="9">
        <v>133260</v>
      </c>
      <c r="EV161" s="9">
        <v>0</v>
      </c>
      <c r="EW161" s="9">
        <v>0</v>
      </c>
      <c r="EX161" s="9">
        <v>0</v>
      </c>
      <c r="EY161" s="9">
        <v>0</v>
      </c>
      <c r="EZ161" s="9">
        <v>2428264</v>
      </c>
      <c r="FA161" s="9">
        <v>0</v>
      </c>
      <c r="FB161" s="10">
        <v>2561524</v>
      </c>
      <c r="FC161" s="9">
        <v>0.97327799999999998</v>
      </c>
      <c r="FD161" s="9">
        <v>0</v>
      </c>
      <c r="FE161" s="9">
        <v>377212</v>
      </c>
      <c r="FF161" s="9">
        <v>85004</v>
      </c>
      <c r="FG161" s="9">
        <v>6.1239999999999996E-2</v>
      </c>
      <c r="FH161" s="9">
        <v>5.4803999999999999E-2</v>
      </c>
      <c r="FI161" s="9">
        <v>0</v>
      </c>
      <c r="FJ161" s="9">
        <v>0</v>
      </c>
      <c r="FK161" s="9">
        <v>485.46200000000005</v>
      </c>
      <c r="FL161" s="9">
        <v>3097978</v>
      </c>
      <c r="FM161" s="9">
        <v>0</v>
      </c>
      <c r="FN161" s="9">
        <v>0</v>
      </c>
      <c r="FO161" s="9">
        <v>0</v>
      </c>
      <c r="FP161" s="9">
        <v>0</v>
      </c>
      <c r="FQ161" s="9">
        <v>0</v>
      </c>
      <c r="FR161" s="9">
        <v>0</v>
      </c>
      <c r="FS161" s="9">
        <v>0</v>
      </c>
      <c r="FT161" s="9">
        <v>0</v>
      </c>
      <c r="FU161" s="9">
        <v>0</v>
      </c>
      <c r="FV161" s="9">
        <v>0</v>
      </c>
      <c r="FW161" s="9">
        <v>0</v>
      </c>
      <c r="FX161" s="9">
        <v>0</v>
      </c>
      <c r="FY161" s="9">
        <v>0</v>
      </c>
      <c r="FZ161" s="9">
        <v>254</v>
      </c>
      <c r="GA161" s="9">
        <v>5.0720000000000001</v>
      </c>
      <c r="GB161" s="10">
        <v>131928</v>
      </c>
      <c r="GC161" s="10">
        <v>131928</v>
      </c>
      <c r="GD161" s="10">
        <v>14.882000000000001</v>
      </c>
      <c r="GE161" s="9">
        <v>0</v>
      </c>
      <c r="GF161" s="9">
        <v>0</v>
      </c>
      <c r="GG161" s="9">
        <v>0</v>
      </c>
      <c r="GH161" s="9">
        <v>0</v>
      </c>
      <c r="GI161" s="9">
        <v>0</v>
      </c>
      <c r="GJ161" s="9">
        <v>0</v>
      </c>
      <c r="GK161" s="9">
        <v>5117</v>
      </c>
      <c r="GL161" s="9">
        <v>9574</v>
      </c>
      <c r="GM161" s="9">
        <v>0</v>
      </c>
      <c r="GN161" s="9">
        <v>0</v>
      </c>
      <c r="GO161" s="9">
        <v>0</v>
      </c>
      <c r="GP161" s="9">
        <v>3023740</v>
      </c>
      <c r="GQ161" s="9">
        <v>3023740</v>
      </c>
      <c r="GR161" s="9">
        <v>0</v>
      </c>
      <c r="GS161" s="9">
        <v>0</v>
      </c>
      <c r="GT161" s="9">
        <v>0</v>
      </c>
      <c r="GU161" s="9">
        <v>0</v>
      </c>
      <c r="GV161" s="9">
        <v>0</v>
      </c>
      <c r="GW161" s="9">
        <v>0</v>
      </c>
      <c r="GX161" s="9">
        <v>0</v>
      </c>
      <c r="GY161" s="9">
        <v>0</v>
      </c>
      <c r="GZ161" s="9">
        <v>0</v>
      </c>
      <c r="HA161" s="9">
        <v>0</v>
      </c>
      <c r="HB161" s="9">
        <v>260786259</v>
      </c>
      <c r="HC161" s="9">
        <v>5.0923999999999997E-2</v>
      </c>
      <c r="HD161" s="10">
        <v>72821</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32469</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row>
    <row r="162" spans="1:292" x14ac:dyDescent="0.25">
      <c r="A162" s="9">
        <v>220802</v>
      </c>
      <c r="B162" s="9">
        <v>32570</v>
      </c>
      <c r="C162" s="9">
        <v>35</v>
      </c>
      <c r="D162" s="9">
        <v>2022</v>
      </c>
      <c r="E162" s="9">
        <v>5392</v>
      </c>
      <c r="F162" s="9">
        <v>0</v>
      </c>
      <c r="G162" s="9">
        <v>1514.3320000000001</v>
      </c>
      <c r="H162" s="9">
        <v>1501.9750000000001</v>
      </c>
      <c r="I162" s="9">
        <v>1501.9750000000001</v>
      </c>
      <c r="J162" s="9">
        <v>1514.3320000000001</v>
      </c>
      <c r="K162" s="9">
        <v>0</v>
      </c>
      <c r="L162" s="9">
        <v>6554</v>
      </c>
      <c r="M162" s="9">
        <v>0</v>
      </c>
      <c r="N162" s="9">
        <v>0</v>
      </c>
      <c r="O162" s="9">
        <v>0</v>
      </c>
      <c r="P162" s="9">
        <v>1505.816</v>
      </c>
      <c r="Q162" s="9">
        <v>0</v>
      </c>
      <c r="R162" s="9">
        <v>481429</v>
      </c>
      <c r="S162" s="9">
        <v>319.71300000000002</v>
      </c>
      <c r="T162" s="9">
        <v>0</v>
      </c>
      <c r="U162" s="9">
        <v>481429</v>
      </c>
      <c r="V162" s="9">
        <v>89.206000000000003</v>
      </c>
      <c r="W162" s="9">
        <v>58466</v>
      </c>
      <c r="X162" s="9">
        <v>58466</v>
      </c>
      <c r="Y162" s="9">
        <v>0</v>
      </c>
      <c r="Z162" s="9">
        <v>0</v>
      </c>
      <c r="AA162" s="9">
        <v>1</v>
      </c>
      <c r="AB162" s="9">
        <v>1</v>
      </c>
      <c r="AC162" s="9">
        <v>0</v>
      </c>
      <c r="AD162" s="9" t="s">
        <v>314</v>
      </c>
      <c r="AE162" s="9">
        <v>0</v>
      </c>
      <c r="AF162" s="9">
        <v>0</v>
      </c>
      <c r="AG162" s="9">
        <v>0</v>
      </c>
      <c r="AH162" s="9">
        <v>0</v>
      </c>
      <c r="AI162" s="9">
        <v>0</v>
      </c>
      <c r="AJ162" s="9">
        <v>5104</v>
      </c>
      <c r="AK162" s="9" t="s">
        <v>651</v>
      </c>
      <c r="AL162" s="9" t="s">
        <v>76</v>
      </c>
      <c r="AM162" s="9">
        <v>0</v>
      </c>
      <c r="AN162" s="9">
        <v>0</v>
      </c>
      <c r="AO162" s="9">
        <v>0</v>
      </c>
      <c r="AP162" s="9">
        <v>0</v>
      </c>
      <c r="AQ162" s="9">
        <v>0</v>
      </c>
      <c r="AR162" s="9">
        <v>0</v>
      </c>
      <c r="AS162" s="9">
        <v>0</v>
      </c>
      <c r="AT162" s="9">
        <v>0</v>
      </c>
      <c r="AU162" s="9">
        <v>0</v>
      </c>
      <c r="AV162" s="9">
        <v>265</v>
      </c>
      <c r="AW162" s="9">
        <v>12486944</v>
      </c>
      <c r="AX162" s="9">
        <v>12171753</v>
      </c>
      <c r="AY162" s="9">
        <v>13067625</v>
      </c>
      <c r="AZ162" s="9">
        <v>481429</v>
      </c>
      <c r="BA162" s="9">
        <v>33.5</v>
      </c>
      <c r="BB162" s="9">
        <v>0</v>
      </c>
      <c r="BC162" s="9">
        <v>0</v>
      </c>
      <c r="BD162" s="9">
        <v>0</v>
      </c>
      <c r="BE162" s="9">
        <v>0</v>
      </c>
      <c r="BF162" s="9">
        <v>10422671</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315191</v>
      </c>
      <c r="CI162" s="9">
        <v>0</v>
      </c>
      <c r="CJ162" s="9">
        <v>4</v>
      </c>
      <c r="CK162" s="9">
        <v>0</v>
      </c>
      <c r="CL162" s="9">
        <v>0</v>
      </c>
      <c r="CM162" s="9">
        <v>0</v>
      </c>
      <c r="CN162" s="9">
        <v>0</v>
      </c>
      <c r="CO162" s="9">
        <v>0</v>
      </c>
      <c r="CP162" s="9">
        <v>0</v>
      </c>
      <c r="CQ162" s="9">
        <v>0</v>
      </c>
      <c r="CR162" s="9">
        <v>1505.816</v>
      </c>
      <c r="CS162" s="9">
        <v>0</v>
      </c>
      <c r="CT162" s="9">
        <v>0</v>
      </c>
      <c r="CU162" s="9">
        <v>0</v>
      </c>
      <c r="CV162" s="9">
        <v>0</v>
      </c>
      <c r="CW162" s="9">
        <v>0</v>
      </c>
      <c r="CX162" s="9">
        <v>0</v>
      </c>
      <c r="CY162" s="9">
        <v>0</v>
      </c>
      <c r="CZ162" s="9">
        <v>0</v>
      </c>
      <c r="DA162" s="9">
        <v>1</v>
      </c>
      <c r="DB162" s="9">
        <v>9843944</v>
      </c>
      <c r="DC162" s="9">
        <v>0</v>
      </c>
      <c r="DD162" s="9">
        <v>0</v>
      </c>
      <c r="DE162" s="9">
        <v>434307</v>
      </c>
      <c r="DF162" s="9">
        <v>434307</v>
      </c>
      <c r="DG162" s="9">
        <v>331.33</v>
      </c>
      <c r="DH162" s="9">
        <v>0</v>
      </c>
      <c r="DI162" s="9">
        <v>0</v>
      </c>
      <c r="DJ162" s="9">
        <v>0</v>
      </c>
      <c r="DK162" s="9">
        <v>5392</v>
      </c>
      <c r="DL162" s="9">
        <v>0</v>
      </c>
      <c r="DM162" s="9">
        <v>372121</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15.886000000000001</v>
      </c>
      <c r="ED162" s="9">
        <v>114529</v>
      </c>
      <c r="EE162" s="9">
        <v>0</v>
      </c>
      <c r="EF162" s="9">
        <v>0</v>
      </c>
      <c r="EG162" s="9">
        <v>0</v>
      </c>
      <c r="EH162" s="9">
        <v>257592</v>
      </c>
      <c r="EI162" s="9">
        <v>0</v>
      </c>
      <c r="EJ162" s="9">
        <v>0</v>
      </c>
      <c r="EK162" s="9">
        <v>11.062000000000001</v>
      </c>
      <c r="EL162" s="9">
        <v>0</v>
      </c>
      <c r="EM162" s="9">
        <v>0.17900000000000002</v>
      </c>
      <c r="EN162" s="9">
        <v>1.1160000000000001</v>
      </c>
      <c r="EO162" s="9">
        <v>0</v>
      </c>
      <c r="EP162" s="9">
        <v>0</v>
      </c>
      <c r="EQ162" s="9">
        <v>12.357000000000001</v>
      </c>
      <c r="ER162" s="9">
        <v>0</v>
      </c>
      <c r="ES162" s="9">
        <v>39.303000000000004</v>
      </c>
      <c r="ET162" s="9">
        <v>16750</v>
      </c>
      <c r="EU162" s="9">
        <v>481429</v>
      </c>
      <c r="EV162" s="9">
        <v>0</v>
      </c>
      <c r="EW162" s="9">
        <v>0</v>
      </c>
      <c r="EX162" s="9">
        <v>0</v>
      </c>
      <c r="EY162" s="9">
        <v>0</v>
      </c>
      <c r="EZ162" s="9">
        <v>10227409</v>
      </c>
      <c r="FA162" s="9">
        <v>0</v>
      </c>
      <c r="FB162" s="9">
        <v>10708838</v>
      </c>
      <c r="FC162" s="9">
        <v>0.97327799999999998</v>
      </c>
      <c r="FD162" s="9">
        <v>0</v>
      </c>
      <c r="FE162" s="9">
        <v>1586768</v>
      </c>
      <c r="FF162" s="9">
        <v>357576</v>
      </c>
      <c r="FG162" s="9">
        <v>6.1239999999999996E-2</v>
      </c>
      <c r="FH162" s="9">
        <v>5.4803999999999999E-2</v>
      </c>
      <c r="FI162" s="9">
        <v>0</v>
      </c>
      <c r="FJ162" s="9">
        <v>0</v>
      </c>
      <c r="FK162" s="9">
        <v>2042.13</v>
      </c>
      <c r="FL162" s="9">
        <v>12968373</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12653182</v>
      </c>
      <c r="GQ162" s="9">
        <v>12653182</v>
      </c>
      <c r="GR162" s="9">
        <v>0</v>
      </c>
      <c r="GS162" s="9">
        <v>0</v>
      </c>
      <c r="GT162" s="9">
        <v>0</v>
      </c>
      <c r="GU162" s="9">
        <v>0</v>
      </c>
      <c r="GV162" s="9">
        <v>0</v>
      </c>
      <c r="GW162" s="9">
        <v>0</v>
      </c>
      <c r="GX162" s="9">
        <v>0</v>
      </c>
      <c r="GY162" s="9">
        <v>0</v>
      </c>
      <c r="GZ162" s="9">
        <v>0</v>
      </c>
      <c r="HA162" s="9">
        <v>0</v>
      </c>
      <c r="HB162" s="9">
        <v>260786259</v>
      </c>
      <c r="HC162" s="9">
        <v>5.0923999999999997E-2</v>
      </c>
      <c r="HD162" s="9">
        <v>298441</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32469</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row>
    <row r="163" spans="1:292" x14ac:dyDescent="0.25">
      <c r="A163" s="9">
        <v>220809</v>
      </c>
      <c r="B163" s="9">
        <v>32570</v>
      </c>
      <c r="C163" s="9">
        <v>35</v>
      </c>
      <c r="D163" s="9">
        <v>2022</v>
      </c>
      <c r="E163" s="9">
        <v>5392</v>
      </c>
      <c r="F163" s="9">
        <v>0</v>
      </c>
      <c r="G163" s="9">
        <v>500.78700000000003</v>
      </c>
      <c r="H163" s="9">
        <v>466.13500000000005</v>
      </c>
      <c r="I163" s="9">
        <v>466.13500000000005</v>
      </c>
      <c r="J163" s="9">
        <v>500.78700000000003</v>
      </c>
      <c r="K163" s="9">
        <v>0</v>
      </c>
      <c r="L163" s="9">
        <v>6554</v>
      </c>
      <c r="M163" s="9">
        <v>0</v>
      </c>
      <c r="N163" s="9">
        <v>0</v>
      </c>
      <c r="O163" s="9">
        <v>0</v>
      </c>
      <c r="P163" s="9">
        <v>551.28200000000004</v>
      </c>
      <c r="Q163" s="9">
        <v>0</v>
      </c>
      <c r="R163" s="9">
        <v>176252</v>
      </c>
      <c r="S163" s="9">
        <v>319.71300000000002</v>
      </c>
      <c r="T163" s="9">
        <v>0</v>
      </c>
      <c r="U163" s="9">
        <v>176252</v>
      </c>
      <c r="V163" s="9">
        <v>3.7770000000000001</v>
      </c>
      <c r="W163" s="9">
        <v>2475</v>
      </c>
      <c r="X163" s="9">
        <v>2475</v>
      </c>
      <c r="Y163" s="9">
        <v>0</v>
      </c>
      <c r="Z163" s="9">
        <v>0</v>
      </c>
      <c r="AA163" s="9">
        <v>1</v>
      </c>
      <c r="AB163" s="9">
        <v>1</v>
      </c>
      <c r="AC163" s="9">
        <v>0</v>
      </c>
      <c r="AD163" s="9" t="s">
        <v>314</v>
      </c>
      <c r="AE163" s="9">
        <v>0</v>
      </c>
      <c r="AF163" s="9">
        <v>0</v>
      </c>
      <c r="AG163" s="9">
        <v>0</v>
      </c>
      <c r="AH163" s="9">
        <v>0</v>
      </c>
      <c r="AI163" s="9">
        <v>0</v>
      </c>
      <c r="AJ163" s="9">
        <v>5104</v>
      </c>
      <c r="AK163" s="9" t="s">
        <v>651</v>
      </c>
      <c r="AL163" s="9" t="s">
        <v>77</v>
      </c>
      <c r="AM163" s="9">
        <v>0</v>
      </c>
      <c r="AN163" s="9">
        <v>0</v>
      </c>
      <c r="AO163" s="9">
        <v>0</v>
      </c>
      <c r="AP163" s="9">
        <v>0</v>
      </c>
      <c r="AQ163" s="9">
        <v>0</v>
      </c>
      <c r="AR163" s="9">
        <v>0</v>
      </c>
      <c r="AS163" s="9">
        <v>0</v>
      </c>
      <c r="AT163" s="9">
        <v>0</v>
      </c>
      <c r="AU163" s="9">
        <v>0</v>
      </c>
      <c r="AV163" s="9">
        <v>6368</v>
      </c>
      <c r="AW163" s="9">
        <v>4139056</v>
      </c>
      <c r="AX163" s="9">
        <v>3986289</v>
      </c>
      <c r="AY163" s="9">
        <v>4390995</v>
      </c>
      <c r="AZ163" s="9">
        <v>226262</v>
      </c>
      <c r="BA163" s="9">
        <v>7.25</v>
      </c>
      <c r="BB163" s="9">
        <v>19693</v>
      </c>
      <c r="BC163" s="9">
        <v>19693</v>
      </c>
      <c r="BD163" s="9">
        <v>25.039000000000001</v>
      </c>
      <c r="BE163" s="9">
        <v>0</v>
      </c>
      <c r="BF163" s="9">
        <v>3428766</v>
      </c>
      <c r="BG163" s="9">
        <v>0</v>
      </c>
      <c r="BH163" s="9">
        <v>181.85300000000001</v>
      </c>
      <c r="BI163" s="9">
        <v>50010</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102757</v>
      </c>
      <c r="CI163" s="9">
        <v>0</v>
      </c>
      <c r="CJ163" s="9">
        <v>4</v>
      </c>
      <c r="CK163" s="9">
        <v>0</v>
      </c>
      <c r="CL163" s="9">
        <v>0</v>
      </c>
      <c r="CM163" s="9">
        <v>0</v>
      </c>
      <c r="CN163" s="9">
        <v>0</v>
      </c>
      <c r="CO163" s="9">
        <v>0</v>
      </c>
      <c r="CP163" s="9">
        <v>0</v>
      </c>
      <c r="CQ163" s="9">
        <v>1.75</v>
      </c>
      <c r="CR163" s="9">
        <v>551.28200000000004</v>
      </c>
      <c r="CS163" s="9">
        <v>0</v>
      </c>
      <c r="CT163" s="9">
        <v>0</v>
      </c>
      <c r="CU163" s="9">
        <v>0</v>
      </c>
      <c r="CV163" s="9">
        <v>0</v>
      </c>
      <c r="CW163" s="9">
        <v>0</v>
      </c>
      <c r="CX163" s="9">
        <v>0</v>
      </c>
      <c r="CY163" s="9">
        <v>0</v>
      </c>
      <c r="CZ163" s="9">
        <v>0</v>
      </c>
      <c r="DA163" s="9">
        <v>1</v>
      </c>
      <c r="DB163" s="9">
        <v>3055049</v>
      </c>
      <c r="DC163" s="9">
        <v>0</v>
      </c>
      <c r="DD163" s="9">
        <v>0</v>
      </c>
      <c r="DE163" s="9">
        <v>0</v>
      </c>
      <c r="DF163" s="9">
        <v>0</v>
      </c>
      <c r="DG163" s="9">
        <v>0</v>
      </c>
      <c r="DH163" s="9">
        <v>0</v>
      </c>
      <c r="DI163" s="9">
        <v>0</v>
      </c>
      <c r="DJ163" s="9">
        <v>0</v>
      </c>
      <c r="DK163" s="9">
        <v>5392</v>
      </c>
      <c r="DL163" s="9">
        <v>0</v>
      </c>
      <c r="DM163" s="9">
        <v>200502</v>
      </c>
      <c r="DN163" s="9">
        <v>0</v>
      </c>
      <c r="DO163" s="9">
        <v>0</v>
      </c>
      <c r="DP163" s="9">
        <v>0</v>
      </c>
      <c r="DQ163" s="9">
        <v>0</v>
      </c>
      <c r="DR163" s="9">
        <v>0</v>
      </c>
      <c r="DS163" s="9">
        <v>0</v>
      </c>
      <c r="DT163" s="9">
        <v>0</v>
      </c>
      <c r="DU163" s="9">
        <v>0</v>
      </c>
      <c r="DV163" s="9">
        <v>0</v>
      </c>
      <c r="DW163" s="9">
        <v>0</v>
      </c>
      <c r="DX163" s="9">
        <v>0</v>
      </c>
      <c r="DY163" s="9">
        <v>0</v>
      </c>
      <c r="DZ163" s="9">
        <v>0</v>
      </c>
      <c r="EA163" s="9">
        <v>0.10200000000000001</v>
      </c>
      <c r="EB163" s="9">
        <v>0</v>
      </c>
      <c r="EC163" s="9">
        <v>8.1120000000000001</v>
      </c>
      <c r="ED163" s="9">
        <v>58483</v>
      </c>
      <c r="EE163" s="9">
        <v>0</v>
      </c>
      <c r="EF163" s="9">
        <v>0</v>
      </c>
      <c r="EG163" s="9">
        <v>0</v>
      </c>
      <c r="EH163" s="9">
        <v>142019</v>
      </c>
      <c r="EI163" s="9">
        <v>0</v>
      </c>
      <c r="EJ163" s="9">
        <v>0</v>
      </c>
      <c r="EK163" s="9">
        <v>6.6030000000000006</v>
      </c>
      <c r="EL163" s="9">
        <v>0</v>
      </c>
      <c r="EM163" s="9">
        <v>0</v>
      </c>
      <c r="EN163" s="9">
        <v>0.27</v>
      </c>
      <c r="EO163" s="9">
        <v>0</v>
      </c>
      <c r="EP163" s="9">
        <v>0</v>
      </c>
      <c r="EQ163" s="9">
        <v>6.9750000000000005</v>
      </c>
      <c r="ER163" s="9">
        <v>0</v>
      </c>
      <c r="ES163" s="9">
        <v>21.669</v>
      </c>
      <c r="ET163" s="9">
        <v>4063</v>
      </c>
      <c r="EU163" s="9">
        <v>226262</v>
      </c>
      <c r="EV163" s="9">
        <v>0</v>
      </c>
      <c r="EW163" s="9">
        <v>0</v>
      </c>
      <c r="EX163" s="9">
        <v>0</v>
      </c>
      <c r="EY163" s="9">
        <v>0</v>
      </c>
      <c r="EZ163" s="9">
        <v>3346655</v>
      </c>
      <c r="FA163" s="9">
        <v>0</v>
      </c>
      <c r="FB163" s="9">
        <v>3572917</v>
      </c>
      <c r="FC163" s="9">
        <v>0.97327799999999998</v>
      </c>
      <c r="FD163" s="9">
        <v>0</v>
      </c>
      <c r="FE163" s="9">
        <v>522002</v>
      </c>
      <c r="FF163" s="9">
        <v>117632</v>
      </c>
      <c r="FG163" s="9">
        <v>6.1239999999999996E-2</v>
      </c>
      <c r="FH163" s="9">
        <v>5.4803999999999999E-2</v>
      </c>
      <c r="FI163" s="9">
        <v>0</v>
      </c>
      <c r="FJ163" s="9">
        <v>0</v>
      </c>
      <c r="FK163" s="9">
        <v>671.803</v>
      </c>
      <c r="FL163" s="9">
        <v>4315308</v>
      </c>
      <c r="FM163" s="9">
        <v>0</v>
      </c>
      <c r="FN163" s="9">
        <v>0</v>
      </c>
      <c r="FO163" s="9">
        <v>0</v>
      </c>
      <c r="FP163" s="9">
        <v>0</v>
      </c>
      <c r="FQ163" s="9">
        <v>0</v>
      </c>
      <c r="FR163" s="9">
        <v>0</v>
      </c>
      <c r="FS163" s="9">
        <v>0</v>
      </c>
      <c r="FT163" s="9">
        <v>0</v>
      </c>
      <c r="FU163" s="9">
        <v>0</v>
      </c>
      <c r="FV163" s="9">
        <v>0</v>
      </c>
      <c r="FW163" s="9">
        <v>0</v>
      </c>
      <c r="FX163" s="9">
        <v>0</v>
      </c>
      <c r="FY163" s="9">
        <v>0</v>
      </c>
      <c r="FZ163" s="9">
        <v>305</v>
      </c>
      <c r="GA163" s="9">
        <v>6.0990000000000002</v>
      </c>
      <c r="GB163" s="9">
        <v>245188</v>
      </c>
      <c r="GC163" s="9">
        <v>245188</v>
      </c>
      <c r="GD163" s="9">
        <v>27.677</v>
      </c>
      <c r="GE163" s="9">
        <v>0</v>
      </c>
      <c r="GF163" s="9">
        <v>0</v>
      </c>
      <c r="GG163" s="9">
        <v>0</v>
      </c>
      <c r="GH163" s="9">
        <v>0</v>
      </c>
      <c r="GI163" s="9">
        <v>0</v>
      </c>
      <c r="GJ163" s="9">
        <v>0</v>
      </c>
      <c r="GK163" s="9">
        <v>5169</v>
      </c>
      <c r="GL163" s="9">
        <v>10852</v>
      </c>
      <c r="GM163" s="9">
        <v>0</v>
      </c>
      <c r="GN163" s="9">
        <v>0</v>
      </c>
      <c r="GO163" s="9">
        <v>0</v>
      </c>
      <c r="GP163" s="9">
        <v>4212551</v>
      </c>
      <c r="GQ163" s="9">
        <v>4212551</v>
      </c>
      <c r="GR163" s="9">
        <v>0</v>
      </c>
      <c r="GS163" s="9">
        <v>0</v>
      </c>
      <c r="GT163" s="9">
        <v>0</v>
      </c>
      <c r="GU163" s="9">
        <v>0</v>
      </c>
      <c r="GV163" s="9">
        <v>0</v>
      </c>
      <c r="GW163" s="9">
        <v>0</v>
      </c>
      <c r="GX163" s="9">
        <v>0</v>
      </c>
      <c r="GY163" s="9">
        <v>0</v>
      </c>
      <c r="GZ163" s="9">
        <v>0</v>
      </c>
      <c r="HA163" s="9">
        <v>0</v>
      </c>
      <c r="HB163" s="9">
        <v>260786259</v>
      </c>
      <c r="HC163" s="9">
        <v>5.0923999999999997E-2</v>
      </c>
      <c r="HD163" s="9">
        <v>98694</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32469</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row>
    <row r="164" spans="1:292" x14ac:dyDescent="0.25">
      <c r="A164" s="9">
        <v>220810</v>
      </c>
      <c r="B164" s="9">
        <v>32570</v>
      </c>
      <c r="C164" s="9">
        <v>35</v>
      </c>
      <c r="D164" s="9">
        <v>2022</v>
      </c>
      <c r="E164" s="9">
        <v>5392</v>
      </c>
      <c r="F164" s="9">
        <v>0</v>
      </c>
      <c r="G164" s="9">
        <v>870.09</v>
      </c>
      <c r="H164" s="9">
        <v>802.32800000000009</v>
      </c>
      <c r="I164" s="9">
        <v>802.32800000000009</v>
      </c>
      <c r="J164" s="9">
        <v>870.09</v>
      </c>
      <c r="K164" s="9">
        <v>0</v>
      </c>
      <c r="L164" s="9">
        <v>6554</v>
      </c>
      <c r="M164" s="9">
        <v>0</v>
      </c>
      <c r="N164" s="9">
        <v>0</v>
      </c>
      <c r="O164" s="9">
        <v>0</v>
      </c>
      <c r="P164" s="9">
        <v>847.79600000000005</v>
      </c>
      <c r="Q164" s="9">
        <v>0</v>
      </c>
      <c r="R164" s="9">
        <v>271051</v>
      </c>
      <c r="S164" s="9">
        <v>319.71300000000002</v>
      </c>
      <c r="T164" s="9">
        <v>0</v>
      </c>
      <c r="U164" s="9">
        <v>271051</v>
      </c>
      <c r="V164" s="9">
        <v>8.91</v>
      </c>
      <c r="W164" s="9">
        <v>5840</v>
      </c>
      <c r="X164" s="9">
        <v>5840</v>
      </c>
      <c r="Y164" s="9">
        <v>0</v>
      </c>
      <c r="Z164" s="9">
        <v>0</v>
      </c>
      <c r="AA164" s="9">
        <v>1</v>
      </c>
      <c r="AB164" s="9">
        <v>1</v>
      </c>
      <c r="AC164" s="9">
        <v>0</v>
      </c>
      <c r="AD164" s="9" t="s">
        <v>314</v>
      </c>
      <c r="AE164" s="9">
        <v>0</v>
      </c>
      <c r="AF164" s="9">
        <v>0</v>
      </c>
      <c r="AG164" s="9">
        <v>0</v>
      </c>
      <c r="AH164" s="9">
        <v>0</v>
      </c>
      <c r="AI164" s="9">
        <v>0</v>
      </c>
      <c r="AJ164" s="9">
        <v>5104</v>
      </c>
      <c r="AK164" s="9" t="s">
        <v>651</v>
      </c>
      <c r="AL164" s="9" t="s">
        <v>0</v>
      </c>
      <c r="AM164" s="9">
        <v>0</v>
      </c>
      <c r="AN164" s="9">
        <v>0</v>
      </c>
      <c r="AO164" s="9">
        <v>0</v>
      </c>
      <c r="AP164" s="9">
        <v>0</v>
      </c>
      <c r="AQ164" s="9">
        <v>0</v>
      </c>
      <c r="AR164" s="9">
        <v>0</v>
      </c>
      <c r="AS164" s="9">
        <v>0</v>
      </c>
      <c r="AT164" s="9">
        <v>0</v>
      </c>
      <c r="AU164" s="9">
        <v>0</v>
      </c>
      <c r="AV164" s="9">
        <v>25908</v>
      </c>
      <c r="AW164" s="9">
        <v>7111548</v>
      </c>
      <c r="AX164" s="9">
        <v>6853757</v>
      </c>
      <c r="AY164" s="9">
        <v>7434855</v>
      </c>
      <c r="AZ164" s="9">
        <v>357367</v>
      </c>
      <c r="BA164" s="9">
        <v>0</v>
      </c>
      <c r="BB164" s="9">
        <v>0</v>
      </c>
      <c r="BC164" s="9">
        <v>0</v>
      </c>
      <c r="BD164" s="9">
        <v>0</v>
      </c>
      <c r="BE164" s="9">
        <v>0</v>
      </c>
      <c r="BF164" s="9">
        <v>5868843</v>
      </c>
      <c r="BG164" s="9">
        <v>0</v>
      </c>
      <c r="BH164" s="9">
        <v>313.87600000000003</v>
      </c>
      <c r="BI164" s="9">
        <v>86316</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171475</v>
      </c>
      <c r="CI164" s="9">
        <v>0</v>
      </c>
      <c r="CJ164" s="9">
        <v>4</v>
      </c>
      <c r="CK164" s="9">
        <v>0</v>
      </c>
      <c r="CL164" s="9">
        <v>0</v>
      </c>
      <c r="CM164" s="9">
        <v>0</v>
      </c>
      <c r="CN164" s="9">
        <v>0</v>
      </c>
      <c r="CO164" s="9">
        <v>0</v>
      </c>
      <c r="CP164" s="9">
        <v>0</v>
      </c>
      <c r="CQ164" s="9">
        <v>0</v>
      </c>
      <c r="CR164" s="9">
        <v>847.79600000000005</v>
      </c>
      <c r="CS164" s="9">
        <v>0</v>
      </c>
      <c r="CT164" s="9">
        <v>0</v>
      </c>
      <c r="CU164" s="9">
        <v>0</v>
      </c>
      <c r="CV164" s="9">
        <v>0</v>
      </c>
      <c r="CW164" s="9">
        <v>0</v>
      </c>
      <c r="CX164" s="9">
        <v>0</v>
      </c>
      <c r="CY164" s="9">
        <v>0</v>
      </c>
      <c r="CZ164" s="9">
        <v>0</v>
      </c>
      <c r="DA164" s="9">
        <v>1</v>
      </c>
      <c r="DB164" s="9">
        <v>5258458</v>
      </c>
      <c r="DC164" s="9">
        <v>0</v>
      </c>
      <c r="DD164" s="9">
        <v>0</v>
      </c>
      <c r="DE164" s="9">
        <v>0</v>
      </c>
      <c r="DF164" s="9">
        <v>0</v>
      </c>
      <c r="DG164" s="9">
        <v>0</v>
      </c>
      <c r="DH164" s="9">
        <v>0</v>
      </c>
      <c r="DI164" s="9">
        <v>0</v>
      </c>
      <c r="DJ164" s="9">
        <v>0</v>
      </c>
      <c r="DK164" s="9">
        <v>5392</v>
      </c>
      <c r="DL164" s="9">
        <v>0</v>
      </c>
      <c r="DM164" s="9">
        <v>280649</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1.2490000000000001</v>
      </c>
      <c r="ED164" s="9">
        <v>9005</v>
      </c>
      <c r="EE164" s="9">
        <v>0</v>
      </c>
      <c r="EF164" s="9">
        <v>0</v>
      </c>
      <c r="EG164" s="9">
        <v>0</v>
      </c>
      <c r="EH164" s="9">
        <v>271644</v>
      </c>
      <c r="EI164" s="9">
        <v>0</v>
      </c>
      <c r="EJ164" s="9">
        <v>0</v>
      </c>
      <c r="EK164" s="9">
        <v>10.166</v>
      </c>
      <c r="EL164" s="9">
        <v>0</v>
      </c>
      <c r="EM164" s="9">
        <v>1.498</v>
      </c>
      <c r="EN164" s="9">
        <v>1.2910000000000001</v>
      </c>
      <c r="EO164" s="9">
        <v>0</v>
      </c>
      <c r="EP164" s="9">
        <v>0</v>
      </c>
      <c r="EQ164" s="9">
        <v>12.955</v>
      </c>
      <c r="ER164" s="9">
        <v>0</v>
      </c>
      <c r="ES164" s="9">
        <v>41.447000000000003</v>
      </c>
      <c r="ET164" s="9">
        <v>0</v>
      </c>
      <c r="EU164" s="9">
        <v>357367</v>
      </c>
      <c r="EV164" s="9">
        <v>0</v>
      </c>
      <c r="EW164" s="9">
        <v>0</v>
      </c>
      <c r="EX164" s="9">
        <v>0</v>
      </c>
      <c r="EY164" s="9">
        <v>0</v>
      </c>
      <c r="EZ164" s="9">
        <v>5758928</v>
      </c>
      <c r="FA164" s="9">
        <v>0</v>
      </c>
      <c r="FB164" s="9">
        <v>6116295</v>
      </c>
      <c r="FC164" s="9">
        <v>0.97327799999999998</v>
      </c>
      <c r="FD164" s="9">
        <v>0</v>
      </c>
      <c r="FE164" s="9">
        <v>893484</v>
      </c>
      <c r="FF164" s="9">
        <v>201345</v>
      </c>
      <c r="FG164" s="9">
        <v>6.1239999999999996E-2</v>
      </c>
      <c r="FH164" s="9">
        <v>5.4803999999999999E-2</v>
      </c>
      <c r="FI164" s="9">
        <v>0</v>
      </c>
      <c r="FJ164" s="9">
        <v>0</v>
      </c>
      <c r="FK164" s="9">
        <v>1149.8910000000001</v>
      </c>
      <c r="FL164" s="9">
        <v>7382599</v>
      </c>
      <c r="FM164" s="9">
        <v>0</v>
      </c>
      <c r="FN164" s="9">
        <v>0</v>
      </c>
      <c r="FO164" s="9">
        <v>0</v>
      </c>
      <c r="FP164" s="9">
        <v>0</v>
      </c>
      <c r="FQ164" s="9">
        <v>0</v>
      </c>
      <c r="FR164" s="9">
        <v>0</v>
      </c>
      <c r="FS164" s="9">
        <v>0</v>
      </c>
      <c r="FT164" s="9">
        <v>0</v>
      </c>
      <c r="FU164" s="9">
        <v>0</v>
      </c>
      <c r="FV164" s="9">
        <v>0</v>
      </c>
      <c r="FW164" s="9">
        <v>0</v>
      </c>
      <c r="FX164" s="9">
        <v>0</v>
      </c>
      <c r="FY164" s="9">
        <v>0</v>
      </c>
      <c r="FZ164" s="9">
        <v>105</v>
      </c>
      <c r="GA164" s="9">
        <v>2.093</v>
      </c>
      <c r="GB164" s="9">
        <v>485032</v>
      </c>
      <c r="GC164" s="9">
        <v>485032</v>
      </c>
      <c r="GD164" s="9">
        <v>54.807000000000002</v>
      </c>
      <c r="GE164" s="9">
        <v>0</v>
      </c>
      <c r="GF164" s="9">
        <v>0</v>
      </c>
      <c r="GG164" s="9">
        <v>0</v>
      </c>
      <c r="GH164" s="9">
        <v>0</v>
      </c>
      <c r="GI164" s="9">
        <v>0</v>
      </c>
      <c r="GJ164" s="9">
        <v>0</v>
      </c>
      <c r="GK164" s="9">
        <v>5162</v>
      </c>
      <c r="GL164" s="9">
        <v>12422</v>
      </c>
      <c r="GM164" s="9">
        <v>0</v>
      </c>
      <c r="GN164" s="9">
        <v>0</v>
      </c>
      <c r="GO164" s="9">
        <v>0</v>
      </c>
      <c r="GP164" s="9">
        <v>7211124</v>
      </c>
      <c r="GQ164" s="9">
        <v>7211124</v>
      </c>
      <c r="GR164" s="9">
        <v>0</v>
      </c>
      <c r="GS164" s="9">
        <v>0</v>
      </c>
      <c r="GT164" s="9">
        <v>0</v>
      </c>
      <c r="GU164" s="9">
        <v>0</v>
      </c>
      <c r="GV164" s="9">
        <v>0</v>
      </c>
      <c r="GW164" s="9">
        <v>0</v>
      </c>
      <c r="GX164" s="9">
        <v>0</v>
      </c>
      <c r="GY164" s="9">
        <v>0</v>
      </c>
      <c r="GZ164" s="9">
        <v>0</v>
      </c>
      <c r="HA164" s="9">
        <v>0</v>
      </c>
      <c r="HB164" s="9">
        <v>260786259</v>
      </c>
      <c r="HC164" s="9">
        <v>5.0923999999999997E-2</v>
      </c>
      <c r="HD164" s="9">
        <v>171475</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32469</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row>
    <row r="165" spans="1:292" x14ac:dyDescent="0.25">
      <c r="A165" s="9">
        <v>220811</v>
      </c>
      <c r="B165" s="9">
        <v>32570</v>
      </c>
      <c r="C165" s="9">
        <v>35</v>
      </c>
      <c r="D165" s="9">
        <v>2022</v>
      </c>
      <c r="E165" s="9">
        <v>5392</v>
      </c>
      <c r="F165" s="9">
        <v>0</v>
      </c>
      <c r="G165" s="9">
        <v>204.38200000000001</v>
      </c>
      <c r="H165" s="9">
        <v>201.11200000000002</v>
      </c>
      <c r="I165" s="9">
        <v>201.11200000000002</v>
      </c>
      <c r="J165" s="9">
        <v>204.38200000000001</v>
      </c>
      <c r="K165" s="9">
        <v>0</v>
      </c>
      <c r="L165" s="9">
        <v>6554</v>
      </c>
      <c r="M165" s="9">
        <v>0</v>
      </c>
      <c r="N165" s="9">
        <v>0</v>
      </c>
      <c r="O165" s="9">
        <v>0</v>
      </c>
      <c r="P165" s="9">
        <v>250.06800000000001</v>
      </c>
      <c r="Q165" s="9">
        <v>0</v>
      </c>
      <c r="R165" s="9">
        <v>79950</v>
      </c>
      <c r="S165" s="9">
        <v>319.71300000000002</v>
      </c>
      <c r="T165" s="9">
        <v>0</v>
      </c>
      <c r="U165" s="9">
        <v>79950</v>
      </c>
      <c r="V165" s="9">
        <v>60.268000000000001</v>
      </c>
      <c r="W165" s="9">
        <v>39500</v>
      </c>
      <c r="X165" s="9">
        <v>39500</v>
      </c>
      <c r="Y165" s="9">
        <v>0</v>
      </c>
      <c r="Z165" s="9">
        <v>0</v>
      </c>
      <c r="AA165" s="9">
        <v>1</v>
      </c>
      <c r="AB165" s="9">
        <v>1</v>
      </c>
      <c r="AC165" s="9">
        <v>0</v>
      </c>
      <c r="AD165" s="9" t="s">
        <v>314</v>
      </c>
      <c r="AE165" s="9">
        <v>0</v>
      </c>
      <c r="AF165" s="9">
        <v>0</v>
      </c>
      <c r="AG165" s="9">
        <v>0</v>
      </c>
      <c r="AH165" s="9">
        <v>0</v>
      </c>
      <c r="AI165" s="9">
        <v>0</v>
      </c>
      <c r="AJ165" s="9">
        <v>5104</v>
      </c>
      <c r="AK165" s="9" t="s">
        <v>651</v>
      </c>
      <c r="AL165" s="9" t="s">
        <v>62</v>
      </c>
      <c r="AM165" s="9">
        <v>0</v>
      </c>
      <c r="AN165" s="9">
        <v>0</v>
      </c>
      <c r="AO165" s="9">
        <v>0</v>
      </c>
      <c r="AP165" s="9">
        <v>0</v>
      </c>
      <c r="AQ165" s="9">
        <v>0</v>
      </c>
      <c r="AR165" s="9">
        <v>0</v>
      </c>
      <c r="AS165" s="9">
        <v>0</v>
      </c>
      <c r="AT165" s="9">
        <v>0</v>
      </c>
      <c r="AU165" s="9">
        <v>0</v>
      </c>
      <c r="AV165" s="9">
        <v>138409</v>
      </c>
      <c r="AW165" s="9">
        <v>2067503</v>
      </c>
      <c r="AX165" s="9">
        <v>2021015</v>
      </c>
      <c r="AY165" s="9">
        <v>2193941</v>
      </c>
      <c r="AZ165" s="9">
        <v>79950</v>
      </c>
      <c r="BA165" s="9">
        <v>12.417</v>
      </c>
      <c r="BB165" s="9">
        <v>3845</v>
      </c>
      <c r="BC165" s="9">
        <v>3845</v>
      </c>
      <c r="BD165" s="9">
        <v>4.8890000000000002</v>
      </c>
      <c r="BE165" s="9">
        <v>0</v>
      </c>
      <c r="BF165" s="9">
        <v>1730605</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46488</v>
      </c>
      <c r="CI165" s="9">
        <v>0</v>
      </c>
      <c r="CJ165" s="9">
        <v>4</v>
      </c>
      <c r="CK165" s="9">
        <v>0</v>
      </c>
      <c r="CL165" s="9">
        <v>0</v>
      </c>
      <c r="CM165" s="9">
        <v>0</v>
      </c>
      <c r="CN165" s="9">
        <v>0</v>
      </c>
      <c r="CO165" s="9">
        <v>0</v>
      </c>
      <c r="CP165" s="9">
        <v>0</v>
      </c>
      <c r="CQ165" s="9">
        <v>0</v>
      </c>
      <c r="CR165" s="9">
        <v>250.06800000000001</v>
      </c>
      <c r="CS165" s="9">
        <v>0</v>
      </c>
      <c r="CT165" s="9">
        <v>0</v>
      </c>
      <c r="CU165" s="9">
        <v>0</v>
      </c>
      <c r="CV165" s="9">
        <v>0</v>
      </c>
      <c r="CW165" s="9">
        <v>0</v>
      </c>
      <c r="CX165" s="9">
        <v>0</v>
      </c>
      <c r="CY165" s="9">
        <v>0</v>
      </c>
      <c r="CZ165" s="9">
        <v>0</v>
      </c>
      <c r="DA165" s="9">
        <v>1</v>
      </c>
      <c r="DB165" s="9">
        <v>1318088</v>
      </c>
      <c r="DC165" s="9">
        <v>0</v>
      </c>
      <c r="DD165" s="9">
        <v>0</v>
      </c>
      <c r="DE165" s="9">
        <v>345396</v>
      </c>
      <c r="DF165" s="9">
        <v>345396</v>
      </c>
      <c r="DG165" s="9">
        <v>263.5</v>
      </c>
      <c r="DH165" s="9">
        <v>0</v>
      </c>
      <c r="DI165" s="9">
        <v>0</v>
      </c>
      <c r="DJ165" s="9">
        <v>0</v>
      </c>
      <c r="DK165" s="9">
        <v>5392</v>
      </c>
      <c r="DL165" s="9">
        <v>0</v>
      </c>
      <c r="DM165" s="9">
        <v>71292</v>
      </c>
      <c r="DN165" s="9">
        <v>0</v>
      </c>
      <c r="DO165" s="9">
        <v>1573</v>
      </c>
      <c r="DP165" s="9">
        <v>0</v>
      </c>
      <c r="DQ165" s="9">
        <v>0</v>
      </c>
      <c r="DR165" s="9">
        <v>0</v>
      </c>
      <c r="DS165" s="9">
        <v>0</v>
      </c>
      <c r="DT165" s="9">
        <v>0.04</v>
      </c>
      <c r="DU165" s="9">
        <v>0</v>
      </c>
      <c r="DV165" s="9">
        <v>0</v>
      </c>
      <c r="DW165" s="9">
        <v>0.04</v>
      </c>
      <c r="DX165" s="9">
        <v>0</v>
      </c>
      <c r="DY165" s="9">
        <v>0</v>
      </c>
      <c r="DZ165" s="9">
        <v>0.32</v>
      </c>
      <c r="EA165" s="9">
        <v>0</v>
      </c>
      <c r="EB165" s="9">
        <v>0</v>
      </c>
      <c r="EC165" s="9">
        <v>0.187</v>
      </c>
      <c r="ED165" s="9">
        <v>1348</v>
      </c>
      <c r="EE165" s="9">
        <v>0</v>
      </c>
      <c r="EF165" s="9">
        <v>0</v>
      </c>
      <c r="EG165" s="9">
        <v>0</v>
      </c>
      <c r="EH165" s="9">
        <v>68371</v>
      </c>
      <c r="EI165" s="9">
        <v>0</v>
      </c>
      <c r="EJ165" s="9">
        <v>0</v>
      </c>
      <c r="EK165" s="9">
        <v>2.9590000000000001</v>
      </c>
      <c r="EL165" s="9">
        <v>0</v>
      </c>
      <c r="EM165" s="9">
        <v>0</v>
      </c>
      <c r="EN165" s="9">
        <v>0.311</v>
      </c>
      <c r="EO165" s="9">
        <v>0</v>
      </c>
      <c r="EP165" s="9">
        <v>0</v>
      </c>
      <c r="EQ165" s="9">
        <v>3.27</v>
      </c>
      <c r="ER165" s="9">
        <v>0</v>
      </c>
      <c r="ES165" s="9">
        <v>10.432</v>
      </c>
      <c r="ET165" s="9">
        <v>6209</v>
      </c>
      <c r="EU165" s="9">
        <v>79950</v>
      </c>
      <c r="EV165" s="9">
        <v>0</v>
      </c>
      <c r="EW165" s="9">
        <v>0</v>
      </c>
      <c r="EX165" s="9">
        <v>0</v>
      </c>
      <c r="EY165" s="9">
        <v>0</v>
      </c>
      <c r="EZ165" s="9">
        <v>1698171</v>
      </c>
      <c r="FA165" s="9">
        <v>0</v>
      </c>
      <c r="FB165" s="9">
        <v>1778121</v>
      </c>
      <c r="FC165" s="9">
        <v>0.97327799999999998</v>
      </c>
      <c r="FD165" s="9">
        <v>0</v>
      </c>
      <c r="FE165" s="9">
        <v>263471</v>
      </c>
      <c r="FF165" s="9">
        <v>59373</v>
      </c>
      <c r="FG165" s="9">
        <v>6.1239999999999996E-2</v>
      </c>
      <c r="FH165" s="9">
        <v>5.4803999999999999E-2</v>
      </c>
      <c r="FI165" s="9">
        <v>0</v>
      </c>
      <c r="FJ165" s="9">
        <v>0</v>
      </c>
      <c r="FK165" s="9">
        <v>339.08</v>
      </c>
      <c r="FL165" s="9">
        <v>2147453</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2100965</v>
      </c>
      <c r="GQ165" s="9">
        <v>2100965</v>
      </c>
      <c r="GR165" s="9">
        <v>0</v>
      </c>
      <c r="GS165" s="9">
        <v>0</v>
      </c>
      <c r="GT165" s="9">
        <v>0</v>
      </c>
      <c r="GU165" s="9">
        <v>0</v>
      </c>
      <c r="GV165" s="9">
        <v>0</v>
      </c>
      <c r="GW165" s="9">
        <v>0</v>
      </c>
      <c r="GX165" s="9">
        <v>0</v>
      </c>
      <c r="GY165" s="9">
        <v>0</v>
      </c>
      <c r="GZ165" s="9">
        <v>0</v>
      </c>
      <c r="HA165" s="9">
        <v>0</v>
      </c>
      <c r="HB165" s="9">
        <v>260786259</v>
      </c>
      <c r="HC165" s="9">
        <v>5.0923999999999997E-2</v>
      </c>
      <c r="HD165" s="9">
        <v>40279</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32469</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row>
    <row r="166" spans="1:292" x14ac:dyDescent="0.25">
      <c r="A166" s="9">
        <v>220814</v>
      </c>
      <c r="B166" s="9">
        <v>32570</v>
      </c>
      <c r="C166" s="9">
        <v>35</v>
      </c>
      <c r="D166" s="9">
        <v>2022</v>
      </c>
      <c r="E166" s="9">
        <v>5392</v>
      </c>
      <c r="F166" s="9">
        <v>0</v>
      </c>
      <c r="G166" s="9">
        <v>312.81200000000001</v>
      </c>
      <c r="H166" s="9">
        <v>303.18400000000003</v>
      </c>
      <c r="I166" s="9">
        <v>303.18400000000003</v>
      </c>
      <c r="J166" s="9">
        <v>312.81200000000001</v>
      </c>
      <c r="K166" s="9">
        <v>0</v>
      </c>
      <c r="L166" s="9">
        <v>6554</v>
      </c>
      <c r="M166" s="9">
        <v>0</v>
      </c>
      <c r="N166" s="9">
        <v>0</v>
      </c>
      <c r="O166" s="9">
        <v>0</v>
      </c>
      <c r="P166" s="9">
        <v>317.601</v>
      </c>
      <c r="Q166" s="9">
        <v>0</v>
      </c>
      <c r="R166" s="9">
        <v>101541</v>
      </c>
      <c r="S166" s="9">
        <v>319.71300000000002</v>
      </c>
      <c r="T166" s="9">
        <v>0</v>
      </c>
      <c r="U166" s="9">
        <v>101541</v>
      </c>
      <c r="V166" s="9">
        <v>34.267000000000003</v>
      </c>
      <c r="W166" s="9">
        <v>22459</v>
      </c>
      <c r="X166" s="9">
        <v>22459</v>
      </c>
      <c r="Y166" s="9">
        <v>0</v>
      </c>
      <c r="Z166" s="9">
        <v>0</v>
      </c>
      <c r="AA166" s="9">
        <v>1</v>
      </c>
      <c r="AB166" s="9">
        <v>1</v>
      </c>
      <c r="AC166" s="9">
        <v>0</v>
      </c>
      <c r="AD166" s="9" t="s">
        <v>314</v>
      </c>
      <c r="AE166" s="9">
        <v>0</v>
      </c>
      <c r="AF166" s="9">
        <v>0</v>
      </c>
      <c r="AG166" s="9">
        <v>0</v>
      </c>
      <c r="AH166" s="9">
        <v>0</v>
      </c>
      <c r="AI166" s="9">
        <v>0</v>
      </c>
      <c r="AJ166" s="9">
        <v>5104</v>
      </c>
      <c r="AK166" s="9" t="s">
        <v>651</v>
      </c>
      <c r="AL166" s="9" t="s">
        <v>360</v>
      </c>
      <c r="AM166" s="9">
        <v>0</v>
      </c>
      <c r="AN166" s="9">
        <v>0</v>
      </c>
      <c r="AO166" s="9">
        <v>0</v>
      </c>
      <c r="AP166" s="9">
        <v>0</v>
      </c>
      <c r="AQ166" s="9">
        <v>0</v>
      </c>
      <c r="AR166" s="9">
        <v>0</v>
      </c>
      <c r="AS166" s="9">
        <v>0</v>
      </c>
      <c r="AT166" s="9">
        <v>0</v>
      </c>
      <c r="AU166" s="9">
        <v>0</v>
      </c>
      <c r="AV166" s="9">
        <v>54</v>
      </c>
      <c r="AW166" s="9">
        <v>2579379</v>
      </c>
      <c r="AX166" s="9">
        <v>2515377</v>
      </c>
      <c r="AY166" s="9">
        <v>2796212</v>
      </c>
      <c r="AZ166" s="9">
        <v>101541</v>
      </c>
      <c r="BA166" s="9">
        <v>3</v>
      </c>
      <c r="BB166" s="9">
        <v>12301</v>
      </c>
      <c r="BC166" s="9">
        <v>12301</v>
      </c>
      <c r="BD166" s="9">
        <v>15.641</v>
      </c>
      <c r="BE166" s="9">
        <v>0</v>
      </c>
      <c r="BF166" s="9">
        <v>2155606</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64002</v>
      </c>
      <c r="CI166" s="9">
        <v>0</v>
      </c>
      <c r="CJ166" s="9">
        <v>4</v>
      </c>
      <c r="CK166" s="9">
        <v>0</v>
      </c>
      <c r="CL166" s="9">
        <v>0</v>
      </c>
      <c r="CM166" s="9">
        <v>0</v>
      </c>
      <c r="CN166" s="9">
        <v>0</v>
      </c>
      <c r="CO166" s="9">
        <v>0</v>
      </c>
      <c r="CP166" s="9">
        <v>0</v>
      </c>
      <c r="CQ166" s="9">
        <v>3.4170000000000003</v>
      </c>
      <c r="CR166" s="9">
        <v>317.601</v>
      </c>
      <c r="CS166" s="9">
        <v>0</v>
      </c>
      <c r="CT166" s="9">
        <v>0</v>
      </c>
      <c r="CU166" s="9">
        <v>0</v>
      </c>
      <c r="CV166" s="9">
        <v>0</v>
      </c>
      <c r="CW166" s="9">
        <v>0</v>
      </c>
      <c r="CX166" s="9">
        <v>0</v>
      </c>
      <c r="CY166" s="9">
        <v>0</v>
      </c>
      <c r="CZ166" s="9">
        <v>0</v>
      </c>
      <c r="DA166" s="9">
        <v>1</v>
      </c>
      <c r="DB166" s="9">
        <v>1987068</v>
      </c>
      <c r="DC166" s="9">
        <v>0</v>
      </c>
      <c r="DD166" s="9">
        <v>0</v>
      </c>
      <c r="DE166" s="9">
        <v>0</v>
      </c>
      <c r="DF166" s="9">
        <v>0</v>
      </c>
      <c r="DG166" s="9">
        <v>0</v>
      </c>
      <c r="DH166" s="9">
        <v>0</v>
      </c>
      <c r="DI166" s="9">
        <v>0</v>
      </c>
      <c r="DJ166" s="9">
        <v>0</v>
      </c>
      <c r="DK166" s="9">
        <v>5392</v>
      </c>
      <c r="DL166" s="9">
        <v>0</v>
      </c>
      <c r="DM166" s="9">
        <v>192963</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0</v>
      </c>
      <c r="ED166" s="9">
        <v>0</v>
      </c>
      <c r="EE166" s="9">
        <v>0</v>
      </c>
      <c r="EF166" s="9">
        <v>0</v>
      </c>
      <c r="EG166" s="9">
        <v>0</v>
      </c>
      <c r="EH166" s="9">
        <v>192963</v>
      </c>
      <c r="EI166" s="9">
        <v>0</v>
      </c>
      <c r="EJ166" s="9">
        <v>0</v>
      </c>
      <c r="EK166" s="9">
        <v>9.3490000000000002</v>
      </c>
      <c r="EL166" s="9">
        <v>0</v>
      </c>
      <c r="EM166" s="9">
        <v>0</v>
      </c>
      <c r="EN166" s="9">
        <v>0.27900000000000003</v>
      </c>
      <c r="EO166" s="9">
        <v>0</v>
      </c>
      <c r="EP166" s="9">
        <v>0</v>
      </c>
      <c r="EQ166" s="9">
        <v>9.6280000000000001</v>
      </c>
      <c r="ER166" s="9">
        <v>0</v>
      </c>
      <c r="ES166" s="9">
        <v>29.442</v>
      </c>
      <c r="ET166" s="9">
        <v>2354</v>
      </c>
      <c r="EU166" s="9">
        <v>101541</v>
      </c>
      <c r="EV166" s="9">
        <v>0</v>
      </c>
      <c r="EW166" s="9">
        <v>0</v>
      </c>
      <c r="EX166" s="9">
        <v>0</v>
      </c>
      <c r="EY166" s="9">
        <v>0</v>
      </c>
      <c r="EZ166" s="9">
        <v>2113250</v>
      </c>
      <c r="FA166" s="9">
        <v>0</v>
      </c>
      <c r="FB166" s="9">
        <v>2214791</v>
      </c>
      <c r="FC166" s="9">
        <v>0.97327799999999998</v>
      </c>
      <c r="FD166" s="9">
        <v>0</v>
      </c>
      <c r="FE166" s="9">
        <v>328174</v>
      </c>
      <c r="FF166" s="9">
        <v>73953</v>
      </c>
      <c r="FG166" s="9">
        <v>6.1239999999999996E-2</v>
      </c>
      <c r="FH166" s="9">
        <v>5.4803999999999999E-2</v>
      </c>
      <c r="FI166" s="9">
        <v>0</v>
      </c>
      <c r="FJ166" s="9">
        <v>0</v>
      </c>
      <c r="FK166" s="9">
        <v>422.351</v>
      </c>
      <c r="FL166" s="9">
        <v>2680920</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2616918</v>
      </c>
      <c r="GQ166" s="9">
        <v>2616918</v>
      </c>
      <c r="GR166" s="9">
        <v>0</v>
      </c>
      <c r="GS166" s="9">
        <v>0</v>
      </c>
      <c r="GT166" s="9">
        <v>0</v>
      </c>
      <c r="GU166" s="9">
        <v>0</v>
      </c>
      <c r="GV166" s="9">
        <v>0</v>
      </c>
      <c r="GW166" s="9">
        <v>0</v>
      </c>
      <c r="GX166" s="9">
        <v>0</v>
      </c>
      <c r="GY166" s="9">
        <v>0</v>
      </c>
      <c r="GZ166" s="9">
        <v>0</v>
      </c>
      <c r="HA166" s="9">
        <v>0</v>
      </c>
      <c r="HB166" s="9">
        <v>260786259</v>
      </c>
      <c r="HC166" s="9">
        <v>5.0923999999999997E-2</v>
      </c>
      <c r="HD166" s="9">
        <v>61648</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32469</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row>
    <row r="167" spans="1:292" x14ac:dyDescent="0.25">
      <c r="A167" s="9">
        <v>220815</v>
      </c>
      <c r="B167" s="9">
        <v>32570</v>
      </c>
      <c r="C167" s="9">
        <v>35</v>
      </c>
      <c r="D167" s="9">
        <v>2022</v>
      </c>
      <c r="E167" s="9">
        <v>5392</v>
      </c>
      <c r="F167" s="9">
        <v>0</v>
      </c>
      <c r="G167" s="9">
        <v>671.27</v>
      </c>
      <c r="H167" s="9">
        <v>653.69100000000003</v>
      </c>
      <c r="I167" s="9">
        <v>653.69100000000003</v>
      </c>
      <c r="J167" s="9">
        <v>671.27</v>
      </c>
      <c r="K167" s="9">
        <v>0</v>
      </c>
      <c r="L167" s="9">
        <v>6554</v>
      </c>
      <c r="M167" s="9">
        <v>0</v>
      </c>
      <c r="N167" s="9">
        <v>0</v>
      </c>
      <c r="O167" s="9">
        <v>0</v>
      </c>
      <c r="P167" s="9">
        <v>589.80000000000007</v>
      </c>
      <c r="Q167" s="9">
        <v>0</v>
      </c>
      <c r="R167" s="9">
        <v>188567</v>
      </c>
      <c r="S167" s="9">
        <v>319.71300000000002</v>
      </c>
      <c r="T167" s="9">
        <v>0</v>
      </c>
      <c r="U167" s="9">
        <v>188567</v>
      </c>
      <c r="V167" s="9">
        <v>44.502000000000002</v>
      </c>
      <c r="W167" s="9">
        <v>29167</v>
      </c>
      <c r="X167" s="9">
        <v>29167</v>
      </c>
      <c r="Y167" s="9">
        <v>0</v>
      </c>
      <c r="Z167" s="9">
        <v>0</v>
      </c>
      <c r="AA167" s="9">
        <v>1</v>
      </c>
      <c r="AB167" s="9">
        <v>1</v>
      </c>
      <c r="AC167" s="9">
        <v>0</v>
      </c>
      <c r="AD167" s="9" t="s">
        <v>314</v>
      </c>
      <c r="AE167" s="9">
        <v>0</v>
      </c>
      <c r="AF167" s="9">
        <v>0</v>
      </c>
      <c r="AG167" s="9">
        <v>0</v>
      </c>
      <c r="AH167" s="9">
        <v>0</v>
      </c>
      <c r="AI167" s="9">
        <v>0</v>
      </c>
      <c r="AJ167" s="9">
        <v>5104</v>
      </c>
      <c r="AK167" s="9" t="s">
        <v>651</v>
      </c>
      <c r="AL167" s="9" t="s">
        <v>361</v>
      </c>
      <c r="AM167" s="9">
        <v>0</v>
      </c>
      <c r="AN167" s="9">
        <v>0</v>
      </c>
      <c r="AO167" s="9">
        <v>0</v>
      </c>
      <c r="AP167" s="9">
        <v>0</v>
      </c>
      <c r="AQ167" s="9">
        <v>0</v>
      </c>
      <c r="AR167" s="9">
        <v>0</v>
      </c>
      <c r="AS167" s="9">
        <v>0</v>
      </c>
      <c r="AT167" s="9">
        <v>0</v>
      </c>
      <c r="AU167" s="9">
        <v>0</v>
      </c>
      <c r="AV167" s="9">
        <v>244694</v>
      </c>
      <c r="AW167" s="9">
        <v>6287356</v>
      </c>
      <c r="AX167" s="9">
        <v>6155064</v>
      </c>
      <c r="AY167" s="9">
        <v>6753707</v>
      </c>
      <c r="AZ167" s="9">
        <v>188567</v>
      </c>
      <c r="BA167" s="9">
        <v>0</v>
      </c>
      <c r="BB167" s="9">
        <v>26397</v>
      </c>
      <c r="BC167" s="9">
        <v>26397</v>
      </c>
      <c r="BD167" s="9">
        <v>33.564</v>
      </c>
      <c r="BE167" s="9">
        <v>0</v>
      </c>
      <c r="BF167" s="9">
        <v>5225371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132292</v>
      </c>
      <c r="CI167" s="9">
        <v>0</v>
      </c>
      <c r="CJ167" s="9">
        <v>5</v>
      </c>
      <c r="CK167" s="9">
        <v>0</v>
      </c>
      <c r="CL167" s="9">
        <v>0</v>
      </c>
      <c r="CM167" s="9">
        <v>0</v>
      </c>
      <c r="CN167" s="9">
        <v>0</v>
      </c>
      <c r="CO167" s="9">
        <v>0</v>
      </c>
      <c r="CP167" s="9">
        <v>0</v>
      </c>
      <c r="CQ167" s="9">
        <v>0</v>
      </c>
      <c r="CR167" s="9">
        <v>589.80000000000007</v>
      </c>
      <c r="CS167" s="9">
        <v>0</v>
      </c>
      <c r="CT167" s="9">
        <v>0</v>
      </c>
      <c r="CU167" s="9">
        <v>0</v>
      </c>
      <c r="CV167" s="9">
        <v>0</v>
      </c>
      <c r="CW167" s="9">
        <v>0</v>
      </c>
      <c r="CX167" s="9">
        <v>0</v>
      </c>
      <c r="CY167" s="9">
        <v>0</v>
      </c>
      <c r="CZ167" s="9">
        <v>0</v>
      </c>
      <c r="DA167" s="9">
        <v>1</v>
      </c>
      <c r="DB167" s="9">
        <v>4284291</v>
      </c>
      <c r="DC167" s="9">
        <v>0</v>
      </c>
      <c r="DD167" s="9">
        <v>0</v>
      </c>
      <c r="DE167" s="9">
        <v>637272</v>
      </c>
      <c r="DF167" s="9">
        <v>637272</v>
      </c>
      <c r="DG167" s="9">
        <v>486.17</v>
      </c>
      <c r="DH167" s="9">
        <v>0</v>
      </c>
      <c r="DI167" s="9">
        <v>0</v>
      </c>
      <c r="DJ167" s="9">
        <v>0</v>
      </c>
      <c r="DK167" s="9">
        <v>5392</v>
      </c>
      <c r="DL167" s="9">
        <v>0</v>
      </c>
      <c r="DM167" s="9">
        <v>391713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3.64</v>
      </c>
      <c r="ED167" s="9">
        <v>26242</v>
      </c>
      <c r="EE167" s="9">
        <v>0</v>
      </c>
      <c r="EF167" s="9">
        <v>0</v>
      </c>
      <c r="EG167" s="9">
        <v>0</v>
      </c>
      <c r="EH167" s="9">
        <v>365471</v>
      </c>
      <c r="EI167" s="9">
        <v>0</v>
      </c>
      <c r="EJ167" s="9">
        <v>0</v>
      </c>
      <c r="EK167" s="9">
        <v>16.066000000000003</v>
      </c>
      <c r="EL167" s="9">
        <v>0</v>
      </c>
      <c r="EM167" s="9">
        <v>0</v>
      </c>
      <c r="EN167" s="9">
        <v>1.5130000000000001</v>
      </c>
      <c r="EO167" s="9">
        <v>0</v>
      </c>
      <c r="EP167" s="9">
        <v>0</v>
      </c>
      <c r="EQ167" s="9">
        <v>17.579000000000001</v>
      </c>
      <c r="ER167" s="9">
        <v>0</v>
      </c>
      <c r="ES167" s="9">
        <v>55.763000000000005</v>
      </c>
      <c r="ET167" s="9">
        <v>0</v>
      </c>
      <c r="EU167" s="9">
        <v>188567</v>
      </c>
      <c r="EV167" s="9">
        <v>0</v>
      </c>
      <c r="EW167" s="9">
        <v>0</v>
      </c>
      <c r="EX167" s="9">
        <v>0</v>
      </c>
      <c r="EY167" s="9">
        <v>0</v>
      </c>
      <c r="EZ167" s="9">
        <v>5180273</v>
      </c>
      <c r="FA167" s="9">
        <v>0</v>
      </c>
      <c r="FB167" s="9">
        <v>5368840</v>
      </c>
      <c r="FC167" s="9">
        <v>0.97327799999999998</v>
      </c>
      <c r="FD167" s="9">
        <v>0</v>
      </c>
      <c r="FE167" s="9">
        <v>795521</v>
      </c>
      <c r="FF167" s="9">
        <v>179270</v>
      </c>
      <c r="FG167" s="9">
        <v>6.1239999999999996E-2</v>
      </c>
      <c r="FH167" s="9">
        <v>5.4803999999999999E-2</v>
      </c>
      <c r="FI167" s="9">
        <v>0</v>
      </c>
      <c r="FJ167" s="9">
        <v>0</v>
      </c>
      <c r="FK167" s="9">
        <v>1023.8150000000001</v>
      </c>
      <c r="FL167" s="9">
        <v>6475923</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6343631</v>
      </c>
      <c r="GQ167" s="9">
        <v>6343631</v>
      </c>
      <c r="GR167" s="9">
        <v>0</v>
      </c>
      <c r="GS167" s="9">
        <v>0</v>
      </c>
      <c r="GT167" s="9">
        <v>0</v>
      </c>
      <c r="GU167" s="9">
        <v>0</v>
      </c>
      <c r="GV167" s="9">
        <v>0</v>
      </c>
      <c r="GW167" s="9">
        <v>0</v>
      </c>
      <c r="GX167" s="9">
        <v>0</v>
      </c>
      <c r="GY167" s="9">
        <v>0</v>
      </c>
      <c r="GZ167" s="9">
        <v>0</v>
      </c>
      <c r="HA167" s="9">
        <v>0</v>
      </c>
      <c r="HB167" s="9">
        <v>260786259</v>
      </c>
      <c r="HC167" s="9">
        <v>5.0923999999999997E-2</v>
      </c>
      <c r="HD167" s="9">
        <v>132292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32469</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row>
    <row r="168" spans="1:292" x14ac:dyDescent="0.25">
      <c r="A168" s="9">
        <v>220817</v>
      </c>
      <c r="B168" s="9">
        <v>32570</v>
      </c>
      <c r="C168" s="9">
        <v>35</v>
      </c>
      <c r="D168" s="9">
        <v>2022</v>
      </c>
      <c r="E168" s="9">
        <v>5392</v>
      </c>
      <c r="F168" s="9">
        <v>0</v>
      </c>
      <c r="G168" s="9">
        <v>2870.4410000000003</v>
      </c>
      <c r="H168" s="9">
        <v>2679.6610000000001</v>
      </c>
      <c r="I168" s="9">
        <v>2679.6610000000001</v>
      </c>
      <c r="J168" s="9">
        <v>2870.4410000000003</v>
      </c>
      <c r="K168" s="9">
        <v>0</v>
      </c>
      <c r="L168" s="9">
        <v>6554</v>
      </c>
      <c r="M168" s="9">
        <v>0</v>
      </c>
      <c r="N168" s="9">
        <v>0</v>
      </c>
      <c r="O168" s="9">
        <v>0</v>
      </c>
      <c r="P168" s="9">
        <v>2768.63</v>
      </c>
      <c r="Q168" s="9">
        <v>0</v>
      </c>
      <c r="R168" s="9">
        <v>885167</v>
      </c>
      <c r="S168" s="9">
        <v>319.71300000000002</v>
      </c>
      <c r="T168" s="9">
        <v>0</v>
      </c>
      <c r="U168" s="9">
        <v>885167</v>
      </c>
      <c r="V168" s="9">
        <v>399.82100000000003</v>
      </c>
      <c r="W168" s="9">
        <v>262043</v>
      </c>
      <c r="X168" s="9">
        <v>262043</v>
      </c>
      <c r="Y168" s="9">
        <v>0</v>
      </c>
      <c r="Z168" s="9">
        <v>0</v>
      </c>
      <c r="AA168" s="9">
        <v>1</v>
      </c>
      <c r="AB168" s="9">
        <v>1</v>
      </c>
      <c r="AC168" s="9">
        <v>0</v>
      </c>
      <c r="AD168" s="9" t="s">
        <v>314</v>
      </c>
      <c r="AE168" s="9">
        <v>0</v>
      </c>
      <c r="AF168" s="9">
        <v>0</v>
      </c>
      <c r="AG168" s="9">
        <v>0</v>
      </c>
      <c r="AH168" s="9">
        <v>0</v>
      </c>
      <c r="AI168" s="9">
        <v>0</v>
      </c>
      <c r="AJ168" s="9">
        <v>5104</v>
      </c>
      <c r="AK168" s="9" t="s">
        <v>651</v>
      </c>
      <c r="AL168" s="9" t="s">
        <v>362</v>
      </c>
      <c r="AM168" s="9">
        <v>0</v>
      </c>
      <c r="AN168" s="9">
        <v>0</v>
      </c>
      <c r="AO168" s="9">
        <v>0</v>
      </c>
      <c r="AP168" s="9">
        <v>0</v>
      </c>
      <c r="AQ168" s="9">
        <v>0</v>
      </c>
      <c r="AR168" s="9">
        <v>0</v>
      </c>
      <c r="AS168" s="9">
        <v>0</v>
      </c>
      <c r="AT168" s="9">
        <v>0</v>
      </c>
      <c r="AU168" s="9">
        <v>0</v>
      </c>
      <c r="AV168" s="9">
        <v>793983</v>
      </c>
      <c r="AW168" s="9">
        <v>26509451</v>
      </c>
      <c r="AX168" s="9">
        <v>25795866</v>
      </c>
      <c r="AY168" s="9">
        <v>28055566</v>
      </c>
      <c r="AZ168" s="9">
        <v>1033052</v>
      </c>
      <c r="BA168" s="9">
        <v>0</v>
      </c>
      <c r="BB168" s="9">
        <v>112877</v>
      </c>
      <c r="BC168" s="9">
        <v>112877</v>
      </c>
      <c r="BD168" s="9">
        <v>143.52200000000002</v>
      </c>
      <c r="BE168" s="9">
        <v>0</v>
      </c>
      <c r="BF168" s="9">
        <v>21977684</v>
      </c>
      <c r="BG168" s="9">
        <v>0</v>
      </c>
      <c r="BH168" s="9">
        <v>537.76300000000003</v>
      </c>
      <c r="BI168" s="9">
        <v>147885</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565700</v>
      </c>
      <c r="CI168" s="9">
        <v>0</v>
      </c>
      <c r="CJ168" s="9">
        <v>4</v>
      </c>
      <c r="CK168" s="9">
        <v>0</v>
      </c>
      <c r="CL168" s="9">
        <v>0</v>
      </c>
      <c r="CM168" s="9">
        <v>0</v>
      </c>
      <c r="CN168" s="9">
        <v>0</v>
      </c>
      <c r="CO168" s="9">
        <v>0</v>
      </c>
      <c r="CP168" s="9">
        <v>0</v>
      </c>
      <c r="CQ168" s="9">
        <v>0</v>
      </c>
      <c r="CR168" s="9">
        <v>2768.63</v>
      </c>
      <c r="CS168" s="9">
        <v>0</v>
      </c>
      <c r="CT168" s="9">
        <v>0</v>
      </c>
      <c r="CU168" s="9">
        <v>0</v>
      </c>
      <c r="CV168" s="9">
        <v>0</v>
      </c>
      <c r="CW168" s="9">
        <v>0</v>
      </c>
      <c r="CX168" s="9">
        <v>0</v>
      </c>
      <c r="CY168" s="9">
        <v>0</v>
      </c>
      <c r="CZ168" s="9">
        <v>0</v>
      </c>
      <c r="DA168" s="9">
        <v>1</v>
      </c>
      <c r="DB168" s="9">
        <v>17562498</v>
      </c>
      <c r="DC168" s="9">
        <v>0</v>
      </c>
      <c r="DD168" s="9">
        <v>0</v>
      </c>
      <c r="DE168" s="9">
        <v>2060355</v>
      </c>
      <c r="DF168" s="9">
        <v>2060355</v>
      </c>
      <c r="DG168" s="9">
        <v>1571.83</v>
      </c>
      <c r="DH168" s="9">
        <v>0</v>
      </c>
      <c r="DI168" s="9">
        <v>0</v>
      </c>
      <c r="DJ168" s="9">
        <v>0</v>
      </c>
      <c r="DK168" s="9">
        <v>5392</v>
      </c>
      <c r="DL168" s="9">
        <v>0</v>
      </c>
      <c r="DM168" s="9">
        <v>1313348</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46.088000000000001</v>
      </c>
      <c r="ED168" s="9">
        <v>332267</v>
      </c>
      <c r="EE168" s="9">
        <v>0</v>
      </c>
      <c r="EF168" s="9">
        <v>0</v>
      </c>
      <c r="EG168" s="9">
        <v>0</v>
      </c>
      <c r="EH168" s="9">
        <v>981081</v>
      </c>
      <c r="EI168" s="9">
        <v>0</v>
      </c>
      <c r="EJ168" s="9">
        <v>0</v>
      </c>
      <c r="EK168" s="9">
        <v>41.175000000000004</v>
      </c>
      <c r="EL168" s="9">
        <v>0</v>
      </c>
      <c r="EM168" s="9">
        <v>2.6040000000000001</v>
      </c>
      <c r="EN168" s="9">
        <v>3.6710000000000003</v>
      </c>
      <c r="EO168" s="9">
        <v>0</v>
      </c>
      <c r="EP168" s="9">
        <v>0</v>
      </c>
      <c r="EQ168" s="9">
        <v>47.45</v>
      </c>
      <c r="ER168" s="9">
        <v>0</v>
      </c>
      <c r="ES168" s="9">
        <v>149.69200000000001</v>
      </c>
      <c r="ET168" s="9">
        <v>0</v>
      </c>
      <c r="EU168" s="9">
        <v>1033052</v>
      </c>
      <c r="EV168" s="9">
        <v>0</v>
      </c>
      <c r="EW168" s="9">
        <v>0</v>
      </c>
      <c r="EX168" s="9">
        <v>0</v>
      </c>
      <c r="EY168" s="9">
        <v>0</v>
      </c>
      <c r="EZ168" s="9">
        <v>21695940</v>
      </c>
      <c r="FA168" s="9">
        <v>0</v>
      </c>
      <c r="FB168" s="9">
        <v>22728992</v>
      </c>
      <c r="FC168" s="9">
        <v>0.97327799999999998</v>
      </c>
      <c r="FD168" s="9">
        <v>0</v>
      </c>
      <c r="FE168" s="9">
        <v>3345926</v>
      </c>
      <c r="FF168" s="9">
        <v>754000</v>
      </c>
      <c r="FG168" s="9">
        <v>6.1239999999999996E-2</v>
      </c>
      <c r="FH168" s="9">
        <v>5.4803999999999999E-2</v>
      </c>
      <c r="FI168" s="9">
        <v>0</v>
      </c>
      <c r="FJ168" s="9">
        <v>0</v>
      </c>
      <c r="FK168" s="9">
        <v>4306.12</v>
      </c>
      <c r="FL168" s="9">
        <v>27394618</v>
      </c>
      <c r="FM168" s="9">
        <v>0</v>
      </c>
      <c r="FN168" s="9">
        <v>0</v>
      </c>
      <c r="FO168" s="9">
        <v>0</v>
      </c>
      <c r="FP168" s="9">
        <v>0</v>
      </c>
      <c r="FQ168" s="9">
        <v>0</v>
      </c>
      <c r="FR168" s="9">
        <v>0</v>
      </c>
      <c r="FS168" s="9">
        <v>0</v>
      </c>
      <c r="FT168" s="9">
        <v>0</v>
      </c>
      <c r="FU168" s="9">
        <v>0</v>
      </c>
      <c r="FV168" s="9">
        <v>0</v>
      </c>
      <c r="FW168" s="9">
        <v>0</v>
      </c>
      <c r="FX168" s="9">
        <v>0</v>
      </c>
      <c r="FY168" s="9">
        <v>0</v>
      </c>
      <c r="FZ168" s="9">
        <v>1816</v>
      </c>
      <c r="GA168" s="9">
        <v>36.323</v>
      </c>
      <c r="GB168" s="9">
        <v>1269986</v>
      </c>
      <c r="GC168" s="9">
        <v>1269986</v>
      </c>
      <c r="GD168" s="9">
        <v>143.33000000000001</v>
      </c>
      <c r="GE168" s="9">
        <v>0</v>
      </c>
      <c r="GF168" s="9">
        <v>0</v>
      </c>
      <c r="GG168" s="9">
        <v>0</v>
      </c>
      <c r="GH168" s="9">
        <v>0</v>
      </c>
      <c r="GI168" s="9">
        <v>0</v>
      </c>
      <c r="GJ168" s="9">
        <v>0</v>
      </c>
      <c r="GK168" s="9">
        <v>4971</v>
      </c>
      <c r="GL168" s="9">
        <v>0</v>
      </c>
      <c r="GM168" s="9">
        <v>0</v>
      </c>
      <c r="GN168" s="9">
        <v>0</v>
      </c>
      <c r="GO168" s="9">
        <v>0</v>
      </c>
      <c r="GP168" s="9">
        <v>26828918</v>
      </c>
      <c r="GQ168" s="9">
        <v>26828918</v>
      </c>
      <c r="GR168" s="9">
        <v>0</v>
      </c>
      <c r="GS168" s="9">
        <v>0</v>
      </c>
      <c r="GT168" s="9">
        <v>0</v>
      </c>
      <c r="GU168" s="9">
        <v>0</v>
      </c>
      <c r="GV168" s="9">
        <v>0</v>
      </c>
      <c r="GW168" s="9">
        <v>0</v>
      </c>
      <c r="GX168" s="9">
        <v>0</v>
      </c>
      <c r="GY168" s="9">
        <v>0</v>
      </c>
      <c r="GZ168" s="9">
        <v>0</v>
      </c>
      <c r="HA168" s="9">
        <v>0</v>
      </c>
      <c r="HB168" s="9">
        <v>260786259</v>
      </c>
      <c r="HC168" s="9">
        <v>5.0923999999999997E-2</v>
      </c>
      <c r="HD168" s="9">
        <v>565700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32469</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row>
    <row r="169" spans="1:292" x14ac:dyDescent="0.25">
      <c r="A169" s="9">
        <v>220819</v>
      </c>
      <c r="B169" s="9">
        <v>32570</v>
      </c>
      <c r="C169" s="9">
        <v>35</v>
      </c>
      <c r="D169" s="9">
        <v>2022</v>
      </c>
      <c r="E169" s="9">
        <v>5392</v>
      </c>
      <c r="F169" s="9">
        <v>0</v>
      </c>
      <c r="G169" s="9">
        <v>1590.7140000000002</v>
      </c>
      <c r="H169" s="9">
        <v>1532.5420000000001</v>
      </c>
      <c r="I169" s="9">
        <v>1532.5420000000001</v>
      </c>
      <c r="J169" s="9">
        <v>1590.7140000000002</v>
      </c>
      <c r="K169" s="9">
        <v>0</v>
      </c>
      <c r="L169" s="9">
        <v>6554</v>
      </c>
      <c r="M169" s="9">
        <v>0</v>
      </c>
      <c r="N169" s="9">
        <v>0</v>
      </c>
      <c r="O169" s="9">
        <v>0</v>
      </c>
      <c r="P169" s="9">
        <v>1324.8390000000002</v>
      </c>
      <c r="Q169" s="9">
        <v>0</v>
      </c>
      <c r="R169" s="9">
        <v>423568</v>
      </c>
      <c r="S169" s="9">
        <v>319.71300000000002</v>
      </c>
      <c r="T169" s="9">
        <v>0</v>
      </c>
      <c r="U169" s="9">
        <v>423568</v>
      </c>
      <c r="V169" s="9">
        <v>80.546999999999997</v>
      </c>
      <c r="W169" s="9">
        <v>52791</v>
      </c>
      <c r="X169" s="9">
        <v>52791</v>
      </c>
      <c r="Y169" s="9">
        <v>0</v>
      </c>
      <c r="Z169" s="9">
        <v>0</v>
      </c>
      <c r="AA169" s="9">
        <v>1</v>
      </c>
      <c r="AB169" s="9">
        <v>1</v>
      </c>
      <c r="AC169" s="9">
        <v>0</v>
      </c>
      <c r="AD169" s="9" t="s">
        <v>314</v>
      </c>
      <c r="AE169" s="9">
        <v>0</v>
      </c>
      <c r="AF169" s="9">
        <v>0</v>
      </c>
      <c r="AG169" s="9">
        <v>0</v>
      </c>
      <c r="AH169" s="9">
        <v>0</v>
      </c>
      <c r="AI169" s="9">
        <v>0</v>
      </c>
      <c r="AJ169" s="9">
        <v>5104</v>
      </c>
      <c r="AK169" s="9" t="s">
        <v>651</v>
      </c>
      <c r="AL169" s="9" t="s">
        <v>370</v>
      </c>
      <c r="AM169" s="9">
        <v>0</v>
      </c>
      <c r="AN169" s="9">
        <v>0</v>
      </c>
      <c r="AO169" s="9">
        <v>0</v>
      </c>
      <c r="AP169" s="9">
        <v>0</v>
      </c>
      <c r="AQ169" s="9">
        <v>0</v>
      </c>
      <c r="AR169" s="9">
        <v>0</v>
      </c>
      <c r="AS169" s="9">
        <v>0</v>
      </c>
      <c r="AT169" s="9">
        <v>0</v>
      </c>
      <c r="AU169" s="9">
        <v>0</v>
      </c>
      <c r="AV169" s="9">
        <v>58464</v>
      </c>
      <c r="AW169" s="9">
        <v>14106171</v>
      </c>
      <c r="AX169" s="9">
        <v>13700596</v>
      </c>
      <c r="AY169" s="9">
        <v>15101941</v>
      </c>
      <c r="AZ169" s="9">
        <v>515649</v>
      </c>
      <c r="BA169" s="9">
        <v>0</v>
      </c>
      <c r="BB169" s="9">
        <v>62553</v>
      </c>
      <c r="BC169" s="9">
        <v>62553</v>
      </c>
      <c r="BD169" s="9">
        <v>79.536000000000001</v>
      </c>
      <c r="BE169" s="9">
        <v>0</v>
      </c>
      <c r="BF169" s="9">
        <v>11634348</v>
      </c>
      <c r="BG169" s="9">
        <v>0</v>
      </c>
      <c r="BH169" s="9">
        <v>186.649</v>
      </c>
      <c r="BI169" s="9">
        <v>51328</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106.61</v>
      </c>
      <c r="CB169" s="9">
        <v>40753</v>
      </c>
      <c r="CC169" s="9">
        <v>0</v>
      </c>
      <c r="CD169" s="9">
        <v>0</v>
      </c>
      <c r="CE169" s="9">
        <v>0</v>
      </c>
      <c r="CF169" s="9">
        <v>0</v>
      </c>
      <c r="CG169" s="9">
        <v>0</v>
      </c>
      <c r="CH169" s="9">
        <v>313494</v>
      </c>
      <c r="CI169" s="9">
        <v>0</v>
      </c>
      <c r="CJ169" s="9">
        <v>5</v>
      </c>
      <c r="CK169" s="9">
        <v>0</v>
      </c>
      <c r="CL169" s="9">
        <v>0</v>
      </c>
      <c r="CM169" s="9">
        <v>0</v>
      </c>
      <c r="CN169" s="9">
        <v>0</v>
      </c>
      <c r="CO169" s="9">
        <v>0</v>
      </c>
      <c r="CP169" s="9">
        <v>0</v>
      </c>
      <c r="CQ169" s="9">
        <v>0</v>
      </c>
      <c r="CR169" s="9">
        <v>1324.8390000000002</v>
      </c>
      <c r="CS169" s="9">
        <v>0</v>
      </c>
      <c r="CT169" s="9">
        <v>0</v>
      </c>
      <c r="CU169" s="9">
        <v>0</v>
      </c>
      <c r="CV169" s="9">
        <v>0</v>
      </c>
      <c r="CW169" s="9">
        <v>0</v>
      </c>
      <c r="CX169" s="9">
        <v>0</v>
      </c>
      <c r="CY169" s="9">
        <v>0</v>
      </c>
      <c r="CZ169" s="9">
        <v>0</v>
      </c>
      <c r="DA169" s="9">
        <v>1</v>
      </c>
      <c r="DB169" s="9">
        <v>10044280</v>
      </c>
      <c r="DC169" s="9">
        <v>0</v>
      </c>
      <c r="DD169" s="9">
        <v>0</v>
      </c>
      <c r="DE169" s="9">
        <v>565610</v>
      </c>
      <c r="DF169" s="9">
        <v>565610</v>
      </c>
      <c r="DG169" s="9">
        <v>431.5</v>
      </c>
      <c r="DH169" s="9">
        <v>0</v>
      </c>
      <c r="DI169" s="9">
        <v>0</v>
      </c>
      <c r="DJ169" s="9">
        <v>0</v>
      </c>
      <c r="DK169" s="9">
        <v>5392</v>
      </c>
      <c r="DL169" s="9">
        <v>0</v>
      </c>
      <c r="DM169" s="9">
        <v>1013297</v>
      </c>
      <c r="DN169" s="9">
        <v>0</v>
      </c>
      <c r="DO169" s="9">
        <v>0</v>
      </c>
      <c r="DP169" s="9">
        <v>0</v>
      </c>
      <c r="DQ169" s="9">
        <v>0</v>
      </c>
      <c r="DR169" s="9">
        <v>0</v>
      </c>
      <c r="DS169" s="9">
        <v>0</v>
      </c>
      <c r="DT169" s="9">
        <v>0</v>
      </c>
      <c r="DU169" s="9">
        <v>0</v>
      </c>
      <c r="DV169" s="9">
        <v>0</v>
      </c>
      <c r="DW169" s="9">
        <v>0</v>
      </c>
      <c r="DX169" s="9">
        <v>0</v>
      </c>
      <c r="DY169" s="9">
        <v>0</v>
      </c>
      <c r="DZ169" s="9">
        <v>0</v>
      </c>
      <c r="EA169" s="9">
        <v>8.0000000000000002E-3</v>
      </c>
      <c r="EB169" s="9">
        <v>0</v>
      </c>
      <c r="EC169" s="9">
        <v>42.374000000000002</v>
      </c>
      <c r="ED169" s="9">
        <v>305491</v>
      </c>
      <c r="EE169" s="9">
        <v>0</v>
      </c>
      <c r="EF169" s="9">
        <v>0</v>
      </c>
      <c r="EG169" s="9">
        <v>0</v>
      </c>
      <c r="EH169" s="9">
        <v>707806</v>
      </c>
      <c r="EI169" s="9">
        <v>0</v>
      </c>
      <c r="EJ169" s="9">
        <v>0</v>
      </c>
      <c r="EK169" s="9">
        <v>30.117000000000001</v>
      </c>
      <c r="EL169" s="9">
        <v>0</v>
      </c>
      <c r="EM169" s="9">
        <v>0.49500000000000005</v>
      </c>
      <c r="EN169" s="9">
        <v>3.2240000000000002</v>
      </c>
      <c r="EO169" s="9">
        <v>0</v>
      </c>
      <c r="EP169" s="9">
        <v>0</v>
      </c>
      <c r="EQ169" s="9">
        <v>33.844000000000001</v>
      </c>
      <c r="ER169" s="9">
        <v>0</v>
      </c>
      <c r="ES169" s="9">
        <v>107.99600000000001</v>
      </c>
      <c r="ET169" s="9">
        <v>0</v>
      </c>
      <c r="EU169" s="9">
        <v>515649</v>
      </c>
      <c r="EV169" s="9">
        <v>0</v>
      </c>
      <c r="EW169" s="9">
        <v>0</v>
      </c>
      <c r="EX169" s="9">
        <v>0</v>
      </c>
      <c r="EY169" s="9">
        <v>0</v>
      </c>
      <c r="EZ169" s="9">
        <v>11530215</v>
      </c>
      <c r="FA169" s="9">
        <v>0</v>
      </c>
      <c r="FB169" s="9">
        <v>12045864</v>
      </c>
      <c r="FC169" s="9">
        <v>0.97327799999999998</v>
      </c>
      <c r="FD169" s="9">
        <v>0</v>
      </c>
      <c r="FE169" s="9">
        <v>1771236</v>
      </c>
      <c r="FF169" s="9">
        <v>399145</v>
      </c>
      <c r="FG169" s="9">
        <v>6.1239999999999996E-2</v>
      </c>
      <c r="FH169" s="9">
        <v>5.4803999999999999E-2</v>
      </c>
      <c r="FI169" s="9">
        <v>0</v>
      </c>
      <c r="FJ169" s="9">
        <v>0</v>
      </c>
      <c r="FK169" s="9">
        <v>2279.5350000000003</v>
      </c>
      <c r="FL169" s="9">
        <v>14529739</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215252</v>
      </c>
      <c r="GC169" s="9">
        <v>215252</v>
      </c>
      <c r="GD169" s="9">
        <v>24.327999999999999</v>
      </c>
      <c r="GE169" s="9">
        <v>0</v>
      </c>
      <c r="GF169" s="9">
        <v>0</v>
      </c>
      <c r="GG169" s="9">
        <v>0</v>
      </c>
      <c r="GH169" s="9">
        <v>0</v>
      </c>
      <c r="GI169" s="9">
        <v>0</v>
      </c>
      <c r="GJ169" s="9">
        <v>0</v>
      </c>
      <c r="GK169" s="9">
        <v>0</v>
      </c>
      <c r="GL169" s="9">
        <v>0</v>
      </c>
      <c r="GM169" s="9">
        <v>0</v>
      </c>
      <c r="GN169" s="9">
        <v>0</v>
      </c>
      <c r="GO169" s="9">
        <v>0</v>
      </c>
      <c r="GP169" s="9">
        <v>14216245</v>
      </c>
      <c r="GQ169" s="9">
        <v>14216245</v>
      </c>
      <c r="GR169" s="9">
        <v>0</v>
      </c>
      <c r="GS169" s="9">
        <v>0</v>
      </c>
      <c r="GT169" s="9">
        <v>0</v>
      </c>
      <c r="GU169" s="9">
        <v>0</v>
      </c>
      <c r="GV169" s="9">
        <v>0</v>
      </c>
      <c r="GW169" s="9">
        <v>0</v>
      </c>
      <c r="GX169" s="9">
        <v>0</v>
      </c>
      <c r="GY169" s="9">
        <v>0</v>
      </c>
      <c r="GZ169" s="9">
        <v>0</v>
      </c>
      <c r="HA169" s="9">
        <v>0</v>
      </c>
      <c r="HB169" s="9">
        <v>260786259</v>
      </c>
      <c r="HC169" s="9">
        <v>5.0923999999999997E-2</v>
      </c>
      <c r="HD169" s="9">
        <v>313494</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32469</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row>
    <row r="170" spans="1:292" x14ac:dyDescent="0.25">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9">
        <v>0</v>
      </c>
      <c r="S170" s="9">
        <v>0</v>
      </c>
      <c r="T170" s="9">
        <v>0</v>
      </c>
      <c r="U170" s="9">
        <v>0</v>
      </c>
      <c r="V170" s="9">
        <v>0</v>
      </c>
      <c r="W170" s="9">
        <v>0</v>
      </c>
      <c r="X170" s="9">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9">
        <v>0</v>
      </c>
      <c r="BB170" s="9">
        <v>0</v>
      </c>
      <c r="BC170" s="9">
        <v>0</v>
      </c>
      <c r="BD170" s="9">
        <v>0</v>
      </c>
      <c r="BE170" s="9">
        <v>0</v>
      </c>
      <c r="BF170" s="9">
        <v>0</v>
      </c>
      <c r="BG170" s="9">
        <v>0</v>
      </c>
      <c r="BH170" s="9">
        <v>0</v>
      </c>
      <c r="BI170" s="9">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9">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9">
        <v>0</v>
      </c>
      <c r="EU170" s="9">
        <v>0</v>
      </c>
      <c r="EV170" s="9">
        <v>0</v>
      </c>
      <c r="EW170" s="9">
        <v>0</v>
      </c>
      <c r="EX170" s="9">
        <v>0</v>
      </c>
      <c r="EY170" s="9">
        <v>0</v>
      </c>
      <c r="EZ170" s="9">
        <v>0</v>
      </c>
      <c r="FA170" s="9">
        <v>0</v>
      </c>
      <c r="FB170" s="9">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9">
        <v>0</v>
      </c>
      <c r="GC170" s="9">
        <v>0</v>
      </c>
      <c r="GD170" s="9">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9">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row>
    <row r="171" spans="1:292" ht="13" x14ac:dyDescent="0.3">
      <c r="A171" s="9">
        <v>221801</v>
      </c>
      <c r="B171" s="9">
        <v>32570</v>
      </c>
      <c r="C171" s="9">
        <v>35</v>
      </c>
      <c r="D171" s="9">
        <v>2022</v>
      </c>
      <c r="E171" s="9">
        <v>5392</v>
      </c>
      <c r="F171" s="9">
        <v>0</v>
      </c>
      <c r="G171" s="9">
        <v>12880.678</v>
      </c>
      <c r="H171" s="9">
        <v>12198.816000000001</v>
      </c>
      <c r="I171" s="9">
        <v>12198.816000000001</v>
      </c>
      <c r="J171" s="9">
        <v>12489.932000000001</v>
      </c>
      <c r="K171" s="9">
        <v>0</v>
      </c>
      <c r="L171" s="9">
        <v>6554</v>
      </c>
      <c r="M171" s="9">
        <v>0</v>
      </c>
      <c r="N171" s="9">
        <v>0</v>
      </c>
      <c r="O171" s="9">
        <v>0</v>
      </c>
      <c r="P171" s="9">
        <v>11465.715</v>
      </c>
      <c r="Q171" s="9">
        <v>0</v>
      </c>
      <c r="R171" s="10">
        <v>3665738</v>
      </c>
      <c r="S171" s="9">
        <v>319.71300000000002</v>
      </c>
      <c r="T171" s="9">
        <v>0</v>
      </c>
      <c r="U171" s="10">
        <v>3665738</v>
      </c>
      <c r="V171" s="10">
        <v>1128.932</v>
      </c>
      <c r="W171" s="10">
        <v>739902</v>
      </c>
      <c r="X171" s="10">
        <v>739902</v>
      </c>
      <c r="Y171" s="9">
        <v>0</v>
      </c>
      <c r="Z171" s="9">
        <v>0</v>
      </c>
      <c r="AA171" s="9">
        <v>1</v>
      </c>
      <c r="AB171" s="9">
        <v>1</v>
      </c>
      <c r="AC171" s="9">
        <v>0</v>
      </c>
      <c r="AD171" s="9" t="s">
        <v>314</v>
      </c>
      <c r="AE171" s="9">
        <v>0</v>
      </c>
      <c r="AF171" s="9">
        <v>0</v>
      </c>
      <c r="AG171" s="9">
        <v>0</v>
      </c>
      <c r="AH171" s="9">
        <v>0</v>
      </c>
      <c r="AI171" s="9">
        <v>0</v>
      </c>
      <c r="AJ171" s="9">
        <v>5104</v>
      </c>
      <c r="AK171" s="9" t="s">
        <v>651</v>
      </c>
      <c r="AL171" s="9" t="s">
        <v>363</v>
      </c>
      <c r="AM171" s="9">
        <v>0</v>
      </c>
      <c r="AN171" s="9">
        <v>0</v>
      </c>
      <c r="AO171" s="9">
        <v>0</v>
      </c>
      <c r="AP171" s="9">
        <v>0</v>
      </c>
      <c r="AQ171" s="9">
        <v>0</v>
      </c>
      <c r="AR171" s="9">
        <v>0</v>
      </c>
      <c r="AS171" s="9">
        <v>0</v>
      </c>
      <c r="AT171" s="9">
        <v>0</v>
      </c>
      <c r="AU171" s="9">
        <v>0</v>
      </c>
      <c r="AV171" s="9">
        <v>-108321</v>
      </c>
      <c r="AW171" s="9">
        <v>110684489</v>
      </c>
      <c r="AX171" s="9">
        <v>106821896</v>
      </c>
      <c r="AY171" s="9">
        <v>119215100</v>
      </c>
      <c r="AZ171" s="9">
        <v>4748740</v>
      </c>
      <c r="BA171" s="10">
        <v>557.83299999999997</v>
      </c>
      <c r="BB171" s="9">
        <v>0</v>
      </c>
      <c r="BC171" s="9">
        <v>0</v>
      </c>
      <c r="BD171" s="9">
        <v>0</v>
      </c>
      <c r="BE171" s="9">
        <v>0</v>
      </c>
      <c r="BF171" s="9">
        <v>91010806</v>
      </c>
      <c r="BG171" s="9">
        <v>0</v>
      </c>
      <c r="BH171" s="10">
        <v>2173.66</v>
      </c>
      <c r="BI171" s="10">
        <v>597757</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1269.412</v>
      </c>
      <c r="CB171" s="9">
        <v>485245</v>
      </c>
      <c r="CC171" s="9">
        <v>0</v>
      </c>
      <c r="CD171" s="9">
        <v>0</v>
      </c>
      <c r="CE171" s="9">
        <v>0</v>
      </c>
      <c r="CF171" s="9">
        <v>0</v>
      </c>
      <c r="CG171" s="9">
        <v>0</v>
      </c>
      <c r="CH171" s="10">
        <v>2779591</v>
      </c>
      <c r="CI171" s="9">
        <v>0</v>
      </c>
      <c r="CJ171" s="9">
        <v>4</v>
      </c>
      <c r="CK171" s="9">
        <v>0</v>
      </c>
      <c r="CL171" s="9">
        <v>0</v>
      </c>
      <c r="CM171" s="9">
        <v>0</v>
      </c>
      <c r="CN171" s="9">
        <v>0</v>
      </c>
      <c r="CO171" s="9">
        <v>0</v>
      </c>
      <c r="CP171" s="9">
        <v>0</v>
      </c>
      <c r="CQ171" s="9">
        <v>156.75</v>
      </c>
      <c r="CR171" s="9">
        <v>11465.715</v>
      </c>
      <c r="CS171" s="9">
        <v>0</v>
      </c>
      <c r="CT171" s="9">
        <v>0</v>
      </c>
      <c r="CU171" s="9">
        <v>0</v>
      </c>
      <c r="CV171" s="9">
        <v>0</v>
      </c>
      <c r="CW171" s="9">
        <v>0</v>
      </c>
      <c r="CX171" s="9">
        <v>0</v>
      </c>
      <c r="CY171" s="9">
        <v>0</v>
      </c>
      <c r="CZ171" s="9">
        <v>0</v>
      </c>
      <c r="DA171" s="9">
        <v>1</v>
      </c>
      <c r="DB171" s="9">
        <v>79951040</v>
      </c>
      <c r="DC171" s="9">
        <v>0</v>
      </c>
      <c r="DD171" s="9">
        <v>0</v>
      </c>
      <c r="DE171" s="9">
        <v>6137598</v>
      </c>
      <c r="DF171" s="9">
        <v>6137598</v>
      </c>
      <c r="DG171" s="9">
        <v>4682.33</v>
      </c>
      <c r="DH171" s="9">
        <v>0</v>
      </c>
      <c r="DI171" s="9">
        <v>0</v>
      </c>
      <c r="DJ171" s="9">
        <v>0</v>
      </c>
      <c r="DK171" s="9">
        <v>5392</v>
      </c>
      <c r="DL171" s="9">
        <v>0</v>
      </c>
      <c r="DM171" s="9">
        <v>6072788</v>
      </c>
      <c r="DN171" s="9">
        <v>0</v>
      </c>
      <c r="DO171" s="9">
        <v>3170</v>
      </c>
      <c r="DP171" s="9">
        <v>0</v>
      </c>
      <c r="DQ171" s="9">
        <v>0</v>
      </c>
      <c r="DR171" s="9">
        <v>0</v>
      </c>
      <c r="DS171" s="9">
        <v>0</v>
      </c>
      <c r="DT171" s="9">
        <v>0</v>
      </c>
      <c r="DU171" s="9">
        <v>0</v>
      </c>
      <c r="DV171" s="9">
        <v>0</v>
      </c>
      <c r="DW171" s="9">
        <v>0.129</v>
      </c>
      <c r="DX171" s="9">
        <v>0</v>
      </c>
      <c r="DY171" s="9">
        <v>0</v>
      </c>
      <c r="DZ171" s="9">
        <v>0.64500000000000002</v>
      </c>
      <c r="EA171" s="9">
        <v>0</v>
      </c>
      <c r="EB171" s="9">
        <v>0</v>
      </c>
      <c r="EC171" s="9">
        <v>218.82600000000002</v>
      </c>
      <c r="ED171" s="9">
        <v>1577604</v>
      </c>
      <c r="EE171" s="9">
        <v>0</v>
      </c>
      <c r="EF171" s="9">
        <v>0</v>
      </c>
      <c r="EG171" s="9">
        <v>0</v>
      </c>
      <c r="EH171" s="9">
        <v>4471303</v>
      </c>
      <c r="EI171" s="9">
        <v>20711</v>
      </c>
      <c r="EJ171" s="9">
        <v>0.79</v>
      </c>
      <c r="EK171" s="9">
        <v>200.05700000000002</v>
      </c>
      <c r="EL171" s="9">
        <v>0</v>
      </c>
      <c r="EM171" s="9">
        <v>12.803000000000001</v>
      </c>
      <c r="EN171" s="9">
        <v>8.729000000000001</v>
      </c>
      <c r="EO171" s="9">
        <v>0</v>
      </c>
      <c r="EP171" s="9">
        <v>0</v>
      </c>
      <c r="EQ171" s="9">
        <v>222.37900000000002</v>
      </c>
      <c r="ER171" s="9">
        <v>0</v>
      </c>
      <c r="ES171" s="9">
        <v>682.22500000000002</v>
      </c>
      <c r="ET171" s="10">
        <v>318104</v>
      </c>
      <c r="EU171" s="9">
        <v>4748740</v>
      </c>
      <c r="EV171" s="9">
        <v>0</v>
      </c>
      <c r="EW171" s="9">
        <v>0</v>
      </c>
      <c r="EX171" s="9">
        <v>0</v>
      </c>
      <c r="EY171" s="9">
        <v>0</v>
      </c>
      <c r="EZ171" s="9">
        <v>89843877</v>
      </c>
      <c r="FA171" s="9">
        <v>0</v>
      </c>
      <c r="FB171" s="10">
        <v>94592617</v>
      </c>
      <c r="FC171" s="9">
        <v>0.97327799999999998</v>
      </c>
      <c r="FD171" s="9">
        <v>0</v>
      </c>
      <c r="FE171" s="9">
        <v>13855665</v>
      </c>
      <c r="FF171" s="9">
        <v>3122354</v>
      </c>
      <c r="FG171" s="9">
        <v>6.1239999999999996E-2</v>
      </c>
      <c r="FH171" s="9">
        <v>5.4803999999999999E-2</v>
      </c>
      <c r="FI171" s="9">
        <v>0</v>
      </c>
      <c r="FJ171" s="9">
        <v>0</v>
      </c>
      <c r="FK171" s="9">
        <v>17831.883000000002</v>
      </c>
      <c r="FL171" s="9">
        <v>114350227</v>
      </c>
      <c r="FM171" s="9">
        <v>0</v>
      </c>
      <c r="FN171" s="9">
        <v>0</v>
      </c>
      <c r="FO171" s="9">
        <v>0</v>
      </c>
      <c r="FP171" s="9">
        <v>0</v>
      </c>
      <c r="FQ171" s="9">
        <v>0</v>
      </c>
      <c r="FR171" s="9">
        <v>0</v>
      </c>
      <c r="FS171" s="9">
        <v>0</v>
      </c>
      <c r="FT171" s="9">
        <v>0</v>
      </c>
      <c r="FU171" s="9">
        <v>0</v>
      </c>
      <c r="FV171" s="9">
        <v>0</v>
      </c>
      <c r="FW171" s="9">
        <v>0</v>
      </c>
      <c r="FX171" s="9">
        <v>0</v>
      </c>
      <c r="FY171" s="9">
        <v>0</v>
      </c>
      <c r="FZ171" s="9">
        <v>109</v>
      </c>
      <c r="GA171" s="9">
        <v>2.1840000000000002</v>
      </c>
      <c r="GB171" s="10">
        <v>608287</v>
      </c>
      <c r="GC171" s="10">
        <v>608287</v>
      </c>
      <c r="GD171" s="10">
        <v>68.737000000000009</v>
      </c>
      <c r="GE171" s="9">
        <v>0</v>
      </c>
      <c r="GF171" s="9">
        <v>0</v>
      </c>
      <c r="GG171" s="9">
        <v>0</v>
      </c>
      <c r="GH171" s="9">
        <v>0</v>
      </c>
      <c r="GI171" s="9">
        <v>0</v>
      </c>
      <c r="GJ171" s="9">
        <v>0</v>
      </c>
      <c r="GK171" s="9">
        <v>5176</v>
      </c>
      <c r="GL171" s="9">
        <v>116386</v>
      </c>
      <c r="GM171" s="9">
        <v>0</v>
      </c>
      <c r="GN171" s="9">
        <v>45688</v>
      </c>
      <c r="GO171" s="9">
        <v>0</v>
      </c>
      <c r="GP171" s="9">
        <v>111570636</v>
      </c>
      <c r="GQ171" s="9">
        <v>111570636</v>
      </c>
      <c r="GR171" s="9">
        <v>0</v>
      </c>
      <c r="GS171" s="9">
        <v>0</v>
      </c>
      <c r="GT171" s="9">
        <v>0</v>
      </c>
      <c r="GU171" s="9">
        <v>0</v>
      </c>
      <c r="GV171" s="9">
        <v>0</v>
      </c>
      <c r="GW171" s="9">
        <v>0</v>
      </c>
      <c r="GX171" s="9">
        <v>0</v>
      </c>
      <c r="GY171" s="9">
        <v>0</v>
      </c>
      <c r="GZ171" s="9">
        <v>0</v>
      </c>
      <c r="HA171" s="9">
        <v>0</v>
      </c>
      <c r="HB171" s="9">
        <v>260786259</v>
      </c>
      <c r="HC171" s="9">
        <v>5.0923999999999997E-2</v>
      </c>
      <c r="HD171" s="10">
        <v>2461487</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32469</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row>
    <row r="172" spans="1:292" ht="13" x14ac:dyDescent="0.3">
      <c r="A172" s="9">
        <v>226801</v>
      </c>
      <c r="B172" s="9">
        <v>32570</v>
      </c>
      <c r="C172" s="9">
        <v>35</v>
      </c>
      <c r="D172" s="9">
        <v>2022</v>
      </c>
      <c r="E172" s="9">
        <v>5392</v>
      </c>
      <c r="F172" s="9">
        <v>0</v>
      </c>
      <c r="G172" s="9">
        <v>2797.7350000000001</v>
      </c>
      <c r="H172" s="9">
        <v>2658.3140000000003</v>
      </c>
      <c r="I172" s="9">
        <v>2658.3140000000003</v>
      </c>
      <c r="J172" s="9">
        <v>2797.7350000000001</v>
      </c>
      <c r="K172" s="9">
        <v>0</v>
      </c>
      <c r="L172" s="9">
        <v>6554</v>
      </c>
      <c r="M172" s="9">
        <v>0</v>
      </c>
      <c r="N172" s="9">
        <v>0</v>
      </c>
      <c r="O172" s="9">
        <v>0</v>
      </c>
      <c r="P172" s="9">
        <v>2657.0630000000001</v>
      </c>
      <c r="Q172" s="9">
        <v>0</v>
      </c>
      <c r="R172" s="10">
        <v>849498</v>
      </c>
      <c r="S172" s="9">
        <v>319.71300000000002</v>
      </c>
      <c r="T172" s="9">
        <v>0</v>
      </c>
      <c r="U172" s="10">
        <v>849498</v>
      </c>
      <c r="V172" s="10">
        <v>103.91300000000001</v>
      </c>
      <c r="W172" s="10">
        <v>68105</v>
      </c>
      <c r="X172" s="10">
        <v>68105</v>
      </c>
      <c r="Y172" s="9">
        <v>0</v>
      </c>
      <c r="Z172" s="9">
        <v>0</v>
      </c>
      <c r="AA172" s="9">
        <v>1</v>
      </c>
      <c r="AB172" s="9">
        <v>1</v>
      </c>
      <c r="AC172" s="9">
        <v>0</v>
      </c>
      <c r="AD172" s="9" t="s">
        <v>314</v>
      </c>
      <c r="AE172" s="9">
        <v>0</v>
      </c>
      <c r="AF172" s="9">
        <v>0</v>
      </c>
      <c r="AG172" s="9">
        <v>0</v>
      </c>
      <c r="AH172" s="9">
        <v>0</v>
      </c>
      <c r="AI172" s="9">
        <v>0</v>
      </c>
      <c r="AJ172" s="9">
        <v>5104</v>
      </c>
      <c r="AK172" s="9" t="s">
        <v>651</v>
      </c>
      <c r="AL172" s="9" t="s">
        <v>100</v>
      </c>
      <c r="AM172" s="9">
        <v>0</v>
      </c>
      <c r="AN172" s="9">
        <v>0</v>
      </c>
      <c r="AO172" s="9">
        <v>0</v>
      </c>
      <c r="AP172" s="9">
        <v>0</v>
      </c>
      <c r="AQ172" s="9">
        <v>0</v>
      </c>
      <c r="AR172" s="9">
        <v>0</v>
      </c>
      <c r="AS172" s="9">
        <v>0</v>
      </c>
      <c r="AT172" s="9">
        <v>0</v>
      </c>
      <c r="AU172" s="9">
        <v>0</v>
      </c>
      <c r="AV172" s="9">
        <v>244447</v>
      </c>
      <c r="AW172" s="9">
        <v>25723839</v>
      </c>
      <c r="AX172" s="9">
        <v>25048555</v>
      </c>
      <c r="AY172" s="9">
        <v>26816097</v>
      </c>
      <c r="AZ172" s="9">
        <v>973411</v>
      </c>
      <c r="BA172" s="10">
        <v>0</v>
      </c>
      <c r="BB172" s="9">
        <v>0</v>
      </c>
      <c r="BC172" s="9">
        <v>0</v>
      </c>
      <c r="BD172" s="9">
        <v>0</v>
      </c>
      <c r="BE172" s="9">
        <v>0</v>
      </c>
      <c r="BF172" s="9">
        <v>21294890</v>
      </c>
      <c r="BG172" s="9">
        <v>0</v>
      </c>
      <c r="BH172" s="10">
        <v>450.59300000000002</v>
      </c>
      <c r="BI172" s="10">
        <v>123913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10">
        <v>551371</v>
      </c>
      <c r="CI172" s="9">
        <v>0</v>
      </c>
      <c r="CJ172" s="9">
        <v>4</v>
      </c>
      <c r="CK172" s="9">
        <v>0</v>
      </c>
      <c r="CL172" s="9">
        <v>0</v>
      </c>
      <c r="CM172" s="9">
        <v>0</v>
      </c>
      <c r="CN172" s="9">
        <v>0</v>
      </c>
      <c r="CO172" s="9">
        <v>0</v>
      </c>
      <c r="CP172" s="9">
        <v>0</v>
      </c>
      <c r="CQ172" s="9">
        <v>0</v>
      </c>
      <c r="CR172" s="9">
        <v>2657.0630000000001</v>
      </c>
      <c r="CS172" s="9">
        <v>0</v>
      </c>
      <c r="CT172" s="9">
        <v>0</v>
      </c>
      <c r="CU172" s="9">
        <v>0</v>
      </c>
      <c r="CV172" s="9">
        <v>0</v>
      </c>
      <c r="CW172" s="9">
        <v>0</v>
      </c>
      <c r="CX172" s="9">
        <v>0</v>
      </c>
      <c r="CY172" s="9">
        <v>0</v>
      </c>
      <c r="CZ172" s="9">
        <v>0</v>
      </c>
      <c r="DA172" s="9">
        <v>1</v>
      </c>
      <c r="DB172" s="9">
        <v>17422590</v>
      </c>
      <c r="DC172" s="9">
        <v>0</v>
      </c>
      <c r="DD172" s="9">
        <v>0</v>
      </c>
      <c r="DE172" s="9">
        <v>1902403</v>
      </c>
      <c r="DF172" s="9">
        <v>1902403</v>
      </c>
      <c r="DG172" s="9">
        <v>1451.33</v>
      </c>
      <c r="DH172" s="9">
        <v>0</v>
      </c>
      <c r="DI172" s="9">
        <v>0</v>
      </c>
      <c r="DJ172" s="9">
        <v>0</v>
      </c>
      <c r="DK172" s="9">
        <v>5392</v>
      </c>
      <c r="DL172" s="9">
        <v>0</v>
      </c>
      <c r="DM172" s="9">
        <v>1864527</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58.527000000000001</v>
      </c>
      <c r="ED172" s="9">
        <v>421945</v>
      </c>
      <c r="EE172" s="9">
        <v>0</v>
      </c>
      <c r="EF172" s="9">
        <v>0</v>
      </c>
      <c r="EG172" s="9">
        <v>0</v>
      </c>
      <c r="EH172" s="9">
        <v>1317741</v>
      </c>
      <c r="EI172" s="9">
        <v>124841</v>
      </c>
      <c r="EJ172" s="9">
        <v>4.7620000000000005</v>
      </c>
      <c r="EK172" s="9">
        <v>54.539000000000001</v>
      </c>
      <c r="EL172" s="9">
        <v>0</v>
      </c>
      <c r="EM172" s="9">
        <v>5.8890000000000002</v>
      </c>
      <c r="EN172" s="9">
        <v>3.9550000000000001</v>
      </c>
      <c r="EO172" s="9">
        <v>0</v>
      </c>
      <c r="EP172" s="9">
        <v>0</v>
      </c>
      <c r="EQ172" s="9">
        <v>69.14500000000001</v>
      </c>
      <c r="ER172" s="9">
        <v>0</v>
      </c>
      <c r="ES172" s="9">
        <v>201.059</v>
      </c>
      <c r="ET172" s="10">
        <v>0</v>
      </c>
      <c r="EU172" s="9">
        <v>973411</v>
      </c>
      <c r="EV172" s="9">
        <v>0</v>
      </c>
      <c r="EW172" s="9">
        <v>0</v>
      </c>
      <c r="EX172" s="9">
        <v>0</v>
      </c>
      <c r="EY172" s="9">
        <v>0</v>
      </c>
      <c r="EZ172" s="9">
        <v>21076004</v>
      </c>
      <c r="FA172" s="9">
        <v>0</v>
      </c>
      <c r="FB172" s="10">
        <v>22049415</v>
      </c>
      <c r="FC172" s="9">
        <v>0.97327799999999998</v>
      </c>
      <c r="FD172" s="9">
        <v>0</v>
      </c>
      <c r="FE172" s="9">
        <v>3241976</v>
      </c>
      <c r="FF172" s="9">
        <v>730575</v>
      </c>
      <c r="FG172" s="9">
        <v>6.1239999999999996E-2</v>
      </c>
      <c r="FH172" s="9">
        <v>5.4803999999999999E-2</v>
      </c>
      <c r="FI172" s="9">
        <v>0</v>
      </c>
      <c r="FJ172" s="9">
        <v>0</v>
      </c>
      <c r="FK172" s="9">
        <v>4172.34</v>
      </c>
      <c r="FL172" s="9">
        <v>26573337</v>
      </c>
      <c r="FM172" s="9">
        <v>0</v>
      </c>
      <c r="FN172" s="9">
        <v>0</v>
      </c>
      <c r="FO172" s="9">
        <v>45936</v>
      </c>
      <c r="FP172" s="9">
        <v>0</v>
      </c>
      <c r="FQ172" s="9">
        <v>45936</v>
      </c>
      <c r="FR172" s="9">
        <v>45936</v>
      </c>
      <c r="FS172" s="9">
        <v>0</v>
      </c>
      <c r="FT172" s="9">
        <v>0</v>
      </c>
      <c r="FU172" s="9">
        <v>0</v>
      </c>
      <c r="FV172" s="9">
        <v>0</v>
      </c>
      <c r="FW172" s="9">
        <v>0</v>
      </c>
      <c r="FX172" s="9">
        <v>0</v>
      </c>
      <c r="FY172" s="9">
        <v>0</v>
      </c>
      <c r="FZ172" s="9">
        <v>146</v>
      </c>
      <c r="GA172" s="9">
        <v>2.915</v>
      </c>
      <c r="GB172" s="10">
        <v>621941</v>
      </c>
      <c r="GC172" s="10">
        <v>621941</v>
      </c>
      <c r="GD172" s="10">
        <v>70.27600000000001</v>
      </c>
      <c r="GE172" s="9">
        <v>0</v>
      </c>
      <c r="GF172" s="9">
        <v>0</v>
      </c>
      <c r="GG172" s="9">
        <v>0</v>
      </c>
      <c r="GH172" s="9">
        <v>0</v>
      </c>
      <c r="GI172" s="9">
        <v>0</v>
      </c>
      <c r="GJ172" s="9">
        <v>0</v>
      </c>
      <c r="GK172" s="9">
        <v>4998</v>
      </c>
      <c r="GL172" s="9">
        <v>0</v>
      </c>
      <c r="GM172" s="9">
        <v>0</v>
      </c>
      <c r="GN172" s="9">
        <v>0</v>
      </c>
      <c r="GO172" s="9">
        <v>0</v>
      </c>
      <c r="GP172" s="9">
        <v>26021966</v>
      </c>
      <c r="GQ172" s="9">
        <v>26021966</v>
      </c>
      <c r="GR172" s="9">
        <v>0</v>
      </c>
      <c r="GS172" s="9">
        <v>0</v>
      </c>
      <c r="GT172" s="9">
        <v>0</v>
      </c>
      <c r="GU172" s="9">
        <v>0</v>
      </c>
      <c r="GV172" s="9">
        <v>0</v>
      </c>
      <c r="GW172" s="9">
        <v>0</v>
      </c>
      <c r="GX172" s="9">
        <v>0</v>
      </c>
      <c r="GY172" s="9">
        <v>0</v>
      </c>
      <c r="GZ172" s="9">
        <v>0</v>
      </c>
      <c r="HA172" s="9">
        <v>0</v>
      </c>
      <c r="HB172" s="9">
        <v>260786259</v>
      </c>
      <c r="HC172" s="9">
        <v>5.0923999999999997E-2</v>
      </c>
      <c r="HD172" s="10">
        <v>551371</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32469</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row>
    <row r="173" spans="1:292" x14ac:dyDescent="0.25">
      <c r="A173" s="9">
        <v>227803</v>
      </c>
      <c r="B173" s="9">
        <v>32570</v>
      </c>
      <c r="C173" s="9">
        <v>35</v>
      </c>
      <c r="D173" s="9">
        <v>2022</v>
      </c>
      <c r="E173" s="9">
        <v>5392</v>
      </c>
      <c r="F173" s="9">
        <v>0</v>
      </c>
      <c r="G173" s="9">
        <v>1781.1390000000001</v>
      </c>
      <c r="H173" s="9">
        <v>1675.7180000000001</v>
      </c>
      <c r="I173" s="9">
        <v>1675.7180000000001</v>
      </c>
      <c r="J173" s="9">
        <v>1781.1390000000001</v>
      </c>
      <c r="K173" s="9">
        <v>0</v>
      </c>
      <c r="L173" s="9">
        <v>6554</v>
      </c>
      <c r="M173" s="9">
        <v>0</v>
      </c>
      <c r="N173" s="9">
        <v>0</v>
      </c>
      <c r="O173" s="9">
        <v>0</v>
      </c>
      <c r="P173" s="9">
        <v>1817.575</v>
      </c>
      <c r="Q173" s="9">
        <v>0</v>
      </c>
      <c r="R173" s="9">
        <v>581102</v>
      </c>
      <c r="S173" s="9">
        <v>319.71300000000002</v>
      </c>
      <c r="T173" s="9">
        <v>0</v>
      </c>
      <c r="U173" s="9">
        <v>581102</v>
      </c>
      <c r="V173" s="9">
        <v>689.61800000000005</v>
      </c>
      <c r="W173" s="9">
        <v>451976</v>
      </c>
      <c r="X173" s="9">
        <v>451976</v>
      </c>
      <c r="Y173" s="9">
        <v>0</v>
      </c>
      <c r="Z173" s="9">
        <v>0</v>
      </c>
      <c r="AA173" s="9">
        <v>1</v>
      </c>
      <c r="AB173" s="9">
        <v>1</v>
      </c>
      <c r="AC173" s="9">
        <v>0</v>
      </c>
      <c r="AD173" s="9" t="s">
        <v>314</v>
      </c>
      <c r="AE173" s="9">
        <v>0</v>
      </c>
      <c r="AF173" s="9">
        <v>0</v>
      </c>
      <c r="AG173" s="9">
        <v>0</v>
      </c>
      <c r="AH173" s="9">
        <v>0</v>
      </c>
      <c r="AI173" s="9">
        <v>0</v>
      </c>
      <c r="AJ173" s="9">
        <v>5104</v>
      </c>
      <c r="AK173" s="9" t="s">
        <v>651</v>
      </c>
      <c r="AL173" s="9" t="s">
        <v>364</v>
      </c>
      <c r="AM173" s="9">
        <v>0</v>
      </c>
      <c r="AN173" s="9">
        <v>0</v>
      </c>
      <c r="AO173" s="9">
        <v>0</v>
      </c>
      <c r="AP173" s="9">
        <v>0</v>
      </c>
      <c r="AQ173" s="9">
        <v>0</v>
      </c>
      <c r="AR173" s="9">
        <v>0</v>
      </c>
      <c r="AS173" s="9">
        <v>0</v>
      </c>
      <c r="AT173" s="9">
        <v>0</v>
      </c>
      <c r="AU173" s="9">
        <v>0</v>
      </c>
      <c r="AV173" s="9">
        <v>186042</v>
      </c>
      <c r="AW173" s="9">
        <v>17750272</v>
      </c>
      <c r="AX173" s="9">
        <v>17270449</v>
      </c>
      <c r="AY173" s="9">
        <v>18800295</v>
      </c>
      <c r="AZ173" s="9">
        <v>673485</v>
      </c>
      <c r="BA173" s="9">
        <v>71.832999999999998</v>
      </c>
      <c r="BB173" s="9">
        <v>0</v>
      </c>
      <c r="BC173" s="9">
        <v>0</v>
      </c>
      <c r="BD173" s="9">
        <v>0</v>
      </c>
      <c r="BE173" s="9">
        <v>0</v>
      </c>
      <c r="BF173" s="9">
        <v>14704668</v>
      </c>
      <c r="BG173" s="9">
        <v>0</v>
      </c>
      <c r="BH173" s="9">
        <v>240.79600000000002</v>
      </c>
      <c r="BI173" s="9">
        <v>66219</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68.445999999999998</v>
      </c>
      <c r="CB173" s="9">
        <v>26164</v>
      </c>
      <c r="CC173" s="9">
        <v>0</v>
      </c>
      <c r="CD173" s="9">
        <v>0</v>
      </c>
      <c r="CE173" s="9">
        <v>0</v>
      </c>
      <c r="CF173" s="9">
        <v>0</v>
      </c>
      <c r="CG173" s="9">
        <v>0</v>
      </c>
      <c r="CH173" s="9">
        <v>387440</v>
      </c>
      <c r="CI173" s="9">
        <v>0</v>
      </c>
      <c r="CJ173" s="9">
        <v>4</v>
      </c>
      <c r="CK173" s="9">
        <v>0</v>
      </c>
      <c r="CL173" s="9">
        <v>0</v>
      </c>
      <c r="CM173" s="9">
        <v>0</v>
      </c>
      <c r="CN173" s="9">
        <v>0</v>
      </c>
      <c r="CO173" s="9">
        <v>0</v>
      </c>
      <c r="CP173" s="9">
        <v>0</v>
      </c>
      <c r="CQ173" s="9">
        <v>2</v>
      </c>
      <c r="CR173" s="9">
        <v>1817.575</v>
      </c>
      <c r="CS173" s="9">
        <v>0</v>
      </c>
      <c r="CT173" s="9">
        <v>0</v>
      </c>
      <c r="CU173" s="9">
        <v>0</v>
      </c>
      <c r="CV173" s="9">
        <v>0</v>
      </c>
      <c r="CW173" s="9">
        <v>0</v>
      </c>
      <c r="CX173" s="9">
        <v>0</v>
      </c>
      <c r="CY173" s="9">
        <v>0</v>
      </c>
      <c r="CZ173" s="9">
        <v>0</v>
      </c>
      <c r="DA173" s="9">
        <v>1</v>
      </c>
      <c r="DB173" s="9">
        <v>10982656</v>
      </c>
      <c r="DC173" s="9">
        <v>0</v>
      </c>
      <c r="DD173" s="9">
        <v>0</v>
      </c>
      <c r="DE173" s="9">
        <v>1897816</v>
      </c>
      <c r="DF173" s="9">
        <v>1897816</v>
      </c>
      <c r="DG173" s="9">
        <v>1447.83</v>
      </c>
      <c r="DH173" s="9">
        <v>0</v>
      </c>
      <c r="DI173" s="9">
        <v>0</v>
      </c>
      <c r="DJ173" s="9">
        <v>0</v>
      </c>
      <c r="DK173" s="9">
        <v>5392</v>
      </c>
      <c r="DL173" s="9">
        <v>0</v>
      </c>
      <c r="DM173" s="9">
        <v>1347864</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26.672000000000001</v>
      </c>
      <c r="ED173" s="9">
        <v>192289</v>
      </c>
      <c r="EE173" s="9">
        <v>0</v>
      </c>
      <c r="EF173" s="9">
        <v>0</v>
      </c>
      <c r="EG173" s="9">
        <v>0</v>
      </c>
      <c r="EH173" s="9">
        <v>1155575</v>
      </c>
      <c r="EI173" s="9">
        <v>0</v>
      </c>
      <c r="EJ173" s="9">
        <v>0</v>
      </c>
      <c r="EK173" s="9">
        <v>44.006</v>
      </c>
      <c r="EL173" s="9">
        <v>0</v>
      </c>
      <c r="EM173" s="9">
        <v>10.436</v>
      </c>
      <c r="EN173" s="9">
        <v>2.5980000000000003</v>
      </c>
      <c r="EO173" s="9">
        <v>0</v>
      </c>
      <c r="EP173" s="9">
        <v>0</v>
      </c>
      <c r="EQ173" s="9">
        <v>57.04</v>
      </c>
      <c r="ER173" s="9">
        <v>0</v>
      </c>
      <c r="ES173" s="9">
        <v>176.316</v>
      </c>
      <c r="ET173" s="9">
        <v>36417</v>
      </c>
      <c r="EU173" s="9">
        <v>673485</v>
      </c>
      <c r="EV173" s="9">
        <v>0</v>
      </c>
      <c r="EW173" s="9">
        <v>0</v>
      </c>
      <c r="EX173" s="9">
        <v>0</v>
      </c>
      <c r="EY173" s="9">
        <v>0</v>
      </c>
      <c r="EZ173" s="9">
        <v>14527300</v>
      </c>
      <c r="FA173" s="9">
        <v>0</v>
      </c>
      <c r="FB173" s="9">
        <v>15200785</v>
      </c>
      <c r="FC173" s="9">
        <v>0.97327799999999998</v>
      </c>
      <c r="FD173" s="9">
        <v>0</v>
      </c>
      <c r="FE173" s="9">
        <v>2238668</v>
      </c>
      <c r="FF173" s="9">
        <v>504481</v>
      </c>
      <c r="FG173" s="9">
        <v>6.1239999999999996E-2</v>
      </c>
      <c r="FH173" s="9">
        <v>5.4803999999999999E-2</v>
      </c>
      <c r="FI173" s="9">
        <v>0</v>
      </c>
      <c r="FJ173" s="9">
        <v>0</v>
      </c>
      <c r="FK173" s="9">
        <v>2881.1080000000002</v>
      </c>
      <c r="FL173" s="9">
        <v>18331374</v>
      </c>
      <c r="FM173" s="9">
        <v>0</v>
      </c>
      <c r="FN173" s="9">
        <v>0</v>
      </c>
      <c r="FO173" s="9">
        <v>0</v>
      </c>
      <c r="FP173" s="9">
        <v>0</v>
      </c>
      <c r="FQ173" s="9">
        <v>0</v>
      </c>
      <c r="FR173" s="9">
        <v>0</v>
      </c>
      <c r="FS173" s="9">
        <v>0</v>
      </c>
      <c r="FT173" s="9">
        <v>0</v>
      </c>
      <c r="FU173" s="9">
        <v>0</v>
      </c>
      <c r="FV173" s="9">
        <v>0</v>
      </c>
      <c r="FW173" s="9">
        <v>0</v>
      </c>
      <c r="FX173" s="9">
        <v>0</v>
      </c>
      <c r="FY173" s="9">
        <v>0</v>
      </c>
      <c r="FZ173" s="9">
        <v>20</v>
      </c>
      <c r="GA173" s="9">
        <v>0.39</v>
      </c>
      <c r="GB173" s="9">
        <v>428090</v>
      </c>
      <c r="GC173" s="9">
        <v>428090</v>
      </c>
      <c r="GD173" s="9">
        <v>48.381</v>
      </c>
      <c r="GE173" s="9">
        <v>0</v>
      </c>
      <c r="GF173" s="9">
        <v>0</v>
      </c>
      <c r="GG173" s="9">
        <v>0</v>
      </c>
      <c r="GH173" s="9">
        <v>0</v>
      </c>
      <c r="GI173" s="9">
        <v>0</v>
      </c>
      <c r="GJ173" s="9">
        <v>0</v>
      </c>
      <c r="GK173" s="9">
        <v>5240</v>
      </c>
      <c r="GL173" s="9">
        <v>5584</v>
      </c>
      <c r="GM173" s="9">
        <v>0</v>
      </c>
      <c r="GN173" s="9">
        <v>0</v>
      </c>
      <c r="GO173" s="9">
        <v>0</v>
      </c>
      <c r="GP173" s="9">
        <v>17943934</v>
      </c>
      <c r="GQ173" s="9">
        <v>17943934</v>
      </c>
      <c r="GR173" s="9">
        <v>0</v>
      </c>
      <c r="GS173" s="9">
        <v>0</v>
      </c>
      <c r="GT173" s="9">
        <v>0</v>
      </c>
      <c r="GU173" s="9">
        <v>0</v>
      </c>
      <c r="GV173" s="9">
        <v>0</v>
      </c>
      <c r="GW173" s="9">
        <v>0</v>
      </c>
      <c r="GX173" s="9">
        <v>0</v>
      </c>
      <c r="GY173" s="9">
        <v>0</v>
      </c>
      <c r="GZ173" s="9">
        <v>0</v>
      </c>
      <c r="HA173" s="9">
        <v>0</v>
      </c>
      <c r="HB173" s="9">
        <v>260786259</v>
      </c>
      <c r="HC173" s="9">
        <v>5.0923999999999997E-2</v>
      </c>
      <c r="HD173" s="9">
        <v>351023</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32469</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row>
    <row r="174" spans="1:292" x14ac:dyDescent="0.25">
      <c r="A174" s="9">
        <v>227804</v>
      </c>
      <c r="B174" s="9">
        <v>32570</v>
      </c>
      <c r="C174" s="9">
        <v>35</v>
      </c>
      <c r="D174" s="9">
        <v>2022</v>
      </c>
      <c r="E174" s="9">
        <v>5392</v>
      </c>
      <c r="F174" s="9">
        <v>0</v>
      </c>
      <c r="G174" s="9">
        <v>976.11900000000003</v>
      </c>
      <c r="H174" s="9">
        <v>924.12100000000009</v>
      </c>
      <c r="I174" s="9">
        <v>924.12100000000009</v>
      </c>
      <c r="J174" s="9">
        <v>976.11900000000003</v>
      </c>
      <c r="K174" s="9">
        <v>0</v>
      </c>
      <c r="L174" s="9">
        <v>6554</v>
      </c>
      <c r="M174" s="9">
        <v>0</v>
      </c>
      <c r="N174" s="9">
        <v>0</v>
      </c>
      <c r="O174" s="9">
        <v>0</v>
      </c>
      <c r="P174" s="9">
        <v>938.91200000000003</v>
      </c>
      <c r="Q174" s="9">
        <v>0</v>
      </c>
      <c r="R174" s="9">
        <v>300182</v>
      </c>
      <c r="S174" s="9">
        <v>319.71300000000002</v>
      </c>
      <c r="T174" s="9">
        <v>0</v>
      </c>
      <c r="U174" s="9">
        <v>300182</v>
      </c>
      <c r="V174" s="9">
        <v>198.64100000000002</v>
      </c>
      <c r="W174" s="9">
        <v>130189</v>
      </c>
      <c r="X174" s="9">
        <v>130189</v>
      </c>
      <c r="Y174" s="9">
        <v>0</v>
      </c>
      <c r="Z174" s="9">
        <v>0</v>
      </c>
      <c r="AA174" s="9">
        <v>1</v>
      </c>
      <c r="AB174" s="9">
        <v>1</v>
      </c>
      <c r="AC174" s="9">
        <v>0</v>
      </c>
      <c r="AD174" s="9" t="s">
        <v>314</v>
      </c>
      <c r="AE174" s="9">
        <v>0</v>
      </c>
      <c r="AF174" s="9">
        <v>0</v>
      </c>
      <c r="AG174" s="9">
        <v>0</v>
      </c>
      <c r="AH174" s="9">
        <v>0</v>
      </c>
      <c r="AI174" s="9">
        <v>0</v>
      </c>
      <c r="AJ174" s="9">
        <v>5104</v>
      </c>
      <c r="AK174" s="9" t="s">
        <v>651</v>
      </c>
      <c r="AL174" s="9" t="s">
        <v>78</v>
      </c>
      <c r="AM174" s="9">
        <v>0</v>
      </c>
      <c r="AN174" s="9">
        <v>0</v>
      </c>
      <c r="AO174" s="9">
        <v>0</v>
      </c>
      <c r="AP174" s="9">
        <v>0</v>
      </c>
      <c r="AQ174" s="9">
        <v>0</v>
      </c>
      <c r="AR174" s="9">
        <v>0</v>
      </c>
      <c r="AS174" s="9">
        <v>0</v>
      </c>
      <c r="AT174" s="9">
        <v>0</v>
      </c>
      <c r="AU174" s="9">
        <v>0</v>
      </c>
      <c r="AV174" s="9">
        <v>14140</v>
      </c>
      <c r="AW174" s="9">
        <v>9019786</v>
      </c>
      <c r="AX174" s="9">
        <v>8754101</v>
      </c>
      <c r="AY174" s="9">
        <v>9375307</v>
      </c>
      <c r="AZ174" s="9">
        <v>373496</v>
      </c>
      <c r="BA174" s="9">
        <v>0</v>
      </c>
      <c r="BB174" s="9">
        <v>9403</v>
      </c>
      <c r="BC174" s="9">
        <v>9403</v>
      </c>
      <c r="BD174" s="9">
        <v>11.956000000000001</v>
      </c>
      <c r="BE174" s="9">
        <v>0</v>
      </c>
      <c r="BF174" s="9">
        <v>7458189</v>
      </c>
      <c r="BG174" s="9">
        <v>0</v>
      </c>
      <c r="BH174" s="9">
        <v>266.59800000000001</v>
      </c>
      <c r="BI174" s="9">
        <v>73314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192371</v>
      </c>
      <c r="CI174" s="9">
        <v>0</v>
      </c>
      <c r="CJ174" s="9">
        <v>4</v>
      </c>
      <c r="CK174" s="9">
        <v>0</v>
      </c>
      <c r="CL174" s="9">
        <v>0</v>
      </c>
      <c r="CM174" s="9">
        <v>0</v>
      </c>
      <c r="CN174" s="9">
        <v>0</v>
      </c>
      <c r="CO174" s="9">
        <v>0</v>
      </c>
      <c r="CP174" s="9">
        <v>0</v>
      </c>
      <c r="CQ174" s="9">
        <v>0</v>
      </c>
      <c r="CR174" s="9">
        <v>938.91200000000003</v>
      </c>
      <c r="CS174" s="9">
        <v>0</v>
      </c>
      <c r="CT174" s="9">
        <v>0</v>
      </c>
      <c r="CU174" s="9">
        <v>0</v>
      </c>
      <c r="CV174" s="9">
        <v>0</v>
      </c>
      <c r="CW174" s="9">
        <v>0</v>
      </c>
      <c r="CX174" s="9">
        <v>0</v>
      </c>
      <c r="CY174" s="9">
        <v>0</v>
      </c>
      <c r="CZ174" s="9">
        <v>0</v>
      </c>
      <c r="DA174" s="9">
        <v>1</v>
      </c>
      <c r="DB174" s="9">
        <v>6056689</v>
      </c>
      <c r="DC174" s="9">
        <v>0</v>
      </c>
      <c r="DD174" s="9">
        <v>0</v>
      </c>
      <c r="DE174" s="9">
        <v>488050</v>
      </c>
      <c r="DF174" s="9">
        <v>488050</v>
      </c>
      <c r="DG174" s="9">
        <v>372.33</v>
      </c>
      <c r="DH174" s="9">
        <v>0</v>
      </c>
      <c r="DI174" s="9">
        <v>0</v>
      </c>
      <c r="DJ174" s="9">
        <v>0</v>
      </c>
      <c r="DK174" s="9">
        <v>5392</v>
      </c>
      <c r="DL174" s="9">
        <v>0</v>
      </c>
      <c r="DM174" s="9">
        <v>713321</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36.286000000000001</v>
      </c>
      <c r="ED174" s="9">
        <v>261600</v>
      </c>
      <c r="EE174" s="9">
        <v>0</v>
      </c>
      <c r="EF174" s="9">
        <v>0</v>
      </c>
      <c r="EG174" s="9">
        <v>0</v>
      </c>
      <c r="EH174" s="9">
        <v>451721</v>
      </c>
      <c r="EI174" s="9">
        <v>0</v>
      </c>
      <c r="EJ174" s="9">
        <v>0</v>
      </c>
      <c r="EK174" s="9">
        <v>18.775000000000002</v>
      </c>
      <c r="EL174" s="9">
        <v>0</v>
      </c>
      <c r="EM174" s="9">
        <v>1.881</v>
      </c>
      <c r="EN174" s="9">
        <v>1.391</v>
      </c>
      <c r="EO174" s="9">
        <v>0</v>
      </c>
      <c r="EP174" s="9">
        <v>0</v>
      </c>
      <c r="EQ174" s="9">
        <v>22.047000000000001</v>
      </c>
      <c r="ER174" s="9">
        <v>0</v>
      </c>
      <c r="ES174" s="9">
        <v>68.923000000000002</v>
      </c>
      <c r="ET174" s="9">
        <v>0</v>
      </c>
      <c r="EU174" s="9">
        <v>373496</v>
      </c>
      <c r="EV174" s="9">
        <v>0</v>
      </c>
      <c r="EW174" s="9">
        <v>0</v>
      </c>
      <c r="EX174" s="9">
        <v>0</v>
      </c>
      <c r="EY174" s="9">
        <v>0</v>
      </c>
      <c r="EZ174" s="9">
        <v>7362780</v>
      </c>
      <c r="FA174" s="9">
        <v>0</v>
      </c>
      <c r="FB174" s="9">
        <v>7736276</v>
      </c>
      <c r="FC174" s="9">
        <v>0.97327799999999998</v>
      </c>
      <c r="FD174" s="9">
        <v>0</v>
      </c>
      <c r="FE174" s="9">
        <v>1135449</v>
      </c>
      <c r="FF174" s="9">
        <v>255872</v>
      </c>
      <c r="FG174" s="9">
        <v>6.1239999999999996E-2</v>
      </c>
      <c r="FH174" s="9">
        <v>5.4803999999999999E-2</v>
      </c>
      <c r="FI174" s="9">
        <v>0</v>
      </c>
      <c r="FJ174" s="9">
        <v>0</v>
      </c>
      <c r="FK174" s="9">
        <v>1461.2940000000001</v>
      </c>
      <c r="FL174" s="9">
        <v>9319968</v>
      </c>
      <c r="FM174" s="9">
        <v>0</v>
      </c>
      <c r="FN174" s="9">
        <v>0</v>
      </c>
      <c r="FO174" s="9">
        <v>0</v>
      </c>
      <c r="FP174" s="9">
        <v>0</v>
      </c>
      <c r="FQ174" s="9">
        <v>0</v>
      </c>
      <c r="FR174" s="9">
        <v>0</v>
      </c>
      <c r="FS174" s="9">
        <v>0</v>
      </c>
      <c r="FT174" s="9">
        <v>0</v>
      </c>
      <c r="FU174" s="9">
        <v>0</v>
      </c>
      <c r="FV174" s="9">
        <v>0</v>
      </c>
      <c r="FW174" s="9">
        <v>0</v>
      </c>
      <c r="FX174" s="9">
        <v>0</v>
      </c>
      <c r="FY174" s="9">
        <v>0</v>
      </c>
      <c r="FZ174" s="9">
        <v>307</v>
      </c>
      <c r="GA174" s="9">
        <v>6.133</v>
      </c>
      <c r="GB174" s="9">
        <v>265310</v>
      </c>
      <c r="GC174" s="9">
        <v>265310</v>
      </c>
      <c r="GD174" s="9">
        <v>29.951000000000001</v>
      </c>
      <c r="GE174" s="9">
        <v>0</v>
      </c>
      <c r="GF174" s="9">
        <v>0</v>
      </c>
      <c r="GG174" s="9">
        <v>0</v>
      </c>
      <c r="GH174" s="9">
        <v>0</v>
      </c>
      <c r="GI174" s="9">
        <v>0</v>
      </c>
      <c r="GJ174" s="9">
        <v>0</v>
      </c>
      <c r="GK174" s="9">
        <v>5205</v>
      </c>
      <c r="GL174" s="9">
        <v>20185</v>
      </c>
      <c r="GM174" s="9">
        <v>0</v>
      </c>
      <c r="GN174" s="9">
        <v>0</v>
      </c>
      <c r="GO174" s="9">
        <v>0</v>
      </c>
      <c r="GP174" s="9">
        <v>9127597</v>
      </c>
      <c r="GQ174" s="9">
        <v>9127597</v>
      </c>
      <c r="GR174" s="9">
        <v>0</v>
      </c>
      <c r="GS174" s="9">
        <v>0</v>
      </c>
      <c r="GT174" s="9">
        <v>0</v>
      </c>
      <c r="GU174" s="9">
        <v>0</v>
      </c>
      <c r="GV174" s="9">
        <v>0</v>
      </c>
      <c r="GW174" s="9">
        <v>0</v>
      </c>
      <c r="GX174" s="9">
        <v>0</v>
      </c>
      <c r="GY174" s="9">
        <v>0</v>
      </c>
      <c r="GZ174" s="9">
        <v>0</v>
      </c>
      <c r="HA174" s="9">
        <v>0</v>
      </c>
      <c r="HB174" s="9">
        <v>260786259</v>
      </c>
      <c r="HC174" s="9">
        <v>5.0923999999999997E-2</v>
      </c>
      <c r="HD174" s="9">
        <v>192371</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32469</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row>
    <row r="175" spans="1:292" x14ac:dyDescent="0.25">
      <c r="A175" s="9">
        <v>227805</v>
      </c>
      <c r="B175" s="9">
        <v>32570</v>
      </c>
      <c r="C175" s="9">
        <v>35</v>
      </c>
      <c r="D175" s="9">
        <v>2022</v>
      </c>
      <c r="E175" s="9">
        <v>5392</v>
      </c>
      <c r="F175" s="9">
        <v>0</v>
      </c>
      <c r="G175" s="9">
        <v>333.36900000000003</v>
      </c>
      <c r="H175" s="9">
        <v>327.46300000000002</v>
      </c>
      <c r="I175" s="9">
        <v>327.46300000000002</v>
      </c>
      <c r="J175" s="9">
        <v>333.36900000000003</v>
      </c>
      <c r="K175" s="9">
        <v>0</v>
      </c>
      <c r="L175" s="9">
        <v>6554</v>
      </c>
      <c r="M175" s="9">
        <v>0</v>
      </c>
      <c r="N175" s="9">
        <v>0</v>
      </c>
      <c r="O175" s="9">
        <v>0</v>
      </c>
      <c r="P175" s="9">
        <v>310.06600000000003</v>
      </c>
      <c r="Q175" s="9">
        <v>0</v>
      </c>
      <c r="R175" s="9">
        <v>99132</v>
      </c>
      <c r="S175" s="9">
        <v>319.71300000000002</v>
      </c>
      <c r="T175" s="9">
        <v>0</v>
      </c>
      <c r="U175" s="9">
        <v>99132</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651</v>
      </c>
      <c r="AL175" s="9" t="s">
        <v>79</v>
      </c>
      <c r="AM175" s="9">
        <v>0</v>
      </c>
      <c r="AN175" s="9">
        <v>0</v>
      </c>
      <c r="AO175" s="9">
        <v>0</v>
      </c>
      <c r="AP175" s="9">
        <v>0</v>
      </c>
      <c r="AQ175" s="9">
        <v>0</v>
      </c>
      <c r="AR175" s="9">
        <v>0</v>
      </c>
      <c r="AS175" s="9">
        <v>0</v>
      </c>
      <c r="AT175" s="9">
        <v>0</v>
      </c>
      <c r="AU175" s="9">
        <v>0</v>
      </c>
      <c r="AV175" s="9">
        <v>124985</v>
      </c>
      <c r="AW175" s="9">
        <v>3293055</v>
      </c>
      <c r="AX175" s="9">
        <v>3211396</v>
      </c>
      <c r="AY175" s="9">
        <v>3541536</v>
      </c>
      <c r="AZ175" s="9">
        <v>109299</v>
      </c>
      <c r="BA175" s="9">
        <v>11.167</v>
      </c>
      <c r="BB175" s="9">
        <v>0</v>
      </c>
      <c r="BC175" s="9">
        <v>0</v>
      </c>
      <c r="BD175" s="9">
        <v>0</v>
      </c>
      <c r="BE175" s="9">
        <v>0</v>
      </c>
      <c r="BF175" s="9">
        <v>2726945</v>
      </c>
      <c r="BG175" s="9">
        <v>0</v>
      </c>
      <c r="BH175" s="9">
        <v>36.972000000000001</v>
      </c>
      <c r="BI175" s="9">
        <v>10167</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71492</v>
      </c>
      <c r="CI175" s="9">
        <v>0</v>
      </c>
      <c r="CJ175" s="9">
        <v>4</v>
      </c>
      <c r="CK175" s="9">
        <v>0</v>
      </c>
      <c r="CL175" s="9">
        <v>0</v>
      </c>
      <c r="CM175" s="9">
        <v>0</v>
      </c>
      <c r="CN175" s="9">
        <v>0</v>
      </c>
      <c r="CO175" s="9">
        <v>0</v>
      </c>
      <c r="CP175" s="9">
        <v>0</v>
      </c>
      <c r="CQ175" s="9">
        <v>0.83300000000000007</v>
      </c>
      <c r="CR175" s="9">
        <v>310.06600000000003</v>
      </c>
      <c r="CS175" s="9">
        <v>0</v>
      </c>
      <c r="CT175" s="9">
        <v>0</v>
      </c>
      <c r="CU175" s="9">
        <v>0</v>
      </c>
      <c r="CV175" s="9">
        <v>0</v>
      </c>
      <c r="CW175" s="9">
        <v>0</v>
      </c>
      <c r="CX175" s="9">
        <v>0</v>
      </c>
      <c r="CY175" s="9">
        <v>0</v>
      </c>
      <c r="CZ175" s="9">
        <v>0</v>
      </c>
      <c r="DA175" s="9">
        <v>1</v>
      </c>
      <c r="DB175" s="9">
        <v>2146193</v>
      </c>
      <c r="DC175" s="9">
        <v>0</v>
      </c>
      <c r="DD175" s="9">
        <v>0</v>
      </c>
      <c r="DE175" s="9">
        <v>395862</v>
      </c>
      <c r="DF175" s="9">
        <v>395862</v>
      </c>
      <c r="DG175" s="9">
        <v>302</v>
      </c>
      <c r="DH175" s="9">
        <v>0</v>
      </c>
      <c r="DI175" s="9">
        <v>0</v>
      </c>
      <c r="DJ175" s="9">
        <v>0</v>
      </c>
      <c r="DK175" s="9">
        <v>5392</v>
      </c>
      <c r="DL175" s="9">
        <v>0</v>
      </c>
      <c r="DM175" s="9">
        <v>259762</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19.462</v>
      </c>
      <c r="ED175" s="9">
        <v>140309</v>
      </c>
      <c r="EE175" s="9">
        <v>0</v>
      </c>
      <c r="EF175" s="9">
        <v>0</v>
      </c>
      <c r="EG175" s="9">
        <v>0</v>
      </c>
      <c r="EH175" s="9">
        <v>119453</v>
      </c>
      <c r="EI175" s="9">
        <v>0</v>
      </c>
      <c r="EJ175" s="9">
        <v>0</v>
      </c>
      <c r="EK175" s="9">
        <v>5.6520000000000001</v>
      </c>
      <c r="EL175" s="9">
        <v>0</v>
      </c>
      <c r="EM175" s="9">
        <v>0</v>
      </c>
      <c r="EN175" s="9">
        <v>0.254</v>
      </c>
      <c r="EO175" s="9">
        <v>0</v>
      </c>
      <c r="EP175" s="9">
        <v>0</v>
      </c>
      <c r="EQ175" s="9">
        <v>5.9060000000000006</v>
      </c>
      <c r="ER175" s="9">
        <v>0</v>
      </c>
      <c r="ES175" s="9">
        <v>18.226000000000003</v>
      </c>
      <c r="ET175" s="9">
        <v>5792</v>
      </c>
      <c r="EU175" s="9">
        <v>109299</v>
      </c>
      <c r="EV175" s="9">
        <v>0</v>
      </c>
      <c r="EW175" s="9">
        <v>0</v>
      </c>
      <c r="EX175" s="9">
        <v>0</v>
      </c>
      <c r="EY175" s="9">
        <v>0</v>
      </c>
      <c r="EZ175" s="9">
        <v>2702685</v>
      </c>
      <c r="FA175" s="9">
        <v>0</v>
      </c>
      <c r="FB175" s="9">
        <v>2811984</v>
      </c>
      <c r="FC175" s="9">
        <v>0.97327799999999998</v>
      </c>
      <c r="FD175" s="9">
        <v>0</v>
      </c>
      <c r="FE175" s="9">
        <v>415156</v>
      </c>
      <c r="FF175" s="9">
        <v>93555</v>
      </c>
      <c r="FG175" s="9">
        <v>6.1239999999999996E-2</v>
      </c>
      <c r="FH175" s="9">
        <v>5.4803999999999999E-2</v>
      </c>
      <c r="FI175" s="9">
        <v>0</v>
      </c>
      <c r="FJ175" s="9">
        <v>0</v>
      </c>
      <c r="FK175" s="9">
        <v>534.29500000000007</v>
      </c>
      <c r="FL175" s="9">
        <v>3392187</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0</v>
      </c>
      <c r="GC175" s="9">
        <v>0</v>
      </c>
      <c r="GD175" s="9">
        <v>0</v>
      </c>
      <c r="GE175" s="9">
        <v>0</v>
      </c>
      <c r="GF175" s="9">
        <v>0</v>
      </c>
      <c r="GG175" s="9">
        <v>0</v>
      </c>
      <c r="GH175" s="9">
        <v>0</v>
      </c>
      <c r="GI175" s="9">
        <v>0</v>
      </c>
      <c r="GJ175" s="9">
        <v>0</v>
      </c>
      <c r="GK175" s="9">
        <v>5191</v>
      </c>
      <c r="GL175" s="9">
        <v>4692</v>
      </c>
      <c r="GM175" s="9">
        <v>0</v>
      </c>
      <c r="GN175" s="9">
        <v>0</v>
      </c>
      <c r="GO175" s="9">
        <v>0</v>
      </c>
      <c r="GP175" s="9">
        <v>3320695</v>
      </c>
      <c r="GQ175" s="9">
        <v>3320695</v>
      </c>
      <c r="GR175" s="9">
        <v>0</v>
      </c>
      <c r="GS175" s="9">
        <v>0</v>
      </c>
      <c r="GT175" s="9">
        <v>0</v>
      </c>
      <c r="GU175" s="9">
        <v>0</v>
      </c>
      <c r="GV175" s="9">
        <v>0</v>
      </c>
      <c r="GW175" s="9">
        <v>0</v>
      </c>
      <c r="GX175" s="9">
        <v>0</v>
      </c>
      <c r="GY175" s="9">
        <v>0</v>
      </c>
      <c r="GZ175" s="9">
        <v>0</v>
      </c>
      <c r="HA175" s="9">
        <v>0</v>
      </c>
      <c r="HB175" s="9">
        <v>260786259</v>
      </c>
      <c r="HC175" s="9">
        <v>5.0923999999999997E-2</v>
      </c>
      <c r="HD175" s="9">
        <v>65700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32469</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row>
    <row r="176" spans="1:292" x14ac:dyDescent="0.25">
      <c r="A176" s="9">
        <v>227806</v>
      </c>
      <c r="B176" s="9">
        <v>32570</v>
      </c>
      <c r="C176" s="9">
        <v>35</v>
      </c>
      <c r="D176" s="9">
        <v>2022</v>
      </c>
      <c r="E176" s="9">
        <v>5392</v>
      </c>
      <c r="F176" s="9">
        <v>0</v>
      </c>
      <c r="G176" s="9">
        <v>577.12900000000002</v>
      </c>
      <c r="H176" s="9">
        <v>396.17400000000004</v>
      </c>
      <c r="I176" s="9">
        <v>396.17400000000004</v>
      </c>
      <c r="J176" s="9">
        <v>577.12900000000002</v>
      </c>
      <c r="K176" s="9">
        <v>0</v>
      </c>
      <c r="L176" s="9">
        <v>6554</v>
      </c>
      <c r="M176" s="9">
        <v>0</v>
      </c>
      <c r="N176" s="9">
        <v>0</v>
      </c>
      <c r="O176" s="9">
        <v>0</v>
      </c>
      <c r="P176" s="9">
        <v>582.71300000000008</v>
      </c>
      <c r="Q176" s="9">
        <v>0</v>
      </c>
      <c r="R176" s="9">
        <v>186301</v>
      </c>
      <c r="S176" s="9">
        <v>319.71300000000002</v>
      </c>
      <c r="T176" s="9">
        <v>0</v>
      </c>
      <c r="U176" s="9">
        <v>186301</v>
      </c>
      <c r="V176" s="9">
        <v>31.533000000000001</v>
      </c>
      <c r="W176" s="9">
        <v>20667</v>
      </c>
      <c r="X176" s="9">
        <v>20667</v>
      </c>
      <c r="Y176" s="9">
        <v>0</v>
      </c>
      <c r="Z176" s="9">
        <v>0</v>
      </c>
      <c r="AA176" s="9">
        <v>1</v>
      </c>
      <c r="AB176" s="9">
        <v>1</v>
      </c>
      <c r="AC176" s="9">
        <v>0</v>
      </c>
      <c r="AD176" s="9" t="s">
        <v>314</v>
      </c>
      <c r="AE176" s="9">
        <v>0</v>
      </c>
      <c r="AF176" s="9">
        <v>0</v>
      </c>
      <c r="AG176" s="9">
        <v>0</v>
      </c>
      <c r="AH176" s="9">
        <v>0</v>
      </c>
      <c r="AI176" s="9">
        <v>0</v>
      </c>
      <c r="AJ176" s="9">
        <v>5104</v>
      </c>
      <c r="AK176" s="9" t="s">
        <v>651</v>
      </c>
      <c r="AL176" s="9" t="s">
        <v>85</v>
      </c>
      <c r="AM176" s="9">
        <v>0</v>
      </c>
      <c r="AN176" s="9">
        <v>0</v>
      </c>
      <c r="AO176" s="9">
        <v>0</v>
      </c>
      <c r="AP176" s="9">
        <v>0</v>
      </c>
      <c r="AQ176" s="9">
        <v>0</v>
      </c>
      <c r="AR176" s="9">
        <v>0</v>
      </c>
      <c r="AS176" s="9">
        <v>0</v>
      </c>
      <c r="AT176" s="9">
        <v>0</v>
      </c>
      <c r="AU176" s="9">
        <v>0</v>
      </c>
      <c r="AV176" s="9">
        <v>297123</v>
      </c>
      <c r="AW176" s="9">
        <v>9942442</v>
      </c>
      <c r="AX176" s="9">
        <v>9732355</v>
      </c>
      <c r="AY176" s="9">
        <v>9783515</v>
      </c>
      <c r="AZ176" s="9">
        <v>282649</v>
      </c>
      <c r="BA176" s="9">
        <v>0</v>
      </c>
      <c r="BB176" s="9">
        <v>0</v>
      </c>
      <c r="BC176" s="9">
        <v>0</v>
      </c>
      <c r="BD176" s="9">
        <v>0</v>
      </c>
      <c r="BE176" s="9">
        <v>0</v>
      </c>
      <c r="BF176" s="9">
        <v>8170190</v>
      </c>
      <c r="BG176" s="9">
        <v>0</v>
      </c>
      <c r="BH176" s="9">
        <v>350.35599999999999</v>
      </c>
      <c r="BI176" s="9">
        <v>96348</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113739</v>
      </c>
      <c r="CI176" s="9">
        <v>0</v>
      </c>
      <c r="CJ176" s="9">
        <v>4</v>
      </c>
      <c r="CK176" s="9">
        <v>0</v>
      </c>
      <c r="CL176" s="9">
        <v>0</v>
      </c>
      <c r="CM176" s="9">
        <v>0</v>
      </c>
      <c r="CN176" s="9">
        <v>0</v>
      </c>
      <c r="CO176" s="9">
        <v>0</v>
      </c>
      <c r="CP176" s="9">
        <v>1.147</v>
      </c>
      <c r="CQ176" s="9">
        <v>0</v>
      </c>
      <c r="CR176" s="9">
        <v>582.71300000000008</v>
      </c>
      <c r="CS176" s="9">
        <v>0</v>
      </c>
      <c r="CT176" s="9">
        <v>0</v>
      </c>
      <c r="CU176" s="9">
        <v>0</v>
      </c>
      <c r="CV176" s="9">
        <v>0</v>
      </c>
      <c r="CW176" s="9">
        <v>0</v>
      </c>
      <c r="CX176" s="9">
        <v>0</v>
      </c>
      <c r="CY176" s="9">
        <v>0</v>
      </c>
      <c r="CZ176" s="9">
        <v>0</v>
      </c>
      <c r="DA176" s="9">
        <v>1</v>
      </c>
      <c r="DB176" s="9">
        <v>2596524</v>
      </c>
      <c r="DC176" s="9">
        <v>0</v>
      </c>
      <c r="DD176" s="9">
        <v>0</v>
      </c>
      <c r="DE176" s="9">
        <v>916249</v>
      </c>
      <c r="DF176" s="9">
        <v>934366</v>
      </c>
      <c r="DG176" s="9">
        <v>699</v>
      </c>
      <c r="DH176" s="9">
        <v>0</v>
      </c>
      <c r="DI176" s="9">
        <v>18117</v>
      </c>
      <c r="DJ176" s="9">
        <v>0</v>
      </c>
      <c r="DK176" s="9">
        <v>5392</v>
      </c>
      <c r="DL176" s="9">
        <v>0</v>
      </c>
      <c r="DM176" s="9">
        <v>4842955</v>
      </c>
      <c r="DN176" s="9">
        <v>0</v>
      </c>
      <c r="DO176" s="9">
        <v>177</v>
      </c>
      <c r="DP176" s="9">
        <v>0</v>
      </c>
      <c r="DQ176" s="9">
        <v>0</v>
      </c>
      <c r="DR176" s="9">
        <v>0</v>
      </c>
      <c r="DS176" s="9">
        <v>9.0000000000000011E-3</v>
      </c>
      <c r="DT176" s="9">
        <v>0</v>
      </c>
      <c r="DU176" s="9">
        <v>0</v>
      </c>
      <c r="DV176" s="9">
        <v>0</v>
      </c>
      <c r="DW176" s="9">
        <v>0</v>
      </c>
      <c r="DX176" s="9">
        <v>0</v>
      </c>
      <c r="DY176" s="9">
        <v>0</v>
      </c>
      <c r="DZ176" s="9">
        <v>3.6000000000000004E-2</v>
      </c>
      <c r="EA176" s="9">
        <v>0.184</v>
      </c>
      <c r="EB176" s="9">
        <v>0</v>
      </c>
      <c r="EC176" s="9">
        <v>14.372</v>
      </c>
      <c r="ED176" s="9">
        <v>103613</v>
      </c>
      <c r="EE176" s="9">
        <v>0</v>
      </c>
      <c r="EF176" s="9">
        <v>0</v>
      </c>
      <c r="EG176" s="9">
        <v>0</v>
      </c>
      <c r="EH176" s="9">
        <v>103966</v>
      </c>
      <c r="EI176" s="9">
        <v>4635199</v>
      </c>
      <c r="EJ176" s="9">
        <v>176.80800000000002</v>
      </c>
      <c r="EK176" s="9">
        <v>2.4359999999999999</v>
      </c>
      <c r="EL176" s="9">
        <v>0</v>
      </c>
      <c r="EM176" s="9">
        <v>0</v>
      </c>
      <c r="EN176" s="9">
        <v>1.5270000000000001</v>
      </c>
      <c r="EO176" s="9">
        <v>0</v>
      </c>
      <c r="EP176" s="9">
        <v>0</v>
      </c>
      <c r="EQ176" s="9">
        <v>180.95500000000001</v>
      </c>
      <c r="ER176" s="9">
        <v>0</v>
      </c>
      <c r="ES176" s="9">
        <v>15.863000000000001</v>
      </c>
      <c r="ET176" s="9">
        <v>0</v>
      </c>
      <c r="EU176" s="9">
        <v>282649</v>
      </c>
      <c r="EV176" s="9">
        <v>0</v>
      </c>
      <c r="EW176" s="9">
        <v>0</v>
      </c>
      <c r="EX176" s="9">
        <v>0</v>
      </c>
      <c r="EY176" s="9">
        <v>0</v>
      </c>
      <c r="EZ176" s="9">
        <v>8208211</v>
      </c>
      <c r="FA176" s="9">
        <v>0</v>
      </c>
      <c r="FB176" s="9">
        <v>8490860</v>
      </c>
      <c r="FC176" s="9">
        <v>0.97327799999999998</v>
      </c>
      <c r="FD176" s="9">
        <v>0</v>
      </c>
      <c r="FE176" s="9">
        <v>1243845</v>
      </c>
      <c r="FF176" s="9">
        <v>280299</v>
      </c>
      <c r="FG176" s="9">
        <v>6.1239999999999996E-2</v>
      </c>
      <c r="FH176" s="9">
        <v>5.4803999999999999E-2</v>
      </c>
      <c r="FI176" s="9">
        <v>0</v>
      </c>
      <c r="FJ176" s="9">
        <v>0</v>
      </c>
      <c r="FK176" s="9">
        <v>1600.797</v>
      </c>
      <c r="FL176" s="9">
        <v>10128743</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10015004</v>
      </c>
      <c r="GQ176" s="9">
        <v>10015004</v>
      </c>
      <c r="GR176" s="9">
        <v>0</v>
      </c>
      <c r="GS176" s="9">
        <v>0</v>
      </c>
      <c r="GT176" s="9">
        <v>0</v>
      </c>
      <c r="GU176" s="9">
        <v>0</v>
      </c>
      <c r="GV176" s="9">
        <v>0</v>
      </c>
      <c r="GW176" s="9">
        <v>0</v>
      </c>
      <c r="GX176" s="9">
        <v>0</v>
      </c>
      <c r="GY176" s="9">
        <v>0</v>
      </c>
      <c r="GZ176" s="9">
        <v>0</v>
      </c>
      <c r="HA176" s="9">
        <v>0</v>
      </c>
      <c r="HB176" s="9">
        <v>260786259</v>
      </c>
      <c r="HC176" s="9">
        <v>5.0923999999999997E-2</v>
      </c>
      <c r="HD176" s="9">
        <v>113739</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32469</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row>
    <row r="177" spans="1:292" x14ac:dyDescent="0.25">
      <c r="A177" s="9">
        <v>227814</v>
      </c>
      <c r="B177" s="9">
        <v>32570</v>
      </c>
      <c r="C177" s="9">
        <v>35</v>
      </c>
      <c r="D177" s="9">
        <v>2022</v>
      </c>
      <c r="E177" s="9">
        <v>5392</v>
      </c>
      <c r="F177" s="9">
        <v>0</v>
      </c>
      <c r="G177" s="9">
        <v>347.529</v>
      </c>
      <c r="H177" s="9">
        <v>344.11099999999999</v>
      </c>
      <c r="I177" s="9">
        <v>344.11099999999999</v>
      </c>
      <c r="J177" s="9">
        <v>347.529</v>
      </c>
      <c r="K177" s="9">
        <v>0</v>
      </c>
      <c r="L177" s="9">
        <v>6554</v>
      </c>
      <c r="M177" s="9">
        <v>0</v>
      </c>
      <c r="N177" s="9">
        <v>0</v>
      </c>
      <c r="O177" s="9">
        <v>0</v>
      </c>
      <c r="P177" s="9">
        <v>353.86700000000002</v>
      </c>
      <c r="Q177" s="9">
        <v>0</v>
      </c>
      <c r="R177" s="9">
        <v>113136</v>
      </c>
      <c r="S177" s="9">
        <v>319.71300000000002</v>
      </c>
      <c r="T177" s="9">
        <v>0</v>
      </c>
      <c r="U177" s="9">
        <v>113136</v>
      </c>
      <c r="V177" s="9">
        <v>30.935000000000002</v>
      </c>
      <c r="W177" s="9">
        <v>20275</v>
      </c>
      <c r="X177" s="9">
        <v>20275</v>
      </c>
      <c r="Y177" s="9">
        <v>0</v>
      </c>
      <c r="Z177" s="9">
        <v>0</v>
      </c>
      <c r="AA177" s="9">
        <v>1</v>
      </c>
      <c r="AB177" s="9">
        <v>1</v>
      </c>
      <c r="AC177" s="9">
        <v>0</v>
      </c>
      <c r="AD177" s="9" t="s">
        <v>314</v>
      </c>
      <c r="AE177" s="9">
        <v>0</v>
      </c>
      <c r="AF177" s="9">
        <v>0</v>
      </c>
      <c r="AG177" s="9">
        <v>0</v>
      </c>
      <c r="AH177" s="9">
        <v>0</v>
      </c>
      <c r="AI177" s="9">
        <v>0</v>
      </c>
      <c r="AJ177" s="9">
        <v>5104</v>
      </c>
      <c r="AK177" s="9" t="s">
        <v>651</v>
      </c>
      <c r="AL177" s="9" t="s">
        <v>92</v>
      </c>
      <c r="AM177" s="9">
        <v>0</v>
      </c>
      <c r="AN177" s="9">
        <v>0</v>
      </c>
      <c r="AO177" s="9">
        <v>0</v>
      </c>
      <c r="AP177" s="9">
        <v>0</v>
      </c>
      <c r="AQ177" s="9">
        <v>0</v>
      </c>
      <c r="AR177" s="9">
        <v>0</v>
      </c>
      <c r="AS177" s="9">
        <v>0</v>
      </c>
      <c r="AT177" s="9">
        <v>0</v>
      </c>
      <c r="AU177" s="9">
        <v>0</v>
      </c>
      <c r="AV177" s="9">
        <v>1231</v>
      </c>
      <c r="AW177" s="9">
        <v>2740329</v>
      </c>
      <c r="AX177" s="9">
        <v>2644978</v>
      </c>
      <c r="AY177" s="9">
        <v>2896636</v>
      </c>
      <c r="AZ177" s="9">
        <v>139497</v>
      </c>
      <c r="BA177" s="9">
        <v>1</v>
      </c>
      <c r="BB177" s="9">
        <v>0</v>
      </c>
      <c r="BC177" s="9">
        <v>0</v>
      </c>
      <c r="BD177" s="9">
        <v>0</v>
      </c>
      <c r="BE177" s="9">
        <v>0</v>
      </c>
      <c r="BF177" s="9">
        <v>2271912</v>
      </c>
      <c r="BG177" s="9">
        <v>0</v>
      </c>
      <c r="BH177" s="9">
        <v>95.856999999999999</v>
      </c>
      <c r="BI177" s="9">
        <v>26361</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68990</v>
      </c>
      <c r="CI177" s="9">
        <v>0</v>
      </c>
      <c r="CJ177" s="9">
        <v>4</v>
      </c>
      <c r="CK177" s="9">
        <v>0</v>
      </c>
      <c r="CL177" s="9">
        <v>0</v>
      </c>
      <c r="CM177" s="9">
        <v>0</v>
      </c>
      <c r="CN177" s="9">
        <v>0</v>
      </c>
      <c r="CO177" s="9">
        <v>0</v>
      </c>
      <c r="CP177" s="9">
        <v>0</v>
      </c>
      <c r="CQ177" s="9">
        <v>0</v>
      </c>
      <c r="CR177" s="9">
        <v>353.86700000000002</v>
      </c>
      <c r="CS177" s="9">
        <v>0</v>
      </c>
      <c r="CT177" s="9">
        <v>0</v>
      </c>
      <c r="CU177" s="9">
        <v>0</v>
      </c>
      <c r="CV177" s="9">
        <v>0</v>
      </c>
      <c r="CW177" s="9">
        <v>0</v>
      </c>
      <c r="CX177" s="9">
        <v>0</v>
      </c>
      <c r="CY177" s="9">
        <v>0</v>
      </c>
      <c r="CZ177" s="9">
        <v>0</v>
      </c>
      <c r="DA177" s="9">
        <v>1</v>
      </c>
      <c r="DB177" s="9">
        <v>2255303</v>
      </c>
      <c r="DC177" s="9">
        <v>0</v>
      </c>
      <c r="DD177" s="9">
        <v>0</v>
      </c>
      <c r="DE177" s="9">
        <v>0</v>
      </c>
      <c r="DF177" s="9">
        <v>0</v>
      </c>
      <c r="DG177" s="9">
        <v>0</v>
      </c>
      <c r="DH177" s="9">
        <v>0</v>
      </c>
      <c r="DI177" s="9">
        <v>0</v>
      </c>
      <c r="DJ177" s="9">
        <v>0</v>
      </c>
      <c r="DK177" s="9">
        <v>5392</v>
      </c>
      <c r="DL177" s="9">
        <v>0</v>
      </c>
      <c r="DM177" s="9">
        <v>30073</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3.3260000000000001</v>
      </c>
      <c r="ED177" s="9">
        <v>23978</v>
      </c>
      <c r="EE177" s="9">
        <v>0</v>
      </c>
      <c r="EF177" s="9">
        <v>0</v>
      </c>
      <c r="EG177" s="9">
        <v>0</v>
      </c>
      <c r="EH177" s="9">
        <v>6095</v>
      </c>
      <c r="EI177" s="9">
        <v>0</v>
      </c>
      <c r="EJ177" s="9">
        <v>0</v>
      </c>
      <c r="EK177" s="9">
        <v>0</v>
      </c>
      <c r="EL177" s="9">
        <v>0</v>
      </c>
      <c r="EM177" s="9">
        <v>0</v>
      </c>
      <c r="EN177" s="9">
        <v>0.186</v>
      </c>
      <c r="EO177" s="9">
        <v>0</v>
      </c>
      <c r="EP177" s="9">
        <v>0</v>
      </c>
      <c r="EQ177" s="9">
        <v>0.186</v>
      </c>
      <c r="ER177" s="9">
        <v>0</v>
      </c>
      <c r="ES177" s="9">
        <v>0.93</v>
      </c>
      <c r="ET177" s="9">
        <v>500</v>
      </c>
      <c r="EU177" s="9">
        <v>139497</v>
      </c>
      <c r="EV177" s="9">
        <v>0</v>
      </c>
      <c r="EW177" s="9">
        <v>0</v>
      </c>
      <c r="EX177" s="9">
        <v>0</v>
      </c>
      <c r="EY177" s="9">
        <v>0</v>
      </c>
      <c r="EZ177" s="9">
        <v>2221154</v>
      </c>
      <c r="FA177" s="9">
        <v>0</v>
      </c>
      <c r="FB177" s="9">
        <v>2360651</v>
      </c>
      <c r="FC177" s="9">
        <v>0.97327799999999998</v>
      </c>
      <c r="FD177" s="9">
        <v>0</v>
      </c>
      <c r="FE177" s="9">
        <v>345880</v>
      </c>
      <c r="FF177" s="9">
        <v>77944</v>
      </c>
      <c r="FG177" s="9">
        <v>6.1239999999999996E-2</v>
      </c>
      <c r="FH177" s="9">
        <v>5.4803999999999999E-2</v>
      </c>
      <c r="FI177" s="9">
        <v>0</v>
      </c>
      <c r="FJ177" s="9">
        <v>0</v>
      </c>
      <c r="FK177" s="9">
        <v>445.13900000000001</v>
      </c>
      <c r="FL177" s="9">
        <v>2853465</v>
      </c>
      <c r="FM177" s="9">
        <v>0</v>
      </c>
      <c r="FN177" s="9">
        <v>0</v>
      </c>
      <c r="FO177" s="9">
        <v>0</v>
      </c>
      <c r="FP177" s="9">
        <v>0</v>
      </c>
      <c r="FQ177" s="9">
        <v>0</v>
      </c>
      <c r="FR177" s="9">
        <v>0</v>
      </c>
      <c r="FS177" s="9">
        <v>0</v>
      </c>
      <c r="FT177" s="9">
        <v>0</v>
      </c>
      <c r="FU177" s="9">
        <v>0</v>
      </c>
      <c r="FV177" s="9">
        <v>0</v>
      </c>
      <c r="FW177" s="9">
        <v>0</v>
      </c>
      <c r="FX177" s="9">
        <v>0</v>
      </c>
      <c r="FY177" s="9">
        <v>0</v>
      </c>
      <c r="FZ177" s="9">
        <v>43</v>
      </c>
      <c r="GA177" s="9">
        <v>0.85500000000000009</v>
      </c>
      <c r="GB177" s="9">
        <v>28639</v>
      </c>
      <c r="GC177" s="9">
        <v>28639</v>
      </c>
      <c r="GD177" s="9">
        <v>3.2320000000000002</v>
      </c>
      <c r="GE177" s="9">
        <v>0</v>
      </c>
      <c r="GF177" s="9">
        <v>0</v>
      </c>
      <c r="GG177" s="9">
        <v>0</v>
      </c>
      <c r="GH177" s="9">
        <v>0</v>
      </c>
      <c r="GI177" s="9">
        <v>0</v>
      </c>
      <c r="GJ177" s="9">
        <v>0</v>
      </c>
      <c r="GK177" s="9">
        <v>5359</v>
      </c>
      <c r="GL177" s="9">
        <v>8117</v>
      </c>
      <c r="GM177" s="9">
        <v>0</v>
      </c>
      <c r="GN177" s="9">
        <v>0</v>
      </c>
      <c r="GO177" s="9">
        <v>0</v>
      </c>
      <c r="GP177" s="9">
        <v>2784475</v>
      </c>
      <c r="GQ177" s="9">
        <v>2784475</v>
      </c>
      <c r="GR177" s="9">
        <v>0</v>
      </c>
      <c r="GS177" s="9">
        <v>0</v>
      </c>
      <c r="GT177" s="9">
        <v>0</v>
      </c>
      <c r="GU177" s="9">
        <v>0</v>
      </c>
      <c r="GV177" s="9">
        <v>0</v>
      </c>
      <c r="GW177" s="9">
        <v>0</v>
      </c>
      <c r="GX177" s="9">
        <v>0</v>
      </c>
      <c r="GY177" s="9">
        <v>0</v>
      </c>
      <c r="GZ177" s="9">
        <v>0</v>
      </c>
      <c r="HA177" s="9">
        <v>0</v>
      </c>
      <c r="HB177" s="9">
        <v>260786259</v>
      </c>
      <c r="HC177" s="9">
        <v>5.0923999999999997E-2</v>
      </c>
      <c r="HD177" s="9">
        <v>68490</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32469</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row>
    <row r="178" spans="1:292" x14ac:dyDescent="0.25">
      <c r="A178" s="9">
        <v>227816</v>
      </c>
      <c r="B178" s="9">
        <v>32570</v>
      </c>
      <c r="C178" s="9">
        <v>35</v>
      </c>
      <c r="D178" s="9">
        <v>2022</v>
      </c>
      <c r="E178" s="9">
        <v>5392</v>
      </c>
      <c r="F178" s="9">
        <v>0</v>
      </c>
      <c r="G178" s="9">
        <v>3881.0220000000004</v>
      </c>
      <c r="H178" s="9">
        <v>3629.268</v>
      </c>
      <c r="I178" s="9">
        <v>3629.268</v>
      </c>
      <c r="J178" s="9">
        <v>3881.0220000000004</v>
      </c>
      <c r="K178" s="9">
        <v>0</v>
      </c>
      <c r="L178" s="9">
        <v>6554</v>
      </c>
      <c r="M178" s="9">
        <v>0</v>
      </c>
      <c r="N178" s="9">
        <v>0</v>
      </c>
      <c r="O178" s="9">
        <v>0</v>
      </c>
      <c r="P178" s="9">
        <v>3761.6170000000002</v>
      </c>
      <c r="Q178" s="9">
        <v>0</v>
      </c>
      <c r="R178" s="9">
        <v>1202638</v>
      </c>
      <c r="S178" s="9">
        <v>319.71300000000002</v>
      </c>
      <c r="T178" s="9">
        <v>0</v>
      </c>
      <c r="U178" s="9">
        <v>1202638</v>
      </c>
      <c r="V178" s="9">
        <v>1646.2360000000001</v>
      </c>
      <c r="W178" s="9">
        <v>1078943</v>
      </c>
      <c r="X178" s="9">
        <v>1078943</v>
      </c>
      <c r="Y178" s="9">
        <v>0</v>
      </c>
      <c r="Z178" s="9">
        <v>0</v>
      </c>
      <c r="AA178" s="9">
        <v>1</v>
      </c>
      <c r="AB178" s="9">
        <v>1</v>
      </c>
      <c r="AC178" s="9">
        <v>0</v>
      </c>
      <c r="AD178" s="9" t="s">
        <v>314</v>
      </c>
      <c r="AE178" s="9">
        <v>0</v>
      </c>
      <c r="AF178" s="9">
        <v>0</v>
      </c>
      <c r="AG178" s="9">
        <v>0</v>
      </c>
      <c r="AH178" s="9">
        <v>0</v>
      </c>
      <c r="AI178" s="9">
        <v>0</v>
      </c>
      <c r="AJ178" s="9">
        <v>5104</v>
      </c>
      <c r="AK178" s="9" t="s">
        <v>651</v>
      </c>
      <c r="AL178" s="9" t="s">
        <v>86</v>
      </c>
      <c r="AM178" s="9">
        <v>0</v>
      </c>
      <c r="AN178" s="9">
        <v>0</v>
      </c>
      <c r="AO178" s="9">
        <v>0</v>
      </c>
      <c r="AP178" s="9">
        <v>0</v>
      </c>
      <c r="AQ178" s="9">
        <v>0</v>
      </c>
      <c r="AR178" s="9">
        <v>0</v>
      </c>
      <c r="AS178" s="9">
        <v>0</v>
      </c>
      <c r="AT178" s="9">
        <v>0</v>
      </c>
      <c r="AU178" s="9">
        <v>0</v>
      </c>
      <c r="AV178" s="9">
        <v>199629</v>
      </c>
      <c r="AW178" s="9">
        <v>38422322</v>
      </c>
      <c r="AX178" s="9">
        <v>37386050</v>
      </c>
      <c r="AY178" s="9">
        <v>40171629</v>
      </c>
      <c r="AZ178" s="9">
        <v>1432547</v>
      </c>
      <c r="BA178" s="9">
        <v>83</v>
      </c>
      <c r="BB178" s="9">
        <v>152617</v>
      </c>
      <c r="BC178" s="9">
        <v>152617</v>
      </c>
      <c r="BD178" s="9">
        <v>194.05100000000002</v>
      </c>
      <c r="BE178" s="9">
        <v>0</v>
      </c>
      <c r="BF178" s="9">
        <v>31685750</v>
      </c>
      <c r="BG178" s="9">
        <v>0</v>
      </c>
      <c r="BH178" s="9">
        <v>836.03200000000004</v>
      </c>
      <c r="BI178" s="9">
        <v>229909</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806363</v>
      </c>
      <c r="CI178" s="9">
        <v>0</v>
      </c>
      <c r="CJ178" s="9">
        <v>4</v>
      </c>
      <c r="CK178" s="9">
        <v>0</v>
      </c>
      <c r="CL178" s="9">
        <v>0</v>
      </c>
      <c r="CM178" s="9">
        <v>0</v>
      </c>
      <c r="CN178" s="9">
        <v>0</v>
      </c>
      <c r="CO178" s="9">
        <v>0</v>
      </c>
      <c r="CP178" s="9">
        <v>0</v>
      </c>
      <c r="CQ178" s="9">
        <v>0</v>
      </c>
      <c r="CR178" s="9">
        <v>3761.6170000000002</v>
      </c>
      <c r="CS178" s="9">
        <v>0</v>
      </c>
      <c r="CT178" s="9">
        <v>0</v>
      </c>
      <c r="CU178" s="9">
        <v>0</v>
      </c>
      <c r="CV178" s="9">
        <v>0</v>
      </c>
      <c r="CW178" s="9">
        <v>0</v>
      </c>
      <c r="CX178" s="9">
        <v>0</v>
      </c>
      <c r="CY178" s="9">
        <v>0</v>
      </c>
      <c r="CZ178" s="9">
        <v>0</v>
      </c>
      <c r="DA178" s="9">
        <v>1</v>
      </c>
      <c r="DB178" s="9">
        <v>23786222</v>
      </c>
      <c r="DC178" s="9">
        <v>0</v>
      </c>
      <c r="DD178" s="9">
        <v>0</v>
      </c>
      <c r="DE178" s="9">
        <v>3853319</v>
      </c>
      <c r="DF178" s="9">
        <v>3853319</v>
      </c>
      <c r="DG178" s="9">
        <v>2939.67</v>
      </c>
      <c r="DH178" s="9">
        <v>0</v>
      </c>
      <c r="DI178" s="9">
        <v>0</v>
      </c>
      <c r="DJ178" s="9">
        <v>0</v>
      </c>
      <c r="DK178" s="9">
        <v>5392</v>
      </c>
      <c r="DL178" s="9">
        <v>0</v>
      </c>
      <c r="DM178" s="9">
        <v>2247561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58.545999999999999</v>
      </c>
      <c r="ED178" s="9">
        <v>422082</v>
      </c>
      <c r="EE178" s="9">
        <v>0</v>
      </c>
      <c r="EF178" s="9">
        <v>0</v>
      </c>
      <c r="EG178" s="9">
        <v>0</v>
      </c>
      <c r="EH178" s="9">
        <v>1825479</v>
      </c>
      <c r="EI178" s="9">
        <v>0</v>
      </c>
      <c r="EJ178" s="9">
        <v>0</v>
      </c>
      <c r="EK178" s="9">
        <v>72.063000000000002</v>
      </c>
      <c r="EL178" s="9">
        <v>0</v>
      </c>
      <c r="EM178" s="9">
        <v>12.36</v>
      </c>
      <c r="EN178" s="9">
        <v>5.0520000000000005</v>
      </c>
      <c r="EO178" s="9">
        <v>0</v>
      </c>
      <c r="EP178" s="9">
        <v>0</v>
      </c>
      <c r="EQ178" s="9">
        <v>89.475000000000009</v>
      </c>
      <c r="ER178" s="9">
        <v>0</v>
      </c>
      <c r="ES178" s="9">
        <v>278.529</v>
      </c>
      <c r="ET178" s="9">
        <v>41500</v>
      </c>
      <c r="EU178" s="9">
        <v>1432547</v>
      </c>
      <c r="EV178" s="9">
        <v>0</v>
      </c>
      <c r="EW178" s="9">
        <v>0</v>
      </c>
      <c r="EX178" s="9">
        <v>0</v>
      </c>
      <c r="EY178" s="9">
        <v>0</v>
      </c>
      <c r="EZ178" s="9">
        <v>31475090</v>
      </c>
      <c r="FA178" s="9">
        <v>0</v>
      </c>
      <c r="FB178" s="9">
        <v>32907637</v>
      </c>
      <c r="FC178" s="9">
        <v>0.97327799999999998</v>
      </c>
      <c r="FD178" s="9">
        <v>0</v>
      </c>
      <c r="FE178" s="9">
        <v>4823901</v>
      </c>
      <c r="FF178" s="9">
        <v>1087059</v>
      </c>
      <c r="FG178" s="9">
        <v>6.1239999999999996E-2</v>
      </c>
      <c r="FH178" s="9">
        <v>5.4803999999999999E-2</v>
      </c>
      <c r="FI178" s="9">
        <v>0</v>
      </c>
      <c r="FJ178" s="9">
        <v>0</v>
      </c>
      <c r="FK178" s="9">
        <v>6208.2359999999999</v>
      </c>
      <c r="FL178" s="9">
        <v>39624960</v>
      </c>
      <c r="FM178" s="9">
        <v>0</v>
      </c>
      <c r="FN178" s="9">
        <v>0</v>
      </c>
      <c r="FO178" s="9">
        <v>122008</v>
      </c>
      <c r="FP178" s="9">
        <v>0</v>
      </c>
      <c r="FQ178" s="9">
        <v>122008</v>
      </c>
      <c r="FR178" s="9">
        <v>122008</v>
      </c>
      <c r="FS178" s="9">
        <v>0</v>
      </c>
      <c r="FT178" s="9">
        <v>0</v>
      </c>
      <c r="FU178" s="9">
        <v>0</v>
      </c>
      <c r="FV178" s="9">
        <v>0</v>
      </c>
      <c r="FW178" s="9">
        <v>0</v>
      </c>
      <c r="FX178" s="9">
        <v>0</v>
      </c>
      <c r="FY178" s="9">
        <v>0</v>
      </c>
      <c r="FZ178" s="9">
        <v>1230</v>
      </c>
      <c r="GA178" s="9">
        <v>24.596</v>
      </c>
      <c r="GB178" s="9">
        <v>1437058</v>
      </c>
      <c r="GC178" s="9">
        <v>1437058</v>
      </c>
      <c r="GD178" s="9">
        <v>162.279</v>
      </c>
      <c r="GE178" s="9">
        <v>0</v>
      </c>
      <c r="GF178" s="9">
        <v>0</v>
      </c>
      <c r="GG178" s="9">
        <v>0</v>
      </c>
      <c r="GH178" s="9">
        <v>0</v>
      </c>
      <c r="GI178" s="9">
        <v>0</v>
      </c>
      <c r="GJ178" s="9">
        <v>0</v>
      </c>
      <c r="GK178" s="9">
        <v>5135.8940000000002</v>
      </c>
      <c r="GL178" s="9">
        <v>13351</v>
      </c>
      <c r="GM178" s="9">
        <v>0</v>
      </c>
      <c r="GN178" s="9">
        <v>0</v>
      </c>
      <c r="GO178" s="9">
        <v>0</v>
      </c>
      <c r="GP178" s="9">
        <v>38818597</v>
      </c>
      <c r="GQ178" s="9">
        <v>38818597</v>
      </c>
      <c r="GR178" s="9">
        <v>0</v>
      </c>
      <c r="GS178" s="9">
        <v>0</v>
      </c>
      <c r="GT178" s="9">
        <v>0</v>
      </c>
      <c r="GU178" s="9">
        <v>0</v>
      </c>
      <c r="GV178" s="9">
        <v>0</v>
      </c>
      <c r="GW178" s="9">
        <v>0</v>
      </c>
      <c r="GX178" s="9">
        <v>0</v>
      </c>
      <c r="GY178" s="9">
        <v>0</v>
      </c>
      <c r="GZ178" s="9">
        <v>0</v>
      </c>
      <c r="HA178" s="9">
        <v>0</v>
      </c>
      <c r="HB178" s="9">
        <v>260786259</v>
      </c>
      <c r="HC178" s="9">
        <v>5.0923999999999997E-2</v>
      </c>
      <c r="HD178" s="9">
        <v>764863</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32469</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row>
    <row r="179" spans="1:292" x14ac:dyDescent="0.25">
      <c r="A179" s="9">
        <v>227817</v>
      </c>
      <c r="B179" s="9">
        <v>32570</v>
      </c>
      <c r="C179" s="9">
        <v>35</v>
      </c>
      <c r="D179" s="9">
        <v>2022</v>
      </c>
      <c r="E179" s="9">
        <v>5392</v>
      </c>
      <c r="F179" s="9">
        <v>0</v>
      </c>
      <c r="G179" s="9">
        <v>448.61400000000003</v>
      </c>
      <c r="H179" s="9">
        <v>423.779</v>
      </c>
      <c r="I179" s="9">
        <v>423.779</v>
      </c>
      <c r="J179" s="9">
        <v>448.61400000000003</v>
      </c>
      <c r="K179" s="9">
        <v>0</v>
      </c>
      <c r="L179" s="9">
        <v>6554</v>
      </c>
      <c r="M179" s="9">
        <v>0</v>
      </c>
      <c r="N179" s="9">
        <v>0</v>
      </c>
      <c r="O179" s="9">
        <v>0</v>
      </c>
      <c r="P179" s="9">
        <v>495.10700000000003</v>
      </c>
      <c r="Q179" s="9">
        <v>0</v>
      </c>
      <c r="R179" s="9">
        <v>158292</v>
      </c>
      <c r="S179" s="9">
        <v>319.71300000000002</v>
      </c>
      <c r="T179" s="9">
        <v>0</v>
      </c>
      <c r="U179" s="9">
        <v>158292</v>
      </c>
      <c r="V179" s="9">
        <v>193.18100000000001</v>
      </c>
      <c r="W179" s="9">
        <v>126611</v>
      </c>
      <c r="X179" s="9">
        <v>126611</v>
      </c>
      <c r="Y179" s="9">
        <v>0</v>
      </c>
      <c r="Z179" s="9">
        <v>0</v>
      </c>
      <c r="AA179" s="9">
        <v>1</v>
      </c>
      <c r="AB179" s="9">
        <v>1</v>
      </c>
      <c r="AC179" s="9">
        <v>0</v>
      </c>
      <c r="AD179" s="9" t="s">
        <v>314</v>
      </c>
      <c r="AE179" s="9">
        <v>0</v>
      </c>
      <c r="AF179" s="9">
        <v>0</v>
      </c>
      <c r="AG179" s="9">
        <v>0</v>
      </c>
      <c r="AH179" s="9">
        <v>0</v>
      </c>
      <c r="AI179" s="9">
        <v>0</v>
      </c>
      <c r="AJ179" s="9">
        <v>5104</v>
      </c>
      <c r="AK179" s="9" t="s">
        <v>651</v>
      </c>
      <c r="AL179" s="9" t="s">
        <v>80</v>
      </c>
      <c r="AM179" s="9">
        <v>0</v>
      </c>
      <c r="AN179" s="9">
        <v>0</v>
      </c>
      <c r="AO179" s="9">
        <v>0</v>
      </c>
      <c r="AP179" s="9">
        <v>0</v>
      </c>
      <c r="AQ179" s="9">
        <v>0</v>
      </c>
      <c r="AR179" s="9">
        <v>0</v>
      </c>
      <c r="AS179" s="9">
        <v>0</v>
      </c>
      <c r="AT179" s="9">
        <v>0</v>
      </c>
      <c r="AU179" s="9">
        <v>0</v>
      </c>
      <c r="AV179" s="9">
        <v>132067</v>
      </c>
      <c r="AW179" s="9">
        <v>4720122</v>
      </c>
      <c r="AX179" s="9">
        <v>4595040</v>
      </c>
      <c r="AY179" s="9">
        <v>4966339</v>
      </c>
      <c r="AZ179" s="9">
        <v>185879</v>
      </c>
      <c r="BA179" s="9">
        <v>17.833000000000002</v>
      </c>
      <c r="BB179" s="9">
        <v>9312</v>
      </c>
      <c r="BC179" s="9">
        <v>9312</v>
      </c>
      <c r="BD179" s="9">
        <v>11.84</v>
      </c>
      <c r="BE179" s="9">
        <v>0</v>
      </c>
      <c r="BF179" s="9">
        <v>3915412</v>
      </c>
      <c r="BG179" s="9">
        <v>0</v>
      </c>
      <c r="BH179" s="9">
        <v>100.316</v>
      </c>
      <c r="BI179" s="9">
        <v>27587</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97495</v>
      </c>
      <c r="CI179" s="9">
        <v>0</v>
      </c>
      <c r="CJ179" s="9">
        <v>4</v>
      </c>
      <c r="CK179" s="9">
        <v>0</v>
      </c>
      <c r="CL179" s="9">
        <v>0</v>
      </c>
      <c r="CM179" s="9">
        <v>0</v>
      </c>
      <c r="CN179" s="9">
        <v>0</v>
      </c>
      <c r="CO179" s="9">
        <v>0</v>
      </c>
      <c r="CP179" s="9">
        <v>0</v>
      </c>
      <c r="CQ179" s="9">
        <v>0.66700000000000004</v>
      </c>
      <c r="CR179" s="9">
        <v>495.10700000000003</v>
      </c>
      <c r="CS179" s="9">
        <v>0</v>
      </c>
      <c r="CT179" s="9">
        <v>0</v>
      </c>
      <c r="CU179" s="9">
        <v>0</v>
      </c>
      <c r="CV179" s="9">
        <v>0</v>
      </c>
      <c r="CW179" s="9">
        <v>0</v>
      </c>
      <c r="CX179" s="9">
        <v>0</v>
      </c>
      <c r="CY179" s="9">
        <v>0</v>
      </c>
      <c r="CZ179" s="9">
        <v>0</v>
      </c>
      <c r="DA179" s="9">
        <v>1</v>
      </c>
      <c r="DB179" s="9">
        <v>2777448</v>
      </c>
      <c r="DC179" s="9">
        <v>0</v>
      </c>
      <c r="DD179" s="9">
        <v>0</v>
      </c>
      <c r="DE179" s="9">
        <v>625029</v>
      </c>
      <c r="DF179" s="9">
        <v>625029</v>
      </c>
      <c r="DG179" s="9">
        <v>476.83</v>
      </c>
      <c r="DH179" s="9">
        <v>0</v>
      </c>
      <c r="DI179" s="9">
        <v>0</v>
      </c>
      <c r="DJ179" s="9">
        <v>0</v>
      </c>
      <c r="DK179" s="9">
        <v>5392</v>
      </c>
      <c r="DL179" s="9">
        <v>0</v>
      </c>
      <c r="DM179" s="9">
        <v>322690</v>
      </c>
      <c r="DN179" s="9">
        <v>0</v>
      </c>
      <c r="DO179" s="9">
        <v>1829</v>
      </c>
      <c r="DP179" s="9">
        <v>0</v>
      </c>
      <c r="DQ179" s="9">
        <v>0</v>
      </c>
      <c r="DR179" s="9">
        <v>0</v>
      </c>
      <c r="DS179" s="9">
        <v>0</v>
      </c>
      <c r="DT179" s="9">
        <v>0.124</v>
      </c>
      <c r="DU179" s="9">
        <v>0</v>
      </c>
      <c r="DV179" s="9">
        <v>0</v>
      </c>
      <c r="DW179" s="9">
        <v>0</v>
      </c>
      <c r="DX179" s="9">
        <v>0</v>
      </c>
      <c r="DY179" s="9">
        <v>0</v>
      </c>
      <c r="DZ179" s="9">
        <v>0.372</v>
      </c>
      <c r="EA179" s="9">
        <v>0</v>
      </c>
      <c r="EB179" s="9">
        <v>0</v>
      </c>
      <c r="EC179" s="9">
        <v>25.095000000000002</v>
      </c>
      <c r="ED179" s="9">
        <v>180920</v>
      </c>
      <c r="EE179" s="9">
        <v>0</v>
      </c>
      <c r="EF179" s="9">
        <v>0</v>
      </c>
      <c r="EG179" s="9">
        <v>0</v>
      </c>
      <c r="EH179" s="9">
        <v>139941</v>
      </c>
      <c r="EI179" s="9">
        <v>0</v>
      </c>
      <c r="EJ179" s="9">
        <v>0</v>
      </c>
      <c r="EK179" s="9">
        <v>5.6720000000000006</v>
      </c>
      <c r="EL179" s="9">
        <v>0</v>
      </c>
      <c r="EM179" s="9">
        <v>1.7000000000000001E-2</v>
      </c>
      <c r="EN179" s="9">
        <v>0.8570000000000001</v>
      </c>
      <c r="EO179" s="9">
        <v>0</v>
      </c>
      <c r="EP179" s="9">
        <v>0</v>
      </c>
      <c r="EQ179" s="9">
        <v>6.5460000000000003</v>
      </c>
      <c r="ER179" s="9">
        <v>0</v>
      </c>
      <c r="ES179" s="9">
        <v>21.352</v>
      </c>
      <c r="ET179" s="9">
        <v>9083</v>
      </c>
      <c r="EU179" s="9">
        <v>185879</v>
      </c>
      <c r="EV179" s="9">
        <v>0</v>
      </c>
      <c r="EW179" s="9">
        <v>0</v>
      </c>
      <c r="EX179" s="9">
        <v>0</v>
      </c>
      <c r="EY179" s="9">
        <v>0</v>
      </c>
      <c r="EZ179" s="9">
        <v>3864622</v>
      </c>
      <c r="FA179" s="9">
        <v>0</v>
      </c>
      <c r="FB179" s="9">
        <v>4050501</v>
      </c>
      <c r="FC179" s="9">
        <v>0.97327799999999998</v>
      </c>
      <c r="FD179" s="9">
        <v>0</v>
      </c>
      <c r="FE179" s="9">
        <v>596090</v>
      </c>
      <c r="FF179" s="9">
        <v>134328</v>
      </c>
      <c r="FG179" s="9">
        <v>6.1239999999999996E-2</v>
      </c>
      <c r="FH179" s="9">
        <v>5.4803999999999999E-2</v>
      </c>
      <c r="FI179" s="9">
        <v>0</v>
      </c>
      <c r="FJ179" s="9">
        <v>0</v>
      </c>
      <c r="FK179" s="9">
        <v>767.15200000000004</v>
      </c>
      <c r="FL179" s="9">
        <v>4878414</v>
      </c>
      <c r="FM179" s="9">
        <v>0</v>
      </c>
      <c r="FN179" s="9">
        <v>0</v>
      </c>
      <c r="FO179" s="9">
        <v>0</v>
      </c>
      <c r="FP179" s="9">
        <v>0</v>
      </c>
      <c r="FQ179" s="9">
        <v>0</v>
      </c>
      <c r="FR179" s="9">
        <v>0</v>
      </c>
      <c r="FS179" s="9">
        <v>0</v>
      </c>
      <c r="FT179" s="9">
        <v>0</v>
      </c>
      <c r="FU179" s="9">
        <v>0</v>
      </c>
      <c r="FV179" s="9">
        <v>0</v>
      </c>
      <c r="FW179" s="9">
        <v>0</v>
      </c>
      <c r="FX179" s="9">
        <v>0</v>
      </c>
      <c r="FY179" s="9">
        <v>0</v>
      </c>
      <c r="FZ179" s="9">
        <v>5</v>
      </c>
      <c r="GA179" s="9">
        <v>9.8000000000000004E-2</v>
      </c>
      <c r="GB179" s="9">
        <v>161824</v>
      </c>
      <c r="GC179" s="9">
        <v>161824</v>
      </c>
      <c r="GD179" s="9">
        <v>18.289000000000001</v>
      </c>
      <c r="GE179" s="9">
        <v>0</v>
      </c>
      <c r="GF179" s="9">
        <v>0</v>
      </c>
      <c r="GG179" s="9">
        <v>0</v>
      </c>
      <c r="GH179" s="9">
        <v>0</v>
      </c>
      <c r="GI179" s="9">
        <v>0</v>
      </c>
      <c r="GJ179" s="9">
        <v>0</v>
      </c>
      <c r="GK179" s="9">
        <v>5220</v>
      </c>
      <c r="GL179" s="9">
        <v>6252</v>
      </c>
      <c r="GM179" s="9">
        <v>0</v>
      </c>
      <c r="GN179" s="9">
        <v>0</v>
      </c>
      <c r="GO179" s="9">
        <v>0</v>
      </c>
      <c r="GP179" s="9">
        <v>4780919</v>
      </c>
      <c r="GQ179" s="9">
        <v>4780919</v>
      </c>
      <c r="GR179" s="9">
        <v>0</v>
      </c>
      <c r="GS179" s="9">
        <v>0</v>
      </c>
      <c r="GT179" s="9">
        <v>0</v>
      </c>
      <c r="GU179" s="9">
        <v>0</v>
      </c>
      <c r="GV179" s="9">
        <v>0</v>
      </c>
      <c r="GW179" s="9">
        <v>0</v>
      </c>
      <c r="GX179" s="9">
        <v>0</v>
      </c>
      <c r="GY179" s="9">
        <v>0</v>
      </c>
      <c r="GZ179" s="9">
        <v>0</v>
      </c>
      <c r="HA179" s="9">
        <v>0</v>
      </c>
      <c r="HB179" s="9">
        <v>260786259</v>
      </c>
      <c r="HC179" s="9">
        <v>5.0923999999999997E-2</v>
      </c>
      <c r="HD179" s="9">
        <v>88412</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32469</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row>
    <row r="180" spans="1:292" x14ac:dyDescent="0.25">
      <c r="A180" s="9">
        <v>227819</v>
      </c>
      <c r="B180" s="9">
        <v>32570</v>
      </c>
      <c r="C180" s="9">
        <v>35</v>
      </c>
      <c r="D180" s="9">
        <v>2022</v>
      </c>
      <c r="E180" s="9">
        <v>5392</v>
      </c>
      <c r="F180" s="9">
        <v>0</v>
      </c>
      <c r="G180" s="9">
        <v>262.80200000000002</v>
      </c>
      <c r="H180" s="9">
        <v>250.84200000000001</v>
      </c>
      <c r="I180" s="9">
        <v>250.84200000000001</v>
      </c>
      <c r="J180" s="9">
        <v>262.80200000000002</v>
      </c>
      <c r="K180" s="9">
        <v>0</v>
      </c>
      <c r="L180" s="9">
        <v>6554</v>
      </c>
      <c r="M180" s="9">
        <v>0</v>
      </c>
      <c r="N180" s="9">
        <v>0</v>
      </c>
      <c r="O180" s="9">
        <v>0</v>
      </c>
      <c r="P180" s="9">
        <v>261.57600000000002</v>
      </c>
      <c r="Q180" s="9">
        <v>0</v>
      </c>
      <c r="R180" s="9">
        <v>83629</v>
      </c>
      <c r="S180" s="9">
        <v>319.71300000000002</v>
      </c>
      <c r="T180" s="9">
        <v>0</v>
      </c>
      <c r="U180" s="9">
        <v>83629</v>
      </c>
      <c r="V180" s="9">
        <v>42.516000000000005</v>
      </c>
      <c r="W180" s="9">
        <v>27865</v>
      </c>
      <c r="X180" s="9">
        <v>27865</v>
      </c>
      <c r="Y180" s="9">
        <v>0</v>
      </c>
      <c r="Z180" s="9">
        <v>0</v>
      </c>
      <c r="AA180" s="9">
        <v>1</v>
      </c>
      <c r="AB180" s="9">
        <v>1</v>
      </c>
      <c r="AC180" s="9">
        <v>0</v>
      </c>
      <c r="AD180" s="9" t="s">
        <v>314</v>
      </c>
      <c r="AE180" s="9">
        <v>0</v>
      </c>
      <c r="AF180" s="9">
        <v>0</v>
      </c>
      <c r="AG180" s="9">
        <v>0</v>
      </c>
      <c r="AH180" s="9">
        <v>0</v>
      </c>
      <c r="AI180" s="9">
        <v>0</v>
      </c>
      <c r="AJ180" s="9">
        <v>5104</v>
      </c>
      <c r="AK180" s="9" t="s">
        <v>651</v>
      </c>
      <c r="AL180" s="9" t="s">
        <v>87</v>
      </c>
      <c r="AM180" s="9">
        <v>0</v>
      </c>
      <c r="AN180" s="9">
        <v>0</v>
      </c>
      <c r="AO180" s="9">
        <v>0</v>
      </c>
      <c r="AP180" s="9">
        <v>0</v>
      </c>
      <c r="AQ180" s="9">
        <v>0</v>
      </c>
      <c r="AR180" s="9">
        <v>0</v>
      </c>
      <c r="AS180" s="9">
        <v>0</v>
      </c>
      <c r="AT180" s="9">
        <v>0</v>
      </c>
      <c r="AU180" s="9">
        <v>0</v>
      </c>
      <c r="AV180" s="9">
        <v>53946</v>
      </c>
      <c r="AW180" s="9">
        <v>2552795</v>
      </c>
      <c r="AX180" s="9">
        <v>2501003</v>
      </c>
      <c r="AY180" s="9">
        <v>2702668</v>
      </c>
      <c r="AZ180" s="9">
        <v>83629</v>
      </c>
      <c r="BA180" s="9">
        <v>0</v>
      </c>
      <c r="BB180" s="9">
        <v>10334</v>
      </c>
      <c r="BC180" s="9">
        <v>10334</v>
      </c>
      <c r="BD180" s="9">
        <v>13.14</v>
      </c>
      <c r="BE180" s="9">
        <v>0</v>
      </c>
      <c r="BF180" s="9">
        <v>2123630</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51792</v>
      </c>
      <c r="CI180" s="9">
        <v>0</v>
      </c>
      <c r="CJ180" s="9">
        <v>4</v>
      </c>
      <c r="CK180" s="9">
        <v>0</v>
      </c>
      <c r="CL180" s="9">
        <v>0</v>
      </c>
      <c r="CM180" s="9">
        <v>0</v>
      </c>
      <c r="CN180" s="9">
        <v>0</v>
      </c>
      <c r="CO180" s="9">
        <v>0</v>
      </c>
      <c r="CP180" s="9">
        <v>0</v>
      </c>
      <c r="CQ180" s="9">
        <v>0</v>
      </c>
      <c r="CR180" s="9">
        <v>261.57600000000002</v>
      </c>
      <c r="CS180" s="9">
        <v>0</v>
      </c>
      <c r="CT180" s="9">
        <v>0</v>
      </c>
      <c r="CU180" s="9">
        <v>0</v>
      </c>
      <c r="CV180" s="9">
        <v>0</v>
      </c>
      <c r="CW180" s="9">
        <v>0</v>
      </c>
      <c r="CX180" s="9">
        <v>0</v>
      </c>
      <c r="CY180" s="9">
        <v>0</v>
      </c>
      <c r="CZ180" s="9">
        <v>0</v>
      </c>
      <c r="DA180" s="9">
        <v>1</v>
      </c>
      <c r="DB180" s="9">
        <v>1644018</v>
      </c>
      <c r="DC180" s="9">
        <v>0</v>
      </c>
      <c r="DD180" s="9">
        <v>0</v>
      </c>
      <c r="DE180" s="9">
        <v>232012</v>
      </c>
      <c r="DF180" s="9">
        <v>232012</v>
      </c>
      <c r="DG180" s="9">
        <v>177</v>
      </c>
      <c r="DH180" s="9">
        <v>0</v>
      </c>
      <c r="DI180" s="9">
        <v>0</v>
      </c>
      <c r="DJ180" s="9">
        <v>0</v>
      </c>
      <c r="DK180" s="9">
        <v>5392</v>
      </c>
      <c r="DL180" s="9">
        <v>0</v>
      </c>
      <c r="DM180" s="9">
        <v>267708</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2.5460000000000003</v>
      </c>
      <c r="ED180" s="9">
        <v>18355</v>
      </c>
      <c r="EE180" s="9">
        <v>0</v>
      </c>
      <c r="EF180" s="9">
        <v>0</v>
      </c>
      <c r="EG180" s="9">
        <v>0</v>
      </c>
      <c r="EH180" s="9">
        <v>249353</v>
      </c>
      <c r="EI180" s="9">
        <v>0</v>
      </c>
      <c r="EJ180" s="9">
        <v>0</v>
      </c>
      <c r="EK180" s="9">
        <v>10.877000000000001</v>
      </c>
      <c r="EL180" s="9">
        <v>0</v>
      </c>
      <c r="EM180" s="9">
        <v>0</v>
      </c>
      <c r="EN180" s="9">
        <v>1.083</v>
      </c>
      <c r="EO180" s="9">
        <v>0</v>
      </c>
      <c r="EP180" s="9">
        <v>0</v>
      </c>
      <c r="EQ180" s="9">
        <v>11.96</v>
      </c>
      <c r="ER180" s="9">
        <v>0</v>
      </c>
      <c r="ES180" s="9">
        <v>38.045999999999999</v>
      </c>
      <c r="ET180" s="9">
        <v>0</v>
      </c>
      <c r="EU180" s="9">
        <v>83629</v>
      </c>
      <c r="EV180" s="9">
        <v>0</v>
      </c>
      <c r="EW180" s="9">
        <v>0</v>
      </c>
      <c r="EX180" s="9">
        <v>0</v>
      </c>
      <c r="EY180" s="9">
        <v>0</v>
      </c>
      <c r="EZ180" s="9">
        <v>2104841</v>
      </c>
      <c r="FA180" s="9">
        <v>0</v>
      </c>
      <c r="FB180" s="9">
        <v>2188470</v>
      </c>
      <c r="FC180" s="9">
        <v>0.97327799999999998</v>
      </c>
      <c r="FD180" s="9">
        <v>0</v>
      </c>
      <c r="FE180" s="9">
        <v>323306</v>
      </c>
      <c r="FF180" s="9">
        <v>72856</v>
      </c>
      <c r="FG180" s="9">
        <v>6.1239999999999996E-2</v>
      </c>
      <c r="FH180" s="9">
        <v>5.4803999999999999E-2</v>
      </c>
      <c r="FI180" s="9">
        <v>0</v>
      </c>
      <c r="FJ180" s="9">
        <v>0</v>
      </c>
      <c r="FK180" s="9">
        <v>416.08600000000001</v>
      </c>
      <c r="FL180" s="9">
        <v>2636424</v>
      </c>
      <c r="FM180" s="9">
        <v>0</v>
      </c>
      <c r="FN180" s="9">
        <v>0</v>
      </c>
      <c r="FO180" s="9">
        <v>6533</v>
      </c>
      <c r="FP180" s="9">
        <v>0</v>
      </c>
      <c r="FQ180" s="9">
        <v>6533</v>
      </c>
      <c r="FR180" s="9">
        <v>6533</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2584632</v>
      </c>
      <c r="GQ180" s="9">
        <v>2584632</v>
      </c>
      <c r="GR180" s="9">
        <v>0</v>
      </c>
      <c r="GS180" s="9">
        <v>0</v>
      </c>
      <c r="GT180" s="9">
        <v>0</v>
      </c>
      <c r="GU180" s="9">
        <v>0</v>
      </c>
      <c r="GV180" s="9">
        <v>0</v>
      </c>
      <c r="GW180" s="9">
        <v>0</v>
      </c>
      <c r="GX180" s="9">
        <v>0</v>
      </c>
      <c r="GY180" s="9">
        <v>0</v>
      </c>
      <c r="GZ180" s="9">
        <v>0</v>
      </c>
      <c r="HA180" s="9">
        <v>0</v>
      </c>
      <c r="HB180" s="9">
        <v>260786259</v>
      </c>
      <c r="HC180" s="9">
        <v>5.0923999999999997E-2</v>
      </c>
      <c r="HD180" s="9">
        <v>51792</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32469</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row>
    <row r="181" spans="1:292" x14ac:dyDescent="0.25">
      <c r="A181" s="9">
        <v>227820</v>
      </c>
      <c r="B181" s="9">
        <v>32570</v>
      </c>
      <c r="C181" s="9">
        <v>35</v>
      </c>
      <c r="D181" s="9">
        <v>2022</v>
      </c>
      <c r="E181" s="9">
        <v>5392</v>
      </c>
      <c r="F181" s="9">
        <v>0</v>
      </c>
      <c r="G181" s="9">
        <v>25942.050999999999</v>
      </c>
      <c r="H181" s="9">
        <v>25007.752</v>
      </c>
      <c r="I181" s="9">
        <v>25007.752</v>
      </c>
      <c r="J181" s="9">
        <v>25942.050999999999</v>
      </c>
      <c r="K181" s="9">
        <v>0</v>
      </c>
      <c r="L181" s="9">
        <v>6554</v>
      </c>
      <c r="M181" s="9">
        <v>0</v>
      </c>
      <c r="N181" s="9">
        <v>0</v>
      </c>
      <c r="O181" s="9">
        <v>0</v>
      </c>
      <c r="P181" s="9">
        <v>24657.974000000002</v>
      </c>
      <c r="Q181" s="9">
        <v>0</v>
      </c>
      <c r="R181" s="9">
        <v>7883475</v>
      </c>
      <c r="S181" s="9">
        <v>319.71300000000002</v>
      </c>
      <c r="T181" s="9">
        <v>0</v>
      </c>
      <c r="U181" s="9">
        <v>7883475</v>
      </c>
      <c r="V181" s="9">
        <v>8417.8549999999996</v>
      </c>
      <c r="W181" s="9">
        <v>5517062</v>
      </c>
      <c r="X181" s="9">
        <v>5517062</v>
      </c>
      <c r="Y181" s="9">
        <v>0</v>
      </c>
      <c r="Z181" s="9">
        <v>0</v>
      </c>
      <c r="AA181" s="9">
        <v>1</v>
      </c>
      <c r="AB181" s="9">
        <v>1</v>
      </c>
      <c r="AC181" s="9">
        <v>0</v>
      </c>
      <c r="AD181" s="9" t="s">
        <v>314</v>
      </c>
      <c r="AE181" s="9">
        <v>0</v>
      </c>
      <c r="AF181" s="9">
        <v>0</v>
      </c>
      <c r="AG181" s="9">
        <v>0</v>
      </c>
      <c r="AH181" s="9">
        <v>0</v>
      </c>
      <c r="AI181" s="9">
        <v>0</v>
      </c>
      <c r="AJ181" s="9">
        <v>5104</v>
      </c>
      <c r="AK181" s="9" t="s">
        <v>651</v>
      </c>
      <c r="AL181" s="9" t="s">
        <v>463</v>
      </c>
      <c r="AM181" s="9">
        <v>0</v>
      </c>
      <c r="AN181" s="9">
        <v>0</v>
      </c>
      <c r="AO181" s="9">
        <v>0</v>
      </c>
      <c r="AP181" s="9">
        <v>0</v>
      </c>
      <c r="AQ181" s="9">
        <v>0</v>
      </c>
      <c r="AR181" s="9">
        <v>0</v>
      </c>
      <c r="AS181" s="9">
        <v>0</v>
      </c>
      <c r="AT181" s="9">
        <v>0</v>
      </c>
      <c r="AU181" s="9">
        <v>0</v>
      </c>
      <c r="AV181" s="9">
        <v>6064115</v>
      </c>
      <c r="AW181" s="9">
        <v>261028070</v>
      </c>
      <c r="AX181" s="9">
        <v>254568203</v>
      </c>
      <c r="AY181" s="9">
        <v>275420390</v>
      </c>
      <c r="AZ181" s="9">
        <v>9230742</v>
      </c>
      <c r="BA181" s="9">
        <v>0</v>
      </c>
      <c r="BB181" s="9">
        <v>0</v>
      </c>
      <c r="BC181" s="9">
        <v>0</v>
      </c>
      <c r="BD181" s="9">
        <v>0</v>
      </c>
      <c r="BE181" s="9">
        <v>0</v>
      </c>
      <c r="BF181" s="9">
        <v>215060284</v>
      </c>
      <c r="BG181" s="9">
        <v>0</v>
      </c>
      <c r="BH181" s="9">
        <v>4899.1509999999998</v>
      </c>
      <c r="BI181" s="9">
        <v>1347267</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0</v>
      </c>
      <c r="CB181" s="9">
        <v>0</v>
      </c>
      <c r="CC181" s="9">
        <v>0</v>
      </c>
      <c r="CD181" s="9">
        <v>0</v>
      </c>
      <c r="CE181" s="9">
        <v>0</v>
      </c>
      <c r="CF181" s="9">
        <v>0</v>
      </c>
      <c r="CG181" s="9">
        <v>0</v>
      </c>
      <c r="CH181" s="9">
        <v>5112600</v>
      </c>
      <c r="CI181" s="9">
        <v>0</v>
      </c>
      <c r="CJ181" s="9">
        <v>5</v>
      </c>
      <c r="CK181" s="9">
        <v>0</v>
      </c>
      <c r="CL181" s="9">
        <v>0</v>
      </c>
      <c r="CM181" s="9">
        <v>0</v>
      </c>
      <c r="CN181" s="9">
        <v>0</v>
      </c>
      <c r="CO181" s="9">
        <v>0</v>
      </c>
      <c r="CP181" s="9">
        <v>0</v>
      </c>
      <c r="CQ181" s="9">
        <v>0</v>
      </c>
      <c r="CR181" s="9">
        <v>24657.974000000002</v>
      </c>
      <c r="CS181" s="9">
        <v>0</v>
      </c>
      <c r="CT181" s="9">
        <v>0</v>
      </c>
      <c r="CU181" s="9">
        <v>0</v>
      </c>
      <c r="CV181" s="9">
        <v>0</v>
      </c>
      <c r="CW181" s="9">
        <v>0</v>
      </c>
      <c r="CX181" s="9">
        <v>0</v>
      </c>
      <c r="CY181" s="9">
        <v>0</v>
      </c>
      <c r="CZ181" s="9">
        <v>0</v>
      </c>
      <c r="DA181" s="9">
        <v>1</v>
      </c>
      <c r="DB181" s="9">
        <v>163900807</v>
      </c>
      <c r="DC181" s="9">
        <v>0</v>
      </c>
      <c r="DD181" s="9">
        <v>0</v>
      </c>
      <c r="DE181" s="9">
        <v>33508859</v>
      </c>
      <c r="DF181" s="9">
        <v>33508859</v>
      </c>
      <c r="DG181" s="9">
        <v>25563.670000000002</v>
      </c>
      <c r="DH181" s="9">
        <v>0</v>
      </c>
      <c r="DI181" s="9">
        <v>0</v>
      </c>
      <c r="DJ181" s="9">
        <v>0</v>
      </c>
      <c r="DK181" s="9">
        <v>5392</v>
      </c>
      <c r="DL181" s="9">
        <v>0</v>
      </c>
      <c r="DM181" s="9">
        <v>14227207</v>
      </c>
      <c r="DN181" s="9">
        <v>0</v>
      </c>
      <c r="DO181" s="9">
        <v>0</v>
      </c>
      <c r="DP181" s="9">
        <v>0</v>
      </c>
      <c r="DQ181" s="9">
        <v>0</v>
      </c>
      <c r="DR181" s="9">
        <v>0</v>
      </c>
      <c r="DS181" s="9">
        <v>0</v>
      </c>
      <c r="DT181" s="9">
        <v>0</v>
      </c>
      <c r="DU181" s="9">
        <v>0</v>
      </c>
      <c r="DV181" s="9">
        <v>0</v>
      </c>
      <c r="DW181" s="9">
        <v>0</v>
      </c>
      <c r="DX181" s="9">
        <v>0</v>
      </c>
      <c r="DY181" s="9">
        <v>0</v>
      </c>
      <c r="DZ181" s="9">
        <v>0</v>
      </c>
      <c r="EA181" s="9">
        <v>0.315</v>
      </c>
      <c r="EB181" s="9">
        <v>0</v>
      </c>
      <c r="EC181" s="9">
        <v>530.56400000000008</v>
      </c>
      <c r="ED181" s="9">
        <v>3825048</v>
      </c>
      <c r="EE181" s="9">
        <v>0</v>
      </c>
      <c r="EF181" s="9">
        <v>0</v>
      </c>
      <c r="EG181" s="9">
        <v>1.1880000000000002</v>
      </c>
      <c r="EH181" s="9">
        <v>10397833</v>
      </c>
      <c r="EI181" s="9">
        <v>4326</v>
      </c>
      <c r="EJ181" s="9">
        <v>0.16500000000000001</v>
      </c>
      <c r="EK181" s="9">
        <v>402.11400000000003</v>
      </c>
      <c r="EL181" s="9">
        <v>0.49</v>
      </c>
      <c r="EM181" s="9">
        <v>62.294000000000004</v>
      </c>
      <c r="EN181" s="9">
        <v>37.696000000000005</v>
      </c>
      <c r="EO181" s="9">
        <v>0</v>
      </c>
      <c r="EP181" s="9">
        <v>0</v>
      </c>
      <c r="EQ181" s="9">
        <v>503.77200000000005</v>
      </c>
      <c r="ER181" s="9">
        <v>0</v>
      </c>
      <c r="ES181" s="9">
        <v>1586.4870000000001</v>
      </c>
      <c r="ET181" s="9">
        <v>0</v>
      </c>
      <c r="EU181" s="9">
        <v>9230742</v>
      </c>
      <c r="EV181" s="9">
        <v>0</v>
      </c>
      <c r="EW181" s="9">
        <v>0</v>
      </c>
      <c r="EX181" s="9">
        <v>0</v>
      </c>
      <c r="EY181" s="9">
        <v>0</v>
      </c>
      <c r="EZ181" s="9">
        <v>214448817</v>
      </c>
      <c r="FA181" s="9">
        <v>0</v>
      </c>
      <c r="FB181" s="9">
        <v>223679559</v>
      </c>
      <c r="FC181" s="9">
        <v>0.97327799999999998</v>
      </c>
      <c r="FD181" s="9">
        <v>0</v>
      </c>
      <c r="FE181" s="9">
        <v>32741203</v>
      </c>
      <c r="FF181" s="9">
        <v>7378183</v>
      </c>
      <c r="FG181" s="9">
        <v>6.1239999999999996E-2</v>
      </c>
      <c r="FH181" s="9">
        <v>5.4803999999999999E-2</v>
      </c>
      <c r="FI181" s="9">
        <v>0</v>
      </c>
      <c r="FJ181" s="9">
        <v>0</v>
      </c>
      <c r="FK181" s="9">
        <v>42137.082999999999</v>
      </c>
      <c r="FL181" s="9">
        <v>268911545</v>
      </c>
      <c r="FM181" s="9">
        <v>0</v>
      </c>
      <c r="FN181" s="9">
        <v>0</v>
      </c>
      <c r="FO181" s="9">
        <v>974359</v>
      </c>
      <c r="FP181" s="9">
        <v>392915</v>
      </c>
      <c r="FQ181" s="9">
        <v>1367274</v>
      </c>
      <c r="FR181" s="9">
        <v>974359</v>
      </c>
      <c r="FS181" s="9">
        <v>0</v>
      </c>
      <c r="FT181" s="9">
        <v>0</v>
      </c>
      <c r="FU181" s="9">
        <v>0</v>
      </c>
      <c r="FV181" s="9">
        <v>0</v>
      </c>
      <c r="FW181" s="9">
        <v>0</v>
      </c>
      <c r="FX181" s="9">
        <v>0</v>
      </c>
      <c r="FY181" s="9">
        <v>0</v>
      </c>
      <c r="FZ181" s="9">
        <v>1823</v>
      </c>
      <c r="GA181" s="9">
        <v>36.460999999999999</v>
      </c>
      <c r="GB181" s="9">
        <v>3811083</v>
      </c>
      <c r="GC181" s="9">
        <v>3811083</v>
      </c>
      <c r="GD181" s="9">
        <v>430.52700000000004</v>
      </c>
      <c r="GE181" s="9">
        <v>0</v>
      </c>
      <c r="GF181" s="9">
        <v>0</v>
      </c>
      <c r="GG181" s="9">
        <v>0</v>
      </c>
      <c r="GH181" s="9">
        <v>0</v>
      </c>
      <c r="GI181" s="9">
        <v>0</v>
      </c>
      <c r="GJ181" s="9">
        <v>0</v>
      </c>
      <c r="GK181" s="9">
        <v>5220</v>
      </c>
      <c r="GL181" s="9">
        <v>16538</v>
      </c>
      <c r="GM181" s="9">
        <v>0</v>
      </c>
      <c r="GN181" s="9">
        <v>87195</v>
      </c>
      <c r="GO181" s="9">
        <v>0</v>
      </c>
      <c r="GP181" s="9">
        <v>263798945</v>
      </c>
      <c r="GQ181" s="9">
        <v>263798945</v>
      </c>
      <c r="GR181" s="9">
        <v>0</v>
      </c>
      <c r="GS181" s="9">
        <v>0</v>
      </c>
      <c r="GT181" s="9">
        <v>0</v>
      </c>
      <c r="GU181" s="9">
        <v>0</v>
      </c>
      <c r="GV181" s="9">
        <v>0</v>
      </c>
      <c r="GW181" s="9">
        <v>0</v>
      </c>
      <c r="GX181" s="9">
        <v>0</v>
      </c>
      <c r="GY181" s="9">
        <v>0</v>
      </c>
      <c r="GZ181" s="9">
        <v>0</v>
      </c>
      <c r="HA181" s="9">
        <v>0</v>
      </c>
      <c r="HB181" s="9">
        <v>260786259</v>
      </c>
      <c r="HC181" s="9">
        <v>5.0923999999999997E-2</v>
      </c>
      <c r="HD181" s="9">
        <v>5112600</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32469</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row>
    <row r="182" spans="1:292" x14ac:dyDescent="0.25">
      <c r="A182" s="9">
        <v>227821</v>
      </c>
      <c r="B182" s="9">
        <v>32570</v>
      </c>
      <c r="C182" s="9">
        <v>35</v>
      </c>
      <c r="D182" s="9">
        <v>2022</v>
      </c>
      <c r="E182" s="9">
        <v>5392</v>
      </c>
      <c r="F182" s="9">
        <v>0</v>
      </c>
      <c r="G182" s="9">
        <v>416.44</v>
      </c>
      <c r="H182" s="9">
        <v>397.92099999999999</v>
      </c>
      <c r="I182" s="9">
        <v>397.92099999999999</v>
      </c>
      <c r="J182" s="9">
        <v>416.44</v>
      </c>
      <c r="K182" s="9">
        <v>0</v>
      </c>
      <c r="L182" s="9">
        <v>6554</v>
      </c>
      <c r="M182" s="9">
        <v>0</v>
      </c>
      <c r="N182" s="9">
        <v>0</v>
      </c>
      <c r="O182" s="9">
        <v>0</v>
      </c>
      <c r="P182" s="9">
        <v>475.51600000000002</v>
      </c>
      <c r="Q182" s="9">
        <v>0</v>
      </c>
      <c r="R182" s="9">
        <v>152029</v>
      </c>
      <c r="S182" s="9">
        <v>319.71300000000002</v>
      </c>
      <c r="T182" s="9">
        <v>0</v>
      </c>
      <c r="U182" s="9">
        <v>152029</v>
      </c>
      <c r="V182" s="9">
        <v>4.8120000000000003</v>
      </c>
      <c r="W182" s="9">
        <v>3154</v>
      </c>
      <c r="X182" s="9">
        <v>3154</v>
      </c>
      <c r="Y182" s="9">
        <v>0</v>
      </c>
      <c r="Z182" s="9">
        <v>0</v>
      </c>
      <c r="AA182" s="9">
        <v>1</v>
      </c>
      <c r="AB182" s="9">
        <v>1</v>
      </c>
      <c r="AC182" s="9">
        <v>0</v>
      </c>
      <c r="AD182" s="9" t="s">
        <v>314</v>
      </c>
      <c r="AE182" s="9">
        <v>0</v>
      </c>
      <c r="AF182" s="9">
        <v>0</v>
      </c>
      <c r="AG182" s="9">
        <v>0</v>
      </c>
      <c r="AH182" s="9">
        <v>0</v>
      </c>
      <c r="AI182" s="9">
        <v>0</v>
      </c>
      <c r="AJ182" s="9">
        <v>5104</v>
      </c>
      <c r="AK182" s="9" t="s">
        <v>651</v>
      </c>
      <c r="AL182" s="9" t="s">
        <v>67</v>
      </c>
      <c r="AM182" s="9">
        <v>0</v>
      </c>
      <c r="AN182" s="9">
        <v>0</v>
      </c>
      <c r="AO182" s="9">
        <v>0</v>
      </c>
      <c r="AP182" s="9">
        <v>0</v>
      </c>
      <c r="AQ182" s="9">
        <v>0</v>
      </c>
      <c r="AR182" s="9">
        <v>0</v>
      </c>
      <c r="AS182" s="9">
        <v>0</v>
      </c>
      <c r="AT182" s="9">
        <v>0</v>
      </c>
      <c r="AU182" s="9">
        <v>0</v>
      </c>
      <c r="AV182" s="9">
        <v>151471</v>
      </c>
      <c r="AW182" s="9">
        <v>3646844</v>
      </c>
      <c r="AX182" s="9">
        <v>3558502</v>
      </c>
      <c r="AY182" s="9">
        <v>3884863</v>
      </c>
      <c r="AZ182" s="9">
        <v>152029</v>
      </c>
      <c r="BA182" s="9">
        <v>7.75</v>
      </c>
      <c r="BB182" s="9">
        <v>0</v>
      </c>
      <c r="BC182" s="9">
        <v>0</v>
      </c>
      <c r="BD182" s="9">
        <v>0</v>
      </c>
      <c r="BE182" s="9">
        <v>0</v>
      </c>
      <c r="BF182" s="9">
        <v>3056436</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88342</v>
      </c>
      <c r="CI182" s="9">
        <v>0</v>
      </c>
      <c r="CJ182" s="9">
        <v>4</v>
      </c>
      <c r="CK182" s="9">
        <v>0</v>
      </c>
      <c r="CL182" s="9">
        <v>0</v>
      </c>
      <c r="CM182" s="9">
        <v>0</v>
      </c>
      <c r="CN182" s="9">
        <v>0</v>
      </c>
      <c r="CO182" s="9">
        <v>0</v>
      </c>
      <c r="CP182" s="9">
        <v>0</v>
      </c>
      <c r="CQ182" s="9">
        <v>9.5830000000000002</v>
      </c>
      <c r="CR182" s="9">
        <v>475.51600000000002</v>
      </c>
      <c r="CS182" s="9">
        <v>0</v>
      </c>
      <c r="CT182" s="9">
        <v>0</v>
      </c>
      <c r="CU182" s="9">
        <v>0</v>
      </c>
      <c r="CV182" s="9">
        <v>0</v>
      </c>
      <c r="CW182" s="9">
        <v>0</v>
      </c>
      <c r="CX182" s="9">
        <v>0</v>
      </c>
      <c r="CY182" s="9">
        <v>0</v>
      </c>
      <c r="CZ182" s="9">
        <v>0</v>
      </c>
      <c r="DA182" s="9">
        <v>1</v>
      </c>
      <c r="DB182" s="9">
        <v>2607974</v>
      </c>
      <c r="DC182" s="9">
        <v>0</v>
      </c>
      <c r="DD182" s="9">
        <v>0</v>
      </c>
      <c r="DE182" s="9">
        <v>126269</v>
      </c>
      <c r="DF182" s="9">
        <v>126269</v>
      </c>
      <c r="DG182" s="9">
        <v>96.33</v>
      </c>
      <c r="DH182" s="9">
        <v>0</v>
      </c>
      <c r="DI182" s="9">
        <v>0</v>
      </c>
      <c r="DJ182" s="9">
        <v>0</v>
      </c>
      <c r="DK182" s="9">
        <v>5392</v>
      </c>
      <c r="DL182" s="9">
        <v>0</v>
      </c>
      <c r="DM182" s="9">
        <v>402957</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3.7160000000000002</v>
      </c>
      <c r="ED182" s="9">
        <v>26790</v>
      </c>
      <c r="EE182" s="9">
        <v>0</v>
      </c>
      <c r="EF182" s="9">
        <v>0</v>
      </c>
      <c r="EG182" s="9">
        <v>0</v>
      </c>
      <c r="EH182" s="9">
        <v>376167</v>
      </c>
      <c r="EI182" s="9">
        <v>0</v>
      </c>
      <c r="EJ182" s="9">
        <v>0</v>
      </c>
      <c r="EK182" s="9">
        <v>16.685000000000002</v>
      </c>
      <c r="EL182" s="9">
        <v>0</v>
      </c>
      <c r="EM182" s="9">
        <v>0.91500000000000004</v>
      </c>
      <c r="EN182" s="9">
        <v>0.91900000000000004</v>
      </c>
      <c r="EO182" s="9">
        <v>0</v>
      </c>
      <c r="EP182" s="9">
        <v>0</v>
      </c>
      <c r="EQ182" s="9">
        <v>18.519000000000002</v>
      </c>
      <c r="ER182" s="9">
        <v>0</v>
      </c>
      <c r="ES182" s="9">
        <v>57.395000000000003</v>
      </c>
      <c r="ET182" s="9">
        <v>6271</v>
      </c>
      <c r="EU182" s="9">
        <v>152029</v>
      </c>
      <c r="EV182" s="9">
        <v>0</v>
      </c>
      <c r="EW182" s="9">
        <v>0</v>
      </c>
      <c r="EX182" s="9">
        <v>0</v>
      </c>
      <c r="EY182" s="9">
        <v>0</v>
      </c>
      <c r="EZ182" s="9">
        <v>2988325</v>
      </c>
      <c r="FA182" s="9">
        <v>0</v>
      </c>
      <c r="FB182" s="9">
        <v>3140354</v>
      </c>
      <c r="FC182" s="9">
        <v>0.97327799999999998</v>
      </c>
      <c r="FD182" s="9">
        <v>0</v>
      </c>
      <c r="FE182" s="9">
        <v>465318</v>
      </c>
      <c r="FF182" s="9">
        <v>104859</v>
      </c>
      <c r="FG182" s="9">
        <v>6.1239999999999996E-2</v>
      </c>
      <c r="FH182" s="9">
        <v>5.4803999999999999E-2</v>
      </c>
      <c r="FI182" s="9">
        <v>0</v>
      </c>
      <c r="FJ182" s="9">
        <v>0</v>
      </c>
      <c r="FK182" s="9">
        <v>598.85199999999998</v>
      </c>
      <c r="FL182" s="9">
        <v>3798873</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3710531</v>
      </c>
      <c r="GQ182" s="9">
        <v>3710531</v>
      </c>
      <c r="GR182" s="9">
        <v>0</v>
      </c>
      <c r="GS182" s="9">
        <v>0</v>
      </c>
      <c r="GT182" s="9">
        <v>0</v>
      </c>
      <c r="GU182" s="9">
        <v>0</v>
      </c>
      <c r="GV182" s="9">
        <v>0</v>
      </c>
      <c r="GW182" s="9">
        <v>0</v>
      </c>
      <c r="GX182" s="9">
        <v>0</v>
      </c>
      <c r="GY182" s="9">
        <v>0</v>
      </c>
      <c r="GZ182" s="9">
        <v>0</v>
      </c>
      <c r="HA182" s="9">
        <v>0</v>
      </c>
      <c r="HB182" s="9">
        <v>260786259</v>
      </c>
      <c r="HC182" s="9">
        <v>5.0923999999999997E-2</v>
      </c>
      <c r="HD182" s="9">
        <v>82071</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32469</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row>
    <row r="183" spans="1:292" x14ac:dyDescent="0.25">
      <c r="A183" s="9">
        <v>227824</v>
      </c>
      <c r="B183" s="9">
        <v>32570</v>
      </c>
      <c r="C183" s="9">
        <v>35</v>
      </c>
      <c r="D183" s="9">
        <v>2022</v>
      </c>
      <c r="E183" s="9">
        <v>5392</v>
      </c>
      <c r="F183" s="9">
        <v>0</v>
      </c>
      <c r="G183" s="9">
        <v>806.327</v>
      </c>
      <c r="H183" s="9">
        <v>800.35800000000006</v>
      </c>
      <c r="I183" s="9">
        <v>800.35800000000006</v>
      </c>
      <c r="J183" s="9">
        <v>806.327</v>
      </c>
      <c r="K183" s="9">
        <v>0</v>
      </c>
      <c r="L183" s="9">
        <v>6554</v>
      </c>
      <c r="M183" s="9">
        <v>0</v>
      </c>
      <c r="N183" s="9">
        <v>0</v>
      </c>
      <c r="O183" s="9">
        <v>0</v>
      </c>
      <c r="P183" s="9">
        <v>846.04500000000007</v>
      </c>
      <c r="Q183" s="9">
        <v>0</v>
      </c>
      <c r="R183" s="9">
        <v>270492</v>
      </c>
      <c r="S183" s="9">
        <v>319.71300000000002</v>
      </c>
      <c r="T183" s="9">
        <v>0</v>
      </c>
      <c r="U183" s="9">
        <v>270492</v>
      </c>
      <c r="V183" s="9">
        <v>283.78899999999999</v>
      </c>
      <c r="W183" s="9">
        <v>185995</v>
      </c>
      <c r="X183" s="9">
        <v>185995</v>
      </c>
      <c r="Y183" s="9">
        <v>0</v>
      </c>
      <c r="Z183" s="9">
        <v>0</v>
      </c>
      <c r="AA183" s="9">
        <v>1</v>
      </c>
      <c r="AB183" s="9">
        <v>1</v>
      </c>
      <c r="AC183" s="9">
        <v>0</v>
      </c>
      <c r="AD183" s="9" t="s">
        <v>314</v>
      </c>
      <c r="AE183" s="9">
        <v>0</v>
      </c>
      <c r="AF183" s="9">
        <v>0</v>
      </c>
      <c r="AG183" s="9">
        <v>0</v>
      </c>
      <c r="AH183" s="9">
        <v>0</v>
      </c>
      <c r="AI183" s="9">
        <v>0</v>
      </c>
      <c r="AJ183" s="9">
        <v>5104</v>
      </c>
      <c r="AK183" s="9" t="s">
        <v>651</v>
      </c>
      <c r="AL183" s="9" t="s">
        <v>443</v>
      </c>
      <c r="AM183" s="9">
        <v>0</v>
      </c>
      <c r="AN183" s="9">
        <v>0</v>
      </c>
      <c r="AO183" s="9">
        <v>0</v>
      </c>
      <c r="AP183" s="9">
        <v>0</v>
      </c>
      <c r="AQ183" s="9">
        <v>0</v>
      </c>
      <c r="AR183" s="9">
        <v>0</v>
      </c>
      <c r="AS183" s="9">
        <v>0</v>
      </c>
      <c r="AT183" s="9">
        <v>0</v>
      </c>
      <c r="AU183" s="9">
        <v>0</v>
      </c>
      <c r="AV183" s="9">
        <v>681151</v>
      </c>
      <c r="AW183" s="9">
        <v>8147847</v>
      </c>
      <c r="AX183" s="9">
        <v>7898573</v>
      </c>
      <c r="AY183" s="9">
        <v>9370648</v>
      </c>
      <c r="AZ183" s="9">
        <v>360857</v>
      </c>
      <c r="BA183" s="9">
        <v>0</v>
      </c>
      <c r="BB183" s="9">
        <v>0</v>
      </c>
      <c r="BC183" s="9">
        <v>0</v>
      </c>
      <c r="BD183" s="9">
        <v>0</v>
      </c>
      <c r="BE183" s="9">
        <v>0</v>
      </c>
      <c r="BF183" s="9">
        <v>6677404</v>
      </c>
      <c r="BG183" s="9">
        <v>0</v>
      </c>
      <c r="BH183" s="9">
        <v>197.26500000000001</v>
      </c>
      <c r="BI183" s="9">
        <v>54248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94.484000000000009</v>
      </c>
      <c r="CB183" s="9">
        <v>36117</v>
      </c>
      <c r="CC183" s="9">
        <v>0</v>
      </c>
      <c r="CD183" s="9">
        <v>0</v>
      </c>
      <c r="CE183" s="9">
        <v>0</v>
      </c>
      <c r="CF183" s="9">
        <v>0</v>
      </c>
      <c r="CG183" s="9">
        <v>0</v>
      </c>
      <c r="CH183" s="9">
        <v>158909</v>
      </c>
      <c r="CI183" s="9">
        <v>0</v>
      </c>
      <c r="CJ183" s="9">
        <v>4</v>
      </c>
      <c r="CK183" s="9">
        <v>0</v>
      </c>
      <c r="CL183" s="9">
        <v>0</v>
      </c>
      <c r="CM183" s="9">
        <v>0</v>
      </c>
      <c r="CN183" s="9">
        <v>0</v>
      </c>
      <c r="CO183" s="9">
        <v>0</v>
      </c>
      <c r="CP183" s="9">
        <v>0</v>
      </c>
      <c r="CQ183" s="9">
        <v>0</v>
      </c>
      <c r="CR183" s="9">
        <v>846.04500000000007</v>
      </c>
      <c r="CS183" s="9">
        <v>0</v>
      </c>
      <c r="CT183" s="9">
        <v>0</v>
      </c>
      <c r="CU183" s="9">
        <v>0</v>
      </c>
      <c r="CV183" s="9">
        <v>0</v>
      </c>
      <c r="CW183" s="9">
        <v>0</v>
      </c>
      <c r="CX183" s="9">
        <v>0</v>
      </c>
      <c r="CY183" s="9">
        <v>0</v>
      </c>
      <c r="CZ183" s="9">
        <v>0</v>
      </c>
      <c r="DA183" s="9">
        <v>1</v>
      </c>
      <c r="DB183" s="9">
        <v>5245546</v>
      </c>
      <c r="DC183" s="9">
        <v>0</v>
      </c>
      <c r="DD183" s="9">
        <v>0</v>
      </c>
      <c r="DE183" s="9">
        <v>1120734</v>
      </c>
      <c r="DF183" s="9">
        <v>1120734</v>
      </c>
      <c r="DG183" s="9">
        <v>855</v>
      </c>
      <c r="DH183" s="9">
        <v>0</v>
      </c>
      <c r="DI183" s="9">
        <v>0</v>
      </c>
      <c r="DJ183" s="9">
        <v>0</v>
      </c>
      <c r="DK183" s="9">
        <v>5392</v>
      </c>
      <c r="DL183" s="9">
        <v>0</v>
      </c>
      <c r="DM183" s="9">
        <v>308465</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23.942</v>
      </c>
      <c r="ED183" s="9">
        <v>172607</v>
      </c>
      <c r="EE183" s="9">
        <v>0</v>
      </c>
      <c r="EF183" s="9">
        <v>0</v>
      </c>
      <c r="EG183" s="9">
        <v>0</v>
      </c>
      <c r="EH183" s="9">
        <v>135858</v>
      </c>
      <c r="EI183" s="9">
        <v>0</v>
      </c>
      <c r="EJ183" s="9">
        <v>0</v>
      </c>
      <c r="EK183" s="9">
        <v>4.5579999999999998</v>
      </c>
      <c r="EL183" s="9">
        <v>0</v>
      </c>
      <c r="EM183" s="9">
        <v>0</v>
      </c>
      <c r="EN183" s="9">
        <v>1.411</v>
      </c>
      <c r="EO183" s="9">
        <v>0</v>
      </c>
      <c r="EP183" s="9">
        <v>0</v>
      </c>
      <c r="EQ183" s="9">
        <v>5.9690000000000003</v>
      </c>
      <c r="ER183" s="9">
        <v>0</v>
      </c>
      <c r="ES183" s="9">
        <v>20.729000000000003</v>
      </c>
      <c r="ET183" s="9">
        <v>0</v>
      </c>
      <c r="EU183" s="9">
        <v>360857</v>
      </c>
      <c r="EV183" s="9">
        <v>0</v>
      </c>
      <c r="EW183" s="9">
        <v>0</v>
      </c>
      <c r="EX183" s="9">
        <v>0</v>
      </c>
      <c r="EY183" s="9">
        <v>0</v>
      </c>
      <c r="EZ183" s="9">
        <v>6652907</v>
      </c>
      <c r="FA183" s="9">
        <v>0</v>
      </c>
      <c r="FB183" s="9">
        <v>7013764</v>
      </c>
      <c r="FC183" s="9">
        <v>0.97327799999999998</v>
      </c>
      <c r="FD183" s="9">
        <v>0</v>
      </c>
      <c r="FE183" s="9">
        <v>1016581</v>
      </c>
      <c r="FF183" s="9">
        <v>229085</v>
      </c>
      <c r="FG183" s="9">
        <v>6.1239999999999996E-2</v>
      </c>
      <c r="FH183" s="9">
        <v>5.4803999999999999E-2</v>
      </c>
      <c r="FI183" s="9">
        <v>0</v>
      </c>
      <c r="FJ183" s="9">
        <v>0</v>
      </c>
      <c r="FK183" s="9">
        <v>1308.3140000000001</v>
      </c>
      <c r="FL183" s="9">
        <v>8418339</v>
      </c>
      <c r="FM183" s="9">
        <v>0</v>
      </c>
      <c r="FN183" s="9">
        <v>0</v>
      </c>
      <c r="FO183" s="9">
        <v>62659</v>
      </c>
      <c r="FP183" s="9">
        <v>0</v>
      </c>
      <c r="FQ183" s="9">
        <v>62659</v>
      </c>
      <c r="FR183" s="9">
        <v>62659</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8259430</v>
      </c>
      <c r="GQ183" s="9">
        <v>8259430</v>
      </c>
      <c r="GR183" s="9">
        <v>0</v>
      </c>
      <c r="GS183" s="9">
        <v>0</v>
      </c>
      <c r="GT183" s="9">
        <v>0</v>
      </c>
      <c r="GU183" s="9">
        <v>0</v>
      </c>
      <c r="GV183" s="9">
        <v>0</v>
      </c>
      <c r="GW183" s="9">
        <v>0</v>
      </c>
      <c r="GX183" s="9">
        <v>0</v>
      </c>
      <c r="GY183" s="9">
        <v>0</v>
      </c>
      <c r="GZ183" s="9">
        <v>0</v>
      </c>
      <c r="HA183" s="9">
        <v>0</v>
      </c>
      <c r="HB183" s="9">
        <v>260786259</v>
      </c>
      <c r="HC183" s="9">
        <v>5.0923999999999997E-2</v>
      </c>
      <c r="HD183" s="9">
        <v>158909</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32469</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row>
    <row r="184" spans="1:292" x14ac:dyDescent="0.25">
      <c r="A184" s="9">
        <v>227825</v>
      </c>
      <c r="B184" s="9">
        <v>32570</v>
      </c>
      <c r="C184" s="9">
        <v>35</v>
      </c>
      <c r="D184" s="9">
        <v>2022</v>
      </c>
      <c r="E184" s="9">
        <v>5392</v>
      </c>
      <c r="F184" s="9">
        <v>0</v>
      </c>
      <c r="G184" s="9">
        <v>1700.14</v>
      </c>
      <c r="H184" s="9">
        <v>1645.009</v>
      </c>
      <c r="I184" s="9">
        <v>1645.009</v>
      </c>
      <c r="J184" s="9">
        <v>1700.14</v>
      </c>
      <c r="K184" s="9">
        <v>0</v>
      </c>
      <c r="L184" s="9">
        <v>6554</v>
      </c>
      <c r="M184" s="9">
        <v>0</v>
      </c>
      <c r="N184" s="9">
        <v>0</v>
      </c>
      <c r="O184" s="9">
        <v>0</v>
      </c>
      <c r="P184" s="9">
        <v>1474.701</v>
      </c>
      <c r="Q184" s="9">
        <v>0</v>
      </c>
      <c r="R184" s="9">
        <v>471481</v>
      </c>
      <c r="S184" s="9">
        <v>319.71300000000002</v>
      </c>
      <c r="T184" s="9">
        <v>0</v>
      </c>
      <c r="U184" s="9">
        <v>471481</v>
      </c>
      <c r="V184" s="9">
        <v>980.3180000000001</v>
      </c>
      <c r="W184" s="9">
        <v>642500</v>
      </c>
      <c r="X184" s="9">
        <v>642500</v>
      </c>
      <c r="Y184" s="9">
        <v>0</v>
      </c>
      <c r="Z184" s="9">
        <v>0</v>
      </c>
      <c r="AA184" s="9">
        <v>1</v>
      </c>
      <c r="AB184" s="9">
        <v>1</v>
      </c>
      <c r="AC184" s="9">
        <v>0</v>
      </c>
      <c r="AD184" s="9" t="s">
        <v>314</v>
      </c>
      <c r="AE184" s="9">
        <v>0</v>
      </c>
      <c r="AF184" s="9">
        <v>0</v>
      </c>
      <c r="AG184" s="9">
        <v>0</v>
      </c>
      <c r="AH184" s="9">
        <v>0</v>
      </c>
      <c r="AI184" s="9">
        <v>0</v>
      </c>
      <c r="AJ184" s="9">
        <v>5104</v>
      </c>
      <c r="AK184" s="9" t="s">
        <v>651</v>
      </c>
      <c r="AL184" s="9" t="s">
        <v>118</v>
      </c>
      <c r="AM184" s="9">
        <v>0</v>
      </c>
      <c r="AN184" s="9">
        <v>0</v>
      </c>
      <c r="AO184" s="9">
        <v>0</v>
      </c>
      <c r="AP184" s="9">
        <v>0</v>
      </c>
      <c r="AQ184" s="9">
        <v>0</v>
      </c>
      <c r="AR184" s="9">
        <v>0</v>
      </c>
      <c r="AS184" s="9">
        <v>0</v>
      </c>
      <c r="AT184" s="9">
        <v>0</v>
      </c>
      <c r="AU184" s="9">
        <v>0</v>
      </c>
      <c r="AV184" s="9">
        <v>115878</v>
      </c>
      <c r="AW184" s="9">
        <v>18100045</v>
      </c>
      <c r="AX184" s="9">
        <v>17444446</v>
      </c>
      <c r="AY184" s="9">
        <v>19190215</v>
      </c>
      <c r="AZ184" s="9">
        <v>792020</v>
      </c>
      <c r="BA184" s="9">
        <v>0</v>
      </c>
      <c r="BB184" s="9">
        <v>0</v>
      </c>
      <c r="BC184" s="9">
        <v>0</v>
      </c>
      <c r="BD184" s="9">
        <v>0</v>
      </c>
      <c r="BE184" s="9">
        <v>0</v>
      </c>
      <c r="BF184" s="9">
        <v>14689535</v>
      </c>
      <c r="BG184" s="9">
        <v>0</v>
      </c>
      <c r="BH184" s="9">
        <v>485.74200000000002</v>
      </c>
      <c r="BI184" s="9">
        <v>133579</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489.09000000000003</v>
      </c>
      <c r="CB184" s="9">
        <v>186960</v>
      </c>
      <c r="CC184" s="9">
        <v>0</v>
      </c>
      <c r="CD184" s="9">
        <v>0</v>
      </c>
      <c r="CE184" s="9">
        <v>0</v>
      </c>
      <c r="CF184" s="9">
        <v>0</v>
      </c>
      <c r="CG184" s="9">
        <v>0</v>
      </c>
      <c r="CH184" s="9">
        <v>335060</v>
      </c>
      <c r="CI184" s="9">
        <v>0</v>
      </c>
      <c r="CJ184" s="9">
        <v>5</v>
      </c>
      <c r="CK184" s="9">
        <v>0</v>
      </c>
      <c r="CL184" s="9">
        <v>0</v>
      </c>
      <c r="CM184" s="9">
        <v>0</v>
      </c>
      <c r="CN184" s="9">
        <v>0</v>
      </c>
      <c r="CO184" s="9">
        <v>0</v>
      </c>
      <c r="CP184" s="9">
        <v>1.1000000000000001E-2</v>
      </c>
      <c r="CQ184" s="9">
        <v>0</v>
      </c>
      <c r="CR184" s="9">
        <v>1474.701</v>
      </c>
      <c r="CS184" s="9">
        <v>0</v>
      </c>
      <c r="CT184" s="9">
        <v>0</v>
      </c>
      <c r="CU184" s="9">
        <v>0</v>
      </c>
      <c r="CV184" s="9">
        <v>0</v>
      </c>
      <c r="CW184" s="9">
        <v>0</v>
      </c>
      <c r="CX184" s="9">
        <v>0</v>
      </c>
      <c r="CY184" s="9">
        <v>0</v>
      </c>
      <c r="CZ184" s="9">
        <v>0</v>
      </c>
      <c r="DA184" s="9">
        <v>1</v>
      </c>
      <c r="DB184" s="9">
        <v>10781389</v>
      </c>
      <c r="DC184" s="9">
        <v>0</v>
      </c>
      <c r="DD184" s="9">
        <v>0</v>
      </c>
      <c r="DE184" s="9">
        <v>2149712</v>
      </c>
      <c r="DF184" s="9">
        <v>2149886</v>
      </c>
      <c r="DG184" s="9">
        <v>1640</v>
      </c>
      <c r="DH184" s="9">
        <v>0</v>
      </c>
      <c r="DI184" s="9">
        <v>174</v>
      </c>
      <c r="DJ184" s="9">
        <v>0</v>
      </c>
      <c r="DK184" s="9">
        <v>5392</v>
      </c>
      <c r="DL184" s="9">
        <v>0</v>
      </c>
      <c r="DM184" s="9">
        <v>1300854</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93.414000000000001</v>
      </c>
      <c r="ED184" s="9">
        <v>673459</v>
      </c>
      <c r="EE184" s="9">
        <v>0</v>
      </c>
      <c r="EF184" s="9">
        <v>0</v>
      </c>
      <c r="EG184" s="9">
        <v>0</v>
      </c>
      <c r="EH184" s="9">
        <v>627395</v>
      </c>
      <c r="EI184" s="9">
        <v>0</v>
      </c>
      <c r="EJ184" s="9">
        <v>0</v>
      </c>
      <c r="EK184" s="9">
        <v>24.228000000000002</v>
      </c>
      <c r="EL184" s="9">
        <v>0</v>
      </c>
      <c r="EM184" s="9">
        <v>4.0760000000000005</v>
      </c>
      <c r="EN184" s="9">
        <v>2.1630000000000003</v>
      </c>
      <c r="EO184" s="9">
        <v>0</v>
      </c>
      <c r="EP184" s="9">
        <v>0</v>
      </c>
      <c r="EQ184" s="9">
        <v>30.467000000000002</v>
      </c>
      <c r="ER184" s="9">
        <v>0</v>
      </c>
      <c r="ES184" s="9">
        <v>95.727000000000004</v>
      </c>
      <c r="ET184" s="9">
        <v>0</v>
      </c>
      <c r="EU184" s="9">
        <v>792020</v>
      </c>
      <c r="EV184" s="9">
        <v>0</v>
      </c>
      <c r="EW184" s="9">
        <v>0</v>
      </c>
      <c r="EX184" s="9">
        <v>0</v>
      </c>
      <c r="EY184" s="9">
        <v>0</v>
      </c>
      <c r="EZ184" s="9">
        <v>14704121</v>
      </c>
      <c r="FA184" s="9">
        <v>0</v>
      </c>
      <c r="FB184" s="9">
        <v>15496141</v>
      </c>
      <c r="FC184" s="9">
        <v>0.97327799999999998</v>
      </c>
      <c r="FD184" s="9">
        <v>0</v>
      </c>
      <c r="FE184" s="9">
        <v>2236364</v>
      </c>
      <c r="FF184" s="9">
        <v>503961</v>
      </c>
      <c r="FG184" s="9">
        <v>6.1239999999999996E-2</v>
      </c>
      <c r="FH184" s="9">
        <v>5.4803999999999999E-2</v>
      </c>
      <c r="FI184" s="9">
        <v>0</v>
      </c>
      <c r="FJ184" s="9">
        <v>0</v>
      </c>
      <c r="FK184" s="9">
        <v>2878.143</v>
      </c>
      <c r="FL184" s="9">
        <v>18571526</v>
      </c>
      <c r="FM184" s="9">
        <v>0</v>
      </c>
      <c r="FN184" s="9">
        <v>0</v>
      </c>
      <c r="FO184" s="9">
        <v>82748</v>
      </c>
      <c r="FP184" s="9">
        <v>0</v>
      </c>
      <c r="FQ184" s="9">
        <v>82748</v>
      </c>
      <c r="FR184" s="9">
        <v>82748</v>
      </c>
      <c r="FS184" s="9">
        <v>0</v>
      </c>
      <c r="FT184" s="9">
        <v>0</v>
      </c>
      <c r="FU184" s="9">
        <v>0</v>
      </c>
      <c r="FV184" s="9">
        <v>0</v>
      </c>
      <c r="FW184" s="9">
        <v>0</v>
      </c>
      <c r="FX184" s="9">
        <v>0</v>
      </c>
      <c r="FY184" s="9">
        <v>0</v>
      </c>
      <c r="FZ184" s="9">
        <v>0</v>
      </c>
      <c r="GA184" s="9">
        <v>0</v>
      </c>
      <c r="GB184" s="9">
        <v>218225</v>
      </c>
      <c r="GC184" s="9">
        <v>218225</v>
      </c>
      <c r="GD184" s="9">
        <v>24.664000000000001</v>
      </c>
      <c r="GE184" s="9">
        <v>0</v>
      </c>
      <c r="GF184" s="9">
        <v>0</v>
      </c>
      <c r="GG184" s="9">
        <v>0</v>
      </c>
      <c r="GH184" s="9">
        <v>0</v>
      </c>
      <c r="GI184" s="9">
        <v>0</v>
      </c>
      <c r="GJ184" s="9">
        <v>0</v>
      </c>
      <c r="GK184" s="9">
        <v>4971</v>
      </c>
      <c r="GL184" s="9">
        <v>0</v>
      </c>
      <c r="GM184" s="9">
        <v>0</v>
      </c>
      <c r="GN184" s="9">
        <v>0</v>
      </c>
      <c r="GO184" s="9">
        <v>0</v>
      </c>
      <c r="GP184" s="9">
        <v>18236466</v>
      </c>
      <c r="GQ184" s="9">
        <v>18236466</v>
      </c>
      <c r="GR184" s="9">
        <v>0</v>
      </c>
      <c r="GS184" s="9">
        <v>0</v>
      </c>
      <c r="GT184" s="9">
        <v>0</v>
      </c>
      <c r="GU184" s="9">
        <v>0</v>
      </c>
      <c r="GV184" s="9">
        <v>0</v>
      </c>
      <c r="GW184" s="9">
        <v>0</v>
      </c>
      <c r="GX184" s="9">
        <v>0</v>
      </c>
      <c r="GY184" s="9">
        <v>0</v>
      </c>
      <c r="GZ184" s="9">
        <v>0</v>
      </c>
      <c r="HA184" s="9">
        <v>0</v>
      </c>
      <c r="HB184" s="9">
        <v>260786259</v>
      </c>
      <c r="HC184" s="9">
        <v>5.0923999999999997E-2</v>
      </c>
      <c r="HD184" s="9">
        <v>335060</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32469</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row>
    <row r="185" spans="1:292" x14ac:dyDescent="0.25">
      <c r="A185" s="9">
        <v>227826</v>
      </c>
      <c r="B185" s="9">
        <v>32570</v>
      </c>
      <c r="C185" s="9">
        <v>35</v>
      </c>
      <c r="D185" s="9">
        <v>2022</v>
      </c>
      <c r="E185" s="9">
        <v>5392</v>
      </c>
      <c r="F185" s="9">
        <v>0</v>
      </c>
      <c r="G185" s="9">
        <v>379.68800000000005</v>
      </c>
      <c r="H185" s="9">
        <v>370.3</v>
      </c>
      <c r="I185" s="9">
        <v>370.3</v>
      </c>
      <c r="J185" s="9">
        <v>379.68800000000005</v>
      </c>
      <c r="K185" s="9">
        <v>0</v>
      </c>
      <c r="L185" s="9">
        <v>6554</v>
      </c>
      <c r="M185" s="9">
        <v>0</v>
      </c>
      <c r="N185" s="9">
        <v>0</v>
      </c>
      <c r="O185" s="9">
        <v>0</v>
      </c>
      <c r="P185" s="9">
        <v>387.80600000000004</v>
      </c>
      <c r="Q185" s="9">
        <v>0</v>
      </c>
      <c r="R185" s="9">
        <v>123987</v>
      </c>
      <c r="S185" s="9">
        <v>319.71300000000002</v>
      </c>
      <c r="T185" s="9">
        <v>0</v>
      </c>
      <c r="U185" s="9">
        <v>123987</v>
      </c>
      <c r="V185" s="9">
        <v>97.951000000000008</v>
      </c>
      <c r="W185" s="9">
        <v>64197</v>
      </c>
      <c r="X185" s="9">
        <v>64197</v>
      </c>
      <c r="Y185" s="9">
        <v>0</v>
      </c>
      <c r="Z185" s="9">
        <v>0</v>
      </c>
      <c r="AA185" s="9">
        <v>1</v>
      </c>
      <c r="AB185" s="9">
        <v>1</v>
      </c>
      <c r="AC185" s="9">
        <v>0</v>
      </c>
      <c r="AD185" s="9" t="s">
        <v>314</v>
      </c>
      <c r="AE185" s="9">
        <v>0</v>
      </c>
      <c r="AF185" s="9">
        <v>0</v>
      </c>
      <c r="AG185" s="9">
        <v>0</v>
      </c>
      <c r="AH185" s="9">
        <v>0</v>
      </c>
      <c r="AI185" s="9">
        <v>0</v>
      </c>
      <c r="AJ185" s="9">
        <v>5104</v>
      </c>
      <c r="AK185" s="9" t="s">
        <v>651</v>
      </c>
      <c r="AL185" s="9" t="s">
        <v>365</v>
      </c>
      <c r="AM185" s="9">
        <v>0</v>
      </c>
      <c r="AN185" s="9">
        <v>0</v>
      </c>
      <c r="AO185" s="9">
        <v>0</v>
      </c>
      <c r="AP185" s="9">
        <v>0</v>
      </c>
      <c r="AQ185" s="9">
        <v>0</v>
      </c>
      <c r="AR185" s="9">
        <v>0</v>
      </c>
      <c r="AS185" s="9">
        <v>0</v>
      </c>
      <c r="AT185" s="9">
        <v>0</v>
      </c>
      <c r="AU185" s="9">
        <v>0</v>
      </c>
      <c r="AV185" s="9">
        <v>64</v>
      </c>
      <c r="AW185" s="9">
        <v>3564084</v>
      </c>
      <c r="AX185" s="9">
        <v>3489256</v>
      </c>
      <c r="AY185" s="9">
        <v>3719417</v>
      </c>
      <c r="AZ185" s="9">
        <v>123987</v>
      </c>
      <c r="BA185" s="9">
        <v>0</v>
      </c>
      <c r="BB185" s="9">
        <v>0</v>
      </c>
      <c r="BC185" s="9">
        <v>0</v>
      </c>
      <c r="BD185" s="9">
        <v>0</v>
      </c>
      <c r="BE185" s="9">
        <v>0</v>
      </c>
      <c r="BF185" s="9">
        <v>2976298</v>
      </c>
      <c r="BG185" s="9">
        <v>0</v>
      </c>
      <c r="BH185" s="9">
        <v>0</v>
      </c>
      <c r="BI185" s="9">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9">
        <v>74828</v>
      </c>
      <c r="CI185" s="9">
        <v>0</v>
      </c>
      <c r="CJ185" s="9">
        <v>4</v>
      </c>
      <c r="CK185" s="9">
        <v>0</v>
      </c>
      <c r="CL185" s="9">
        <v>0</v>
      </c>
      <c r="CM185" s="9">
        <v>0</v>
      </c>
      <c r="CN185" s="9">
        <v>0</v>
      </c>
      <c r="CO185" s="9">
        <v>0</v>
      </c>
      <c r="CP185" s="9">
        <v>0</v>
      </c>
      <c r="CQ185" s="9">
        <v>0</v>
      </c>
      <c r="CR185" s="9">
        <v>387.80600000000004</v>
      </c>
      <c r="CS185" s="9">
        <v>0</v>
      </c>
      <c r="CT185" s="9">
        <v>0</v>
      </c>
      <c r="CU185" s="9">
        <v>0</v>
      </c>
      <c r="CV185" s="9">
        <v>0</v>
      </c>
      <c r="CW185" s="9">
        <v>0</v>
      </c>
      <c r="CX185" s="9">
        <v>0</v>
      </c>
      <c r="CY185" s="9">
        <v>0</v>
      </c>
      <c r="CZ185" s="9">
        <v>0</v>
      </c>
      <c r="DA185" s="9">
        <v>1</v>
      </c>
      <c r="DB185" s="9">
        <v>2426946</v>
      </c>
      <c r="DC185" s="9">
        <v>0</v>
      </c>
      <c r="DD185" s="9">
        <v>0</v>
      </c>
      <c r="DE185" s="9">
        <v>350639</v>
      </c>
      <c r="DF185" s="9">
        <v>350639</v>
      </c>
      <c r="DG185" s="9">
        <v>267.5</v>
      </c>
      <c r="DH185" s="9">
        <v>0</v>
      </c>
      <c r="DI185" s="9">
        <v>0</v>
      </c>
      <c r="DJ185" s="9">
        <v>0</v>
      </c>
      <c r="DK185" s="9">
        <v>5392</v>
      </c>
      <c r="DL185" s="9">
        <v>0</v>
      </c>
      <c r="DM185" s="9">
        <v>216234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2.8370000000000002</v>
      </c>
      <c r="ED185" s="9">
        <v>20453</v>
      </c>
      <c r="EE185" s="9">
        <v>0</v>
      </c>
      <c r="EF185" s="9">
        <v>0</v>
      </c>
      <c r="EG185" s="9">
        <v>0</v>
      </c>
      <c r="EH185" s="9">
        <v>195781</v>
      </c>
      <c r="EI185" s="9">
        <v>0</v>
      </c>
      <c r="EJ185" s="9">
        <v>0</v>
      </c>
      <c r="EK185" s="9">
        <v>8.5340000000000007</v>
      </c>
      <c r="EL185" s="9">
        <v>0</v>
      </c>
      <c r="EM185" s="9">
        <v>0</v>
      </c>
      <c r="EN185" s="9">
        <v>0.85400000000000009</v>
      </c>
      <c r="EO185" s="9">
        <v>0</v>
      </c>
      <c r="EP185" s="9">
        <v>0</v>
      </c>
      <c r="EQ185" s="9">
        <v>9.3879999999999999</v>
      </c>
      <c r="ER185" s="9">
        <v>0</v>
      </c>
      <c r="ES185" s="9">
        <v>29.872</v>
      </c>
      <c r="ET185" s="9">
        <v>0</v>
      </c>
      <c r="EU185" s="9">
        <v>123987</v>
      </c>
      <c r="EV185" s="9">
        <v>0</v>
      </c>
      <c r="EW185" s="9">
        <v>0</v>
      </c>
      <c r="EX185" s="9">
        <v>0</v>
      </c>
      <c r="EY185" s="9">
        <v>0</v>
      </c>
      <c r="EZ185" s="9">
        <v>2934029</v>
      </c>
      <c r="FA185" s="9">
        <v>0</v>
      </c>
      <c r="FB185" s="9">
        <v>3058016</v>
      </c>
      <c r="FC185" s="9">
        <v>0.97327799999999998</v>
      </c>
      <c r="FD185" s="9">
        <v>0</v>
      </c>
      <c r="FE185" s="9">
        <v>453118</v>
      </c>
      <c r="FF185" s="9">
        <v>102109</v>
      </c>
      <c r="FG185" s="9">
        <v>6.1239999999999996E-2</v>
      </c>
      <c r="FH185" s="9">
        <v>5.4803999999999999E-2</v>
      </c>
      <c r="FI185" s="9">
        <v>0</v>
      </c>
      <c r="FJ185" s="9">
        <v>0</v>
      </c>
      <c r="FK185" s="9">
        <v>583.15100000000007</v>
      </c>
      <c r="FL185" s="9">
        <v>3688071</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9">
        <v>0</v>
      </c>
      <c r="GC185" s="9">
        <v>0</v>
      </c>
      <c r="GD185" s="9">
        <v>0</v>
      </c>
      <c r="GE185" s="9">
        <v>0</v>
      </c>
      <c r="GF185" s="9">
        <v>0</v>
      </c>
      <c r="GG185" s="9">
        <v>0</v>
      </c>
      <c r="GH185" s="9">
        <v>0</v>
      </c>
      <c r="GI185" s="9">
        <v>0</v>
      </c>
      <c r="GJ185" s="9">
        <v>0</v>
      </c>
      <c r="GK185" s="9">
        <v>0</v>
      </c>
      <c r="GL185" s="9">
        <v>0</v>
      </c>
      <c r="GM185" s="9">
        <v>0</v>
      </c>
      <c r="GN185" s="9">
        <v>0</v>
      </c>
      <c r="GO185" s="9">
        <v>0</v>
      </c>
      <c r="GP185" s="9">
        <v>3613243</v>
      </c>
      <c r="GQ185" s="9">
        <v>3613243</v>
      </c>
      <c r="GR185" s="9">
        <v>0</v>
      </c>
      <c r="GS185" s="9">
        <v>0</v>
      </c>
      <c r="GT185" s="9">
        <v>0</v>
      </c>
      <c r="GU185" s="9">
        <v>0</v>
      </c>
      <c r="GV185" s="9">
        <v>0</v>
      </c>
      <c r="GW185" s="9">
        <v>0</v>
      </c>
      <c r="GX185" s="9">
        <v>0</v>
      </c>
      <c r="GY185" s="9">
        <v>0</v>
      </c>
      <c r="GZ185" s="9">
        <v>0</v>
      </c>
      <c r="HA185" s="9">
        <v>0</v>
      </c>
      <c r="HB185" s="9">
        <v>260786259</v>
      </c>
      <c r="HC185" s="9">
        <v>5.0923999999999997E-2</v>
      </c>
      <c r="HD185" s="9">
        <v>74828</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32469</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row>
    <row r="186" spans="1:292" x14ac:dyDescent="0.25">
      <c r="A186" s="9">
        <v>227827</v>
      </c>
      <c r="B186" s="9">
        <v>32570</v>
      </c>
      <c r="C186" s="9">
        <v>35</v>
      </c>
      <c r="D186" s="9">
        <v>2022</v>
      </c>
      <c r="E186" s="9">
        <v>5392</v>
      </c>
      <c r="F186" s="9">
        <v>0</v>
      </c>
      <c r="G186" s="9">
        <v>461.21300000000002</v>
      </c>
      <c r="H186" s="9">
        <v>421.03200000000004</v>
      </c>
      <c r="I186" s="9">
        <v>421.03200000000004</v>
      </c>
      <c r="J186" s="9">
        <v>461.21300000000002</v>
      </c>
      <c r="K186" s="9">
        <v>0</v>
      </c>
      <c r="L186" s="9">
        <v>6554</v>
      </c>
      <c r="M186" s="9">
        <v>0</v>
      </c>
      <c r="N186" s="9">
        <v>0</v>
      </c>
      <c r="O186" s="9">
        <v>0</v>
      </c>
      <c r="P186" s="9">
        <v>209.762</v>
      </c>
      <c r="Q186" s="9">
        <v>0</v>
      </c>
      <c r="R186" s="9">
        <v>67064</v>
      </c>
      <c r="S186" s="9">
        <v>319.71300000000002</v>
      </c>
      <c r="T186" s="9">
        <v>0</v>
      </c>
      <c r="U186" s="9">
        <v>67064</v>
      </c>
      <c r="V186" s="9">
        <v>83.89200000000001</v>
      </c>
      <c r="W186" s="9">
        <v>54983</v>
      </c>
      <c r="X186" s="9">
        <v>54983</v>
      </c>
      <c r="Y186" s="9">
        <v>0</v>
      </c>
      <c r="Z186" s="9">
        <v>0</v>
      </c>
      <c r="AA186" s="9">
        <v>1</v>
      </c>
      <c r="AB186" s="9">
        <v>1</v>
      </c>
      <c r="AC186" s="9">
        <v>0</v>
      </c>
      <c r="AD186" s="9" t="s">
        <v>314</v>
      </c>
      <c r="AE186" s="9">
        <v>0</v>
      </c>
      <c r="AF186" s="9">
        <v>0</v>
      </c>
      <c r="AG186" s="9">
        <v>0</v>
      </c>
      <c r="AH186" s="9">
        <v>0</v>
      </c>
      <c r="AI186" s="9">
        <v>0</v>
      </c>
      <c r="AJ186" s="9">
        <v>5104</v>
      </c>
      <c r="AK186" s="9" t="s">
        <v>651</v>
      </c>
      <c r="AL186" s="9" t="s">
        <v>366</v>
      </c>
      <c r="AM186" s="9">
        <v>0</v>
      </c>
      <c r="AN186" s="9">
        <v>0</v>
      </c>
      <c r="AO186" s="9">
        <v>0</v>
      </c>
      <c r="AP186" s="9">
        <v>0</v>
      </c>
      <c r="AQ186" s="9">
        <v>0</v>
      </c>
      <c r="AR186" s="9">
        <v>0</v>
      </c>
      <c r="AS186" s="9">
        <v>0</v>
      </c>
      <c r="AT186" s="9">
        <v>0</v>
      </c>
      <c r="AU186" s="9">
        <v>0</v>
      </c>
      <c r="AV186" s="9">
        <v>-346691</v>
      </c>
      <c r="AW186" s="9">
        <v>4487523</v>
      </c>
      <c r="AX186" s="9">
        <v>4360695</v>
      </c>
      <c r="AY186" s="9">
        <v>4487015</v>
      </c>
      <c r="AZ186" s="9">
        <v>193892</v>
      </c>
      <c r="BA186" s="9">
        <v>0</v>
      </c>
      <c r="BB186" s="9">
        <v>0</v>
      </c>
      <c r="BC186" s="9">
        <v>0</v>
      </c>
      <c r="BD186" s="9">
        <v>0</v>
      </c>
      <c r="BE186" s="9">
        <v>0</v>
      </c>
      <c r="BF186" s="9">
        <v>3642422</v>
      </c>
      <c r="BG186" s="9">
        <v>0</v>
      </c>
      <c r="BH186" s="9">
        <v>461.19100000000003</v>
      </c>
      <c r="BI186" s="9">
        <v>126828</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0.499</v>
      </c>
      <c r="CQ186" s="9">
        <v>0</v>
      </c>
      <c r="CR186" s="9">
        <v>209.762</v>
      </c>
      <c r="CS186" s="9">
        <v>0</v>
      </c>
      <c r="CT186" s="9">
        <v>0</v>
      </c>
      <c r="CU186" s="9">
        <v>0</v>
      </c>
      <c r="CV186" s="9">
        <v>0</v>
      </c>
      <c r="CW186" s="9">
        <v>0</v>
      </c>
      <c r="CX186" s="9">
        <v>0</v>
      </c>
      <c r="CY186" s="9">
        <v>0</v>
      </c>
      <c r="CZ186" s="9">
        <v>0</v>
      </c>
      <c r="DA186" s="9">
        <v>1</v>
      </c>
      <c r="DB186" s="9">
        <v>2759444</v>
      </c>
      <c r="DC186" s="9">
        <v>0</v>
      </c>
      <c r="DD186" s="9">
        <v>0</v>
      </c>
      <c r="DE186" s="9">
        <v>564077</v>
      </c>
      <c r="DF186" s="9">
        <v>571959</v>
      </c>
      <c r="DG186" s="9">
        <v>430.33</v>
      </c>
      <c r="DH186" s="9">
        <v>0</v>
      </c>
      <c r="DI186" s="9">
        <v>7882</v>
      </c>
      <c r="DJ186" s="9">
        <v>0</v>
      </c>
      <c r="DK186" s="9">
        <v>5392</v>
      </c>
      <c r="DL186" s="9">
        <v>0</v>
      </c>
      <c r="DM186" s="9">
        <v>526</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7.3000000000000009E-2</v>
      </c>
      <c r="ED186" s="9">
        <v>526</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193892</v>
      </c>
      <c r="EV186" s="9">
        <v>0</v>
      </c>
      <c r="EW186" s="9">
        <v>0</v>
      </c>
      <c r="EX186" s="9">
        <v>0</v>
      </c>
      <c r="EY186" s="9">
        <v>0</v>
      </c>
      <c r="EZ186" s="9">
        <v>3681204</v>
      </c>
      <c r="FA186" s="9">
        <v>0</v>
      </c>
      <c r="FB186" s="9">
        <v>3875096</v>
      </c>
      <c r="FC186" s="9">
        <v>0.97327799999999998</v>
      </c>
      <c r="FD186" s="9">
        <v>0</v>
      </c>
      <c r="FE186" s="9">
        <v>554529</v>
      </c>
      <c r="FF186" s="9">
        <v>124962</v>
      </c>
      <c r="FG186" s="9">
        <v>6.1239999999999996E-2</v>
      </c>
      <c r="FH186" s="9">
        <v>5.4803999999999999E-2</v>
      </c>
      <c r="FI186" s="9">
        <v>0</v>
      </c>
      <c r="FJ186" s="9">
        <v>0</v>
      </c>
      <c r="FK186" s="9">
        <v>713.66500000000008</v>
      </c>
      <c r="FL186" s="9">
        <v>4554587</v>
      </c>
      <c r="FM186" s="9">
        <v>0</v>
      </c>
      <c r="FN186" s="9">
        <v>0</v>
      </c>
      <c r="FO186" s="9">
        <v>5839</v>
      </c>
      <c r="FP186" s="9">
        <v>0</v>
      </c>
      <c r="FQ186" s="9">
        <v>5839</v>
      </c>
      <c r="FR186" s="9">
        <v>5839</v>
      </c>
      <c r="FS186" s="9">
        <v>0</v>
      </c>
      <c r="FT186" s="9">
        <v>0</v>
      </c>
      <c r="FU186" s="9">
        <v>0</v>
      </c>
      <c r="FV186" s="9">
        <v>0</v>
      </c>
      <c r="FW186" s="9">
        <v>0</v>
      </c>
      <c r="FX186" s="9">
        <v>0</v>
      </c>
      <c r="FY186" s="9">
        <v>0</v>
      </c>
      <c r="FZ186" s="9">
        <v>0</v>
      </c>
      <c r="GA186" s="9">
        <v>0</v>
      </c>
      <c r="GB186" s="9">
        <v>355517</v>
      </c>
      <c r="GC186" s="9">
        <v>355517</v>
      </c>
      <c r="GD186" s="9">
        <v>40.181000000000004</v>
      </c>
      <c r="GE186" s="9">
        <v>0</v>
      </c>
      <c r="GF186" s="9">
        <v>0</v>
      </c>
      <c r="GG186" s="9">
        <v>0</v>
      </c>
      <c r="GH186" s="9">
        <v>0</v>
      </c>
      <c r="GI186" s="9">
        <v>0</v>
      </c>
      <c r="GJ186" s="9">
        <v>0</v>
      </c>
      <c r="GK186" s="9">
        <v>0</v>
      </c>
      <c r="GL186" s="9">
        <v>0</v>
      </c>
      <c r="GM186" s="9">
        <v>0</v>
      </c>
      <c r="GN186" s="9">
        <v>0</v>
      </c>
      <c r="GO186" s="9">
        <v>0</v>
      </c>
      <c r="GP186" s="9">
        <v>4554587</v>
      </c>
      <c r="GQ186" s="9">
        <v>4554587</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32469</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row>
    <row r="187" spans="1:292" x14ac:dyDescent="0.25">
      <c r="A187" s="9">
        <v>227829</v>
      </c>
      <c r="B187" s="9">
        <v>32570</v>
      </c>
      <c r="C187" s="9">
        <v>35</v>
      </c>
      <c r="D187" s="9">
        <v>2022</v>
      </c>
      <c r="E187" s="9">
        <v>5392</v>
      </c>
      <c r="F187" s="9">
        <v>0</v>
      </c>
      <c r="G187" s="9">
        <v>512.06799999999998</v>
      </c>
      <c r="H187" s="9">
        <v>500.72400000000005</v>
      </c>
      <c r="I187" s="9">
        <v>500.72400000000005</v>
      </c>
      <c r="J187" s="9">
        <v>512.06799999999998</v>
      </c>
      <c r="K187" s="9">
        <v>0</v>
      </c>
      <c r="L187" s="9">
        <v>6554</v>
      </c>
      <c r="M187" s="9">
        <v>0</v>
      </c>
      <c r="N187" s="9">
        <v>0</v>
      </c>
      <c r="O187" s="9">
        <v>0</v>
      </c>
      <c r="P187" s="9">
        <v>443.61200000000002</v>
      </c>
      <c r="Q187" s="9">
        <v>0</v>
      </c>
      <c r="R187" s="9">
        <v>141829</v>
      </c>
      <c r="S187" s="9">
        <v>319.71300000000002</v>
      </c>
      <c r="T187" s="9">
        <v>0</v>
      </c>
      <c r="U187" s="9">
        <v>141829</v>
      </c>
      <c r="V187" s="9">
        <v>0</v>
      </c>
      <c r="W187" s="9">
        <v>0</v>
      </c>
      <c r="X187" s="9">
        <v>0</v>
      </c>
      <c r="Y187" s="9">
        <v>0</v>
      </c>
      <c r="Z187" s="9">
        <v>0</v>
      </c>
      <c r="AA187" s="9">
        <v>1</v>
      </c>
      <c r="AB187" s="9">
        <v>1</v>
      </c>
      <c r="AC187" s="9">
        <v>0</v>
      </c>
      <c r="AD187" s="9" t="s">
        <v>314</v>
      </c>
      <c r="AE187" s="9">
        <v>0</v>
      </c>
      <c r="AF187" s="9">
        <v>0</v>
      </c>
      <c r="AG187" s="9">
        <v>0</v>
      </c>
      <c r="AH187" s="9">
        <v>0</v>
      </c>
      <c r="AI187" s="9">
        <v>0</v>
      </c>
      <c r="AJ187" s="9">
        <v>5104</v>
      </c>
      <c r="AK187" s="9" t="s">
        <v>651</v>
      </c>
      <c r="AL187" s="9" t="s">
        <v>445</v>
      </c>
      <c r="AM187" s="9">
        <v>0</v>
      </c>
      <c r="AN187" s="9">
        <v>0</v>
      </c>
      <c r="AO187" s="9">
        <v>0</v>
      </c>
      <c r="AP187" s="9">
        <v>0</v>
      </c>
      <c r="AQ187" s="9">
        <v>0</v>
      </c>
      <c r="AR187" s="9">
        <v>0</v>
      </c>
      <c r="AS187" s="9">
        <v>0</v>
      </c>
      <c r="AT187" s="9">
        <v>0</v>
      </c>
      <c r="AU187" s="9">
        <v>0</v>
      </c>
      <c r="AV187" s="9">
        <v>90</v>
      </c>
      <c r="AW187" s="9">
        <v>4364486</v>
      </c>
      <c r="AX187" s="9">
        <v>4257440</v>
      </c>
      <c r="AY187" s="9">
        <v>4524932</v>
      </c>
      <c r="AZ187" s="9">
        <v>147958</v>
      </c>
      <c r="BA187" s="9">
        <v>0</v>
      </c>
      <c r="BB187" s="9">
        <v>0</v>
      </c>
      <c r="BC187" s="9">
        <v>0</v>
      </c>
      <c r="BD187" s="9">
        <v>0</v>
      </c>
      <c r="BE187" s="9">
        <v>0</v>
      </c>
      <c r="BF187" s="9">
        <v>3623763</v>
      </c>
      <c r="BG187" s="9">
        <v>0</v>
      </c>
      <c r="BH187" s="9">
        <v>22.287000000000003</v>
      </c>
      <c r="BI187" s="9">
        <v>6129</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0</v>
      </c>
      <c r="CB187" s="9">
        <v>0</v>
      </c>
      <c r="CC187" s="9">
        <v>0</v>
      </c>
      <c r="CD187" s="9">
        <v>0</v>
      </c>
      <c r="CE187" s="9">
        <v>0</v>
      </c>
      <c r="CF187" s="9">
        <v>0</v>
      </c>
      <c r="CG187" s="9">
        <v>0</v>
      </c>
      <c r="CH187" s="9">
        <v>100917</v>
      </c>
      <c r="CI187" s="9">
        <v>0</v>
      </c>
      <c r="CJ187" s="9">
        <v>4</v>
      </c>
      <c r="CK187" s="9">
        <v>0</v>
      </c>
      <c r="CL187" s="9">
        <v>0</v>
      </c>
      <c r="CM187" s="9">
        <v>0</v>
      </c>
      <c r="CN187" s="9">
        <v>0</v>
      </c>
      <c r="CO187" s="9">
        <v>0</v>
      </c>
      <c r="CP187" s="9">
        <v>0</v>
      </c>
      <c r="CQ187" s="9">
        <v>0</v>
      </c>
      <c r="CR187" s="9">
        <v>443.61200000000002</v>
      </c>
      <c r="CS187" s="9">
        <v>0</v>
      </c>
      <c r="CT187" s="9">
        <v>0</v>
      </c>
      <c r="CU187" s="9">
        <v>0</v>
      </c>
      <c r="CV187" s="9">
        <v>0</v>
      </c>
      <c r="CW187" s="9">
        <v>0</v>
      </c>
      <c r="CX187" s="9">
        <v>0</v>
      </c>
      <c r="CY187" s="9">
        <v>0</v>
      </c>
      <c r="CZ187" s="9">
        <v>0</v>
      </c>
      <c r="DA187" s="9">
        <v>1</v>
      </c>
      <c r="DB187" s="9">
        <v>3281745</v>
      </c>
      <c r="DC187" s="9">
        <v>0</v>
      </c>
      <c r="DD187" s="9">
        <v>0</v>
      </c>
      <c r="DE187" s="9">
        <v>161447</v>
      </c>
      <c r="DF187" s="9">
        <v>161447</v>
      </c>
      <c r="DG187" s="9">
        <v>123.167</v>
      </c>
      <c r="DH187" s="9">
        <v>0</v>
      </c>
      <c r="DI187" s="9">
        <v>0</v>
      </c>
      <c r="DJ187" s="9">
        <v>0</v>
      </c>
      <c r="DK187" s="9">
        <v>5392</v>
      </c>
      <c r="DL187" s="9">
        <v>0</v>
      </c>
      <c r="DM187" s="9">
        <v>280066</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6.7709999999999999</v>
      </c>
      <c r="ED187" s="9">
        <v>48815</v>
      </c>
      <c r="EE187" s="9">
        <v>0</v>
      </c>
      <c r="EF187" s="9">
        <v>0</v>
      </c>
      <c r="EG187" s="9">
        <v>0</v>
      </c>
      <c r="EH187" s="9">
        <v>231251</v>
      </c>
      <c r="EI187" s="9">
        <v>0</v>
      </c>
      <c r="EJ187" s="9">
        <v>0</v>
      </c>
      <c r="EK187" s="9">
        <v>10.718</v>
      </c>
      <c r="EL187" s="9">
        <v>0</v>
      </c>
      <c r="EM187" s="9">
        <v>0</v>
      </c>
      <c r="EN187" s="9">
        <v>0.626</v>
      </c>
      <c r="EO187" s="9">
        <v>0</v>
      </c>
      <c r="EP187" s="9">
        <v>0</v>
      </c>
      <c r="EQ187" s="9">
        <v>11.344000000000001</v>
      </c>
      <c r="ER187" s="9">
        <v>0</v>
      </c>
      <c r="ES187" s="9">
        <v>35.283999999999999</v>
      </c>
      <c r="ET187" s="9">
        <v>0</v>
      </c>
      <c r="EU187" s="9">
        <v>147958</v>
      </c>
      <c r="EV187" s="9">
        <v>0</v>
      </c>
      <c r="EW187" s="9">
        <v>0</v>
      </c>
      <c r="EX187" s="9">
        <v>0</v>
      </c>
      <c r="EY187" s="9">
        <v>0</v>
      </c>
      <c r="EZ187" s="9">
        <v>3581429</v>
      </c>
      <c r="FA187" s="9">
        <v>0</v>
      </c>
      <c r="FB187" s="9">
        <v>3729387</v>
      </c>
      <c r="FC187" s="9">
        <v>0.97327799999999998</v>
      </c>
      <c r="FD187" s="9">
        <v>0</v>
      </c>
      <c r="FE187" s="9">
        <v>551689</v>
      </c>
      <c r="FF187" s="9">
        <v>124322</v>
      </c>
      <c r="FG187" s="9">
        <v>6.1239999999999996E-2</v>
      </c>
      <c r="FH187" s="9">
        <v>5.4803999999999999E-2</v>
      </c>
      <c r="FI187" s="9">
        <v>0</v>
      </c>
      <c r="FJ187" s="9">
        <v>0</v>
      </c>
      <c r="FK187" s="9">
        <v>710.00900000000001</v>
      </c>
      <c r="FL187" s="9">
        <v>4506315</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4405398</v>
      </c>
      <c r="GQ187" s="9">
        <v>4405398</v>
      </c>
      <c r="GR187" s="9">
        <v>0</v>
      </c>
      <c r="GS187" s="9">
        <v>0</v>
      </c>
      <c r="GT187" s="9">
        <v>0</v>
      </c>
      <c r="GU187" s="9">
        <v>0</v>
      </c>
      <c r="GV187" s="9">
        <v>0</v>
      </c>
      <c r="GW187" s="9">
        <v>0</v>
      </c>
      <c r="GX187" s="9">
        <v>0</v>
      </c>
      <c r="GY187" s="9">
        <v>0</v>
      </c>
      <c r="GZ187" s="9">
        <v>0</v>
      </c>
      <c r="HA187" s="9">
        <v>0</v>
      </c>
      <c r="HB187" s="9">
        <v>260786259</v>
      </c>
      <c r="HC187" s="9">
        <v>5.0923999999999997E-2</v>
      </c>
      <c r="HD187" s="9">
        <v>100917</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32469</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row>
    <row r="188" spans="1:292" ht="13" x14ac:dyDescent="0.3">
      <c r="A188" s="9">
        <v>234801</v>
      </c>
      <c r="B188" s="9">
        <v>32570</v>
      </c>
      <c r="C188" s="9">
        <v>35</v>
      </c>
      <c r="D188" s="9">
        <v>2022</v>
      </c>
      <c r="E188" s="9">
        <v>5392</v>
      </c>
      <c r="F188" s="9">
        <v>0</v>
      </c>
      <c r="G188" s="9">
        <v>70.171999999999997</v>
      </c>
      <c r="H188" s="9">
        <v>63.233000000000004</v>
      </c>
      <c r="I188" s="9">
        <v>63.233000000000004</v>
      </c>
      <c r="J188" s="9">
        <v>70.171999999999997</v>
      </c>
      <c r="K188" s="9">
        <v>0</v>
      </c>
      <c r="L188" s="9">
        <v>6554</v>
      </c>
      <c r="M188" s="9">
        <v>0</v>
      </c>
      <c r="N188" s="9">
        <v>0</v>
      </c>
      <c r="O188" s="9">
        <v>0</v>
      </c>
      <c r="P188" s="9">
        <v>60.123000000000005</v>
      </c>
      <c r="Q188" s="9">
        <v>0</v>
      </c>
      <c r="R188" s="10">
        <v>19222</v>
      </c>
      <c r="S188" s="9">
        <v>319.71300000000002</v>
      </c>
      <c r="T188" s="9">
        <v>0</v>
      </c>
      <c r="U188" s="10">
        <v>19222</v>
      </c>
      <c r="V188" s="10">
        <v>0</v>
      </c>
      <c r="W188" s="10">
        <v>0</v>
      </c>
      <c r="X188" s="10">
        <v>0</v>
      </c>
      <c r="Y188" s="9">
        <v>0</v>
      </c>
      <c r="Z188" s="9">
        <v>0</v>
      </c>
      <c r="AA188" s="9">
        <v>1</v>
      </c>
      <c r="AB188" s="9">
        <v>1</v>
      </c>
      <c r="AC188" s="9">
        <v>0</v>
      </c>
      <c r="AD188" s="9" t="s">
        <v>314</v>
      </c>
      <c r="AE188" s="9">
        <v>0</v>
      </c>
      <c r="AF188" s="9">
        <v>0</v>
      </c>
      <c r="AG188" s="9">
        <v>0</v>
      </c>
      <c r="AH188" s="9">
        <v>0</v>
      </c>
      <c r="AI188" s="9">
        <v>0</v>
      </c>
      <c r="AJ188" s="9">
        <v>5104</v>
      </c>
      <c r="AK188" s="9" t="s">
        <v>651</v>
      </c>
      <c r="AL188" s="9" t="s">
        <v>81</v>
      </c>
      <c r="AM188" s="9">
        <v>0</v>
      </c>
      <c r="AN188" s="9">
        <v>0</v>
      </c>
      <c r="AO188" s="9">
        <v>0</v>
      </c>
      <c r="AP188" s="9">
        <v>0</v>
      </c>
      <c r="AQ188" s="9">
        <v>0</v>
      </c>
      <c r="AR188" s="9">
        <v>0</v>
      </c>
      <c r="AS188" s="9">
        <v>0</v>
      </c>
      <c r="AT188" s="9">
        <v>0</v>
      </c>
      <c r="AU188" s="9">
        <v>0</v>
      </c>
      <c r="AV188" s="9">
        <v>-59877</v>
      </c>
      <c r="AW188" s="9">
        <v>821760</v>
      </c>
      <c r="AX188" s="9">
        <v>787368</v>
      </c>
      <c r="AY188" s="9">
        <v>772059</v>
      </c>
      <c r="AZ188" s="9">
        <v>36285</v>
      </c>
      <c r="BA188" s="10">
        <v>7</v>
      </c>
      <c r="BB188" s="9">
        <v>0</v>
      </c>
      <c r="BC188" s="9">
        <v>0</v>
      </c>
      <c r="BD188" s="9">
        <v>0</v>
      </c>
      <c r="BE188" s="9">
        <v>0</v>
      </c>
      <c r="BF188" s="9">
        <v>664404</v>
      </c>
      <c r="BG188" s="9">
        <v>0</v>
      </c>
      <c r="BH188" s="10">
        <v>62.047000000000004</v>
      </c>
      <c r="BI188" s="10">
        <v>17063</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10">
        <v>17329</v>
      </c>
      <c r="CI188" s="9">
        <v>0</v>
      </c>
      <c r="CJ188" s="9">
        <v>4</v>
      </c>
      <c r="CK188" s="9">
        <v>0</v>
      </c>
      <c r="CL188" s="9">
        <v>0</v>
      </c>
      <c r="CM188" s="9">
        <v>0</v>
      </c>
      <c r="CN188" s="9">
        <v>0</v>
      </c>
      <c r="CO188" s="9">
        <v>0</v>
      </c>
      <c r="CP188" s="9">
        <v>7.3000000000000009E-2</v>
      </c>
      <c r="CQ188" s="9">
        <v>0</v>
      </c>
      <c r="CR188" s="9">
        <v>60.123000000000005</v>
      </c>
      <c r="CS188" s="9">
        <v>0</v>
      </c>
      <c r="CT188" s="9">
        <v>0</v>
      </c>
      <c r="CU188" s="9">
        <v>0</v>
      </c>
      <c r="CV188" s="9">
        <v>0</v>
      </c>
      <c r="CW188" s="9">
        <v>0</v>
      </c>
      <c r="CX188" s="9">
        <v>0</v>
      </c>
      <c r="CY188" s="9">
        <v>0</v>
      </c>
      <c r="CZ188" s="9">
        <v>0</v>
      </c>
      <c r="DA188" s="9">
        <v>1</v>
      </c>
      <c r="DB188" s="9">
        <v>414429</v>
      </c>
      <c r="DC188" s="9">
        <v>0</v>
      </c>
      <c r="DD188" s="9">
        <v>0</v>
      </c>
      <c r="DE188" s="9">
        <v>52865</v>
      </c>
      <c r="DF188" s="9">
        <v>54018</v>
      </c>
      <c r="DG188" s="9">
        <v>40.33</v>
      </c>
      <c r="DH188" s="9">
        <v>0</v>
      </c>
      <c r="DI188" s="9">
        <v>1153</v>
      </c>
      <c r="DJ188" s="9">
        <v>0</v>
      </c>
      <c r="DK188" s="9">
        <v>5392</v>
      </c>
      <c r="DL188" s="9">
        <v>0</v>
      </c>
      <c r="DM188" s="9">
        <v>214199</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8.261000000000001</v>
      </c>
      <c r="ED188" s="9">
        <v>59557</v>
      </c>
      <c r="EE188" s="9">
        <v>0</v>
      </c>
      <c r="EF188" s="9">
        <v>0</v>
      </c>
      <c r="EG188" s="9">
        <v>0</v>
      </c>
      <c r="EH188" s="9">
        <v>81814</v>
      </c>
      <c r="EI188" s="9">
        <v>72828</v>
      </c>
      <c r="EJ188" s="9">
        <v>2.778</v>
      </c>
      <c r="EK188" s="9">
        <v>4.0620000000000003</v>
      </c>
      <c r="EL188" s="9">
        <v>0</v>
      </c>
      <c r="EM188" s="9">
        <v>9.9000000000000005E-2</v>
      </c>
      <c r="EN188" s="9">
        <v>0</v>
      </c>
      <c r="EO188" s="9">
        <v>0</v>
      </c>
      <c r="EP188" s="9">
        <v>0</v>
      </c>
      <c r="EQ188" s="9">
        <v>6.9390000000000001</v>
      </c>
      <c r="ER188" s="9">
        <v>0</v>
      </c>
      <c r="ES188" s="9">
        <v>12.483000000000001</v>
      </c>
      <c r="ET188" s="10">
        <v>3500</v>
      </c>
      <c r="EU188" s="9">
        <v>36285</v>
      </c>
      <c r="EV188" s="9">
        <v>0</v>
      </c>
      <c r="EW188" s="9">
        <v>0</v>
      </c>
      <c r="EX188" s="9">
        <v>0</v>
      </c>
      <c r="EY188" s="9">
        <v>0</v>
      </c>
      <c r="EZ188" s="9">
        <v>663424</v>
      </c>
      <c r="FA188" s="9">
        <v>0</v>
      </c>
      <c r="FB188" s="10">
        <v>699709</v>
      </c>
      <c r="FC188" s="9">
        <v>0.97327799999999998</v>
      </c>
      <c r="FD188" s="9">
        <v>0</v>
      </c>
      <c r="FE188" s="9">
        <v>101150</v>
      </c>
      <c r="FF188" s="9">
        <v>22794</v>
      </c>
      <c r="FG188" s="9">
        <v>6.1239999999999996E-2</v>
      </c>
      <c r="FH188" s="9">
        <v>5.4803999999999999E-2</v>
      </c>
      <c r="FI188" s="9">
        <v>0</v>
      </c>
      <c r="FJ188" s="9">
        <v>0</v>
      </c>
      <c r="FK188" s="9">
        <v>130.178</v>
      </c>
      <c r="FL188" s="9">
        <v>840982</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10">
        <v>0</v>
      </c>
      <c r="GC188" s="10">
        <v>0</v>
      </c>
      <c r="GD188" s="10">
        <v>0</v>
      </c>
      <c r="GE188" s="9">
        <v>0</v>
      </c>
      <c r="GF188" s="9">
        <v>0</v>
      </c>
      <c r="GG188" s="9">
        <v>0</v>
      </c>
      <c r="GH188" s="9">
        <v>0</v>
      </c>
      <c r="GI188" s="9">
        <v>0</v>
      </c>
      <c r="GJ188" s="9">
        <v>0</v>
      </c>
      <c r="GK188" s="9">
        <v>5038</v>
      </c>
      <c r="GL188" s="9">
        <v>5287</v>
      </c>
      <c r="GM188" s="9">
        <v>0</v>
      </c>
      <c r="GN188" s="9">
        <v>0</v>
      </c>
      <c r="GO188" s="9">
        <v>0</v>
      </c>
      <c r="GP188" s="9">
        <v>823653</v>
      </c>
      <c r="GQ188" s="9">
        <v>823653</v>
      </c>
      <c r="GR188" s="9">
        <v>0</v>
      </c>
      <c r="GS188" s="9">
        <v>0</v>
      </c>
      <c r="GT188" s="9">
        <v>0</v>
      </c>
      <c r="GU188" s="9">
        <v>0</v>
      </c>
      <c r="GV188" s="9">
        <v>0</v>
      </c>
      <c r="GW188" s="9">
        <v>0</v>
      </c>
      <c r="GX188" s="9">
        <v>0</v>
      </c>
      <c r="GY188" s="9">
        <v>0</v>
      </c>
      <c r="GZ188" s="9">
        <v>0</v>
      </c>
      <c r="HA188" s="9">
        <v>0</v>
      </c>
      <c r="HB188" s="9">
        <v>260786259</v>
      </c>
      <c r="HC188" s="9">
        <v>5.0923999999999997E-2</v>
      </c>
      <c r="HD188" s="10">
        <v>13829</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32469</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row>
    <row r="189" spans="1:292" ht="13" x14ac:dyDescent="0.3">
      <c r="A189" s="9">
        <v>236801</v>
      </c>
      <c r="B189" s="9">
        <v>32570</v>
      </c>
      <c r="C189" s="9">
        <v>35</v>
      </c>
      <c r="D189" s="9">
        <v>2022</v>
      </c>
      <c r="E189" s="9">
        <v>5392</v>
      </c>
      <c r="F189" s="9">
        <v>0</v>
      </c>
      <c r="G189" s="9">
        <v>55.305</v>
      </c>
      <c r="H189" s="9">
        <v>0</v>
      </c>
      <c r="I189" s="9">
        <v>0</v>
      </c>
      <c r="J189" s="9">
        <v>55.305</v>
      </c>
      <c r="K189" s="9">
        <v>0</v>
      </c>
      <c r="L189" s="9">
        <v>6554</v>
      </c>
      <c r="M189" s="9">
        <v>0</v>
      </c>
      <c r="N189" s="9">
        <v>0</v>
      </c>
      <c r="O189" s="9">
        <v>0</v>
      </c>
      <c r="P189" s="9">
        <v>103.85600000000001</v>
      </c>
      <c r="Q189" s="9">
        <v>0</v>
      </c>
      <c r="R189" s="10">
        <v>33204</v>
      </c>
      <c r="S189" s="9">
        <v>319.71300000000002</v>
      </c>
      <c r="T189" s="9">
        <v>0</v>
      </c>
      <c r="U189" s="10">
        <v>33204</v>
      </c>
      <c r="V189" s="10">
        <v>2.9290000000000003</v>
      </c>
      <c r="W189" s="10">
        <v>1920</v>
      </c>
      <c r="X189" s="10">
        <v>1920</v>
      </c>
      <c r="Y189" s="9">
        <v>0</v>
      </c>
      <c r="Z189" s="9">
        <v>0</v>
      </c>
      <c r="AA189" s="9">
        <v>1</v>
      </c>
      <c r="AB189" s="9">
        <v>1</v>
      </c>
      <c r="AC189" s="9">
        <v>0</v>
      </c>
      <c r="AD189" s="9" t="s">
        <v>314</v>
      </c>
      <c r="AE189" s="9">
        <v>0</v>
      </c>
      <c r="AF189" s="9">
        <v>0</v>
      </c>
      <c r="AG189" s="9">
        <v>0</v>
      </c>
      <c r="AH189" s="9">
        <v>0</v>
      </c>
      <c r="AI189" s="9">
        <v>0</v>
      </c>
      <c r="AJ189" s="9">
        <v>5104</v>
      </c>
      <c r="AK189" s="9" t="s">
        <v>651</v>
      </c>
      <c r="AL189" s="9" t="s">
        <v>82</v>
      </c>
      <c r="AM189" s="9">
        <v>0</v>
      </c>
      <c r="AN189" s="9">
        <v>0</v>
      </c>
      <c r="AO189" s="9">
        <v>0</v>
      </c>
      <c r="AP189" s="9">
        <v>0</v>
      </c>
      <c r="AQ189" s="9">
        <v>0</v>
      </c>
      <c r="AR189" s="9">
        <v>0</v>
      </c>
      <c r="AS189" s="9">
        <v>0</v>
      </c>
      <c r="AT189" s="9">
        <v>0</v>
      </c>
      <c r="AU189" s="9">
        <v>0</v>
      </c>
      <c r="AV189" s="9">
        <v>-48486</v>
      </c>
      <c r="AW189" s="9">
        <v>1128171</v>
      </c>
      <c r="AX189" s="9">
        <v>1055479</v>
      </c>
      <c r="AY189" s="9">
        <v>1037834</v>
      </c>
      <c r="AZ189" s="9">
        <v>48413</v>
      </c>
      <c r="BA189" s="10">
        <v>91.167000000000002</v>
      </c>
      <c r="BB189" s="9">
        <v>0</v>
      </c>
      <c r="BC189" s="9">
        <v>0</v>
      </c>
      <c r="BD189" s="9">
        <v>0</v>
      </c>
      <c r="BE189" s="9">
        <v>0</v>
      </c>
      <c r="BF189" s="9">
        <v>896769</v>
      </c>
      <c r="BG189" s="9">
        <v>0</v>
      </c>
      <c r="BH189" s="10">
        <v>55.304000000000002</v>
      </c>
      <c r="BI189" s="10">
        <v>15209</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10">
        <v>57483</v>
      </c>
      <c r="CI189" s="9">
        <v>0</v>
      </c>
      <c r="CJ189" s="9">
        <v>4</v>
      </c>
      <c r="CK189" s="9">
        <v>0</v>
      </c>
      <c r="CL189" s="9">
        <v>0</v>
      </c>
      <c r="CM189" s="9">
        <v>0</v>
      </c>
      <c r="CN189" s="9">
        <v>0</v>
      </c>
      <c r="CO189" s="9">
        <v>0</v>
      </c>
      <c r="CP189" s="9">
        <v>0</v>
      </c>
      <c r="CQ189" s="9">
        <v>4</v>
      </c>
      <c r="CR189" s="9">
        <v>103.85600000000001</v>
      </c>
      <c r="CS189" s="9">
        <v>0</v>
      </c>
      <c r="CT189" s="9">
        <v>0</v>
      </c>
      <c r="CU189" s="9">
        <v>0</v>
      </c>
      <c r="CV189" s="9">
        <v>0</v>
      </c>
      <c r="CW189" s="9">
        <v>0</v>
      </c>
      <c r="CX189" s="9">
        <v>0</v>
      </c>
      <c r="CY189" s="9">
        <v>0</v>
      </c>
      <c r="CZ189" s="9">
        <v>0</v>
      </c>
      <c r="DA189" s="9">
        <v>1</v>
      </c>
      <c r="DB189" s="9">
        <v>0</v>
      </c>
      <c r="DC189" s="9">
        <v>0</v>
      </c>
      <c r="DD189" s="9">
        <v>0</v>
      </c>
      <c r="DE189" s="9">
        <v>136756</v>
      </c>
      <c r="DF189" s="9">
        <v>136756</v>
      </c>
      <c r="DG189" s="9">
        <v>104.33</v>
      </c>
      <c r="DH189" s="9">
        <v>0</v>
      </c>
      <c r="DI189" s="9">
        <v>0</v>
      </c>
      <c r="DJ189" s="9">
        <v>0</v>
      </c>
      <c r="DK189" s="9">
        <v>5392</v>
      </c>
      <c r="DL189" s="9">
        <v>0</v>
      </c>
      <c r="DM189" s="9">
        <v>430886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430886</v>
      </c>
      <c r="EJ189" s="9">
        <v>16.436</v>
      </c>
      <c r="EK189" s="9">
        <v>0</v>
      </c>
      <c r="EL189" s="9">
        <v>0</v>
      </c>
      <c r="EM189" s="9">
        <v>0</v>
      </c>
      <c r="EN189" s="9">
        <v>0</v>
      </c>
      <c r="EO189" s="9">
        <v>0</v>
      </c>
      <c r="EP189" s="9">
        <v>0</v>
      </c>
      <c r="EQ189" s="9">
        <v>16.436</v>
      </c>
      <c r="ER189" s="9">
        <v>0</v>
      </c>
      <c r="ES189" s="9">
        <v>0</v>
      </c>
      <c r="ET189" s="10">
        <v>46584</v>
      </c>
      <c r="EU189" s="9">
        <v>48413</v>
      </c>
      <c r="EV189" s="9">
        <v>0</v>
      </c>
      <c r="EW189" s="9">
        <v>0</v>
      </c>
      <c r="EX189" s="9">
        <v>0</v>
      </c>
      <c r="EY189" s="9">
        <v>0</v>
      </c>
      <c r="EZ189" s="9">
        <v>888187</v>
      </c>
      <c r="FA189" s="9">
        <v>0</v>
      </c>
      <c r="FB189" s="10">
        <v>936600</v>
      </c>
      <c r="FC189" s="9">
        <v>0.97327799999999998</v>
      </c>
      <c r="FD189" s="9">
        <v>0</v>
      </c>
      <c r="FE189" s="9">
        <v>136526</v>
      </c>
      <c r="FF189" s="9">
        <v>30766</v>
      </c>
      <c r="FG189" s="9">
        <v>6.1239999999999996E-2</v>
      </c>
      <c r="FH189" s="9">
        <v>5.4803999999999999E-2</v>
      </c>
      <c r="FI189" s="9">
        <v>0</v>
      </c>
      <c r="FJ189" s="9">
        <v>0</v>
      </c>
      <c r="FK189" s="9">
        <v>175.70500000000001</v>
      </c>
      <c r="FL189" s="9">
        <v>1161375</v>
      </c>
      <c r="FM189" s="9">
        <v>0</v>
      </c>
      <c r="FN189" s="9">
        <v>0</v>
      </c>
      <c r="FO189" s="9">
        <v>0</v>
      </c>
      <c r="FP189" s="9">
        <v>0</v>
      </c>
      <c r="FQ189" s="9">
        <v>0</v>
      </c>
      <c r="FR189" s="9">
        <v>0</v>
      </c>
      <c r="FS189" s="9">
        <v>0</v>
      </c>
      <c r="FT189" s="9">
        <v>0</v>
      </c>
      <c r="FU189" s="9">
        <v>0</v>
      </c>
      <c r="FV189" s="9">
        <v>0</v>
      </c>
      <c r="FW189" s="9">
        <v>0</v>
      </c>
      <c r="FX189" s="9">
        <v>0</v>
      </c>
      <c r="FY189" s="9">
        <v>0</v>
      </c>
      <c r="FZ189" s="9">
        <v>178</v>
      </c>
      <c r="GA189" s="9">
        <v>3.5580000000000003</v>
      </c>
      <c r="GB189" s="10">
        <v>351829</v>
      </c>
      <c r="GC189" s="10">
        <v>351829</v>
      </c>
      <c r="GD189" s="10">
        <v>39.744</v>
      </c>
      <c r="GE189" s="9">
        <v>0</v>
      </c>
      <c r="GF189" s="9">
        <v>0</v>
      </c>
      <c r="GG189" s="9">
        <v>0</v>
      </c>
      <c r="GH189" s="9">
        <v>0</v>
      </c>
      <c r="GI189" s="9">
        <v>0</v>
      </c>
      <c r="GJ189" s="9">
        <v>0</v>
      </c>
      <c r="GK189" s="9">
        <v>5071</v>
      </c>
      <c r="GL189" s="9">
        <v>9226</v>
      </c>
      <c r="GM189" s="9">
        <v>0</v>
      </c>
      <c r="GN189" s="9">
        <v>0</v>
      </c>
      <c r="GO189" s="9">
        <v>0</v>
      </c>
      <c r="GP189" s="9">
        <v>1103892</v>
      </c>
      <c r="GQ189" s="9">
        <v>1103892</v>
      </c>
      <c r="GR189" s="9">
        <v>0</v>
      </c>
      <c r="GS189" s="9">
        <v>0</v>
      </c>
      <c r="GT189" s="9">
        <v>0</v>
      </c>
      <c r="GU189" s="9">
        <v>0</v>
      </c>
      <c r="GV189" s="9">
        <v>0</v>
      </c>
      <c r="GW189" s="9">
        <v>0</v>
      </c>
      <c r="GX189" s="9">
        <v>0</v>
      </c>
      <c r="GY189" s="9">
        <v>0</v>
      </c>
      <c r="GZ189" s="9">
        <v>0</v>
      </c>
      <c r="HA189" s="9">
        <v>0</v>
      </c>
      <c r="HB189" s="9">
        <v>260786259</v>
      </c>
      <c r="HC189" s="9">
        <v>5.0923999999999997E-2</v>
      </c>
      <c r="HD189" s="10">
        <v>10899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32469</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row>
    <row r="190" spans="1:292" x14ac:dyDescent="0.25">
      <c r="A190" s="9">
        <v>236802</v>
      </c>
      <c r="B190" s="9">
        <v>32570</v>
      </c>
      <c r="C190" s="9">
        <v>35</v>
      </c>
      <c r="D190" s="9">
        <v>2022</v>
      </c>
      <c r="E190" s="9">
        <v>5392</v>
      </c>
      <c r="F190" s="9">
        <v>0</v>
      </c>
      <c r="G190" s="9">
        <v>335.71500000000003</v>
      </c>
      <c r="H190" s="9">
        <v>334.87400000000002</v>
      </c>
      <c r="I190" s="9">
        <v>334.87400000000002</v>
      </c>
      <c r="J190" s="9">
        <v>335.71500000000003</v>
      </c>
      <c r="K190" s="9">
        <v>0</v>
      </c>
      <c r="L190" s="9">
        <v>6554</v>
      </c>
      <c r="M190" s="9">
        <v>0</v>
      </c>
      <c r="N190" s="9">
        <v>0</v>
      </c>
      <c r="O190" s="9">
        <v>0</v>
      </c>
      <c r="P190" s="9">
        <v>277.19300000000004</v>
      </c>
      <c r="Q190" s="9">
        <v>0</v>
      </c>
      <c r="R190" s="9">
        <v>88622</v>
      </c>
      <c r="S190" s="9">
        <v>319.71300000000002</v>
      </c>
      <c r="T190" s="9">
        <v>0</v>
      </c>
      <c r="U190" s="9">
        <v>88622</v>
      </c>
      <c r="V190" s="9">
        <v>13.218</v>
      </c>
      <c r="W190" s="9">
        <v>8663</v>
      </c>
      <c r="X190" s="9">
        <v>8663</v>
      </c>
      <c r="Y190" s="9">
        <v>0</v>
      </c>
      <c r="Z190" s="9">
        <v>0</v>
      </c>
      <c r="AA190" s="9">
        <v>1</v>
      </c>
      <c r="AB190" s="9">
        <v>1</v>
      </c>
      <c r="AC190" s="9">
        <v>0</v>
      </c>
      <c r="AD190" s="9" t="s">
        <v>314</v>
      </c>
      <c r="AE190" s="9">
        <v>0</v>
      </c>
      <c r="AF190" s="9">
        <v>0</v>
      </c>
      <c r="AG190" s="9">
        <v>0</v>
      </c>
      <c r="AH190" s="9">
        <v>0</v>
      </c>
      <c r="AI190" s="9">
        <v>0</v>
      </c>
      <c r="AJ190" s="9">
        <v>5104</v>
      </c>
      <c r="AK190" s="9" t="s">
        <v>651</v>
      </c>
      <c r="AL190" s="9" t="s">
        <v>385</v>
      </c>
      <c r="AM190" s="9">
        <v>0</v>
      </c>
      <c r="AN190" s="9">
        <v>0</v>
      </c>
      <c r="AO190" s="9">
        <v>0</v>
      </c>
      <c r="AP190" s="9">
        <v>0</v>
      </c>
      <c r="AQ190" s="9">
        <v>0</v>
      </c>
      <c r="AR190" s="9">
        <v>0</v>
      </c>
      <c r="AS190" s="9">
        <v>0</v>
      </c>
      <c r="AT190" s="9">
        <v>0</v>
      </c>
      <c r="AU190" s="9">
        <v>0</v>
      </c>
      <c r="AV190" s="9">
        <v>58</v>
      </c>
      <c r="AW190" s="9">
        <v>2855578</v>
      </c>
      <c r="AX190" s="9">
        <v>2789416</v>
      </c>
      <c r="AY190" s="9">
        <v>3056445</v>
      </c>
      <c r="AZ190" s="9">
        <v>88622</v>
      </c>
      <c r="BA190" s="9">
        <v>0</v>
      </c>
      <c r="BB190" s="9">
        <v>13202</v>
      </c>
      <c r="BC190" s="9">
        <v>13202</v>
      </c>
      <c r="BD190" s="9">
        <v>16.786000000000001</v>
      </c>
      <c r="BE190" s="9">
        <v>0</v>
      </c>
      <c r="BF190" s="9">
        <v>2370696</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66162</v>
      </c>
      <c r="CI190" s="9">
        <v>0</v>
      </c>
      <c r="CJ190" s="9">
        <v>4</v>
      </c>
      <c r="CK190" s="9">
        <v>0</v>
      </c>
      <c r="CL190" s="9">
        <v>0</v>
      </c>
      <c r="CM190" s="9">
        <v>0</v>
      </c>
      <c r="CN190" s="9">
        <v>0</v>
      </c>
      <c r="CO190" s="9">
        <v>0</v>
      </c>
      <c r="CP190" s="9">
        <v>0</v>
      </c>
      <c r="CQ190" s="9">
        <v>0</v>
      </c>
      <c r="CR190" s="9">
        <v>277.19300000000004</v>
      </c>
      <c r="CS190" s="9">
        <v>0</v>
      </c>
      <c r="CT190" s="9">
        <v>0</v>
      </c>
      <c r="CU190" s="9">
        <v>0</v>
      </c>
      <c r="CV190" s="9">
        <v>0</v>
      </c>
      <c r="CW190" s="9">
        <v>0</v>
      </c>
      <c r="CX190" s="9">
        <v>0</v>
      </c>
      <c r="CY190" s="9">
        <v>0</v>
      </c>
      <c r="CZ190" s="9">
        <v>0</v>
      </c>
      <c r="DA190" s="9">
        <v>1</v>
      </c>
      <c r="DB190" s="9">
        <v>2194764</v>
      </c>
      <c r="DC190" s="9">
        <v>0</v>
      </c>
      <c r="DD190" s="9">
        <v>0</v>
      </c>
      <c r="DE190" s="9">
        <v>79736</v>
      </c>
      <c r="DF190" s="9">
        <v>79736</v>
      </c>
      <c r="DG190" s="9">
        <v>60.83</v>
      </c>
      <c r="DH190" s="9">
        <v>0</v>
      </c>
      <c r="DI190" s="9">
        <v>0</v>
      </c>
      <c r="DJ190" s="9">
        <v>0</v>
      </c>
      <c r="DK190" s="9">
        <v>5392</v>
      </c>
      <c r="DL190" s="9">
        <v>0</v>
      </c>
      <c r="DM190" s="9">
        <v>139421</v>
      </c>
      <c r="DN190" s="9">
        <v>0</v>
      </c>
      <c r="DO190" s="9">
        <v>0</v>
      </c>
      <c r="DP190" s="9">
        <v>0</v>
      </c>
      <c r="DQ190" s="9">
        <v>0</v>
      </c>
      <c r="DR190" s="9">
        <v>0</v>
      </c>
      <c r="DS190" s="9">
        <v>0</v>
      </c>
      <c r="DT190" s="9">
        <v>0</v>
      </c>
      <c r="DU190" s="9">
        <v>0</v>
      </c>
      <c r="DV190" s="9">
        <v>0</v>
      </c>
      <c r="DW190" s="9">
        <v>0</v>
      </c>
      <c r="DX190" s="9">
        <v>0</v>
      </c>
      <c r="DY190" s="9">
        <v>0</v>
      </c>
      <c r="DZ190" s="9">
        <v>0</v>
      </c>
      <c r="EA190" s="9">
        <v>0</v>
      </c>
      <c r="EB190" s="9">
        <v>0</v>
      </c>
      <c r="EC190" s="9">
        <v>15.516</v>
      </c>
      <c r="ED190" s="9">
        <v>111861</v>
      </c>
      <c r="EE190" s="9">
        <v>0</v>
      </c>
      <c r="EF190" s="9">
        <v>0</v>
      </c>
      <c r="EG190" s="9">
        <v>0</v>
      </c>
      <c r="EH190" s="9">
        <v>27560</v>
      </c>
      <c r="EI190" s="9">
        <v>0</v>
      </c>
      <c r="EJ190" s="9">
        <v>0</v>
      </c>
      <c r="EK190" s="9">
        <v>0</v>
      </c>
      <c r="EL190" s="9">
        <v>0</v>
      </c>
      <c r="EM190" s="9">
        <v>0</v>
      </c>
      <c r="EN190" s="9">
        <v>0.84100000000000008</v>
      </c>
      <c r="EO190" s="9">
        <v>0</v>
      </c>
      <c r="EP190" s="9">
        <v>0</v>
      </c>
      <c r="EQ190" s="9">
        <v>0.84100000000000008</v>
      </c>
      <c r="ER190" s="9">
        <v>0</v>
      </c>
      <c r="ES190" s="9">
        <v>4.2050000000000001</v>
      </c>
      <c r="ET190" s="9">
        <v>0</v>
      </c>
      <c r="EU190" s="9">
        <v>88622</v>
      </c>
      <c r="EV190" s="9">
        <v>0</v>
      </c>
      <c r="EW190" s="9">
        <v>0</v>
      </c>
      <c r="EX190" s="9">
        <v>0</v>
      </c>
      <c r="EY190" s="9">
        <v>0</v>
      </c>
      <c r="EZ190" s="9">
        <v>2347164</v>
      </c>
      <c r="FA190" s="9">
        <v>0</v>
      </c>
      <c r="FB190" s="9">
        <v>2435786</v>
      </c>
      <c r="FC190" s="9">
        <v>0.97327799999999998</v>
      </c>
      <c r="FD190" s="9">
        <v>0</v>
      </c>
      <c r="FE190" s="9">
        <v>360919</v>
      </c>
      <c r="FF190" s="9">
        <v>81333</v>
      </c>
      <c r="FG190" s="9">
        <v>6.1239999999999996E-2</v>
      </c>
      <c r="FH190" s="9">
        <v>5.4803999999999999E-2</v>
      </c>
      <c r="FI190" s="9">
        <v>0</v>
      </c>
      <c r="FJ190" s="9">
        <v>0</v>
      </c>
      <c r="FK190" s="9">
        <v>464.49400000000003</v>
      </c>
      <c r="FL190" s="9">
        <v>2944200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2878038</v>
      </c>
      <c r="GQ190" s="9">
        <v>2878038</v>
      </c>
      <c r="GR190" s="9">
        <v>0</v>
      </c>
      <c r="GS190" s="9">
        <v>0</v>
      </c>
      <c r="GT190" s="9">
        <v>0</v>
      </c>
      <c r="GU190" s="9">
        <v>0</v>
      </c>
      <c r="GV190" s="9">
        <v>0</v>
      </c>
      <c r="GW190" s="9">
        <v>0</v>
      </c>
      <c r="GX190" s="9">
        <v>0</v>
      </c>
      <c r="GY190" s="9">
        <v>0</v>
      </c>
      <c r="GZ190" s="9">
        <v>0</v>
      </c>
      <c r="HA190" s="9">
        <v>0</v>
      </c>
      <c r="HB190" s="9">
        <v>260786259</v>
      </c>
      <c r="HC190" s="9">
        <v>5.0923999999999997E-2</v>
      </c>
      <c r="HD190" s="9">
        <v>66162</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32469</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row>
    <row r="191" spans="1:292" ht="13" x14ac:dyDescent="0.3">
      <c r="A191" s="9">
        <v>240801</v>
      </c>
      <c r="B191" s="9">
        <v>32570</v>
      </c>
      <c r="C191" s="9">
        <v>35</v>
      </c>
      <c r="D191" s="9">
        <v>2022</v>
      </c>
      <c r="E191" s="9">
        <v>5392</v>
      </c>
      <c r="F191" s="9">
        <v>0</v>
      </c>
      <c r="G191" s="9">
        <v>204.86600000000001</v>
      </c>
      <c r="H191" s="9">
        <v>189.952</v>
      </c>
      <c r="I191" s="9">
        <v>189.952</v>
      </c>
      <c r="J191" s="9">
        <v>204.86600000000001</v>
      </c>
      <c r="K191" s="9">
        <v>0</v>
      </c>
      <c r="L191" s="9">
        <v>6554</v>
      </c>
      <c r="M191" s="9">
        <v>0</v>
      </c>
      <c r="N191" s="9">
        <v>0</v>
      </c>
      <c r="O191" s="9">
        <v>0</v>
      </c>
      <c r="P191" s="9">
        <v>249.82400000000001</v>
      </c>
      <c r="Q191" s="9">
        <v>0</v>
      </c>
      <c r="R191" s="10">
        <v>79872</v>
      </c>
      <c r="S191" s="9">
        <v>319.71300000000002</v>
      </c>
      <c r="T191" s="9">
        <v>0</v>
      </c>
      <c r="U191" s="10">
        <v>79872</v>
      </c>
      <c r="V191" s="10">
        <v>105.20100000000001</v>
      </c>
      <c r="W191" s="10">
        <v>68949</v>
      </c>
      <c r="X191" s="10">
        <v>68949</v>
      </c>
      <c r="Y191" s="9">
        <v>0</v>
      </c>
      <c r="Z191" s="9">
        <v>0</v>
      </c>
      <c r="AA191" s="9">
        <v>1</v>
      </c>
      <c r="AB191" s="9">
        <v>1</v>
      </c>
      <c r="AC191" s="9">
        <v>0</v>
      </c>
      <c r="AD191" s="9" t="s">
        <v>314</v>
      </c>
      <c r="AE191" s="9">
        <v>0</v>
      </c>
      <c r="AF191" s="9">
        <v>0</v>
      </c>
      <c r="AG191" s="9">
        <v>0</v>
      </c>
      <c r="AH191" s="9">
        <v>0</v>
      </c>
      <c r="AI191" s="9">
        <v>0</v>
      </c>
      <c r="AJ191" s="9">
        <v>5104</v>
      </c>
      <c r="AK191" s="9" t="s">
        <v>651</v>
      </c>
      <c r="AL191" s="9" t="s">
        <v>464</v>
      </c>
      <c r="AM191" s="9">
        <v>0</v>
      </c>
      <c r="AN191" s="9">
        <v>0</v>
      </c>
      <c r="AO191" s="9">
        <v>0</v>
      </c>
      <c r="AP191" s="9">
        <v>0</v>
      </c>
      <c r="AQ191" s="9">
        <v>0</v>
      </c>
      <c r="AR191" s="9">
        <v>0</v>
      </c>
      <c r="AS191" s="9">
        <v>0</v>
      </c>
      <c r="AT191" s="9">
        <v>0</v>
      </c>
      <c r="AU191" s="9">
        <v>0</v>
      </c>
      <c r="AV191" s="9">
        <v>264097</v>
      </c>
      <c r="AW191" s="9">
        <v>2330166</v>
      </c>
      <c r="AX191" s="9">
        <v>2221539</v>
      </c>
      <c r="AY191" s="9">
        <v>2514995</v>
      </c>
      <c r="AZ191" s="9">
        <v>136207</v>
      </c>
      <c r="BA191" s="10">
        <v>17.917000000000002</v>
      </c>
      <c r="BB191" s="9">
        <v>0</v>
      </c>
      <c r="BC191" s="9">
        <v>0</v>
      </c>
      <c r="BD191" s="9">
        <v>0</v>
      </c>
      <c r="BE191" s="9">
        <v>0</v>
      </c>
      <c r="BF191" s="9">
        <v>1895717</v>
      </c>
      <c r="BG191" s="9">
        <v>0</v>
      </c>
      <c r="BH191" s="10">
        <v>204.85600000000002</v>
      </c>
      <c r="BI191" s="10">
        <v>56335</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52292</v>
      </c>
      <c r="CI191" s="9">
        <v>0</v>
      </c>
      <c r="CJ191" s="9">
        <v>4</v>
      </c>
      <c r="CK191" s="9">
        <v>0</v>
      </c>
      <c r="CL191" s="9">
        <v>0</v>
      </c>
      <c r="CM191" s="9">
        <v>0</v>
      </c>
      <c r="CN191" s="9">
        <v>0</v>
      </c>
      <c r="CO191" s="9">
        <v>0</v>
      </c>
      <c r="CP191" s="9">
        <v>1.8230000000000002</v>
      </c>
      <c r="CQ191" s="9">
        <v>11.833</v>
      </c>
      <c r="CR191" s="9">
        <v>249.82400000000001</v>
      </c>
      <c r="CS191" s="9">
        <v>0</v>
      </c>
      <c r="CT191" s="9">
        <v>0</v>
      </c>
      <c r="CU191" s="9">
        <v>0</v>
      </c>
      <c r="CV191" s="9">
        <v>0</v>
      </c>
      <c r="CW191" s="9">
        <v>0</v>
      </c>
      <c r="CX191" s="9">
        <v>0</v>
      </c>
      <c r="CY191" s="9">
        <v>0</v>
      </c>
      <c r="CZ191" s="9">
        <v>0</v>
      </c>
      <c r="DA191" s="9">
        <v>1</v>
      </c>
      <c r="DB191" s="9">
        <v>1244945</v>
      </c>
      <c r="DC191" s="9">
        <v>0</v>
      </c>
      <c r="DD191" s="9">
        <v>0</v>
      </c>
      <c r="DE191" s="9">
        <v>323112</v>
      </c>
      <c r="DF191" s="9">
        <v>351907</v>
      </c>
      <c r="DG191" s="9">
        <v>246.5</v>
      </c>
      <c r="DH191" s="9">
        <v>0</v>
      </c>
      <c r="DI191" s="9">
        <v>28795</v>
      </c>
      <c r="DJ191" s="9">
        <v>0</v>
      </c>
      <c r="DK191" s="9">
        <v>5392</v>
      </c>
      <c r="DL191" s="9">
        <v>0</v>
      </c>
      <c r="DM191" s="9">
        <v>150291</v>
      </c>
      <c r="DN191" s="9">
        <v>0</v>
      </c>
      <c r="DO191" s="9">
        <v>0</v>
      </c>
      <c r="DP191" s="9">
        <v>0</v>
      </c>
      <c r="DQ191" s="9">
        <v>0</v>
      </c>
      <c r="DR191" s="9">
        <v>0</v>
      </c>
      <c r="DS191" s="9">
        <v>0</v>
      </c>
      <c r="DT191" s="9">
        <v>0</v>
      </c>
      <c r="DU191" s="9">
        <v>0</v>
      </c>
      <c r="DV191" s="9">
        <v>0</v>
      </c>
      <c r="DW191" s="9">
        <v>0</v>
      </c>
      <c r="DX191" s="9">
        <v>0</v>
      </c>
      <c r="DY191" s="9">
        <v>0</v>
      </c>
      <c r="DZ191" s="9">
        <v>0</v>
      </c>
      <c r="EA191" s="9">
        <v>0</v>
      </c>
      <c r="EB191" s="9">
        <v>0</v>
      </c>
      <c r="EC191" s="9">
        <v>20.701000000000001</v>
      </c>
      <c r="ED191" s="9">
        <v>149242</v>
      </c>
      <c r="EE191" s="9">
        <v>0</v>
      </c>
      <c r="EF191" s="9">
        <v>0</v>
      </c>
      <c r="EG191" s="9">
        <v>0</v>
      </c>
      <c r="EH191" s="9">
        <v>1049</v>
      </c>
      <c r="EI191" s="9">
        <v>0</v>
      </c>
      <c r="EJ191" s="9">
        <v>0</v>
      </c>
      <c r="EK191" s="9">
        <v>0</v>
      </c>
      <c r="EL191" s="9">
        <v>0</v>
      </c>
      <c r="EM191" s="9">
        <v>0</v>
      </c>
      <c r="EN191" s="9">
        <v>3.2000000000000001E-2</v>
      </c>
      <c r="EO191" s="9">
        <v>0</v>
      </c>
      <c r="EP191" s="9">
        <v>0</v>
      </c>
      <c r="EQ191" s="9">
        <v>3.2000000000000001E-2</v>
      </c>
      <c r="ER191" s="9">
        <v>0</v>
      </c>
      <c r="ES191" s="9">
        <v>0.16</v>
      </c>
      <c r="ET191" s="10">
        <v>11917</v>
      </c>
      <c r="EU191" s="9">
        <v>136207</v>
      </c>
      <c r="EV191" s="9">
        <v>0</v>
      </c>
      <c r="EW191" s="9">
        <v>0</v>
      </c>
      <c r="EX191" s="9">
        <v>0</v>
      </c>
      <c r="EY191" s="9">
        <v>0</v>
      </c>
      <c r="EZ191" s="9">
        <v>1867894</v>
      </c>
      <c r="FA191" s="9">
        <v>0</v>
      </c>
      <c r="FB191" s="10">
        <v>2004101</v>
      </c>
      <c r="FC191" s="9">
        <v>0.97327799999999998</v>
      </c>
      <c r="FD191" s="9">
        <v>0</v>
      </c>
      <c r="FE191" s="9">
        <v>288608</v>
      </c>
      <c r="FF191" s="9">
        <v>65037</v>
      </c>
      <c r="FG191" s="9">
        <v>6.1239999999999996E-2</v>
      </c>
      <c r="FH191" s="9">
        <v>5.4803999999999999E-2</v>
      </c>
      <c r="FI191" s="9">
        <v>0</v>
      </c>
      <c r="FJ191" s="9">
        <v>0</v>
      </c>
      <c r="FK191" s="9">
        <v>371.43100000000004</v>
      </c>
      <c r="FL191" s="9">
        <v>2410038</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131674</v>
      </c>
      <c r="GC191" s="10">
        <v>131674</v>
      </c>
      <c r="GD191" s="10">
        <v>14.882000000000001</v>
      </c>
      <c r="GE191" s="9">
        <v>0</v>
      </c>
      <c r="GF191" s="9">
        <v>0</v>
      </c>
      <c r="GG191" s="9">
        <v>0</v>
      </c>
      <c r="GH191" s="9">
        <v>0</v>
      </c>
      <c r="GI191" s="9">
        <v>0</v>
      </c>
      <c r="GJ191" s="9">
        <v>0</v>
      </c>
      <c r="GK191" s="9">
        <v>5139</v>
      </c>
      <c r="GL191" s="9">
        <v>19097</v>
      </c>
      <c r="GM191" s="9">
        <v>0</v>
      </c>
      <c r="GN191" s="9">
        <v>0</v>
      </c>
      <c r="GO191" s="9">
        <v>0</v>
      </c>
      <c r="GP191" s="9">
        <v>2357746</v>
      </c>
      <c r="GQ191" s="9">
        <v>2357746</v>
      </c>
      <c r="GR191" s="9">
        <v>0</v>
      </c>
      <c r="GS191" s="9">
        <v>0</v>
      </c>
      <c r="GT191" s="9">
        <v>0</v>
      </c>
      <c r="GU191" s="9">
        <v>0</v>
      </c>
      <c r="GV191" s="9">
        <v>0</v>
      </c>
      <c r="GW191" s="9">
        <v>0</v>
      </c>
      <c r="GX191" s="9">
        <v>0</v>
      </c>
      <c r="GY191" s="9">
        <v>0</v>
      </c>
      <c r="GZ191" s="9">
        <v>0</v>
      </c>
      <c r="HA191" s="9">
        <v>0</v>
      </c>
      <c r="HB191" s="9">
        <v>260786259</v>
      </c>
      <c r="HC191" s="9">
        <v>5.0923999999999997E-2</v>
      </c>
      <c r="HD191" s="10">
        <v>40375</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32469</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row>
    <row r="192" spans="1:292" ht="13" x14ac:dyDescent="0.3">
      <c r="A192" s="9">
        <v>246801</v>
      </c>
      <c r="B192" s="9">
        <v>32570</v>
      </c>
      <c r="C192" s="9">
        <v>35</v>
      </c>
      <c r="D192" s="9">
        <v>2022</v>
      </c>
      <c r="E192" s="9">
        <v>5392</v>
      </c>
      <c r="F192" s="9">
        <v>0</v>
      </c>
      <c r="G192" s="9">
        <v>1613.2950000000001</v>
      </c>
      <c r="H192" s="9">
        <v>1561.8290000000002</v>
      </c>
      <c r="I192" s="9">
        <v>1561.8290000000002</v>
      </c>
      <c r="J192" s="9">
        <v>1613.2950000000001</v>
      </c>
      <c r="K192" s="9">
        <v>0</v>
      </c>
      <c r="L192" s="9">
        <v>6554</v>
      </c>
      <c r="M192" s="9">
        <v>0</v>
      </c>
      <c r="N192" s="9">
        <v>0</v>
      </c>
      <c r="O192" s="9">
        <v>0</v>
      </c>
      <c r="P192" s="9">
        <v>1592.2360000000001</v>
      </c>
      <c r="Q192" s="9">
        <v>0</v>
      </c>
      <c r="R192" s="10">
        <v>509059</v>
      </c>
      <c r="S192" s="9">
        <v>319.71300000000002</v>
      </c>
      <c r="T192" s="9">
        <v>0</v>
      </c>
      <c r="U192" s="10">
        <v>509059</v>
      </c>
      <c r="V192" s="10">
        <v>77.088999999999999</v>
      </c>
      <c r="W192" s="10">
        <v>50524</v>
      </c>
      <c r="X192" s="10">
        <v>50524</v>
      </c>
      <c r="Y192" s="9">
        <v>0</v>
      </c>
      <c r="Z192" s="9">
        <v>0</v>
      </c>
      <c r="AA192" s="9">
        <v>1</v>
      </c>
      <c r="AB192" s="9">
        <v>1</v>
      </c>
      <c r="AC192" s="9">
        <v>0</v>
      </c>
      <c r="AD192" s="9" t="s">
        <v>314</v>
      </c>
      <c r="AE192" s="9">
        <v>0</v>
      </c>
      <c r="AF192" s="9">
        <v>0</v>
      </c>
      <c r="AG192" s="9">
        <v>0</v>
      </c>
      <c r="AH192" s="9">
        <v>0</v>
      </c>
      <c r="AI192" s="9">
        <v>0</v>
      </c>
      <c r="AJ192" s="9">
        <v>5104</v>
      </c>
      <c r="AK192" s="9" t="s">
        <v>651</v>
      </c>
      <c r="AL192" s="9" t="s">
        <v>96</v>
      </c>
      <c r="AM192" s="9">
        <v>0</v>
      </c>
      <c r="AN192" s="9">
        <v>0</v>
      </c>
      <c r="AO192" s="9">
        <v>0</v>
      </c>
      <c r="AP192" s="9">
        <v>0</v>
      </c>
      <c r="AQ192" s="9">
        <v>0</v>
      </c>
      <c r="AR192" s="9">
        <v>0</v>
      </c>
      <c r="AS192" s="9">
        <v>0</v>
      </c>
      <c r="AT192" s="9">
        <v>0</v>
      </c>
      <c r="AU192" s="9">
        <v>0</v>
      </c>
      <c r="AV192" s="9">
        <v>283</v>
      </c>
      <c r="AW192" s="9">
        <v>13852160</v>
      </c>
      <c r="AX192" s="9">
        <v>13441967</v>
      </c>
      <c r="AY192" s="9">
        <v>14401031</v>
      </c>
      <c r="AZ192" s="9">
        <v>601307</v>
      </c>
      <c r="BA192" s="10">
        <v>0</v>
      </c>
      <c r="BB192" s="9">
        <v>0</v>
      </c>
      <c r="BC192" s="9">
        <v>0</v>
      </c>
      <c r="BD192" s="9">
        <v>0</v>
      </c>
      <c r="BE192" s="9">
        <v>0</v>
      </c>
      <c r="BF192" s="9">
        <v>11491730</v>
      </c>
      <c r="BG192" s="9">
        <v>0</v>
      </c>
      <c r="BH192" s="10">
        <v>335.44900000000001</v>
      </c>
      <c r="BI192" s="10">
        <v>92248</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317945</v>
      </c>
      <c r="CI192" s="9">
        <v>0</v>
      </c>
      <c r="CJ192" s="9">
        <v>4</v>
      </c>
      <c r="CK192" s="9">
        <v>0</v>
      </c>
      <c r="CL192" s="9">
        <v>0</v>
      </c>
      <c r="CM192" s="9">
        <v>0</v>
      </c>
      <c r="CN192" s="9">
        <v>0</v>
      </c>
      <c r="CO192" s="9">
        <v>0</v>
      </c>
      <c r="CP192" s="9">
        <v>0</v>
      </c>
      <c r="CQ192" s="9">
        <v>0</v>
      </c>
      <c r="CR192" s="9">
        <v>1592.2360000000001</v>
      </c>
      <c r="CS192" s="9">
        <v>0</v>
      </c>
      <c r="CT192" s="9">
        <v>0</v>
      </c>
      <c r="CU192" s="9">
        <v>0</v>
      </c>
      <c r="CV192" s="9">
        <v>0</v>
      </c>
      <c r="CW192" s="9">
        <v>0</v>
      </c>
      <c r="CX192" s="9">
        <v>0</v>
      </c>
      <c r="CY192" s="9">
        <v>0</v>
      </c>
      <c r="CZ192" s="9">
        <v>0</v>
      </c>
      <c r="DA192" s="9">
        <v>1</v>
      </c>
      <c r="DB192" s="9">
        <v>10236227</v>
      </c>
      <c r="DC192" s="9">
        <v>0</v>
      </c>
      <c r="DD192" s="9">
        <v>0</v>
      </c>
      <c r="DE192" s="9">
        <v>255173</v>
      </c>
      <c r="DF192" s="9">
        <v>255173</v>
      </c>
      <c r="DG192" s="9">
        <v>194.67000000000002</v>
      </c>
      <c r="DH192" s="9">
        <v>0</v>
      </c>
      <c r="DI192" s="9">
        <v>0</v>
      </c>
      <c r="DJ192" s="9">
        <v>0</v>
      </c>
      <c r="DK192" s="9">
        <v>5392</v>
      </c>
      <c r="DL192" s="9">
        <v>0</v>
      </c>
      <c r="DM192" s="9">
        <v>1265325</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29.283000000000001</v>
      </c>
      <c r="ED192" s="9">
        <v>211113</v>
      </c>
      <c r="EE192" s="9">
        <v>0</v>
      </c>
      <c r="EF192" s="9">
        <v>0</v>
      </c>
      <c r="EG192" s="9">
        <v>0.65300000000000002</v>
      </c>
      <c r="EH192" s="9">
        <v>1054212</v>
      </c>
      <c r="EI192" s="9">
        <v>0</v>
      </c>
      <c r="EJ192" s="9">
        <v>0</v>
      </c>
      <c r="EK192" s="9">
        <v>42.737000000000002</v>
      </c>
      <c r="EL192" s="9">
        <v>0</v>
      </c>
      <c r="EM192" s="9">
        <v>4.7520000000000007</v>
      </c>
      <c r="EN192" s="9">
        <v>3.3240000000000003</v>
      </c>
      <c r="EO192" s="9">
        <v>0</v>
      </c>
      <c r="EP192" s="9">
        <v>0</v>
      </c>
      <c r="EQ192" s="9">
        <v>51.466000000000001</v>
      </c>
      <c r="ER192" s="9">
        <v>0</v>
      </c>
      <c r="ES192" s="9">
        <v>160.85</v>
      </c>
      <c r="ET192" s="10">
        <v>0</v>
      </c>
      <c r="EU192" s="9">
        <v>601307</v>
      </c>
      <c r="EV192" s="9">
        <v>0</v>
      </c>
      <c r="EW192" s="9">
        <v>0</v>
      </c>
      <c r="EX192" s="9">
        <v>0</v>
      </c>
      <c r="EY192" s="9">
        <v>0</v>
      </c>
      <c r="EZ192" s="9">
        <v>11298190</v>
      </c>
      <c r="FA192" s="9">
        <v>0</v>
      </c>
      <c r="FB192" s="10">
        <v>11899497</v>
      </c>
      <c r="FC192" s="9">
        <v>0.97327799999999998</v>
      </c>
      <c r="FD192" s="9">
        <v>0</v>
      </c>
      <c r="FE192" s="9">
        <v>1749524</v>
      </c>
      <c r="FF192" s="9">
        <v>394253</v>
      </c>
      <c r="FG192" s="9">
        <v>6.1239999999999996E-2</v>
      </c>
      <c r="FH192" s="9">
        <v>5.4803999999999999E-2</v>
      </c>
      <c r="FI192" s="9">
        <v>0</v>
      </c>
      <c r="FJ192" s="9">
        <v>0</v>
      </c>
      <c r="FK192" s="9">
        <v>2251.5920000000001</v>
      </c>
      <c r="FL192" s="9">
        <v>14361219</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14043274</v>
      </c>
      <c r="GQ192" s="9">
        <v>14043274</v>
      </c>
      <c r="GR192" s="9">
        <v>0</v>
      </c>
      <c r="GS192" s="9">
        <v>0</v>
      </c>
      <c r="GT192" s="9">
        <v>0</v>
      </c>
      <c r="GU192" s="9">
        <v>0</v>
      </c>
      <c r="GV192" s="9">
        <v>0</v>
      </c>
      <c r="GW192" s="9">
        <v>0</v>
      </c>
      <c r="GX192" s="9">
        <v>0</v>
      </c>
      <c r="GY192" s="9">
        <v>0</v>
      </c>
      <c r="GZ192" s="9">
        <v>0</v>
      </c>
      <c r="HA192" s="9">
        <v>0</v>
      </c>
      <c r="HB192" s="9">
        <v>260786259</v>
      </c>
      <c r="HC192" s="9">
        <v>5.0923999999999997E-2</v>
      </c>
      <c r="HD192" s="10">
        <v>317945</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32469</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row>
    <row r="193" spans="1:292" x14ac:dyDescent="0.25">
      <c r="A193" s="9">
        <v>246802</v>
      </c>
      <c r="B193" s="9">
        <v>32570</v>
      </c>
      <c r="C193" s="9">
        <v>35</v>
      </c>
      <c r="D193" s="9">
        <v>2022</v>
      </c>
      <c r="E193" s="9">
        <v>5392</v>
      </c>
      <c r="F193" s="9">
        <v>0</v>
      </c>
      <c r="G193" s="9">
        <v>332.59100000000001</v>
      </c>
      <c r="H193" s="9">
        <v>318.65800000000002</v>
      </c>
      <c r="I193" s="9">
        <v>318.65800000000002</v>
      </c>
      <c r="J193" s="9">
        <v>332.59100000000001</v>
      </c>
      <c r="K193" s="9">
        <v>0</v>
      </c>
      <c r="L193" s="9">
        <v>6554</v>
      </c>
      <c r="M193" s="9">
        <v>0</v>
      </c>
      <c r="N193" s="9">
        <v>0</v>
      </c>
      <c r="O193" s="9">
        <v>0</v>
      </c>
      <c r="P193" s="9">
        <v>278.02100000000002</v>
      </c>
      <c r="Q193" s="9">
        <v>0</v>
      </c>
      <c r="R193" s="9">
        <v>88887</v>
      </c>
      <c r="S193" s="9">
        <v>319.71300000000002</v>
      </c>
      <c r="T193" s="9">
        <v>0</v>
      </c>
      <c r="U193" s="9">
        <v>88887</v>
      </c>
      <c r="V193" s="9">
        <v>16.77</v>
      </c>
      <c r="W193" s="9">
        <v>10991</v>
      </c>
      <c r="X193" s="9">
        <v>10991</v>
      </c>
      <c r="Y193" s="9">
        <v>0</v>
      </c>
      <c r="Z193" s="9">
        <v>0</v>
      </c>
      <c r="AA193" s="9">
        <v>1</v>
      </c>
      <c r="AB193" s="9">
        <v>1</v>
      </c>
      <c r="AC193" s="9">
        <v>0</v>
      </c>
      <c r="AD193" s="9" t="s">
        <v>314</v>
      </c>
      <c r="AE193" s="9">
        <v>0</v>
      </c>
      <c r="AF193" s="9">
        <v>0</v>
      </c>
      <c r="AG193" s="9">
        <v>0</v>
      </c>
      <c r="AH193" s="9">
        <v>0</v>
      </c>
      <c r="AI193" s="9">
        <v>0</v>
      </c>
      <c r="AJ193" s="9">
        <v>5104</v>
      </c>
      <c r="AK193" s="9" t="s">
        <v>651</v>
      </c>
      <c r="AL193" s="9" t="s">
        <v>414</v>
      </c>
      <c r="AM193" s="9">
        <v>0</v>
      </c>
      <c r="AN193" s="9">
        <v>0</v>
      </c>
      <c r="AO193" s="9">
        <v>0</v>
      </c>
      <c r="AP193" s="9">
        <v>0</v>
      </c>
      <c r="AQ193" s="9">
        <v>0</v>
      </c>
      <c r="AR193" s="9">
        <v>0</v>
      </c>
      <c r="AS193" s="9">
        <v>0</v>
      </c>
      <c r="AT193" s="9">
        <v>0</v>
      </c>
      <c r="AU193" s="9">
        <v>0</v>
      </c>
      <c r="AV193" s="9">
        <v>22252</v>
      </c>
      <c r="AW193" s="9">
        <v>2964860</v>
      </c>
      <c r="AX193" s="9">
        <v>2899314</v>
      </c>
      <c r="AY193" s="9">
        <v>3130537</v>
      </c>
      <c r="AZ193" s="9">
        <v>88887</v>
      </c>
      <c r="BA193" s="9">
        <v>0</v>
      </c>
      <c r="BB193" s="9">
        <v>3111</v>
      </c>
      <c r="BC193" s="9">
        <v>3111</v>
      </c>
      <c r="BD193" s="9">
        <v>3.9560000000000004</v>
      </c>
      <c r="BE193" s="9">
        <v>0</v>
      </c>
      <c r="BF193" s="9">
        <v>2461439</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65546</v>
      </c>
      <c r="CI193" s="9">
        <v>0</v>
      </c>
      <c r="CJ193" s="9">
        <v>5</v>
      </c>
      <c r="CK193" s="9">
        <v>0</v>
      </c>
      <c r="CL193" s="9">
        <v>0</v>
      </c>
      <c r="CM193" s="9">
        <v>0</v>
      </c>
      <c r="CN193" s="9">
        <v>0</v>
      </c>
      <c r="CO193" s="9">
        <v>0</v>
      </c>
      <c r="CP193" s="9">
        <v>0</v>
      </c>
      <c r="CQ193" s="9">
        <v>0</v>
      </c>
      <c r="CR193" s="9">
        <v>278.02100000000002</v>
      </c>
      <c r="CS193" s="9">
        <v>0</v>
      </c>
      <c r="CT193" s="9">
        <v>0</v>
      </c>
      <c r="CU193" s="9">
        <v>0</v>
      </c>
      <c r="CV193" s="9">
        <v>0</v>
      </c>
      <c r="CW193" s="9">
        <v>0</v>
      </c>
      <c r="CX193" s="9">
        <v>0</v>
      </c>
      <c r="CY193" s="9">
        <v>0</v>
      </c>
      <c r="CZ193" s="9">
        <v>0</v>
      </c>
      <c r="DA193" s="9">
        <v>1</v>
      </c>
      <c r="DB193" s="9">
        <v>2088485</v>
      </c>
      <c r="DC193" s="9">
        <v>0</v>
      </c>
      <c r="DD193" s="9">
        <v>0</v>
      </c>
      <c r="DE193" s="9">
        <v>135235</v>
      </c>
      <c r="DF193" s="9">
        <v>135235</v>
      </c>
      <c r="DG193" s="9">
        <v>103.17</v>
      </c>
      <c r="DH193" s="9">
        <v>0</v>
      </c>
      <c r="DI193" s="9">
        <v>0</v>
      </c>
      <c r="DJ193" s="9">
        <v>0</v>
      </c>
      <c r="DK193" s="9">
        <v>5392</v>
      </c>
      <c r="DL193" s="9">
        <v>0</v>
      </c>
      <c r="DM193" s="9">
        <v>291199</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1.107</v>
      </c>
      <c r="ED193" s="9">
        <v>7981</v>
      </c>
      <c r="EE193" s="9">
        <v>0</v>
      </c>
      <c r="EF193" s="9">
        <v>0</v>
      </c>
      <c r="EG193" s="9">
        <v>0</v>
      </c>
      <c r="EH193" s="9">
        <v>283218</v>
      </c>
      <c r="EI193" s="9">
        <v>0</v>
      </c>
      <c r="EJ193" s="9">
        <v>0</v>
      </c>
      <c r="EK193" s="9">
        <v>13.226000000000001</v>
      </c>
      <c r="EL193" s="9">
        <v>0</v>
      </c>
      <c r="EM193" s="9">
        <v>0</v>
      </c>
      <c r="EN193" s="9">
        <v>0.70700000000000007</v>
      </c>
      <c r="EO193" s="9">
        <v>0</v>
      </c>
      <c r="EP193" s="9">
        <v>0</v>
      </c>
      <c r="EQ193" s="9">
        <v>13.933</v>
      </c>
      <c r="ER193" s="9">
        <v>0</v>
      </c>
      <c r="ES193" s="9">
        <v>43.213000000000001</v>
      </c>
      <c r="ET193" s="9">
        <v>0</v>
      </c>
      <c r="EU193" s="9">
        <v>88887</v>
      </c>
      <c r="EV193" s="9">
        <v>0</v>
      </c>
      <c r="EW193" s="9">
        <v>0</v>
      </c>
      <c r="EX193" s="9">
        <v>0</v>
      </c>
      <c r="EY193" s="9">
        <v>0</v>
      </c>
      <c r="EZ193" s="9">
        <v>2440134</v>
      </c>
      <c r="FA193" s="9">
        <v>0</v>
      </c>
      <c r="FB193" s="9">
        <v>2529021</v>
      </c>
      <c r="FC193" s="9">
        <v>0.97327799999999998</v>
      </c>
      <c r="FD193" s="9">
        <v>0</v>
      </c>
      <c r="FE193" s="9">
        <v>374734</v>
      </c>
      <c r="FF193" s="9">
        <v>84446</v>
      </c>
      <c r="FG193" s="9">
        <v>6.1239999999999996E-2</v>
      </c>
      <c r="FH193" s="9">
        <v>5.4803999999999999E-2</v>
      </c>
      <c r="FI193" s="9">
        <v>0</v>
      </c>
      <c r="FJ193" s="9">
        <v>0</v>
      </c>
      <c r="FK193" s="9">
        <v>482.27300000000002</v>
      </c>
      <c r="FL193" s="9">
        <v>3053747</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2988201</v>
      </c>
      <c r="GQ193" s="9">
        <v>2988201</v>
      </c>
      <c r="GR193" s="9">
        <v>0</v>
      </c>
      <c r="GS193" s="9">
        <v>0</v>
      </c>
      <c r="GT193" s="9">
        <v>0</v>
      </c>
      <c r="GU193" s="9">
        <v>0</v>
      </c>
      <c r="GV193" s="9">
        <v>0</v>
      </c>
      <c r="GW193" s="9">
        <v>0</v>
      </c>
      <c r="GX193" s="9">
        <v>0</v>
      </c>
      <c r="GY193" s="9">
        <v>0</v>
      </c>
      <c r="GZ193" s="9">
        <v>0</v>
      </c>
      <c r="HA193" s="9">
        <v>0</v>
      </c>
      <c r="HB193" s="9">
        <v>260786259</v>
      </c>
      <c r="HC193" s="9">
        <v>5.0923999999999997E-2</v>
      </c>
      <c r="HD193" s="9">
        <v>65546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32469</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row>
  </sheetData>
  <sheetProtection algorithmName="SHA-512" hashValue="Tv+Wu1+zOirlSvRNDM5Gpx2dx4H1OL8OlNaw79uQMRiYKsyyTDi73LJUhAUeSP5JWT+4zcc6B+QdX2VNHMqlvA==" saltValue="ac2PJcLZk6ukXUDtGyLPqg==" spinCount="100000" sheet="1" objects="1" scenarios="1"/>
  <sortState xmlns:xlrd2="http://schemas.microsoft.com/office/spreadsheetml/2017/richdata2" ref="A3:KF193">
    <sortCondition ref="A3:A19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B6A5-EDFB-49EF-B4D5-46BF19A60C4B}">
  <sheetPr>
    <tabColor rgb="FFFF0000"/>
  </sheetPr>
  <dimension ref="A1:KI193"/>
  <sheetViews>
    <sheetView workbookViewId="0">
      <pane xSplit="1" ySplit="2" topLeftCell="B3" activePane="bottomRight" state="frozen"/>
      <selection pane="topRight" activeCell="B1" sqref="B1"/>
      <selection pane="bottomLeft" activeCell="A3" sqref="A3"/>
      <selection pane="bottomRight"/>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4" style="9" customWidth="1"/>
    <col min="5" max="5" width="5" style="9" customWidth="1"/>
    <col min="6" max="6" width="22.1796875" style="9" customWidth="1"/>
    <col min="7" max="7" width="23.1796875" style="9" customWidth="1"/>
    <col min="8" max="8" width="15.26953125" style="9" customWidth="1"/>
    <col min="9" max="9" width="23.7265625" style="9" customWidth="1"/>
    <col min="10" max="10" width="18.54296875" style="9" customWidth="1"/>
    <col min="11" max="11" width="22.81640625" style="9" customWidth="1"/>
    <col min="12" max="12" width="11.1796875" style="9" customWidth="1"/>
    <col min="13" max="13" width="29.26953125" style="9" customWidth="1"/>
    <col min="14" max="14" width="17.26953125" style="9" customWidth="1"/>
    <col min="15" max="15" width="23.453125" style="9" customWidth="1"/>
    <col min="16" max="16" width="10" style="9" customWidth="1"/>
    <col min="17" max="17" width="23.7265625" style="9" customWidth="1"/>
    <col min="18" max="18" width="11.453125" style="9" customWidth="1"/>
    <col min="19" max="20" width="10.54296875" style="9" customWidth="1"/>
    <col min="21" max="21" width="20.81640625" style="9" customWidth="1"/>
    <col min="22" max="22" width="10" style="9" customWidth="1"/>
    <col min="23" max="23" width="10.453125" style="9" customWidth="1"/>
    <col min="24" max="24" width="18.54296875" style="9" customWidth="1"/>
    <col min="25" max="25" width="17.453125" style="9" customWidth="1"/>
    <col min="26" max="26" width="24.81640625" style="9" customWidth="1"/>
    <col min="27" max="27" width="4" style="9" customWidth="1"/>
    <col min="28" max="28" width="8.453125" style="9" customWidth="1"/>
    <col min="29" max="29" width="18.7265625" style="9" customWidth="1"/>
    <col min="30" max="30" width="11.453125" style="9" customWidth="1"/>
    <col min="31" max="31" width="21" style="9" customWidth="1"/>
    <col min="32" max="33" width="9" style="9" customWidth="1"/>
    <col min="34" max="34" width="24.54296875" style="9" customWidth="1"/>
    <col min="35" max="36" width="12.54296875" style="9" customWidth="1"/>
    <col min="37" max="37" width="19.81640625" style="9" customWidth="1"/>
    <col min="38" max="38" width="60.453125" style="9" customWidth="1"/>
    <col min="39" max="39" width="8.1796875" style="9" customWidth="1"/>
    <col min="40" max="40" width="20.453125" style="9" customWidth="1"/>
    <col min="41" max="41" width="26.1796875" style="9" customWidth="1"/>
    <col min="42" max="42" width="19.54296875" style="9" customWidth="1"/>
    <col min="43" max="43" width="19.453125" style="9" customWidth="1"/>
    <col min="44" max="44" width="8.81640625" style="9" customWidth="1"/>
    <col min="45" max="45" width="5.81640625" style="9" customWidth="1"/>
    <col min="46" max="46" width="14.7265625" style="9" customWidth="1"/>
    <col min="47" max="47" width="10.81640625" style="9" customWidth="1"/>
    <col min="48" max="48" width="23.54296875" style="9" customWidth="1"/>
    <col min="49" max="50" width="15.81640625" style="9" customWidth="1"/>
    <col min="51" max="51" width="20.7265625" style="9" customWidth="1"/>
    <col min="52" max="52" width="19.54296875" style="9" customWidth="1"/>
    <col min="53" max="53" width="14.7265625" style="9" customWidth="1"/>
    <col min="54" max="54" width="10.1796875" style="9" customWidth="1"/>
    <col min="55" max="55" width="18.26953125" style="9" customWidth="1"/>
    <col min="56" max="56" width="11.7265625" style="9" customWidth="1"/>
    <col min="57" max="57" width="17" style="9" customWidth="1"/>
    <col min="58" max="58" width="11" style="9" customWidth="1"/>
    <col min="59" max="59" width="5.81640625" style="9" customWidth="1"/>
    <col min="60" max="60" width="19.26953125" style="9" customWidth="1"/>
    <col min="61" max="61" width="21.1796875" style="9" customWidth="1"/>
    <col min="62" max="62" width="16.7265625" style="9" customWidth="1"/>
    <col min="63" max="63" width="24.54296875" style="9" customWidth="1"/>
    <col min="64" max="64" width="17.453125" style="9" customWidth="1"/>
    <col min="65" max="65" width="17.26953125" style="9" customWidth="1"/>
    <col min="66" max="66" width="24.453125" style="9" customWidth="1"/>
    <col min="67" max="67" width="26" style="9" customWidth="1"/>
    <col min="68" max="68" width="25.81640625" style="9" customWidth="1"/>
    <col min="69" max="69" width="5.1796875" style="9" customWidth="1"/>
    <col min="70" max="70" width="9.1796875" style="9" customWidth="1"/>
    <col min="71" max="71" width="20.453125" style="9" customWidth="1"/>
    <col min="72" max="74" width="14.1796875" style="9" customWidth="1"/>
    <col min="75" max="75" width="20.81640625" style="9" customWidth="1"/>
    <col min="76" max="76" width="18" style="9" customWidth="1"/>
    <col min="77" max="77" width="14.26953125" style="9" customWidth="1"/>
    <col min="78" max="78" width="5.81640625" style="9" customWidth="1"/>
    <col min="79" max="79" width="10" style="9" customWidth="1"/>
    <col min="80" max="80" width="11.81640625" style="9" customWidth="1"/>
    <col min="81" max="81" width="19" style="9" customWidth="1"/>
    <col min="82" max="84" width="21.7265625" style="9" customWidth="1"/>
    <col min="85" max="85" width="20.7265625" style="9" customWidth="1"/>
    <col min="86" max="86" width="28.54296875" style="9" customWidth="1"/>
    <col min="87" max="87" width="9.7265625" style="9" customWidth="1"/>
    <col min="88" max="88" width="21" style="9" customWidth="1"/>
    <col min="89" max="89" width="9.81640625" style="9" customWidth="1"/>
    <col min="90" max="90" width="11.7265625" style="9" customWidth="1"/>
    <col min="91" max="91" width="6.7265625" style="9" customWidth="1"/>
    <col min="92" max="92" width="16.81640625" style="9" customWidth="1"/>
    <col min="93" max="93" width="19.453125" style="9" customWidth="1"/>
    <col min="94" max="94" width="9.26953125" style="9" customWidth="1"/>
    <col min="95" max="95" width="14.81640625" style="9" customWidth="1"/>
    <col min="96" max="96" width="23.26953125" style="9" customWidth="1"/>
    <col min="97" max="97" width="16.54296875" style="9" customWidth="1"/>
    <col min="98" max="98" width="13.1796875" style="9" customWidth="1"/>
    <col min="99" max="99" width="21.7265625" style="9" customWidth="1"/>
    <col min="100" max="100" width="22.1796875" style="9" customWidth="1"/>
    <col min="101" max="101" width="19.453125" style="9" customWidth="1"/>
    <col min="102" max="102" width="22.81640625" style="9" customWidth="1"/>
    <col min="103" max="103" width="18.453125" style="9" customWidth="1"/>
    <col min="104" max="104" width="12.26953125" style="9" customWidth="1"/>
    <col min="105" max="105" width="23.54296875" style="9" customWidth="1"/>
    <col min="106" max="106" width="17.26953125" style="9" customWidth="1"/>
    <col min="107" max="107" width="13.54296875" style="9" customWidth="1"/>
    <col min="108" max="108" width="20" style="9" customWidth="1"/>
    <col min="109" max="109" width="11.54296875" style="9" customWidth="1"/>
    <col min="110" max="110" width="19.7265625" style="9" customWidth="1"/>
    <col min="111" max="111" width="13.26953125" style="9" customWidth="1"/>
    <col min="112" max="112" width="21.1796875" style="9" customWidth="1"/>
    <col min="113" max="113" width="16.54296875" style="9" customWidth="1"/>
    <col min="114" max="114" width="18.54296875" style="9" customWidth="1"/>
    <col min="115" max="115" width="5" style="9" customWidth="1"/>
    <col min="116" max="116" width="22.453125" style="9" customWidth="1"/>
    <col min="117" max="117" width="23.7265625" style="9" customWidth="1"/>
    <col min="118" max="118" width="26.7265625" style="9" customWidth="1"/>
    <col min="119" max="119" width="20.54296875" style="9" customWidth="1"/>
    <col min="120" max="120" width="31.81640625" style="9" customWidth="1"/>
    <col min="121" max="121" width="28.54296875" style="9" customWidth="1"/>
    <col min="122" max="122" width="29.81640625" style="9" customWidth="1"/>
    <col min="123" max="123" width="26.7265625" style="9" customWidth="1"/>
    <col min="124" max="124" width="30.1796875" style="9" customWidth="1"/>
    <col min="125" max="125" width="34.1796875" style="9" customWidth="1"/>
    <col min="126" max="126" width="33.453125" style="9" customWidth="1"/>
    <col min="127" max="127" width="27.26953125" style="9" customWidth="1"/>
    <col min="128" max="128" width="30.7265625" style="9" customWidth="1"/>
    <col min="129" max="129" width="23.26953125" style="9" customWidth="1"/>
    <col min="130" max="130" width="29.453125" style="9" customWidth="1"/>
    <col min="131" max="131" width="26.81640625" style="9" customWidth="1"/>
    <col min="132" max="132" width="23.54296875" style="9" customWidth="1"/>
    <col min="133" max="133" width="27.453125" style="9" customWidth="1"/>
    <col min="134" max="134" width="29.26953125" style="9" customWidth="1"/>
    <col min="135" max="135" width="24.7265625" style="9" customWidth="1"/>
    <col min="136" max="136" width="22.453125" style="9" customWidth="1"/>
    <col min="137" max="137" width="24.7265625" style="9" customWidth="1"/>
    <col min="138" max="138" width="20.7265625" style="9" customWidth="1"/>
    <col min="139" max="139" width="24" style="9" customWidth="1"/>
    <col min="140" max="140" width="21.7265625" style="9" customWidth="1"/>
    <col min="141" max="141" width="25" style="9" customWidth="1"/>
    <col min="142" max="142" width="29" style="9" customWidth="1"/>
    <col min="143" max="143" width="28.453125" style="9" customWidth="1"/>
    <col min="144" max="144" width="22.26953125" style="9" customWidth="1"/>
    <col min="145" max="145" width="28" style="9" customWidth="1"/>
    <col min="146" max="146" width="25.7265625" style="9" customWidth="1"/>
    <col min="147" max="147" width="23.1796875" style="9" customWidth="1"/>
    <col min="148" max="148" width="18.26953125" style="9" customWidth="1"/>
    <col min="149" max="149" width="29" style="9" customWidth="1"/>
    <col min="150" max="150" width="13.7265625" style="9" customWidth="1"/>
    <col min="151" max="151" width="12.1796875" style="9" customWidth="1"/>
    <col min="152" max="152" width="20" style="9" customWidth="1"/>
    <col min="153" max="153" width="17.26953125" style="9" customWidth="1"/>
    <col min="154" max="154" width="12.54296875" style="9" customWidth="1"/>
    <col min="155" max="155" width="19.54296875" style="9" customWidth="1"/>
    <col min="156" max="156" width="16.54296875" style="9" customWidth="1"/>
    <col min="157" max="157" width="21.1796875" style="9" customWidth="1"/>
    <col min="158" max="158" width="20.453125" style="9" customWidth="1"/>
    <col min="159" max="159" width="16.26953125" style="9" customWidth="1"/>
    <col min="160" max="162" width="15.26953125" style="9" customWidth="1"/>
    <col min="163" max="164" width="15.81640625" style="9" customWidth="1"/>
    <col min="165" max="166" width="23.453125" style="9" customWidth="1"/>
    <col min="167" max="167" width="13.7265625" style="9" customWidth="1"/>
    <col min="168" max="168" width="15.453125" style="9" bestFit="1" customWidth="1"/>
    <col min="169" max="169" width="21.54296875" style="9" customWidth="1"/>
    <col min="170" max="170" width="23.1796875" style="9" customWidth="1"/>
    <col min="171" max="171" width="19.1796875" style="9" customWidth="1"/>
    <col min="172" max="172" width="23" style="9" customWidth="1"/>
    <col min="173" max="173" width="18.54296875" style="9" customWidth="1"/>
    <col min="174" max="174" width="28.7265625" style="9" customWidth="1"/>
    <col min="175" max="175" width="21.81640625" style="9" customWidth="1"/>
    <col min="176" max="176" width="19.7265625" style="9" customWidth="1"/>
    <col min="177" max="177" width="11.1796875" style="9" customWidth="1"/>
    <col min="178" max="178" width="24.453125" style="9" customWidth="1"/>
    <col min="179" max="179" width="9.453125" style="9" customWidth="1"/>
    <col min="180" max="180" width="22.7265625" style="9" customWidth="1"/>
    <col min="181" max="181" width="13.26953125" style="9" customWidth="1"/>
    <col min="182" max="182" width="19.453125" style="9" customWidth="1"/>
    <col min="183" max="183" width="17" style="9" customWidth="1"/>
    <col min="184" max="184" width="14.453125" style="9" customWidth="1"/>
    <col min="185" max="185" width="22.54296875" style="9" customWidth="1"/>
    <col min="186" max="186" width="12" style="9" customWidth="1"/>
    <col min="187" max="187" width="21.453125" style="9" customWidth="1"/>
    <col min="188" max="188" width="9.7265625" style="9" customWidth="1"/>
    <col min="189" max="189" width="13.26953125" style="9" customWidth="1"/>
    <col min="190" max="190" width="18.54296875" style="9" customWidth="1"/>
    <col min="191" max="191" width="19.1796875" style="9" customWidth="1"/>
    <col min="192" max="192" width="21.81640625" style="9" customWidth="1"/>
    <col min="193" max="193" width="25.81640625" style="9" customWidth="1"/>
    <col min="194" max="194" width="18.453125" style="9" customWidth="1"/>
    <col min="195" max="195" width="16.26953125" style="9" customWidth="1"/>
    <col min="196" max="196" width="18.453125" style="9" customWidth="1"/>
    <col min="197" max="197" width="20.7265625" style="9" hidden="1" customWidth="1"/>
    <col min="198" max="198" width="28.54296875" style="9" bestFit="1" customWidth="1"/>
    <col min="199" max="199" width="18.1796875" style="9" bestFit="1" customWidth="1"/>
    <col min="200" max="200" width="14" style="9" hidden="1" customWidth="1"/>
    <col min="201" max="202" width="19" style="9" hidden="1" customWidth="1"/>
    <col min="203" max="203" width="18.453125" style="9" hidden="1" customWidth="1"/>
    <col min="204" max="204" width="25.54296875" style="9" hidden="1" customWidth="1"/>
    <col min="205" max="205" width="22.81640625" style="9" hidden="1" customWidth="1"/>
    <col min="206" max="206" width="18.81640625" style="9" hidden="1" customWidth="1"/>
    <col min="207" max="207" width="23.453125" style="9" hidden="1" customWidth="1"/>
    <col min="208" max="208" width="22" style="9" hidden="1" customWidth="1"/>
    <col min="209" max="209" width="23" style="9" hidden="1" customWidth="1"/>
    <col min="210" max="210" width="27.7265625" style="9" bestFit="1" customWidth="1"/>
    <col min="211" max="211" width="26.1796875" style="9" bestFit="1" customWidth="1"/>
    <col min="212" max="212" width="20.26953125" style="9" customWidth="1"/>
    <col min="213" max="213" width="16.1796875" style="9" customWidth="1"/>
    <col min="214" max="214" width="18.453125" style="9" customWidth="1"/>
    <col min="215" max="215" width="16.7265625" style="9" customWidth="1"/>
    <col min="216" max="216" width="17.7265625" style="9" customWidth="1"/>
    <col min="217" max="217" width="22.1796875" style="9" customWidth="1"/>
    <col min="218" max="218" width="15.1796875" style="9" customWidth="1"/>
    <col min="219" max="219" width="23.1796875" style="9" customWidth="1"/>
    <col min="220" max="220" width="19.1796875" style="9" customWidth="1"/>
    <col min="221" max="221" width="25.1796875" style="9" customWidth="1"/>
    <col min="222" max="222" width="23.54296875" style="9" customWidth="1"/>
    <col min="223" max="223" width="15.7265625" style="9" customWidth="1"/>
    <col min="224" max="224" width="16.81640625" style="9" customWidth="1"/>
    <col min="225" max="225" width="20.81640625" style="9" customWidth="1"/>
    <col min="226" max="226" width="18.81640625" style="9" customWidth="1"/>
    <col min="227" max="227" width="21" style="9" customWidth="1"/>
    <col min="228" max="228" width="15.81640625" style="9" customWidth="1"/>
    <col min="229" max="229" width="21.1796875" style="9" customWidth="1"/>
    <col min="230" max="230" width="6.54296875" style="9" customWidth="1"/>
    <col min="231" max="231" width="26.26953125" style="9" customWidth="1"/>
    <col min="232" max="236" width="16.26953125" style="9" customWidth="1"/>
    <col min="237" max="237" width="18.81640625" style="9" customWidth="1"/>
    <col min="238" max="238" width="28.26953125" style="9" customWidth="1"/>
    <col min="239" max="239" width="19.26953125" style="9" customWidth="1"/>
    <col min="240" max="240" width="23.453125" style="9" customWidth="1"/>
    <col min="241" max="241" width="18.453125" style="9" customWidth="1"/>
    <col min="242" max="242" width="15.7265625" style="9" customWidth="1"/>
    <col min="243" max="243" width="15" style="9" customWidth="1"/>
    <col min="244" max="244" width="13.1796875" style="9" customWidth="1"/>
    <col min="245" max="245" width="14.54296875" style="9" customWidth="1"/>
    <col min="246" max="246" width="23.1796875" style="9" customWidth="1"/>
    <col min="247" max="247" width="27.26953125" style="9" customWidth="1"/>
    <col min="248" max="248" width="21.1796875" style="9" customWidth="1"/>
    <col min="249" max="249" width="26.81640625" style="9" customWidth="1"/>
    <col min="250" max="250" width="20" style="9" customWidth="1"/>
    <col min="251" max="251" width="15.453125" style="9" customWidth="1"/>
    <col min="252" max="252" width="17.453125" style="9" customWidth="1"/>
    <col min="253" max="253" width="16.453125" style="9" customWidth="1"/>
    <col min="254" max="254" width="21.54296875" style="9" customWidth="1"/>
    <col min="255" max="255" width="25.7265625" style="9" customWidth="1"/>
    <col min="256" max="256" width="19.54296875" style="9" customWidth="1"/>
    <col min="257" max="257" width="14.453125" style="9" customWidth="1"/>
    <col min="258" max="258" width="21.1796875" style="9" customWidth="1"/>
    <col min="259" max="259" width="25.26953125" style="9" customWidth="1"/>
    <col min="260" max="260" width="22" style="9" customWidth="1"/>
    <col min="261" max="261" width="26.7265625" style="9" customWidth="1"/>
    <col min="262" max="273" width="9.1796875" style="9"/>
    <col min="274" max="274" width="17.7265625" style="9" bestFit="1" customWidth="1"/>
    <col min="275" max="275" width="9.1796875" style="9"/>
    <col min="276" max="276" width="4" style="9" bestFit="1" customWidth="1"/>
    <col min="277" max="16384" width="9.1796875" style="9"/>
  </cols>
  <sheetData>
    <row r="1" spans="1:295" ht="13" x14ac:dyDescent="0.3">
      <c r="A1" s="9">
        <v>1</v>
      </c>
      <c r="B1" s="9">
        <v>2</v>
      </c>
      <c r="C1" s="9">
        <v>3</v>
      </c>
      <c r="D1" s="9">
        <v>4</v>
      </c>
      <c r="E1" s="9">
        <v>5</v>
      </c>
      <c r="F1" s="9">
        <v>6</v>
      </c>
      <c r="G1" s="9">
        <v>7</v>
      </c>
      <c r="H1" s="9">
        <v>8</v>
      </c>
      <c r="I1" s="9">
        <v>9</v>
      </c>
      <c r="J1" s="9">
        <v>10</v>
      </c>
      <c r="K1" s="9">
        <v>11</v>
      </c>
      <c r="L1" s="9">
        <v>12</v>
      </c>
      <c r="M1" s="9">
        <v>13</v>
      </c>
      <c r="N1" s="9">
        <v>14</v>
      </c>
      <c r="O1" s="9">
        <v>15</v>
      </c>
      <c r="P1" s="9">
        <v>16</v>
      </c>
      <c r="Q1" s="9">
        <v>17</v>
      </c>
      <c r="R1" s="9">
        <v>18</v>
      </c>
      <c r="S1" s="9">
        <v>19</v>
      </c>
      <c r="T1" s="9">
        <v>20</v>
      </c>
      <c r="U1" s="9">
        <v>21</v>
      </c>
      <c r="V1" s="9">
        <v>22</v>
      </c>
      <c r="W1" s="9">
        <v>23</v>
      </c>
      <c r="X1" s="9">
        <v>24</v>
      </c>
      <c r="Y1" s="9">
        <v>25</v>
      </c>
      <c r="Z1" s="9">
        <v>26</v>
      </c>
      <c r="AA1" s="9">
        <v>27</v>
      </c>
      <c r="AB1" s="9">
        <v>28</v>
      </c>
      <c r="AC1" s="9">
        <v>29</v>
      </c>
      <c r="AD1" s="9">
        <v>30</v>
      </c>
      <c r="AE1" s="9">
        <v>31</v>
      </c>
      <c r="AF1" s="9">
        <v>32</v>
      </c>
      <c r="AG1" s="9">
        <v>33</v>
      </c>
      <c r="AH1" s="9">
        <v>34</v>
      </c>
      <c r="AI1" s="9">
        <v>35</v>
      </c>
      <c r="AJ1" s="9">
        <v>36</v>
      </c>
      <c r="AK1" s="9">
        <v>37</v>
      </c>
      <c r="AL1" s="9">
        <v>38</v>
      </c>
      <c r="AM1" s="9">
        <v>39</v>
      </c>
      <c r="AN1" s="9">
        <v>40</v>
      </c>
      <c r="AO1" s="9">
        <v>41</v>
      </c>
      <c r="AP1" s="9">
        <v>42</v>
      </c>
      <c r="AQ1" s="9">
        <v>43</v>
      </c>
      <c r="AR1" s="9">
        <v>44</v>
      </c>
      <c r="AS1" s="9">
        <v>45</v>
      </c>
      <c r="AT1" s="9">
        <v>46</v>
      </c>
      <c r="AU1" s="9">
        <v>47</v>
      </c>
      <c r="AV1" s="9">
        <v>48</v>
      </c>
      <c r="AW1" s="9">
        <v>49</v>
      </c>
      <c r="AX1" s="9">
        <v>50</v>
      </c>
      <c r="AY1" s="9">
        <v>51</v>
      </c>
      <c r="AZ1" s="9">
        <v>52</v>
      </c>
      <c r="BA1" s="9">
        <v>53</v>
      </c>
      <c r="BB1" s="9">
        <v>54</v>
      </c>
      <c r="BC1" s="9">
        <v>55</v>
      </c>
      <c r="BD1" s="9">
        <v>56</v>
      </c>
      <c r="BE1" s="9">
        <v>57</v>
      </c>
      <c r="BF1" s="9">
        <v>58</v>
      </c>
      <c r="BG1" s="9">
        <v>59</v>
      </c>
      <c r="BH1" s="10">
        <v>60</v>
      </c>
      <c r="BI1" s="10">
        <v>61</v>
      </c>
      <c r="BJ1" s="9">
        <v>62</v>
      </c>
      <c r="BK1" s="9">
        <v>63</v>
      </c>
      <c r="BL1" s="9">
        <v>64</v>
      </c>
      <c r="BM1" s="9">
        <v>65</v>
      </c>
      <c r="BN1" s="9">
        <v>66</v>
      </c>
      <c r="BO1" s="9">
        <v>67</v>
      </c>
      <c r="BP1" s="9">
        <v>68</v>
      </c>
      <c r="BQ1" s="9">
        <v>69</v>
      </c>
      <c r="BR1" s="9">
        <v>70</v>
      </c>
      <c r="BS1" s="9">
        <v>71</v>
      </c>
      <c r="BT1" s="9">
        <v>72</v>
      </c>
      <c r="BU1" s="9">
        <v>73</v>
      </c>
      <c r="BV1" s="9">
        <v>74</v>
      </c>
      <c r="BW1" s="9">
        <v>75</v>
      </c>
      <c r="BX1" s="9">
        <v>76</v>
      </c>
      <c r="BY1" s="9">
        <v>77</v>
      </c>
      <c r="BZ1" s="9">
        <v>78</v>
      </c>
      <c r="CA1" s="9">
        <v>79</v>
      </c>
      <c r="CB1" s="9">
        <v>80</v>
      </c>
      <c r="CC1" s="9">
        <v>81</v>
      </c>
      <c r="CD1" s="9">
        <v>82</v>
      </c>
      <c r="CE1" s="9">
        <v>83</v>
      </c>
      <c r="CF1" s="9">
        <v>84</v>
      </c>
      <c r="CG1" s="9">
        <v>85</v>
      </c>
      <c r="CH1" s="9">
        <v>86</v>
      </c>
      <c r="CI1" s="9">
        <v>87</v>
      </c>
      <c r="CJ1" s="9">
        <v>88</v>
      </c>
      <c r="CK1" s="9">
        <v>89</v>
      </c>
      <c r="CL1" s="9">
        <v>90</v>
      </c>
      <c r="CM1" s="9">
        <v>91</v>
      </c>
      <c r="CN1" s="9">
        <v>92</v>
      </c>
      <c r="CO1" s="9">
        <v>93</v>
      </c>
      <c r="CP1" s="9">
        <v>94</v>
      </c>
      <c r="CQ1" s="9">
        <v>95</v>
      </c>
      <c r="CR1" s="9">
        <v>96</v>
      </c>
      <c r="CS1" s="9">
        <v>97</v>
      </c>
      <c r="CT1" s="9">
        <v>98</v>
      </c>
      <c r="CU1" s="9">
        <v>99</v>
      </c>
      <c r="CV1" s="9">
        <v>100</v>
      </c>
      <c r="CW1" s="9">
        <v>101</v>
      </c>
      <c r="CX1" s="9">
        <v>102</v>
      </c>
      <c r="CY1" s="9">
        <v>103</v>
      </c>
      <c r="CZ1" s="9">
        <v>104</v>
      </c>
      <c r="DA1" s="9">
        <v>105</v>
      </c>
      <c r="DB1" s="9">
        <v>106</v>
      </c>
      <c r="DC1" s="9">
        <v>107</v>
      </c>
      <c r="DD1" s="9">
        <v>108</v>
      </c>
      <c r="DE1" s="9">
        <v>109</v>
      </c>
      <c r="DF1" s="9">
        <v>110</v>
      </c>
      <c r="DG1" s="9">
        <v>111</v>
      </c>
      <c r="DH1" s="9">
        <v>112</v>
      </c>
      <c r="DI1" s="9">
        <v>113</v>
      </c>
      <c r="DJ1" s="9">
        <v>114</v>
      </c>
      <c r="DK1" s="9">
        <v>115</v>
      </c>
      <c r="DL1" s="9">
        <v>116</v>
      </c>
      <c r="DM1" s="9">
        <v>117</v>
      </c>
      <c r="DN1" s="9">
        <v>118</v>
      </c>
      <c r="DO1" s="9">
        <v>119</v>
      </c>
      <c r="DP1" s="9">
        <v>120</v>
      </c>
      <c r="DQ1" s="9">
        <v>121</v>
      </c>
      <c r="DR1" s="9">
        <v>122</v>
      </c>
      <c r="DS1" s="9">
        <v>123</v>
      </c>
      <c r="DT1" s="9">
        <v>124</v>
      </c>
      <c r="DU1" s="9">
        <v>125</v>
      </c>
      <c r="DV1" s="9">
        <v>126</v>
      </c>
      <c r="DW1" s="9">
        <v>127</v>
      </c>
      <c r="DX1" s="9">
        <v>128</v>
      </c>
      <c r="DY1" s="9">
        <v>129</v>
      </c>
      <c r="DZ1" s="9">
        <v>130</v>
      </c>
      <c r="EA1" s="9">
        <v>131</v>
      </c>
      <c r="EB1" s="9">
        <v>132</v>
      </c>
      <c r="EC1" s="9">
        <v>133</v>
      </c>
      <c r="ED1" s="9">
        <v>134</v>
      </c>
      <c r="EE1" s="9">
        <v>135</v>
      </c>
      <c r="EF1" s="9">
        <v>136</v>
      </c>
      <c r="EG1" s="9">
        <v>137</v>
      </c>
      <c r="EH1" s="9">
        <v>138</v>
      </c>
      <c r="EI1" s="9">
        <v>139</v>
      </c>
      <c r="EJ1" s="9">
        <v>140</v>
      </c>
      <c r="EK1" s="9">
        <v>141</v>
      </c>
      <c r="EL1" s="9">
        <v>142</v>
      </c>
      <c r="EM1" s="9">
        <v>143</v>
      </c>
      <c r="EN1" s="9">
        <v>144</v>
      </c>
      <c r="EO1" s="9">
        <v>145</v>
      </c>
      <c r="EP1" s="9">
        <v>146</v>
      </c>
      <c r="EQ1" s="9">
        <v>147</v>
      </c>
      <c r="ER1" s="9">
        <v>148</v>
      </c>
      <c r="ES1" s="9">
        <v>149</v>
      </c>
      <c r="ET1" s="9">
        <v>150</v>
      </c>
      <c r="EU1" s="9">
        <v>151</v>
      </c>
      <c r="EV1" s="9">
        <v>152</v>
      </c>
      <c r="EW1" s="9">
        <v>153</v>
      </c>
      <c r="EX1" s="9">
        <v>154</v>
      </c>
      <c r="EY1" s="9">
        <v>155</v>
      </c>
      <c r="EZ1" s="9">
        <v>156</v>
      </c>
      <c r="FA1" s="9">
        <v>157</v>
      </c>
      <c r="FB1" s="9">
        <v>158</v>
      </c>
      <c r="FC1" s="9">
        <v>159</v>
      </c>
      <c r="FD1" s="9">
        <v>160</v>
      </c>
      <c r="FE1" s="9">
        <v>161</v>
      </c>
      <c r="FF1" s="9">
        <v>162</v>
      </c>
      <c r="FG1" s="9">
        <v>163</v>
      </c>
      <c r="FH1" s="9">
        <v>164</v>
      </c>
      <c r="FI1" s="9">
        <v>165</v>
      </c>
      <c r="FJ1" s="9">
        <v>166</v>
      </c>
      <c r="FK1" s="9">
        <v>167</v>
      </c>
      <c r="FL1" s="9">
        <v>168</v>
      </c>
      <c r="FM1" s="9">
        <v>169</v>
      </c>
      <c r="FN1" s="9">
        <v>170</v>
      </c>
      <c r="FO1" s="9">
        <v>171</v>
      </c>
      <c r="FP1" s="9">
        <v>172</v>
      </c>
      <c r="FQ1" s="9">
        <v>173</v>
      </c>
      <c r="FR1" s="9">
        <v>174</v>
      </c>
      <c r="FS1" s="9">
        <v>175</v>
      </c>
      <c r="FT1" s="9">
        <v>176</v>
      </c>
      <c r="FU1" s="9">
        <v>177</v>
      </c>
      <c r="FV1" s="9">
        <v>178</v>
      </c>
      <c r="FW1" s="9">
        <v>179</v>
      </c>
      <c r="FX1" s="9">
        <v>180</v>
      </c>
      <c r="FY1" s="9">
        <v>181</v>
      </c>
      <c r="FZ1" s="9">
        <v>182</v>
      </c>
      <c r="GA1" s="9">
        <v>183</v>
      </c>
      <c r="GB1" s="9">
        <v>184</v>
      </c>
      <c r="GC1" s="9">
        <v>185</v>
      </c>
      <c r="GD1" s="9">
        <v>186</v>
      </c>
      <c r="GE1" s="9">
        <v>187</v>
      </c>
      <c r="GF1" s="9">
        <v>188</v>
      </c>
      <c r="GG1" s="9">
        <v>189</v>
      </c>
      <c r="GH1" s="9">
        <v>190</v>
      </c>
      <c r="GI1" s="9">
        <v>191</v>
      </c>
      <c r="GJ1" s="9">
        <v>192</v>
      </c>
      <c r="GK1" s="9">
        <v>193</v>
      </c>
      <c r="GL1" s="9">
        <v>194</v>
      </c>
      <c r="GM1" s="9">
        <v>195</v>
      </c>
      <c r="GN1" s="9">
        <v>196</v>
      </c>
      <c r="GO1" s="9">
        <v>197</v>
      </c>
      <c r="GP1" s="9">
        <v>198</v>
      </c>
      <c r="GQ1" s="9">
        <v>199</v>
      </c>
      <c r="GR1" s="9">
        <v>200</v>
      </c>
      <c r="GS1" s="9">
        <v>201</v>
      </c>
      <c r="GT1" s="9">
        <v>202</v>
      </c>
      <c r="GU1" s="9">
        <v>203</v>
      </c>
      <c r="GV1" s="9">
        <v>204</v>
      </c>
      <c r="GW1" s="9">
        <v>205</v>
      </c>
      <c r="GX1" s="9">
        <v>206</v>
      </c>
      <c r="GY1" s="9">
        <v>207</v>
      </c>
      <c r="GZ1" s="9">
        <v>208</v>
      </c>
      <c r="HA1" s="9">
        <v>209</v>
      </c>
      <c r="HB1" s="9">
        <v>210</v>
      </c>
      <c r="HC1" s="9">
        <v>211</v>
      </c>
      <c r="HD1" s="10">
        <v>212</v>
      </c>
      <c r="HE1" s="9">
        <v>213</v>
      </c>
      <c r="HF1" s="9">
        <v>214</v>
      </c>
      <c r="HG1" s="9">
        <v>215</v>
      </c>
      <c r="HH1" s="9">
        <v>216</v>
      </c>
      <c r="HI1" s="9">
        <v>217</v>
      </c>
      <c r="HJ1" s="9">
        <v>218</v>
      </c>
      <c r="HK1" s="9">
        <v>219</v>
      </c>
      <c r="HL1" s="9">
        <v>220</v>
      </c>
      <c r="HM1" s="9">
        <v>221</v>
      </c>
      <c r="HN1" s="9">
        <v>222</v>
      </c>
      <c r="HO1" s="9">
        <v>223</v>
      </c>
      <c r="HP1" s="9">
        <v>224</v>
      </c>
      <c r="HQ1" s="9">
        <v>225</v>
      </c>
      <c r="HR1" s="9">
        <v>226</v>
      </c>
      <c r="HS1" s="9">
        <v>227</v>
      </c>
      <c r="HT1" s="9">
        <v>228</v>
      </c>
      <c r="HU1" s="9">
        <v>229</v>
      </c>
      <c r="HV1" s="9">
        <v>230</v>
      </c>
      <c r="HW1" s="9">
        <v>231</v>
      </c>
      <c r="HX1" s="9">
        <v>232</v>
      </c>
      <c r="HY1" s="9">
        <v>233</v>
      </c>
      <c r="HZ1" s="9">
        <v>234</v>
      </c>
      <c r="IA1" s="9">
        <v>235</v>
      </c>
      <c r="IB1" s="9">
        <v>236</v>
      </c>
      <c r="IC1" s="9">
        <v>237</v>
      </c>
      <c r="ID1" s="9">
        <v>238</v>
      </c>
      <c r="IE1" s="9">
        <v>239</v>
      </c>
      <c r="IF1" s="9">
        <v>240</v>
      </c>
      <c r="IG1" s="9">
        <v>241</v>
      </c>
      <c r="IH1" s="9">
        <v>242</v>
      </c>
      <c r="II1" s="9">
        <v>243</v>
      </c>
      <c r="IJ1" s="9">
        <v>244</v>
      </c>
      <c r="IK1" s="9">
        <v>245</v>
      </c>
      <c r="IL1" s="9">
        <v>246</v>
      </c>
      <c r="IM1" s="9">
        <v>247</v>
      </c>
      <c r="IN1" s="9">
        <v>248</v>
      </c>
      <c r="IO1" s="9">
        <v>249</v>
      </c>
      <c r="IP1" s="9">
        <v>250</v>
      </c>
      <c r="IQ1" s="9">
        <v>251</v>
      </c>
      <c r="IR1" s="9">
        <v>252</v>
      </c>
      <c r="IS1" s="9">
        <v>253</v>
      </c>
      <c r="IT1" s="9">
        <v>254</v>
      </c>
      <c r="IU1" s="9">
        <v>255</v>
      </c>
      <c r="IV1" s="9">
        <v>256</v>
      </c>
      <c r="IW1" s="9">
        <v>257</v>
      </c>
      <c r="IX1" s="9">
        <v>258</v>
      </c>
      <c r="IY1" s="9">
        <v>259</v>
      </c>
      <c r="IZ1" s="9">
        <v>260</v>
      </c>
      <c r="JA1" s="9">
        <v>261</v>
      </c>
      <c r="JB1" s="9">
        <v>262</v>
      </c>
      <c r="JC1" s="9">
        <v>263</v>
      </c>
      <c r="JD1" s="9">
        <v>264</v>
      </c>
      <c r="JE1" s="9">
        <v>265</v>
      </c>
      <c r="JF1" s="9">
        <v>266</v>
      </c>
      <c r="JG1" s="9">
        <v>267</v>
      </c>
      <c r="JH1" s="9">
        <v>268</v>
      </c>
      <c r="JI1" s="9">
        <v>269</v>
      </c>
      <c r="JJ1" s="9">
        <v>270</v>
      </c>
      <c r="JK1" s="9">
        <v>271</v>
      </c>
      <c r="JL1" s="9">
        <v>272</v>
      </c>
      <c r="JM1" s="9">
        <v>273</v>
      </c>
      <c r="JN1" s="9">
        <v>274</v>
      </c>
    </row>
    <row r="2" spans="1:295" ht="13" x14ac:dyDescent="0.3">
      <c r="A2" s="9" t="s">
        <v>120</v>
      </c>
      <c r="B2" s="9" t="s">
        <v>119</v>
      </c>
      <c r="C2" s="9" t="s">
        <v>417</v>
      </c>
      <c r="D2" s="9" t="s">
        <v>121</v>
      </c>
      <c r="E2" s="9" t="s">
        <v>122</v>
      </c>
      <c r="F2" s="9" t="s">
        <v>123</v>
      </c>
      <c r="G2" s="9" t="s">
        <v>124</v>
      </c>
      <c r="H2" s="9" t="s">
        <v>125</v>
      </c>
      <c r="I2" s="9" t="s">
        <v>126</v>
      </c>
      <c r="J2" s="9" t="s">
        <v>127</v>
      </c>
      <c r="K2" s="9" t="s">
        <v>128</v>
      </c>
      <c r="L2" s="9" t="s">
        <v>129</v>
      </c>
      <c r="M2" s="9" t="s">
        <v>130</v>
      </c>
      <c r="N2" s="9" t="s">
        <v>131</v>
      </c>
      <c r="O2" s="9" t="s">
        <v>132</v>
      </c>
      <c r="P2" s="9" t="s">
        <v>133</v>
      </c>
      <c r="Q2" s="9" t="s">
        <v>134</v>
      </c>
      <c r="R2" s="10" t="s">
        <v>135</v>
      </c>
      <c r="S2" s="9" t="s">
        <v>136</v>
      </c>
      <c r="T2" s="9" t="s">
        <v>137</v>
      </c>
      <c r="U2" s="10" t="s">
        <v>138</v>
      </c>
      <c r="V2" s="10" t="s">
        <v>139</v>
      </c>
      <c r="W2" s="10" t="s">
        <v>140</v>
      </c>
      <c r="X2" s="10" t="s">
        <v>141</v>
      </c>
      <c r="Y2" s="9" t="s">
        <v>142</v>
      </c>
      <c r="Z2" s="9" t="s">
        <v>143</v>
      </c>
      <c r="AA2" s="9" t="s">
        <v>144</v>
      </c>
      <c r="AB2" s="9" t="s">
        <v>145</v>
      </c>
      <c r="AC2" s="9" t="s">
        <v>146</v>
      </c>
      <c r="AD2" s="9" t="s">
        <v>147</v>
      </c>
      <c r="AE2" s="9" t="s">
        <v>148</v>
      </c>
      <c r="AF2" s="9" t="s">
        <v>149</v>
      </c>
      <c r="AG2" s="9" t="s">
        <v>150</v>
      </c>
      <c r="AH2" s="9" t="s">
        <v>151</v>
      </c>
      <c r="AI2" s="9" t="s">
        <v>152</v>
      </c>
      <c r="AJ2" s="9" t="s">
        <v>153</v>
      </c>
      <c r="AK2" s="9" t="s">
        <v>154</v>
      </c>
      <c r="AL2" s="9" t="s">
        <v>155</v>
      </c>
      <c r="AM2" s="9" t="s">
        <v>156</v>
      </c>
      <c r="AN2" s="9" t="s">
        <v>157</v>
      </c>
      <c r="AO2" s="9" t="s">
        <v>158</v>
      </c>
      <c r="AP2" s="9" t="s">
        <v>159</v>
      </c>
      <c r="AQ2" s="9" t="s">
        <v>160</v>
      </c>
      <c r="AR2" s="9" t="s">
        <v>161</v>
      </c>
      <c r="AS2" s="9" t="s">
        <v>162</v>
      </c>
      <c r="AT2" s="9" t="s">
        <v>163</v>
      </c>
      <c r="AU2" s="9" t="s">
        <v>164</v>
      </c>
      <c r="AV2" s="9" t="s">
        <v>165</v>
      </c>
      <c r="AW2" s="9" t="s">
        <v>166</v>
      </c>
      <c r="AX2" s="9" t="s">
        <v>167</v>
      </c>
      <c r="AY2" s="9" t="s">
        <v>168</v>
      </c>
      <c r="AZ2" s="9" t="s">
        <v>169</v>
      </c>
      <c r="BA2" s="10" t="s">
        <v>170</v>
      </c>
      <c r="BB2" s="9" t="s">
        <v>171</v>
      </c>
      <c r="BC2" s="9" t="s">
        <v>172</v>
      </c>
      <c r="BD2" s="9" t="s">
        <v>173</v>
      </c>
      <c r="BE2" s="9" t="s">
        <v>174</v>
      </c>
      <c r="BF2" s="9" t="s">
        <v>175</v>
      </c>
      <c r="BG2" s="9" t="s">
        <v>176</v>
      </c>
      <c r="BH2" s="10" t="s">
        <v>177</v>
      </c>
      <c r="BI2" s="10" t="s">
        <v>178</v>
      </c>
      <c r="BJ2" s="9" t="s">
        <v>179</v>
      </c>
      <c r="BK2" s="9" t="s">
        <v>180</v>
      </c>
      <c r="BL2" s="9" t="s">
        <v>181</v>
      </c>
      <c r="BM2" s="9" t="s">
        <v>182</v>
      </c>
      <c r="BN2" s="9" t="s">
        <v>183</v>
      </c>
      <c r="BO2" s="9" t="s">
        <v>184</v>
      </c>
      <c r="BP2" s="9" t="s">
        <v>185</v>
      </c>
      <c r="BQ2" s="9" t="s">
        <v>186</v>
      </c>
      <c r="BR2" s="9" t="s">
        <v>187</v>
      </c>
      <c r="BS2" s="9" t="s">
        <v>188</v>
      </c>
      <c r="BT2" s="9" t="s">
        <v>189</v>
      </c>
      <c r="BU2" s="9" t="s">
        <v>190</v>
      </c>
      <c r="BV2" s="9" t="s">
        <v>191</v>
      </c>
      <c r="BW2" s="9" t="s">
        <v>192</v>
      </c>
      <c r="BX2" s="9" t="s">
        <v>193</v>
      </c>
      <c r="BY2" s="9" t="s">
        <v>194</v>
      </c>
      <c r="BZ2" s="9" t="s">
        <v>195</v>
      </c>
      <c r="CA2" s="9" t="s">
        <v>196</v>
      </c>
      <c r="CB2" s="9" t="s">
        <v>197</v>
      </c>
      <c r="CC2" s="9" t="s">
        <v>198</v>
      </c>
      <c r="CD2" s="9" t="s">
        <v>199</v>
      </c>
      <c r="CE2" s="9" t="s">
        <v>200</v>
      </c>
      <c r="CF2" s="9" t="s">
        <v>201</v>
      </c>
      <c r="CG2" s="9" t="s">
        <v>202</v>
      </c>
      <c r="CH2" s="10" t="s">
        <v>203</v>
      </c>
      <c r="CI2" s="9" t="s">
        <v>204</v>
      </c>
      <c r="CJ2" s="9" t="s">
        <v>205</v>
      </c>
      <c r="CK2" s="9" t="s">
        <v>206</v>
      </c>
      <c r="CL2" s="9" t="s">
        <v>207</v>
      </c>
      <c r="CM2" s="9" t="s">
        <v>208</v>
      </c>
      <c r="CN2" s="9" t="s">
        <v>209</v>
      </c>
      <c r="CO2" s="9" t="s">
        <v>210</v>
      </c>
      <c r="CP2" s="9" t="s">
        <v>211</v>
      </c>
      <c r="CQ2" s="9" t="s">
        <v>212</v>
      </c>
      <c r="CR2" s="9" t="s">
        <v>213</v>
      </c>
      <c r="CS2" s="9" t="s">
        <v>214</v>
      </c>
      <c r="CT2" s="9" t="s">
        <v>215</v>
      </c>
      <c r="CU2" s="9" t="s">
        <v>216</v>
      </c>
      <c r="CV2" s="9" t="s">
        <v>217</v>
      </c>
      <c r="CW2" s="9" t="s">
        <v>218</v>
      </c>
      <c r="CX2" s="9" t="s">
        <v>219</v>
      </c>
      <c r="CY2" s="9" t="s">
        <v>220</v>
      </c>
      <c r="CZ2" s="9" t="s">
        <v>221</v>
      </c>
      <c r="DA2" s="9" t="s">
        <v>222</v>
      </c>
      <c r="DB2" s="9" t="s">
        <v>223</v>
      </c>
      <c r="DC2" s="9" t="s">
        <v>224</v>
      </c>
      <c r="DD2" s="9" t="s">
        <v>225</v>
      </c>
      <c r="DE2" s="9" t="s">
        <v>226</v>
      </c>
      <c r="DF2" s="9" t="s">
        <v>227</v>
      </c>
      <c r="DG2" s="9" t="s">
        <v>228</v>
      </c>
      <c r="DH2" s="9" t="s">
        <v>229</v>
      </c>
      <c r="DI2" s="9" t="s">
        <v>230</v>
      </c>
      <c r="DJ2" s="9" t="s">
        <v>231</v>
      </c>
      <c r="DK2" s="9" t="s">
        <v>232</v>
      </c>
      <c r="DL2" s="9" t="s">
        <v>233</v>
      </c>
      <c r="DM2" s="9" t="s">
        <v>234</v>
      </c>
      <c r="DN2" s="9" t="s">
        <v>235</v>
      </c>
      <c r="DO2" s="9" t="s">
        <v>236</v>
      </c>
      <c r="DP2" s="9" t="s">
        <v>237</v>
      </c>
      <c r="DQ2" s="9" t="s">
        <v>238</v>
      </c>
      <c r="DR2" s="9" t="s">
        <v>239</v>
      </c>
      <c r="DS2" s="9" t="s">
        <v>240</v>
      </c>
      <c r="DT2" s="9" t="s">
        <v>241</v>
      </c>
      <c r="DU2" s="9" t="s">
        <v>242</v>
      </c>
      <c r="DV2" s="9" t="s">
        <v>243</v>
      </c>
      <c r="DW2" s="9" t="s">
        <v>244</v>
      </c>
      <c r="DX2" s="9" t="s">
        <v>245</v>
      </c>
      <c r="DY2" s="9" t="s">
        <v>246</v>
      </c>
      <c r="DZ2" s="9" t="s">
        <v>247</v>
      </c>
      <c r="EA2" s="9" t="s">
        <v>248</v>
      </c>
      <c r="EB2" s="9" t="s">
        <v>249</v>
      </c>
      <c r="EC2" s="9" t="s">
        <v>250</v>
      </c>
      <c r="ED2" s="9" t="s">
        <v>251</v>
      </c>
      <c r="EE2" s="9" t="s">
        <v>252</v>
      </c>
      <c r="EF2" s="9" t="s">
        <v>253</v>
      </c>
      <c r="EG2" s="9" t="s">
        <v>254</v>
      </c>
      <c r="EH2" s="9" t="s">
        <v>255</v>
      </c>
      <c r="EI2" s="9" t="s">
        <v>256</v>
      </c>
      <c r="EJ2" s="9" t="s">
        <v>257</v>
      </c>
      <c r="EK2" s="9" t="s">
        <v>258</v>
      </c>
      <c r="EL2" s="9" t="s">
        <v>259</v>
      </c>
      <c r="EM2" s="9" t="s">
        <v>260</v>
      </c>
      <c r="EN2" s="9" t="s">
        <v>261</v>
      </c>
      <c r="EO2" s="9" t="s">
        <v>262</v>
      </c>
      <c r="EP2" s="9" t="s">
        <v>263</v>
      </c>
      <c r="EQ2" s="9" t="s">
        <v>264</v>
      </c>
      <c r="ER2" s="9" t="s">
        <v>265</v>
      </c>
      <c r="ES2" s="9" t="s">
        <v>266</v>
      </c>
      <c r="ET2" s="10" t="s">
        <v>267</v>
      </c>
      <c r="EU2" s="9" t="s">
        <v>268</v>
      </c>
      <c r="EV2" s="9" t="s">
        <v>269</v>
      </c>
      <c r="EW2" s="9" t="s">
        <v>270</v>
      </c>
      <c r="EX2" s="9" t="s">
        <v>271</v>
      </c>
      <c r="EY2" s="9" t="s">
        <v>272</v>
      </c>
      <c r="EZ2" s="9" t="s">
        <v>273</v>
      </c>
      <c r="FA2" s="9" t="s">
        <v>274</v>
      </c>
      <c r="FB2" s="10" t="s">
        <v>275</v>
      </c>
      <c r="FC2" s="9" t="s">
        <v>276</v>
      </c>
      <c r="FD2" s="9" t="s">
        <v>277</v>
      </c>
      <c r="FE2" s="9" t="s">
        <v>278</v>
      </c>
      <c r="FF2" s="9" t="s">
        <v>279</v>
      </c>
      <c r="FG2" s="9" t="s">
        <v>280</v>
      </c>
      <c r="FH2" s="9" t="s">
        <v>281</v>
      </c>
      <c r="FI2" s="9" t="s">
        <v>282</v>
      </c>
      <c r="FJ2" s="9" t="s">
        <v>283</v>
      </c>
      <c r="FK2" s="9" t="s">
        <v>284</v>
      </c>
      <c r="FL2" s="9" t="s">
        <v>285</v>
      </c>
      <c r="FM2" s="9" t="s">
        <v>286</v>
      </c>
      <c r="FN2" s="9" t="s">
        <v>287</v>
      </c>
      <c r="FO2" s="9" t="s">
        <v>288</v>
      </c>
      <c r="FP2" s="9" t="s">
        <v>289</v>
      </c>
      <c r="FQ2" s="9" t="s">
        <v>290</v>
      </c>
      <c r="FR2" s="9" t="s">
        <v>291</v>
      </c>
      <c r="FS2" s="9" t="s">
        <v>292</v>
      </c>
      <c r="FT2" s="9" t="s">
        <v>293</v>
      </c>
      <c r="FU2" s="9" t="s">
        <v>294</v>
      </c>
      <c r="FV2" s="9" t="s">
        <v>295</v>
      </c>
      <c r="FW2" s="9" t="s">
        <v>296</v>
      </c>
      <c r="FX2" s="9" t="s">
        <v>297</v>
      </c>
      <c r="FY2" s="9" t="s">
        <v>298</v>
      </c>
      <c r="FZ2" s="9" t="s">
        <v>299</v>
      </c>
      <c r="GA2" s="9" t="s">
        <v>300</v>
      </c>
      <c r="GB2" s="10" t="s">
        <v>301</v>
      </c>
      <c r="GC2" s="10" t="s">
        <v>302</v>
      </c>
      <c r="GD2" s="10" t="s">
        <v>303</v>
      </c>
      <c r="GE2" s="9" t="s">
        <v>304</v>
      </c>
      <c r="GF2" s="9" t="s">
        <v>305</v>
      </c>
      <c r="GG2" s="9" t="s">
        <v>306</v>
      </c>
      <c r="GH2" s="9" t="s">
        <v>307</v>
      </c>
      <c r="GI2" s="9" t="s">
        <v>308</v>
      </c>
      <c r="GJ2" s="9" t="s">
        <v>309</v>
      </c>
      <c r="GK2" s="9" t="s">
        <v>310</v>
      </c>
      <c r="GL2" s="9" t="s">
        <v>311</v>
      </c>
      <c r="GM2" s="9" t="s">
        <v>312</v>
      </c>
      <c r="GN2" s="9" t="s">
        <v>313</v>
      </c>
      <c r="GO2" s="9" t="s">
        <v>418</v>
      </c>
      <c r="GP2" s="9" t="s">
        <v>419</v>
      </c>
      <c r="GQ2" s="9" t="s">
        <v>420</v>
      </c>
      <c r="GR2" s="9" t="s">
        <v>421</v>
      </c>
      <c r="GS2" s="9" t="s">
        <v>422</v>
      </c>
      <c r="GT2" s="9" t="s">
        <v>423</v>
      </c>
      <c r="GU2" s="9" t="s">
        <v>426</v>
      </c>
      <c r="GV2" s="9" t="s">
        <v>427</v>
      </c>
      <c r="GW2" s="9" t="s">
        <v>428</v>
      </c>
      <c r="GX2" s="9" t="s">
        <v>429</v>
      </c>
      <c r="GY2" s="9" t="s">
        <v>430</v>
      </c>
      <c r="GZ2" s="9" t="s">
        <v>431</v>
      </c>
      <c r="HA2" s="9" t="s">
        <v>432</v>
      </c>
      <c r="HB2" s="9" t="s">
        <v>433</v>
      </c>
      <c r="HC2" s="9" t="s">
        <v>434</v>
      </c>
      <c r="HD2" s="10" t="s">
        <v>435</v>
      </c>
      <c r="HE2" s="9" t="s">
        <v>486</v>
      </c>
      <c r="HF2" s="9" t="s">
        <v>487</v>
      </c>
      <c r="HG2" s="9" t="s">
        <v>488</v>
      </c>
      <c r="HH2" s="9" t="s">
        <v>489</v>
      </c>
      <c r="HI2" s="9" t="s">
        <v>490</v>
      </c>
      <c r="HJ2" s="9" t="s">
        <v>491</v>
      </c>
      <c r="HK2" s="9" t="s">
        <v>492</v>
      </c>
      <c r="HL2" s="9" t="s">
        <v>493</v>
      </c>
      <c r="HM2" s="9" t="s">
        <v>494</v>
      </c>
      <c r="HN2" s="9" t="s">
        <v>495</v>
      </c>
      <c r="HO2" s="9" t="s">
        <v>496</v>
      </c>
      <c r="HP2" s="9" t="s">
        <v>497</v>
      </c>
      <c r="HQ2" s="9" t="s">
        <v>498</v>
      </c>
      <c r="HR2" s="9" t="s">
        <v>499</v>
      </c>
      <c r="HS2" s="9" t="s">
        <v>500</v>
      </c>
      <c r="HT2" s="9" t="s">
        <v>501</v>
      </c>
      <c r="HU2" s="9" t="s">
        <v>502</v>
      </c>
      <c r="HV2" s="9" t="s">
        <v>503</v>
      </c>
      <c r="HW2" s="9" t="s">
        <v>504</v>
      </c>
      <c r="HX2" s="9" t="s">
        <v>505</v>
      </c>
      <c r="HY2" s="9" t="s">
        <v>506</v>
      </c>
      <c r="HZ2" s="9" t="s">
        <v>507</v>
      </c>
      <c r="IA2" s="9" t="s">
        <v>508</v>
      </c>
      <c r="IB2" s="9" t="s">
        <v>509</v>
      </c>
      <c r="IC2" s="9" t="s">
        <v>510</v>
      </c>
      <c r="ID2" s="9" t="s">
        <v>511</v>
      </c>
      <c r="IE2" s="9" t="s">
        <v>512</v>
      </c>
      <c r="IF2" s="9" t="s">
        <v>513</v>
      </c>
      <c r="IG2" s="9" t="s">
        <v>514</v>
      </c>
      <c r="IH2" s="9" t="s">
        <v>515</v>
      </c>
      <c r="II2" s="9" t="s">
        <v>516</v>
      </c>
      <c r="IJ2" s="9" t="s">
        <v>517</v>
      </c>
      <c r="IK2" s="9" t="s">
        <v>518</v>
      </c>
      <c r="IL2" s="9" t="s">
        <v>519</v>
      </c>
      <c r="IM2" s="9" t="s">
        <v>520</v>
      </c>
      <c r="IN2" s="9" t="s">
        <v>521</v>
      </c>
      <c r="IO2" s="9" t="s">
        <v>522</v>
      </c>
      <c r="IP2" s="9" t="s">
        <v>523</v>
      </c>
      <c r="IQ2" s="9" t="s">
        <v>524</v>
      </c>
      <c r="IR2" s="9" t="s">
        <v>525</v>
      </c>
      <c r="IS2" s="9" t="s">
        <v>526</v>
      </c>
      <c r="IT2" s="9" t="s">
        <v>527</v>
      </c>
      <c r="IU2" s="9" t="s">
        <v>528</v>
      </c>
      <c r="IV2" s="9" t="s">
        <v>529</v>
      </c>
      <c r="IW2" s="9" t="s">
        <v>530</v>
      </c>
      <c r="IX2" s="9" t="s">
        <v>531</v>
      </c>
      <c r="IY2" s="9" t="s">
        <v>532</v>
      </c>
      <c r="IZ2" s="9" t="s">
        <v>533</v>
      </c>
      <c r="JA2" s="9" t="s">
        <v>534</v>
      </c>
      <c r="JB2" s="9" t="s">
        <v>658</v>
      </c>
      <c r="JC2" s="9" t="s">
        <v>659</v>
      </c>
      <c r="JD2" s="9" t="s">
        <v>660</v>
      </c>
      <c r="JE2" s="9" t="s">
        <v>661</v>
      </c>
      <c r="JF2" s="9" t="s">
        <v>662</v>
      </c>
      <c r="JG2" s="9" t="s">
        <v>663</v>
      </c>
      <c r="JH2" s="9" t="s">
        <v>664</v>
      </c>
      <c r="JI2" s="9" t="s">
        <v>665</v>
      </c>
      <c r="JJ2" s="9" t="s">
        <v>666</v>
      </c>
      <c r="JK2" s="9" t="s">
        <v>667</v>
      </c>
      <c r="JL2" s="9" t="s">
        <v>668</v>
      </c>
      <c r="JM2" s="9" t="s">
        <v>669</v>
      </c>
      <c r="JN2" s="9" t="s">
        <v>692</v>
      </c>
    </row>
    <row r="3" spans="1:295" ht="13" x14ac:dyDescent="0.3">
      <c r="A3" s="9">
        <v>0</v>
      </c>
      <c r="B3" s="9">
        <v>0</v>
      </c>
      <c r="C3" s="9">
        <v>0</v>
      </c>
      <c r="D3" s="9">
        <v>0</v>
      </c>
      <c r="E3" s="9">
        <v>5392</v>
      </c>
      <c r="F3" s="9">
        <v>0</v>
      </c>
      <c r="G3" s="9">
        <v>0</v>
      </c>
      <c r="H3" s="9">
        <v>0</v>
      </c>
      <c r="I3" s="9">
        <v>0</v>
      </c>
      <c r="J3" s="9">
        <v>0</v>
      </c>
      <c r="K3" s="9">
        <v>0</v>
      </c>
      <c r="L3" s="9">
        <v>6554</v>
      </c>
      <c r="M3" s="9">
        <v>0</v>
      </c>
      <c r="N3" s="9">
        <v>0</v>
      </c>
      <c r="O3" s="9">
        <v>0</v>
      </c>
      <c r="P3" s="9">
        <v>0</v>
      </c>
      <c r="Q3" s="9">
        <v>0</v>
      </c>
      <c r="R3" s="10">
        <v>0</v>
      </c>
      <c r="S3" s="9">
        <v>319.71300000000002</v>
      </c>
      <c r="T3" s="9">
        <v>0</v>
      </c>
      <c r="U3" s="10">
        <v>0</v>
      </c>
      <c r="V3" s="10">
        <v>0</v>
      </c>
      <c r="W3" s="10">
        <v>0</v>
      </c>
      <c r="X3" s="10">
        <v>0</v>
      </c>
      <c r="Y3" s="9">
        <v>0</v>
      </c>
      <c r="Z3" s="9">
        <v>0</v>
      </c>
      <c r="AA3" s="9">
        <v>0</v>
      </c>
      <c r="AB3" s="9">
        <v>0</v>
      </c>
      <c r="AC3" s="9">
        <v>0</v>
      </c>
      <c r="AD3" s="9">
        <v>0</v>
      </c>
      <c r="AE3" s="9">
        <v>0</v>
      </c>
      <c r="AF3" s="9">
        <v>0</v>
      </c>
      <c r="AG3" s="9">
        <v>0</v>
      </c>
      <c r="AH3" s="9">
        <v>0</v>
      </c>
      <c r="AI3" s="9">
        <v>0</v>
      </c>
      <c r="AJ3" s="9">
        <v>5104</v>
      </c>
      <c r="AK3" s="9">
        <v>0</v>
      </c>
      <c r="AL3" s="9" t="s">
        <v>650</v>
      </c>
      <c r="AM3" s="9">
        <v>0</v>
      </c>
      <c r="AN3" s="9">
        <v>0</v>
      </c>
      <c r="AO3" s="9">
        <v>0</v>
      </c>
      <c r="AP3" s="9">
        <v>0</v>
      </c>
      <c r="AQ3" s="9">
        <v>0</v>
      </c>
      <c r="AR3" s="9">
        <v>0</v>
      </c>
      <c r="AS3" s="9">
        <v>0</v>
      </c>
      <c r="AT3" s="9">
        <v>0</v>
      </c>
      <c r="AU3" s="9">
        <v>0</v>
      </c>
      <c r="AV3" s="9">
        <v>0</v>
      </c>
      <c r="AW3" s="9">
        <v>0</v>
      </c>
      <c r="AX3" s="9">
        <v>0</v>
      </c>
      <c r="AY3" s="9">
        <v>0</v>
      </c>
      <c r="AZ3" s="9">
        <v>0</v>
      </c>
      <c r="BA3" s="10">
        <v>0</v>
      </c>
      <c r="BB3" s="9">
        <v>0</v>
      </c>
      <c r="BC3" s="9">
        <v>0</v>
      </c>
      <c r="BD3" s="9">
        <v>0</v>
      </c>
      <c r="BE3" s="9">
        <v>0</v>
      </c>
      <c r="BF3" s="9">
        <v>0</v>
      </c>
      <c r="BG3" s="9">
        <v>0</v>
      </c>
      <c r="BH3" s="10">
        <v>0</v>
      </c>
      <c r="BI3" s="10">
        <v>0</v>
      </c>
      <c r="BJ3" s="9">
        <v>0</v>
      </c>
      <c r="BK3" s="9">
        <v>0</v>
      </c>
      <c r="BL3" s="9">
        <v>0</v>
      </c>
      <c r="BM3" s="9">
        <v>0</v>
      </c>
      <c r="BN3" s="9">
        <v>0</v>
      </c>
      <c r="BO3" s="9">
        <v>0</v>
      </c>
      <c r="BP3" s="9">
        <v>0</v>
      </c>
      <c r="BQ3" s="9">
        <v>5392</v>
      </c>
      <c r="BR3" s="9">
        <v>0</v>
      </c>
      <c r="BS3" s="9">
        <v>0</v>
      </c>
      <c r="BT3" s="9">
        <v>0</v>
      </c>
      <c r="BU3" s="9">
        <v>0</v>
      </c>
      <c r="BV3" s="9">
        <v>0</v>
      </c>
      <c r="BW3" s="9">
        <v>0</v>
      </c>
      <c r="BX3" s="9">
        <v>0</v>
      </c>
      <c r="BY3" s="9">
        <v>0</v>
      </c>
      <c r="BZ3" s="9">
        <v>0</v>
      </c>
      <c r="CA3" s="9">
        <v>0</v>
      </c>
      <c r="CB3" s="9">
        <v>0</v>
      </c>
      <c r="CC3" s="9">
        <v>0</v>
      </c>
      <c r="CD3" s="9">
        <v>0</v>
      </c>
      <c r="CE3" s="9">
        <v>0</v>
      </c>
      <c r="CF3" s="9">
        <v>0</v>
      </c>
      <c r="CG3" s="9">
        <v>0</v>
      </c>
      <c r="CH3" s="10">
        <v>0</v>
      </c>
      <c r="CI3" s="9">
        <v>0</v>
      </c>
      <c r="CJ3" s="9">
        <v>0</v>
      </c>
      <c r="CK3" s="9">
        <v>0</v>
      </c>
      <c r="CL3" s="9">
        <v>0</v>
      </c>
      <c r="CM3" s="9">
        <v>0</v>
      </c>
      <c r="CN3" s="9">
        <v>0</v>
      </c>
      <c r="CO3" s="9">
        <v>0</v>
      </c>
      <c r="CP3" s="9">
        <v>0</v>
      </c>
      <c r="CQ3" s="9">
        <v>0</v>
      </c>
      <c r="CR3" s="9">
        <v>0</v>
      </c>
      <c r="CS3" s="9">
        <v>0</v>
      </c>
      <c r="CT3" s="9">
        <v>0</v>
      </c>
      <c r="CU3" s="9">
        <v>0</v>
      </c>
      <c r="CV3" s="9">
        <v>0</v>
      </c>
      <c r="CW3" s="9">
        <v>0</v>
      </c>
      <c r="CX3" s="9">
        <v>0</v>
      </c>
      <c r="CY3" s="9">
        <v>0</v>
      </c>
      <c r="CZ3" s="9">
        <v>0</v>
      </c>
      <c r="DA3" s="9">
        <v>0</v>
      </c>
      <c r="DB3" s="9">
        <v>0</v>
      </c>
      <c r="DC3" s="9">
        <v>0</v>
      </c>
      <c r="DD3" s="9">
        <v>0</v>
      </c>
      <c r="DE3" s="9">
        <v>0</v>
      </c>
      <c r="DF3" s="9">
        <v>0</v>
      </c>
      <c r="DG3" s="9">
        <v>0</v>
      </c>
      <c r="DH3" s="9">
        <v>0</v>
      </c>
      <c r="DI3" s="9">
        <v>0</v>
      </c>
      <c r="DJ3" s="9">
        <v>0</v>
      </c>
      <c r="DK3" s="9">
        <v>5392</v>
      </c>
      <c r="DL3" s="9">
        <v>0</v>
      </c>
      <c r="DM3" s="9">
        <v>0</v>
      </c>
      <c r="DN3" s="9">
        <v>0</v>
      </c>
      <c r="DO3" s="9">
        <v>0</v>
      </c>
      <c r="DP3" s="9">
        <v>0</v>
      </c>
      <c r="DQ3" s="9">
        <v>0</v>
      </c>
      <c r="DR3" s="9">
        <v>0</v>
      </c>
      <c r="DS3" s="9">
        <v>0</v>
      </c>
      <c r="DT3" s="9">
        <v>0</v>
      </c>
      <c r="DU3" s="9">
        <v>0</v>
      </c>
      <c r="DV3" s="9">
        <v>0</v>
      </c>
      <c r="DW3" s="9">
        <v>0</v>
      </c>
      <c r="DX3" s="9">
        <v>0</v>
      </c>
      <c r="DY3" s="9">
        <v>0</v>
      </c>
      <c r="DZ3" s="9">
        <v>0</v>
      </c>
      <c r="EA3" s="9">
        <v>0</v>
      </c>
      <c r="EB3" s="9">
        <v>0</v>
      </c>
      <c r="EC3" s="9">
        <v>0</v>
      </c>
      <c r="ED3" s="9">
        <v>0</v>
      </c>
      <c r="EE3" s="9">
        <v>0</v>
      </c>
      <c r="EF3" s="9">
        <v>0</v>
      </c>
      <c r="EG3" s="9">
        <v>0</v>
      </c>
      <c r="EH3" s="9">
        <v>0</v>
      </c>
      <c r="EI3" s="9">
        <v>0</v>
      </c>
      <c r="EJ3" s="9">
        <v>0</v>
      </c>
      <c r="EK3" s="9">
        <v>0</v>
      </c>
      <c r="EL3" s="9">
        <v>0</v>
      </c>
      <c r="EM3" s="9">
        <v>0</v>
      </c>
      <c r="EN3" s="9">
        <v>0</v>
      </c>
      <c r="EO3" s="9">
        <v>0</v>
      </c>
      <c r="EP3" s="9">
        <v>0</v>
      </c>
      <c r="EQ3" s="9">
        <v>0</v>
      </c>
      <c r="ER3" s="9">
        <v>0</v>
      </c>
      <c r="ES3" s="9">
        <v>0</v>
      </c>
      <c r="ET3" s="10">
        <v>0</v>
      </c>
      <c r="EU3" s="9">
        <v>0</v>
      </c>
      <c r="EV3" s="9">
        <v>0</v>
      </c>
      <c r="EW3" s="9">
        <v>0</v>
      </c>
      <c r="EX3" s="9">
        <v>0</v>
      </c>
      <c r="EY3" s="9">
        <v>0</v>
      </c>
      <c r="EZ3" s="9">
        <v>0</v>
      </c>
      <c r="FA3" s="9">
        <v>0</v>
      </c>
      <c r="FB3" s="10">
        <v>0</v>
      </c>
      <c r="FC3" s="9">
        <v>0.97327799999999998</v>
      </c>
      <c r="FD3" s="9">
        <v>0</v>
      </c>
      <c r="FE3" s="9">
        <v>0</v>
      </c>
      <c r="FF3" s="9">
        <v>0</v>
      </c>
      <c r="FG3" s="9">
        <v>6.1239999999999996E-2</v>
      </c>
      <c r="FH3" s="9">
        <v>5.4803999999999999E-2</v>
      </c>
      <c r="FI3" s="9">
        <v>0</v>
      </c>
      <c r="FJ3" s="9">
        <v>0</v>
      </c>
      <c r="FK3" s="9">
        <v>0</v>
      </c>
      <c r="FL3" s="9">
        <v>0</v>
      </c>
      <c r="FM3" s="9">
        <v>0</v>
      </c>
      <c r="FN3" s="9">
        <v>0</v>
      </c>
      <c r="FO3" s="9">
        <v>0</v>
      </c>
      <c r="FP3" s="9">
        <v>0</v>
      </c>
      <c r="FQ3" s="9">
        <v>0</v>
      </c>
      <c r="FR3" s="9">
        <v>0</v>
      </c>
      <c r="FS3" s="9">
        <v>0</v>
      </c>
      <c r="FT3" s="9">
        <v>0</v>
      </c>
      <c r="FU3" s="9">
        <v>0</v>
      </c>
      <c r="FV3" s="9">
        <v>0</v>
      </c>
      <c r="FW3" s="9">
        <v>0</v>
      </c>
      <c r="FX3" s="9">
        <v>0</v>
      </c>
      <c r="FY3" s="9">
        <v>0</v>
      </c>
      <c r="FZ3" s="9">
        <v>0</v>
      </c>
      <c r="GA3" s="9">
        <v>0</v>
      </c>
      <c r="GB3" s="10">
        <v>0</v>
      </c>
      <c r="GC3" s="10">
        <v>0</v>
      </c>
      <c r="GD3" s="10">
        <v>0</v>
      </c>
      <c r="GE3" s="9">
        <v>0</v>
      </c>
      <c r="GF3" s="9">
        <v>0</v>
      </c>
      <c r="GG3" s="9">
        <v>0</v>
      </c>
      <c r="GH3" s="9">
        <v>0</v>
      </c>
      <c r="GI3" s="9">
        <v>0</v>
      </c>
      <c r="GJ3" s="9">
        <v>0</v>
      </c>
      <c r="GK3" s="9">
        <v>0</v>
      </c>
      <c r="GL3" s="9">
        <v>0</v>
      </c>
      <c r="GM3" s="9">
        <v>0</v>
      </c>
      <c r="GN3" s="9">
        <v>0</v>
      </c>
      <c r="GO3" s="9">
        <v>0</v>
      </c>
      <c r="GP3" s="9">
        <v>0</v>
      </c>
      <c r="GQ3" s="9">
        <v>0</v>
      </c>
      <c r="GR3" s="9">
        <v>0</v>
      </c>
      <c r="GS3" s="9">
        <v>0</v>
      </c>
      <c r="GT3" s="9">
        <v>0</v>
      </c>
      <c r="GU3" s="9">
        <v>0</v>
      </c>
      <c r="GV3" s="9">
        <v>0</v>
      </c>
      <c r="GW3" s="9">
        <v>0</v>
      </c>
      <c r="GX3" s="9">
        <v>0</v>
      </c>
      <c r="GY3" s="9">
        <v>0</v>
      </c>
      <c r="GZ3" s="9">
        <v>0</v>
      </c>
      <c r="HA3" s="9">
        <v>0</v>
      </c>
      <c r="HB3" s="9">
        <v>0</v>
      </c>
      <c r="HC3" s="9">
        <v>0</v>
      </c>
      <c r="HD3" s="10">
        <v>0</v>
      </c>
      <c r="HE3" s="9">
        <v>0</v>
      </c>
      <c r="HF3" s="9">
        <v>0</v>
      </c>
      <c r="HG3" s="9">
        <v>0</v>
      </c>
      <c r="HH3" s="9">
        <v>0</v>
      </c>
      <c r="HI3" s="9">
        <v>0</v>
      </c>
      <c r="HJ3" s="9">
        <v>0</v>
      </c>
      <c r="HK3" s="9">
        <v>0</v>
      </c>
      <c r="HL3" s="9">
        <v>0</v>
      </c>
      <c r="HM3" s="9">
        <v>0</v>
      </c>
      <c r="HN3" s="9">
        <v>0</v>
      </c>
      <c r="HO3" s="9">
        <v>0</v>
      </c>
      <c r="HP3" s="9">
        <v>0</v>
      </c>
      <c r="HQ3" s="9">
        <v>0</v>
      </c>
      <c r="HR3" s="9">
        <v>0</v>
      </c>
      <c r="HS3" s="9">
        <v>0</v>
      </c>
      <c r="HT3" s="9">
        <v>0</v>
      </c>
      <c r="HU3" s="9">
        <v>0</v>
      </c>
      <c r="HV3" s="9">
        <v>0</v>
      </c>
      <c r="HW3" s="9">
        <v>0</v>
      </c>
      <c r="HX3" s="9">
        <v>0</v>
      </c>
      <c r="HY3" s="9">
        <v>0</v>
      </c>
      <c r="HZ3" s="9">
        <v>0</v>
      </c>
      <c r="IA3" s="9">
        <v>0</v>
      </c>
      <c r="IB3" s="9">
        <v>0</v>
      </c>
      <c r="IC3" s="9">
        <v>0</v>
      </c>
      <c r="ID3" s="9">
        <v>0</v>
      </c>
      <c r="IE3" s="9">
        <v>0</v>
      </c>
      <c r="IF3" s="9">
        <v>0</v>
      </c>
      <c r="IG3" s="9">
        <v>0</v>
      </c>
      <c r="IH3" s="9">
        <v>0</v>
      </c>
      <c r="II3" s="9">
        <v>0</v>
      </c>
      <c r="IJ3" s="9">
        <v>0</v>
      </c>
      <c r="IK3" s="9">
        <v>0</v>
      </c>
      <c r="IL3" s="9">
        <v>0</v>
      </c>
      <c r="IM3" s="9">
        <v>0</v>
      </c>
      <c r="IN3" s="9">
        <v>0</v>
      </c>
      <c r="IO3" s="9">
        <v>0</v>
      </c>
      <c r="IP3" s="9">
        <v>0</v>
      </c>
      <c r="IQ3" s="9">
        <v>0</v>
      </c>
      <c r="IR3" s="9">
        <v>0</v>
      </c>
      <c r="IS3" s="9">
        <v>0</v>
      </c>
      <c r="IT3" s="9">
        <v>0</v>
      </c>
      <c r="IU3" s="9">
        <v>0</v>
      </c>
      <c r="IV3" s="9">
        <v>0</v>
      </c>
      <c r="IW3" s="9">
        <v>0</v>
      </c>
      <c r="IX3" s="9">
        <v>0</v>
      </c>
      <c r="IY3" s="9">
        <v>0</v>
      </c>
      <c r="IZ3" s="9">
        <v>0</v>
      </c>
      <c r="JA3" s="9">
        <v>0</v>
      </c>
    </row>
    <row r="4" spans="1:295" ht="13" x14ac:dyDescent="0.3">
      <c r="A4" s="9">
        <v>3801</v>
      </c>
      <c r="B4" s="9">
        <v>36871</v>
      </c>
      <c r="C4" s="9">
        <v>35</v>
      </c>
      <c r="D4" s="9">
        <v>2023</v>
      </c>
      <c r="E4" s="9">
        <v>5392</v>
      </c>
      <c r="F4" s="9">
        <v>0</v>
      </c>
      <c r="G4" s="9">
        <v>0</v>
      </c>
      <c r="H4" s="9">
        <v>864.17400000000009</v>
      </c>
      <c r="I4" s="9">
        <v>864.17400000000009</v>
      </c>
      <c r="J4" s="9">
        <v>925.48300000000006</v>
      </c>
      <c r="K4" s="9">
        <v>0</v>
      </c>
      <c r="L4" s="9">
        <v>6547</v>
      </c>
      <c r="M4" s="9">
        <v>0</v>
      </c>
      <c r="N4" s="9">
        <v>0</v>
      </c>
      <c r="O4" s="9">
        <v>0</v>
      </c>
      <c r="P4" s="9">
        <v>987.399</v>
      </c>
      <c r="Q4" s="9">
        <v>0</v>
      </c>
      <c r="R4" s="10">
        <v>480786</v>
      </c>
      <c r="S4" s="9">
        <v>486.92200000000003</v>
      </c>
      <c r="T4" s="9">
        <v>0</v>
      </c>
      <c r="U4" s="10">
        <v>480786</v>
      </c>
      <c r="V4" s="10">
        <v>31.535</v>
      </c>
      <c r="W4" s="10">
        <v>20646</v>
      </c>
      <c r="X4" s="10">
        <v>20646</v>
      </c>
      <c r="Y4" s="9">
        <v>0</v>
      </c>
      <c r="Z4" s="9">
        <v>0</v>
      </c>
      <c r="AA4" s="9">
        <v>1</v>
      </c>
      <c r="AB4" s="9">
        <v>1</v>
      </c>
      <c r="AC4" s="9">
        <v>0</v>
      </c>
      <c r="AD4" s="9" t="s">
        <v>314</v>
      </c>
      <c r="AE4" s="9">
        <v>0</v>
      </c>
      <c r="AF4" s="9">
        <v>0</v>
      </c>
      <c r="AG4" s="9">
        <v>0</v>
      </c>
      <c r="AH4" s="9">
        <v>0</v>
      </c>
      <c r="AI4" s="9">
        <v>0</v>
      </c>
      <c r="AJ4" s="9">
        <v>5104</v>
      </c>
      <c r="AK4" s="9" t="s">
        <v>651</v>
      </c>
      <c r="AL4" s="9" t="s">
        <v>53</v>
      </c>
      <c r="AM4" s="9">
        <v>0</v>
      </c>
      <c r="AN4" s="9">
        <v>0</v>
      </c>
      <c r="AO4" s="9">
        <v>0</v>
      </c>
      <c r="AP4" s="9">
        <v>0</v>
      </c>
      <c r="AQ4" s="9">
        <v>0</v>
      </c>
      <c r="AR4" s="9">
        <v>0</v>
      </c>
      <c r="AS4" s="9">
        <v>0</v>
      </c>
      <c r="AT4" s="9">
        <v>0</v>
      </c>
      <c r="AU4" s="9">
        <v>0</v>
      </c>
      <c r="AV4" s="9">
        <v>546</v>
      </c>
      <c r="AW4" s="9">
        <v>8644524</v>
      </c>
      <c r="AX4" s="9">
        <v>8389874</v>
      </c>
      <c r="AY4" s="9">
        <v>9112833</v>
      </c>
      <c r="AZ4" s="9">
        <v>548723</v>
      </c>
      <c r="BA4" s="10">
        <v>47.083000000000006</v>
      </c>
      <c r="BB4" s="9">
        <v>36355</v>
      </c>
      <c r="BC4" s="9">
        <v>36355</v>
      </c>
      <c r="BD4" s="9">
        <v>46.274000000000001</v>
      </c>
      <c r="BE4" s="9">
        <v>0</v>
      </c>
      <c r="BF4" s="9">
        <v>7294590</v>
      </c>
      <c r="BG4" s="9">
        <v>0</v>
      </c>
      <c r="BH4" s="10">
        <v>247.042</v>
      </c>
      <c r="BI4" s="10">
        <v>67937</v>
      </c>
      <c r="BJ4" s="9">
        <v>12</v>
      </c>
      <c r="BK4" s="9">
        <v>0</v>
      </c>
      <c r="BL4" s="9">
        <v>0</v>
      </c>
      <c r="BM4" s="9">
        <v>0</v>
      </c>
      <c r="BN4" s="9">
        <v>0</v>
      </c>
      <c r="BO4" s="9">
        <v>0</v>
      </c>
      <c r="BP4" s="9">
        <v>0</v>
      </c>
      <c r="BQ4" s="9">
        <v>5392</v>
      </c>
      <c r="BR4" s="9">
        <v>1</v>
      </c>
      <c r="BS4" s="9">
        <v>0</v>
      </c>
      <c r="BT4" s="9">
        <v>0</v>
      </c>
      <c r="BU4" s="9">
        <v>0</v>
      </c>
      <c r="BV4" s="9">
        <v>0</v>
      </c>
      <c r="BW4" s="9">
        <v>0</v>
      </c>
      <c r="BX4" s="9">
        <v>0</v>
      </c>
      <c r="BY4" s="9">
        <v>0</v>
      </c>
      <c r="BZ4" s="9">
        <v>0</v>
      </c>
      <c r="CA4" s="9">
        <v>0</v>
      </c>
      <c r="CB4" s="9">
        <v>0</v>
      </c>
      <c r="CC4" s="9">
        <v>0</v>
      </c>
      <c r="CD4" s="9">
        <v>0</v>
      </c>
      <c r="CE4" s="9">
        <v>0</v>
      </c>
      <c r="CF4" s="9">
        <v>0</v>
      </c>
      <c r="CG4" s="9">
        <v>0</v>
      </c>
      <c r="CH4" s="10">
        <v>186713</v>
      </c>
      <c r="CI4" s="9">
        <v>0</v>
      </c>
      <c r="CJ4" s="9">
        <v>4</v>
      </c>
      <c r="CK4" s="9">
        <v>0</v>
      </c>
      <c r="CL4" s="9">
        <v>0</v>
      </c>
      <c r="CM4" s="9">
        <v>0</v>
      </c>
      <c r="CN4" s="9">
        <v>0</v>
      </c>
      <c r="CO4" s="9">
        <v>0</v>
      </c>
      <c r="CP4" s="9">
        <v>0</v>
      </c>
      <c r="CQ4" s="9">
        <v>8.3000000000000004E-2</v>
      </c>
      <c r="CR4" s="9">
        <v>965.57100000000003</v>
      </c>
      <c r="CS4" s="9">
        <v>0</v>
      </c>
      <c r="CT4" s="9">
        <v>0</v>
      </c>
      <c r="CU4" s="9">
        <v>0</v>
      </c>
      <c r="CV4" s="9">
        <v>0</v>
      </c>
      <c r="CW4" s="9">
        <v>0</v>
      </c>
      <c r="CX4" s="9">
        <v>0</v>
      </c>
      <c r="CY4" s="9">
        <v>0</v>
      </c>
      <c r="CZ4" s="9">
        <v>0</v>
      </c>
      <c r="DA4" s="9">
        <v>1</v>
      </c>
      <c r="DB4" s="9">
        <v>5657747</v>
      </c>
      <c r="DC4" s="9">
        <v>0</v>
      </c>
      <c r="DD4" s="9">
        <v>0</v>
      </c>
      <c r="DE4" s="9">
        <v>697478</v>
      </c>
      <c r="DF4" s="9">
        <v>697478</v>
      </c>
      <c r="DG4" s="9">
        <v>532.66999999999996</v>
      </c>
      <c r="DH4" s="9">
        <v>0</v>
      </c>
      <c r="DI4" s="9">
        <v>0</v>
      </c>
      <c r="DJ4" s="9">
        <v>0</v>
      </c>
      <c r="DK4" s="9">
        <v>5392</v>
      </c>
      <c r="DL4" s="9">
        <v>0</v>
      </c>
      <c r="DM4" s="9">
        <v>733397</v>
      </c>
      <c r="DN4" s="9">
        <v>0</v>
      </c>
      <c r="DO4" s="9">
        <v>0</v>
      </c>
      <c r="DP4" s="9">
        <v>0</v>
      </c>
      <c r="DQ4" s="9">
        <v>0</v>
      </c>
      <c r="DR4" s="9">
        <v>0</v>
      </c>
      <c r="DS4" s="9">
        <v>0</v>
      </c>
      <c r="DT4" s="9">
        <v>0</v>
      </c>
      <c r="DU4" s="9">
        <v>0</v>
      </c>
      <c r="DV4" s="9">
        <v>0</v>
      </c>
      <c r="DW4" s="9">
        <v>0</v>
      </c>
      <c r="DX4" s="9">
        <v>0</v>
      </c>
      <c r="DY4" s="9">
        <v>0</v>
      </c>
      <c r="DZ4" s="9">
        <v>0</v>
      </c>
      <c r="EA4" s="9">
        <v>0</v>
      </c>
      <c r="EB4" s="9">
        <v>0</v>
      </c>
      <c r="EC4" s="9">
        <v>40.384</v>
      </c>
      <c r="ED4" s="9">
        <v>290833</v>
      </c>
      <c r="EE4" s="9">
        <v>0</v>
      </c>
      <c r="EF4" s="9">
        <v>0</v>
      </c>
      <c r="EG4" s="9">
        <v>0</v>
      </c>
      <c r="EH4" s="9">
        <v>442564</v>
      </c>
      <c r="EI4" s="9">
        <v>0</v>
      </c>
      <c r="EJ4" s="9">
        <v>0</v>
      </c>
      <c r="EK4" s="9">
        <v>20.666</v>
      </c>
      <c r="EL4" s="9">
        <v>0</v>
      </c>
      <c r="EM4" s="9">
        <v>0</v>
      </c>
      <c r="EN4" s="9">
        <v>1.1200000000000001</v>
      </c>
      <c r="EO4" s="9">
        <v>0</v>
      </c>
      <c r="EP4" s="9">
        <v>0</v>
      </c>
      <c r="EQ4" s="9">
        <v>21.786000000000001</v>
      </c>
      <c r="ER4" s="9">
        <v>0</v>
      </c>
      <c r="ES4" s="9">
        <v>67.597999999999999</v>
      </c>
      <c r="ET4" s="10">
        <v>23562</v>
      </c>
      <c r="EU4" s="9">
        <v>548723</v>
      </c>
      <c r="EV4" s="9">
        <v>0</v>
      </c>
      <c r="EW4" s="9">
        <v>0</v>
      </c>
      <c r="EX4" s="9">
        <v>0</v>
      </c>
      <c r="EY4" s="9">
        <v>0</v>
      </c>
      <c r="EZ4" s="9">
        <v>7021116</v>
      </c>
      <c r="FA4" s="9">
        <v>0</v>
      </c>
      <c r="FB4" s="10">
        <v>7569839</v>
      </c>
      <c r="FC4" s="9">
        <v>0.97326799999999991</v>
      </c>
      <c r="FD4" s="9">
        <v>0</v>
      </c>
      <c r="FE4" s="9">
        <v>1128454</v>
      </c>
      <c r="FF4" s="9">
        <v>240304</v>
      </c>
      <c r="FG4" s="9">
        <v>5.8088000000000001E-2</v>
      </c>
      <c r="FH4" s="9">
        <v>5.2622999999999996E-2</v>
      </c>
      <c r="FI4" s="9">
        <v>0</v>
      </c>
      <c r="FJ4" s="9">
        <v>0</v>
      </c>
      <c r="FK4" s="9">
        <v>1429.269</v>
      </c>
      <c r="FL4" s="9">
        <v>9125310</v>
      </c>
      <c r="FM4" s="9">
        <v>0</v>
      </c>
      <c r="FN4" s="9">
        <v>0</v>
      </c>
      <c r="FO4" s="9">
        <v>5460</v>
      </c>
      <c r="FP4" s="9">
        <v>0</v>
      </c>
      <c r="FQ4" s="9">
        <v>6957</v>
      </c>
      <c r="FR4" s="9">
        <v>5460</v>
      </c>
      <c r="FS4" s="9">
        <v>1497</v>
      </c>
      <c r="FT4" s="9">
        <v>0</v>
      </c>
      <c r="FU4" s="9">
        <v>0</v>
      </c>
      <c r="FV4" s="9">
        <v>0</v>
      </c>
      <c r="FW4" s="9">
        <v>0</v>
      </c>
      <c r="FX4" s="9">
        <v>0</v>
      </c>
      <c r="FY4" s="9">
        <v>0</v>
      </c>
      <c r="FZ4" s="9">
        <v>0</v>
      </c>
      <c r="GA4" s="9">
        <v>0</v>
      </c>
      <c r="GB4" s="10">
        <v>349322</v>
      </c>
      <c r="GC4" s="10">
        <v>349322</v>
      </c>
      <c r="GD4" s="10">
        <v>39.523000000000003</v>
      </c>
      <c r="GE4" s="9">
        <v>0</v>
      </c>
      <c r="GF4" s="9">
        <v>0</v>
      </c>
      <c r="GG4" s="9">
        <v>0</v>
      </c>
      <c r="GH4" s="9">
        <v>0</v>
      </c>
      <c r="GI4" s="9">
        <v>0</v>
      </c>
      <c r="GJ4" s="9">
        <v>0</v>
      </c>
      <c r="GK4" s="9">
        <v>4999</v>
      </c>
      <c r="GL4" s="9">
        <v>9474</v>
      </c>
      <c r="GM4" s="9">
        <v>0</v>
      </c>
      <c r="GN4" s="9">
        <v>0</v>
      </c>
      <c r="GO4" s="9">
        <v>0</v>
      </c>
      <c r="GP4" s="9">
        <v>8938597</v>
      </c>
      <c r="GQ4" s="9">
        <v>8938597</v>
      </c>
      <c r="GR4" s="9">
        <v>0</v>
      </c>
      <c r="GS4" s="9">
        <v>0</v>
      </c>
      <c r="GT4" s="9">
        <v>0</v>
      </c>
      <c r="GU4" s="9">
        <v>0</v>
      </c>
      <c r="GV4" s="9">
        <v>0</v>
      </c>
      <c r="GW4" s="9">
        <v>0</v>
      </c>
      <c r="GX4" s="9">
        <v>0</v>
      </c>
      <c r="GY4" s="9">
        <v>0</v>
      </c>
      <c r="GZ4" s="9">
        <v>0</v>
      </c>
      <c r="HA4" s="9">
        <v>0</v>
      </c>
      <c r="HB4" s="9">
        <v>300501363</v>
      </c>
      <c r="HC4" s="9">
        <v>4.4742999999999998E-2</v>
      </c>
      <c r="HD4" s="10">
        <v>163151</v>
      </c>
      <c r="HE4" s="9">
        <v>0</v>
      </c>
      <c r="HF4" s="9">
        <v>0</v>
      </c>
      <c r="HG4" s="9">
        <v>0</v>
      </c>
      <c r="HH4" s="9">
        <v>0</v>
      </c>
      <c r="HI4" s="9">
        <v>0</v>
      </c>
      <c r="HJ4" s="9">
        <v>0</v>
      </c>
      <c r="HK4" s="9">
        <v>0</v>
      </c>
      <c r="HL4" s="9">
        <v>0</v>
      </c>
      <c r="HM4" s="9">
        <v>0</v>
      </c>
      <c r="HN4" s="9">
        <v>0</v>
      </c>
      <c r="HO4" s="9">
        <v>0</v>
      </c>
      <c r="HP4" s="9">
        <v>0</v>
      </c>
      <c r="HQ4" s="9">
        <v>0</v>
      </c>
      <c r="HR4" s="9">
        <v>0</v>
      </c>
      <c r="HS4" s="9">
        <v>0</v>
      </c>
      <c r="HT4" s="9">
        <v>0</v>
      </c>
      <c r="HU4" s="9">
        <v>0</v>
      </c>
      <c r="HV4" s="9">
        <v>0</v>
      </c>
      <c r="HW4" s="9">
        <v>0</v>
      </c>
      <c r="HX4" s="9">
        <v>0</v>
      </c>
      <c r="HY4" s="9">
        <v>0</v>
      </c>
      <c r="HZ4" s="9">
        <v>0</v>
      </c>
      <c r="IA4" s="9">
        <v>0</v>
      </c>
      <c r="IB4" s="9">
        <v>0</v>
      </c>
      <c r="IC4" s="9">
        <v>0</v>
      </c>
      <c r="ID4" s="9">
        <v>0</v>
      </c>
      <c r="IE4" s="9">
        <v>0</v>
      </c>
      <c r="IF4" s="9">
        <v>0</v>
      </c>
      <c r="IG4" s="9">
        <v>0</v>
      </c>
      <c r="IH4" s="9">
        <v>0</v>
      </c>
      <c r="II4" s="9">
        <v>0</v>
      </c>
      <c r="IJ4" s="9">
        <v>0</v>
      </c>
      <c r="IK4" s="9">
        <v>0</v>
      </c>
      <c r="IL4" s="9">
        <v>0</v>
      </c>
      <c r="IM4" s="9">
        <v>0</v>
      </c>
      <c r="IN4" s="9">
        <v>0</v>
      </c>
      <c r="IO4" s="9">
        <v>0</v>
      </c>
      <c r="IP4" s="9">
        <v>0</v>
      </c>
      <c r="IQ4" s="9">
        <v>0</v>
      </c>
      <c r="IR4" s="9">
        <v>0</v>
      </c>
      <c r="IS4" s="9">
        <v>0</v>
      </c>
      <c r="IT4" s="9">
        <v>0</v>
      </c>
      <c r="IU4" s="9">
        <v>0</v>
      </c>
      <c r="IV4" s="9">
        <v>0</v>
      </c>
      <c r="IW4" s="9">
        <v>0</v>
      </c>
      <c r="IX4" s="9">
        <v>0</v>
      </c>
      <c r="IY4" s="9">
        <v>0</v>
      </c>
      <c r="IZ4" s="9">
        <v>0</v>
      </c>
      <c r="JA4" s="9">
        <v>0</v>
      </c>
      <c r="JB4" s="9">
        <v>0</v>
      </c>
      <c r="JC4" s="9">
        <v>0</v>
      </c>
      <c r="JD4" s="9">
        <v>0</v>
      </c>
      <c r="JE4" s="9">
        <v>0</v>
      </c>
      <c r="JF4" s="9">
        <v>0</v>
      </c>
      <c r="JG4" s="9">
        <v>0</v>
      </c>
      <c r="JH4" s="9">
        <v>0</v>
      </c>
      <c r="JI4" s="9">
        <v>0</v>
      </c>
      <c r="JJ4" s="9">
        <v>0</v>
      </c>
      <c r="JK4" s="9">
        <v>0</v>
      </c>
      <c r="JL4" s="9">
        <v>0</v>
      </c>
      <c r="JM4" s="9">
        <v>0</v>
      </c>
      <c r="JN4" s="9">
        <v>36832</v>
      </c>
      <c r="JO4" s="9">
        <v>0</v>
      </c>
      <c r="JP4" s="9">
        <v>0</v>
      </c>
      <c r="JQ4" s="9">
        <v>0</v>
      </c>
      <c r="JR4" s="9">
        <v>0</v>
      </c>
      <c r="JS4" s="9">
        <v>0</v>
      </c>
      <c r="JT4" s="9">
        <v>0</v>
      </c>
      <c r="JU4" s="9">
        <v>0</v>
      </c>
      <c r="JV4" s="9">
        <v>0</v>
      </c>
      <c r="JW4" s="9">
        <v>0</v>
      </c>
      <c r="JX4" s="9">
        <v>0</v>
      </c>
      <c r="JY4" s="9">
        <v>0</v>
      </c>
      <c r="JZ4" s="9">
        <v>0</v>
      </c>
      <c r="KA4" s="9">
        <v>0</v>
      </c>
      <c r="KB4" s="9">
        <v>0</v>
      </c>
      <c r="KC4" s="9">
        <v>0</v>
      </c>
      <c r="KD4" s="9">
        <v>0</v>
      </c>
      <c r="KE4" s="9">
        <v>0</v>
      </c>
      <c r="KF4" s="9">
        <v>0</v>
      </c>
      <c r="KG4" s="9">
        <v>0</v>
      </c>
      <c r="KH4" s="9">
        <v>0</v>
      </c>
      <c r="KI4" s="9">
        <v>0</v>
      </c>
    </row>
    <row r="5" spans="1:295" ht="13" x14ac:dyDescent="0.3">
      <c r="A5" s="9">
        <v>13801</v>
      </c>
      <c r="B5" s="9">
        <v>36871</v>
      </c>
      <c r="C5" s="9">
        <v>35</v>
      </c>
      <c r="D5" s="9">
        <v>2023</v>
      </c>
      <c r="E5" s="9">
        <v>5392</v>
      </c>
      <c r="F5" s="9">
        <v>0</v>
      </c>
      <c r="G5" s="9">
        <v>0</v>
      </c>
      <c r="H5" s="9">
        <v>384.95</v>
      </c>
      <c r="I5" s="9">
        <v>384.95</v>
      </c>
      <c r="J5" s="9">
        <v>394.36500000000001</v>
      </c>
      <c r="K5" s="9">
        <v>0</v>
      </c>
      <c r="L5" s="9">
        <v>6547</v>
      </c>
      <c r="M5" s="9">
        <v>0</v>
      </c>
      <c r="N5" s="9">
        <v>0</v>
      </c>
      <c r="O5" s="9">
        <v>0</v>
      </c>
      <c r="P5" s="9">
        <v>404.56800000000004</v>
      </c>
      <c r="Q5" s="9">
        <v>0</v>
      </c>
      <c r="R5" s="10">
        <v>196993</v>
      </c>
      <c r="S5" s="9">
        <v>486.92200000000003</v>
      </c>
      <c r="T5" s="9">
        <v>0</v>
      </c>
      <c r="U5" s="10">
        <v>196993</v>
      </c>
      <c r="V5" s="10">
        <v>6.9820000000000002</v>
      </c>
      <c r="W5" s="10">
        <v>4571</v>
      </c>
      <c r="X5" s="10">
        <v>4571</v>
      </c>
      <c r="Y5" s="9">
        <v>0</v>
      </c>
      <c r="Z5" s="9">
        <v>0</v>
      </c>
      <c r="AA5" s="9">
        <v>1</v>
      </c>
      <c r="AB5" s="9">
        <v>1</v>
      </c>
      <c r="AC5" s="9">
        <v>0</v>
      </c>
      <c r="AD5" s="9" t="s">
        <v>314</v>
      </c>
      <c r="AE5" s="9">
        <v>0</v>
      </c>
      <c r="AF5" s="9">
        <v>0</v>
      </c>
      <c r="AG5" s="9">
        <v>0</v>
      </c>
      <c r="AH5" s="9">
        <v>0</v>
      </c>
      <c r="AI5" s="9">
        <v>0</v>
      </c>
      <c r="AJ5" s="9">
        <v>5104</v>
      </c>
      <c r="AK5" s="9" t="s">
        <v>651</v>
      </c>
      <c r="AL5" s="9" t="s">
        <v>54</v>
      </c>
      <c r="AM5" s="9">
        <v>0</v>
      </c>
      <c r="AN5" s="9">
        <v>0</v>
      </c>
      <c r="AO5" s="9">
        <v>0</v>
      </c>
      <c r="AP5" s="9">
        <v>0</v>
      </c>
      <c r="AQ5" s="9">
        <v>0</v>
      </c>
      <c r="AR5" s="9">
        <v>0</v>
      </c>
      <c r="AS5" s="9">
        <v>0</v>
      </c>
      <c r="AT5" s="9">
        <v>0</v>
      </c>
      <c r="AU5" s="9">
        <v>0</v>
      </c>
      <c r="AV5" s="9">
        <v>-164231</v>
      </c>
      <c r="AW5" s="9">
        <v>3705300</v>
      </c>
      <c r="AX5" s="9">
        <v>3615695</v>
      </c>
      <c r="AY5" s="9">
        <v>3543477</v>
      </c>
      <c r="AZ5" s="9">
        <v>196993</v>
      </c>
      <c r="BA5" s="10">
        <v>39.167000000000002</v>
      </c>
      <c r="BB5" s="9">
        <v>15491</v>
      </c>
      <c r="BC5" s="9">
        <v>15491</v>
      </c>
      <c r="BD5" s="9">
        <v>19.718</v>
      </c>
      <c r="BE5" s="9">
        <v>0</v>
      </c>
      <c r="BF5" s="9">
        <v>3137740</v>
      </c>
      <c r="BG5" s="9">
        <v>0</v>
      </c>
      <c r="BH5" s="10">
        <v>0</v>
      </c>
      <c r="BI5" s="10">
        <v>0</v>
      </c>
      <c r="BJ5" s="9">
        <v>12</v>
      </c>
      <c r="BK5" s="9">
        <v>0</v>
      </c>
      <c r="BL5" s="9">
        <v>0</v>
      </c>
      <c r="BM5" s="9">
        <v>0</v>
      </c>
      <c r="BN5" s="9">
        <v>0</v>
      </c>
      <c r="BO5" s="9">
        <v>0</v>
      </c>
      <c r="BP5" s="9">
        <v>0</v>
      </c>
      <c r="BQ5" s="9">
        <v>5392</v>
      </c>
      <c r="BR5" s="9">
        <v>1</v>
      </c>
      <c r="BS5" s="9">
        <v>0</v>
      </c>
      <c r="BT5" s="9">
        <v>0</v>
      </c>
      <c r="BU5" s="9">
        <v>0</v>
      </c>
      <c r="BV5" s="9">
        <v>0</v>
      </c>
      <c r="BW5" s="9">
        <v>0</v>
      </c>
      <c r="BX5" s="9">
        <v>0</v>
      </c>
      <c r="BY5" s="9">
        <v>0</v>
      </c>
      <c r="BZ5" s="9">
        <v>0</v>
      </c>
      <c r="CA5" s="9">
        <v>0</v>
      </c>
      <c r="CB5" s="9">
        <v>0</v>
      </c>
      <c r="CC5" s="9">
        <v>0</v>
      </c>
      <c r="CD5" s="9">
        <v>0</v>
      </c>
      <c r="CE5" s="9">
        <v>0</v>
      </c>
      <c r="CF5" s="9">
        <v>0</v>
      </c>
      <c r="CG5" s="9">
        <v>0</v>
      </c>
      <c r="CH5" s="10">
        <v>89605</v>
      </c>
      <c r="CI5" s="9">
        <v>0</v>
      </c>
      <c r="CJ5" s="9">
        <v>4</v>
      </c>
      <c r="CK5" s="9">
        <v>0</v>
      </c>
      <c r="CL5" s="9">
        <v>0</v>
      </c>
      <c r="CM5" s="9">
        <v>0</v>
      </c>
      <c r="CN5" s="9">
        <v>0</v>
      </c>
      <c r="CO5" s="9">
        <v>0</v>
      </c>
      <c r="CP5" s="9">
        <v>0</v>
      </c>
      <c r="CQ5" s="9">
        <v>2</v>
      </c>
      <c r="CR5" s="9">
        <v>384.47900000000004</v>
      </c>
      <c r="CS5" s="9">
        <v>0</v>
      </c>
      <c r="CT5" s="9">
        <v>0</v>
      </c>
      <c r="CU5" s="9">
        <v>0</v>
      </c>
      <c r="CV5" s="9">
        <v>0</v>
      </c>
      <c r="CW5" s="9">
        <v>0</v>
      </c>
      <c r="CX5" s="9">
        <v>0</v>
      </c>
      <c r="CY5" s="9">
        <v>0</v>
      </c>
      <c r="CZ5" s="9">
        <v>0</v>
      </c>
      <c r="DA5" s="9">
        <v>1</v>
      </c>
      <c r="DB5" s="9">
        <v>2520268</v>
      </c>
      <c r="DC5" s="9">
        <v>0</v>
      </c>
      <c r="DD5" s="9">
        <v>0</v>
      </c>
      <c r="DE5" s="9">
        <v>484701</v>
      </c>
      <c r="DF5" s="9">
        <v>484701</v>
      </c>
      <c r="DG5" s="9">
        <v>370.17</v>
      </c>
      <c r="DH5" s="9">
        <v>0</v>
      </c>
      <c r="DI5" s="9">
        <v>0</v>
      </c>
      <c r="DJ5" s="9">
        <v>0</v>
      </c>
      <c r="DK5" s="9">
        <v>5392</v>
      </c>
      <c r="DL5" s="9">
        <v>0</v>
      </c>
      <c r="DM5" s="9">
        <v>198891</v>
      </c>
      <c r="DN5" s="9">
        <v>0</v>
      </c>
      <c r="DO5" s="9">
        <v>0</v>
      </c>
      <c r="DP5" s="9">
        <v>0</v>
      </c>
      <c r="DQ5" s="9">
        <v>0</v>
      </c>
      <c r="DR5" s="9">
        <v>0</v>
      </c>
      <c r="DS5" s="9">
        <v>0</v>
      </c>
      <c r="DT5" s="9">
        <v>0</v>
      </c>
      <c r="DU5" s="9">
        <v>0</v>
      </c>
      <c r="DV5" s="9">
        <v>0</v>
      </c>
      <c r="DW5" s="9">
        <v>0</v>
      </c>
      <c r="DX5" s="9">
        <v>0</v>
      </c>
      <c r="DY5" s="9">
        <v>0</v>
      </c>
      <c r="DZ5" s="9">
        <v>0</v>
      </c>
      <c r="EA5" s="9">
        <v>0</v>
      </c>
      <c r="EB5" s="9">
        <v>0</v>
      </c>
      <c r="EC5" s="9">
        <v>0</v>
      </c>
      <c r="ED5" s="9">
        <v>0</v>
      </c>
      <c r="EE5" s="9">
        <v>0</v>
      </c>
      <c r="EF5" s="9">
        <v>0</v>
      </c>
      <c r="EG5" s="9">
        <v>0</v>
      </c>
      <c r="EH5" s="9">
        <v>198891</v>
      </c>
      <c r="EI5" s="9">
        <v>0</v>
      </c>
      <c r="EJ5" s="9">
        <v>0</v>
      </c>
      <c r="EK5" s="9">
        <v>7.8870000000000005</v>
      </c>
      <c r="EL5" s="9">
        <v>0</v>
      </c>
      <c r="EM5" s="9">
        <v>0.46100000000000002</v>
      </c>
      <c r="EN5" s="9">
        <v>1.0669999999999999</v>
      </c>
      <c r="EO5" s="9">
        <v>0</v>
      </c>
      <c r="EP5" s="9">
        <v>0</v>
      </c>
      <c r="EQ5" s="9">
        <v>9.4150000000000009</v>
      </c>
      <c r="ER5" s="9">
        <v>0</v>
      </c>
      <c r="ES5" s="9">
        <v>30.379000000000001</v>
      </c>
      <c r="ET5" s="10">
        <v>20084</v>
      </c>
      <c r="EU5" s="9">
        <v>196993</v>
      </c>
      <c r="EV5" s="9">
        <v>0</v>
      </c>
      <c r="EW5" s="9">
        <v>0</v>
      </c>
      <c r="EX5" s="9">
        <v>0</v>
      </c>
      <c r="EY5" s="9">
        <v>0</v>
      </c>
      <c r="EZ5" s="9">
        <v>3026929</v>
      </c>
      <c r="FA5" s="9">
        <v>0</v>
      </c>
      <c r="FB5" s="10">
        <v>3223922</v>
      </c>
      <c r="FC5" s="9">
        <v>0.97326799999999991</v>
      </c>
      <c r="FD5" s="9">
        <v>0</v>
      </c>
      <c r="FE5" s="9">
        <v>485400</v>
      </c>
      <c r="FF5" s="9">
        <v>103366</v>
      </c>
      <c r="FG5" s="9">
        <v>5.8088000000000001E-2</v>
      </c>
      <c r="FH5" s="9">
        <v>5.2622999999999996E-2</v>
      </c>
      <c r="FI5" s="9">
        <v>0</v>
      </c>
      <c r="FJ5" s="9">
        <v>0</v>
      </c>
      <c r="FK5" s="9">
        <v>614.79399999999998</v>
      </c>
      <c r="FL5" s="9">
        <v>3902293</v>
      </c>
      <c r="FM5" s="9">
        <v>0</v>
      </c>
      <c r="FN5" s="9">
        <v>0</v>
      </c>
      <c r="FO5" s="9">
        <v>0</v>
      </c>
      <c r="FP5" s="9">
        <v>0</v>
      </c>
      <c r="FQ5" s="9">
        <v>0</v>
      </c>
      <c r="FR5" s="9">
        <v>0</v>
      </c>
      <c r="FS5" s="9">
        <v>0</v>
      </c>
      <c r="FT5" s="9">
        <v>0</v>
      </c>
      <c r="FU5" s="9">
        <v>0</v>
      </c>
      <c r="FV5" s="9">
        <v>0</v>
      </c>
      <c r="FW5" s="9">
        <v>0</v>
      </c>
      <c r="FX5" s="9">
        <v>0</v>
      </c>
      <c r="FY5" s="9">
        <v>0</v>
      </c>
      <c r="FZ5" s="9">
        <v>0</v>
      </c>
      <c r="GA5" s="9">
        <v>0</v>
      </c>
      <c r="GB5" s="10">
        <v>0</v>
      </c>
      <c r="GC5" s="10">
        <v>0</v>
      </c>
      <c r="GD5" s="10">
        <v>0</v>
      </c>
      <c r="GE5" s="9">
        <v>0</v>
      </c>
      <c r="GF5" s="9">
        <v>0</v>
      </c>
      <c r="GG5" s="9">
        <v>0</v>
      </c>
      <c r="GH5" s="9">
        <v>0</v>
      </c>
      <c r="GI5" s="9">
        <v>0</v>
      </c>
      <c r="GJ5" s="9">
        <v>0</v>
      </c>
      <c r="GK5" s="9">
        <v>5082</v>
      </c>
      <c r="GL5" s="9">
        <v>11274</v>
      </c>
      <c r="GM5" s="9">
        <v>0</v>
      </c>
      <c r="GN5" s="9">
        <v>0</v>
      </c>
      <c r="GO5" s="9">
        <v>0</v>
      </c>
      <c r="GP5" s="9">
        <v>3812688</v>
      </c>
      <c r="GQ5" s="9">
        <v>3812688</v>
      </c>
      <c r="GR5" s="9">
        <v>0</v>
      </c>
      <c r="GS5" s="9">
        <v>0</v>
      </c>
      <c r="GT5" s="9">
        <v>0</v>
      </c>
      <c r="GU5" s="9">
        <v>0</v>
      </c>
      <c r="GV5" s="9">
        <v>0</v>
      </c>
      <c r="GW5" s="9">
        <v>0</v>
      </c>
      <c r="GX5" s="9">
        <v>0</v>
      </c>
      <c r="GY5" s="9">
        <v>0</v>
      </c>
      <c r="GZ5" s="9">
        <v>0</v>
      </c>
      <c r="HA5" s="9">
        <v>0</v>
      </c>
      <c r="HB5" s="9">
        <v>300501363</v>
      </c>
      <c r="HC5" s="9">
        <v>4.4742999999999998E-2</v>
      </c>
      <c r="HD5" s="10">
        <v>69521</v>
      </c>
      <c r="HE5" s="9">
        <v>0</v>
      </c>
      <c r="HF5" s="9">
        <v>0</v>
      </c>
      <c r="HG5" s="9">
        <v>0</v>
      </c>
      <c r="HH5" s="9">
        <v>0</v>
      </c>
      <c r="HI5" s="9">
        <v>0</v>
      </c>
      <c r="HJ5" s="9">
        <v>0</v>
      </c>
      <c r="HK5" s="9">
        <v>0</v>
      </c>
      <c r="HL5" s="9">
        <v>0</v>
      </c>
      <c r="HM5" s="9">
        <v>0</v>
      </c>
      <c r="HN5" s="9">
        <v>0</v>
      </c>
      <c r="HO5" s="9">
        <v>0</v>
      </c>
      <c r="HP5" s="9">
        <v>0</v>
      </c>
      <c r="HQ5" s="9">
        <v>0</v>
      </c>
      <c r="HR5" s="9">
        <v>0</v>
      </c>
      <c r="HS5" s="9">
        <v>0</v>
      </c>
      <c r="HT5" s="9">
        <v>0</v>
      </c>
      <c r="HU5" s="9">
        <v>0</v>
      </c>
      <c r="HV5" s="9">
        <v>0</v>
      </c>
      <c r="HW5" s="9">
        <v>0</v>
      </c>
      <c r="HX5" s="9">
        <v>0</v>
      </c>
      <c r="HY5" s="9">
        <v>0</v>
      </c>
      <c r="HZ5" s="9">
        <v>0</v>
      </c>
      <c r="IA5" s="9">
        <v>0</v>
      </c>
      <c r="IB5" s="9">
        <v>0</v>
      </c>
      <c r="IC5" s="9">
        <v>0</v>
      </c>
      <c r="ID5" s="9">
        <v>0</v>
      </c>
      <c r="IE5" s="9">
        <v>0</v>
      </c>
      <c r="IF5" s="9">
        <v>0</v>
      </c>
      <c r="IG5" s="9">
        <v>0</v>
      </c>
      <c r="IH5" s="9">
        <v>0</v>
      </c>
      <c r="II5" s="9">
        <v>0</v>
      </c>
      <c r="IJ5" s="9">
        <v>0</v>
      </c>
      <c r="IK5" s="9">
        <v>0</v>
      </c>
      <c r="IL5" s="9">
        <v>0</v>
      </c>
      <c r="IM5" s="9">
        <v>0</v>
      </c>
      <c r="IN5" s="9">
        <v>0</v>
      </c>
      <c r="IO5" s="9">
        <v>0</v>
      </c>
      <c r="IP5" s="9">
        <v>0</v>
      </c>
      <c r="IQ5" s="9">
        <v>0</v>
      </c>
      <c r="IR5" s="9">
        <v>0</v>
      </c>
      <c r="IS5" s="9">
        <v>0</v>
      </c>
      <c r="IT5" s="9">
        <v>0</v>
      </c>
      <c r="IU5" s="9">
        <v>0</v>
      </c>
      <c r="IV5" s="9">
        <v>0</v>
      </c>
      <c r="IW5" s="9">
        <v>0</v>
      </c>
      <c r="IX5" s="9">
        <v>0</v>
      </c>
      <c r="IY5" s="9">
        <v>0</v>
      </c>
      <c r="IZ5" s="9">
        <v>0</v>
      </c>
      <c r="JA5" s="9">
        <v>0</v>
      </c>
      <c r="JB5" s="9">
        <v>0</v>
      </c>
      <c r="JC5" s="9">
        <v>0</v>
      </c>
      <c r="JD5" s="9">
        <v>0</v>
      </c>
      <c r="JE5" s="9">
        <v>0</v>
      </c>
      <c r="JF5" s="9">
        <v>0</v>
      </c>
      <c r="JG5" s="9">
        <v>0</v>
      </c>
      <c r="JH5" s="9">
        <v>0</v>
      </c>
      <c r="JI5" s="9">
        <v>0</v>
      </c>
      <c r="JJ5" s="9">
        <v>0</v>
      </c>
      <c r="JK5" s="9">
        <v>0</v>
      </c>
      <c r="JL5" s="9">
        <v>0</v>
      </c>
      <c r="JM5" s="9">
        <v>0</v>
      </c>
      <c r="JN5" s="9">
        <v>36832</v>
      </c>
      <c r="JO5" s="9">
        <v>0</v>
      </c>
      <c r="JP5" s="9">
        <v>0</v>
      </c>
      <c r="JQ5" s="9">
        <v>0</v>
      </c>
      <c r="JR5" s="9">
        <v>0</v>
      </c>
      <c r="JS5" s="9">
        <v>0</v>
      </c>
      <c r="JT5" s="9">
        <v>0</v>
      </c>
      <c r="JU5" s="9">
        <v>0</v>
      </c>
      <c r="JV5" s="9">
        <v>0</v>
      </c>
      <c r="JW5" s="9">
        <v>0</v>
      </c>
      <c r="JX5" s="9">
        <v>0</v>
      </c>
      <c r="JY5" s="9">
        <v>0</v>
      </c>
      <c r="JZ5" s="9">
        <v>0</v>
      </c>
      <c r="KA5" s="9">
        <v>0</v>
      </c>
      <c r="KB5" s="9">
        <v>0</v>
      </c>
      <c r="KC5" s="9">
        <v>0</v>
      </c>
      <c r="KD5" s="9">
        <v>0</v>
      </c>
      <c r="KE5" s="9">
        <v>0</v>
      </c>
      <c r="KF5" s="9">
        <v>0</v>
      </c>
      <c r="KG5" s="9">
        <v>0</v>
      </c>
      <c r="KH5" s="9">
        <v>0</v>
      </c>
      <c r="KI5" s="9">
        <v>0</v>
      </c>
    </row>
    <row r="6" spans="1:295" ht="13" x14ac:dyDescent="0.3">
      <c r="A6" s="9">
        <v>14801</v>
      </c>
      <c r="B6" s="9">
        <v>36871</v>
      </c>
      <c r="C6" s="9">
        <v>35</v>
      </c>
      <c r="D6" s="9">
        <v>2023</v>
      </c>
      <c r="E6" s="9">
        <v>5392</v>
      </c>
      <c r="F6" s="9">
        <v>0</v>
      </c>
      <c r="G6" s="9">
        <v>0</v>
      </c>
      <c r="H6" s="9">
        <v>1309.4950000000001</v>
      </c>
      <c r="I6" s="9">
        <v>1309.4950000000001</v>
      </c>
      <c r="J6" s="9">
        <v>1427.1680000000001</v>
      </c>
      <c r="K6" s="9">
        <v>0</v>
      </c>
      <c r="L6" s="9">
        <v>6547</v>
      </c>
      <c r="M6" s="9">
        <v>0</v>
      </c>
      <c r="N6" s="9">
        <v>0</v>
      </c>
      <c r="O6" s="9">
        <v>0</v>
      </c>
      <c r="P6" s="9">
        <v>1537.7640000000001</v>
      </c>
      <c r="Q6" s="9">
        <v>0</v>
      </c>
      <c r="R6" s="10">
        <v>748771</v>
      </c>
      <c r="S6" s="9">
        <v>486.92200000000003</v>
      </c>
      <c r="T6" s="9">
        <v>0</v>
      </c>
      <c r="U6" s="10">
        <v>748771</v>
      </c>
      <c r="V6" s="10">
        <v>126.001</v>
      </c>
      <c r="W6" s="10">
        <v>82493</v>
      </c>
      <c r="X6" s="10">
        <v>82493</v>
      </c>
      <c r="Y6" s="9">
        <v>0</v>
      </c>
      <c r="Z6" s="9">
        <v>0</v>
      </c>
      <c r="AA6" s="9">
        <v>1</v>
      </c>
      <c r="AB6" s="9">
        <v>1</v>
      </c>
      <c r="AC6" s="9">
        <v>0</v>
      </c>
      <c r="AD6" s="9" t="s">
        <v>314</v>
      </c>
      <c r="AE6" s="9">
        <v>0</v>
      </c>
      <c r="AF6" s="9">
        <v>0</v>
      </c>
      <c r="AG6" s="9">
        <v>0</v>
      </c>
      <c r="AH6" s="9">
        <v>0</v>
      </c>
      <c r="AI6" s="9">
        <v>0</v>
      </c>
      <c r="AJ6" s="9">
        <v>5104</v>
      </c>
      <c r="AK6" s="9" t="s">
        <v>651</v>
      </c>
      <c r="AL6" s="9" t="s">
        <v>35</v>
      </c>
      <c r="AM6" s="9">
        <v>0</v>
      </c>
      <c r="AN6" s="9">
        <v>0</v>
      </c>
      <c r="AO6" s="9">
        <v>0</v>
      </c>
      <c r="AP6" s="9">
        <v>0</v>
      </c>
      <c r="AQ6" s="9">
        <v>0</v>
      </c>
      <c r="AR6" s="9">
        <v>0</v>
      </c>
      <c r="AS6" s="9">
        <v>0</v>
      </c>
      <c r="AT6" s="9">
        <v>0</v>
      </c>
      <c r="AU6" s="9">
        <v>0</v>
      </c>
      <c r="AV6" s="9">
        <v>-12884</v>
      </c>
      <c r="AW6" s="9">
        <v>15324985</v>
      </c>
      <c r="AX6" s="9">
        <v>14566296</v>
      </c>
      <c r="AY6" s="9">
        <v>14305902</v>
      </c>
      <c r="AZ6" s="9">
        <v>1255869</v>
      </c>
      <c r="BA6" s="10">
        <v>0</v>
      </c>
      <c r="BB6" s="9">
        <v>0</v>
      </c>
      <c r="BC6" s="9">
        <v>0</v>
      </c>
      <c r="BD6" s="9">
        <v>0</v>
      </c>
      <c r="BE6" s="9">
        <v>0</v>
      </c>
      <c r="BF6" s="9">
        <v>12603891</v>
      </c>
      <c r="BG6" s="9">
        <v>0</v>
      </c>
      <c r="BH6" s="10">
        <v>1237.8330000000001</v>
      </c>
      <c r="BI6" s="10">
        <v>340404</v>
      </c>
      <c r="BJ6" s="9">
        <v>12</v>
      </c>
      <c r="BK6" s="9">
        <v>0</v>
      </c>
      <c r="BL6" s="9">
        <v>0</v>
      </c>
      <c r="BM6" s="9">
        <v>0</v>
      </c>
      <c r="BN6" s="9">
        <v>0</v>
      </c>
      <c r="BO6" s="9">
        <v>0</v>
      </c>
      <c r="BP6" s="9">
        <v>0</v>
      </c>
      <c r="BQ6" s="9">
        <v>5392</v>
      </c>
      <c r="BR6" s="9">
        <v>1</v>
      </c>
      <c r="BS6" s="9">
        <v>0</v>
      </c>
      <c r="BT6" s="9">
        <v>0</v>
      </c>
      <c r="BU6" s="9">
        <v>0</v>
      </c>
      <c r="BV6" s="9">
        <v>0</v>
      </c>
      <c r="BW6" s="9">
        <v>0</v>
      </c>
      <c r="BX6" s="9">
        <v>0</v>
      </c>
      <c r="BY6" s="9">
        <v>0</v>
      </c>
      <c r="BZ6" s="9">
        <v>0</v>
      </c>
      <c r="CA6" s="9">
        <v>166.69400000000002</v>
      </c>
      <c r="CB6" s="9">
        <v>166694</v>
      </c>
      <c r="CC6" s="9">
        <v>0</v>
      </c>
      <c r="CD6" s="9">
        <v>0</v>
      </c>
      <c r="CE6" s="9">
        <v>0</v>
      </c>
      <c r="CF6" s="9">
        <v>0</v>
      </c>
      <c r="CG6" s="9">
        <v>0</v>
      </c>
      <c r="CH6" s="10">
        <v>251591</v>
      </c>
      <c r="CI6" s="9">
        <v>0</v>
      </c>
      <c r="CJ6" s="9">
        <v>4</v>
      </c>
      <c r="CK6" s="9">
        <v>0</v>
      </c>
      <c r="CL6" s="9">
        <v>0</v>
      </c>
      <c r="CM6" s="9">
        <v>0</v>
      </c>
      <c r="CN6" s="9">
        <v>0</v>
      </c>
      <c r="CO6" s="9">
        <v>0</v>
      </c>
      <c r="CP6" s="9">
        <v>7.8380000000000001</v>
      </c>
      <c r="CQ6" s="9">
        <v>0</v>
      </c>
      <c r="CR6" s="9">
        <v>1504.597</v>
      </c>
      <c r="CS6" s="9">
        <v>0</v>
      </c>
      <c r="CT6" s="9">
        <v>0</v>
      </c>
      <c r="CU6" s="9">
        <v>0</v>
      </c>
      <c r="CV6" s="9">
        <v>0</v>
      </c>
      <c r="CW6" s="9">
        <v>0</v>
      </c>
      <c r="CX6" s="9">
        <v>0</v>
      </c>
      <c r="CY6" s="9">
        <v>0</v>
      </c>
      <c r="CZ6" s="9">
        <v>0</v>
      </c>
      <c r="DA6" s="9">
        <v>1</v>
      </c>
      <c r="DB6" s="9">
        <v>8573264</v>
      </c>
      <c r="DC6" s="9">
        <v>0</v>
      </c>
      <c r="DD6" s="9">
        <v>0</v>
      </c>
      <c r="DE6" s="9">
        <v>1881608</v>
      </c>
      <c r="DF6" s="9">
        <v>2005278</v>
      </c>
      <c r="DG6" s="9">
        <v>1437</v>
      </c>
      <c r="DH6" s="9">
        <v>0</v>
      </c>
      <c r="DI6" s="9">
        <v>123670</v>
      </c>
      <c r="DJ6" s="9">
        <v>0</v>
      </c>
      <c r="DK6" s="9">
        <v>5392</v>
      </c>
      <c r="DL6" s="9">
        <v>0</v>
      </c>
      <c r="DM6" s="9">
        <v>1377237</v>
      </c>
      <c r="DN6" s="9">
        <v>0</v>
      </c>
      <c r="DO6" s="9">
        <v>0</v>
      </c>
      <c r="DP6" s="9">
        <v>0</v>
      </c>
      <c r="DQ6" s="9">
        <v>0</v>
      </c>
      <c r="DR6" s="9">
        <v>0</v>
      </c>
      <c r="DS6" s="9">
        <v>0</v>
      </c>
      <c r="DT6" s="9">
        <v>0</v>
      </c>
      <c r="DU6" s="9">
        <v>0</v>
      </c>
      <c r="DV6" s="9">
        <v>0</v>
      </c>
      <c r="DW6" s="9">
        <v>0</v>
      </c>
      <c r="DX6" s="9">
        <v>0</v>
      </c>
      <c r="DY6" s="9">
        <v>0</v>
      </c>
      <c r="DZ6" s="9">
        <v>0</v>
      </c>
      <c r="EA6" s="9">
        <v>0</v>
      </c>
      <c r="EB6" s="9">
        <v>0</v>
      </c>
      <c r="EC6" s="9">
        <v>151.22499999999999</v>
      </c>
      <c r="ED6" s="9">
        <v>1089077</v>
      </c>
      <c r="EE6" s="9">
        <v>0</v>
      </c>
      <c r="EF6" s="9">
        <v>0</v>
      </c>
      <c r="EG6" s="9">
        <v>0</v>
      </c>
      <c r="EH6" s="9">
        <v>288160</v>
      </c>
      <c r="EI6" s="9">
        <v>0</v>
      </c>
      <c r="EJ6" s="9">
        <v>0</v>
      </c>
      <c r="EK6" s="9">
        <v>14.268000000000001</v>
      </c>
      <c r="EL6" s="9">
        <v>0</v>
      </c>
      <c r="EM6" s="9">
        <v>0</v>
      </c>
      <c r="EN6" s="9">
        <v>0.24200000000000002</v>
      </c>
      <c r="EO6" s="9">
        <v>0</v>
      </c>
      <c r="EP6" s="9">
        <v>0</v>
      </c>
      <c r="EQ6" s="9">
        <v>14.51</v>
      </c>
      <c r="ER6" s="9">
        <v>0</v>
      </c>
      <c r="ES6" s="9">
        <v>44.014000000000003</v>
      </c>
      <c r="ET6" s="10">
        <v>0</v>
      </c>
      <c r="EU6" s="9">
        <v>1255869</v>
      </c>
      <c r="EV6" s="9">
        <v>0</v>
      </c>
      <c r="EW6" s="9">
        <v>0</v>
      </c>
      <c r="EX6" s="9">
        <v>0</v>
      </c>
      <c r="EY6" s="9">
        <v>0</v>
      </c>
      <c r="EZ6" s="9">
        <v>12201302</v>
      </c>
      <c r="FA6" s="9">
        <v>0</v>
      </c>
      <c r="FB6" s="10">
        <v>13457171</v>
      </c>
      <c r="FC6" s="9">
        <v>0.97326799999999991</v>
      </c>
      <c r="FD6" s="9">
        <v>0</v>
      </c>
      <c r="FE6" s="9">
        <v>1949788</v>
      </c>
      <c r="FF6" s="9">
        <v>415206</v>
      </c>
      <c r="FG6" s="9">
        <v>5.8088000000000001E-2</v>
      </c>
      <c r="FH6" s="9">
        <v>5.2622999999999996E-2</v>
      </c>
      <c r="FI6" s="9">
        <v>0</v>
      </c>
      <c r="FJ6" s="9">
        <v>0</v>
      </c>
      <c r="FK6" s="9">
        <v>2469.549</v>
      </c>
      <c r="FL6" s="9">
        <v>16073756</v>
      </c>
      <c r="FM6" s="9">
        <v>0</v>
      </c>
      <c r="FN6" s="9">
        <v>0</v>
      </c>
      <c r="FO6" s="9">
        <v>0</v>
      </c>
      <c r="FP6" s="9">
        <v>0</v>
      </c>
      <c r="FQ6" s="9">
        <v>0</v>
      </c>
      <c r="FR6" s="9">
        <v>0</v>
      </c>
      <c r="FS6" s="9">
        <v>0</v>
      </c>
      <c r="FT6" s="9">
        <v>0</v>
      </c>
      <c r="FU6" s="9">
        <v>0</v>
      </c>
      <c r="FV6" s="9">
        <v>0</v>
      </c>
      <c r="FW6" s="9">
        <v>0</v>
      </c>
      <c r="FX6" s="9">
        <v>0</v>
      </c>
      <c r="FY6" s="9">
        <v>0</v>
      </c>
      <c r="FZ6" s="9">
        <v>0</v>
      </c>
      <c r="GA6" s="9">
        <v>0</v>
      </c>
      <c r="GB6" s="10">
        <v>911801</v>
      </c>
      <c r="GC6" s="10">
        <v>911801</v>
      </c>
      <c r="GD6" s="10">
        <v>103.16300000000001</v>
      </c>
      <c r="GE6" s="9">
        <v>0</v>
      </c>
      <c r="GF6" s="9">
        <v>0</v>
      </c>
      <c r="GG6" s="9">
        <v>0</v>
      </c>
      <c r="GH6" s="9">
        <v>0</v>
      </c>
      <c r="GI6" s="9">
        <v>0</v>
      </c>
      <c r="GJ6" s="9">
        <v>0</v>
      </c>
      <c r="GK6" s="9">
        <v>5111</v>
      </c>
      <c r="GL6" s="9">
        <v>5764</v>
      </c>
      <c r="GM6" s="9">
        <v>0</v>
      </c>
      <c r="GN6" s="9">
        <v>0</v>
      </c>
      <c r="GO6" s="9">
        <v>0</v>
      </c>
      <c r="GP6" s="9">
        <v>15822165</v>
      </c>
      <c r="GQ6" s="9">
        <v>15822165</v>
      </c>
      <c r="GR6" s="9">
        <v>0</v>
      </c>
      <c r="GS6" s="9">
        <v>0</v>
      </c>
      <c r="GT6" s="9">
        <v>0</v>
      </c>
      <c r="GU6" s="9">
        <v>0</v>
      </c>
      <c r="GV6" s="9">
        <v>0</v>
      </c>
      <c r="GW6" s="9">
        <v>0</v>
      </c>
      <c r="GX6" s="9">
        <v>0</v>
      </c>
      <c r="GY6" s="9">
        <v>0</v>
      </c>
      <c r="GZ6" s="9">
        <v>0</v>
      </c>
      <c r="HA6" s="9">
        <v>0</v>
      </c>
      <c r="HB6" s="9">
        <v>300501363</v>
      </c>
      <c r="HC6" s="9">
        <v>4.4742999999999998E-2</v>
      </c>
      <c r="HD6" s="10">
        <v>251591</v>
      </c>
      <c r="HE6" s="9">
        <v>0</v>
      </c>
      <c r="HF6" s="9">
        <v>0</v>
      </c>
      <c r="HG6" s="9">
        <v>0</v>
      </c>
      <c r="HH6" s="9">
        <v>0</v>
      </c>
      <c r="HI6" s="9">
        <v>0</v>
      </c>
      <c r="HJ6" s="9">
        <v>0</v>
      </c>
      <c r="HK6" s="9">
        <v>0</v>
      </c>
      <c r="HL6" s="9">
        <v>0</v>
      </c>
      <c r="HM6" s="9">
        <v>0</v>
      </c>
      <c r="HN6" s="9">
        <v>0</v>
      </c>
      <c r="HO6" s="9">
        <v>0</v>
      </c>
      <c r="HP6" s="9">
        <v>0</v>
      </c>
      <c r="HQ6" s="9">
        <v>0</v>
      </c>
      <c r="HR6" s="9">
        <v>0</v>
      </c>
      <c r="HS6" s="9">
        <v>0</v>
      </c>
      <c r="HT6" s="9">
        <v>0</v>
      </c>
      <c r="HU6" s="9">
        <v>0</v>
      </c>
      <c r="HV6" s="9">
        <v>0</v>
      </c>
      <c r="HW6" s="9">
        <v>0</v>
      </c>
      <c r="HX6" s="9">
        <v>0</v>
      </c>
      <c r="HY6" s="9">
        <v>0</v>
      </c>
      <c r="HZ6" s="9">
        <v>0</v>
      </c>
      <c r="IA6" s="9">
        <v>0</v>
      </c>
      <c r="IB6" s="9">
        <v>0</v>
      </c>
      <c r="IC6" s="9">
        <v>0</v>
      </c>
      <c r="ID6" s="9">
        <v>0</v>
      </c>
      <c r="IE6" s="9">
        <v>0</v>
      </c>
      <c r="IF6" s="9">
        <v>0</v>
      </c>
      <c r="IG6" s="9">
        <v>0</v>
      </c>
      <c r="IH6" s="9">
        <v>0</v>
      </c>
      <c r="II6" s="9">
        <v>0</v>
      </c>
      <c r="IJ6" s="9">
        <v>0</v>
      </c>
      <c r="IK6" s="9">
        <v>0</v>
      </c>
      <c r="IL6" s="9">
        <v>0</v>
      </c>
      <c r="IM6" s="9">
        <v>0</v>
      </c>
      <c r="IN6" s="9">
        <v>0</v>
      </c>
      <c r="IO6" s="9">
        <v>0</v>
      </c>
      <c r="IP6" s="9">
        <v>0</v>
      </c>
      <c r="IQ6" s="9">
        <v>0</v>
      </c>
      <c r="IR6" s="9">
        <v>0</v>
      </c>
      <c r="IS6" s="9">
        <v>0</v>
      </c>
      <c r="IT6" s="9">
        <v>0</v>
      </c>
      <c r="IU6" s="9">
        <v>0</v>
      </c>
      <c r="IV6" s="9">
        <v>0</v>
      </c>
      <c r="IW6" s="9">
        <v>0</v>
      </c>
      <c r="IX6" s="9">
        <v>0</v>
      </c>
      <c r="IY6" s="9">
        <v>0</v>
      </c>
      <c r="IZ6" s="9">
        <v>0</v>
      </c>
      <c r="JA6" s="9">
        <v>0</v>
      </c>
      <c r="JB6" s="9">
        <v>0</v>
      </c>
      <c r="JC6" s="9">
        <v>0</v>
      </c>
      <c r="JD6" s="9">
        <v>0</v>
      </c>
      <c r="JE6" s="9">
        <v>0</v>
      </c>
      <c r="JF6" s="9">
        <v>0</v>
      </c>
      <c r="JG6" s="9">
        <v>0</v>
      </c>
      <c r="JH6" s="9">
        <v>0</v>
      </c>
      <c r="JI6" s="9">
        <v>0</v>
      </c>
      <c r="JJ6" s="9">
        <v>0</v>
      </c>
      <c r="JK6" s="9">
        <v>0</v>
      </c>
      <c r="JL6" s="9">
        <v>0</v>
      </c>
      <c r="JM6" s="9">
        <v>0</v>
      </c>
      <c r="JN6" s="9">
        <v>36832</v>
      </c>
      <c r="JO6" s="9">
        <v>0</v>
      </c>
      <c r="JP6" s="9">
        <v>0</v>
      </c>
      <c r="JQ6" s="9">
        <v>0</v>
      </c>
      <c r="JR6" s="9">
        <v>0</v>
      </c>
      <c r="JS6" s="9">
        <v>0</v>
      </c>
      <c r="JT6" s="9">
        <v>0</v>
      </c>
      <c r="JU6" s="9">
        <v>0</v>
      </c>
      <c r="JV6" s="9">
        <v>0</v>
      </c>
      <c r="JW6" s="9">
        <v>0</v>
      </c>
      <c r="JX6" s="9">
        <v>0</v>
      </c>
      <c r="JY6" s="9">
        <v>0</v>
      </c>
      <c r="JZ6" s="9">
        <v>0</v>
      </c>
      <c r="KA6" s="9">
        <v>0</v>
      </c>
      <c r="KB6" s="9">
        <v>0</v>
      </c>
      <c r="KC6" s="9">
        <v>0</v>
      </c>
      <c r="KD6" s="9">
        <v>0</v>
      </c>
      <c r="KE6" s="9">
        <v>0</v>
      </c>
      <c r="KF6" s="9">
        <v>0</v>
      </c>
      <c r="KG6" s="9">
        <v>0</v>
      </c>
      <c r="KH6" s="9">
        <v>0</v>
      </c>
      <c r="KI6" s="9">
        <v>0</v>
      </c>
    </row>
    <row r="7" spans="1:295" x14ac:dyDescent="0.25">
      <c r="A7" s="9">
        <v>14803</v>
      </c>
      <c r="B7" s="9">
        <v>36871</v>
      </c>
      <c r="C7" s="9">
        <v>35</v>
      </c>
      <c r="D7" s="9">
        <v>2023</v>
      </c>
      <c r="E7" s="9">
        <v>5392</v>
      </c>
      <c r="F7" s="9">
        <v>0</v>
      </c>
      <c r="G7" s="9">
        <v>0</v>
      </c>
      <c r="H7" s="9">
        <v>684.16100000000006</v>
      </c>
      <c r="I7" s="9">
        <v>684.16100000000006</v>
      </c>
      <c r="J7" s="9">
        <v>752.274</v>
      </c>
      <c r="K7" s="9">
        <v>0</v>
      </c>
      <c r="L7" s="9">
        <v>6547</v>
      </c>
      <c r="M7" s="9">
        <v>0</v>
      </c>
      <c r="N7" s="9">
        <v>0</v>
      </c>
      <c r="O7" s="9">
        <v>0</v>
      </c>
      <c r="P7" s="9">
        <v>706.88600000000008</v>
      </c>
      <c r="Q7" s="9">
        <v>0</v>
      </c>
      <c r="R7" s="9">
        <v>344198</v>
      </c>
      <c r="S7" s="9">
        <v>486.92200000000003</v>
      </c>
      <c r="T7" s="9">
        <v>0</v>
      </c>
      <c r="U7" s="9">
        <v>344198</v>
      </c>
      <c r="V7" s="9">
        <v>32.972999999999999</v>
      </c>
      <c r="W7" s="9">
        <v>21587</v>
      </c>
      <c r="X7" s="9">
        <v>21587</v>
      </c>
      <c r="Y7" s="9">
        <v>0</v>
      </c>
      <c r="Z7" s="9">
        <v>0</v>
      </c>
      <c r="AA7" s="9">
        <v>1</v>
      </c>
      <c r="AB7" s="9">
        <v>1</v>
      </c>
      <c r="AC7" s="9">
        <v>0</v>
      </c>
      <c r="AD7" s="9" t="s">
        <v>314</v>
      </c>
      <c r="AE7" s="9">
        <v>0</v>
      </c>
      <c r="AF7" s="9">
        <v>0</v>
      </c>
      <c r="AG7" s="9">
        <v>0</v>
      </c>
      <c r="AH7" s="9">
        <v>0</v>
      </c>
      <c r="AI7" s="9">
        <v>0</v>
      </c>
      <c r="AJ7" s="9">
        <v>5104</v>
      </c>
      <c r="AK7" s="9" t="s">
        <v>651</v>
      </c>
      <c r="AL7" s="9" t="s">
        <v>315</v>
      </c>
      <c r="AM7" s="9">
        <v>0</v>
      </c>
      <c r="AN7" s="9">
        <v>0</v>
      </c>
      <c r="AO7" s="9">
        <v>0</v>
      </c>
      <c r="AP7" s="9">
        <v>0</v>
      </c>
      <c r="AQ7" s="9">
        <v>0</v>
      </c>
      <c r="AR7" s="9">
        <v>0</v>
      </c>
      <c r="AS7" s="9">
        <v>0</v>
      </c>
      <c r="AT7" s="9">
        <v>0</v>
      </c>
      <c r="AU7" s="9">
        <v>0</v>
      </c>
      <c r="AV7" s="9">
        <v>-103669</v>
      </c>
      <c r="AW7" s="9">
        <v>7358614</v>
      </c>
      <c r="AX7" s="9">
        <v>7169313</v>
      </c>
      <c r="AY7" s="9">
        <v>7485889</v>
      </c>
      <c r="AZ7" s="9">
        <v>383383</v>
      </c>
      <c r="BA7" s="9">
        <v>34.5</v>
      </c>
      <c r="BB7" s="9">
        <v>29551</v>
      </c>
      <c r="BC7" s="9">
        <v>29551</v>
      </c>
      <c r="BD7" s="9">
        <v>37.614000000000004</v>
      </c>
      <c r="BE7" s="9">
        <v>0</v>
      </c>
      <c r="BF7" s="9">
        <v>6125247</v>
      </c>
      <c r="BG7" s="9">
        <v>0</v>
      </c>
      <c r="BH7" s="9">
        <v>142.49200000000002</v>
      </c>
      <c r="BI7" s="9">
        <v>39185</v>
      </c>
      <c r="BJ7" s="9">
        <v>12</v>
      </c>
      <c r="BK7" s="9">
        <v>0</v>
      </c>
      <c r="BL7" s="9">
        <v>0</v>
      </c>
      <c r="BM7" s="9">
        <v>0</v>
      </c>
      <c r="BN7" s="9">
        <v>0</v>
      </c>
      <c r="BO7" s="9">
        <v>0</v>
      </c>
      <c r="BP7" s="9">
        <v>0</v>
      </c>
      <c r="BQ7" s="9">
        <v>5392</v>
      </c>
      <c r="BR7" s="9">
        <v>1</v>
      </c>
      <c r="BS7" s="9">
        <v>0</v>
      </c>
      <c r="BT7" s="9">
        <v>0</v>
      </c>
      <c r="BU7" s="9">
        <v>0</v>
      </c>
      <c r="BV7" s="9">
        <v>0</v>
      </c>
      <c r="BW7" s="9">
        <v>0</v>
      </c>
      <c r="BX7" s="9">
        <v>0</v>
      </c>
      <c r="BY7" s="9">
        <v>0</v>
      </c>
      <c r="BZ7" s="9">
        <v>0</v>
      </c>
      <c r="CA7" s="9">
        <v>0</v>
      </c>
      <c r="CB7" s="9">
        <v>0</v>
      </c>
      <c r="CC7" s="9">
        <v>0</v>
      </c>
      <c r="CD7" s="9">
        <v>0</v>
      </c>
      <c r="CE7" s="9">
        <v>0</v>
      </c>
      <c r="CF7" s="9">
        <v>0</v>
      </c>
      <c r="CG7" s="9">
        <v>0</v>
      </c>
      <c r="CH7" s="9">
        <v>150116</v>
      </c>
      <c r="CI7" s="9">
        <v>0</v>
      </c>
      <c r="CJ7" s="9">
        <v>4</v>
      </c>
      <c r="CK7" s="9">
        <v>0</v>
      </c>
      <c r="CL7" s="9">
        <v>0</v>
      </c>
      <c r="CM7" s="9">
        <v>0</v>
      </c>
      <c r="CN7" s="9">
        <v>0</v>
      </c>
      <c r="CO7" s="9">
        <v>0</v>
      </c>
      <c r="CP7" s="9">
        <v>0</v>
      </c>
      <c r="CQ7" s="9">
        <v>1</v>
      </c>
      <c r="CR7" s="9">
        <v>689.52300000000002</v>
      </c>
      <c r="CS7" s="9">
        <v>0</v>
      </c>
      <c r="CT7" s="9">
        <v>0</v>
      </c>
      <c r="CU7" s="9">
        <v>0</v>
      </c>
      <c r="CV7" s="9">
        <v>0</v>
      </c>
      <c r="CW7" s="9">
        <v>0</v>
      </c>
      <c r="CX7" s="9">
        <v>0</v>
      </c>
      <c r="CY7" s="9">
        <v>0</v>
      </c>
      <c r="CZ7" s="9">
        <v>0</v>
      </c>
      <c r="DA7" s="9">
        <v>1</v>
      </c>
      <c r="DB7" s="9">
        <v>4479202</v>
      </c>
      <c r="DC7" s="9">
        <v>0</v>
      </c>
      <c r="DD7" s="9">
        <v>0</v>
      </c>
      <c r="DE7" s="9">
        <v>646844</v>
      </c>
      <c r="DF7" s="9">
        <v>646844</v>
      </c>
      <c r="DG7" s="9">
        <v>494</v>
      </c>
      <c r="DH7" s="9">
        <v>0</v>
      </c>
      <c r="DI7" s="9">
        <v>0</v>
      </c>
      <c r="DJ7" s="9">
        <v>0</v>
      </c>
      <c r="DK7" s="9">
        <v>5392</v>
      </c>
      <c r="DL7" s="9">
        <v>0</v>
      </c>
      <c r="DM7" s="9">
        <v>864264</v>
      </c>
      <c r="DN7" s="9">
        <v>0</v>
      </c>
      <c r="DO7" s="9">
        <v>1267</v>
      </c>
      <c r="DP7" s="9">
        <v>0</v>
      </c>
      <c r="DQ7" s="9">
        <v>0</v>
      </c>
      <c r="DR7" s="9">
        <v>0</v>
      </c>
      <c r="DS7" s="9">
        <v>0</v>
      </c>
      <c r="DT7" s="9">
        <v>8.6000000000000007E-2</v>
      </c>
      <c r="DU7" s="9">
        <v>0</v>
      </c>
      <c r="DV7" s="9">
        <v>0</v>
      </c>
      <c r="DW7" s="9">
        <v>0</v>
      </c>
      <c r="DX7" s="9">
        <v>0</v>
      </c>
      <c r="DY7" s="9">
        <v>0</v>
      </c>
      <c r="DZ7" s="9">
        <v>0.25800000000000001</v>
      </c>
      <c r="EA7" s="9">
        <v>7.1000000000000008E-2</v>
      </c>
      <c r="EB7" s="9">
        <v>0</v>
      </c>
      <c r="EC7" s="9">
        <v>8.5370000000000008</v>
      </c>
      <c r="ED7" s="9">
        <v>61481</v>
      </c>
      <c r="EE7" s="9">
        <v>0</v>
      </c>
      <c r="EF7" s="9">
        <v>0</v>
      </c>
      <c r="EG7" s="9">
        <v>0</v>
      </c>
      <c r="EH7" s="9">
        <v>801516</v>
      </c>
      <c r="EI7" s="9">
        <v>0</v>
      </c>
      <c r="EJ7" s="9">
        <v>0</v>
      </c>
      <c r="EK7" s="9">
        <v>37.78</v>
      </c>
      <c r="EL7" s="9">
        <v>0</v>
      </c>
      <c r="EM7" s="9">
        <v>0</v>
      </c>
      <c r="EN7" s="9">
        <v>1.746</v>
      </c>
      <c r="EO7" s="9">
        <v>0</v>
      </c>
      <c r="EP7" s="9">
        <v>0</v>
      </c>
      <c r="EQ7" s="9">
        <v>39.597000000000001</v>
      </c>
      <c r="ER7" s="9">
        <v>0</v>
      </c>
      <c r="ES7" s="9">
        <v>122.42500000000001</v>
      </c>
      <c r="ET7" s="9">
        <v>17500</v>
      </c>
      <c r="EU7" s="9">
        <v>383383</v>
      </c>
      <c r="EV7" s="9">
        <v>0</v>
      </c>
      <c r="EW7" s="9">
        <v>0</v>
      </c>
      <c r="EX7" s="9">
        <v>0</v>
      </c>
      <c r="EY7" s="9">
        <v>0</v>
      </c>
      <c r="EZ7" s="9">
        <v>6019972</v>
      </c>
      <c r="FA7" s="9">
        <v>0</v>
      </c>
      <c r="FB7" s="9">
        <v>6403355</v>
      </c>
      <c r="FC7" s="9">
        <v>0.97326799999999991</v>
      </c>
      <c r="FD7" s="9">
        <v>0</v>
      </c>
      <c r="FE7" s="9">
        <v>947559</v>
      </c>
      <c r="FF7" s="9">
        <v>201782</v>
      </c>
      <c r="FG7" s="9">
        <v>5.8088000000000001E-2</v>
      </c>
      <c r="FH7" s="9">
        <v>5.2622999999999996E-2</v>
      </c>
      <c r="FI7" s="9">
        <v>0</v>
      </c>
      <c r="FJ7" s="9">
        <v>0</v>
      </c>
      <c r="FK7" s="9">
        <v>1200.153</v>
      </c>
      <c r="FL7" s="9">
        <v>7702812</v>
      </c>
      <c r="FM7" s="9">
        <v>0</v>
      </c>
      <c r="FN7" s="9">
        <v>0</v>
      </c>
      <c r="FO7" s="9">
        <v>70685</v>
      </c>
      <c r="FP7" s="9">
        <v>0</v>
      </c>
      <c r="FQ7" s="9">
        <v>70685</v>
      </c>
      <c r="FR7" s="9">
        <v>70685</v>
      </c>
      <c r="FS7" s="9">
        <v>0</v>
      </c>
      <c r="FT7" s="9">
        <v>0</v>
      </c>
      <c r="FU7" s="9">
        <v>0</v>
      </c>
      <c r="FV7" s="9">
        <v>0</v>
      </c>
      <c r="FW7" s="9">
        <v>0</v>
      </c>
      <c r="FX7" s="9">
        <v>0</v>
      </c>
      <c r="FY7" s="9">
        <v>0</v>
      </c>
      <c r="FZ7" s="9">
        <v>0</v>
      </c>
      <c r="GA7" s="9">
        <v>0</v>
      </c>
      <c r="GB7" s="9">
        <v>252037</v>
      </c>
      <c r="GC7" s="9">
        <v>252037</v>
      </c>
      <c r="GD7" s="9">
        <v>28.516000000000002</v>
      </c>
      <c r="GE7" s="9">
        <v>0</v>
      </c>
      <c r="GF7" s="9">
        <v>0</v>
      </c>
      <c r="GG7" s="9">
        <v>0</v>
      </c>
      <c r="GH7" s="9">
        <v>0</v>
      </c>
      <c r="GI7" s="9">
        <v>0</v>
      </c>
      <c r="GJ7" s="9">
        <v>0</v>
      </c>
      <c r="GK7" s="9">
        <v>5042</v>
      </c>
      <c r="GL7" s="9">
        <v>5162</v>
      </c>
      <c r="GM7" s="9">
        <v>0</v>
      </c>
      <c r="GN7" s="9">
        <v>0</v>
      </c>
      <c r="GO7" s="9">
        <v>0</v>
      </c>
      <c r="GP7" s="9">
        <v>7552696</v>
      </c>
      <c r="GQ7" s="9">
        <v>7552696</v>
      </c>
      <c r="GR7" s="9">
        <v>0</v>
      </c>
      <c r="GS7" s="9">
        <v>0</v>
      </c>
      <c r="GT7" s="9">
        <v>0</v>
      </c>
      <c r="GU7" s="9">
        <v>0</v>
      </c>
      <c r="GV7" s="9">
        <v>0</v>
      </c>
      <c r="GW7" s="9">
        <v>0</v>
      </c>
      <c r="GX7" s="9">
        <v>0</v>
      </c>
      <c r="GY7" s="9">
        <v>0</v>
      </c>
      <c r="GZ7" s="9">
        <v>0</v>
      </c>
      <c r="HA7" s="9">
        <v>0</v>
      </c>
      <c r="HB7" s="9">
        <v>300501363</v>
      </c>
      <c r="HC7" s="9">
        <v>4.4742999999999998E-2</v>
      </c>
      <c r="HD7" s="9">
        <v>132616</v>
      </c>
      <c r="HE7" s="9">
        <v>0</v>
      </c>
      <c r="HF7" s="9">
        <v>0</v>
      </c>
      <c r="HG7" s="9">
        <v>0</v>
      </c>
      <c r="HH7" s="9">
        <v>0</v>
      </c>
      <c r="HI7" s="9">
        <v>0</v>
      </c>
      <c r="HJ7" s="9">
        <v>0</v>
      </c>
      <c r="HK7" s="9">
        <v>0</v>
      </c>
      <c r="HL7" s="9">
        <v>0</v>
      </c>
      <c r="HM7" s="9">
        <v>0</v>
      </c>
      <c r="HN7" s="9">
        <v>0</v>
      </c>
      <c r="HO7" s="9">
        <v>0</v>
      </c>
      <c r="HP7" s="9">
        <v>0</v>
      </c>
      <c r="HQ7" s="9">
        <v>0</v>
      </c>
      <c r="HR7" s="9">
        <v>0</v>
      </c>
      <c r="HS7" s="9">
        <v>0</v>
      </c>
      <c r="HT7" s="9">
        <v>0</v>
      </c>
      <c r="HU7" s="9">
        <v>0</v>
      </c>
      <c r="HV7" s="9">
        <v>0</v>
      </c>
      <c r="HW7" s="9">
        <v>0</v>
      </c>
      <c r="HX7" s="9">
        <v>0</v>
      </c>
      <c r="HY7" s="9">
        <v>0</v>
      </c>
      <c r="HZ7" s="9">
        <v>0</v>
      </c>
      <c r="IA7" s="9">
        <v>0</v>
      </c>
      <c r="IB7" s="9">
        <v>0</v>
      </c>
      <c r="IC7" s="9">
        <v>0</v>
      </c>
      <c r="ID7" s="9">
        <v>0</v>
      </c>
      <c r="IE7" s="9">
        <v>0</v>
      </c>
      <c r="IF7" s="9">
        <v>0</v>
      </c>
      <c r="IG7" s="9">
        <v>0</v>
      </c>
      <c r="IH7" s="9">
        <v>0</v>
      </c>
      <c r="II7" s="9">
        <v>0</v>
      </c>
      <c r="IJ7" s="9">
        <v>0</v>
      </c>
      <c r="IK7" s="9">
        <v>0</v>
      </c>
      <c r="IL7" s="9">
        <v>0</v>
      </c>
      <c r="IM7" s="9">
        <v>0</v>
      </c>
      <c r="IN7" s="9">
        <v>0</v>
      </c>
      <c r="IO7" s="9">
        <v>0</v>
      </c>
      <c r="IP7" s="9">
        <v>0</v>
      </c>
      <c r="IQ7" s="9">
        <v>0</v>
      </c>
      <c r="IR7" s="9">
        <v>0</v>
      </c>
      <c r="IS7" s="9">
        <v>0</v>
      </c>
      <c r="IT7" s="9">
        <v>0</v>
      </c>
      <c r="IU7" s="9">
        <v>0</v>
      </c>
      <c r="IV7" s="9">
        <v>0</v>
      </c>
      <c r="IW7" s="9">
        <v>0</v>
      </c>
      <c r="IX7" s="9">
        <v>0</v>
      </c>
      <c r="IY7" s="9">
        <v>0</v>
      </c>
      <c r="IZ7" s="9">
        <v>0</v>
      </c>
      <c r="JA7" s="9">
        <v>0</v>
      </c>
      <c r="JB7" s="9">
        <v>0</v>
      </c>
      <c r="JC7" s="9">
        <v>0</v>
      </c>
      <c r="JD7" s="9">
        <v>0</v>
      </c>
      <c r="JE7" s="9">
        <v>0</v>
      </c>
      <c r="JF7" s="9">
        <v>0</v>
      </c>
      <c r="JG7" s="9">
        <v>0</v>
      </c>
      <c r="JH7" s="9">
        <v>0</v>
      </c>
      <c r="JI7" s="9">
        <v>0</v>
      </c>
      <c r="JJ7" s="9">
        <v>0</v>
      </c>
      <c r="JK7" s="9">
        <v>0</v>
      </c>
      <c r="JL7" s="9">
        <v>0</v>
      </c>
      <c r="JM7" s="9">
        <v>0</v>
      </c>
      <c r="JN7" s="9">
        <v>36832</v>
      </c>
      <c r="JO7" s="9">
        <v>0</v>
      </c>
      <c r="JP7" s="9">
        <v>0</v>
      </c>
      <c r="JQ7" s="9">
        <v>0</v>
      </c>
      <c r="JR7" s="9">
        <v>0</v>
      </c>
      <c r="JS7" s="9">
        <v>0</v>
      </c>
      <c r="JT7" s="9">
        <v>0</v>
      </c>
      <c r="JU7" s="9">
        <v>0</v>
      </c>
      <c r="JV7" s="9">
        <v>0</v>
      </c>
      <c r="JW7" s="9">
        <v>0</v>
      </c>
      <c r="JX7" s="9">
        <v>0</v>
      </c>
      <c r="JY7" s="9">
        <v>0</v>
      </c>
      <c r="JZ7" s="9">
        <v>0</v>
      </c>
      <c r="KA7" s="9">
        <v>0</v>
      </c>
      <c r="KB7" s="9">
        <v>0</v>
      </c>
      <c r="KC7" s="9">
        <v>0</v>
      </c>
      <c r="KD7" s="9">
        <v>0</v>
      </c>
      <c r="KE7" s="9">
        <v>0</v>
      </c>
      <c r="KF7" s="9">
        <v>0</v>
      </c>
      <c r="KG7" s="9">
        <v>0</v>
      </c>
      <c r="KH7" s="9">
        <v>0</v>
      </c>
      <c r="KI7" s="9">
        <v>0</v>
      </c>
    </row>
    <row r="8" spans="1:295" x14ac:dyDescent="0.25">
      <c r="A8" s="9">
        <v>14804</v>
      </c>
      <c r="B8" s="9">
        <v>36871</v>
      </c>
      <c r="C8" s="9">
        <v>35</v>
      </c>
      <c r="D8" s="9">
        <v>2023</v>
      </c>
      <c r="E8" s="9">
        <v>5392</v>
      </c>
      <c r="F8" s="9">
        <v>0</v>
      </c>
      <c r="G8" s="9">
        <v>0</v>
      </c>
      <c r="H8" s="9">
        <v>1688.8240000000001</v>
      </c>
      <c r="I8" s="9">
        <v>1688.8240000000001</v>
      </c>
      <c r="J8" s="9">
        <v>1834.5610000000001</v>
      </c>
      <c r="K8" s="9">
        <v>0</v>
      </c>
      <c r="L8" s="9">
        <v>6547</v>
      </c>
      <c r="M8" s="9">
        <v>0</v>
      </c>
      <c r="N8" s="9">
        <v>0</v>
      </c>
      <c r="O8" s="9">
        <v>0</v>
      </c>
      <c r="P8" s="9">
        <v>1737.817</v>
      </c>
      <c r="Q8" s="9">
        <v>0</v>
      </c>
      <c r="R8" s="9">
        <v>846181</v>
      </c>
      <c r="S8" s="9">
        <v>486.92200000000003</v>
      </c>
      <c r="T8" s="9">
        <v>0</v>
      </c>
      <c r="U8" s="9">
        <v>846181</v>
      </c>
      <c r="V8" s="9">
        <v>29.088000000000001</v>
      </c>
      <c r="W8" s="9">
        <v>19044</v>
      </c>
      <c r="X8" s="9">
        <v>19044</v>
      </c>
      <c r="Y8" s="9">
        <v>0</v>
      </c>
      <c r="Z8" s="9">
        <v>0</v>
      </c>
      <c r="AA8" s="9">
        <v>1</v>
      </c>
      <c r="AB8" s="9">
        <v>1</v>
      </c>
      <c r="AC8" s="9">
        <v>0</v>
      </c>
      <c r="AD8" s="9" t="s">
        <v>314</v>
      </c>
      <c r="AE8" s="9">
        <v>0</v>
      </c>
      <c r="AF8" s="9">
        <v>0</v>
      </c>
      <c r="AG8" s="9">
        <v>0</v>
      </c>
      <c r="AH8" s="9">
        <v>0</v>
      </c>
      <c r="AI8" s="9">
        <v>0</v>
      </c>
      <c r="AJ8" s="9">
        <v>5104</v>
      </c>
      <c r="AK8" s="9" t="s">
        <v>651</v>
      </c>
      <c r="AL8" s="9" t="s">
        <v>1</v>
      </c>
      <c r="AM8" s="9">
        <v>0</v>
      </c>
      <c r="AN8" s="9">
        <v>0</v>
      </c>
      <c r="AO8" s="9">
        <v>0</v>
      </c>
      <c r="AP8" s="9">
        <v>0</v>
      </c>
      <c r="AQ8" s="9">
        <v>0</v>
      </c>
      <c r="AR8" s="9">
        <v>0</v>
      </c>
      <c r="AS8" s="9">
        <v>0</v>
      </c>
      <c r="AT8" s="9">
        <v>0</v>
      </c>
      <c r="AU8" s="9">
        <v>0</v>
      </c>
      <c r="AV8" s="9">
        <v>-196289</v>
      </c>
      <c r="AW8" s="9">
        <v>16382177</v>
      </c>
      <c r="AX8" s="9">
        <v>15900187</v>
      </c>
      <c r="AY8" s="9">
        <v>16451783</v>
      </c>
      <c r="AZ8" s="9">
        <v>984075</v>
      </c>
      <c r="BA8" s="9">
        <v>36.332999999999998</v>
      </c>
      <c r="BB8" s="9">
        <v>0</v>
      </c>
      <c r="BC8" s="9">
        <v>0</v>
      </c>
      <c r="BD8" s="9">
        <v>0</v>
      </c>
      <c r="BE8" s="9">
        <v>0</v>
      </c>
      <c r="BF8" s="9">
        <v>13781813</v>
      </c>
      <c r="BG8" s="9">
        <v>0</v>
      </c>
      <c r="BH8" s="9">
        <v>501.43200000000002</v>
      </c>
      <c r="BI8" s="9">
        <v>137894</v>
      </c>
      <c r="BJ8" s="9">
        <v>12</v>
      </c>
      <c r="BK8" s="9">
        <v>0</v>
      </c>
      <c r="BL8" s="9">
        <v>0</v>
      </c>
      <c r="BM8" s="9">
        <v>0</v>
      </c>
      <c r="BN8" s="9">
        <v>0</v>
      </c>
      <c r="BO8" s="9">
        <v>0</v>
      </c>
      <c r="BP8" s="9">
        <v>0</v>
      </c>
      <c r="BQ8" s="9">
        <v>5392</v>
      </c>
      <c r="BR8" s="9">
        <v>1</v>
      </c>
      <c r="BS8" s="9">
        <v>0</v>
      </c>
      <c r="BT8" s="9">
        <v>0</v>
      </c>
      <c r="BU8" s="9">
        <v>0</v>
      </c>
      <c r="BV8" s="9">
        <v>0</v>
      </c>
      <c r="BW8" s="9">
        <v>0</v>
      </c>
      <c r="BX8" s="9">
        <v>0</v>
      </c>
      <c r="BY8" s="9">
        <v>0</v>
      </c>
      <c r="BZ8" s="9">
        <v>0</v>
      </c>
      <c r="CA8" s="9">
        <v>0</v>
      </c>
      <c r="CB8" s="9">
        <v>0</v>
      </c>
      <c r="CC8" s="9">
        <v>0</v>
      </c>
      <c r="CD8" s="9">
        <v>0</v>
      </c>
      <c r="CE8" s="9">
        <v>0</v>
      </c>
      <c r="CF8" s="9">
        <v>0</v>
      </c>
      <c r="CG8" s="9">
        <v>0</v>
      </c>
      <c r="CH8" s="9">
        <v>344096</v>
      </c>
      <c r="CI8" s="9">
        <v>0</v>
      </c>
      <c r="CJ8" s="9">
        <v>4</v>
      </c>
      <c r="CK8" s="9">
        <v>0</v>
      </c>
      <c r="CL8" s="9">
        <v>0</v>
      </c>
      <c r="CM8" s="9">
        <v>0</v>
      </c>
      <c r="CN8" s="9">
        <v>0</v>
      </c>
      <c r="CO8" s="9">
        <v>0</v>
      </c>
      <c r="CP8" s="9">
        <v>0</v>
      </c>
      <c r="CQ8" s="9">
        <v>10.083</v>
      </c>
      <c r="CR8" s="9">
        <v>1717.2260000000001</v>
      </c>
      <c r="CS8" s="9">
        <v>0</v>
      </c>
      <c r="CT8" s="9">
        <v>0</v>
      </c>
      <c r="CU8" s="9">
        <v>0</v>
      </c>
      <c r="CV8" s="9">
        <v>0</v>
      </c>
      <c r="CW8" s="9">
        <v>0</v>
      </c>
      <c r="CX8" s="9">
        <v>0</v>
      </c>
      <c r="CY8" s="9">
        <v>0</v>
      </c>
      <c r="CZ8" s="9">
        <v>0</v>
      </c>
      <c r="DA8" s="9">
        <v>1</v>
      </c>
      <c r="DB8" s="9">
        <v>11056731</v>
      </c>
      <c r="DC8" s="9">
        <v>0</v>
      </c>
      <c r="DD8" s="9">
        <v>0</v>
      </c>
      <c r="DE8" s="9">
        <v>381035</v>
      </c>
      <c r="DF8" s="9">
        <v>381035</v>
      </c>
      <c r="DG8" s="9">
        <v>291</v>
      </c>
      <c r="DH8" s="9">
        <v>0</v>
      </c>
      <c r="DI8" s="9">
        <v>0</v>
      </c>
      <c r="DJ8" s="9">
        <v>0</v>
      </c>
      <c r="DK8" s="9">
        <v>5392</v>
      </c>
      <c r="DL8" s="9">
        <v>0</v>
      </c>
      <c r="DM8" s="9">
        <v>2202018</v>
      </c>
      <c r="DN8" s="9">
        <v>0</v>
      </c>
      <c r="DO8" s="9">
        <v>221</v>
      </c>
      <c r="DP8" s="9">
        <v>0</v>
      </c>
      <c r="DQ8" s="9">
        <v>0</v>
      </c>
      <c r="DR8" s="9">
        <v>0</v>
      </c>
      <c r="DS8" s="9">
        <v>0</v>
      </c>
      <c r="DT8" s="9">
        <v>1.5000000000000001E-2</v>
      </c>
      <c r="DU8" s="9">
        <v>0</v>
      </c>
      <c r="DV8" s="9">
        <v>0</v>
      </c>
      <c r="DW8" s="9">
        <v>0</v>
      </c>
      <c r="DX8" s="9">
        <v>0</v>
      </c>
      <c r="DY8" s="9">
        <v>0</v>
      </c>
      <c r="DZ8" s="9">
        <v>4.5000000000000005E-2</v>
      </c>
      <c r="EA8" s="9">
        <v>0</v>
      </c>
      <c r="EB8" s="9">
        <v>0</v>
      </c>
      <c r="EC8" s="9">
        <v>18.571999999999999</v>
      </c>
      <c r="ED8" s="9">
        <v>133750</v>
      </c>
      <c r="EE8" s="9">
        <v>0</v>
      </c>
      <c r="EF8" s="9">
        <v>0</v>
      </c>
      <c r="EG8" s="9">
        <v>0</v>
      </c>
      <c r="EH8" s="9">
        <v>968753</v>
      </c>
      <c r="EI8" s="9">
        <v>1099294</v>
      </c>
      <c r="EJ8" s="9">
        <v>41.977000000000004</v>
      </c>
      <c r="EK8" s="9">
        <v>42.703000000000003</v>
      </c>
      <c r="EL8" s="9">
        <v>0</v>
      </c>
      <c r="EM8" s="9">
        <v>0.85500000000000009</v>
      </c>
      <c r="EN8" s="9">
        <v>3.4590000000000001</v>
      </c>
      <c r="EO8" s="9">
        <v>0</v>
      </c>
      <c r="EP8" s="9">
        <v>0</v>
      </c>
      <c r="EQ8" s="9">
        <v>88.994</v>
      </c>
      <c r="ER8" s="9">
        <v>0</v>
      </c>
      <c r="ES8" s="9">
        <v>147.96899999999999</v>
      </c>
      <c r="ET8" s="9">
        <v>20687</v>
      </c>
      <c r="EU8" s="9">
        <v>984075</v>
      </c>
      <c r="EV8" s="9">
        <v>0</v>
      </c>
      <c r="EW8" s="9">
        <v>0</v>
      </c>
      <c r="EX8" s="9">
        <v>0</v>
      </c>
      <c r="EY8" s="9">
        <v>0</v>
      </c>
      <c r="EZ8" s="9">
        <v>13314167</v>
      </c>
      <c r="FA8" s="9">
        <v>0</v>
      </c>
      <c r="FB8" s="9">
        <v>14298242</v>
      </c>
      <c r="FC8" s="9">
        <v>0.97326799999999991</v>
      </c>
      <c r="FD8" s="9">
        <v>0</v>
      </c>
      <c r="FE8" s="9">
        <v>2132010</v>
      </c>
      <c r="FF8" s="9">
        <v>454010</v>
      </c>
      <c r="FG8" s="9">
        <v>5.8088000000000001E-2</v>
      </c>
      <c r="FH8" s="9">
        <v>5.2622999999999996E-2</v>
      </c>
      <c r="FI8" s="9">
        <v>0</v>
      </c>
      <c r="FJ8" s="9">
        <v>0</v>
      </c>
      <c r="FK8" s="9">
        <v>2700.346</v>
      </c>
      <c r="FL8" s="9">
        <v>17228358</v>
      </c>
      <c r="FM8" s="9">
        <v>0</v>
      </c>
      <c r="FN8" s="9">
        <v>0</v>
      </c>
      <c r="FO8" s="9">
        <v>0</v>
      </c>
      <c r="FP8" s="9">
        <v>0</v>
      </c>
      <c r="FQ8" s="9">
        <v>0</v>
      </c>
      <c r="FR8" s="9">
        <v>0</v>
      </c>
      <c r="FS8" s="9">
        <v>0</v>
      </c>
      <c r="FT8" s="9">
        <v>0</v>
      </c>
      <c r="FU8" s="9">
        <v>0</v>
      </c>
      <c r="FV8" s="9">
        <v>0</v>
      </c>
      <c r="FW8" s="9">
        <v>0</v>
      </c>
      <c r="FX8" s="9">
        <v>0</v>
      </c>
      <c r="FY8" s="9">
        <v>0</v>
      </c>
      <c r="FZ8" s="9">
        <v>0</v>
      </c>
      <c r="GA8" s="9">
        <v>0</v>
      </c>
      <c r="GB8" s="9">
        <v>501520</v>
      </c>
      <c r="GC8" s="9">
        <v>501520</v>
      </c>
      <c r="GD8" s="9">
        <v>56.743000000000002</v>
      </c>
      <c r="GE8" s="9">
        <v>0</v>
      </c>
      <c r="GF8" s="9">
        <v>0</v>
      </c>
      <c r="GG8" s="9">
        <v>0</v>
      </c>
      <c r="GH8" s="9">
        <v>0</v>
      </c>
      <c r="GI8" s="9">
        <v>0</v>
      </c>
      <c r="GJ8" s="9">
        <v>0</v>
      </c>
      <c r="GK8" s="9">
        <v>5134</v>
      </c>
      <c r="GL8" s="9">
        <v>8046</v>
      </c>
      <c r="GM8" s="9">
        <v>0</v>
      </c>
      <c r="GN8" s="9">
        <v>0</v>
      </c>
      <c r="GO8" s="9">
        <v>0</v>
      </c>
      <c r="GP8" s="9">
        <v>16884262</v>
      </c>
      <c r="GQ8" s="9">
        <v>16884262</v>
      </c>
      <c r="GR8" s="9">
        <v>0</v>
      </c>
      <c r="GS8" s="9">
        <v>0</v>
      </c>
      <c r="GT8" s="9">
        <v>0</v>
      </c>
      <c r="GU8" s="9">
        <v>0</v>
      </c>
      <c r="GV8" s="9">
        <v>0</v>
      </c>
      <c r="GW8" s="9">
        <v>0</v>
      </c>
      <c r="GX8" s="9">
        <v>0</v>
      </c>
      <c r="GY8" s="9">
        <v>0</v>
      </c>
      <c r="GZ8" s="9">
        <v>0</v>
      </c>
      <c r="HA8" s="9">
        <v>0</v>
      </c>
      <c r="HB8" s="9">
        <v>300501363</v>
      </c>
      <c r="HC8" s="9">
        <v>4.4742999999999998E-2</v>
      </c>
      <c r="HD8" s="9">
        <v>323409</v>
      </c>
      <c r="HE8" s="9">
        <v>0</v>
      </c>
      <c r="HF8" s="9">
        <v>0</v>
      </c>
      <c r="HG8" s="9">
        <v>0</v>
      </c>
      <c r="HH8" s="9">
        <v>0</v>
      </c>
      <c r="HI8" s="9">
        <v>0</v>
      </c>
      <c r="HJ8" s="9">
        <v>0</v>
      </c>
      <c r="HK8" s="9">
        <v>0</v>
      </c>
      <c r="HL8" s="9">
        <v>0</v>
      </c>
      <c r="HM8" s="9">
        <v>0</v>
      </c>
      <c r="HN8" s="9">
        <v>0</v>
      </c>
      <c r="HO8" s="9">
        <v>0</v>
      </c>
      <c r="HP8" s="9">
        <v>0</v>
      </c>
      <c r="HQ8" s="9">
        <v>0</v>
      </c>
      <c r="HR8" s="9">
        <v>0</v>
      </c>
      <c r="HS8" s="9">
        <v>0</v>
      </c>
      <c r="HT8" s="9">
        <v>0</v>
      </c>
      <c r="HU8" s="9">
        <v>0</v>
      </c>
      <c r="HV8" s="9">
        <v>0</v>
      </c>
      <c r="HW8" s="9">
        <v>0</v>
      </c>
      <c r="HX8" s="9">
        <v>0</v>
      </c>
      <c r="HY8" s="9">
        <v>0</v>
      </c>
      <c r="HZ8" s="9">
        <v>0</v>
      </c>
      <c r="IA8" s="9">
        <v>0</v>
      </c>
      <c r="IB8" s="9">
        <v>0</v>
      </c>
      <c r="IC8" s="9">
        <v>0</v>
      </c>
      <c r="ID8" s="9">
        <v>0</v>
      </c>
      <c r="IE8" s="9">
        <v>0</v>
      </c>
      <c r="IF8" s="9">
        <v>0</v>
      </c>
      <c r="IG8" s="9">
        <v>0</v>
      </c>
      <c r="IH8" s="9">
        <v>0</v>
      </c>
      <c r="II8" s="9">
        <v>0</v>
      </c>
      <c r="IJ8" s="9">
        <v>0</v>
      </c>
      <c r="IK8" s="9">
        <v>0</v>
      </c>
      <c r="IL8" s="9">
        <v>0</v>
      </c>
      <c r="IM8" s="9">
        <v>0</v>
      </c>
      <c r="IN8" s="9">
        <v>0</v>
      </c>
      <c r="IO8" s="9">
        <v>0</v>
      </c>
      <c r="IP8" s="9">
        <v>0</v>
      </c>
      <c r="IQ8" s="9">
        <v>0</v>
      </c>
      <c r="IR8" s="9">
        <v>0</v>
      </c>
      <c r="IS8" s="9">
        <v>0</v>
      </c>
      <c r="IT8" s="9">
        <v>0</v>
      </c>
      <c r="IU8" s="9">
        <v>0</v>
      </c>
      <c r="IV8" s="9">
        <v>0</v>
      </c>
      <c r="IW8" s="9">
        <v>0</v>
      </c>
      <c r="IX8" s="9">
        <v>0</v>
      </c>
      <c r="IY8" s="9">
        <v>0</v>
      </c>
      <c r="IZ8" s="9">
        <v>0</v>
      </c>
      <c r="JA8" s="9">
        <v>0</v>
      </c>
      <c r="JB8" s="9">
        <v>0</v>
      </c>
      <c r="JC8" s="9">
        <v>0</v>
      </c>
      <c r="JD8" s="9">
        <v>0</v>
      </c>
      <c r="JE8" s="9">
        <v>0</v>
      </c>
      <c r="JF8" s="9">
        <v>0</v>
      </c>
      <c r="JG8" s="9">
        <v>0</v>
      </c>
      <c r="JH8" s="9">
        <v>0</v>
      </c>
      <c r="JI8" s="9">
        <v>0</v>
      </c>
      <c r="JJ8" s="9">
        <v>0</v>
      </c>
      <c r="JK8" s="9">
        <v>0</v>
      </c>
      <c r="JL8" s="9">
        <v>0</v>
      </c>
      <c r="JM8" s="9">
        <v>0</v>
      </c>
      <c r="JN8" s="9">
        <v>36832</v>
      </c>
      <c r="JO8" s="9">
        <v>0</v>
      </c>
      <c r="JP8" s="9">
        <v>0</v>
      </c>
      <c r="JQ8" s="9">
        <v>0</v>
      </c>
      <c r="JR8" s="9">
        <v>0</v>
      </c>
      <c r="JS8" s="9">
        <v>0</v>
      </c>
      <c r="JT8" s="9">
        <v>0</v>
      </c>
      <c r="JU8" s="9">
        <v>0</v>
      </c>
      <c r="JV8" s="9">
        <v>0</v>
      </c>
      <c r="JW8" s="9">
        <v>0</v>
      </c>
      <c r="JX8" s="9">
        <v>0</v>
      </c>
      <c r="JY8" s="9">
        <v>0</v>
      </c>
      <c r="JZ8" s="9">
        <v>0</v>
      </c>
      <c r="KA8" s="9">
        <v>0</v>
      </c>
      <c r="KB8" s="9">
        <v>0</v>
      </c>
      <c r="KC8" s="9">
        <v>0</v>
      </c>
      <c r="KD8" s="9">
        <v>0</v>
      </c>
      <c r="KE8" s="9">
        <v>0</v>
      </c>
      <c r="KF8" s="9">
        <v>0</v>
      </c>
      <c r="KG8" s="9">
        <v>0</v>
      </c>
      <c r="KH8" s="9">
        <v>0</v>
      </c>
      <c r="KI8" s="9">
        <v>0</v>
      </c>
    </row>
    <row r="9" spans="1:295" x14ac:dyDescent="0.25">
      <c r="A9" s="9">
        <v>15801</v>
      </c>
      <c r="B9" s="9">
        <v>36871</v>
      </c>
      <c r="C9" s="9">
        <v>35</v>
      </c>
      <c r="D9" s="9">
        <v>2023</v>
      </c>
      <c r="E9" s="9">
        <v>5392</v>
      </c>
      <c r="F9" s="9">
        <v>0</v>
      </c>
      <c r="G9" s="9">
        <v>0</v>
      </c>
      <c r="H9" s="9">
        <v>136.55000000000001</v>
      </c>
      <c r="I9" s="9">
        <v>136.55000000000001</v>
      </c>
      <c r="J9" s="9">
        <v>165.67500000000001</v>
      </c>
      <c r="K9" s="9">
        <v>0</v>
      </c>
      <c r="L9" s="9">
        <v>6547</v>
      </c>
      <c r="M9" s="9">
        <v>0</v>
      </c>
      <c r="N9" s="9">
        <v>0</v>
      </c>
      <c r="O9" s="9">
        <v>0</v>
      </c>
      <c r="P9" s="9">
        <v>177.261</v>
      </c>
      <c r="Q9" s="9">
        <v>0</v>
      </c>
      <c r="R9" s="9">
        <v>86312</v>
      </c>
      <c r="S9" s="9">
        <v>486.92200000000003</v>
      </c>
      <c r="T9" s="9">
        <v>0</v>
      </c>
      <c r="U9" s="9">
        <v>86312</v>
      </c>
      <c r="V9" s="9">
        <v>0.91700000000000004</v>
      </c>
      <c r="W9" s="9">
        <v>600</v>
      </c>
      <c r="X9" s="9">
        <v>600</v>
      </c>
      <c r="Y9" s="9">
        <v>0</v>
      </c>
      <c r="Z9" s="9">
        <v>0</v>
      </c>
      <c r="AA9" s="9">
        <v>1</v>
      </c>
      <c r="AB9" s="9">
        <v>1</v>
      </c>
      <c r="AC9" s="9">
        <v>0</v>
      </c>
      <c r="AD9" s="9" t="s">
        <v>314</v>
      </c>
      <c r="AE9" s="9">
        <v>0</v>
      </c>
      <c r="AF9" s="9">
        <v>0</v>
      </c>
      <c r="AG9" s="9">
        <v>0</v>
      </c>
      <c r="AH9" s="9">
        <v>0</v>
      </c>
      <c r="AI9" s="9">
        <v>0</v>
      </c>
      <c r="AJ9" s="9">
        <v>5104</v>
      </c>
      <c r="AK9" s="9" t="s">
        <v>651</v>
      </c>
      <c r="AL9" s="9" t="s">
        <v>36</v>
      </c>
      <c r="AM9" s="9">
        <v>0</v>
      </c>
      <c r="AN9" s="9">
        <v>0</v>
      </c>
      <c r="AO9" s="9">
        <v>0</v>
      </c>
      <c r="AP9" s="9">
        <v>0</v>
      </c>
      <c r="AQ9" s="9">
        <v>0</v>
      </c>
      <c r="AR9" s="9">
        <v>0</v>
      </c>
      <c r="AS9" s="9">
        <v>0</v>
      </c>
      <c r="AT9" s="9">
        <v>0</v>
      </c>
      <c r="AU9" s="9">
        <v>0</v>
      </c>
      <c r="AV9" s="9">
        <v>-55466</v>
      </c>
      <c r="AW9" s="9">
        <v>1683890</v>
      </c>
      <c r="AX9" s="9">
        <v>1617010</v>
      </c>
      <c r="AY9" s="9">
        <v>1562035</v>
      </c>
      <c r="AZ9" s="9">
        <v>116069</v>
      </c>
      <c r="BA9" s="9">
        <v>15.75</v>
      </c>
      <c r="BB9" s="9">
        <v>786</v>
      </c>
      <c r="BC9" s="9">
        <v>786</v>
      </c>
      <c r="BD9" s="9">
        <v>1</v>
      </c>
      <c r="BE9" s="9">
        <v>0</v>
      </c>
      <c r="BF9" s="9">
        <v>1401788</v>
      </c>
      <c r="BG9" s="9">
        <v>0</v>
      </c>
      <c r="BH9" s="9">
        <v>108.208</v>
      </c>
      <c r="BI9" s="9">
        <v>29757</v>
      </c>
      <c r="BJ9" s="9">
        <v>12</v>
      </c>
      <c r="BK9" s="9">
        <v>0</v>
      </c>
      <c r="BL9" s="9">
        <v>0</v>
      </c>
      <c r="BM9" s="9">
        <v>0</v>
      </c>
      <c r="BN9" s="9">
        <v>0</v>
      </c>
      <c r="BO9" s="9">
        <v>0</v>
      </c>
      <c r="BP9" s="9">
        <v>0</v>
      </c>
      <c r="BQ9" s="9">
        <v>5392</v>
      </c>
      <c r="BR9" s="9">
        <v>1</v>
      </c>
      <c r="BS9" s="9">
        <v>0</v>
      </c>
      <c r="BT9" s="9">
        <v>0</v>
      </c>
      <c r="BU9" s="9">
        <v>0</v>
      </c>
      <c r="BV9" s="9">
        <v>0</v>
      </c>
      <c r="BW9" s="9">
        <v>0</v>
      </c>
      <c r="BX9" s="9">
        <v>0</v>
      </c>
      <c r="BY9" s="9">
        <v>0</v>
      </c>
      <c r="BZ9" s="9">
        <v>0</v>
      </c>
      <c r="CA9" s="9">
        <v>0</v>
      </c>
      <c r="CB9" s="9">
        <v>0</v>
      </c>
      <c r="CC9" s="9">
        <v>0</v>
      </c>
      <c r="CD9" s="9">
        <v>0</v>
      </c>
      <c r="CE9" s="9">
        <v>0</v>
      </c>
      <c r="CF9" s="9">
        <v>0</v>
      </c>
      <c r="CG9" s="9">
        <v>0</v>
      </c>
      <c r="CH9" s="9">
        <v>37123</v>
      </c>
      <c r="CI9" s="9">
        <v>0</v>
      </c>
      <c r="CJ9" s="9">
        <v>4</v>
      </c>
      <c r="CK9" s="9">
        <v>0</v>
      </c>
      <c r="CL9" s="9">
        <v>0</v>
      </c>
      <c r="CM9" s="9">
        <v>0</v>
      </c>
      <c r="CN9" s="9">
        <v>0</v>
      </c>
      <c r="CO9" s="9">
        <v>0</v>
      </c>
      <c r="CP9" s="9">
        <v>0.75800000000000001</v>
      </c>
      <c r="CQ9" s="9">
        <v>0.16700000000000001</v>
      </c>
      <c r="CR9" s="9">
        <v>171.23600000000002</v>
      </c>
      <c r="CS9" s="9">
        <v>0</v>
      </c>
      <c r="CT9" s="9">
        <v>0</v>
      </c>
      <c r="CU9" s="9">
        <v>0</v>
      </c>
      <c r="CV9" s="9">
        <v>0</v>
      </c>
      <c r="CW9" s="9">
        <v>0</v>
      </c>
      <c r="CX9" s="9">
        <v>0</v>
      </c>
      <c r="CY9" s="9">
        <v>0</v>
      </c>
      <c r="CZ9" s="9">
        <v>0</v>
      </c>
      <c r="DA9" s="9">
        <v>1</v>
      </c>
      <c r="DB9" s="9">
        <v>893993</v>
      </c>
      <c r="DC9" s="9">
        <v>0</v>
      </c>
      <c r="DD9" s="9">
        <v>0</v>
      </c>
      <c r="DE9" s="9">
        <v>156473</v>
      </c>
      <c r="DF9" s="9">
        <v>168433</v>
      </c>
      <c r="DG9" s="9">
        <v>119.5</v>
      </c>
      <c r="DH9" s="9">
        <v>0</v>
      </c>
      <c r="DI9" s="9">
        <v>11960</v>
      </c>
      <c r="DJ9" s="9">
        <v>0</v>
      </c>
      <c r="DK9" s="9">
        <v>5392</v>
      </c>
      <c r="DL9" s="9">
        <v>0</v>
      </c>
      <c r="DM9" s="9">
        <v>132422</v>
      </c>
      <c r="DN9" s="9">
        <v>0</v>
      </c>
      <c r="DO9" s="9">
        <v>0</v>
      </c>
      <c r="DP9" s="9">
        <v>0</v>
      </c>
      <c r="DQ9" s="9">
        <v>0</v>
      </c>
      <c r="DR9" s="9">
        <v>0</v>
      </c>
      <c r="DS9" s="9">
        <v>0</v>
      </c>
      <c r="DT9" s="9">
        <v>0</v>
      </c>
      <c r="DU9" s="9">
        <v>0</v>
      </c>
      <c r="DV9" s="9">
        <v>0</v>
      </c>
      <c r="DW9" s="9">
        <v>0</v>
      </c>
      <c r="DX9" s="9">
        <v>0</v>
      </c>
      <c r="DY9" s="9">
        <v>0</v>
      </c>
      <c r="DZ9" s="9">
        <v>0</v>
      </c>
      <c r="EA9" s="9">
        <v>0</v>
      </c>
      <c r="EB9" s="9">
        <v>0</v>
      </c>
      <c r="EC9" s="9">
        <v>14.264000000000001</v>
      </c>
      <c r="ED9" s="9">
        <v>102725</v>
      </c>
      <c r="EE9" s="9">
        <v>0</v>
      </c>
      <c r="EF9" s="9">
        <v>0</v>
      </c>
      <c r="EG9" s="9">
        <v>0</v>
      </c>
      <c r="EH9" s="9">
        <v>29697</v>
      </c>
      <c r="EI9" s="9">
        <v>0</v>
      </c>
      <c r="EJ9" s="9">
        <v>0</v>
      </c>
      <c r="EK9" s="9">
        <v>1.512</v>
      </c>
      <c r="EL9" s="9">
        <v>0</v>
      </c>
      <c r="EM9" s="9">
        <v>0</v>
      </c>
      <c r="EN9" s="9">
        <v>0</v>
      </c>
      <c r="EO9" s="9">
        <v>0</v>
      </c>
      <c r="EP9" s="9">
        <v>0</v>
      </c>
      <c r="EQ9" s="9">
        <v>1.512</v>
      </c>
      <c r="ER9" s="9">
        <v>0</v>
      </c>
      <c r="ES9" s="9">
        <v>4.5360000000000005</v>
      </c>
      <c r="ET9" s="9">
        <v>7917</v>
      </c>
      <c r="EU9" s="9">
        <v>116069</v>
      </c>
      <c r="EV9" s="9">
        <v>0</v>
      </c>
      <c r="EW9" s="9">
        <v>0</v>
      </c>
      <c r="EX9" s="9">
        <v>0</v>
      </c>
      <c r="EY9" s="9">
        <v>0</v>
      </c>
      <c r="EZ9" s="9">
        <v>1353978</v>
      </c>
      <c r="FA9" s="9">
        <v>0</v>
      </c>
      <c r="FB9" s="9">
        <v>1470047</v>
      </c>
      <c r="FC9" s="9">
        <v>0.97326799999999991</v>
      </c>
      <c r="FD9" s="9">
        <v>0</v>
      </c>
      <c r="FE9" s="9">
        <v>216853</v>
      </c>
      <c r="FF9" s="9">
        <v>46179</v>
      </c>
      <c r="FG9" s="9">
        <v>5.8088000000000001E-2</v>
      </c>
      <c r="FH9" s="9">
        <v>5.2622999999999996E-2</v>
      </c>
      <c r="FI9" s="9">
        <v>0</v>
      </c>
      <c r="FJ9" s="9">
        <v>0</v>
      </c>
      <c r="FK9" s="9">
        <v>274.66000000000003</v>
      </c>
      <c r="FL9" s="9">
        <v>1770202</v>
      </c>
      <c r="FM9" s="9">
        <v>0</v>
      </c>
      <c r="FN9" s="9">
        <v>0</v>
      </c>
      <c r="FO9" s="9">
        <v>0</v>
      </c>
      <c r="FP9" s="9">
        <v>0</v>
      </c>
      <c r="FQ9" s="9">
        <v>0</v>
      </c>
      <c r="FR9" s="9">
        <v>0</v>
      </c>
      <c r="FS9" s="9">
        <v>0</v>
      </c>
      <c r="FT9" s="9">
        <v>0</v>
      </c>
      <c r="FU9" s="9">
        <v>0</v>
      </c>
      <c r="FV9" s="9">
        <v>0</v>
      </c>
      <c r="FW9" s="9">
        <v>0</v>
      </c>
      <c r="FX9" s="9">
        <v>0</v>
      </c>
      <c r="FY9" s="9">
        <v>0</v>
      </c>
      <c r="FZ9" s="9">
        <v>0</v>
      </c>
      <c r="GA9" s="9">
        <v>0</v>
      </c>
      <c r="GB9" s="9">
        <v>244056</v>
      </c>
      <c r="GC9" s="9">
        <v>244056</v>
      </c>
      <c r="GD9" s="9">
        <v>27.613000000000003</v>
      </c>
      <c r="GE9" s="9">
        <v>0</v>
      </c>
      <c r="GF9" s="9">
        <v>0</v>
      </c>
      <c r="GG9" s="9">
        <v>0</v>
      </c>
      <c r="GH9" s="9">
        <v>0</v>
      </c>
      <c r="GI9" s="9">
        <v>0</v>
      </c>
      <c r="GJ9" s="9">
        <v>0</v>
      </c>
      <c r="GK9" s="9">
        <v>5236</v>
      </c>
      <c r="GL9" s="9">
        <v>11659</v>
      </c>
      <c r="GM9" s="9">
        <v>0</v>
      </c>
      <c r="GN9" s="9">
        <v>30454</v>
      </c>
      <c r="GO9" s="9">
        <v>0</v>
      </c>
      <c r="GP9" s="9">
        <v>1733079</v>
      </c>
      <c r="GQ9" s="9">
        <v>1733079</v>
      </c>
      <c r="GR9" s="9">
        <v>0</v>
      </c>
      <c r="GS9" s="9">
        <v>0</v>
      </c>
      <c r="GT9" s="9">
        <v>0</v>
      </c>
      <c r="GU9" s="9">
        <v>0</v>
      </c>
      <c r="GV9" s="9">
        <v>0</v>
      </c>
      <c r="GW9" s="9">
        <v>0</v>
      </c>
      <c r="GX9" s="9">
        <v>0</v>
      </c>
      <c r="GY9" s="9">
        <v>0</v>
      </c>
      <c r="GZ9" s="9">
        <v>0</v>
      </c>
      <c r="HA9" s="9">
        <v>0</v>
      </c>
      <c r="HB9" s="9">
        <v>300501363</v>
      </c>
      <c r="HC9" s="9">
        <v>4.4742999999999998E-2</v>
      </c>
      <c r="HD9" s="9">
        <v>29206</v>
      </c>
      <c r="HE9" s="9">
        <v>0</v>
      </c>
      <c r="HF9" s="9">
        <v>0</v>
      </c>
      <c r="HG9" s="9">
        <v>0</v>
      </c>
      <c r="HH9" s="9">
        <v>0</v>
      </c>
      <c r="HI9" s="9">
        <v>0</v>
      </c>
      <c r="HJ9" s="9">
        <v>0</v>
      </c>
      <c r="HK9" s="9">
        <v>0</v>
      </c>
      <c r="HL9" s="9">
        <v>0</v>
      </c>
      <c r="HM9" s="9">
        <v>0</v>
      </c>
      <c r="HN9" s="9">
        <v>0</v>
      </c>
      <c r="HO9" s="9">
        <v>0</v>
      </c>
      <c r="HP9" s="9">
        <v>0</v>
      </c>
      <c r="HQ9" s="9">
        <v>0</v>
      </c>
      <c r="HR9" s="9">
        <v>0</v>
      </c>
      <c r="HS9" s="9">
        <v>0</v>
      </c>
      <c r="HT9" s="9">
        <v>0</v>
      </c>
      <c r="HU9" s="9">
        <v>0</v>
      </c>
      <c r="HV9" s="9">
        <v>0</v>
      </c>
      <c r="HW9" s="9">
        <v>0</v>
      </c>
      <c r="HX9" s="9">
        <v>0</v>
      </c>
      <c r="HY9" s="9">
        <v>0</v>
      </c>
      <c r="HZ9" s="9">
        <v>0</v>
      </c>
      <c r="IA9" s="9">
        <v>0</v>
      </c>
      <c r="IB9" s="9">
        <v>0</v>
      </c>
      <c r="IC9" s="9">
        <v>0</v>
      </c>
      <c r="ID9" s="9">
        <v>0</v>
      </c>
      <c r="IE9" s="9">
        <v>0</v>
      </c>
      <c r="IF9" s="9">
        <v>0</v>
      </c>
      <c r="IG9" s="9">
        <v>0</v>
      </c>
      <c r="IH9" s="9">
        <v>0</v>
      </c>
      <c r="II9" s="9">
        <v>0</v>
      </c>
      <c r="IJ9" s="9">
        <v>0</v>
      </c>
      <c r="IK9" s="9">
        <v>0</v>
      </c>
      <c r="IL9" s="9">
        <v>0</v>
      </c>
      <c r="IM9" s="9">
        <v>0</v>
      </c>
      <c r="IN9" s="9">
        <v>0</v>
      </c>
      <c r="IO9" s="9">
        <v>0</v>
      </c>
      <c r="IP9" s="9">
        <v>0</v>
      </c>
      <c r="IQ9" s="9">
        <v>0</v>
      </c>
      <c r="IR9" s="9">
        <v>0</v>
      </c>
      <c r="IS9" s="9">
        <v>0</v>
      </c>
      <c r="IT9" s="9">
        <v>0</v>
      </c>
      <c r="IU9" s="9">
        <v>0</v>
      </c>
      <c r="IV9" s="9">
        <v>0</v>
      </c>
      <c r="IW9" s="9">
        <v>0</v>
      </c>
      <c r="IX9" s="9">
        <v>0</v>
      </c>
      <c r="IY9" s="9">
        <v>0</v>
      </c>
      <c r="IZ9" s="9">
        <v>0</v>
      </c>
      <c r="JA9" s="9">
        <v>0</v>
      </c>
      <c r="JB9" s="9">
        <v>0</v>
      </c>
      <c r="JC9" s="9">
        <v>0</v>
      </c>
      <c r="JD9" s="9">
        <v>0</v>
      </c>
      <c r="JE9" s="9">
        <v>0</v>
      </c>
      <c r="JF9" s="9">
        <v>0</v>
      </c>
      <c r="JG9" s="9">
        <v>0</v>
      </c>
      <c r="JH9" s="9">
        <v>0</v>
      </c>
      <c r="JI9" s="9">
        <v>0</v>
      </c>
      <c r="JJ9" s="9">
        <v>0</v>
      </c>
      <c r="JK9" s="9">
        <v>0</v>
      </c>
      <c r="JL9" s="9">
        <v>0</v>
      </c>
      <c r="JM9" s="9">
        <v>0</v>
      </c>
      <c r="JN9" s="9">
        <v>36832</v>
      </c>
      <c r="JO9" s="9">
        <v>0</v>
      </c>
      <c r="JP9" s="9">
        <v>0</v>
      </c>
      <c r="JQ9" s="9">
        <v>0</v>
      </c>
      <c r="JR9" s="9">
        <v>0</v>
      </c>
      <c r="JS9" s="9">
        <v>0</v>
      </c>
      <c r="JT9" s="9">
        <v>0</v>
      </c>
      <c r="JU9" s="9">
        <v>0</v>
      </c>
      <c r="JV9" s="9">
        <v>0</v>
      </c>
      <c r="JW9" s="9">
        <v>0</v>
      </c>
      <c r="JX9" s="9">
        <v>0</v>
      </c>
      <c r="JY9" s="9">
        <v>0</v>
      </c>
      <c r="JZ9" s="9">
        <v>0</v>
      </c>
      <c r="KA9" s="9">
        <v>0</v>
      </c>
      <c r="KB9" s="9">
        <v>0</v>
      </c>
      <c r="KC9" s="9">
        <v>0</v>
      </c>
      <c r="KD9" s="9">
        <v>0</v>
      </c>
      <c r="KE9" s="9">
        <v>0</v>
      </c>
      <c r="KF9" s="9">
        <v>0</v>
      </c>
      <c r="KG9" s="9">
        <v>0</v>
      </c>
      <c r="KH9" s="9">
        <v>0</v>
      </c>
      <c r="KI9" s="9">
        <v>0</v>
      </c>
    </row>
    <row r="10" spans="1:295" ht="14.5" x14ac:dyDescent="0.35">
      <c r="A10" s="9">
        <v>15802</v>
      </c>
      <c r="B10" s="9">
        <v>36871</v>
      </c>
      <c r="C10" s="9">
        <v>35</v>
      </c>
      <c r="D10" s="9">
        <v>2023</v>
      </c>
      <c r="E10" s="9">
        <v>5392</v>
      </c>
      <c r="F10" s="9">
        <v>0</v>
      </c>
      <c r="G10" s="9">
        <v>0</v>
      </c>
      <c r="H10" s="9">
        <v>656.75800000000004</v>
      </c>
      <c r="I10" s="9">
        <v>656.75800000000004</v>
      </c>
      <c r="J10" s="9">
        <v>708.346</v>
      </c>
      <c r="K10" s="9">
        <v>0</v>
      </c>
      <c r="L10" s="9">
        <v>6547</v>
      </c>
      <c r="M10" s="9">
        <v>0</v>
      </c>
      <c r="N10" s="9">
        <v>0</v>
      </c>
      <c r="O10" s="9">
        <v>0</v>
      </c>
      <c r="P10" s="9">
        <v>755.45500000000004</v>
      </c>
      <c r="Q10" s="9">
        <v>0</v>
      </c>
      <c r="R10" s="9">
        <v>367848</v>
      </c>
      <c r="S10" s="9">
        <v>486.92200000000003</v>
      </c>
      <c r="T10" s="9">
        <v>0</v>
      </c>
      <c r="U10" s="9">
        <v>367848</v>
      </c>
      <c r="V10" s="9">
        <v>74.26400000000001</v>
      </c>
      <c r="W10" s="9">
        <v>48621</v>
      </c>
      <c r="X10" s="9">
        <v>48621</v>
      </c>
      <c r="Y10" s="9">
        <v>0</v>
      </c>
      <c r="Z10" s="9">
        <v>0</v>
      </c>
      <c r="AA10" s="9">
        <v>1</v>
      </c>
      <c r="AB10" s="9">
        <v>1</v>
      </c>
      <c r="AC10" s="9">
        <v>0</v>
      </c>
      <c r="AD10" s="9" t="s">
        <v>314</v>
      </c>
      <c r="AE10" s="9">
        <v>0</v>
      </c>
      <c r="AF10" s="9">
        <v>0</v>
      </c>
      <c r="AG10" s="9">
        <v>0</v>
      </c>
      <c r="AH10" s="9">
        <v>0</v>
      </c>
      <c r="AI10" s="9">
        <v>0</v>
      </c>
      <c r="AJ10" s="9">
        <v>5104</v>
      </c>
      <c r="AK10" s="9" t="s">
        <v>651</v>
      </c>
      <c r="AL10" s="12" t="s">
        <v>55</v>
      </c>
      <c r="AM10" s="9">
        <v>0</v>
      </c>
      <c r="AN10" s="9">
        <v>0</v>
      </c>
      <c r="AO10" s="9">
        <v>0</v>
      </c>
      <c r="AP10" s="9">
        <v>0</v>
      </c>
      <c r="AQ10" s="9">
        <v>0</v>
      </c>
      <c r="AR10" s="9">
        <v>0</v>
      </c>
      <c r="AS10" s="9">
        <v>0</v>
      </c>
      <c r="AT10" s="9">
        <v>0</v>
      </c>
      <c r="AU10" s="9">
        <v>0</v>
      </c>
      <c r="AV10" s="9">
        <v>-285879</v>
      </c>
      <c r="AW10" s="9">
        <v>7531483</v>
      </c>
      <c r="AX10" s="9">
        <v>7482815</v>
      </c>
      <c r="AY10" s="9">
        <v>8002253</v>
      </c>
      <c r="AZ10" s="9">
        <v>393099</v>
      </c>
      <c r="BA10" s="9">
        <v>46.833000000000006</v>
      </c>
      <c r="BB10" s="9">
        <v>11785</v>
      </c>
      <c r="BC10" s="9">
        <v>11785</v>
      </c>
      <c r="BD10" s="9">
        <v>15</v>
      </c>
      <c r="BE10" s="9">
        <v>0</v>
      </c>
      <c r="BF10" s="9">
        <v>6424903</v>
      </c>
      <c r="BG10" s="9">
        <v>0</v>
      </c>
      <c r="BH10" s="9">
        <v>91.823000000000008</v>
      </c>
      <c r="BI10" s="9">
        <v>25251</v>
      </c>
      <c r="BJ10" s="9">
        <v>12</v>
      </c>
      <c r="BK10" s="9">
        <v>0</v>
      </c>
      <c r="BL10" s="9">
        <v>0</v>
      </c>
      <c r="BM10" s="9">
        <v>0</v>
      </c>
      <c r="BN10" s="9">
        <v>0</v>
      </c>
      <c r="BO10" s="9">
        <v>0</v>
      </c>
      <c r="BP10" s="9">
        <v>0</v>
      </c>
      <c r="BQ10" s="9">
        <v>5392</v>
      </c>
      <c r="BR10" s="9">
        <v>1</v>
      </c>
      <c r="BS10" s="9">
        <v>0</v>
      </c>
      <c r="BT10" s="9">
        <v>0</v>
      </c>
      <c r="BU10" s="9">
        <v>0</v>
      </c>
      <c r="BV10" s="9">
        <v>0</v>
      </c>
      <c r="BW10" s="9">
        <v>0</v>
      </c>
      <c r="BX10" s="9">
        <v>0</v>
      </c>
      <c r="BY10" s="9">
        <v>0</v>
      </c>
      <c r="BZ10" s="9">
        <v>0</v>
      </c>
      <c r="CA10" s="9">
        <v>0</v>
      </c>
      <c r="CB10" s="9">
        <v>0</v>
      </c>
      <c r="CC10" s="9">
        <v>0</v>
      </c>
      <c r="CD10" s="9">
        <v>0</v>
      </c>
      <c r="CE10" s="9">
        <v>0</v>
      </c>
      <c r="CF10" s="9">
        <v>0</v>
      </c>
      <c r="CG10" s="9">
        <v>0</v>
      </c>
      <c r="CH10" s="9">
        <v>23417</v>
      </c>
      <c r="CI10" s="9">
        <v>0</v>
      </c>
      <c r="CJ10" s="9">
        <v>4</v>
      </c>
      <c r="CK10" s="9">
        <v>0</v>
      </c>
      <c r="CL10" s="9">
        <v>0</v>
      </c>
      <c r="CM10" s="9">
        <v>0</v>
      </c>
      <c r="CN10" s="9">
        <v>0</v>
      </c>
      <c r="CO10" s="9">
        <v>0</v>
      </c>
      <c r="CP10" s="9">
        <v>0</v>
      </c>
      <c r="CQ10" s="9">
        <v>0</v>
      </c>
      <c r="CR10" s="9">
        <v>722.10800000000006</v>
      </c>
      <c r="CS10" s="9">
        <v>0</v>
      </c>
      <c r="CT10" s="9">
        <v>0</v>
      </c>
      <c r="CU10" s="9">
        <v>0</v>
      </c>
      <c r="CV10" s="9">
        <v>0</v>
      </c>
      <c r="CW10" s="9">
        <v>0</v>
      </c>
      <c r="CX10" s="9">
        <v>0</v>
      </c>
      <c r="CY10" s="9">
        <v>0</v>
      </c>
      <c r="CZ10" s="9">
        <v>0</v>
      </c>
      <c r="DA10" s="9">
        <v>1</v>
      </c>
      <c r="DB10" s="9">
        <v>4299795</v>
      </c>
      <c r="DC10" s="9">
        <v>0</v>
      </c>
      <c r="DD10" s="9">
        <v>0</v>
      </c>
      <c r="DE10" s="9">
        <v>1222547</v>
      </c>
      <c r="DF10" s="9">
        <v>1222547</v>
      </c>
      <c r="DG10" s="9">
        <v>933.67000000000007</v>
      </c>
      <c r="DH10" s="9">
        <v>0</v>
      </c>
      <c r="DI10" s="9">
        <v>0</v>
      </c>
      <c r="DJ10" s="9">
        <v>0</v>
      </c>
      <c r="DK10" s="9">
        <v>5392</v>
      </c>
      <c r="DL10" s="9">
        <v>0</v>
      </c>
      <c r="DM10" s="9">
        <v>757341</v>
      </c>
      <c r="DN10" s="9">
        <v>0</v>
      </c>
      <c r="DO10" s="9">
        <v>0</v>
      </c>
      <c r="DP10" s="9">
        <v>0</v>
      </c>
      <c r="DQ10" s="9">
        <v>0</v>
      </c>
      <c r="DR10" s="9">
        <v>0</v>
      </c>
      <c r="DS10" s="9">
        <v>0</v>
      </c>
      <c r="DT10" s="9">
        <v>0</v>
      </c>
      <c r="DU10" s="9">
        <v>0</v>
      </c>
      <c r="DV10" s="9">
        <v>0</v>
      </c>
      <c r="DW10" s="9">
        <v>0</v>
      </c>
      <c r="DX10" s="9">
        <v>0</v>
      </c>
      <c r="DY10" s="9">
        <v>0</v>
      </c>
      <c r="DZ10" s="9">
        <v>0</v>
      </c>
      <c r="EA10" s="9">
        <v>0</v>
      </c>
      <c r="EB10" s="9">
        <v>0</v>
      </c>
      <c r="EC10" s="9">
        <v>41.816000000000003</v>
      </c>
      <c r="ED10" s="9">
        <v>301146</v>
      </c>
      <c r="EE10" s="9">
        <v>0</v>
      </c>
      <c r="EF10" s="9">
        <v>0</v>
      </c>
      <c r="EG10" s="9">
        <v>0</v>
      </c>
      <c r="EH10" s="9">
        <v>442891</v>
      </c>
      <c r="EI10" s="9">
        <v>13304</v>
      </c>
      <c r="EJ10" s="9">
        <v>0.50800000000000001</v>
      </c>
      <c r="EK10" s="9">
        <v>19.898</v>
      </c>
      <c r="EL10" s="9">
        <v>0</v>
      </c>
      <c r="EM10" s="9">
        <v>7.3000000000000009E-2</v>
      </c>
      <c r="EN10" s="9">
        <v>1.5470000000000002</v>
      </c>
      <c r="EO10" s="9">
        <v>0</v>
      </c>
      <c r="EP10" s="9">
        <v>0</v>
      </c>
      <c r="EQ10" s="9">
        <v>22.026</v>
      </c>
      <c r="ER10" s="9">
        <v>0</v>
      </c>
      <c r="ES10" s="9">
        <v>67.64800000000001</v>
      </c>
      <c r="ET10" s="9">
        <v>23417</v>
      </c>
      <c r="EU10" s="9">
        <v>393099</v>
      </c>
      <c r="EV10" s="9">
        <v>0</v>
      </c>
      <c r="EW10" s="9">
        <v>0</v>
      </c>
      <c r="EX10" s="9">
        <v>0</v>
      </c>
      <c r="EY10" s="9">
        <v>0</v>
      </c>
      <c r="EZ10" s="9">
        <v>6277246</v>
      </c>
      <c r="FA10" s="9">
        <v>0</v>
      </c>
      <c r="FB10" s="9">
        <v>6670345</v>
      </c>
      <c r="FC10" s="9">
        <v>0.97326799999999991</v>
      </c>
      <c r="FD10" s="9">
        <v>0</v>
      </c>
      <c r="FE10" s="9">
        <v>993915</v>
      </c>
      <c r="FF10" s="9">
        <v>211654</v>
      </c>
      <c r="FG10" s="9">
        <v>5.8088000000000001E-2</v>
      </c>
      <c r="FH10" s="9">
        <v>5.2622999999999996E-2</v>
      </c>
      <c r="FI10" s="9">
        <v>0</v>
      </c>
      <c r="FJ10" s="9">
        <v>0</v>
      </c>
      <c r="FK10" s="9">
        <v>1258.866</v>
      </c>
      <c r="FL10" s="9">
        <v>7899331</v>
      </c>
      <c r="FM10" s="9">
        <v>0</v>
      </c>
      <c r="FN10" s="9">
        <v>0</v>
      </c>
      <c r="FO10" s="9">
        <v>43723</v>
      </c>
      <c r="FP10" s="9">
        <v>0</v>
      </c>
      <c r="FQ10" s="9">
        <v>43723</v>
      </c>
      <c r="FR10" s="9">
        <v>43723</v>
      </c>
      <c r="FS10" s="9">
        <v>0</v>
      </c>
      <c r="FT10" s="9">
        <v>0</v>
      </c>
      <c r="FU10" s="9">
        <v>0</v>
      </c>
      <c r="FV10" s="9">
        <v>0</v>
      </c>
      <c r="FW10" s="9">
        <v>0</v>
      </c>
      <c r="FX10" s="9">
        <v>0</v>
      </c>
      <c r="FY10" s="9">
        <v>0</v>
      </c>
      <c r="FZ10" s="9">
        <v>0</v>
      </c>
      <c r="GA10" s="9">
        <v>0</v>
      </c>
      <c r="GB10" s="9">
        <v>261282</v>
      </c>
      <c r="GC10" s="9">
        <v>261282</v>
      </c>
      <c r="GD10" s="9">
        <v>29.562000000000001</v>
      </c>
      <c r="GE10" s="9">
        <v>0</v>
      </c>
      <c r="GF10" s="9">
        <v>0</v>
      </c>
      <c r="GG10" s="9">
        <v>0</v>
      </c>
      <c r="GH10" s="9">
        <v>0</v>
      </c>
      <c r="GI10" s="9">
        <v>0</v>
      </c>
      <c r="GJ10" s="9">
        <v>0</v>
      </c>
      <c r="GK10" s="9">
        <v>5220</v>
      </c>
      <c r="GL10" s="9">
        <v>15410</v>
      </c>
      <c r="GM10" s="9">
        <v>0</v>
      </c>
      <c r="GN10" s="9">
        <v>78951</v>
      </c>
      <c r="GO10" s="9">
        <v>0</v>
      </c>
      <c r="GP10" s="9">
        <v>7875914</v>
      </c>
      <c r="GQ10" s="9">
        <v>7875914</v>
      </c>
      <c r="GR10" s="9">
        <v>0</v>
      </c>
      <c r="GS10" s="9">
        <v>0</v>
      </c>
      <c r="GT10" s="9">
        <v>0</v>
      </c>
      <c r="GU10" s="9">
        <v>0</v>
      </c>
      <c r="GV10" s="9">
        <v>0</v>
      </c>
      <c r="GW10" s="9">
        <v>0</v>
      </c>
      <c r="GX10" s="9">
        <v>0</v>
      </c>
      <c r="GY10" s="9">
        <v>0</v>
      </c>
      <c r="GZ10" s="9">
        <v>0</v>
      </c>
      <c r="HA10" s="9">
        <v>0</v>
      </c>
      <c r="HB10" s="9">
        <v>0</v>
      </c>
      <c r="HC10" s="9">
        <v>0</v>
      </c>
      <c r="HD10" s="9">
        <v>0</v>
      </c>
      <c r="HE10" s="9">
        <v>0</v>
      </c>
      <c r="HF10" s="9">
        <v>0</v>
      </c>
      <c r="HG10" s="9">
        <v>0</v>
      </c>
      <c r="HH10" s="9">
        <v>0</v>
      </c>
      <c r="HI10" s="9">
        <v>0</v>
      </c>
      <c r="HJ10" s="9">
        <v>0</v>
      </c>
      <c r="HK10" s="9">
        <v>0</v>
      </c>
      <c r="HL10" s="9">
        <v>0</v>
      </c>
      <c r="HM10" s="9">
        <v>0</v>
      </c>
      <c r="HN10" s="9">
        <v>0</v>
      </c>
      <c r="HO10" s="9">
        <v>0</v>
      </c>
      <c r="HP10" s="9">
        <v>0</v>
      </c>
      <c r="HQ10" s="9">
        <v>0</v>
      </c>
      <c r="HR10" s="9">
        <v>0</v>
      </c>
      <c r="HS10" s="9">
        <v>0</v>
      </c>
      <c r="HT10" s="9">
        <v>0</v>
      </c>
      <c r="HU10" s="9">
        <v>0</v>
      </c>
      <c r="HV10" s="9">
        <v>0</v>
      </c>
      <c r="HW10" s="9">
        <v>0</v>
      </c>
      <c r="HX10" s="9">
        <v>0</v>
      </c>
      <c r="HY10" s="9">
        <v>0</v>
      </c>
      <c r="HZ10" s="9">
        <v>0</v>
      </c>
      <c r="IA10" s="9">
        <v>0</v>
      </c>
      <c r="IB10" s="9">
        <v>0</v>
      </c>
      <c r="IC10" s="9">
        <v>0</v>
      </c>
      <c r="ID10" s="9">
        <v>0</v>
      </c>
      <c r="IE10" s="9">
        <v>26.609000000000002</v>
      </c>
      <c r="IF10" s="9">
        <v>0</v>
      </c>
      <c r="IG10" s="9">
        <v>0</v>
      </c>
      <c r="IH10" s="9">
        <v>0</v>
      </c>
      <c r="II10" s="9">
        <v>0</v>
      </c>
      <c r="IJ10" s="9">
        <v>0</v>
      </c>
      <c r="IK10" s="9">
        <v>0</v>
      </c>
      <c r="IL10" s="9">
        <v>0</v>
      </c>
      <c r="IM10" s="9">
        <v>0</v>
      </c>
      <c r="IN10" s="9">
        <v>0</v>
      </c>
      <c r="IO10" s="9">
        <v>0</v>
      </c>
      <c r="IP10" s="9">
        <v>0</v>
      </c>
      <c r="IQ10" s="9">
        <v>0</v>
      </c>
      <c r="IR10" s="9">
        <v>0</v>
      </c>
      <c r="IS10" s="9">
        <v>0</v>
      </c>
      <c r="IT10" s="9">
        <v>0</v>
      </c>
      <c r="IU10" s="9">
        <v>0</v>
      </c>
      <c r="IV10" s="9">
        <v>0</v>
      </c>
      <c r="IW10" s="9">
        <v>0</v>
      </c>
      <c r="IX10" s="9">
        <v>0</v>
      </c>
      <c r="IY10" s="9">
        <v>0</v>
      </c>
      <c r="IZ10" s="9">
        <v>0</v>
      </c>
      <c r="JA10" s="9">
        <v>0</v>
      </c>
      <c r="JB10" s="9">
        <v>0</v>
      </c>
      <c r="JC10" s="9">
        <v>0</v>
      </c>
      <c r="JD10" s="9">
        <v>0</v>
      </c>
      <c r="JE10" s="9">
        <v>0</v>
      </c>
      <c r="JF10" s="9">
        <v>0</v>
      </c>
      <c r="JG10" s="9">
        <v>0</v>
      </c>
      <c r="JH10" s="9">
        <v>0</v>
      </c>
      <c r="JI10" s="9">
        <v>0</v>
      </c>
      <c r="JJ10" s="9">
        <v>0</v>
      </c>
      <c r="JK10" s="9">
        <v>0</v>
      </c>
      <c r="JL10" s="9">
        <v>0</v>
      </c>
      <c r="JM10" s="9">
        <v>0</v>
      </c>
      <c r="JN10" s="9">
        <v>36832</v>
      </c>
      <c r="JO10" s="9">
        <v>0</v>
      </c>
      <c r="JP10" s="9">
        <v>0</v>
      </c>
      <c r="JQ10" s="9">
        <v>0</v>
      </c>
      <c r="JR10" s="9">
        <v>0</v>
      </c>
      <c r="JS10" s="9">
        <v>0</v>
      </c>
      <c r="JT10" s="9">
        <v>0</v>
      </c>
      <c r="JU10" s="9">
        <v>0</v>
      </c>
      <c r="JV10" s="9">
        <v>0</v>
      </c>
      <c r="JW10" s="9">
        <v>0</v>
      </c>
      <c r="JX10" s="9">
        <v>0</v>
      </c>
      <c r="JY10" s="9">
        <v>0</v>
      </c>
      <c r="JZ10" s="9">
        <v>0</v>
      </c>
      <c r="KA10" s="9">
        <v>0</v>
      </c>
      <c r="KB10" s="9">
        <v>0</v>
      </c>
      <c r="KC10" s="9">
        <v>0</v>
      </c>
      <c r="KD10" s="9">
        <v>0</v>
      </c>
      <c r="KE10" s="9">
        <v>0</v>
      </c>
      <c r="KF10" s="9">
        <v>0</v>
      </c>
      <c r="KG10" s="9">
        <v>0</v>
      </c>
      <c r="KH10" s="9">
        <v>0</v>
      </c>
      <c r="KI10" s="9">
        <v>0</v>
      </c>
    </row>
    <row r="11" spans="1:295" x14ac:dyDescent="0.25">
      <c r="A11" s="9">
        <v>15805</v>
      </c>
      <c r="B11" s="9">
        <v>36871</v>
      </c>
      <c r="C11" s="9">
        <v>35</v>
      </c>
      <c r="D11" s="9">
        <v>2023</v>
      </c>
      <c r="E11" s="9">
        <v>5392</v>
      </c>
      <c r="F11" s="9">
        <v>0</v>
      </c>
      <c r="G11" s="9">
        <v>0</v>
      </c>
      <c r="H11" s="9">
        <v>479.49</v>
      </c>
      <c r="I11" s="9">
        <v>479.49</v>
      </c>
      <c r="J11" s="9">
        <v>483.34100000000001</v>
      </c>
      <c r="K11" s="9">
        <v>0</v>
      </c>
      <c r="L11" s="9">
        <v>6547</v>
      </c>
      <c r="M11" s="9">
        <v>0</v>
      </c>
      <c r="N11" s="9">
        <v>0</v>
      </c>
      <c r="O11" s="9">
        <v>0</v>
      </c>
      <c r="P11" s="9">
        <v>526.24099999999999</v>
      </c>
      <c r="Q11" s="9">
        <v>0</v>
      </c>
      <c r="R11" s="9">
        <v>256238</v>
      </c>
      <c r="S11" s="9">
        <v>486.92200000000003</v>
      </c>
      <c r="T11" s="9">
        <v>0</v>
      </c>
      <c r="U11" s="9">
        <v>256238</v>
      </c>
      <c r="V11" s="9">
        <v>49.593000000000004</v>
      </c>
      <c r="W11" s="9">
        <v>32469</v>
      </c>
      <c r="X11" s="9">
        <v>32469</v>
      </c>
      <c r="Y11" s="9">
        <v>0</v>
      </c>
      <c r="Z11" s="9">
        <v>0</v>
      </c>
      <c r="AA11" s="9">
        <v>1</v>
      </c>
      <c r="AB11" s="9">
        <v>1</v>
      </c>
      <c r="AC11" s="9">
        <v>0</v>
      </c>
      <c r="AD11" s="9" t="s">
        <v>314</v>
      </c>
      <c r="AE11" s="9">
        <v>0</v>
      </c>
      <c r="AF11" s="9">
        <v>0</v>
      </c>
      <c r="AG11" s="9">
        <v>0</v>
      </c>
      <c r="AH11" s="9">
        <v>0</v>
      </c>
      <c r="AI11" s="9">
        <v>0</v>
      </c>
      <c r="AJ11" s="9">
        <v>5104</v>
      </c>
      <c r="AK11" s="9" t="s">
        <v>651</v>
      </c>
      <c r="AL11" s="11" t="s">
        <v>453</v>
      </c>
      <c r="AM11" s="9">
        <v>0</v>
      </c>
      <c r="AN11" s="9">
        <v>0</v>
      </c>
      <c r="AO11" s="9">
        <v>0</v>
      </c>
      <c r="AP11" s="9">
        <v>0</v>
      </c>
      <c r="AQ11" s="9">
        <v>0</v>
      </c>
      <c r="AR11" s="9">
        <v>0</v>
      </c>
      <c r="AS11" s="9">
        <v>0</v>
      </c>
      <c r="AT11" s="9">
        <v>0</v>
      </c>
      <c r="AU11" s="9">
        <v>0</v>
      </c>
      <c r="AV11" s="9">
        <v>-353524</v>
      </c>
      <c r="AW11" s="9">
        <v>4674538</v>
      </c>
      <c r="AX11" s="9">
        <v>4547386</v>
      </c>
      <c r="AY11" s="9">
        <v>4419446</v>
      </c>
      <c r="AZ11" s="9">
        <v>298183</v>
      </c>
      <c r="BA11" s="9">
        <v>0</v>
      </c>
      <c r="BB11" s="9">
        <v>0</v>
      </c>
      <c r="BC11" s="9">
        <v>0</v>
      </c>
      <c r="BD11" s="9">
        <v>0</v>
      </c>
      <c r="BE11" s="9">
        <v>0</v>
      </c>
      <c r="BF11" s="9">
        <v>3953254</v>
      </c>
      <c r="BG11" s="9">
        <v>0</v>
      </c>
      <c r="BH11" s="9">
        <v>152.52700000000002</v>
      </c>
      <c r="BI11" s="9">
        <v>41945</v>
      </c>
      <c r="BJ11" s="9">
        <v>12</v>
      </c>
      <c r="BK11" s="9">
        <v>0</v>
      </c>
      <c r="BL11" s="9">
        <v>0</v>
      </c>
      <c r="BM11" s="9">
        <v>0</v>
      </c>
      <c r="BN11" s="9">
        <v>0</v>
      </c>
      <c r="BO11" s="9">
        <v>0</v>
      </c>
      <c r="BP11" s="9">
        <v>0</v>
      </c>
      <c r="BQ11" s="9">
        <v>5392</v>
      </c>
      <c r="BR11" s="9">
        <v>1</v>
      </c>
      <c r="BS11" s="9">
        <v>0</v>
      </c>
      <c r="BT11" s="9">
        <v>0</v>
      </c>
      <c r="BU11" s="9">
        <v>0</v>
      </c>
      <c r="BV11" s="9">
        <v>0</v>
      </c>
      <c r="BW11" s="9">
        <v>0</v>
      </c>
      <c r="BX11" s="9">
        <v>0</v>
      </c>
      <c r="BY11" s="9">
        <v>0</v>
      </c>
      <c r="BZ11" s="9">
        <v>0</v>
      </c>
      <c r="CA11" s="9">
        <v>0</v>
      </c>
      <c r="CB11" s="9">
        <v>0</v>
      </c>
      <c r="CC11" s="9">
        <v>0</v>
      </c>
      <c r="CD11" s="9">
        <v>0</v>
      </c>
      <c r="CE11" s="9">
        <v>0</v>
      </c>
      <c r="CF11" s="9">
        <v>0</v>
      </c>
      <c r="CG11" s="9">
        <v>0</v>
      </c>
      <c r="CH11" s="9">
        <v>85207</v>
      </c>
      <c r="CI11" s="9">
        <v>0</v>
      </c>
      <c r="CJ11" s="9">
        <v>4</v>
      </c>
      <c r="CK11" s="9">
        <v>0</v>
      </c>
      <c r="CL11" s="9">
        <v>0</v>
      </c>
      <c r="CM11" s="9">
        <v>0</v>
      </c>
      <c r="CN11" s="9">
        <v>0</v>
      </c>
      <c r="CO11" s="9">
        <v>0</v>
      </c>
      <c r="CP11" s="9">
        <v>0</v>
      </c>
      <c r="CQ11" s="9">
        <v>0</v>
      </c>
      <c r="CR11" s="9">
        <v>495.84100000000001</v>
      </c>
      <c r="CS11" s="9">
        <v>0</v>
      </c>
      <c r="CT11" s="9">
        <v>0</v>
      </c>
      <c r="CU11" s="9">
        <v>0</v>
      </c>
      <c r="CV11" s="9">
        <v>0</v>
      </c>
      <c r="CW11" s="9">
        <v>0</v>
      </c>
      <c r="CX11" s="9">
        <v>0</v>
      </c>
      <c r="CY11" s="9">
        <v>0</v>
      </c>
      <c r="CZ11" s="9">
        <v>0</v>
      </c>
      <c r="DA11" s="9">
        <v>1</v>
      </c>
      <c r="DB11" s="9">
        <v>3139221</v>
      </c>
      <c r="DC11" s="9">
        <v>0</v>
      </c>
      <c r="DD11" s="9">
        <v>0</v>
      </c>
      <c r="DE11" s="9">
        <v>675650</v>
      </c>
      <c r="DF11" s="9">
        <v>675650</v>
      </c>
      <c r="DG11" s="9">
        <v>516</v>
      </c>
      <c r="DH11" s="9">
        <v>0</v>
      </c>
      <c r="DI11" s="9">
        <v>0</v>
      </c>
      <c r="DJ11" s="9">
        <v>0</v>
      </c>
      <c r="DK11" s="9">
        <v>5392</v>
      </c>
      <c r="DL11" s="9">
        <v>0</v>
      </c>
      <c r="DM11" s="9">
        <v>214495</v>
      </c>
      <c r="DN11" s="9">
        <v>0</v>
      </c>
      <c r="DO11" s="9">
        <v>0</v>
      </c>
      <c r="DP11" s="9">
        <v>0</v>
      </c>
      <c r="DQ11" s="9">
        <v>0</v>
      </c>
      <c r="DR11" s="9">
        <v>0</v>
      </c>
      <c r="DS11" s="9">
        <v>0</v>
      </c>
      <c r="DT11" s="9">
        <v>0</v>
      </c>
      <c r="DU11" s="9">
        <v>0</v>
      </c>
      <c r="DV11" s="9">
        <v>0</v>
      </c>
      <c r="DW11" s="9">
        <v>0</v>
      </c>
      <c r="DX11" s="9">
        <v>0</v>
      </c>
      <c r="DY11" s="9">
        <v>0</v>
      </c>
      <c r="DZ11" s="9">
        <v>0</v>
      </c>
      <c r="EA11" s="9">
        <v>0</v>
      </c>
      <c r="EB11" s="9">
        <v>0</v>
      </c>
      <c r="EC11" s="9">
        <v>18.474</v>
      </c>
      <c r="ED11" s="9">
        <v>133044</v>
      </c>
      <c r="EE11" s="9">
        <v>0</v>
      </c>
      <c r="EF11" s="9">
        <v>0</v>
      </c>
      <c r="EG11" s="9">
        <v>0</v>
      </c>
      <c r="EH11" s="9">
        <v>81451</v>
      </c>
      <c r="EI11" s="9">
        <v>0</v>
      </c>
      <c r="EJ11" s="9">
        <v>0</v>
      </c>
      <c r="EK11" s="9">
        <v>0.38200000000000001</v>
      </c>
      <c r="EL11" s="9">
        <v>0</v>
      </c>
      <c r="EM11" s="9">
        <v>3.0250000000000004</v>
      </c>
      <c r="EN11" s="9">
        <v>0.44400000000000001</v>
      </c>
      <c r="EO11" s="9">
        <v>0</v>
      </c>
      <c r="EP11" s="9">
        <v>0</v>
      </c>
      <c r="EQ11" s="9">
        <v>3.851</v>
      </c>
      <c r="ER11" s="9">
        <v>0</v>
      </c>
      <c r="ES11" s="9">
        <v>12.441000000000001</v>
      </c>
      <c r="ET11" s="9">
        <v>0</v>
      </c>
      <c r="EU11" s="9">
        <v>298183</v>
      </c>
      <c r="EV11" s="9">
        <v>0</v>
      </c>
      <c r="EW11" s="9">
        <v>0</v>
      </c>
      <c r="EX11" s="9">
        <v>0</v>
      </c>
      <c r="EY11" s="9">
        <v>0</v>
      </c>
      <c r="EZ11" s="9">
        <v>3805597</v>
      </c>
      <c r="FA11" s="9">
        <v>0</v>
      </c>
      <c r="FB11" s="9">
        <v>4103780</v>
      </c>
      <c r="FC11" s="9">
        <v>0.97326799999999991</v>
      </c>
      <c r="FD11" s="9">
        <v>0</v>
      </c>
      <c r="FE11" s="9">
        <v>611558</v>
      </c>
      <c r="FF11" s="9">
        <v>130231</v>
      </c>
      <c r="FG11" s="9">
        <v>5.8088000000000001E-2</v>
      </c>
      <c r="FH11" s="9">
        <v>5.2622999999999996E-2</v>
      </c>
      <c r="FI11" s="9">
        <v>0</v>
      </c>
      <c r="FJ11" s="9">
        <v>0</v>
      </c>
      <c r="FK11" s="9">
        <v>774.58300000000008</v>
      </c>
      <c r="FL11" s="9">
        <v>4930776</v>
      </c>
      <c r="FM11" s="9">
        <v>0</v>
      </c>
      <c r="FN11" s="9">
        <v>0</v>
      </c>
      <c r="FO11" s="9">
        <v>0</v>
      </c>
      <c r="FP11" s="9">
        <v>0</v>
      </c>
      <c r="FQ11" s="9">
        <v>0</v>
      </c>
      <c r="FR11" s="9">
        <v>0</v>
      </c>
      <c r="FS11" s="9">
        <v>0</v>
      </c>
      <c r="FT11" s="9">
        <v>0</v>
      </c>
      <c r="FU11" s="9">
        <v>0</v>
      </c>
      <c r="FV11" s="9">
        <v>0</v>
      </c>
      <c r="FW11" s="9">
        <v>0</v>
      </c>
      <c r="FX11" s="9">
        <v>0</v>
      </c>
      <c r="FY11" s="9">
        <v>0</v>
      </c>
      <c r="FZ11" s="9">
        <v>0</v>
      </c>
      <c r="GA11" s="9">
        <v>0</v>
      </c>
      <c r="GB11" s="9">
        <v>0</v>
      </c>
      <c r="GC11" s="9">
        <v>0</v>
      </c>
      <c r="GD11" s="9">
        <v>0</v>
      </c>
      <c r="GE11" s="9">
        <v>0</v>
      </c>
      <c r="GF11" s="9">
        <v>0</v>
      </c>
      <c r="GG11" s="9">
        <v>0</v>
      </c>
      <c r="GH11" s="9">
        <v>0</v>
      </c>
      <c r="GI11" s="9">
        <v>0</v>
      </c>
      <c r="GJ11" s="9">
        <v>0</v>
      </c>
      <c r="GK11" s="9">
        <v>4979</v>
      </c>
      <c r="GL11" s="9">
        <v>20520</v>
      </c>
      <c r="GM11" s="9">
        <v>0</v>
      </c>
      <c r="GN11" s="9">
        <v>0</v>
      </c>
      <c r="GO11" s="9">
        <v>0</v>
      </c>
      <c r="GP11" s="9">
        <v>4845569</v>
      </c>
      <c r="GQ11" s="9">
        <v>4845569</v>
      </c>
      <c r="GR11" s="9">
        <v>0</v>
      </c>
      <c r="GS11" s="9">
        <v>0</v>
      </c>
      <c r="GT11" s="9">
        <v>0</v>
      </c>
      <c r="GU11" s="9">
        <v>0</v>
      </c>
      <c r="GV11" s="9">
        <v>0</v>
      </c>
      <c r="GW11" s="9">
        <v>0</v>
      </c>
      <c r="GX11" s="9">
        <v>0</v>
      </c>
      <c r="GY11" s="9">
        <v>0</v>
      </c>
      <c r="GZ11" s="9">
        <v>0</v>
      </c>
      <c r="HA11" s="9">
        <v>0</v>
      </c>
      <c r="HB11" s="9">
        <v>300501363</v>
      </c>
      <c r="HC11" s="9">
        <v>4.4742999999999998E-2</v>
      </c>
      <c r="HD11" s="9">
        <v>85207</v>
      </c>
      <c r="HE11" s="9">
        <v>0</v>
      </c>
      <c r="HF11" s="9">
        <v>0</v>
      </c>
      <c r="HG11" s="9">
        <v>0</v>
      </c>
      <c r="HH11" s="9">
        <v>0</v>
      </c>
      <c r="HI11" s="9">
        <v>0</v>
      </c>
      <c r="HJ11" s="9">
        <v>0</v>
      </c>
      <c r="HK11" s="9">
        <v>0</v>
      </c>
      <c r="HL11" s="9">
        <v>0</v>
      </c>
      <c r="HM11" s="9">
        <v>0</v>
      </c>
      <c r="HN11" s="9">
        <v>0</v>
      </c>
      <c r="HO11" s="9">
        <v>0</v>
      </c>
      <c r="HP11" s="9">
        <v>0</v>
      </c>
      <c r="HQ11" s="9">
        <v>0</v>
      </c>
      <c r="HR11" s="9">
        <v>0</v>
      </c>
      <c r="HS11" s="9">
        <v>0</v>
      </c>
      <c r="HT11" s="9">
        <v>0</v>
      </c>
      <c r="HU11" s="9">
        <v>0</v>
      </c>
      <c r="HV11" s="9">
        <v>0</v>
      </c>
      <c r="HW11" s="9">
        <v>0</v>
      </c>
      <c r="HX11" s="9">
        <v>0</v>
      </c>
      <c r="HY11" s="9">
        <v>0</v>
      </c>
      <c r="HZ11" s="9">
        <v>0</v>
      </c>
      <c r="IA11" s="9">
        <v>0</v>
      </c>
      <c r="IB11" s="9">
        <v>0</v>
      </c>
      <c r="IC11" s="9">
        <v>0</v>
      </c>
      <c r="ID11" s="9">
        <v>0</v>
      </c>
      <c r="IE11" s="9">
        <v>0</v>
      </c>
      <c r="IF11" s="9">
        <v>0</v>
      </c>
      <c r="IG11" s="9">
        <v>0</v>
      </c>
      <c r="IH11" s="9">
        <v>0</v>
      </c>
      <c r="II11" s="9">
        <v>0</v>
      </c>
      <c r="IJ11" s="9">
        <v>0</v>
      </c>
      <c r="IK11" s="9">
        <v>0</v>
      </c>
      <c r="IL11" s="9">
        <v>0</v>
      </c>
      <c r="IM11" s="9">
        <v>0</v>
      </c>
      <c r="IN11" s="9">
        <v>0</v>
      </c>
      <c r="IO11" s="9">
        <v>0</v>
      </c>
      <c r="IP11" s="9">
        <v>0</v>
      </c>
      <c r="IQ11" s="9">
        <v>0</v>
      </c>
      <c r="IR11" s="9">
        <v>0</v>
      </c>
      <c r="IS11" s="9">
        <v>0</v>
      </c>
      <c r="IT11" s="9">
        <v>0</v>
      </c>
      <c r="IU11" s="9">
        <v>0</v>
      </c>
      <c r="IV11" s="9">
        <v>0</v>
      </c>
      <c r="IW11" s="9">
        <v>0</v>
      </c>
      <c r="IX11" s="9">
        <v>0</v>
      </c>
      <c r="IY11" s="9">
        <v>0</v>
      </c>
      <c r="IZ11" s="9">
        <v>0</v>
      </c>
      <c r="JA11" s="9">
        <v>0</v>
      </c>
      <c r="JB11" s="9">
        <v>0</v>
      </c>
      <c r="JC11" s="9">
        <v>0</v>
      </c>
      <c r="JD11" s="9">
        <v>0</v>
      </c>
      <c r="JE11" s="9">
        <v>0</v>
      </c>
      <c r="JF11" s="9">
        <v>0</v>
      </c>
      <c r="JG11" s="9">
        <v>0</v>
      </c>
      <c r="JH11" s="9">
        <v>0</v>
      </c>
      <c r="JI11" s="9">
        <v>0</v>
      </c>
      <c r="JJ11" s="9">
        <v>0</v>
      </c>
      <c r="JK11" s="9">
        <v>0</v>
      </c>
      <c r="JL11" s="9">
        <v>0</v>
      </c>
      <c r="JM11" s="9">
        <v>0</v>
      </c>
      <c r="JN11" s="9">
        <v>36832</v>
      </c>
      <c r="JO11" s="9">
        <v>0</v>
      </c>
      <c r="JP11" s="9">
        <v>0</v>
      </c>
      <c r="JQ11" s="9">
        <v>0</v>
      </c>
      <c r="JR11" s="9">
        <v>0</v>
      </c>
      <c r="JS11" s="9">
        <v>0</v>
      </c>
      <c r="JT11" s="9">
        <v>0</v>
      </c>
      <c r="JU11" s="9">
        <v>0</v>
      </c>
      <c r="JV11" s="9">
        <v>0</v>
      </c>
      <c r="JW11" s="9">
        <v>0</v>
      </c>
      <c r="JX11" s="9">
        <v>0</v>
      </c>
      <c r="JY11" s="9">
        <v>0</v>
      </c>
      <c r="JZ11" s="9">
        <v>0</v>
      </c>
      <c r="KA11" s="9">
        <v>0</v>
      </c>
      <c r="KB11" s="9">
        <v>0</v>
      </c>
      <c r="KC11" s="9">
        <v>0</v>
      </c>
      <c r="KD11" s="9">
        <v>0</v>
      </c>
      <c r="KE11" s="9">
        <v>0</v>
      </c>
      <c r="KF11" s="9">
        <v>0</v>
      </c>
      <c r="KG11" s="9">
        <v>0</v>
      </c>
      <c r="KH11" s="9">
        <v>0</v>
      </c>
      <c r="KI11" s="9">
        <v>0</v>
      </c>
    </row>
    <row r="12" spans="1:295" x14ac:dyDescent="0.25">
      <c r="A12" s="9">
        <v>15806</v>
      </c>
      <c r="B12" s="9">
        <v>36871</v>
      </c>
      <c r="C12" s="9">
        <v>35</v>
      </c>
      <c r="D12" s="9">
        <v>2023</v>
      </c>
      <c r="E12" s="9">
        <v>5392</v>
      </c>
      <c r="F12" s="9">
        <v>0</v>
      </c>
      <c r="G12" s="9">
        <v>0</v>
      </c>
      <c r="H12" s="9">
        <v>319.44600000000003</v>
      </c>
      <c r="I12" s="9">
        <v>319.44600000000003</v>
      </c>
      <c r="J12" s="9">
        <v>345.69600000000003</v>
      </c>
      <c r="K12" s="9">
        <v>0</v>
      </c>
      <c r="L12" s="9">
        <v>6547</v>
      </c>
      <c r="M12" s="9">
        <v>0</v>
      </c>
      <c r="N12" s="9">
        <v>0</v>
      </c>
      <c r="O12" s="9">
        <v>0</v>
      </c>
      <c r="P12" s="9">
        <v>405.83300000000003</v>
      </c>
      <c r="Q12" s="9">
        <v>0</v>
      </c>
      <c r="R12" s="9">
        <v>197609</v>
      </c>
      <c r="S12" s="9">
        <v>486.92200000000003</v>
      </c>
      <c r="T12" s="9">
        <v>0</v>
      </c>
      <c r="U12" s="9">
        <v>197609</v>
      </c>
      <c r="V12" s="9">
        <v>68.62</v>
      </c>
      <c r="W12" s="9">
        <v>44926</v>
      </c>
      <c r="X12" s="9">
        <v>44926</v>
      </c>
      <c r="Y12" s="9">
        <v>0</v>
      </c>
      <c r="Z12" s="9">
        <v>0</v>
      </c>
      <c r="AA12" s="9">
        <v>1</v>
      </c>
      <c r="AB12" s="9">
        <v>1</v>
      </c>
      <c r="AC12" s="9">
        <v>0</v>
      </c>
      <c r="AD12" s="9" t="s">
        <v>314</v>
      </c>
      <c r="AE12" s="9">
        <v>0</v>
      </c>
      <c r="AF12" s="9">
        <v>0</v>
      </c>
      <c r="AG12" s="9">
        <v>0</v>
      </c>
      <c r="AH12" s="9">
        <v>0</v>
      </c>
      <c r="AI12" s="9">
        <v>0</v>
      </c>
      <c r="AJ12" s="9">
        <v>5104</v>
      </c>
      <c r="AK12" s="9" t="s">
        <v>651</v>
      </c>
      <c r="AL12" s="11" t="s">
        <v>698</v>
      </c>
      <c r="AM12" s="9">
        <v>0</v>
      </c>
      <c r="AN12" s="9">
        <v>0</v>
      </c>
      <c r="AO12" s="9">
        <v>0</v>
      </c>
      <c r="AP12" s="9">
        <v>0</v>
      </c>
      <c r="AQ12" s="9">
        <v>0</v>
      </c>
      <c r="AR12" s="9">
        <v>0</v>
      </c>
      <c r="AS12" s="9">
        <v>0</v>
      </c>
      <c r="AT12" s="9">
        <v>0</v>
      </c>
      <c r="AU12" s="9">
        <v>0</v>
      </c>
      <c r="AV12" s="9">
        <v>-288546</v>
      </c>
      <c r="AW12" s="9">
        <v>3681361</v>
      </c>
      <c r="AX12" s="9">
        <v>3575494</v>
      </c>
      <c r="AY12" s="9">
        <v>3283667</v>
      </c>
      <c r="AZ12" s="9">
        <v>219138</v>
      </c>
      <c r="BA12" s="9">
        <v>46.5</v>
      </c>
      <c r="BB12" s="9">
        <v>0</v>
      </c>
      <c r="BC12" s="9">
        <v>0</v>
      </c>
      <c r="BD12" s="9">
        <v>0</v>
      </c>
      <c r="BE12" s="9">
        <v>0</v>
      </c>
      <c r="BF12" s="9">
        <v>3075499</v>
      </c>
      <c r="BG12" s="9">
        <v>0</v>
      </c>
      <c r="BH12" s="9">
        <v>78.289000000000001</v>
      </c>
      <c r="BI12" s="9">
        <v>21529</v>
      </c>
      <c r="BJ12" s="9">
        <v>12</v>
      </c>
      <c r="BK12" s="9">
        <v>0</v>
      </c>
      <c r="BL12" s="9">
        <v>0</v>
      </c>
      <c r="BM12" s="9">
        <v>0</v>
      </c>
      <c r="BN12" s="9">
        <v>0</v>
      </c>
      <c r="BO12" s="9">
        <v>0</v>
      </c>
      <c r="BP12" s="9">
        <v>0</v>
      </c>
      <c r="BQ12" s="9">
        <v>5392</v>
      </c>
      <c r="BR12" s="9">
        <v>1</v>
      </c>
      <c r="BS12" s="9">
        <v>0</v>
      </c>
      <c r="BT12" s="9">
        <v>0</v>
      </c>
      <c r="BU12" s="9">
        <v>0</v>
      </c>
      <c r="BV12" s="9">
        <v>0</v>
      </c>
      <c r="BW12" s="9">
        <v>0</v>
      </c>
      <c r="BX12" s="9">
        <v>0</v>
      </c>
      <c r="BY12" s="9">
        <v>0</v>
      </c>
      <c r="BZ12" s="9">
        <v>0</v>
      </c>
      <c r="CA12" s="9">
        <v>0</v>
      </c>
      <c r="CB12" s="9">
        <v>0</v>
      </c>
      <c r="CC12" s="9">
        <v>0</v>
      </c>
      <c r="CD12" s="9">
        <v>0</v>
      </c>
      <c r="CE12" s="9">
        <v>0</v>
      </c>
      <c r="CF12" s="9">
        <v>0</v>
      </c>
      <c r="CG12" s="9">
        <v>0</v>
      </c>
      <c r="CH12" s="9">
        <v>84338</v>
      </c>
      <c r="CI12" s="9">
        <v>0</v>
      </c>
      <c r="CJ12" s="9">
        <v>4</v>
      </c>
      <c r="CK12" s="9">
        <v>0</v>
      </c>
      <c r="CL12" s="9">
        <v>0</v>
      </c>
      <c r="CM12" s="9">
        <v>0</v>
      </c>
      <c r="CN12" s="9">
        <v>0</v>
      </c>
      <c r="CO12" s="9">
        <v>0</v>
      </c>
      <c r="CP12" s="9">
        <v>0</v>
      </c>
      <c r="CQ12" s="9">
        <v>0.58300000000000007</v>
      </c>
      <c r="CR12" s="9">
        <v>372.02300000000002</v>
      </c>
      <c r="CS12" s="9">
        <v>0</v>
      </c>
      <c r="CT12" s="9">
        <v>0</v>
      </c>
      <c r="CU12" s="9">
        <v>0</v>
      </c>
      <c r="CV12" s="9">
        <v>0</v>
      </c>
      <c r="CW12" s="9">
        <v>0</v>
      </c>
      <c r="CX12" s="9">
        <v>0</v>
      </c>
      <c r="CY12" s="9">
        <v>0</v>
      </c>
      <c r="CZ12" s="9">
        <v>0</v>
      </c>
      <c r="DA12" s="9">
        <v>1</v>
      </c>
      <c r="DB12" s="9">
        <v>2091413</v>
      </c>
      <c r="DC12" s="9">
        <v>0</v>
      </c>
      <c r="DD12" s="9">
        <v>0</v>
      </c>
      <c r="DE12" s="9">
        <v>605165</v>
      </c>
      <c r="DF12" s="9">
        <v>605165</v>
      </c>
      <c r="DG12" s="9">
        <v>462.17</v>
      </c>
      <c r="DH12" s="9">
        <v>0</v>
      </c>
      <c r="DI12" s="9">
        <v>0</v>
      </c>
      <c r="DJ12" s="9">
        <v>0</v>
      </c>
      <c r="DK12" s="9">
        <v>5392</v>
      </c>
      <c r="DL12" s="9">
        <v>0</v>
      </c>
      <c r="DM12" s="9">
        <v>236068</v>
      </c>
      <c r="DN12" s="9">
        <v>0</v>
      </c>
      <c r="DO12" s="9">
        <v>0</v>
      </c>
      <c r="DP12" s="9">
        <v>0</v>
      </c>
      <c r="DQ12" s="9">
        <v>0</v>
      </c>
      <c r="DR12" s="9">
        <v>0</v>
      </c>
      <c r="DS12" s="9">
        <v>0</v>
      </c>
      <c r="DT12" s="9">
        <v>0</v>
      </c>
      <c r="DU12" s="9">
        <v>0</v>
      </c>
      <c r="DV12" s="9">
        <v>0</v>
      </c>
      <c r="DW12" s="9">
        <v>0</v>
      </c>
      <c r="DX12" s="9">
        <v>0</v>
      </c>
      <c r="DY12" s="9">
        <v>0</v>
      </c>
      <c r="DZ12" s="9">
        <v>0</v>
      </c>
      <c r="EA12" s="9">
        <v>0</v>
      </c>
      <c r="EB12" s="9">
        <v>0</v>
      </c>
      <c r="EC12" s="9">
        <v>16.744</v>
      </c>
      <c r="ED12" s="9">
        <v>120585</v>
      </c>
      <c r="EE12" s="9">
        <v>0</v>
      </c>
      <c r="EF12" s="9">
        <v>0</v>
      </c>
      <c r="EG12" s="9">
        <v>0</v>
      </c>
      <c r="EH12" s="9">
        <v>115483</v>
      </c>
      <c r="EI12" s="9">
        <v>0</v>
      </c>
      <c r="EJ12" s="9">
        <v>0</v>
      </c>
      <c r="EK12" s="9">
        <v>3.5490000000000004</v>
      </c>
      <c r="EL12" s="9">
        <v>0</v>
      </c>
      <c r="EM12" s="9">
        <v>1.6640000000000001</v>
      </c>
      <c r="EN12" s="9">
        <v>0.4</v>
      </c>
      <c r="EO12" s="9">
        <v>0</v>
      </c>
      <c r="EP12" s="9">
        <v>0</v>
      </c>
      <c r="EQ12" s="9">
        <v>5.6130000000000004</v>
      </c>
      <c r="ER12" s="9">
        <v>0</v>
      </c>
      <c r="ES12" s="9">
        <v>17.638999999999999</v>
      </c>
      <c r="ET12" s="9">
        <v>23396</v>
      </c>
      <c r="EU12" s="9">
        <v>219138</v>
      </c>
      <c r="EV12" s="9">
        <v>0</v>
      </c>
      <c r="EW12" s="9">
        <v>0</v>
      </c>
      <c r="EX12" s="9">
        <v>0</v>
      </c>
      <c r="EY12" s="9">
        <v>0</v>
      </c>
      <c r="EZ12" s="9">
        <v>2998408</v>
      </c>
      <c r="FA12" s="9">
        <v>0</v>
      </c>
      <c r="FB12" s="9">
        <v>3217546</v>
      </c>
      <c r="FC12" s="9">
        <v>0.97326799999999991</v>
      </c>
      <c r="FD12" s="9">
        <v>0</v>
      </c>
      <c r="FE12" s="9">
        <v>475771</v>
      </c>
      <c r="FF12" s="9">
        <v>101315</v>
      </c>
      <c r="FG12" s="9">
        <v>5.8088000000000001E-2</v>
      </c>
      <c r="FH12" s="9">
        <v>5.2622999999999996E-2</v>
      </c>
      <c r="FI12" s="9">
        <v>0</v>
      </c>
      <c r="FJ12" s="9">
        <v>0</v>
      </c>
      <c r="FK12" s="9">
        <v>602.59900000000005</v>
      </c>
      <c r="FL12" s="9">
        <v>3878970</v>
      </c>
      <c r="FM12" s="9">
        <v>0</v>
      </c>
      <c r="FN12" s="9">
        <v>0</v>
      </c>
      <c r="FO12" s="9">
        <v>36046</v>
      </c>
      <c r="FP12" s="9">
        <v>0</v>
      </c>
      <c r="FQ12" s="9">
        <v>36046</v>
      </c>
      <c r="FR12" s="9">
        <v>36046</v>
      </c>
      <c r="FS12" s="9">
        <v>0</v>
      </c>
      <c r="FT12" s="9">
        <v>0</v>
      </c>
      <c r="FU12" s="9">
        <v>0</v>
      </c>
      <c r="FV12" s="9">
        <v>0</v>
      </c>
      <c r="FW12" s="9">
        <v>0</v>
      </c>
      <c r="FX12" s="9">
        <v>0</v>
      </c>
      <c r="FY12" s="9">
        <v>0</v>
      </c>
      <c r="FZ12" s="9">
        <v>0</v>
      </c>
      <c r="GA12" s="9">
        <v>0</v>
      </c>
      <c r="GB12" s="9">
        <v>182399</v>
      </c>
      <c r="GC12" s="9">
        <v>182399</v>
      </c>
      <c r="GD12" s="9">
        <v>20.637</v>
      </c>
      <c r="GE12" s="9">
        <v>0</v>
      </c>
      <c r="GF12" s="9">
        <v>0</v>
      </c>
      <c r="GG12" s="9">
        <v>0</v>
      </c>
      <c r="GH12" s="9">
        <v>0</v>
      </c>
      <c r="GI12" s="9">
        <v>0</v>
      </c>
      <c r="GJ12" s="9">
        <v>0</v>
      </c>
      <c r="GK12" s="9">
        <v>5180</v>
      </c>
      <c r="GL12" s="9">
        <v>80006</v>
      </c>
      <c r="GM12" s="9">
        <v>0</v>
      </c>
      <c r="GN12" s="9">
        <v>248790</v>
      </c>
      <c r="GO12" s="9">
        <v>0</v>
      </c>
      <c r="GP12" s="9">
        <v>3794632</v>
      </c>
      <c r="GQ12" s="9">
        <v>3794632</v>
      </c>
      <c r="GR12" s="9">
        <v>0</v>
      </c>
      <c r="GS12" s="9">
        <v>0</v>
      </c>
      <c r="GT12" s="9">
        <v>0</v>
      </c>
      <c r="GU12" s="9">
        <v>0</v>
      </c>
      <c r="GV12" s="9">
        <v>0</v>
      </c>
      <c r="GW12" s="9">
        <v>0</v>
      </c>
      <c r="GX12" s="9">
        <v>0</v>
      </c>
      <c r="GY12" s="9">
        <v>0</v>
      </c>
      <c r="GZ12" s="9">
        <v>0</v>
      </c>
      <c r="HA12" s="9">
        <v>0</v>
      </c>
      <c r="HB12" s="9">
        <v>300501363</v>
      </c>
      <c r="HC12" s="9">
        <v>4.4742999999999998E-2</v>
      </c>
      <c r="HD12" s="9">
        <v>60942</v>
      </c>
      <c r="HE12" s="9">
        <v>0</v>
      </c>
      <c r="HF12" s="9">
        <v>0</v>
      </c>
      <c r="HG12" s="9">
        <v>0</v>
      </c>
      <c r="HH12" s="9">
        <v>0</v>
      </c>
      <c r="HI12" s="9">
        <v>0</v>
      </c>
      <c r="HJ12" s="9">
        <v>0</v>
      </c>
      <c r="HK12" s="9">
        <v>0</v>
      </c>
      <c r="HL12" s="9">
        <v>0</v>
      </c>
      <c r="HM12" s="9">
        <v>0</v>
      </c>
      <c r="HN12" s="9">
        <v>0</v>
      </c>
      <c r="HO12" s="9">
        <v>0</v>
      </c>
      <c r="HP12" s="9">
        <v>0</v>
      </c>
      <c r="HQ12" s="9">
        <v>0</v>
      </c>
      <c r="HR12" s="9">
        <v>0</v>
      </c>
      <c r="HS12" s="9">
        <v>0</v>
      </c>
      <c r="HT12" s="9">
        <v>0</v>
      </c>
      <c r="HU12" s="9">
        <v>0</v>
      </c>
      <c r="HV12" s="9">
        <v>0</v>
      </c>
      <c r="HW12" s="9">
        <v>0</v>
      </c>
      <c r="HX12" s="9">
        <v>0</v>
      </c>
      <c r="HY12" s="9">
        <v>0</v>
      </c>
      <c r="HZ12" s="9">
        <v>0</v>
      </c>
      <c r="IA12" s="9">
        <v>0</v>
      </c>
      <c r="IB12" s="9">
        <v>0</v>
      </c>
      <c r="IC12" s="9">
        <v>0</v>
      </c>
      <c r="ID12" s="9">
        <v>0</v>
      </c>
      <c r="IE12" s="9">
        <v>0</v>
      </c>
      <c r="IF12" s="9">
        <v>0</v>
      </c>
      <c r="IG12" s="9">
        <v>0</v>
      </c>
      <c r="IH12" s="9">
        <v>0</v>
      </c>
      <c r="II12" s="9">
        <v>0</v>
      </c>
      <c r="IJ12" s="9">
        <v>0</v>
      </c>
      <c r="IK12" s="9">
        <v>0</v>
      </c>
      <c r="IL12" s="9">
        <v>0</v>
      </c>
      <c r="IM12" s="9">
        <v>0</v>
      </c>
      <c r="IN12" s="9">
        <v>0</v>
      </c>
      <c r="IO12" s="9">
        <v>0</v>
      </c>
      <c r="IP12" s="9">
        <v>0</v>
      </c>
      <c r="IQ12" s="9">
        <v>0</v>
      </c>
      <c r="IR12" s="9">
        <v>0</v>
      </c>
      <c r="IS12" s="9">
        <v>0</v>
      </c>
      <c r="IT12" s="9">
        <v>0</v>
      </c>
      <c r="IU12" s="9">
        <v>0</v>
      </c>
      <c r="IV12" s="9">
        <v>0</v>
      </c>
      <c r="IW12" s="9">
        <v>0</v>
      </c>
      <c r="IX12" s="9">
        <v>0</v>
      </c>
      <c r="IY12" s="9">
        <v>0</v>
      </c>
      <c r="IZ12" s="9">
        <v>0</v>
      </c>
      <c r="JA12" s="9">
        <v>0</v>
      </c>
      <c r="JB12" s="9">
        <v>0</v>
      </c>
      <c r="JC12" s="9">
        <v>0</v>
      </c>
      <c r="JD12" s="9">
        <v>0</v>
      </c>
      <c r="JE12" s="9">
        <v>0</v>
      </c>
      <c r="JF12" s="9">
        <v>0</v>
      </c>
      <c r="JG12" s="9">
        <v>0</v>
      </c>
      <c r="JH12" s="9">
        <v>0</v>
      </c>
      <c r="JI12" s="9">
        <v>0</v>
      </c>
      <c r="JJ12" s="9">
        <v>0</v>
      </c>
      <c r="JK12" s="9">
        <v>0</v>
      </c>
      <c r="JL12" s="9">
        <v>0</v>
      </c>
      <c r="JM12" s="9">
        <v>0</v>
      </c>
      <c r="JN12" s="9">
        <v>36832</v>
      </c>
      <c r="JO12" s="9">
        <v>0</v>
      </c>
      <c r="JP12" s="9">
        <v>0</v>
      </c>
      <c r="JQ12" s="9">
        <v>0</v>
      </c>
      <c r="JR12" s="9">
        <v>0</v>
      </c>
      <c r="JS12" s="9">
        <v>0</v>
      </c>
      <c r="JT12" s="9">
        <v>0</v>
      </c>
      <c r="JU12" s="9">
        <v>0</v>
      </c>
      <c r="JV12" s="9">
        <v>0</v>
      </c>
      <c r="JW12" s="9">
        <v>0</v>
      </c>
      <c r="JX12" s="9">
        <v>0</v>
      </c>
      <c r="JY12" s="9">
        <v>0</v>
      </c>
      <c r="JZ12" s="9">
        <v>0</v>
      </c>
      <c r="KA12" s="9">
        <v>0</v>
      </c>
      <c r="KB12" s="9">
        <v>0</v>
      </c>
      <c r="KC12" s="9">
        <v>0</v>
      </c>
      <c r="KD12" s="9">
        <v>0</v>
      </c>
      <c r="KE12" s="9">
        <v>0</v>
      </c>
      <c r="KF12" s="9">
        <v>0</v>
      </c>
      <c r="KG12" s="9">
        <v>0</v>
      </c>
      <c r="KH12" s="9">
        <v>0</v>
      </c>
      <c r="KI12" s="9">
        <v>0</v>
      </c>
    </row>
    <row r="13" spans="1:295" x14ac:dyDescent="0.25">
      <c r="A13" s="9">
        <v>15807</v>
      </c>
      <c r="B13" s="9">
        <v>36871</v>
      </c>
      <c r="C13" s="9">
        <v>35</v>
      </c>
      <c r="D13" s="9">
        <v>2023</v>
      </c>
      <c r="E13" s="9">
        <v>5392</v>
      </c>
      <c r="F13" s="9">
        <v>0</v>
      </c>
      <c r="G13" s="9">
        <v>0</v>
      </c>
      <c r="H13" s="9">
        <v>777.83800000000008</v>
      </c>
      <c r="I13" s="9">
        <v>777.83800000000008</v>
      </c>
      <c r="J13" s="9">
        <v>875.9</v>
      </c>
      <c r="K13" s="9">
        <v>0</v>
      </c>
      <c r="L13" s="9">
        <v>6547</v>
      </c>
      <c r="M13" s="9">
        <v>0</v>
      </c>
      <c r="N13" s="9">
        <v>0</v>
      </c>
      <c r="O13" s="9">
        <v>0</v>
      </c>
      <c r="P13" s="9">
        <v>835.51</v>
      </c>
      <c r="Q13" s="9">
        <v>0</v>
      </c>
      <c r="R13" s="9">
        <v>406828</v>
      </c>
      <c r="S13" s="9">
        <v>486.92200000000003</v>
      </c>
      <c r="T13" s="9">
        <v>0</v>
      </c>
      <c r="U13" s="9">
        <v>406828</v>
      </c>
      <c r="V13" s="9">
        <v>75.063000000000002</v>
      </c>
      <c r="W13" s="9">
        <v>49144</v>
      </c>
      <c r="X13" s="9">
        <v>49144</v>
      </c>
      <c r="Y13" s="9">
        <v>0</v>
      </c>
      <c r="Z13" s="9">
        <v>0</v>
      </c>
      <c r="AA13" s="9">
        <v>1</v>
      </c>
      <c r="AB13" s="9">
        <v>1</v>
      </c>
      <c r="AC13" s="9">
        <v>0</v>
      </c>
      <c r="AD13" s="9" t="s">
        <v>314</v>
      </c>
      <c r="AE13" s="9">
        <v>0</v>
      </c>
      <c r="AF13" s="9">
        <v>0</v>
      </c>
      <c r="AG13" s="9">
        <v>0</v>
      </c>
      <c r="AH13" s="9">
        <v>0</v>
      </c>
      <c r="AI13" s="9">
        <v>0</v>
      </c>
      <c r="AJ13" s="9">
        <v>5104</v>
      </c>
      <c r="AK13" s="9" t="s">
        <v>651</v>
      </c>
      <c r="AL13" s="11" t="s">
        <v>38</v>
      </c>
      <c r="AM13" s="9">
        <v>0</v>
      </c>
      <c r="AN13" s="9">
        <v>0</v>
      </c>
      <c r="AO13" s="9">
        <v>0</v>
      </c>
      <c r="AP13" s="9">
        <v>0</v>
      </c>
      <c r="AQ13" s="9">
        <v>0</v>
      </c>
      <c r="AR13" s="9">
        <v>0</v>
      </c>
      <c r="AS13" s="9">
        <v>0</v>
      </c>
      <c r="AT13" s="9">
        <v>0</v>
      </c>
      <c r="AU13" s="9">
        <v>0</v>
      </c>
      <c r="AV13" s="9">
        <v>-228590</v>
      </c>
      <c r="AW13" s="9">
        <v>8910039</v>
      </c>
      <c r="AX13" s="9">
        <v>8673083</v>
      </c>
      <c r="AY13" s="9">
        <v>7957098</v>
      </c>
      <c r="AZ13" s="9">
        <v>471082</v>
      </c>
      <c r="BA13" s="9">
        <v>36.082999999999998</v>
      </c>
      <c r="BB13" s="9">
        <v>34407</v>
      </c>
      <c r="BC13" s="9">
        <v>34407</v>
      </c>
      <c r="BD13" s="9">
        <v>43.795000000000002</v>
      </c>
      <c r="BE13" s="9">
        <v>0</v>
      </c>
      <c r="BF13" s="9">
        <v>7464285</v>
      </c>
      <c r="BG13" s="9">
        <v>0</v>
      </c>
      <c r="BH13" s="9">
        <v>233.65100000000001</v>
      </c>
      <c r="BI13" s="9">
        <v>64254</v>
      </c>
      <c r="BJ13" s="9">
        <v>12</v>
      </c>
      <c r="BK13" s="9">
        <v>0</v>
      </c>
      <c r="BL13" s="9">
        <v>0</v>
      </c>
      <c r="BM13" s="9">
        <v>0</v>
      </c>
      <c r="BN13" s="9">
        <v>0</v>
      </c>
      <c r="BO13" s="9">
        <v>0</v>
      </c>
      <c r="BP13" s="9">
        <v>0</v>
      </c>
      <c r="BQ13" s="9">
        <v>5392</v>
      </c>
      <c r="BR13" s="9">
        <v>1</v>
      </c>
      <c r="BS13" s="9">
        <v>0</v>
      </c>
      <c r="BT13" s="9">
        <v>0</v>
      </c>
      <c r="BU13" s="9">
        <v>0</v>
      </c>
      <c r="BV13" s="9">
        <v>0</v>
      </c>
      <c r="BW13" s="9">
        <v>0</v>
      </c>
      <c r="BX13" s="9">
        <v>0</v>
      </c>
      <c r="BY13" s="9">
        <v>0</v>
      </c>
      <c r="BZ13" s="9">
        <v>0</v>
      </c>
      <c r="CA13" s="9">
        <v>0</v>
      </c>
      <c r="CB13" s="9">
        <v>0</v>
      </c>
      <c r="CC13" s="9">
        <v>0</v>
      </c>
      <c r="CD13" s="9">
        <v>0</v>
      </c>
      <c r="CE13" s="9">
        <v>0</v>
      </c>
      <c r="CF13" s="9">
        <v>0</v>
      </c>
      <c r="CG13" s="9">
        <v>0</v>
      </c>
      <c r="CH13" s="9">
        <v>172702</v>
      </c>
      <c r="CI13" s="9">
        <v>0</v>
      </c>
      <c r="CJ13" s="9">
        <v>4</v>
      </c>
      <c r="CK13" s="9">
        <v>0</v>
      </c>
      <c r="CL13" s="9">
        <v>0</v>
      </c>
      <c r="CM13" s="9">
        <v>0</v>
      </c>
      <c r="CN13" s="9">
        <v>0</v>
      </c>
      <c r="CO13" s="9">
        <v>0</v>
      </c>
      <c r="CP13" s="9">
        <v>0</v>
      </c>
      <c r="CQ13" s="9">
        <v>1</v>
      </c>
      <c r="CR13" s="9">
        <v>802.39700000000005</v>
      </c>
      <c r="CS13" s="9">
        <v>0</v>
      </c>
      <c r="CT13" s="9">
        <v>0</v>
      </c>
      <c r="CU13" s="9">
        <v>0</v>
      </c>
      <c r="CV13" s="9">
        <v>0</v>
      </c>
      <c r="CW13" s="9">
        <v>0</v>
      </c>
      <c r="CX13" s="9">
        <v>0</v>
      </c>
      <c r="CY13" s="9">
        <v>0</v>
      </c>
      <c r="CZ13" s="9">
        <v>0</v>
      </c>
      <c r="DA13" s="9">
        <v>1</v>
      </c>
      <c r="DB13" s="9">
        <v>5092505</v>
      </c>
      <c r="DC13" s="9">
        <v>0</v>
      </c>
      <c r="DD13" s="9">
        <v>0</v>
      </c>
      <c r="DE13" s="9">
        <v>1032462</v>
      </c>
      <c r="DF13" s="9">
        <v>1032462</v>
      </c>
      <c r="DG13" s="9">
        <v>788.5</v>
      </c>
      <c r="DH13" s="9">
        <v>0</v>
      </c>
      <c r="DI13" s="9">
        <v>0</v>
      </c>
      <c r="DJ13" s="9">
        <v>0</v>
      </c>
      <c r="DK13" s="9">
        <v>5392</v>
      </c>
      <c r="DL13" s="9">
        <v>0</v>
      </c>
      <c r="DM13" s="9">
        <v>822134</v>
      </c>
      <c r="DN13" s="9">
        <v>0</v>
      </c>
      <c r="DO13" s="9">
        <v>0</v>
      </c>
      <c r="DP13" s="9">
        <v>0</v>
      </c>
      <c r="DQ13" s="9">
        <v>0</v>
      </c>
      <c r="DR13" s="9">
        <v>0</v>
      </c>
      <c r="DS13" s="9">
        <v>0</v>
      </c>
      <c r="DT13" s="9">
        <v>0</v>
      </c>
      <c r="DU13" s="9">
        <v>0</v>
      </c>
      <c r="DV13" s="9">
        <v>0</v>
      </c>
      <c r="DW13" s="9">
        <v>0</v>
      </c>
      <c r="DX13" s="9">
        <v>0</v>
      </c>
      <c r="DY13" s="9">
        <v>0</v>
      </c>
      <c r="DZ13" s="9">
        <v>0</v>
      </c>
      <c r="EA13" s="9">
        <v>0</v>
      </c>
      <c r="EB13" s="9">
        <v>0</v>
      </c>
      <c r="EC13" s="9">
        <v>39.702000000000005</v>
      </c>
      <c r="ED13" s="9">
        <v>285922</v>
      </c>
      <c r="EE13" s="9">
        <v>0</v>
      </c>
      <c r="EF13" s="9">
        <v>0</v>
      </c>
      <c r="EG13" s="9">
        <v>0</v>
      </c>
      <c r="EH13" s="9">
        <v>505258</v>
      </c>
      <c r="EI13" s="9">
        <v>30954</v>
      </c>
      <c r="EJ13" s="9">
        <v>1.1820000000000002</v>
      </c>
      <c r="EK13" s="9">
        <v>22.318000000000001</v>
      </c>
      <c r="EL13" s="9">
        <v>0</v>
      </c>
      <c r="EM13" s="9">
        <v>0.65</v>
      </c>
      <c r="EN13" s="9">
        <v>1.6540000000000001</v>
      </c>
      <c r="EO13" s="9">
        <v>0</v>
      </c>
      <c r="EP13" s="9">
        <v>0</v>
      </c>
      <c r="EQ13" s="9">
        <v>25.804000000000002</v>
      </c>
      <c r="ER13" s="9">
        <v>0</v>
      </c>
      <c r="ES13" s="9">
        <v>77.174000000000007</v>
      </c>
      <c r="ET13" s="9">
        <v>18292</v>
      </c>
      <c r="EU13" s="9">
        <v>471082</v>
      </c>
      <c r="EV13" s="9">
        <v>0</v>
      </c>
      <c r="EW13" s="9">
        <v>0</v>
      </c>
      <c r="EX13" s="9">
        <v>0</v>
      </c>
      <c r="EY13" s="9">
        <v>0</v>
      </c>
      <c r="EZ13" s="9">
        <v>7272484</v>
      </c>
      <c r="FA13" s="9">
        <v>0</v>
      </c>
      <c r="FB13" s="9">
        <v>7743566</v>
      </c>
      <c r="FC13" s="9">
        <v>0.97326799999999991</v>
      </c>
      <c r="FD13" s="9">
        <v>0</v>
      </c>
      <c r="FE13" s="9">
        <v>1154705</v>
      </c>
      <c r="FF13" s="9">
        <v>245894</v>
      </c>
      <c r="FG13" s="9">
        <v>5.8088000000000001E-2</v>
      </c>
      <c r="FH13" s="9">
        <v>5.2622999999999996E-2</v>
      </c>
      <c r="FI13" s="9">
        <v>0</v>
      </c>
      <c r="FJ13" s="9">
        <v>0</v>
      </c>
      <c r="FK13" s="9">
        <v>1462.518</v>
      </c>
      <c r="FL13" s="9">
        <v>9316867</v>
      </c>
      <c r="FM13" s="9">
        <v>0</v>
      </c>
      <c r="FN13" s="9">
        <v>0</v>
      </c>
      <c r="FO13" s="9">
        <v>10011</v>
      </c>
      <c r="FP13" s="9">
        <v>0</v>
      </c>
      <c r="FQ13" s="9">
        <v>10011</v>
      </c>
      <c r="FR13" s="9">
        <v>10011</v>
      </c>
      <c r="FS13" s="9">
        <v>0</v>
      </c>
      <c r="FT13" s="9">
        <v>0</v>
      </c>
      <c r="FU13" s="9">
        <v>0</v>
      </c>
      <c r="FV13" s="9">
        <v>0</v>
      </c>
      <c r="FW13" s="9">
        <v>0</v>
      </c>
      <c r="FX13" s="9">
        <v>0</v>
      </c>
      <c r="FY13" s="9">
        <v>0</v>
      </c>
      <c r="FZ13" s="9">
        <v>0</v>
      </c>
      <c r="GA13" s="9">
        <v>0</v>
      </c>
      <c r="GB13" s="9">
        <v>638649</v>
      </c>
      <c r="GC13" s="9">
        <v>638649</v>
      </c>
      <c r="GD13" s="9">
        <v>72.25800000000001</v>
      </c>
      <c r="GE13" s="9">
        <v>0</v>
      </c>
      <c r="GF13" s="9">
        <v>0</v>
      </c>
      <c r="GG13" s="9">
        <v>0</v>
      </c>
      <c r="GH13" s="9">
        <v>0</v>
      </c>
      <c r="GI13" s="9">
        <v>0</v>
      </c>
      <c r="GJ13" s="9">
        <v>0</v>
      </c>
      <c r="GK13" s="9">
        <v>5220</v>
      </c>
      <c r="GL13" s="9">
        <v>23309</v>
      </c>
      <c r="GM13" s="9">
        <v>0</v>
      </c>
      <c r="GN13" s="9">
        <v>0</v>
      </c>
      <c r="GO13" s="9">
        <v>0</v>
      </c>
      <c r="GP13" s="9">
        <v>9144165</v>
      </c>
      <c r="GQ13" s="9">
        <v>9144165</v>
      </c>
      <c r="GR13" s="9">
        <v>0</v>
      </c>
      <c r="GS13" s="9">
        <v>0</v>
      </c>
      <c r="GT13" s="9">
        <v>0</v>
      </c>
      <c r="GU13" s="9">
        <v>0</v>
      </c>
      <c r="GV13" s="9">
        <v>0</v>
      </c>
      <c r="GW13" s="9">
        <v>0</v>
      </c>
      <c r="GX13" s="9">
        <v>0</v>
      </c>
      <c r="GY13" s="9">
        <v>0</v>
      </c>
      <c r="GZ13" s="9">
        <v>0</v>
      </c>
      <c r="HA13" s="9">
        <v>0</v>
      </c>
      <c r="HB13" s="9">
        <v>300501363</v>
      </c>
      <c r="HC13" s="9">
        <v>4.4742999999999998E-2</v>
      </c>
      <c r="HD13" s="9">
        <v>154410</v>
      </c>
      <c r="HE13" s="9">
        <v>0</v>
      </c>
      <c r="HF13" s="9">
        <v>0</v>
      </c>
      <c r="HG13" s="9">
        <v>0</v>
      </c>
      <c r="HH13" s="9">
        <v>0</v>
      </c>
      <c r="HI13" s="9">
        <v>0</v>
      </c>
      <c r="HJ13" s="9">
        <v>0</v>
      </c>
      <c r="HK13" s="9">
        <v>0</v>
      </c>
      <c r="HL13" s="9">
        <v>0</v>
      </c>
      <c r="HM13" s="9">
        <v>0</v>
      </c>
      <c r="HN13" s="9">
        <v>0</v>
      </c>
      <c r="HO13" s="9">
        <v>0</v>
      </c>
      <c r="HP13" s="9">
        <v>0</v>
      </c>
      <c r="HQ13" s="9">
        <v>0</v>
      </c>
      <c r="HR13" s="9">
        <v>0</v>
      </c>
      <c r="HS13" s="9">
        <v>0</v>
      </c>
      <c r="HT13" s="9">
        <v>0</v>
      </c>
      <c r="HU13" s="9">
        <v>0</v>
      </c>
      <c r="HV13" s="9">
        <v>0</v>
      </c>
      <c r="HW13" s="9">
        <v>0</v>
      </c>
      <c r="HX13" s="9">
        <v>0</v>
      </c>
      <c r="HY13" s="9">
        <v>0</v>
      </c>
      <c r="HZ13" s="9">
        <v>0</v>
      </c>
      <c r="IA13" s="9">
        <v>0</v>
      </c>
      <c r="IB13" s="9">
        <v>0</v>
      </c>
      <c r="IC13" s="9">
        <v>0</v>
      </c>
      <c r="ID13" s="9">
        <v>0</v>
      </c>
      <c r="IE13" s="9">
        <v>0</v>
      </c>
      <c r="IF13" s="9">
        <v>0</v>
      </c>
      <c r="IG13" s="9">
        <v>0</v>
      </c>
      <c r="IH13" s="9">
        <v>0</v>
      </c>
      <c r="II13" s="9">
        <v>0</v>
      </c>
      <c r="IJ13" s="9">
        <v>0</v>
      </c>
      <c r="IK13" s="9">
        <v>0</v>
      </c>
      <c r="IL13" s="9">
        <v>0</v>
      </c>
      <c r="IM13" s="9">
        <v>0</v>
      </c>
      <c r="IN13" s="9">
        <v>0</v>
      </c>
      <c r="IO13" s="9">
        <v>0</v>
      </c>
      <c r="IP13" s="9">
        <v>0</v>
      </c>
      <c r="IQ13" s="9">
        <v>0</v>
      </c>
      <c r="IR13" s="9">
        <v>0</v>
      </c>
      <c r="IS13" s="9">
        <v>0</v>
      </c>
      <c r="IT13" s="9">
        <v>0</v>
      </c>
      <c r="IU13" s="9">
        <v>0</v>
      </c>
      <c r="IV13" s="9">
        <v>0</v>
      </c>
      <c r="IW13" s="9">
        <v>0</v>
      </c>
      <c r="IX13" s="9">
        <v>0</v>
      </c>
      <c r="IY13" s="9">
        <v>0</v>
      </c>
      <c r="IZ13" s="9">
        <v>0</v>
      </c>
      <c r="JA13" s="9">
        <v>0</v>
      </c>
      <c r="JB13" s="9">
        <v>0</v>
      </c>
      <c r="JC13" s="9">
        <v>0</v>
      </c>
      <c r="JD13" s="9">
        <v>0</v>
      </c>
      <c r="JE13" s="9">
        <v>0</v>
      </c>
      <c r="JF13" s="9">
        <v>0</v>
      </c>
      <c r="JG13" s="9">
        <v>0</v>
      </c>
      <c r="JH13" s="9">
        <v>0</v>
      </c>
      <c r="JI13" s="9">
        <v>0</v>
      </c>
      <c r="JJ13" s="9">
        <v>0</v>
      </c>
      <c r="JK13" s="9">
        <v>0</v>
      </c>
      <c r="JL13" s="9">
        <v>0</v>
      </c>
      <c r="JM13" s="9">
        <v>0</v>
      </c>
      <c r="JN13" s="9">
        <v>36832</v>
      </c>
      <c r="JO13" s="9">
        <v>0</v>
      </c>
      <c r="JP13" s="9">
        <v>0</v>
      </c>
      <c r="JQ13" s="9">
        <v>0</v>
      </c>
      <c r="JR13" s="9">
        <v>0</v>
      </c>
      <c r="JS13" s="9">
        <v>0</v>
      </c>
      <c r="JT13" s="9">
        <v>0</v>
      </c>
      <c r="JU13" s="9">
        <v>0</v>
      </c>
      <c r="JV13" s="9">
        <v>0</v>
      </c>
      <c r="JW13" s="9">
        <v>0</v>
      </c>
      <c r="JX13" s="9">
        <v>0</v>
      </c>
      <c r="JY13" s="9">
        <v>0</v>
      </c>
      <c r="JZ13" s="9">
        <v>0</v>
      </c>
      <c r="KA13" s="9">
        <v>0</v>
      </c>
      <c r="KB13" s="9">
        <v>0</v>
      </c>
      <c r="KC13" s="9">
        <v>0</v>
      </c>
      <c r="KD13" s="9">
        <v>0</v>
      </c>
      <c r="KE13" s="9">
        <v>0</v>
      </c>
      <c r="KF13" s="9">
        <v>0</v>
      </c>
      <c r="KG13" s="9">
        <v>0</v>
      </c>
      <c r="KH13" s="9">
        <v>0</v>
      </c>
      <c r="KI13" s="9">
        <v>0</v>
      </c>
    </row>
    <row r="14" spans="1:295" x14ac:dyDescent="0.25">
      <c r="A14" s="9">
        <v>15808</v>
      </c>
      <c r="B14" s="9">
        <v>36871</v>
      </c>
      <c r="C14" s="9">
        <v>35</v>
      </c>
      <c r="D14" s="9">
        <v>2023</v>
      </c>
      <c r="E14" s="9">
        <v>5392</v>
      </c>
      <c r="F14" s="9">
        <v>0</v>
      </c>
      <c r="G14" s="9">
        <v>0</v>
      </c>
      <c r="H14" s="9">
        <v>579.98</v>
      </c>
      <c r="I14" s="9">
        <v>579.98</v>
      </c>
      <c r="J14" s="9">
        <v>754.33400000000006</v>
      </c>
      <c r="K14" s="9">
        <v>0</v>
      </c>
      <c r="L14" s="9">
        <v>6547</v>
      </c>
      <c r="M14" s="9">
        <v>0</v>
      </c>
      <c r="N14" s="9">
        <v>0</v>
      </c>
      <c r="O14" s="9">
        <v>0</v>
      </c>
      <c r="P14" s="9">
        <v>768.048</v>
      </c>
      <c r="Q14" s="9">
        <v>0</v>
      </c>
      <c r="R14" s="9">
        <v>373979</v>
      </c>
      <c r="S14" s="9">
        <v>486.92200000000003</v>
      </c>
      <c r="T14" s="9">
        <v>0</v>
      </c>
      <c r="U14" s="9">
        <v>373979</v>
      </c>
      <c r="V14" s="9">
        <v>14.69</v>
      </c>
      <c r="W14" s="9">
        <v>9618</v>
      </c>
      <c r="X14" s="9">
        <v>9618</v>
      </c>
      <c r="Y14" s="9">
        <v>0</v>
      </c>
      <c r="Z14" s="9">
        <v>0</v>
      </c>
      <c r="AA14" s="9">
        <v>1</v>
      </c>
      <c r="AB14" s="9">
        <v>1</v>
      </c>
      <c r="AC14" s="9">
        <v>0</v>
      </c>
      <c r="AD14" s="9" t="s">
        <v>314</v>
      </c>
      <c r="AE14" s="9">
        <v>0</v>
      </c>
      <c r="AF14" s="9">
        <v>0</v>
      </c>
      <c r="AG14" s="9">
        <v>0</v>
      </c>
      <c r="AH14" s="9">
        <v>0</v>
      </c>
      <c r="AI14" s="9">
        <v>0</v>
      </c>
      <c r="AJ14" s="9">
        <v>5104</v>
      </c>
      <c r="AK14" s="9" t="s">
        <v>651</v>
      </c>
      <c r="AL14" s="11" t="s">
        <v>438</v>
      </c>
      <c r="AM14" s="9">
        <v>0</v>
      </c>
      <c r="AN14" s="9">
        <v>0</v>
      </c>
      <c r="AO14" s="9">
        <v>0</v>
      </c>
      <c r="AP14" s="9">
        <v>0</v>
      </c>
      <c r="AQ14" s="9">
        <v>0</v>
      </c>
      <c r="AR14" s="9">
        <v>0</v>
      </c>
      <c r="AS14" s="9">
        <v>0</v>
      </c>
      <c r="AT14" s="9">
        <v>0</v>
      </c>
      <c r="AU14" s="9">
        <v>0</v>
      </c>
      <c r="AV14" s="9">
        <v>-414021</v>
      </c>
      <c r="AW14" s="9">
        <v>10193629</v>
      </c>
      <c r="AX14" s="9">
        <v>9999892</v>
      </c>
      <c r="AY14" s="9">
        <v>8196312</v>
      </c>
      <c r="AZ14" s="9">
        <v>434737</v>
      </c>
      <c r="BA14" s="9">
        <v>0</v>
      </c>
      <c r="BB14" s="9">
        <v>0</v>
      </c>
      <c r="BC14" s="9">
        <v>0</v>
      </c>
      <c r="BD14" s="9">
        <v>0</v>
      </c>
      <c r="BE14" s="9">
        <v>0</v>
      </c>
      <c r="BF14" s="9">
        <v>8537418</v>
      </c>
      <c r="BG14" s="9">
        <v>0</v>
      </c>
      <c r="BH14" s="9">
        <v>220.93700000000001</v>
      </c>
      <c r="BI14" s="9">
        <v>60758</v>
      </c>
      <c r="BJ14" s="9">
        <v>12</v>
      </c>
      <c r="BK14" s="9">
        <v>0</v>
      </c>
      <c r="BL14" s="9">
        <v>0</v>
      </c>
      <c r="BM14" s="9">
        <v>0</v>
      </c>
      <c r="BN14" s="9">
        <v>0</v>
      </c>
      <c r="BO14" s="9">
        <v>0</v>
      </c>
      <c r="BP14" s="9">
        <v>0</v>
      </c>
      <c r="BQ14" s="9">
        <v>5392</v>
      </c>
      <c r="BR14" s="9">
        <v>1</v>
      </c>
      <c r="BS14" s="9">
        <v>0</v>
      </c>
      <c r="BT14" s="9">
        <v>0</v>
      </c>
      <c r="BU14" s="9">
        <v>0</v>
      </c>
      <c r="BV14" s="9">
        <v>0</v>
      </c>
      <c r="BW14" s="9">
        <v>0</v>
      </c>
      <c r="BX14" s="9">
        <v>0</v>
      </c>
      <c r="BY14" s="9">
        <v>0</v>
      </c>
      <c r="BZ14" s="9">
        <v>0</v>
      </c>
      <c r="CA14" s="9">
        <v>0</v>
      </c>
      <c r="CB14" s="9">
        <v>0</v>
      </c>
      <c r="CC14" s="9">
        <v>0</v>
      </c>
      <c r="CD14" s="9">
        <v>0</v>
      </c>
      <c r="CE14" s="9">
        <v>0</v>
      </c>
      <c r="CF14" s="9">
        <v>0</v>
      </c>
      <c r="CG14" s="9">
        <v>0</v>
      </c>
      <c r="CH14" s="9">
        <v>132979</v>
      </c>
      <c r="CI14" s="9">
        <v>0</v>
      </c>
      <c r="CJ14" s="9">
        <v>4</v>
      </c>
      <c r="CK14" s="9">
        <v>0</v>
      </c>
      <c r="CL14" s="9">
        <v>0</v>
      </c>
      <c r="CM14" s="9">
        <v>0</v>
      </c>
      <c r="CN14" s="9">
        <v>0</v>
      </c>
      <c r="CO14" s="9">
        <v>0</v>
      </c>
      <c r="CP14" s="9">
        <v>0</v>
      </c>
      <c r="CQ14" s="9">
        <v>0</v>
      </c>
      <c r="CR14" s="9">
        <v>740.94900000000007</v>
      </c>
      <c r="CS14" s="9">
        <v>0</v>
      </c>
      <c r="CT14" s="9">
        <v>0</v>
      </c>
      <c r="CU14" s="9">
        <v>0</v>
      </c>
      <c r="CV14" s="9">
        <v>0</v>
      </c>
      <c r="CW14" s="9">
        <v>0</v>
      </c>
      <c r="CX14" s="9">
        <v>0</v>
      </c>
      <c r="CY14" s="9">
        <v>0</v>
      </c>
      <c r="CZ14" s="9">
        <v>0</v>
      </c>
      <c r="DA14" s="9">
        <v>1</v>
      </c>
      <c r="DB14" s="9">
        <v>3797129</v>
      </c>
      <c r="DC14" s="9">
        <v>0</v>
      </c>
      <c r="DD14" s="9">
        <v>0</v>
      </c>
      <c r="DE14" s="9">
        <v>732177</v>
      </c>
      <c r="DF14" s="9">
        <v>732177</v>
      </c>
      <c r="DG14" s="9">
        <v>559.16999999999996</v>
      </c>
      <c r="DH14" s="9">
        <v>0</v>
      </c>
      <c r="DI14" s="9">
        <v>0</v>
      </c>
      <c r="DJ14" s="9">
        <v>0</v>
      </c>
      <c r="DK14" s="9">
        <v>5392</v>
      </c>
      <c r="DL14" s="9">
        <v>0</v>
      </c>
      <c r="DM14" s="9">
        <v>3970501</v>
      </c>
      <c r="DN14" s="9">
        <v>0</v>
      </c>
      <c r="DO14" s="9">
        <v>0</v>
      </c>
      <c r="DP14" s="9">
        <v>0</v>
      </c>
      <c r="DQ14" s="9">
        <v>0</v>
      </c>
      <c r="DR14" s="9">
        <v>0</v>
      </c>
      <c r="DS14" s="9">
        <v>0</v>
      </c>
      <c r="DT14" s="9">
        <v>0</v>
      </c>
      <c r="DU14" s="9">
        <v>0</v>
      </c>
      <c r="DV14" s="9">
        <v>0</v>
      </c>
      <c r="DW14" s="9">
        <v>0</v>
      </c>
      <c r="DX14" s="9">
        <v>0</v>
      </c>
      <c r="DY14" s="9">
        <v>0</v>
      </c>
      <c r="DZ14" s="9">
        <v>0</v>
      </c>
      <c r="EA14" s="9">
        <v>5.5E-2</v>
      </c>
      <c r="EB14" s="9">
        <v>0</v>
      </c>
      <c r="EC14" s="9">
        <v>30.261000000000003</v>
      </c>
      <c r="ED14" s="9">
        <v>217931</v>
      </c>
      <c r="EE14" s="9">
        <v>0</v>
      </c>
      <c r="EF14" s="9">
        <v>0</v>
      </c>
      <c r="EG14" s="9">
        <v>0</v>
      </c>
      <c r="EH14" s="9">
        <v>177646</v>
      </c>
      <c r="EI14" s="9">
        <v>3574924</v>
      </c>
      <c r="EJ14" s="9">
        <v>136.51</v>
      </c>
      <c r="EK14" s="9">
        <v>6.798</v>
      </c>
      <c r="EL14" s="9">
        <v>0</v>
      </c>
      <c r="EM14" s="9">
        <v>0</v>
      </c>
      <c r="EN14" s="9">
        <v>1.2930000000000001</v>
      </c>
      <c r="EO14" s="9">
        <v>0</v>
      </c>
      <c r="EP14" s="9">
        <v>0</v>
      </c>
      <c r="EQ14" s="9">
        <v>144.65600000000001</v>
      </c>
      <c r="ER14" s="9">
        <v>0</v>
      </c>
      <c r="ES14" s="9">
        <v>27.134</v>
      </c>
      <c r="ET14" s="9">
        <v>0</v>
      </c>
      <c r="EU14" s="9">
        <v>434737</v>
      </c>
      <c r="EV14" s="9">
        <v>0</v>
      </c>
      <c r="EW14" s="9">
        <v>0</v>
      </c>
      <c r="EX14" s="9">
        <v>0</v>
      </c>
      <c r="EY14" s="9">
        <v>0</v>
      </c>
      <c r="EZ14" s="9">
        <v>8397930</v>
      </c>
      <c r="FA14" s="9">
        <v>0</v>
      </c>
      <c r="FB14" s="9">
        <v>8832667</v>
      </c>
      <c r="FC14" s="9">
        <v>0.97326799999999991</v>
      </c>
      <c r="FD14" s="9">
        <v>0</v>
      </c>
      <c r="FE14" s="9">
        <v>1320716</v>
      </c>
      <c r="FF14" s="9">
        <v>281246</v>
      </c>
      <c r="FG14" s="9">
        <v>5.8088000000000001E-2</v>
      </c>
      <c r="FH14" s="9">
        <v>5.2622999999999996E-2</v>
      </c>
      <c r="FI14" s="9">
        <v>0</v>
      </c>
      <c r="FJ14" s="9">
        <v>0</v>
      </c>
      <c r="FK14" s="9">
        <v>1672.7830000000001</v>
      </c>
      <c r="FL14" s="9">
        <v>10567608</v>
      </c>
      <c r="FM14" s="9">
        <v>0</v>
      </c>
      <c r="FN14" s="9">
        <v>0</v>
      </c>
      <c r="FO14" s="9">
        <v>0</v>
      </c>
      <c r="FP14" s="9">
        <v>0</v>
      </c>
      <c r="FQ14" s="9">
        <v>0</v>
      </c>
      <c r="FR14" s="9">
        <v>0</v>
      </c>
      <c r="FS14" s="9">
        <v>0</v>
      </c>
      <c r="FT14" s="9">
        <v>0</v>
      </c>
      <c r="FU14" s="9">
        <v>0</v>
      </c>
      <c r="FV14" s="9">
        <v>0</v>
      </c>
      <c r="FW14" s="9">
        <v>0</v>
      </c>
      <c r="FX14" s="9">
        <v>0</v>
      </c>
      <c r="FY14" s="9">
        <v>0</v>
      </c>
      <c r="FZ14" s="9">
        <v>0</v>
      </c>
      <c r="GA14" s="9">
        <v>0</v>
      </c>
      <c r="GB14" s="9">
        <v>262484</v>
      </c>
      <c r="GC14" s="9">
        <v>262484</v>
      </c>
      <c r="GD14" s="9">
        <v>29.698</v>
      </c>
      <c r="GE14" s="9">
        <v>0</v>
      </c>
      <c r="GF14" s="9">
        <v>0</v>
      </c>
      <c r="GG14" s="9">
        <v>0</v>
      </c>
      <c r="GH14" s="9">
        <v>0</v>
      </c>
      <c r="GI14" s="9">
        <v>0</v>
      </c>
      <c r="GJ14" s="9">
        <v>0</v>
      </c>
      <c r="GK14" s="9">
        <v>5115</v>
      </c>
      <c r="GL14" s="9">
        <v>21253</v>
      </c>
      <c r="GM14" s="9">
        <v>0</v>
      </c>
      <c r="GN14" s="9">
        <v>0</v>
      </c>
      <c r="GO14" s="9">
        <v>0</v>
      </c>
      <c r="GP14" s="9">
        <v>10434629</v>
      </c>
      <c r="GQ14" s="9">
        <v>10434629</v>
      </c>
      <c r="GR14" s="9">
        <v>0</v>
      </c>
      <c r="GS14" s="9">
        <v>0</v>
      </c>
      <c r="GT14" s="9">
        <v>0</v>
      </c>
      <c r="GU14" s="9">
        <v>0</v>
      </c>
      <c r="GV14" s="9">
        <v>0</v>
      </c>
      <c r="GW14" s="9">
        <v>0</v>
      </c>
      <c r="GX14" s="9">
        <v>0</v>
      </c>
      <c r="GY14" s="9">
        <v>0</v>
      </c>
      <c r="GZ14" s="9">
        <v>0</v>
      </c>
      <c r="HA14" s="9">
        <v>0</v>
      </c>
      <c r="HB14" s="9">
        <v>300501363</v>
      </c>
      <c r="HC14" s="9">
        <v>4.4742999999999998E-2</v>
      </c>
      <c r="HD14" s="9">
        <v>132979</v>
      </c>
      <c r="HE14" s="9">
        <v>0</v>
      </c>
      <c r="HF14" s="9">
        <v>0</v>
      </c>
      <c r="HG14" s="9">
        <v>0</v>
      </c>
      <c r="HH14" s="9">
        <v>0</v>
      </c>
      <c r="HI14" s="9">
        <v>0</v>
      </c>
      <c r="HJ14" s="9">
        <v>0</v>
      </c>
      <c r="HK14" s="9">
        <v>0</v>
      </c>
      <c r="HL14" s="9">
        <v>0</v>
      </c>
      <c r="HM14" s="9">
        <v>0</v>
      </c>
      <c r="HN14" s="9">
        <v>0</v>
      </c>
      <c r="HO14" s="9">
        <v>0</v>
      </c>
      <c r="HP14" s="9">
        <v>0</v>
      </c>
      <c r="HQ14" s="9">
        <v>0</v>
      </c>
      <c r="HR14" s="9">
        <v>0</v>
      </c>
      <c r="HS14" s="9">
        <v>0</v>
      </c>
      <c r="HT14" s="9">
        <v>0</v>
      </c>
      <c r="HU14" s="9">
        <v>0</v>
      </c>
      <c r="HV14" s="9">
        <v>0</v>
      </c>
      <c r="HW14" s="9">
        <v>0</v>
      </c>
      <c r="HX14" s="9">
        <v>0</v>
      </c>
      <c r="HY14" s="9">
        <v>0</v>
      </c>
      <c r="HZ14" s="9">
        <v>0</v>
      </c>
      <c r="IA14" s="9">
        <v>0</v>
      </c>
      <c r="IB14" s="9">
        <v>0</v>
      </c>
      <c r="IC14" s="9">
        <v>0</v>
      </c>
      <c r="ID14" s="9">
        <v>0</v>
      </c>
      <c r="IE14" s="9">
        <v>0</v>
      </c>
      <c r="IF14" s="9">
        <v>0</v>
      </c>
      <c r="IG14" s="9">
        <v>0</v>
      </c>
      <c r="IH14" s="9">
        <v>0</v>
      </c>
      <c r="II14" s="9">
        <v>0</v>
      </c>
      <c r="IJ14" s="9">
        <v>0</v>
      </c>
      <c r="IK14" s="9">
        <v>0</v>
      </c>
      <c r="IL14" s="9">
        <v>0</v>
      </c>
      <c r="IM14" s="9">
        <v>0</v>
      </c>
      <c r="IN14" s="9">
        <v>0</v>
      </c>
      <c r="IO14" s="9">
        <v>0</v>
      </c>
      <c r="IP14" s="9">
        <v>0</v>
      </c>
      <c r="IQ14" s="9">
        <v>0</v>
      </c>
      <c r="IR14" s="9">
        <v>0</v>
      </c>
      <c r="IS14" s="9">
        <v>0</v>
      </c>
      <c r="IT14" s="9">
        <v>0</v>
      </c>
      <c r="IU14" s="9">
        <v>0</v>
      </c>
      <c r="IV14" s="9">
        <v>0</v>
      </c>
      <c r="IW14" s="9">
        <v>0</v>
      </c>
      <c r="IX14" s="9">
        <v>0</v>
      </c>
      <c r="IY14" s="9">
        <v>0</v>
      </c>
      <c r="IZ14" s="9">
        <v>0</v>
      </c>
      <c r="JA14" s="9">
        <v>0</v>
      </c>
      <c r="JB14" s="9">
        <v>0</v>
      </c>
      <c r="JC14" s="9">
        <v>0</v>
      </c>
      <c r="JD14" s="9">
        <v>0</v>
      </c>
      <c r="JE14" s="9">
        <v>0</v>
      </c>
      <c r="JF14" s="9">
        <v>0</v>
      </c>
      <c r="JG14" s="9">
        <v>0</v>
      </c>
      <c r="JH14" s="9">
        <v>0</v>
      </c>
      <c r="JI14" s="9">
        <v>0</v>
      </c>
      <c r="JJ14" s="9">
        <v>0</v>
      </c>
      <c r="JK14" s="9">
        <v>0</v>
      </c>
      <c r="JL14" s="9">
        <v>0</v>
      </c>
      <c r="JM14" s="9">
        <v>0</v>
      </c>
      <c r="JN14" s="9">
        <v>36832</v>
      </c>
      <c r="JO14" s="9">
        <v>0</v>
      </c>
      <c r="JP14" s="9">
        <v>0</v>
      </c>
      <c r="JQ14" s="9">
        <v>0</v>
      </c>
      <c r="JR14" s="9">
        <v>0</v>
      </c>
      <c r="JS14" s="9">
        <v>0</v>
      </c>
      <c r="JT14" s="9">
        <v>0</v>
      </c>
      <c r="JU14" s="9">
        <v>0</v>
      </c>
      <c r="JV14" s="9">
        <v>0</v>
      </c>
      <c r="JW14" s="9">
        <v>0</v>
      </c>
      <c r="JX14" s="9">
        <v>0</v>
      </c>
      <c r="JY14" s="9">
        <v>0</v>
      </c>
      <c r="JZ14" s="9">
        <v>0</v>
      </c>
      <c r="KA14" s="9">
        <v>0</v>
      </c>
      <c r="KB14" s="9">
        <v>0</v>
      </c>
      <c r="KC14" s="9">
        <v>0</v>
      </c>
      <c r="KD14" s="9">
        <v>0</v>
      </c>
      <c r="KE14" s="9">
        <v>0</v>
      </c>
      <c r="KF14" s="9">
        <v>0</v>
      </c>
      <c r="KG14" s="9">
        <v>0</v>
      </c>
      <c r="KH14" s="9">
        <v>0</v>
      </c>
      <c r="KI14" s="9">
        <v>0</v>
      </c>
    </row>
    <row r="15" spans="1:295" x14ac:dyDescent="0.25">
      <c r="A15" s="9">
        <v>15809</v>
      </c>
      <c r="B15" s="9">
        <v>36871</v>
      </c>
      <c r="C15" s="9">
        <v>35</v>
      </c>
      <c r="D15" s="9">
        <v>2023</v>
      </c>
      <c r="E15" s="9">
        <v>5392</v>
      </c>
      <c r="F15" s="9">
        <v>0</v>
      </c>
      <c r="G15" s="9">
        <v>0</v>
      </c>
      <c r="H15" s="9">
        <v>256.35500000000002</v>
      </c>
      <c r="I15" s="9">
        <v>256.35500000000002</v>
      </c>
      <c r="J15" s="9">
        <v>267.19600000000003</v>
      </c>
      <c r="K15" s="9">
        <v>0</v>
      </c>
      <c r="L15" s="9">
        <v>6547</v>
      </c>
      <c r="M15" s="9">
        <v>0</v>
      </c>
      <c r="N15" s="9">
        <v>0</v>
      </c>
      <c r="O15" s="9">
        <v>0</v>
      </c>
      <c r="P15" s="9">
        <v>278.81100000000004</v>
      </c>
      <c r="Q15" s="9">
        <v>0</v>
      </c>
      <c r="R15" s="9">
        <v>135759</v>
      </c>
      <c r="S15" s="9">
        <v>486.92200000000003</v>
      </c>
      <c r="T15" s="9">
        <v>0</v>
      </c>
      <c r="U15" s="9">
        <v>135759</v>
      </c>
      <c r="V15" s="9">
        <v>54.63</v>
      </c>
      <c r="W15" s="9">
        <v>35766</v>
      </c>
      <c r="X15" s="9">
        <v>35766</v>
      </c>
      <c r="Y15" s="9">
        <v>0</v>
      </c>
      <c r="Z15" s="9">
        <v>0</v>
      </c>
      <c r="AA15" s="9">
        <v>1</v>
      </c>
      <c r="AB15" s="9">
        <v>1</v>
      </c>
      <c r="AC15" s="9">
        <v>0</v>
      </c>
      <c r="AD15" s="9" t="s">
        <v>314</v>
      </c>
      <c r="AE15" s="9">
        <v>0</v>
      </c>
      <c r="AF15" s="9">
        <v>0</v>
      </c>
      <c r="AG15" s="9">
        <v>0</v>
      </c>
      <c r="AH15" s="9">
        <v>0</v>
      </c>
      <c r="AI15" s="9">
        <v>0</v>
      </c>
      <c r="AJ15" s="9">
        <v>5104</v>
      </c>
      <c r="AK15" s="9" t="s">
        <v>651</v>
      </c>
      <c r="AL15" s="9" t="s">
        <v>37</v>
      </c>
      <c r="AM15" s="9">
        <v>0</v>
      </c>
      <c r="AN15" s="9">
        <v>0</v>
      </c>
      <c r="AO15" s="9">
        <v>0</v>
      </c>
      <c r="AP15" s="9">
        <v>0</v>
      </c>
      <c r="AQ15" s="9">
        <v>0</v>
      </c>
      <c r="AR15" s="9">
        <v>0</v>
      </c>
      <c r="AS15" s="9">
        <v>0</v>
      </c>
      <c r="AT15" s="9">
        <v>0</v>
      </c>
      <c r="AU15" s="9">
        <v>0</v>
      </c>
      <c r="AV15" s="9">
        <v>-165233</v>
      </c>
      <c r="AW15" s="9">
        <v>2778840</v>
      </c>
      <c r="AX15" s="9">
        <v>2731737</v>
      </c>
      <c r="AY15" s="9">
        <v>2527695</v>
      </c>
      <c r="AZ15" s="9">
        <v>135759</v>
      </c>
      <c r="BA15" s="9">
        <v>0</v>
      </c>
      <c r="BB15" s="9">
        <v>0</v>
      </c>
      <c r="BC15" s="9">
        <v>0</v>
      </c>
      <c r="BD15" s="9">
        <v>0</v>
      </c>
      <c r="BE15" s="9">
        <v>0</v>
      </c>
      <c r="BF15" s="9">
        <v>2359872</v>
      </c>
      <c r="BG15" s="9">
        <v>0</v>
      </c>
      <c r="BH15" s="9">
        <v>0</v>
      </c>
      <c r="BI15" s="9">
        <v>0</v>
      </c>
      <c r="BJ15" s="9">
        <v>12</v>
      </c>
      <c r="BK15" s="9">
        <v>0</v>
      </c>
      <c r="BL15" s="9">
        <v>0</v>
      </c>
      <c r="BM15" s="9">
        <v>0</v>
      </c>
      <c r="BN15" s="9">
        <v>0</v>
      </c>
      <c r="BO15" s="9">
        <v>0</v>
      </c>
      <c r="BP15" s="9">
        <v>0</v>
      </c>
      <c r="BQ15" s="9">
        <v>5392</v>
      </c>
      <c r="BR15" s="9">
        <v>1</v>
      </c>
      <c r="BS15" s="9">
        <v>0</v>
      </c>
      <c r="BT15" s="9">
        <v>0</v>
      </c>
      <c r="BU15" s="9">
        <v>0</v>
      </c>
      <c r="BV15" s="9">
        <v>0</v>
      </c>
      <c r="BW15" s="9">
        <v>0</v>
      </c>
      <c r="BX15" s="9">
        <v>0</v>
      </c>
      <c r="BY15" s="9">
        <v>0</v>
      </c>
      <c r="BZ15" s="9">
        <v>0</v>
      </c>
      <c r="CA15" s="9">
        <v>0</v>
      </c>
      <c r="CB15" s="9">
        <v>0</v>
      </c>
      <c r="CC15" s="9">
        <v>0</v>
      </c>
      <c r="CD15" s="9">
        <v>0</v>
      </c>
      <c r="CE15" s="9">
        <v>0</v>
      </c>
      <c r="CF15" s="9">
        <v>0</v>
      </c>
      <c r="CG15" s="9">
        <v>0</v>
      </c>
      <c r="CH15" s="9">
        <v>47103</v>
      </c>
      <c r="CI15" s="9">
        <v>0</v>
      </c>
      <c r="CJ15" s="9">
        <v>4</v>
      </c>
      <c r="CK15" s="9">
        <v>0</v>
      </c>
      <c r="CL15" s="9">
        <v>0</v>
      </c>
      <c r="CM15" s="9">
        <v>0</v>
      </c>
      <c r="CN15" s="9">
        <v>0</v>
      </c>
      <c r="CO15" s="9">
        <v>0</v>
      </c>
      <c r="CP15" s="9">
        <v>0</v>
      </c>
      <c r="CQ15" s="9">
        <v>0</v>
      </c>
      <c r="CR15" s="9">
        <v>263.16000000000003</v>
      </c>
      <c r="CS15" s="9">
        <v>0</v>
      </c>
      <c r="CT15" s="9">
        <v>0</v>
      </c>
      <c r="CU15" s="9">
        <v>0</v>
      </c>
      <c r="CV15" s="9">
        <v>0</v>
      </c>
      <c r="CW15" s="9">
        <v>0</v>
      </c>
      <c r="CX15" s="9">
        <v>0</v>
      </c>
      <c r="CY15" s="9">
        <v>0</v>
      </c>
      <c r="CZ15" s="9">
        <v>0</v>
      </c>
      <c r="DA15" s="9">
        <v>1</v>
      </c>
      <c r="DB15" s="9">
        <v>1678356</v>
      </c>
      <c r="DC15" s="9">
        <v>0</v>
      </c>
      <c r="DD15" s="9">
        <v>0</v>
      </c>
      <c r="DE15" s="9">
        <v>460909</v>
      </c>
      <c r="DF15" s="9">
        <v>460909</v>
      </c>
      <c r="DG15" s="9">
        <v>352</v>
      </c>
      <c r="DH15" s="9">
        <v>0</v>
      </c>
      <c r="DI15" s="9">
        <v>0</v>
      </c>
      <c r="DJ15" s="9">
        <v>0</v>
      </c>
      <c r="DK15" s="9">
        <v>5392</v>
      </c>
      <c r="DL15" s="9">
        <v>0</v>
      </c>
      <c r="DM15" s="9">
        <v>249658</v>
      </c>
      <c r="DN15" s="9">
        <v>0</v>
      </c>
      <c r="DO15" s="9">
        <v>0</v>
      </c>
      <c r="DP15" s="9">
        <v>0</v>
      </c>
      <c r="DQ15" s="9">
        <v>0</v>
      </c>
      <c r="DR15" s="9">
        <v>0</v>
      </c>
      <c r="DS15" s="9">
        <v>0</v>
      </c>
      <c r="DT15" s="9">
        <v>0</v>
      </c>
      <c r="DU15" s="9">
        <v>0</v>
      </c>
      <c r="DV15" s="9">
        <v>0</v>
      </c>
      <c r="DW15" s="9">
        <v>0</v>
      </c>
      <c r="DX15" s="9">
        <v>0</v>
      </c>
      <c r="DY15" s="9">
        <v>0</v>
      </c>
      <c r="DZ15" s="9">
        <v>0</v>
      </c>
      <c r="EA15" s="9">
        <v>0</v>
      </c>
      <c r="EB15" s="9">
        <v>0</v>
      </c>
      <c r="EC15" s="9">
        <v>3.9130000000000003</v>
      </c>
      <c r="ED15" s="9">
        <v>28180</v>
      </c>
      <c r="EE15" s="9">
        <v>0</v>
      </c>
      <c r="EF15" s="9">
        <v>0</v>
      </c>
      <c r="EG15" s="9">
        <v>0</v>
      </c>
      <c r="EH15" s="9">
        <v>221478</v>
      </c>
      <c r="EI15" s="9">
        <v>0</v>
      </c>
      <c r="EJ15" s="9">
        <v>0</v>
      </c>
      <c r="EK15" s="9">
        <v>10.089</v>
      </c>
      <c r="EL15" s="9">
        <v>0</v>
      </c>
      <c r="EM15" s="9">
        <v>9.9000000000000005E-2</v>
      </c>
      <c r="EN15" s="9">
        <v>0.65300000000000002</v>
      </c>
      <c r="EO15" s="9">
        <v>0</v>
      </c>
      <c r="EP15" s="9">
        <v>0</v>
      </c>
      <c r="EQ15" s="9">
        <v>10.841000000000001</v>
      </c>
      <c r="ER15" s="9">
        <v>0</v>
      </c>
      <c r="ES15" s="9">
        <v>33.829000000000001</v>
      </c>
      <c r="ET15" s="9">
        <v>0</v>
      </c>
      <c r="EU15" s="9">
        <v>135759</v>
      </c>
      <c r="EV15" s="9">
        <v>0</v>
      </c>
      <c r="EW15" s="9">
        <v>0</v>
      </c>
      <c r="EX15" s="9">
        <v>0</v>
      </c>
      <c r="EY15" s="9">
        <v>0</v>
      </c>
      <c r="EZ15" s="9">
        <v>2288930</v>
      </c>
      <c r="FA15" s="9">
        <v>0</v>
      </c>
      <c r="FB15" s="9">
        <v>2424689</v>
      </c>
      <c r="FC15" s="9">
        <v>0.97326799999999991</v>
      </c>
      <c r="FD15" s="9">
        <v>0</v>
      </c>
      <c r="FE15" s="9">
        <v>365066</v>
      </c>
      <c r="FF15" s="9">
        <v>77741</v>
      </c>
      <c r="FG15" s="9">
        <v>5.8088000000000001E-2</v>
      </c>
      <c r="FH15" s="9">
        <v>5.2622999999999996E-2</v>
      </c>
      <c r="FI15" s="9">
        <v>0</v>
      </c>
      <c r="FJ15" s="9">
        <v>0</v>
      </c>
      <c r="FK15" s="9">
        <v>462.38300000000004</v>
      </c>
      <c r="FL15" s="9">
        <v>2914599</v>
      </c>
      <c r="FM15" s="9">
        <v>0</v>
      </c>
      <c r="FN15" s="9">
        <v>0</v>
      </c>
      <c r="FO15" s="9">
        <v>0</v>
      </c>
      <c r="FP15" s="9">
        <v>0</v>
      </c>
      <c r="FQ15" s="9">
        <v>0</v>
      </c>
      <c r="FR15" s="9">
        <v>0</v>
      </c>
      <c r="FS15" s="9">
        <v>0</v>
      </c>
      <c r="FT15" s="9">
        <v>0</v>
      </c>
      <c r="FU15" s="9">
        <v>0</v>
      </c>
      <c r="FV15" s="9">
        <v>0</v>
      </c>
      <c r="FW15" s="9">
        <v>0</v>
      </c>
      <c r="FX15" s="9">
        <v>0</v>
      </c>
      <c r="FY15" s="9">
        <v>0</v>
      </c>
      <c r="FZ15" s="9">
        <v>0</v>
      </c>
      <c r="GA15" s="9">
        <v>0</v>
      </c>
      <c r="GB15" s="9">
        <v>0</v>
      </c>
      <c r="GC15" s="9">
        <v>0</v>
      </c>
      <c r="GD15" s="9">
        <v>0</v>
      </c>
      <c r="GE15" s="9">
        <v>0</v>
      </c>
      <c r="GF15" s="9">
        <v>0</v>
      </c>
      <c r="GG15" s="9">
        <v>0</v>
      </c>
      <c r="GH15" s="9">
        <v>0</v>
      </c>
      <c r="GI15" s="9">
        <v>0</v>
      </c>
      <c r="GJ15" s="9">
        <v>0</v>
      </c>
      <c r="GK15" s="9">
        <v>4886</v>
      </c>
      <c r="GL15" s="9">
        <v>12553</v>
      </c>
      <c r="GM15" s="9">
        <v>0</v>
      </c>
      <c r="GN15" s="9">
        <v>0</v>
      </c>
      <c r="GO15" s="9">
        <v>0</v>
      </c>
      <c r="GP15" s="9">
        <v>2867496</v>
      </c>
      <c r="GQ15" s="9">
        <v>2867496</v>
      </c>
      <c r="GR15" s="9">
        <v>0</v>
      </c>
      <c r="GS15" s="9">
        <v>0</v>
      </c>
      <c r="GT15" s="9">
        <v>0</v>
      </c>
      <c r="GU15" s="9">
        <v>0</v>
      </c>
      <c r="GV15" s="9">
        <v>0</v>
      </c>
      <c r="GW15" s="9">
        <v>0</v>
      </c>
      <c r="GX15" s="9">
        <v>0</v>
      </c>
      <c r="GY15" s="9">
        <v>0</v>
      </c>
      <c r="GZ15" s="9">
        <v>0</v>
      </c>
      <c r="HA15" s="9">
        <v>0</v>
      </c>
      <c r="HB15" s="9">
        <v>300501363</v>
      </c>
      <c r="HC15" s="9">
        <v>4.4742999999999998E-2</v>
      </c>
      <c r="HD15" s="9">
        <v>47103</v>
      </c>
      <c r="HE15" s="9">
        <v>0</v>
      </c>
      <c r="HF15" s="9">
        <v>0</v>
      </c>
      <c r="HG15" s="9">
        <v>0</v>
      </c>
      <c r="HH15" s="9">
        <v>0</v>
      </c>
      <c r="HI15" s="9">
        <v>0</v>
      </c>
      <c r="HJ15" s="9">
        <v>0</v>
      </c>
      <c r="HK15" s="9">
        <v>0</v>
      </c>
      <c r="HL15" s="9">
        <v>0</v>
      </c>
      <c r="HM15" s="9">
        <v>0</v>
      </c>
      <c r="HN15" s="9">
        <v>0</v>
      </c>
      <c r="HO15" s="9">
        <v>0</v>
      </c>
      <c r="HP15" s="9">
        <v>0</v>
      </c>
      <c r="HQ15" s="9">
        <v>0</v>
      </c>
      <c r="HR15" s="9">
        <v>0</v>
      </c>
      <c r="HS15" s="9">
        <v>0</v>
      </c>
      <c r="HT15" s="9">
        <v>0</v>
      </c>
      <c r="HU15" s="9">
        <v>0</v>
      </c>
      <c r="HV15" s="9">
        <v>0</v>
      </c>
      <c r="HW15" s="9">
        <v>0</v>
      </c>
      <c r="HX15" s="9">
        <v>0</v>
      </c>
      <c r="HY15" s="9">
        <v>0</v>
      </c>
      <c r="HZ15" s="9">
        <v>0</v>
      </c>
      <c r="IA15" s="9">
        <v>0</v>
      </c>
      <c r="IB15" s="9">
        <v>0</v>
      </c>
      <c r="IC15" s="9">
        <v>0</v>
      </c>
      <c r="ID15" s="9">
        <v>0</v>
      </c>
      <c r="IE15" s="9">
        <v>0</v>
      </c>
      <c r="IF15" s="9">
        <v>0</v>
      </c>
      <c r="IG15" s="9">
        <v>0</v>
      </c>
      <c r="IH15" s="9">
        <v>0</v>
      </c>
      <c r="II15" s="9">
        <v>0</v>
      </c>
      <c r="IJ15" s="9">
        <v>0</v>
      </c>
      <c r="IK15" s="9">
        <v>0</v>
      </c>
      <c r="IL15" s="9">
        <v>0</v>
      </c>
      <c r="IM15" s="9">
        <v>0</v>
      </c>
      <c r="IN15" s="9">
        <v>0</v>
      </c>
      <c r="IO15" s="9">
        <v>0</v>
      </c>
      <c r="IP15" s="9">
        <v>0</v>
      </c>
      <c r="IQ15" s="9">
        <v>0</v>
      </c>
      <c r="IR15" s="9">
        <v>0</v>
      </c>
      <c r="IS15" s="9">
        <v>0</v>
      </c>
      <c r="IT15" s="9">
        <v>0</v>
      </c>
      <c r="IU15" s="9">
        <v>0</v>
      </c>
      <c r="IV15" s="9">
        <v>0</v>
      </c>
      <c r="IW15" s="9">
        <v>0</v>
      </c>
      <c r="IX15" s="9">
        <v>0</v>
      </c>
      <c r="IY15" s="9">
        <v>0</v>
      </c>
      <c r="IZ15" s="9">
        <v>0</v>
      </c>
      <c r="JA15" s="9">
        <v>0</v>
      </c>
      <c r="JB15" s="9">
        <v>0</v>
      </c>
      <c r="JC15" s="9">
        <v>0</v>
      </c>
      <c r="JD15" s="9">
        <v>0</v>
      </c>
      <c r="JE15" s="9">
        <v>0</v>
      </c>
      <c r="JF15" s="9">
        <v>0</v>
      </c>
      <c r="JG15" s="9">
        <v>0</v>
      </c>
      <c r="JH15" s="9">
        <v>0</v>
      </c>
      <c r="JI15" s="9">
        <v>0</v>
      </c>
      <c r="JJ15" s="9">
        <v>0</v>
      </c>
      <c r="JK15" s="9">
        <v>0</v>
      </c>
      <c r="JL15" s="9">
        <v>0</v>
      </c>
      <c r="JM15" s="9">
        <v>0</v>
      </c>
      <c r="JN15" s="9">
        <v>36832</v>
      </c>
      <c r="JO15" s="9">
        <v>0</v>
      </c>
      <c r="JP15" s="9">
        <v>0</v>
      </c>
      <c r="JQ15" s="9">
        <v>0</v>
      </c>
      <c r="JR15" s="9">
        <v>0</v>
      </c>
      <c r="JS15" s="9">
        <v>0</v>
      </c>
      <c r="JT15" s="9">
        <v>0</v>
      </c>
      <c r="JU15" s="9">
        <v>0</v>
      </c>
      <c r="JV15" s="9">
        <v>0</v>
      </c>
      <c r="JW15" s="9">
        <v>0</v>
      </c>
      <c r="JX15" s="9">
        <v>0</v>
      </c>
      <c r="JY15" s="9">
        <v>0</v>
      </c>
      <c r="JZ15" s="9">
        <v>0</v>
      </c>
      <c r="KA15" s="9">
        <v>0</v>
      </c>
      <c r="KB15" s="9">
        <v>0</v>
      </c>
      <c r="KC15" s="9">
        <v>0</v>
      </c>
      <c r="KD15" s="9">
        <v>0</v>
      </c>
      <c r="KE15" s="9">
        <v>0</v>
      </c>
      <c r="KF15" s="9">
        <v>0</v>
      </c>
      <c r="KG15" s="9">
        <v>0</v>
      </c>
      <c r="KH15" s="9">
        <v>0</v>
      </c>
      <c r="KI15" s="9">
        <v>0</v>
      </c>
    </row>
    <row r="16" spans="1:295" x14ac:dyDescent="0.25">
      <c r="A16" s="9">
        <v>15814</v>
      </c>
      <c r="B16" s="9">
        <v>36871</v>
      </c>
      <c r="C16" s="9">
        <v>35</v>
      </c>
      <c r="D16" s="9">
        <v>2023</v>
      </c>
      <c r="E16" s="9">
        <v>5392</v>
      </c>
      <c r="F16" s="9">
        <v>0</v>
      </c>
      <c r="G16" s="9">
        <v>0</v>
      </c>
      <c r="H16" s="9">
        <v>124.009</v>
      </c>
      <c r="I16" s="9">
        <v>124.009</v>
      </c>
      <c r="J16" s="9">
        <v>125.01100000000001</v>
      </c>
      <c r="K16" s="9">
        <v>0</v>
      </c>
      <c r="L16" s="9">
        <v>6547</v>
      </c>
      <c r="M16" s="9">
        <v>0</v>
      </c>
      <c r="N16" s="9">
        <v>0</v>
      </c>
      <c r="O16" s="9">
        <v>0</v>
      </c>
      <c r="P16" s="9">
        <v>111.08500000000001</v>
      </c>
      <c r="Q16" s="9">
        <v>0</v>
      </c>
      <c r="R16" s="9">
        <v>54090</v>
      </c>
      <c r="S16" s="9">
        <v>486.92200000000003</v>
      </c>
      <c r="T16" s="9">
        <v>0</v>
      </c>
      <c r="U16" s="9">
        <v>54090</v>
      </c>
      <c r="V16" s="9">
        <v>3.468</v>
      </c>
      <c r="W16" s="9">
        <v>2270</v>
      </c>
      <c r="X16" s="9">
        <v>2270</v>
      </c>
      <c r="Y16" s="9">
        <v>0</v>
      </c>
      <c r="Z16" s="9">
        <v>0</v>
      </c>
      <c r="AA16" s="9">
        <v>1</v>
      </c>
      <c r="AB16" s="9">
        <v>1</v>
      </c>
      <c r="AC16" s="9">
        <v>0</v>
      </c>
      <c r="AD16" s="9" t="s">
        <v>314</v>
      </c>
      <c r="AE16" s="9">
        <v>0</v>
      </c>
      <c r="AF16" s="9">
        <v>0</v>
      </c>
      <c r="AG16" s="9">
        <v>0</v>
      </c>
      <c r="AH16" s="9">
        <v>0</v>
      </c>
      <c r="AI16" s="9">
        <v>0</v>
      </c>
      <c r="AJ16" s="9">
        <v>5104</v>
      </c>
      <c r="AK16" s="9" t="s">
        <v>651</v>
      </c>
      <c r="AL16" s="9" t="s">
        <v>39</v>
      </c>
      <c r="AM16" s="9">
        <v>0</v>
      </c>
      <c r="AN16" s="9">
        <v>0</v>
      </c>
      <c r="AO16" s="9">
        <v>0</v>
      </c>
      <c r="AP16" s="9">
        <v>0</v>
      </c>
      <c r="AQ16" s="9">
        <v>0</v>
      </c>
      <c r="AR16" s="9">
        <v>0</v>
      </c>
      <c r="AS16" s="9">
        <v>0</v>
      </c>
      <c r="AT16" s="9">
        <v>0</v>
      </c>
      <c r="AU16" s="9">
        <v>0</v>
      </c>
      <c r="AV16" s="9">
        <v>5726</v>
      </c>
      <c r="AW16" s="9">
        <v>1274557</v>
      </c>
      <c r="AX16" s="9">
        <v>1232966</v>
      </c>
      <c r="AY16" s="9">
        <v>1149738</v>
      </c>
      <c r="AZ16" s="9">
        <v>73643</v>
      </c>
      <c r="BA16" s="9">
        <v>0</v>
      </c>
      <c r="BB16" s="9">
        <v>0</v>
      </c>
      <c r="BC16" s="9">
        <v>0</v>
      </c>
      <c r="BD16" s="9">
        <v>0</v>
      </c>
      <c r="BE16" s="9">
        <v>0</v>
      </c>
      <c r="BF16" s="9">
        <v>1058618</v>
      </c>
      <c r="BG16" s="9">
        <v>0</v>
      </c>
      <c r="BH16" s="9">
        <v>71.100000000000009</v>
      </c>
      <c r="BI16" s="9">
        <v>19553</v>
      </c>
      <c r="BJ16" s="9">
        <v>12</v>
      </c>
      <c r="BK16" s="9">
        <v>0</v>
      </c>
      <c r="BL16" s="9">
        <v>0</v>
      </c>
      <c r="BM16" s="9">
        <v>0</v>
      </c>
      <c r="BN16" s="9">
        <v>0</v>
      </c>
      <c r="BO16" s="9">
        <v>0</v>
      </c>
      <c r="BP16" s="9">
        <v>0</v>
      </c>
      <c r="BQ16" s="9">
        <v>5392</v>
      </c>
      <c r="BR16" s="9">
        <v>1</v>
      </c>
      <c r="BS16" s="9">
        <v>0</v>
      </c>
      <c r="BT16" s="9">
        <v>0</v>
      </c>
      <c r="BU16" s="9">
        <v>0</v>
      </c>
      <c r="BV16" s="9">
        <v>0</v>
      </c>
      <c r="BW16" s="9">
        <v>0</v>
      </c>
      <c r="BX16" s="9">
        <v>0</v>
      </c>
      <c r="BY16" s="9">
        <v>0</v>
      </c>
      <c r="BZ16" s="9">
        <v>0</v>
      </c>
      <c r="CA16" s="9">
        <v>0</v>
      </c>
      <c r="CB16" s="9">
        <v>0</v>
      </c>
      <c r="CC16" s="9">
        <v>0</v>
      </c>
      <c r="CD16" s="9">
        <v>0</v>
      </c>
      <c r="CE16" s="9">
        <v>0</v>
      </c>
      <c r="CF16" s="9">
        <v>0</v>
      </c>
      <c r="CG16" s="9">
        <v>0</v>
      </c>
      <c r="CH16" s="9">
        <v>22038</v>
      </c>
      <c r="CI16" s="9">
        <v>0</v>
      </c>
      <c r="CJ16" s="9">
        <v>4</v>
      </c>
      <c r="CK16" s="9">
        <v>0</v>
      </c>
      <c r="CL16" s="9">
        <v>0</v>
      </c>
      <c r="CM16" s="9">
        <v>0</v>
      </c>
      <c r="CN16" s="9">
        <v>0</v>
      </c>
      <c r="CO16" s="9">
        <v>0</v>
      </c>
      <c r="CP16" s="9">
        <v>0.61299999999999999</v>
      </c>
      <c r="CQ16" s="9">
        <v>0</v>
      </c>
      <c r="CR16" s="9">
        <v>103.461</v>
      </c>
      <c r="CS16" s="9">
        <v>0</v>
      </c>
      <c r="CT16" s="9">
        <v>0</v>
      </c>
      <c r="CU16" s="9">
        <v>0</v>
      </c>
      <c r="CV16" s="9">
        <v>0</v>
      </c>
      <c r="CW16" s="9">
        <v>0</v>
      </c>
      <c r="CX16" s="9">
        <v>0</v>
      </c>
      <c r="CY16" s="9">
        <v>0</v>
      </c>
      <c r="CZ16" s="9">
        <v>0</v>
      </c>
      <c r="DA16" s="9">
        <v>1</v>
      </c>
      <c r="DB16" s="9">
        <v>811887</v>
      </c>
      <c r="DC16" s="9">
        <v>0</v>
      </c>
      <c r="DD16" s="9">
        <v>0</v>
      </c>
      <c r="DE16" s="9">
        <v>154941</v>
      </c>
      <c r="DF16" s="9">
        <v>164613</v>
      </c>
      <c r="DG16" s="9">
        <v>118.33</v>
      </c>
      <c r="DH16" s="9">
        <v>0</v>
      </c>
      <c r="DI16" s="9">
        <v>9672</v>
      </c>
      <c r="DJ16" s="9">
        <v>0</v>
      </c>
      <c r="DK16" s="9">
        <v>5392</v>
      </c>
      <c r="DL16" s="9">
        <v>0</v>
      </c>
      <c r="DM16" s="9">
        <v>100068</v>
      </c>
      <c r="DN16" s="9">
        <v>0</v>
      </c>
      <c r="DO16" s="9">
        <v>0</v>
      </c>
      <c r="DP16" s="9">
        <v>0</v>
      </c>
      <c r="DQ16" s="9">
        <v>0</v>
      </c>
      <c r="DR16" s="9">
        <v>0</v>
      </c>
      <c r="DS16" s="9">
        <v>0</v>
      </c>
      <c r="DT16" s="9">
        <v>0</v>
      </c>
      <c r="DU16" s="9">
        <v>0</v>
      </c>
      <c r="DV16" s="9">
        <v>0</v>
      </c>
      <c r="DW16" s="9">
        <v>0</v>
      </c>
      <c r="DX16" s="9">
        <v>0</v>
      </c>
      <c r="DY16" s="9">
        <v>0</v>
      </c>
      <c r="DZ16" s="9">
        <v>0</v>
      </c>
      <c r="EA16" s="9">
        <v>0</v>
      </c>
      <c r="EB16" s="9">
        <v>0</v>
      </c>
      <c r="EC16" s="9">
        <v>13.895000000000001</v>
      </c>
      <c r="ED16" s="9">
        <v>100068</v>
      </c>
      <c r="EE16" s="9">
        <v>0</v>
      </c>
      <c r="EF16" s="9">
        <v>0</v>
      </c>
      <c r="EG16" s="9">
        <v>0</v>
      </c>
      <c r="EH16" s="9">
        <v>0</v>
      </c>
      <c r="EI16" s="9">
        <v>0</v>
      </c>
      <c r="EJ16" s="9">
        <v>0</v>
      </c>
      <c r="EK16" s="9">
        <v>0</v>
      </c>
      <c r="EL16" s="9">
        <v>0</v>
      </c>
      <c r="EM16" s="9">
        <v>0</v>
      </c>
      <c r="EN16" s="9">
        <v>0</v>
      </c>
      <c r="EO16" s="9">
        <v>0</v>
      </c>
      <c r="EP16" s="9">
        <v>0</v>
      </c>
      <c r="EQ16" s="9">
        <v>0</v>
      </c>
      <c r="ER16" s="9">
        <v>0</v>
      </c>
      <c r="ES16" s="9">
        <v>0</v>
      </c>
      <c r="ET16" s="9">
        <v>0</v>
      </c>
      <c r="EU16" s="9">
        <v>73643</v>
      </c>
      <c r="EV16" s="9">
        <v>0</v>
      </c>
      <c r="EW16" s="9">
        <v>0</v>
      </c>
      <c r="EX16" s="9">
        <v>0</v>
      </c>
      <c r="EY16" s="9">
        <v>0</v>
      </c>
      <c r="EZ16" s="9">
        <v>1034326</v>
      </c>
      <c r="FA16" s="9">
        <v>0</v>
      </c>
      <c r="FB16" s="9">
        <v>1107969</v>
      </c>
      <c r="FC16" s="9">
        <v>0.97326799999999991</v>
      </c>
      <c r="FD16" s="9">
        <v>0</v>
      </c>
      <c r="FE16" s="9">
        <v>163766</v>
      </c>
      <c r="FF16" s="9">
        <v>34874</v>
      </c>
      <c r="FG16" s="9">
        <v>5.8088000000000001E-2</v>
      </c>
      <c r="FH16" s="9">
        <v>5.2622999999999996E-2</v>
      </c>
      <c r="FI16" s="9">
        <v>0</v>
      </c>
      <c r="FJ16" s="9">
        <v>0</v>
      </c>
      <c r="FK16" s="9">
        <v>207.42100000000002</v>
      </c>
      <c r="FL16" s="9">
        <v>1328647</v>
      </c>
      <c r="FM16" s="9">
        <v>0</v>
      </c>
      <c r="FN16" s="9">
        <v>0</v>
      </c>
      <c r="FO16" s="9">
        <v>722</v>
      </c>
      <c r="FP16" s="9">
        <v>0</v>
      </c>
      <c r="FQ16" s="9">
        <v>722</v>
      </c>
      <c r="FR16" s="9">
        <v>722</v>
      </c>
      <c r="FS16" s="9">
        <v>0</v>
      </c>
      <c r="FT16" s="9">
        <v>0</v>
      </c>
      <c r="FU16" s="9">
        <v>0</v>
      </c>
      <c r="FV16" s="9">
        <v>0</v>
      </c>
      <c r="FW16" s="9">
        <v>0</v>
      </c>
      <c r="FX16" s="9">
        <v>0</v>
      </c>
      <c r="FY16" s="9">
        <v>0</v>
      </c>
      <c r="FZ16" s="9">
        <v>0</v>
      </c>
      <c r="GA16" s="9">
        <v>0</v>
      </c>
      <c r="GB16" s="9">
        <v>8856</v>
      </c>
      <c r="GC16" s="9">
        <v>8856</v>
      </c>
      <c r="GD16" s="9">
        <v>1.002</v>
      </c>
      <c r="GE16" s="9">
        <v>0</v>
      </c>
      <c r="GF16" s="9">
        <v>0</v>
      </c>
      <c r="GG16" s="9">
        <v>0</v>
      </c>
      <c r="GH16" s="9">
        <v>0</v>
      </c>
      <c r="GI16" s="9">
        <v>0</v>
      </c>
      <c r="GJ16" s="9">
        <v>0</v>
      </c>
      <c r="GK16" s="9">
        <v>5225</v>
      </c>
      <c r="GL16" s="9">
        <v>4759</v>
      </c>
      <c r="GM16" s="9">
        <v>0</v>
      </c>
      <c r="GN16" s="9">
        <v>13245</v>
      </c>
      <c r="GO16" s="9">
        <v>0</v>
      </c>
      <c r="GP16" s="9">
        <v>1306609</v>
      </c>
      <c r="GQ16" s="9">
        <v>1306609</v>
      </c>
      <c r="GR16" s="9">
        <v>0</v>
      </c>
      <c r="GS16" s="9">
        <v>0</v>
      </c>
      <c r="GT16" s="9">
        <v>0</v>
      </c>
      <c r="GU16" s="9">
        <v>0</v>
      </c>
      <c r="GV16" s="9">
        <v>0</v>
      </c>
      <c r="GW16" s="9">
        <v>0</v>
      </c>
      <c r="GX16" s="9">
        <v>0</v>
      </c>
      <c r="GY16" s="9">
        <v>0</v>
      </c>
      <c r="GZ16" s="9">
        <v>0</v>
      </c>
      <c r="HA16" s="9">
        <v>0</v>
      </c>
      <c r="HB16" s="9">
        <v>300501363</v>
      </c>
      <c r="HC16" s="9">
        <v>4.4742999999999998E-2</v>
      </c>
      <c r="HD16" s="9">
        <v>22038</v>
      </c>
      <c r="HE16" s="9">
        <v>0</v>
      </c>
      <c r="HF16" s="9">
        <v>0</v>
      </c>
      <c r="HG16" s="9">
        <v>0</v>
      </c>
      <c r="HH16" s="9">
        <v>0</v>
      </c>
      <c r="HI16" s="9">
        <v>0</v>
      </c>
      <c r="HJ16" s="9">
        <v>0</v>
      </c>
      <c r="HK16" s="9">
        <v>0</v>
      </c>
      <c r="HL16" s="9">
        <v>0</v>
      </c>
      <c r="HM16" s="9">
        <v>0</v>
      </c>
      <c r="HN16" s="9">
        <v>0</v>
      </c>
      <c r="HO16" s="9">
        <v>0</v>
      </c>
      <c r="HP16" s="9">
        <v>0</v>
      </c>
      <c r="HQ16" s="9">
        <v>0</v>
      </c>
      <c r="HR16" s="9">
        <v>0</v>
      </c>
      <c r="HS16" s="9">
        <v>0</v>
      </c>
      <c r="HT16" s="9">
        <v>0</v>
      </c>
      <c r="HU16" s="9">
        <v>0</v>
      </c>
      <c r="HV16" s="9">
        <v>0</v>
      </c>
      <c r="HW16" s="9">
        <v>0</v>
      </c>
      <c r="HX16" s="9">
        <v>0</v>
      </c>
      <c r="HY16" s="9">
        <v>0</v>
      </c>
      <c r="HZ16" s="9">
        <v>0</v>
      </c>
      <c r="IA16" s="9">
        <v>0</v>
      </c>
      <c r="IB16" s="9">
        <v>0</v>
      </c>
      <c r="IC16" s="9">
        <v>0</v>
      </c>
      <c r="ID16" s="9">
        <v>0</v>
      </c>
      <c r="IE16" s="9">
        <v>0</v>
      </c>
      <c r="IF16" s="9">
        <v>0</v>
      </c>
      <c r="IG16" s="9">
        <v>0</v>
      </c>
      <c r="IH16" s="9">
        <v>0</v>
      </c>
      <c r="II16" s="9">
        <v>0</v>
      </c>
      <c r="IJ16" s="9">
        <v>0</v>
      </c>
      <c r="IK16" s="9">
        <v>0</v>
      </c>
      <c r="IL16" s="9">
        <v>0</v>
      </c>
      <c r="IM16" s="9">
        <v>0</v>
      </c>
      <c r="IN16" s="9">
        <v>0</v>
      </c>
      <c r="IO16" s="9">
        <v>0</v>
      </c>
      <c r="IP16" s="9">
        <v>0</v>
      </c>
      <c r="IQ16" s="9">
        <v>0</v>
      </c>
      <c r="IR16" s="9">
        <v>0</v>
      </c>
      <c r="IS16" s="9">
        <v>0</v>
      </c>
      <c r="IT16" s="9">
        <v>0</v>
      </c>
      <c r="IU16" s="9">
        <v>0</v>
      </c>
      <c r="IV16" s="9">
        <v>0</v>
      </c>
      <c r="IW16" s="9">
        <v>0</v>
      </c>
      <c r="IX16" s="9">
        <v>0</v>
      </c>
      <c r="IY16" s="9">
        <v>0</v>
      </c>
      <c r="IZ16" s="9">
        <v>0</v>
      </c>
      <c r="JA16" s="9">
        <v>0</v>
      </c>
      <c r="JB16" s="9">
        <v>0</v>
      </c>
      <c r="JC16" s="9">
        <v>0</v>
      </c>
      <c r="JD16" s="9">
        <v>0</v>
      </c>
      <c r="JE16" s="9">
        <v>0</v>
      </c>
      <c r="JF16" s="9">
        <v>0</v>
      </c>
      <c r="JG16" s="9">
        <v>0</v>
      </c>
      <c r="JH16" s="9">
        <v>0</v>
      </c>
      <c r="JI16" s="9">
        <v>0</v>
      </c>
      <c r="JJ16" s="9">
        <v>0</v>
      </c>
      <c r="JK16" s="9">
        <v>0</v>
      </c>
      <c r="JL16" s="9">
        <v>0</v>
      </c>
      <c r="JM16" s="9">
        <v>0</v>
      </c>
      <c r="JN16" s="9">
        <v>36832</v>
      </c>
      <c r="JO16" s="9">
        <v>0</v>
      </c>
      <c r="JP16" s="9">
        <v>0</v>
      </c>
      <c r="JQ16" s="9">
        <v>0</v>
      </c>
      <c r="JR16" s="9">
        <v>0</v>
      </c>
      <c r="JS16" s="9">
        <v>0</v>
      </c>
      <c r="JT16" s="9">
        <v>0</v>
      </c>
      <c r="JU16" s="9">
        <v>0</v>
      </c>
      <c r="JV16" s="9">
        <v>0</v>
      </c>
      <c r="JW16" s="9">
        <v>0</v>
      </c>
      <c r="JX16" s="9">
        <v>0</v>
      </c>
      <c r="JY16" s="9">
        <v>0</v>
      </c>
      <c r="JZ16" s="9">
        <v>0</v>
      </c>
      <c r="KA16" s="9">
        <v>0</v>
      </c>
      <c r="KB16" s="9">
        <v>0</v>
      </c>
      <c r="KC16" s="9">
        <v>0</v>
      </c>
      <c r="KD16" s="9">
        <v>0</v>
      </c>
      <c r="KE16" s="9">
        <v>0</v>
      </c>
      <c r="KF16" s="9">
        <v>0</v>
      </c>
      <c r="KG16" s="9">
        <v>0</v>
      </c>
      <c r="KH16" s="9">
        <v>0</v>
      </c>
      <c r="KI16" s="9">
        <v>0</v>
      </c>
    </row>
    <row r="17" spans="1:295" x14ac:dyDescent="0.25">
      <c r="A17" s="9">
        <v>15815</v>
      </c>
      <c r="B17" s="9">
        <v>36871</v>
      </c>
      <c r="C17" s="9">
        <v>35</v>
      </c>
      <c r="D17" s="9">
        <v>2023</v>
      </c>
      <c r="E17" s="9">
        <v>5392</v>
      </c>
      <c r="F17" s="9">
        <v>0</v>
      </c>
      <c r="G17" s="9">
        <v>0</v>
      </c>
      <c r="H17" s="9">
        <v>657.22300000000007</v>
      </c>
      <c r="I17" s="9">
        <v>657.22300000000007</v>
      </c>
      <c r="J17" s="9">
        <v>687.67900000000009</v>
      </c>
      <c r="K17" s="9">
        <v>0</v>
      </c>
      <c r="L17" s="9">
        <v>6547</v>
      </c>
      <c r="M17" s="9">
        <v>0</v>
      </c>
      <c r="N17" s="9">
        <v>0</v>
      </c>
      <c r="O17" s="9">
        <v>0</v>
      </c>
      <c r="P17" s="9">
        <v>607.85900000000004</v>
      </c>
      <c r="Q17" s="9">
        <v>0</v>
      </c>
      <c r="R17" s="9">
        <v>295980</v>
      </c>
      <c r="S17" s="9">
        <v>486.92200000000003</v>
      </c>
      <c r="T17" s="9">
        <v>0</v>
      </c>
      <c r="U17" s="9">
        <v>295980</v>
      </c>
      <c r="V17" s="9">
        <v>260.91300000000001</v>
      </c>
      <c r="W17" s="9">
        <v>170820</v>
      </c>
      <c r="X17" s="9">
        <v>170820</v>
      </c>
      <c r="Y17" s="9">
        <v>0</v>
      </c>
      <c r="Z17" s="9">
        <v>0</v>
      </c>
      <c r="AA17" s="9">
        <v>1</v>
      </c>
      <c r="AB17" s="9">
        <v>1</v>
      </c>
      <c r="AC17" s="9">
        <v>0</v>
      </c>
      <c r="AD17" s="9" t="s">
        <v>314</v>
      </c>
      <c r="AE17" s="9">
        <v>0</v>
      </c>
      <c r="AF17" s="9">
        <v>0</v>
      </c>
      <c r="AG17" s="9">
        <v>0</v>
      </c>
      <c r="AH17" s="9">
        <v>0</v>
      </c>
      <c r="AI17" s="9">
        <v>0</v>
      </c>
      <c r="AJ17" s="9">
        <v>5104</v>
      </c>
      <c r="AK17" s="9" t="s">
        <v>651</v>
      </c>
      <c r="AL17" s="9" t="s">
        <v>386</v>
      </c>
      <c r="AM17" s="9">
        <v>0</v>
      </c>
      <c r="AN17" s="9">
        <v>0</v>
      </c>
      <c r="AO17" s="9">
        <v>0</v>
      </c>
      <c r="AP17" s="9">
        <v>0</v>
      </c>
      <c r="AQ17" s="9">
        <v>0</v>
      </c>
      <c r="AR17" s="9">
        <v>0</v>
      </c>
      <c r="AS17" s="9">
        <v>0</v>
      </c>
      <c r="AT17" s="9">
        <v>0</v>
      </c>
      <c r="AU17" s="9">
        <v>0</v>
      </c>
      <c r="AV17" s="9">
        <v>-162748</v>
      </c>
      <c r="AW17" s="9">
        <v>6578320</v>
      </c>
      <c r="AX17" s="9">
        <v>6403806</v>
      </c>
      <c r="AY17" s="9">
        <v>6294962</v>
      </c>
      <c r="AZ17" s="9">
        <v>342640</v>
      </c>
      <c r="BA17" s="9">
        <v>13.25</v>
      </c>
      <c r="BB17" s="9">
        <v>7856</v>
      </c>
      <c r="BC17" s="9">
        <v>7856</v>
      </c>
      <c r="BD17" s="9">
        <v>10</v>
      </c>
      <c r="BE17" s="9">
        <v>0</v>
      </c>
      <c r="BF17" s="9">
        <v>5513744</v>
      </c>
      <c r="BG17" s="9">
        <v>0</v>
      </c>
      <c r="BH17" s="9">
        <v>169.673</v>
      </c>
      <c r="BI17" s="9">
        <v>46660</v>
      </c>
      <c r="BJ17" s="9">
        <v>12</v>
      </c>
      <c r="BK17" s="9">
        <v>0</v>
      </c>
      <c r="BL17" s="9">
        <v>0</v>
      </c>
      <c r="BM17" s="9">
        <v>0</v>
      </c>
      <c r="BN17" s="9">
        <v>0</v>
      </c>
      <c r="BO17" s="9">
        <v>0</v>
      </c>
      <c r="BP17" s="9">
        <v>0</v>
      </c>
      <c r="BQ17" s="9">
        <v>5392</v>
      </c>
      <c r="BR17" s="9">
        <v>1</v>
      </c>
      <c r="BS17" s="9">
        <v>0</v>
      </c>
      <c r="BT17" s="9">
        <v>0</v>
      </c>
      <c r="BU17" s="9">
        <v>0</v>
      </c>
      <c r="BV17" s="9">
        <v>0</v>
      </c>
      <c r="BW17" s="9">
        <v>0</v>
      </c>
      <c r="BX17" s="9">
        <v>0</v>
      </c>
      <c r="BY17" s="9">
        <v>0</v>
      </c>
      <c r="BZ17" s="9">
        <v>0</v>
      </c>
      <c r="CA17" s="9">
        <v>0</v>
      </c>
      <c r="CB17" s="9">
        <v>0</v>
      </c>
      <c r="CC17" s="9">
        <v>0</v>
      </c>
      <c r="CD17" s="9">
        <v>0</v>
      </c>
      <c r="CE17" s="9">
        <v>0</v>
      </c>
      <c r="CF17" s="9">
        <v>0</v>
      </c>
      <c r="CG17" s="9">
        <v>0</v>
      </c>
      <c r="CH17" s="9">
        <v>127854</v>
      </c>
      <c r="CI17" s="9">
        <v>0</v>
      </c>
      <c r="CJ17" s="9">
        <v>4</v>
      </c>
      <c r="CK17" s="9">
        <v>0</v>
      </c>
      <c r="CL17" s="9">
        <v>0</v>
      </c>
      <c r="CM17" s="9">
        <v>0</v>
      </c>
      <c r="CN17" s="9">
        <v>0</v>
      </c>
      <c r="CO17" s="9">
        <v>0</v>
      </c>
      <c r="CP17" s="9">
        <v>0</v>
      </c>
      <c r="CQ17" s="9">
        <v>0</v>
      </c>
      <c r="CR17" s="9">
        <v>596.32799999999997</v>
      </c>
      <c r="CS17" s="9">
        <v>0</v>
      </c>
      <c r="CT17" s="9">
        <v>0</v>
      </c>
      <c r="CU17" s="9">
        <v>0</v>
      </c>
      <c r="CV17" s="9">
        <v>0</v>
      </c>
      <c r="CW17" s="9">
        <v>0</v>
      </c>
      <c r="CX17" s="9">
        <v>0</v>
      </c>
      <c r="CY17" s="9">
        <v>0</v>
      </c>
      <c r="CZ17" s="9">
        <v>0</v>
      </c>
      <c r="DA17" s="9">
        <v>1</v>
      </c>
      <c r="DB17" s="9">
        <v>4302839</v>
      </c>
      <c r="DC17" s="9">
        <v>0</v>
      </c>
      <c r="DD17" s="9">
        <v>0</v>
      </c>
      <c r="DE17" s="9">
        <v>630699</v>
      </c>
      <c r="DF17" s="9">
        <v>630699</v>
      </c>
      <c r="DG17" s="9">
        <v>481.67</v>
      </c>
      <c r="DH17" s="9">
        <v>0</v>
      </c>
      <c r="DI17" s="9">
        <v>0</v>
      </c>
      <c r="DJ17" s="9">
        <v>0</v>
      </c>
      <c r="DK17" s="9">
        <v>5392</v>
      </c>
      <c r="DL17" s="9">
        <v>0</v>
      </c>
      <c r="DM17" s="9">
        <v>396956</v>
      </c>
      <c r="DN17" s="9">
        <v>0</v>
      </c>
      <c r="DO17" s="9">
        <v>0</v>
      </c>
      <c r="DP17" s="9">
        <v>0</v>
      </c>
      <c r="DQ17" s="9">
        <v>0</v>
      </c>
      <c r="DR17" s="9">
        <v>0</v>
      </c>
      <c r="DS17" s="9">
        <v>0</v>
      </c>
      <c r="DT17" s="9">
        <v>0</v>
      </c>
      <c r="DU17" s="9">
        <v>0</v>
      </c>
      <c r="DV17" s="9">
        <v>0</v>
      </c>
      <c r="DW17" s="9">
        <v>0</v>
      </c>
      <c r="DX17" s="9">
        <v>0</v>
      </c>
      <c r="DY17" s="9">
        <v>0</v>
      </c>
      <c r="DZ17" s="9">
        <v>0</v>
      </c>
      <c r="EA17" s="9">
        <v>0</v>
      </c>
      <c r="EB17" s="9">
        <v>0</v>
      </c>
      <c r="EC17" s="9">
        <v>18.558</v>
      </c>
      <c r="ED17" s="9">
        <v>133649</v>
      </c>
      <c r="EE17" s="9">
        <v>0</v>
      </c>
      <c r="EF17" s="9">
        <v>0</v>
      </c>
      <c r="EG17" s="9">
        <v>0</v>
      </c>
      <c r="EH17" s="9">
        <v>263307</v>
      </c>
      <c r="EI17" s="9">
        <v>0</v>
      </c>
      <c r="EJ17" s="9">
        <v>0</v>
      </c>
      <c r="EK17" s="9">
        <v>8.822000000000001</v>
      </c>
      <c r="EL17" s="9">
        <v>0</v>
      </c>
      <c r="EM17" s="9">
        <v>3.0790000000000002</v>
      </c>
      <c r="EN17" s="9">
        <v>0.90300000000000002</v>
      </c>
      <c r="EO17" s="9">
        <v>0</v>
      </c>
      <c r="EP17" s="9">
        <v>0</v>
      </c>
      <c r="EQ17" s="9">
        <v>12.804</v>
      </c>
      <c r="ER17" s="9">
        <v>0</v>
      </c>
      <c r="ES17" s="9">
        <v>40.218000000000004</v>
      </c>
      <c r="ET17" s="9">
        <v>6625</v>
      </c>
      <c r="EU17" s="9">
        <v>342640</v>
      </c>
      <c r="EV17" s="9">
        <v>0</v>
      </c>
      <c r="EW17" s="9">
        <v>0</v>
      </c>
      <c r="EX17" s="9">
        <v>0</v>
      </c>
      <c r="EY17" s="9">
        <v>0</v>
      </c>
      <c r="EZ17" s="9">
        <v>5369206</v>
      </c>
      <c r="FA17" s="9">
        <v>0</v>
      </c>
      <c r="FB17" s="9">
        <v>5711846</v>
      </c>
      <c r="FC17" s="9">
        <v>0.97326799999999991</v>
      </c>
      <c r="FD17" s="9">
        <v>0</v>
      </c>
      <c r="FE17" s="9">
        <v>852962</v>
      </c>
      <c r="FF17" s="9">
        <v>181638</v>
      </c>
      <c r="FG17" s="9">
        <v>5.8088000000000001E-2</v>
      </c>
      <c r="FH17" s="9">
        <v>5.2622999999999996E-2</v>
      </c>
      <c r="FI17" s="9">
        <v>0</v>
      </c>
      <c r="FJ17" s="9">
        <v>0</v>
      </c>
      <c r="FK17" s="9">
        <v>1080.338</v>
      </c>
      <c r="FL17" s="9">
        <v>6874300</v>
      </c>
      <c r="FM17" s="9">
        <v>0</v>
      </c>
      <c r="FN17" s="9">
        <v>0</v>
      </c>
      <c r="FO17" s="9">
        <v>0</v>
      </c>
      <c r="FP17" s="9">
        <v>0</v>
      </c>
      <c r="FQ17" s="9">
        <v>0</v>
      </c>
      <c r="FR17" s="9">
        <v>0</v>
      </c>
      <c r="FS17" s="9">
        <v>0</v>
      </c>
      <c r="FT17" s="9">
        <v>0</v>
      </c>
      <c r="FU17" s="9">
        <v>0</v>
      </c>
      <c r="FV17" s="9">
        <v>0</v>
      </c>
      <c r="FW17" s="9">
        <v>0</v>
      </c>
      <c r="FX17" s="9">
        <v>0</v>
      </c>
      <c r="FY17" s="9">
        <v>0</v>
      </c>
      <c r="FZ17" s="9">
        <v>0</v>
      </c>
      <c r="GA17" s="9">
        <v>0</v>
      </c>
      <c r="GB17" s="9">
        <v>156016</v>
      </c>
      <c r="GC17" s="9">
        <v>156016</v>
      </c>
      <c r="GD17" s="9">
        <v>17.652000000000001</v>
      </c>
      <c r="GE17" s="9">
        <v>0</v>
      </c>
      <c r="GF17" s="9">
        <v>0</v>
      </c>
      <c r="GG17" s="9">
        <v>0</v>
      </c>
      <c r="GH17" s="9">
        <v>0</v>
      </c>
      <c r="GI17" s="9">
        <v>0</v>
      </c>
      <c r="GJ17" s="9">
        <v>0</v>
      </c>
      <c r="GK17" s="9">
        <v>5063</v>
      </c>
      <c r="GL17" s="9">
        <v>24155</v>
      </c>
      <c r="GM17" s="9">
        <v>0</v>
      </c>
      <c r="GN17" s="9">
        <v>6455</v>
      </c>
      <c r="GO17" s="9">
        <v>0</v>
      </c>
      <c r="GP17" s="9">
        <v>6746446</v>
      </c>
      <c r="GQ17" s="9">
        <v>6746446</v>
      </c>
      <c r="GR17" s="9">
        <v>0</v>
      </c>
      <c r="GS17" s="9">
        <v>0</v>
      </c>
      <c r="GT17" s="9">
        <v>0</v>
      </c>
      <c r="GU17" s="9">
        <v>0</v>
      </c>
      <c r="GV17" s="9">
        <v>0</v>
      </c>
      <c r="GW17" s="9">
        <v>0</v>
      </c>
      <c r="GX17" s="9">
        <v>0</v>
      </c>
      <c r="GY17" s="9">
        <v>0</v>
      </c>
      <c r="GZ17" s="9">
        <v>0</v>
      </c>
      <c r="HA17" s="9">
        <v>0</v>
      </c>
      <c r="HB17" s="9">
        <v>300501363</v>
      </c>
      <c r="HC17" s="9">
        <v>4.4742999999999998E-2</v>
      </c>
      <c r="HD17" s="9">
        <v>121229</v>
      </c>
      <c r="HE17" s="9">
        <v>0</v>
      </c>
      <c r="HF17" s="9">
        <v>0</v>
      </c>
      <c r="HG17" s="9">
        <v>0</v>
      </c>
      <c r="HH17" s="9">
        <v>0</v>
      </c>
      <c r="HI17" s="9">
        <v>0</v>
      </c>
      <c r="HJ17" s="9">
        <v>0</v>
      </c>
      <c r="HK17" s="9">
        <v>0</v>
      </c>
      <c r="HL17" s="9">
        <v>0</v>
      </c>
      <c r="HM17" s="9">
        <v>0</v>
      </c>
      <c r="HN17" s="9">
        <v>0</v>
      </c>
      <c r="HO17" s="9">
        <v>0</v>
      </c>
      <c r="HP17" s="9">
        <v>0</v>
      </c>
      <c r="HQ17" s="9">
        <v>0</v>
      </c>
      <c r="HR17" s="9">
        <v>0</v>
      </c>
      <c r="HS17" s="9">
        <v>0</v>
      </c>
      <c r="HT17" s="9">
        <v>0</v>
      </c>
      <c r="HU17" s="9">
        <v>0</v>
      </c>
      <c r="HV17" s="9">
        <v>0</v>
      </c>
      <c r="HW17" s="9">
        <v>0</v>
      </c>
      <c r="HX17" s="9">
        <v>0</v>
      </c>
      <c r="HY17" s="9">
        <v>0</v>
      </c>
      <c r="HZ17" s="9">
        <v>0</v>
      </c>
      <c r="IA17" s="9">
        <v>0</v>
      </c>
      <c r="IB17" s="9">
        <v>0</v>
      </c>
      <c r="IC17" s="9">
        <v>0</v>
      </c>
      <c r="ID17" s="9">
        <v>0</v>
      </c>
      <c r="IE17" s="9">
        <v>0</v>
      </c>
      <c r="IF17" s="9">
        <v>0</v>
      </c>
      <c r="IG17" s="9">
        <v>0</v>
      </c>
      <c r="IH17" s="9">
        <v>0</v>
      </c>
      <c r="II17" s="9">
        <v>0</v>
      </c>
      <c r="IJ17" s="9">
        <v>0</v>
      </c>
      <c r="IK17" s="9">
        <v>0</v>
      </c>
      <c r="IL17" s="9">
        <v>0</v>
      </c>
      <c r="IM17" s="9">
        <v>0</v>
      </c>
      <c r="IN17" s="9">
        <v>0</v>
      </c>
      <c r="IO17" s="9">
        <v>0</v>
      </c>
      <c r="IP17" s="9">
        <v>0</v>
      </c>
      <c r="IQ17" s="9">
        <v>0</v>
      </c>
      <c r="IR17" s="9">
        <v>0</v>
      </c>
      <c r="IS17" s="9">
        <v>0</v>
      </c>
      <c r="IT17" s="9">
        <v>0</v>
      </c>
      <c r="IU17" s="9">
        <v>0</v>
      </c>
      <c r="IV17" s="9">
        <v>0</v>
      </c>
      <c r="IW17" s="9">
        <v>0</v>
      </c>
      <c r="IX17" s="9">
        <v>0</v>
      </c>
      <c r="IY17" s="9">
        <v>0</v>
      </c>
      <c r="IZ17" s="9">
        <v>0</v>
      </c>
      <c r="JA17" s="9">
        <v>0</v>
      </c>
      <c r="JB17" s="9">
        <v>0</v>
      </c>
      <c r="JC17" s="9">
        <v>0</v>
      </c>
      <c r="JD17" s="9">
        <v>0</v>
      </c>
      <c r="JE17" s="9">
        <v>0</v>
      </c>
      <c r="JF17" s="9">
        <v>0</v>
      </c>
      <c r="JG17" s="9">
        <v>0</v>
      </c>
      <c r="JH17" s="9">
        <v>0</v>
      </c>
      <c r="JI17" s="9">
        <v>0</v>
      </c>
      <c r="JJ17" s="9">
        <v>0</v>
      </c>
      <c r="JK17" s="9">
        <v>0</v>
      </c>
      <c r="JL17" s="9">
        <v>0</v>
      </c>
      <c r="JM17" s="9">
        <v>0</v>
      </c>
      <c r="JN17" s="9">
        <v>36832</v>
      </c>
      <c r="JO17" s="9">
        <v>0</v>
      </c>
      <c r="JP17" s="9">
        <v>0</v>
      </c>
      <c r="JQ17" s="9">
        <v>0</v>
      </c>
      <c r="JR17" s="9">
        <v>0</v>
      </c>
      <c r="JS17" s="9">
        <v>0</v>
      </c>
      <c r="JT17" s="9">
        <v>0</v>
      </c>
      <c r="JU17" s="9">
        <v>0</v>
      </c>
      <c r="JV17" s="9">
        <v>0</v>
      </c>
      <c r="JW17" s="9">
        <v>0</v>
      </c>
      <c r="JX17" s="9">
        <v>0</v>
      </c>
      <c r="JY17" s="9">
        <v>0</v>
      </c>
      <c r="JZ17" s="9">
        <v>0</v>
      </c>
      <c r="KA17" s="9">
        <v>0</v>
      </c>
      <c r="KB17" s="9">
        <v>0</v>
      </c>
      <c r="KC17" s="9">
        <v>0</v>
      </c>
      <c r="KD17" s="9">
        <v>0</v>
      </c>
      <c r="KE17" s="9">
        <v>0</v>
      </c>
      <c r="KF17" s="9">
        <v>0</v>
      </c>
      <c r="KG17" s="9">
        <v>0</v>
      </c>
      <c r="KH17" s="9">
        <v>0</v>
      </c>
      <c r="KI17" s="9">
        <v>0</v>
      </c>
    </row>
    <row r="18" spans="1:295" x14ac:dyDescent="0.25">
      <c r="A18" s="9">
        <v>15822</v>
      </c>
      <c r="B18" s="9">
        <v>36871</v>
      </c>
      <c r="C18" s="9">
        <v>35</v>
      </c>
      <c r="D18" s="9">
        <v>2023</v>
      </c>
      <c r="E18" s="9">
        <v>5392</v>
      </c>
      <c r="F18" s="9">
        <v>0</v>
      </c>
      <c r="G18" s="9">
        <v>0</v>
      </c>
      <c r="H18" s="9">
        <v>6067.5910000000003</v>
      </c>
      <c r="I18" s="9">
        <v>6067.5910000000003</v>
      </c>
      <c r="J18" s="9">
        <v>6362.57</v>
      </c>
      <c r="K18" s="9">
        <v>0</v>
      </c>
      <c r="L18" s="9">
        <v>6547</v>
      </c>
      <c r="M18" s="9">
        <v>0</v>
      </c>
      <c r="N18" s="9">
        <v>0</v>
      </c>
      <c r="O18" s="9">
        <v>0</v>
      </c>
      <c r="P18" s="9">
        <v>5959.4009999999998</v>
      </c>
      <c r="Q18" s="9">
        <v>0</v>
      </c>
      <c r="R18" s="9">
        <v>2901763</v>
      </c>
      <c r="S18" s="9">
        <v>486.92200000000003</v>
      </c>
      <c r="T18" s="9">
        <v>0</v>
      </c>
      <c r="U18" s="9">
        <v>2901763</v>
      </c>
      <c r="V18" s="9">
        <v>1313.58</v>
      </c>
      <c r="W18" s="9">
        <v>860001</v>
      </c>
      <c r="X18" s="9">
        <v>860001</v>
      </c>
      <c r="Y18" s="9">
        <v>0</v>
      </c>
      <c r="Z18" s="9">
        <v>0</v>
      </c>
      <c r="AA18" s="9">
        <v>1</v>
      </c>
      <c r="AB18" s="9">
        <v>1</v>
      </c>
      <c r="AC18" s="9">
        <v>0</v>
      </c>
      <c r="AD18" s="9" t="s">
        <v>314</v>
      </c>
      <c r="AE18" s="9">
        <v>0</v>
      </c>
      <c r="AF18" s="9">
        <v>0</v>
      </c>
      <c r="AG18" s="9">
        <v>0</v>
      </c>
      <c r="AH18" s="9">
        <v>0</v>
      </c>
      <c r="AI18" s="9">
        <v>0</v>
      </c>
      <c r="AJ18" s="9">
        <v>5104</v>
      </c>
      <c r="AK18" s="9" t="s">
        <v>651</v>
      </c>
      <c r="AL18" s="9" t="s">
        <v>424</v>
      </c>
      <c r="AM18" s="9">
        <v>0</v>
      </c>
      <c r="AN18" s="9">
        <v>0</v>
      </c>
      <c r="AO18" s="9">
        <v>0</v>
      </c>
      <c r="AP18" s="9">
        <v>0</v>
      </c>
      <c r="AQ18" s="9">
        <v>0</v>
      </c>
      <c r="AR18" s="9">
        <v>0</v>
      </c>
      <c r="AS18" s="9">
        <v>0</v>
      </c>
      <c r="AT18" s="9">
        <v>0</v>
      </c>
      <c r="AU18" s="9">
        <v>0</v>
      </c>
      <c r="AV18" s="9">
        <v>-1018852</v>
      </c>
      <c r="AW18" s="9">
        <v>61705525</v>
      </c>
      <c r="AX18" s="9">
        <v>60345836</v>
      </c>
      <c r="AY18" s="9">
        <v>58950336</v>
      </c>
      <c r="AZ18" s="9">
        <v>3139813</v>
      </c>
      <c r="BA18" s="9">
        <v>0</v>
      </c>
      <c r="BB18" s="9">
        <v>249934</v>
      </c>
      <c r="BC18" s="9">
        <v>249934</v>
      </c>
      <c r="BD18" s="9">
        <v>318.12900000000002</v>
      </c>
      <c r="BE18" s="9">
        <v>0</v>
      </c>
      <c r="BF18" s="9">
        <v>52022814</v>
      </c>
      <c r="BG18" s="9">
        <v>0</v>
      </c>
      <c r="BH18" s="9">
        <v>763.95400000000006</v>
      </c>
      <c r="BI18" s="9">
        <v>210087</v>
      </c>
      <c r="BJ18" s="9">
        <v>12</v>
      </c>
      <c r="BK18" s="9">
        <v>0</v>
      </c>
      <c r="BL18" s="9">
        <v>0</v>
      </c>
      <c r="BM18" s="9">
        <v>0</v>
      </c>
      <c r="BN18" s="9">
        <v>0</v>
      </c>
      <c r="BO18" s="9">
        <v>0</v>
      </c>
      <c r="BP18" s="9">
        <v>0</v>
      </c>
      <c r="BQ18" s="9">
        <v>5392</v>
      </c>
      <c r="BR18" s="9">
        <v>1</v>
      </c>
      <c r="BS18" s="9">
        <v>0</v>
      </c>
      <c r="BT18" s="9">
        <v>0</v>
      </c>
      <c r="BU18" s="9">
        <v>0</v>
      </c>
      <c r="BV18" s="9">
        <v>0</v>
      </c>
      <c r="BW18" s="9">
        <v>0</v>
      </c>
      <c r="BX18" s="9">
        <v>0</v>
      </c>
      <c r="BY18" s="9">
        <v>0</v>
      </c>
      <c r="BZ18" s="9">
        <v>0</v>
      </c>
      <c r="CA18" s="9">
        <v>27.963000000000001</v>
      </c>
      <c r="CB18" s="9">
        <v>27963</v>
      </c>
      <c r="CC18" s="9">
        <v>0</v>
      </c>
      <c r="CD18" s="9">
        <v>0</v>
      </c>
      <c r="CE18" s="9">
        <v>0</v>
      </c>
      <c r="CF18" s="9">
        <v>0</v>
      </c>
      <c r="CG18" s="9">
        <v>0</v>
      </c>
      <c r="CH18" s="9">
        <v>1121639</v>
      </c>
      <c r="CI18" s="9">
        <v>0</v>
      </c>
      <c r="CJ18" s="9">
        <v>4</v>
      </c>
      <c r="CK18" s="9">
        <v>0</v>
      </c>
      <c r="CL18" s="9">
        <v>0</v>
      </c>
      <c r="CM18" s="9">
        <v>0</v>
      </c>
      <c r="CN18" s="9">
        <v>0</v>
      </c>
      <c r="CO18" s="9">
        <v>0</v>
      </c>
      <c r="CP18" s="9">
        <v>0</v>
      </c>
      <c r="CQ18" s="9">
        <v>0</v>
      </c>
      <c r="CR18" s="9">
        <v>5788.8130000000001</v>
      </c>
      <c r="CS18" s="9">
        <v>0</v>
      </c>
      <c r="CT18" s="9">
        <v>0</v>
      </c>
      <c r="CU18" s="9">
        <v>0</v>
      </c>
      <c r="CV18" s="9">
        <v>0</v>
      </c>
      <c r="CW18" s="9">
        <v>0</v>
      </c>
      <c r="CX18" s="9">
        <v>0</v>
      </c>
      <c r="CY18" s="9">
        <v>0</v>
      </c>
      <c r="CZ18" s="9">
        <v>0</v>
      </c>
      <c r="DA18" s="9">
        <v>1</v>
      </c>
      <c r="DB18" s="9">
        <v>39724518</v>
      </c>
      <c r="DC18" s="9">
        <v>0</v>
      </c>
      <c r="DD18" s="9">
        <v>0</v>
      </c>
      <c r="DE18" s="9">
        <v>7318459</v>
      </c>
      <c r="DF18" s="9">
        <v>7318459</v>
      </c>
      <c r="DG18" s="9">
        <v>5589.17</v>
      </c>
      <c r="DH18" s="9">
        <v>0</v>
      </c>
      <c r="DI18" s="9">
        <v>0</v>
      </c>
      <c r="DJ18" s="9">
        <v>0</v>
      </c>
      <c r="DK18" s="9">
        <v>5392</v>
      </c>
      <c r="DL18" s="9">
        <v>0</v>
      </c>
      <c r="DM18" s="9">
        <v>3837115</v>
      </c>
      <c r="DN18" s="9">
        <v>0</v>
      </c>
      <c r="DO18" s="9">
        <v>0</v>
      </c>
      <c r="DP18" s="9">
        <v>0</v>
      </c>
      <c r="DQ18" s="9">
        <v>0</v>
      </c>
      <c r="DR18" s="9">
        <v>0</v>
      </c>
      <c r="DS18" s="9">
        <v>0</v>
      </c>
      <c r="DT18" s="9">
        <v>0</v>
      </c>
      <c r="DU18" s="9">
        <v>0</v>
      </c>
      <c r="DV18" s="9">
        <v>0</v>
      </c>
      <c r="DW18" s="9">
        <v>0</v>
      </c>
      <c r="DX18" s="9">
        <v>0</v>
      </c>
      <c r="DY18" s="9">
        <v>0</v>
      </c>
      <c r="DZ18" s="9">
        <v>0</v>
      </c>
      <c r="EA18" s="9">
        <v>0.20400000000000001</v>
      </c>
      <c r="EB18" s="9">
        <v>0</v>
      </c>
      <c r="EC18" s="9">
        <v>161.785</v>
      </c>
      <c r="ED18" s="9">
        <v>1165127</v>
      </c>
      <c r="EE18" s="9">
        <v>0</v>
      </c>
      <c r="EF18" s="9">
        <v>0</v>
      </c>
      <c r="EG18" s="9">
        <v>0</v>
      </c>
      <c r="EH18" s="9">
        <v>2671988</v>
      </c>
      <c r="EI18" s="9">
        <v>0</v>
      </c>
      <c r="EJ18" s="9">
        <v>0</v>
      </c>
      <c r="EK18" s="9">
        <v>105.777</v>
      </c>
      <c r="EL18" s="9">
        <v>0</v>
      </c>
      <c r="EM18" s="9">
        <v>14.171000000000001</v>
      </c>
      <c r="EN18" s="9">
        <v>9.452</v>
      </c>
      <c r="EO18" s="9">
        <v>0</v>
      </c>
      <c r="EP18" s="9">
        <v>0</v>
      </c>
      <c r="EQ18" s="9">
        <v>129.60400000000001</v>
      </c>
      <c r="ER18" s="9">
        <v>0</v>
      </c>
      <c r="ES18" s="9">
        <v>408.12400000000002</v>
      </c>
      <c r="ET18" s="9">
        <v>0</v>
      </c>
      <c r="EU18" s="9">
        <v>3139813</v>
      </c>
      <c r="EV18" s="9">
        <v>0</v>
      </c>
      <c r="EW18" s="9">
        <v>0</v>
      </c>
      <c r="EX18" s="9">
        <v>0</v>
      </c>
      <c r="EY18" s="9">
        <v>0</v>
      </c>
      <c r="EZ18" s="9">
        <v>50584273</v>
      </c>
      <c r="FA18" s="9">
        <v>0</v>
      </c>
      <c r="FB18" s="9">
        <v>53724086</v>
      </c>
      <c r="FC18" s="9">
        <v>0.97326799999999991</v>
      </c>
      <c r="FD18" s="9">
        <v>0</v>
      </c>
      <c r="FE18" s="9">
        <v>8047790</v>
      </c>
      <c r="FF18" s="9">
        <v>1713773</v>
      </c>
      <c r="FG18" s="9">
        <v>5.8088000000000001E-2</v>
      </c>
      <c r="FH18" s="9">
        <v>5.2622999999999996E-2</v>
      </c>
      <c r="FI18" s="9">
        <v>0</v>
      </c>
      <c r="FJ18" s="9">
        <v>0</v>
      </c>
      <c r="FK18" s="9">
        <v>10193.112999999999</v>
      </c>
      <c r="FL18" s="9">
        <v>64607288</v>
      </c>
      <c r="FM18" s="9">
        <v>0</v>
      </c>
      <c r="FN18" s="9">
        <v>0</v>
      </c>
      <c r="FO18" s="9">
        <v>34350</v>
      </c>
      <c r="FP18" s="9">
        <v>0</v>
      </c>
      <c r="FQ18" s="9">
        <v>34350</v>
      </c>
      <c r="FR18" s="9">
        <v>34350</v>
      </c>
      <c r="FS18" s="9">
        <v>0</v>
      </c>
      <c r="FT18" s="9">
        <v>0</v>
      </c>
      <c r="FU18" s="9">
        <v>0</v>
      </c>
      <c r="FV18" s="9">
        <v>0</v>
      </c>
      <c r="FW18" s="9">
        <v>0</v>
      </c>
      <c r="FX18" s="9">
        <v>0</v>
      </c>
      <c r="FY18" s="9">
        <v>0</v>
      </c>
      <c r="FZ18" s="9">
        <v>0</v>
      </c>
      <c r="GA18" s="9">
        <v>0</v>
      </c>
      <c r="GB18" s="9">
        <v>1461659</v>
      </c>
      <c r="GC18" s="9">
        <v>1461659</v>
      </c>
      <c r="GD18" s="9">
        <v>165.375</v>
      </c>
      <c r="GE18" s="9">
        <v>0</v>
      </c>
      <c r="GF18" s="9">
        <v>0</v>
      </c>
      <c r="GG18" s="9">
        <v>0</v>
      </c>
      <c r="GH18" s="9">
        <v>0</v>
      </c>
      <c r="GI18" s="9">
        <v>0</v>
      </c>
      <c r="GJ18" s="9">
        <v>0</v>
      </c>
      <c r="GK18" s="9">
        <v>5015</v>
      </c>
      <c r="GL18" s="9">
        <v>20669</v>
      </c>
      <c r="GM18" s="9">
        <v>0</v>
      </c>
      <c r="GN18" s="9">
        <v>0</v>
      </c>
      <c r="GO18" s="9">
        <v>0</v>
      </c>
      <c r="GP18" s="9">
        <v>63485649</v>
      </c>
      <c r="GQ18" s="9">
        <v>63485649</v>
      </c>
      <c r="GR18" s="9">
        <v>0</v>
      </c>
      <c r="GS18" s="9">
        <v>0</v>
      </c>
      <c r="GT18" s="9">
        <v>0</v>
      </c>
      <c r="GU18" s="9">
        <v>0</v>
      </c>
      <c r="GV18" s="9">
        <v>0</v>
      </c>
      <c r="GW18" s="9">
        <v>0</v>
      </c>
      <c r="GX18" s="9">
        <v>0</v>
      </c>
      <c r="GY18" s="9">
        <v>0</v>
      </c>
      <c r="GZ18" s="9">
        <v>0</v>
      </c>
      <c r="HA18" s="9">
        <v>0</v>
      </c>
      <c r="HB18" s="9">
        <v>300501363</v>
      </c>
      <c r="HC18" s="9">
        <v>4.4742999999999998E-2</v>
      </c>
      <c r="HD18" s="9">
        <v>1121639</v>
      </c>
      <c r="HE18" s="9">
        <v>0</v>
      </c>
      <c r="HF18" s="9">
        <v>0</v>
      </c>
      <c r="HG18" s="9">
        <v>0</v>
      </c>
      <c r="HH18" s="9">
        <v>0</v>
      </c>
      <c r="HI18" s="9">
        <v>0</v>
      </c>
      <c r="HJ18" s="9">
        <v>0</v>
      </c>
      <c r="HK18" s="9">
        <v>0</v>
      </c>
      <c r="HL18" s="9">
        <v>0</v>
      </c>
      <c r="HM18" s="9">
        <v>0</v>
      </c>
      <c r="HN18" s="9">
        <v>0</v>
      </c>
      <c r="HO18" s="9">
        <v>0</v>
      </c>
      <c r="HP18" s="9">
        <v>0</v>
      </c>
      <c r="HQ18" s="9">
        <v>0</v>
      </c>
      <c r="HR18" s="9">
        <v>0</v>
      </c>
      <c r="HS18" s="9">
        <v>0</v>
      </c>
      <c r="HT18" s="9">
        <v>0</v>
      </c>
      <c r="HU18" s="9">
        <v>0</v>
      </c>
      <c r="HV18" s="9">
        <v>0</v>
      </c>
      <c r="HW18" s="9">
        <v>0</v>
      </c>
      <c r="HX18" s="9">
        <v>0</v>
      </c>
      <c r="HY18" s="9">
        <v>0</v>
      </c>
      <c r="HZ18" s="9">
        <v>0</v>
      </c>
      <c r="IA18" s="9">
        <v>0</v>
      </c>
      <c r="IB18" s="9">
        <v>0</v>
      </c>
      <c r="IC18" s="9">
        <v>0</v>
      </c>
      <c r="ID18" s="9">
        <v>0</v>
      </c>
      <c r="IE18" s="9">
        <v>0</v>
      </c>
      <c r="IF18" s="9">
        <v>0</v>
      </c>
      <c r="IG18" s="9">
        <v>0</v>
      </c>
      <c r="IH18" s="9">
        <v>0</v>
      </c>
      <c r="II18" s="9">
        <v>0</v>
      </c>
      <c r="IJ18" s="9">
        <v>0</v>
      </c>
      <c r="IK18" s="9">
        <v>0</v>
      </c>
      <c r="IL18" s="9">
        <v>0</v>
      </c>
      <c r="IM18" s="9">
        <v>0</v>
      </c>
      <c r="IN18" s="9">
        <v>0</v>
      </c>
      <c r="IO18" s="9">
        <v>0</v>
      </c>
      <c r="IP18" s="9">
        <v>0</v>
      </c>
      <c r="IQ18" s="9">
        <v>0</v>
      </c>
      <c r="IR18" s="9">
        <v>0</v>
      </c>
      <c r="IS18" s="9">
        <v>0</v>
      </c>
      <c r="IT18" s="9">
        <v>0</v>
      </c>
      <c r="IU18" s="9">
        <v>0</v>
      </c>
      <c r="IV18" s="9">
        <v>0</v>
      </c>
      <c r="IW18" s="9">
        <v>0</v>
      </c>
      <c r="IX18" s="9">
        <v>0</v>
      </c>
      <c r="IY18" s="9">
        <v>0</v>
      </c>
      <c r="IZ18" s="9">
        <v>0</v>
      </c>
      <c r="JA18" s="9">
        <v>0</v>
      </c>
      <c r="JB18" s="9">
        <v>0</v>
      </c>
      <c r="JC18" s="9">
        <v>0</v>
      </c>
      <c r="JD18" s="9">
        <v>0</v>
      </c>
      <c r="JE18" s="9">
        <v>0</v>
      </c>
      <c r="JF18" s="9">
        <v>0</v>
      </c>
      <c r="JG18" s="9">
        <v>0</v>
      </c>
      <c r="JH18" s="9">
        <v>0</v>
      </c>
      <c r="JI18" s="9">
        <v>0</v>
      </c>
      <c r="JJ18" s="9">
        <v>0</v>
      </c>
      <c r="JK18" s="9">
        <v>0</v>
      </c>
      <c r="JL18" s="9">
        <v>0</v>
      </c>
      <c r="JM18" s="9">
        <v>0</v>
      </c>
      <c r="JN18" s="9">
        <v>36832</v>
      </c>
      <c r="JO18" s="9">
        <v>0</v>
      </c>
      <c r="JP18" s="9">
        <v>0</v>
      </c>
      <c r="JQ18" s="9">
        <v>0</v>
      </c>
      <c r="JR18" s="9">
        <v>0</v>
      </c>
      <c r="JS18" s="9">
        <v>0</v>
      </c>
      <c r="JT18" s="9">
        <v>0</v>
      </c>
      <c r="JU18" s="9">
        <v>0</v>
      </c>
      <c r="JV18" s="9">
        <v>0</v>
      </c>
      <c r="JW18" s="9">
        <v>0</v>
      </c>
      <c r="JX18" s="9">
        <v>0</v>
      </c>
      <c r="JY18" s="9">
        <v>0</v>
      </c>
      <c r="JZ18" s="9">
        <v>0</v>
      </c>
      <c r="KA18" s="9">
        <v>0</v>
      </c>
      <c r="KB18" s="9">
        <v>0</v>
      </c>
      <c r="KC18" s="9">
        <v>0</v>
      </c>
      <c r="KD18" s="9">
        <v>0</v>
      </c>
      <c r="KE18" s="9">
        <v>0</v>
      </c>
      <c r="KF18" s="9">
        <v>0</v>
      </c>
      <c r="KG18" s="9">
        <v>0</v>
      </c>
      <c r="KH18" s="9">
        <v>0</v>
      </c>
      <c r="KI18" s="9">
        <v>0</v>
      </c>
    </row>
    <row r="19" spans="1:295" ht="14.5" x14ac:dyDescent="0.35">
      <c r="A19" s="9">
        <v>15825</v>
      </c>
      <c r="B19" s="9">
        <v>36871</v>
      </c>
      <c r="C19" s="9">
        <v>35</v>
      </c>
      <c r="D19" s="9">
        <v>2023</v>
      </c>
      <c r="E19" s="9">
        <v>5392</v>
      </c>
      <c r="F19" s="9">
        <v>0</v>
      </c>
      <c r="G19" s="9">
        <v>0</v>
      </c>
      <c r="H19" s="9">
        <v>293.185</v>
      </c>
      <c r="I19" s="9">
        <v>293.185</v>
      </c>
      <c r="J19" s="9">
        <v>304.01499999999999</v>
      </c>
      <c r="K19" s="9">
        <v>0</v>
      </c>
      <c r="L19" s="9">
        <v>6547</v>
      </c>
      <c r="M19" s="9">
        <v>0</v>
      </c>
      <c r="N19" s="9">
        <v>0</v>
      </c>
      <c r="O19" s="9">
        <v>0</v>
      </c>
      <c r="P19" s="9">
        <v>281.44800000000004</v>
      </c>
      <c r="Q19" s="9">
        <v>0</v>
      </c>
      <c r="R19" s="9">
        <v>137043</v>
      </c>
      <c r="S19" s="9">
        <v>486.92200000000003</v>
      </c>
      <c r="T19" s="9">
        <v>0</v>
      </c>
      <c r="U19" s="9">
        <v>137043</v>
      </c>
      <c r="V19" s="9">
        <v>78.39200000000001</v>
      </c>
      <c r="W19" s="9">
        <v>51323</v>
      </c>
      <c r="X19" s="9">
        <v>51323</v>
      </c>
      <c r="Y19" s="9">
        <v>0</v>
      </c>
      <c r="Z19" s="9">
        <v>0</v>
      </c>
      <c r="AA19" s="9">
        <v>1</v>
      </c>
      <c r="AB19" s="9">
        <v>1</v>
      </c>
      <c r="AC19" s="9">
        <v>0</v>
      </c>
      <c r="AD19" s="9" t="s">
        <v>314</v>
      </c>
      <c r="AE19" s="9">
        <v>0</v>
      </c>
      <c r="AF19" s="9">
        <v>0</v>
      </c>
      <c r="AG19" s="9">
        <v>0</v>
      </c>
      <c r="AH19" s="9">
        <v>0</v>
      </c>
      <c r="AI19" s="9">
        <v>0</v>
      </c>
      <c r="AJ19" s="9">
        <v>5104</v>
      </c>
      <c r="AK19" s="9" t="s">
        <v>651</v>
      </c>
      <c r="AL19" s="12" t="s">
        <v>699</v>
      </c>
      <c r="AM19" s="9">
        <v>0</v>
      </c>
      <c r="AN19" s="9">
        <v>0</v>
      </c>
      <c r="AO19" s="9">
        <v>0</v>
      </c>
      <c r="AP19" s="9">
        <v>0</v>
      </c>
      <c r="AQ19" s="9">
        <v>0</v>
      </c>
      <c r="AR19" s="9">
        <v>0</v>
      </c>
      <c r="AS19" s="9">
        <v>0</v>
      </c>
      <c r="AT19" s="9">
        <v>0</v>
      </c>
      <c r="AU19" s="9">
        <v>0</v>
      </c>
      <c r="AV19" s="9">
        <v>-193079</v>
      </c>
      <c r="AW19" s="9">
        <v>3018962</v>
      </c>
      <c r="AX19" s="9">
        <v>2959646</v>
      </c>
      <c r="AY19" s="9">
        <v>3041746</v>
      </c>
      <c r="AZ19" s="9">
        <v>137723</v>
      </c>
      <c r="BA19" s="9">
        <v>9.5830000000000002</v>
      </c>
      <c r="BB19" s="9">
        <v>11942</v>
      </c>
      <c r="BC19" s="9">
        <v>11942</v>
      </c>
      <c r="BD19" s="9">
        <v>15.201000000000001</v>
      </c>
      <c r="BE19" s="9">
        <v>0</v>
      </c>
      <c r="BF19" s="9">
        <v>2548492</v>
      </c>
      <c r="BG19" s="9">
        <v>0</v>
      </c>
      <c r="BH19" s="9">
        <v>2.4740000000000002</v>
      </c>
      <c r="BI19" s="9">
        <v>680</v>
      </c>
      <c r="BJ19" s="9">
        <v>12</v>
      </c>
      <c r="BK19" s="9">
        <v>0</v>
      </c>
      <c r="BL19" s="9">
        <v>0</v>
      </c>
      <c r="BM19" s="9">
        <v>0</v>
      </c>
      <c r="BN19" s="9">
        <v>0</v>
      </c>
      <c r="BO19" s="9">
        <v>0</v>
      </c>
      <c r="BP19" s="9">
        <v>0</v>
      </c>
      <c r="BQ19" s="9">
        <v>5392</v>
      </c>
      <c r="BR19" s="9">
        <v>1</v>
      </c>
      <c r="BS19" s="9">
        <v>0</v>
      </c>
      <c r="BT19" s="9">
        <v>0</v>
      </c>
      <c r="BU19" s="9">
        <v>0</v>
      </c>
      <c r="BV19" s="9">
        <v>0</v>
      </c>
      <c r="BW19" s="9">
        <v>0</v>
      </c>
      <c r="BX19" s="9">
        <v>0</v>
      </c>
      <c r="BY19" s="9">
        <v>0</v>
      </c>
      <c r="BZ19" s="9">
        <v>0</v>
      </c>
      <c r="CA19" s="9">
        <v>0</v>
      </c>
      <c r="CB19" s="9">
        <v>0</v>
      </c>
      <c r="CC19" s="9">
        <v>0</v>
      </c>
      <c r="CD19" s="9">
        <v>0</v>
      </c>
      <c r="CE19" s="9">
        <v>0</v>
      </c>
      <c r="CF19" s="9">
        <v>0</v>
      </c>
      <c r="CG19" s="9">
        <v>0</v>
      </c>
      <c r="CH19" s="9">
        <v>58636</v>
      </c>
      <c r="CI19" s="9">
        <v>0</v>
      </c>
      <c r="CJ19" s="9">
        <v>4</v>
      </c>
      <c r="CK19" s="9">
        <v>0</v>
      </c>
      <c r="CL19" s="9">
        <v>0</v>
      </c>
      <c r="CM19" s="9">
        <v>0</v>
      </c>
      <c r="CN19" s="9">
        <v>0</v>
      </c>
      <c r="CO19" s="9">
        <v>0</v>
      </c>
      <c r="CP19" s="9">
        <v>0</v>
      </c>
      <c r="CQ19" s="9">
        <v>1</v>
      </c>
      <c r="CR19" s="9">
        <v>271.57900000000001</v>
      </c>
      <c r="CS19" s="9">
        <v>0</v>
      </c>
      <c r="CT19" s="9">
        <v>0</v>
      </c>
      <c r="CU19" s="9">
        <v>0</v>
      </c>
      <c r="CV19" s="9">
        <v>0</v>
      </c>
      <c r="CW19" s="9">
        <v>0</v>
      </c>
      <c r="CX19" s="9">
        <v>0</v>
      </c>
      <c r="CY19" s="9">
        <v>0</v>
      </c>
      <c r="CZ19" s="9">
        <v>0</v>
      </c>
      <c r="DA19" s="9">
        <v>1</v>
      </c>
      <c r="DB19" s="9">
        <v>1919482</v>
      </c>
      <c r="DC19" s="9">
        <v>0</v>
      </c>
      <c r="DD19" s="9">
        <v>0</v>
      </c>
      <c r="DE19" s="9">
        <v>402863</v>
      </c>
      <c r="DF19" s="9">
        <v>402863</v>
      </c>
      <c r="DG19" s="9">
        <v>307.67</v>
      </c>
      <c r="DH19" s="9">
        <v>0</v>
      </c>
      <c r="DI19" s="9">
        <v>0</v>
      </c>
      <c r="DJ19" s="9">
        <v>0</v>
      </c>
      <c r="DK19" s="9">
        <v>5392</v>
      </c>
      <c r="DL19" s="9">
        <v>0</v>
      </c>
      <c r="DM19" s="9">
        <v>232880</v>
      </c>
      <c r="DN19" s="9">
        <v>0</v>
      </c>
      <c r="DO19" s="9">
        <v>0</v>
      </c>
      <c r="DP19" s="9">
        <v>0</v>
      </c>
      <c r="DQ19" s="9">
        <v>0</v>
      </c>
      <c r="DR19" s="9">
        <v>0</v>
      </c>
      <c r="DS19" s="9">
        <v>0</v>
      </c>
      <c r="DT19" s="9">
        <v>0</v>
      </c>
      <c r="DU19" s="9">
        <v>0</v>
      </c>
      <c r="DV19" s="9">
        <v>0</v>
      </c>
      <c r="DW19" s="9">
        <v>0</v>
      </c>
      <c r="DX19" s="9">
        <v>0</v>
      </c>
      <c r="DY19" s="9">
        <v>0</v>
      </c>
      <c r="DZ19" s="9">
        <v>0</v>
      </c>
      <c r="EA19" s="9">
        <v>0</v>
      </c>
      <c r="EB19" s="9">
        <v>0</v>
      </c>
      <c r="EC19" s="9">
        <v>1.9750000000000001</v>
      </c>
      <c r="ED19" s="9">
        <v>14223</v>
      </c>
      <c r="EE19" s="9">
        <v>0</v>
      </c>
      <c r="EF19" s="9">
        <v>0</v>
      </c>
      <c r="EG19" s="9">
        <v>0</v>
      </c>
      <c r="EH19" s="9">
        <v>218657</v>
      </c>
      <c r="EI19" s="9">
        <v>0</v>
      </c>
      <c r="EJ19" s="9">
        <v>0</v>
      </c>
      <c r="EK19" s="9">
        <v>10.267000000000001</v>
      </c>
      <c r="EL19" s="9">
        <v>0</v>
      </c>
      <c r="EM19" s="9">
        <v>0.109</v>
      </c>
      <c r="EN19" s="9">
        <v>0.45400000000000001</v>
      </c>
      <c r="EO19" s="9">
        <v>0</v>
      </c>
      <c r="EP19" s="9">
        <v>0</v>
      </c>
      <c r="EQ19" s="9">
        <v>10.83</v>
      </c>
      <c r="ER19" s="9">
        <v>0</v>
      </c>
      <c r="ES19" s="9">
        <v>33.398000000000003</v>
      </c>
      <c r="ET19" s="9">
        <v>5042</v>
      </c>
      <c r="EU19" s="9">
        <v>137723</v>
      </c>
      <c r="EV19" s="9">
        <v>0</v>
      </c>
      <c r="EW19" s="9">
        <v>0</v>
      </c>
      <c r="EX19" s="9">
        <v>0</v>
      </c>
      <c r="EY19" s="9">
        <v>0</v>
      </c>
      <c r="EZ19" s="9">
        <v>2481447</v>
      </c>
      <c r="FA19" s="9">
        <v>0</v>
      </c>
      <c r="FB19" s="9">
        <v>2619170</v>
      </c>
      <c r="FC19" s="9">
        <v>0.97326799999999991</v>
      </c>
      <c r="FD19" s="9">
        <v>0</v>
      </c>
      <c r="FE19" s="9">
        <v>394245</v>
      </c>
      <c r="FF19" s="9">
        <v>83954</v>
      </c>
      <c r="FG19" s="9">
        <v>5.8088000000000001E-2</v>
      </c>
      <c r="FH19" s="9">
        <v>5.2622999999999996E-2</v>
      </c>
      <c r="FI19" s="9">
        <v>0</v>
      </c>
      <c r="FJ19" s="9">
        <v>0</v>
      </c>
      <c r="FK19" s="9">
        <v>499.34000000000003</v>
      </c>
      <c r="FL19" s="9">
        <v>3156005</v>
      </c>
      <c r="FM19" s="9">
        <v>0</v>
      </c>
      <c r="FN19" s="9">
        <v>0</v>
      </c>
      <c r="FO19" s="9">
        <v>0</v>
      </c>
      <c r="FP19" s="9">
        <v>0</v>
      </c>
      <c r="FQ19" s="9">
        <v>0</v>
      </c>
      <c r="FR19" s="9">
        <v>0</v>
      </c>
      <c r="FS19" s="9">
        <v>0</v>
      </c>
      <c r="FT19" s="9">
        <v>0</v>
      </c>
      <c r="FU19" s="9">
        <v>0</v>
      </c>
      <c r="FV19" s="9">
        <v>0</v>
      </c>
      <c r="FW19" s="9">
        <v>0</v>
      </c>
      <c r="FX19" s="9">
        <v>0</v>
      </c>
      <c r="FY19" s="9">
        <v>0</v>
      </c>
      <c r="FZ19" s="9">
        <v>0</v>
      </c>
      <c r="GA19" s="9">
        <v>0</v>
      </c>
      <c r="GB19" s="9">
        <v>0</v>
      </c>
      <c r="GC19" s="9">
        <v>0</v>
      </c>
      <c r="GD19" s="9">
        <v>0</v>
      </c>
      <c r="GE19" s="9">
        <v>0</v>
      </c>
      <c r="GF19" s="9">
        <v>0</v>
      </c>
      <c r="GG19" s="9">
        <v>0</v>
      </c>
      <c r="GH19" s="9">
        <v>0</v>
      </c>
      <c r="GI19" s="9">
        <v>0</v>
      </c>
      <c r="GJ19" s="9">
        <v>0</v>
      </c>
      <c r="GK19" s="9">
        <v>5100</v>
      </c>
      <c r="GL19" s="9">
        <v>5520</v>
      </c>
      <c r="GM19" s="9">
        <v>0</v>
      </c>
      <c r="GN19" s="9">
        <v>0</v>
      </c>
      <c r="GO19" s="9">
        <v>0</v>
      </c>
      <c r="GP19" s="9">
        <v>3097369</v>
      </c>
      <c r="GQ19" s="9">
        <v>3097369</v>
      </c>
      <c r="GR19" s="9">
        <v>0</v>
      </c>
      <c r="GS19" s="9">
        <v>0</v>
      </c>
      <c r="GT19" s="9">
        <v>0</v>
      </c>
      <c r="GU19" s="9">
        <v>0</v>
      </c>
      <c r="GV19" s="9">
        <v>0</v>
      </c>
      <c r="GW19" s="9">
        <v>0</v>
      </c>
      <c r="GX19" s="9">
        <v>0</v>
      </c>
      <c r="GY19" s="9">
        <v>0</v>
      </c>
      <c r="GZ19" s="9">
        <v>0</v>
      </c>
      <c r="HA19" s="9">
        <v>0</v>
      </c>
      <c r="HB19" s="9">
        <v>300501363</v>
      </c>
      <c r="HC19" s="9">
        <v>4.4742999999999998E-2</v>
      </c>
      <c r="HD19" s="9">
        <v>53594</v>
      </c>
      <c r="HE19" s="9">
        <v>0</v>
      </c>
      <c r="HF19" s="9">
        <v>0</v>
      </c>
      <c r="HG19" s="9">
        <v>0</v>
      </c>
      <c r="HH19" s="9">
        <v>0</v>
      </c>
      <c r="HI19" s="9">
        <v>0</v>
      </c>
      <c r="HJ19" s="9">
        <v>0</v>
      </c>
      <c r="HK19" s="9">
        <v>0</v>
      </c>
      <c r="HL19" s="9">
        <v>0</v>
      </c>
      <c r="HM19" s="9">
        <v>0</v>
      </c>
      <c r="HN19" s="9">
        <v>0</v>
      </c>
      <c r="HO19" s="9">
        <v>0</v>
      </c>
      <c r="HP19" s="9">
        <v>0</v>
      </c>
      <c r="HQ19" s="9">
        <v>0</v>
      </c>
      <c r="HR19" s="9">
        <v>0</v>
      </c>
      <c r="HS19" s="9">
        <v>0</v>
      </c>
      <c r="HT19" s="9">
        <v>0</v>
      </c>
      <c r="HU19" s="9">
        <v>0</v>
      </c>
      <c r="HV19" s="9">
        <v>0</v>
      </c>
      <c r="HW19" s="9">
        <v>0</v>
      </c>
      <c r="HX19" s="9">
        <v>0</v>
      </c>
      <c r="HY19" s="9">
        <v>0</v>
      </c>
      <c r="HZ19" s="9">
        <v>0</v>
      </c>
      <c r="IA19" s="9">
        <v>0</v>
      </c>
      <c r="IB19" s="9">
        <v>0</v>
      </c>
      <c r="IC19" s="9">
        <v>0</v>
      </c>
      <c r="ID19" s="9">
        <v>0</v>
      </c>
      <c r="IE19" s="9">
        <v>0</v>
      </c>
      <c r="IF19" s="9">
        <v>0</v>
      </c>
      <c r="IG19" s="9">
        <v>0</v>
      </c>
      <c r="IH19" s="9">
        <v>0</v>
      </c>
      <c r="II19" s="9">
        <v>0</v>
      </c>
      <c r="IJ19" s="9">
        <v>0</v>
      </c>
      <c r="IK19" s="9">
        <v>0</v>
      </c>
      <c r="IL19" s="9">
        <v>0</v>
      </c>
      <c r="IM19" s="9">
        <v>0</v>
      </c>
      <c r="IN19" s="9">
        <v>0</v>
      </c>
      <c r="IO19" s="9">
        <v>0</v>
      </c>
      <c r="IP19" s="9">
        <v>0</v>
      </c>
      <c r="IQ19" s="9">
        <v>0</v>
      </c>
      <c r="IR19" s="9">
        <v>0</v>
      </c>
      <c r="IS19" s="9">
        <v>0</v>
      </c>
      <c r="IT19" s="9">
        <v>0</v>
      </c>
      <c r="IU19" s="9">
        <v>0</v>
      </c>
      <c r="IV19" s="9">
        <v>0</v>
      </c>
      <c r="IW19" s="9">
        <v>0</v>
      </c>
      <c r="IX19" s="9">
        <v>0</v>
      </c>
      <c r="IY19" s="9">
        <v>0</v>
      </c>
      <c r="IZ19" s="9">
        <v>0</v>
      </c>
      <c r="JA19" s="9">
        <v>0</v>
      </c>
      <c r="JB19" s="9">
        <v>0</v>
      </c>
      <c r="JC19" s="9">
        <v>0</v>
      </c>
      <c r="JD19" s="9">
        <v>0</v>
      </c>
      <c r="JE19" s="9">
        <v>0</v>
      </c>
      <c r="JF19" s="9">
        <v>0</v>
      </c>
      <c r="JG19" s="9">
        <v>0</v>
      </c>
      <c r="JH19" s="9">
        <v>0</v>
      </c>
      <c r="JI19" s="9">
        <v>0</v>
      </c>
      <c r="JJ19" s="9">
        <v>0</v>
      </c>
      <c r="JK19" s="9">
        <v>0</v>
      </c>
      <c r="JL19" s="9">
        <v>0</v>
      </c>
      <c r="JM19" s="9">
        <v>0</v>
      </c>
      <c r="JN19" s="9">
        <v>36832</v>
      </c>
      <c r="JO19" s="9">
        <v>0</v>
      </c>
      <c r="JP19" s="9">
        <v>0</v>
      </c>
      <c r="JQ19" s="9">
        <v>0</v>
      </c>
      <c r="JR19" s="9">
        <v>0</v>
      </c>
      <c r="JS19" s="9">
        <v>0</v>
      </c>
      <c r="JT19" s="9">
        <v>0</v>
      </c>
      <c r="JU19" s="9">
        <v>0</v>
      </c>
      <c r="JV19" s="9">
        <v>0</v>
      </c>
      <c r="JW19" s="9">
        <v>0</v>
      </c>
      <c r="JX19" s="9">
        <v>0</v>
      </c>
      <c r="JY19" s="9">
        <v>0</v>
      </c>
      <c r="JZ19" s="9">
        <v>0</v>
      </c>
      <c r="KA19" s="9">
        <v>0</v>
      </c>
      <c r="KB19" s="9">
        <v>0</v>
      </c>
      <c r="KC19" s="9">
        <v>0</v>
      </c>
      <c r="KD19" s="9">
        <v>0</v>
      </c>
      <c r="KE19" s="9">
        <v>0</v>
      </c>
      <c r="KF19" s="9">
        <v>0</v>
      </c>
      <c r="KG19" s="9">
        <v>0</v>
      </c>
      <c r="KH19" s="9">
        <v>0</v>
      </c>
      <c r="KI19" s="9">
        <v>0</v>
      </c>
    </row>
    <row r="20" spans="1:295" x14ac:dyDescent="0.25">
      <c r="A20" s="9">
        <v>15827</v>
      </c>
      <c r="B20" s="9">
        <v>36871</v>
      </c>
      <c r="C20" s="9">
        <v>35</v>
      </c>
      <c r="D20" s="9">
        <v>2023</v>
      </c>
      <c r="E20" s="9">
        <v>5392</v>
      </c>
      <c r="F20" s="9">
        <v>0</v>
      </c>
      <c r="G20" s="9">
        <v>0</v>
      </c>
      <c r="H20" s="9">
        <v>2862.2850000000003</v>
      </c>
      <c r="I20" s="9">
        <v>2862.2850000000003</v>
      </c>
      <c r="J20" s="9">
        <v>2999.355</v>
      </c>
      <c r="K20" s="9">
        <v>0</v>
      </c>
      <c r="L20" s="9">
        <v>6547</v>
      </c>
      <c r="M20" s="9">
        <v>0</v>
      </c>
      <c r="N20" s="9">
        <v>0</v>
      </c>
      <c r="O20" s="9">
        <v>0</v>
      </c>
      <c r="P20" s="9">
        <v>2052.6770000000001</v>
      </c>
      <c r="Q20" s="9">
        <v>0</v>
      </c>
      <c r="R20" s="9">
        <v>999494</v>
      </c>
      <c r="S20" s="9">
        <v>486.92200000000003</v>
      </c>
      <c r="T20" s="9">
        <v>0</v>
      </c>
      <c r="U20" s="9">
        <v>999494</v>
      </c>
      <c r="V20" s="9">
        <v>551.29200000000003</v>
      </c>
      <c r="W20" s="9">
        <v>360931</v>
      </c>
      <c r="X20" s="9">
        <v>360931</v>
      </c>
      <c r="Y20" s="9">
        <v>0</v>
      </c>
      <c r="Z20" s="9">
        <v>0</v>
      </c>
      <c r="AA20" s="9">
        <v>1</v>
      </c>
      <c r="AB20" s="9">
        <v>1</v>
      </c>
      <c r="AC20" s="9">
        <v>0</v>
      </c>
      <c r="AD20" s="9" t="s">
        <v>314</v>
      </c>
      <c r="AE20" s="9">
        <v>0</v>
      </c>
      <c r="AF20" s="9">
        <v>0</v>
      </c>
      <c r="AG20" s="9">
        <v>0</v>
      </c>
      <c r="AH20" s="9">
        <v>0</v>
      </c>
      <c r="AI20" s="9">
        <v>0</v>
      </c>
      <c r="AJ20" s="9">
        <v>5104</v>
      </c>
      <c r="AK20" s="9" t="s">
        <v>651</v>
      </c>
      <c r="AL20" s="9" t="s">
        <v>15</v>
      </c>
      <c r="AM20" s="9">
        <v>0</v>
      </c>
      <c r="AN20" s="9">
        <v>0</v>
      </c>
      <c r="AO20" s="9">
        <v>0</v>
      </c>
      <c r="AP20" s="9">
        <v>0</v>
      </c>
      <c r="AQ20" s="9">
        <v>0</v>
      </c>
      <c r="AR20" s="9">
        <v>0</v>
      </c>
      <c r="AS20" s="9">
        <v>0</v>
      </c>
      <c r="AT20" s="9">
        <v>0</v>
      </c>
      <c r="AU20" s="9">
        <v>0</v>
      </c>
      <c r="AV20" s="9">
        <v>421296</v>
      </c>
      <c r="AW20" s="9">
        <v>29412750</v>
      </c>
      <c r="AX20" s="9">
        <v>27516378</v>
      </c>
      <c r="AY20" s="9">
        <v>32359678</v>
      </c>
      <c r="AZ20" s="9">
        <v>2344910</v>
      </c>
      <c r="BA20" s="9">
        <v>44.417000000000002</v>
      </c>
      <c r="BB20" s="9">
        <v>117821</v>
      </c>
      <c r="BC20" s="9">
        <v>117821</v>
      </c>
      <c r="BD20" s="9">
        <v>149.96800000000002</v>
      </c>
      <c r="BE20" s="9">
        <v>0</v>
      </c>
      <c r="BF20" s="9">
        <v>23467800</v>
      </c>
      <c r="BG20" s="9">
        <v>0</v>
      </c>
      <c r="BH20" s="9">
        <v>286.25400000000002</v>
      </c>
      <c r="BI20" s="9">
        <v>78720</v>
      </c>
      <c r="BJ20" s="9">
        <v>12</v>
      </c>
      <c r="BK20" s="9">
        <v>0</v>
      </c>
      <c r="BL20" s="9">
        <v>0</v>
      </c>
      <c r="BM20" s="9">
        <v>0</v>
      </c>
      <c r="BN20" s="9">
        <v>0</v>
      </c>
      <c r="BO20" s="9">
        <v>0</v>
      </c>
      <c r="BP20" s="9">
        <v>0</v>
      </c>
      <c r="BQ20" s="9">
        <v>5392</v>
      </c>
      <c r="BR20" s="9">
        <v>1</v>
      </c>
      <c r="BS20" s="9">
        <v>0</v>
      </c>
      <c r="BT20" s="9">
        <v>0</v>
      </c>
      <c r="BU20" s="9">
        <v>0</v>
      </c>
      <c r="BV20" s="9">
        <v>0</v>
      </c>
      <c r="BW20" s="9">
        <v>0</v>
      </c>
      <c r="BX20" s="9">
        <v>0</v>
      </c>
      <c r="BY20" s="9">
        <v>0</v>
      </c>
      <c r="BZ20" s="9">
        <v>0</v>
      </c>
      <c r="CA20" s="9">
        <v>1266.6960000000001</v>
      </c>
      <c r="CB20" s="9">
        <v>1266696</v>
      </c>
      <c r="CC20" s="9">
        <v>0</v>
      </c>
      <c r="CD20" s="9">
        <v>0</v>
      </c>
      <c r="CE20" s="9">
        <v>0</v>
      </c>
      <c r="CF20" s="9">
        <v>0</v>
      </c>
      <c r="CG20" s="9">
        <v>0</v>
      </c>
      <c r="CH20" s="9">
        <v>550956</v>
      </c>
      <c r="CI20" s="9">
        <v>0</v>
      </c>
      <c r="CJ20" s="9">
        <v>4</v>
      </c>
      <c r="CK20" s="9">
        <v>0</v>
      </c>
      <c r="CL20" s="9">
        <v>0</v>
      </c>
      <c r="CM20" s="9">
        <v>0</v>
      </c>
      <c r="CN20" s="9">
        <v>0</v>
      </c>
      <c r="CO20" s="9">
        <v>0</v>
      </c>
      <c r="CP20" s="9">
        <v>0</v>
      </c>
      <c r="CQ20" s="9">
        <v>0</v>
      </c>
      <c r="CR20" s="9">
        <v>2015.191</v>
      </c>
      <c r="CS20" s="9">
        <v>0</v>
      </c>
      <c r="CT20" s="9">
        <v>0</v>
      </c>
      <c r="CU20" s="9">
        <v>0</v>
      </c>
      <c r="CV20" s="9">
        <v>0</v>
      </c>
      <c r="CW20" s="9">
        <v>0</v>
      </c>
      <c r="CX20" s="9">
        <v>0</v>
      </c>
      <c r="CY20" s="9">
        <v>0</v>
      </c>
      <c r="CZ20" s="9">
        <v>0</v>
      </c>
      <c r="DA20" s="9">
        <v>1</v>
      </c>
      <c r="DB20" s="9">
        <v>18739380</v>
      </c>
      <c r="DC20" s="9">
        <v>0</v>
      </c>
      <c r="DD20" s="9">
        <v>0</v>
      </c>
      <c r="DE20" s="9">
        <v>2134754</v>
      </c>
      <c r="DF20" s="9">
        <v>2134754</v>
      </c>
      <c r="DG20" s="9">
        <v>1630.33</v>
      </c>
      <c r="DH20" s="9">
        <v>0</v>
      </c>
      <c r="DI20" s="9">
        <v>0</v>
      </c>
      <c r="DJ20" s="9">
        <v>0</v>
      </c>
      <c r="DK20" s="9">
        <v>5392</v>
      </c>
      <c r="DL20" s="9">
        <v>0</v>
      </c>
      <c r="DM20" s="9">
        <v>2269536</v>
      </c>
      <c r="DN20" s="9">
        <v>0</v>
      </c>
      <c r="DO20" s="9">
        <v>0</v>
      </c>
      <c r="DP20" s="9">
        <v>0</v>
      </c>
      <c r="DQ20" s="9">
        <v>0</v>
      </c>
      <c r="DR20" s="9">
        <v>0</v>
      </c>
      <c r="DS20" s="9">
        <v>0</v>
      </c>
      <c r="DT20" s="9">
        <v>0</v>
      </c>
      <c r="DU20" s="9">
        <v>0</v>
      </c>
      <c r="DV20" s="9">
        <v>0</v>
      </c>
      <c r="DW20" s="9">
        <v>0</v>
      </c>
      <c r="DX20" s="9">
        <v>0</v>
      </c>
      <c r="DY20" s="9">
        <v>0</v>
      </c>
      <c r="DZ20" s="9">
        <v>0</v>
      </c>
      <c r="EA20" s="9">
        <v>0</v>
      </c>
      <c r="EB20" s="9">
        <v>0</v>
      </c>
      <c r="EC20" s="9">
        <v>81.978999999999999</v>
      </c>
      <c r="ED20" s="9">
        <v>590388</v>
      </c>
      <c r="EE20" s="9">
        <v>0</v>
      </c>
      <c r="EF20" s="9">
        <v>0</v>
      </c>
      <c r="EG20" s="9">
        <v>0</v>
      </c>
      <c r="EH20" s="9">
        <v>1679148</v>
      </c>
      <c r="EI20" s="9">
        <v>0</v>
      </c>
      <c r="EJ20" s="9">
        <v>0</v>
      </c>
      <c r="EK20" s="9">
        <v>70.91</v>
      </c>
      <c r="EL20" s="9">
        <v>0</v>
      </c>
      <c r="EM20" s="9">
        <v>4.9420000000000002</v>
      </c>
      <c r="EN20" s="9">
        <v>5.7840000000000007</v>
      </c>
      <c r="EO20" s="9">
        <v>0</v>
      </c>
      <c r="EP20" s="9">
        <v>0</v>
      </c>
      <c r="EQ20" s="9">
        <v>81.63600000000001</v>
      </c>
      <c r="ER20" s="9">
        <v>0</v>
      </c>
      <c r="ES20" s="9">
        <v>256.476</v>
      </c>
      <c r="ET20" s="9">
        <v>22209</v>
      </c>
      <c r="EU20" s="9">
        <v>2344910</v>
      </c>
      <c r="EV20" s="9">
        <v>0</v>
      </c>
      <c r="EW20" s="9">
        <v>0</v>
      </c>
      <c r="EX20" s="9">
        <v>0</v>
      </c>
      <c r="EY20" s="9">
        <v>0</v>
      </c>
      <c r="EZ20" s="9">
        <v>23112879</v>
      </c>
      <c r="FA20" s="9">
        <v>0</v>
      </c>
      <c r="FB20" s="9">
        <v>25457789</v>
      </c>
      <c r="FC20" s="9">
        <v>0.97326799999999991</v>
      </c>
      <c r="FD20" s="9">
        <v>0</v>
      </c>
      <c r="FE20" s="9">
        <v>3630406</v>
      </c>
      <c r="FF20" s="9">
        <v>773093</v>
      </c>
      <c r="FG20" s="9">
        <v>5.8088000000000001E-2</v>
      </c>
      <c r="FH20" s="9">
        <v>5.2622999999999996E-2</v>
      </c>
      <c r="FI20" s="9">
        <v>0</v>
      </c>
      <c r="FJ20" s="9">
        <v>0</v>
      </c>
      <c r="FK20" s="9">
        <v>4598.174</v>
      </c>
      <c r="FL20" s="9">
        <v>30412244</v>
      </c>
      <c r="FM20" s="9">
        <v>0</v>
      </c>
      <c r="FN20" s="9">
        <v>0</v>
      </c>
      <c r="FO20" s="9">
        <v>0</v>
      </c>
      <c r="FP20" s="9">
        <v>0</v>
      </c>
      <c r="FQ20" s="9">
        <v>0</v>
      </c>
      <c r="FR20" s="9">
        <v>0</v>
      </c>
      <c r="FS20" s="9">
        <v>0</v>
      </c>
      <c r="FT20" s="9">
        <v>0</v>
      </c>
      <c r="FU20" s="9">
        <v>0</v>
      </c>
      <c r="FV20" s="9">
        <v>0</v>
      </c>
      <c r="FW20" s="9">
        <v>0</v>
      </c>
      <c r="FX20" s="9">
        <v>0</v>
      </c>
      <c r="FY20" s="9">
        <v>0</v>
      </c>
      <c r="FZ20" s="9">
        <v>0</v>
      </c>
      <c r="GA20" s="9">
        <v>0</v>
      </c>
      <c r="GB20" s="9">
        <v>489951</v>
      </c>
      <c r="GC20" s="9">
        <v>489951</v>
      </c>
      <c r="GD20" s="9">
        <v>55.434000000000005</v>
      </c>
      <c r="GE20" s="9">
        <v>0</v>
      </c>
      <c r="GF20" s="9">
        <v>0</v>
      </c>
      <c r="GG20" s="9">
        <v>0</v>
      </c>
      <c r="GH20" s="9">
        <v>0</v>
      </c>
      <c r="GI20" s="9">
        <v>0</v>
      </c>
      <c r="GJ20" s="9">
        <v>0</v>
      </c>
      <c r="GK20" s="9">
        <v>5177</v>
      </c>
      <c r="GL20" s="9">
        <v>11947</v>
      </c>
      <c r="GM20" s="9">
        <v>0</v>
      </c>
      <c r="GN20" s="9">
        <v>0</v>
      </c>
      <c r="GO20" s="9">
        <v>0</v>
      </c>
      <c r="GP20" s="9">
        <v>29861288</v>
      </c>
      <c r="GQ20" s="9">
        <v>29861288</v>
      </c>
      <c r="GR20" s="9">
        <v>0</v>
      </c>
      <c r="GS20" s="9">
        <v>0</v>
      </c>
      <c r="GT20" s="9">
        <v>0</v>
      </c>
      <c r="GU20" s="9">
        <v>0</v>
      </c>
      <c r="GV20" s="9">
        <v>0</v>
      </c>
      <c r="GW20" s="9">
        <v>0</v>
      </c>
      <c r="GX20" s="9">
        <v>0</v>
      </c>
      <c r="GY20" s="9">
        <v>0</v>
      </c>
      <c r="GZ20" s="9">
        <v>0</v>
      </c>
      <c r="HA20" s="9">
        <v>0</v>
      </c>
      <c r="HB20" s="9">
        <v>300501363</v>
      </c>
      <c r="HC20" s="9">
        <v>4.4742999999999998E-2</v>
      </c>
      <c r="HD20" s="9">
        <v>528747</v>
      </c>
      <c r="HE20" s="9">
        <v>0</v>
      </c>
      <c r="HF20" s="9">
        <v>0</v>
      </c>
      <c r="HG20" s="9">
        <v>0</v>
      </c>
      <c r="HH20" s="9">
        <v>0</v>
      </c>
      <c r="HI20" s="9">
        <v>0</v>
      </c>
      <c r="HJ20" s="9">
        <v>0</v>
      </c>
      <c r="HK20" s="9">
        <v>0</v>
      </c>
      <c r="HL20" s="9">
        <v>0</v>
      </c>
      <c r="HM20" s="9">
        <v>0</v>
      </c>
      <c r="HN20" s="9">
        <v>0</v>
      </c>
      <c r="HO20" s="9">
        <v>0</v>
      </c>
      <c r="HP20" s="9">
        <v>0</v>
      </c>
      <c r="HQ20" s="9">
        <v>0</v>
      </c>
      <c r="HR20" s="9">
        <v>0</v>
      </c>
      <c r="HS20" s="9">
        <v>0</v>
      </c>
      <c r="HT20" s="9">
        <v>0</v>
      </c>
      <c r="HU20" s="9">
        <v>0</v>
      </c>
      <c r="HV20" s="9">
        <v>0</v>
      </c>
      <c r="HW20" s="9">
        <v>0</v>
      </c>
      <c r="HX20" s="9">
        <v>0</v>
      </c>
      <c r="HY20" s="9">
        <v>0</v>
      </c>
      <c r="HZ20" s="9">
        <v>0</v>
      </c>
      <c r="IA20" s="9">
        <v>0</v>
      </c>
      <c r="IB20" s="9">
        <v>0</v>
      </c>
      <c r="IC20" s="9">
        <v>0</v>
      </c>
      <c r="ID20" s="9">
        <v>0</v>
      </c>
      <c r="IE20" s="9">
        <v>0</v>
      </c>
      <c r="IF20" s="9">
        <v>0</v>
      </c>
      <c r="IG20" s="9">
        <v>0</v>
      </c>
      <c r="IH20" s="9">
        <v>0</v>
      </c>
      <c r="II20" s="9">
        <v>0</v>
      </c>
      <c r="IJ20" s="9">
        <v>0</v>
      </c>
      <c r="IK20" s="9">
        <v>0</v>
      </c>
      <c r="IL20" s="9">
        <v>0</v>
      </c>
      <c r="IM20" s="9">
        <v>0</v>
      </c>
      <c r="IN20" s="9">
        <v>0</v>
      </c>
      <c r="IO20" s="9">
        <v>0</v>
      </c>
      <c r="IP20" s="9">
        <v>0</v>
      </c>
      <c r="IQ20" s="9">
        <v>0</v>
      </c>
      <c r="IR20" s="9">
        <v>0</v>
      </c>
      <c r="IS20" s="9">
        <v>0</v>
      </c>
      <c r="IT20" s="9">
        <v>0</v>
      </c>
      <c r="IU20" s="9">
        <v>0</v>
      </c>
      <c r="IV20" s="9">
        <v>0</v>
      </c>
      <c r="IW20" s="9">
        <v>0</v>
      </c>
      <c r="IX20" s="9">
        <v>0</v>
      </c>
      <c r="IY20" s="9">
        <v>0</v>
      </c>
      <c r="IZ20" s="9">
        <v>0</v>
      </c>
      <c r="JA20" s="9">
        <v>0</v>
      </c>
      <c r="JB20" s="9">
        <v>0</v>
      </c>
      <c r="JC20" s="9">
        <v>0</v>
      </c>
      <c r="JD20" s="9">
        <v>0</v>
      </c>
      <c r="JE20" s="9">
        <v>0</v>
      </c>
      <c r="JF20" s="9">
        <v>0</v>
      </c>
      <c r="JG20" s="9">
        <v>0</v>
      </c>
      <c r="JH20" s="9">
        <v>0</v>
      </c>
      <c r="JI20" s="9">
        <v>0</v>
      </c>
      <c r="JJ20" s="9">
        <v>0</v>
      </c>
      <c r="JK20" s="9">
        <v>0</v>
      </c>
      <c r="JL20" s="9">
        <v>0</v>
      </c>
      <c r="JM20" s="9">
        <v>0</v>
      </c>
      <c r="JN20" s="9">
        <v>36832</v>
      </c>
      <c r="JO20" s="9">
        <v>0</v>
      </c>
      <c r="JP20" s="9">
        <v>0</v>
      </c>
      <c r="JQ20" s="9">
        <v>0</v>
      </c>
      <c r="JR20" s="9">
        <v>0</v>
      </c>
      <c r="JS20" s="9">
        <v>0</v>
      </c>
      <c r="JT20" s="9">
        <v>0</v>
      </c>
      <c r="JU20" s="9">
        <v>0</v>
      </c>
      <c r="JV20" s="9">
        <v>0</v>
      </c>
      <c r="JW20" s="9">
        <v>0</v>
      </c>
      <c r="JX20" s="9">
        <v>0</v>
      </c>
      <c r="JY20" s="9">
        <v>0</v>
      </c>
      <c r="JZ20" s="9">
        <v>0</v>
      </c>
      <c r="KA20" s="9">
        <v>0</v>
      </c>
      <c r="KB20" s="9">
        <v>0</v>
      </c>
      <c r="KC20" s="9">
        <v>0</v>
      </c>
      <c r="KD20" s="9">
        <v>0</v>
      </c>
      <c r="KE20" s="9">
        <v>0</v>
      </c>
      <c r="KF20" s="9">
        <v>0</v>
      </c>
      <c r="KG20" s="9">
        <v>0</v>
      </c>
      <c r="KH20" s="9">
        <v>0</v>
      </c>
      <c r="KI20" s="9">
        <v>0</v>
      </c>
    </row>
    <row r="21" spans="1:295" x14ac:dyDescent="0.25">
      <c r="A21" s="9">
        <v>15828</v>
      </c>
      <c r="B21" s="9">
        <v>36871</v>
      </c>
      <c r="C21" s="9">
        <v>35</v>
      </c>
      <c r="D21" s="9">
        <v>2023</v>
      </c>
      <c r="E21" s="9">
        <v>5392</v>
      </c>
      <c r="F21" s="9">
        <v>0</v>
      </c>
      <c r="G21" s="9">
        <v>0</v>
      </c>
      <c r="H21" s="9">
        <v>3829.0540000000001</v>
      </c>
      <c r="I21" s="9">
        <v>3829.0540000000001</v>
      </c>
      <c r="J21" s="9">
        <v>4215.8220000000001</v>
      </c>
      <c r="K21" s="9">
        <v>0</v>
      </c>
      <c r="L21" s="9">
        <v>6547</v>
      </c>
      <c r="M21" s="9">
        <v>0</v>
      </c>
      <c r="N21" s="9">
        <v>0</v>
      </c>
      <c r="O21" s="9">
        <v>0</v>
      </c>
      <c r="P21" s="9">
        <v>4146.1860000000006</v>
      </c>
      <c r="Q21" s="9">
        <v>0</v>
      </c>
      <c r="R21" s="9">
        <v>2018869</v>
      </c>
      <c r="S21" s="9">
        <v>486.92200000000003</v>
      </c>
      <c r="T21" s="9">
        <v>0</v>
      </c>
      <c r="U21" s="9">
        <v>2018869</v>
      </c>
      <c r="V21" s="9">
        <v>1452.905</v>
      </c>
      <c r="W21" s="9">
        <v>951217</v>
      </c>
      <c r="X21" s="9">
        <v>951217</v>
      </c>
      <c r="Y21" s="9">
        <v>0</v>
      </c>
      <c r="Z21" s="9">
        <v>0</v>
      </c>
      <c r="AA21" s="9">
        <v>1</v>
      </c>
      <c r="AB21" s="9">
        <v>1</v>
      </c>
      <c r="AC21" s="9">
        <v>0</v>
      </c>
      <c r="AD21" s="9" t="s">
        <v>314</v>
      </c>
      <c r="AE21" s="9">
        <v>0</v>
      </c>
      <c r="AF21" s="9">
        <v>0</v>
      </c>
      <c r="AG21" s="9">
        <v>0</v>
      </c>
      <c r="AH21" s="9">
        <v>0</v>
      </c>
      <c r="AI21" s="9">
        <v>0</v>
      </c>
      <c r="AJ21" s="9">
        <v>5104</v>
      </c>
      <c r="AK21" s="9" t="s">
        <v>651</v>
      </c>
      <c r="AL21" s="9" t="s">
        <v>16</v>
      </c>
      <c r="AM21" s="9">
        <v>0</v>
      </c>
      <c r="AN21" s="9">
        <v>0</v>
      </c>
      <c r="AO21" s="9">
        <v>0</v>
      </c>
      <c r="AP21" s="9">
        <v>0</v>
      </c>
      <c r="AQ21" s="9">
        <v>0</v>
      </c>
      <c r="AR21" s="9">
        <v>0</v>
      </c>
      <c r="AS21" s="9">
        <v>0</v>
      </c>
      <c r="AT21" s="9">
        <v>0</v>
      </c>
      <c r="AU21" s="9">
        <v>0</v>
      </c>
      <c r="AV21" s="9">
        <v>-787777</v>
      </c>
      <c r="AW21" s="9">
        <v>42306060</v>
      </c>
      <c r="AX21" s="9">
        <v>41182677</v>
      </c>
      <c r="AY21" s="9">
        <v>44839027</v>
      </c>
      <c r="AZ21" s="9">
        <v>2348098</v>
      </c>
      <c r="BA21" s="9">
        <v>101.917</v>
      </c>
      <c r="BB21" s="9">
        <v>165606</v>
      </c>
      <c r="BC21" s="9">
        <v>165606</v>
      </c>
      <c r="BD21" s="9">
        <v>210.791</v>
      </c>
      <c r="BE21" s="9">
        <v>0</v>
      </c>
      <c r="BF21" s="9">
        <v>35553717</v>
      </c>
      <c r="BG21" s="9">
        <v>0</v>
      </c>
      <c r="BH21" s="9">
        <v>1197.1970000000001</v>
      </c>
      <c r="BI21" s="9">
        <v>329229</v>
      </c>
      <c r="BJ21" s="9">
        <v>12</v>
      </c>
      <c r="BK21" s="9">
        <v>0</v>
      </c>
      <c r="BL21" s="9">
        <v>0</v>
      </c>
      <c r="BM21" s="9">
        <v>0</v>
      </c>
      <c r="BN21" s="9">
        <v>0</v>
      </c>
      <c r="BO21" s="9">
        <v>0</v>
      </c>
      <c r="BP21" s="9">
        <v>0</v>
      </c>
      <c r="BQ21" s="9">
        <v>5392</v>
      </c>
      <c r="BR21" s="9">
        <v>1</v>
      </c>
      <c r="BS21" s="9">
        <v>0</v>
      </c>
      <c r="BT21" s="9">
        <v>0</v>
      </c>
      <c r="BU21" s="9">
        <v>0</v>
      </c>
      <c r="BV21" s="9">
        <v>0</v>
      </c>
      <c r="BW21" s="9">
        <v>0</v>
      </c>
      <c r="BX21" s="9">
        <v>0</v>
      </c>
      <c r="BY21" s="9">
        <v>0</v>
      </c>
      <c r="BZ21" s="9">
        <v>0</v>
      </c>
      <c r="CA21" s="9">
        <v>0</v>
      </c>
      <c r="CB21" s="9">
        <v>0</v>
      </c>
      <c r="CC21" s="9">
        <v>0</v>
      </c>
      <c r="CD21" s="9">
        <v>0</v>
      </c>
      <c r="CE21" s="9">
        <v>0</v>
      </c>
      <c r="CF21" s="9">
        <v>0</v>
      </c>
      <c r="CG21" s="9">
        <v>0</v>
      </c>
      <c r="CH21" s="9">
        <v>794154</v>
      </c>
      <c r="CI21" s="9">
        <v>0</v>
      </c>
      <c r="CJ21" s="9">
        <v>4</v>
      </c>
      <c r="CK21" s="9">
        <v>0</v>
      </c>
      <c r="CL21" s="9">
        <v>0</v>
      </c>
      <c r="CM21" s="9">
        <v>0</v>
      </c>
      <c r="CN21" s="9">
        <v>0</v>
      </c>
      <c r="CO21" s="9">
        <v>0</v>
      </c>
      <c r="CP21" s="9">
        <v>0</v>
      </c>
      <c r="CQ21" s="9">
        <v>0</v>
      </c>
      <c r="CR21" s="9">
        <v>3980.4410000000003</v>
      </c>
      <c r="CS21" s="9">
        <v>0</v>
      </c>
      <c r="CT21" s="9">
        <v>0</v>
      </c>
      <c r="CU21" s="9">
        <v>0</v>
      </c>
      <c r="CV21" s="9">
        <v>0</v>
      </c>
      <c r="CW21" s="9">
        <v>0</v>
      </c>
      <c r="CX21" s="9">
        <v>0</v>
      </c>
      <c r="CY21" s="9">
        <v>0</v>
      </c>
      <c r="CZ21" s="9">
        <v>0</v>
      </c>
      <c r="DA21" s="9">
        <v>1</v>
      </c>
      <c r="DB21" s="9">
        <v>25068817</v>
      </c>
      <c r="DC21" s="9">
        <v>0</v>
      </c>
      <c r="DD21" s="9">
        <v>0</v>
      </c>
      <c r="DE21" s="9">
        <v>4792627</v>
      </c>
      <c r="DF21" s="9">
        <v>4792627</v>
      </c>
      <c r="DG21" s="9">
        <v>3660.17</v>
      </c>
      <c r="DH21" s="9">
        <v>0</v>
      </c>
      <c r="DI21" s="9">
        <v>0</v>
      </c>
      <c r="DJ21" s="9">
        <v>0</v>
      </c>
      <c r="DK21" s="9">
        <v>5392</v>
      </c>
      <c r="DL21" s="9">
        <v>0</v>
      </c>
      <c r="DM21" s="9">
        <v>3324149</v>
      </c>
      <c r="DN21" s="9">
        <v>0</v>
      </c>
      <c r="DO21" s="9">
        <v>0</v>
      </c>
      <c r="DP21" s="9">
        <v>0</v>
      </c>
      <c r="DQ21" s="9">
        <v>0</v>
      </c>
      <c r="DR21" s="9">
        <v>0</v>
      </c>
      <c r="DS21" s="9">
        <v>0</v>
      </c>
      <c r="DT21" s="9">
        <v>0</v>
      </c>
      <c r="DU21" s="9">
        <v>0</v>
      </c>
      <c r="DV21" s="9">
        <v>0</v>
      </c>
      <c r="DW21" s="9">
        <v>0</v>
      </c>
      <c r="DX21" s="9">
        <v>0</v>
      </c>
      <c r="DY21" s="9">
        <v>0</v>
      </c>
      <c r="DZ21" s="9">
        <v>0</v>
      </c>
      <c r="EA21" s="9">
        <v>0</v>
      </c>
      <c r="EB21" s="9">
        <v>0</v>
      </c>
      <c r="EC21" s="9">
        <v>80.283000000000001</v>
      </c>
      <c r="ED21" s="9">
        <v>578174</v>
      </c>
      <c r="EE21" s="9">
        <v>0</v>
      </c>
      <c r="EF21" s="9">
        <v>0</v>
      </c>
      <c r="EG21" s="9">
        <v>0</v>
      </c>
      <c r="EH21" s="9">
        <v>2745975</v>
      </c>
      <c r="EI21" s="9">
        <v>0</v>
      </c>
      <c r="EJ21" s="9">
        <v>0</v>
      </c>
      <c r="EK21" s="9">
        <v>106.646</v>
      </c>
      <c r="EL21" s="9">
        <v>0</v>
      </c>
      <c r="EM21" s="9">
        <v>20.409000000000002</v>
      </c>
      <c r="EN21" s="9">
        <v>7.6520000000000001</v>
      </c>
      <c r="EO21" s="9">
        <v>0</v>
      </c>
      <c r="EP21" s="9">
        <v>0</v>
      </c>
      <c r="EQ21" s="9">
        <v>134.70699999999999</v>
      </c>
      <c r="ER21" s="9">
        <v>0</v>
      </c>
      <c r="ES21" s="9">
        <v>419.42500000000001</v>
      </c>
      <c r="ET21" s="9">
        <v>50959</v>
      </c>
      <c r="EU21" s="9">
        <v>2348098</v>
      </c>
      <c r="EV21" s="9">
        <v>0</v>
      </c>
      <c r="EW21" s="9">
        <v>0</v>
      </c>
      <c r="EX21" s="9">
        <v>0</v>
      </c>
      <c r="EY21" s="9">
        <v>0</v>
      </c>
      <c r="EZ21" s="9">
        <v>34511376</v>
      </c>
      <c r="FA21" s="9">
        <v>0</v>
      </c>
      <c r="FB21" s="9">
        <v>36859474</v>
      </c>
      <c r="FC21" s="9">
        <v>0.97326799999999991</v>
      </c>
      <c r="FD21" s="9">
        <v>0</v>
      </c>
      <c r="FE21" s="9">
        <v>5500065</v>
      </c>
      <c r="FF21" s="9">
        <v>1171236</v>
      </c>
      <c r="FG21" s="9">
        <v>5.8088000000000001E-2</v>
      </c>
      <c r="FH21" s="9">
        <v>5.2622999999999996E-2</v>
      </c>
      <c r="FI21" s="9">
        <v>0</v>
      </c>
      <c r="FJ21" s="9">
        <v>0</v>
      </c>
      <c r="FK21" s="9">
        <v>6966.2330000000002</v>
      </c>
      <c r="FL21" s="9">
        <v>44324929</v>
      </c>
      <c r="FM21" s="9">
        <v>0</v>
      </c>
      <c r="FN21" s="9">
        <v>0</v>
      </c>
      <c r="FO21" s="9">
        <v>0</v>
      </c>
      <c r="FP21" s="9">
        <v>0</v>
      </c>
      <c r="FQ21" s="9">
        <v>0</v>
      </c>
      <c r="FR21" s="9">
        <v>0</v>
      </c>
      <c r="FS21" s="9">
        <v>0</v>
      </c>
      <c r="FT21" s="9">
        <v>0</v>
      </c>
      <c r="FU21" s="9">
        <v>0</v>
      </c>
      <c r="FV21" s="9">
        <v>0</v>
      </c>
      <c r="FW21" s="9">
        <v>0</v>
      </c>
      <c r="FX21" s="9">
        <v>0</v>
      </c>
      <c r="FY21" s="9">
        <v>0</v>
      </c>
      <c r="FZ21" s="9">
        <v>0</v>
      </c>
      <c r="GA21" s="9">
        <v>0</v>
      </c>
      <c r="GB21" s="9">
        <v>2227829</v>
      </c>
      <c r="GC21" s="9">
        <v>2227829</v>
      </c>
      <c r="GD21" s="9">
        <v>252.06100000000001</v>
      </c>
      <c r="GE21" s="9">
        <v>0</v>
      </c>
      <c r="GF21" s="9">
        <v>0</v>
      </c>
      <c r="GG21" s="9">
        <v>0</v>
      </c>
      <c r="GH21" s="9">
        <v>0</v>
      </c>
      <c r="GI21" s="9">
        <v>0</v>
      </c>
      <c r="GJ21" s="9">
        <v>0</v>
      </c>
      <c r="GK21" s="9">
        <v>5112.5940000000001</v>
      </c>
      <c r="GL21" s="9">
        <v>17957</v>
      </c>
      <c r="GM21" s="9">
        <v>0</v>
      </c>
      <c r="GN21" s="9">
        <v>0</v>
      </c>
      <c r="GO21" s="9">
        <v>0</v>
      </c>
      <c r="GP21" s="9">
        <v>43530775</v>
      </c>
      <c r="GQ21" s="9">
        <v>43530775</v>
      </c>
      <c r="GR21" s="9">
        <v>0</v>
      </c>
      <c r="GS21" s="9">
        <v>0</v>
      </c>
      <c r="GT21" s="9">
        <v>0</v>
      </c>
      <c r="GU21" s="9">
        <v>0</v>
      </c>
      <c r="GV21" s="9">
        <v>0</v>
      </c>
      <c r="GW21" s="9">
        <v>0</v>
      </c>
      <c r="GX21" s="9">
        <v>0</v>
      </c>
      <c r="GY21" s="9">
        <v>0</v>
      </c>
      <c r="GZ21" s="9">
        <v>0</v>
      </c>
      <c r="HA21" s="9">
        <v>0</v>
      </c>
      <c r="HB21" s="9">
        <v>300501363</v>
      </c>
      <c r="HC21" s="9">
        <v>4.4742999999999998E-2</v>
      </c>
      <c r="HD21" s="9">
        <v>743195</v>
      </c>
      <c r="HE21" s="9">
        <v>0</v>
      </c>
      <c r="HF21" s="9">
        <v>0</v>
      </c>
      <c r="HG21" s="9">
        <v>0</v>
      </c>
      <c r="HH21" s="9">
        <v>0</v>
      </c>
      <c r="HI21" s="9">
        <v>0</v>
      </c>
      <c r="HJ21" s="9">
        <v>0</v>
      </c>
      <c r="HK21" s="9">
        <v>0</v>
      </c>
      <c r="HL21" s="9">
        <v>0</v>
      </c>
      <c r="HM21" s="9">
        <v>0</v>
      </c>
      <c r="HN21" s="9">
        <v>0</v>
      </c>
      <c r="HO21" s="9">
        <v>0</v>
      </c>
      <c r="HP21" s="9">
        <v>0</v>
      </c>
      <c r="HQ21" s="9">
        <v>0</v>
      </c>
      <c r="HR21" s="9">
        <v>0</v>
      </c>
      <c r="HS21" s="9">
        <v>0</v>
      </c>
      <c r="HT21" s="9">
        <v>0</v>
      </c>
      <c r="HU21" s="9">
        <v>0</v>
      </c>
      <c r="HV21" s="9">
        <v>0</v>
      </c>
      <c r="HW21" s="9">
        <v>0</v>
      </c>
      <c r="HX21" s="9">
        <v>0</v>
      </c>
      <c r="HY21" s="9">
        <v>0</v>
      </c>
      <c r="HZ21" s="9">
        <v>0</v>
      </c>
      <c r="IA21" s="9">
        <v>0</v>
      </c>
      <c r="IB21" s="9">
        <v>0</v>
      </c>
      <c r="IC21" s="9">
        <v>0</v>
      </c>
      <c r="ID21" s="9">
        <v>0</v>
      </c>
      <c r="IE21" s="9">
        <v>0</v>
      </c>
      <c r="IF21" s="9">
        <v>0</v>
      </c>
      <c r="IG21" s="9">
        <v>0</v>
      </c>
      <c r="IH21" s="9">
        <v>0</v>
      </c>
      <c r="II21" s="9">
        <v>0</v>
      </c>
      <c r="IJ21" s="9">
        <v>0</v>
      </c>
      <c r="IK21" s="9">
        <v>0</v>
      </c>
      <c r="IL21" s="9">
        <v>0</v>
      </c>
      <c r="IM21" s="9">
        <v>0</v>
      </c>
      <c r="IN21" s="9">
        <v>0</v>
      </c>
      <c r="IO21" s="9">
        <v>0</v>
      </c>
      <c r="IP21" s="9">
        <v>0</v>
      </c>
      <c r="IQ21" s="9">
        <v>0</v>
      </c>
      <c r="IR21" s="9">
        <v>0</v>
      </c>
      <c r="IS21" s="9">
        <v>0</v>
      </c>
      <c r="IT21" s="9">
        <v>0</v>
      </c>
      <c r="IU21" s="9">
        <v>0</v>
      </c>
      <c r="IV21" s="9">
        <v>0</v>
      </c>
      <c r="IW21" s="9">
        <v>0</v>
      </c>
      <c r="IX21" s="9">
        <v>0</v>
      </c>
      <c r="IY21" s="9">
        <v>0</v>
      </c>
      <c r="IZ21" s="9">
        <v>0</v>
      </c>
      <c r="JA21" s="9">
        <v>0</v>
      </c>
      <c r="JB21" s="9">
        <v>0</v>
      </c>
      <c r="JC21" s="9">
        <v>0</v>
      </c>
      <c r="JD21" s="9">
        <v>0</v>
      </c>
      <c r="JE21" s="9">
        <v>0</v>
      </c>
      <c r="JF21" s="9">
        <v>0</v>
      </c>
      <c r="JG21" s="9">
        <v>0</v>
      </c>
      <c r="JH21" s="9">
        <v>0</v>
      </c>
      <c r="JI21" s="9">
        <v>0</v>
      </c>
      <c r="JJ21" s="9">
        <v>0</v>
      </c>
      <c r="JK21" s="9">
        <v>0</v>
      </c>
      <c r="JL21" s="9">
        <v>0</v>
      </c>
      <c r="JM21" s="9">
        <v>0</v>
      </c>
      <c r="JN21" s="9">
        <v>36832</v>
      </c>
      <c r="JO21" s="9">
        <v>0</v>
      </c>
      <c r="JP21" s="9">
        <v>0</v>
      </c>
      <c r="JQ21" s="9">
        <v>0</v>
      </c>
      <c r="JR21" s="9">
        <v>0</v>
      </c>
      <c r="JS21" s="9">
        <v>0</v>
      </c>
      <c r="JT21" s="9">
        <v>0</v>
      </c>
      <c r="JU21" s="9">
        <v>0</v>
      </c>
      <c r="JV21" s="9">
        <v>0</v>
      </c>
      <c r="JW21" s="9">
        <v>0</v>
      </c>
      <c r="JX21" s="9">
        <v>0</v>
      </c>
      <c r="JY21" s="9">
        <v>0</v>
      </c>
      <c r="JZ21" s="9">
        <v>0</v>
      </c>
      <c r="KA21" s="9">
        <v>0</v>
      </c>
      <c r="KB21" s="9">
        <v>0</v>
      </c>
      <c r="KC21" s="9">
        <v>0</v>
      </c>
      <c r="KD21" s="9">
        <v>0</v>
      </c>
      <c r="KE21" s="9">
        <v>0</v>
      </c>
      <c r="KF21" s="9">
        <v>0</v>
      </c>
      <c r="KG21" s="9">
        <v>0</v>
      </c>
      <c r="KH21" s="9">
        <v>0</v>
      </c>
      <c r="KI21" s="9">
        <v>0</v>
      </c>
    </row>
    <row r="22" spans="1:295" ht="13" x14ac:dyDescent="0.3">
      <c r="A22" s="9">
        <v>15830</v>
      </c>
      <c r="B22" s="9">
        <v>36871</v>
      </c>
      <c r="C22" s="9">
        <v>35</v>
      </c>
      <c r="D22" s="9">
        <v>2023</v>
      </c>
      <c r="E22" s="9">
        <v>5392</v>
      </c>
      <c r="F22" s="9">
        <v>0</v>
      </c>
      <c r="G22" s="9">
        <v>0</v>
      </c>
      <c r="H22" s="9">
        <v>3068.902</v>
      </c>
      <c r="I22" s="9">
        <v>3068.902</v>
      </c>
      <c r="J22" s="9">
        <v>3305.13</v>
      </c>
      <c r="K22" s="9">
        <v>0</v>
      </c>
      <c r="L22" s="9">
        <v>6547</v>
      </c>
      <c r="M22" s="9">
        <v>0</v>
      </c>
      <c r="N22" s="9">
        <v>0</v>
      </c>
      <c r="O22" s="9">
        <v>0</v>
      </c>
      <c r="P22" s="9">
        <v>3041.2960000000003</v>
      </c>
      <c r="Q22" s="9">
        <v>0</v>
      </c>
      <c r="R22" s="10">
        <v>1480874</v>
      </c>
      <c r="S22" s="9">
        <v>486.92200000000003</v>
      </c>
      <c r="T22" s="9">
        <v>0</v>
      </c>
      <c r="U22" s="10">
        <v>1480874</v>
      </c>
      <c r="V22" s="10">
        <v>159.56800000000001</v>
      </c>
      <c r="W22" s="10">
        <v>104469</v>
      </c>
      <c r="X22" s="10">
        <v>104469</v>
      </c>
      <c r="Y22" s="9">
        <v>0</v>
      </c>
      <c r="Z22" s="9">
        <v>0</v>
      </c>
      <c r="AA22" s="9">
        <v>1</v>
      </c>
      <c r="AB22" s="9">
        <v>1</v>
      </c>
      <c r="AC22" s="9">
        <v>0</v>
      </c>
      <c r="AD22" s="9" t="s">
        <v>314</v>
      </c>
      <c r="AE22" s="9">
        <v>0</v>
      </c>
      <c r="AF22" s="9">
        <v>0</v>
      </c>
      <c r="AG22" s="9">
        <v>0</v>
      </c>
      <c r="AH22" s="9">
        <v>0</v>
      </c>
      <c r="AI22" s="9">
        <v>0</v>
      </c>
      <c r="AJ22" s="9">
        <v>5104</v>
      </c>
      <c r="AK22" s="9" t="s">
        <v>651</v>
      </c>
      <c r="AL22" s="9" t="s">
        <v>454</v>
      </c>
      <c r="AM22" s="9">
        <v>0</v>
      </c>
      <c r="AN22" s="9">
        <v>0</v>
      </c>
      <c r="AO22" s="9">
        <v>0</v>
      </c>
      <c r="AP22" s="9">
        <v>0</v>
      </c>
      <c r="AQ22" s="9">
        <v>0</v>
      </c>
      <c r="AR22" s="9">
        <v>0</v>
      </c>
      <c r="AS22" s="9">
        <v>0</v>
      </c>
      <c r="AT22" s="9">
        <v>0</v>
      </c>
      <c r="AU22" s="9">
        <v>0</v>
      </c>
      <c r="AV22" s="9">
        <v>-576643</v>
      </c>
      <c r="AW22" s="9">
        <v>31830125</v>
      </c>
      <c r="AX22" s="9">
        <v>31067908</v>
      </c>
      <c r="AY22" s="9">
        <v>29387549</v>
      </c>
      <c r="AZ22" s="9">
        <v>1660439</v>
      </c>
      <c r="BA22" s="10">
        <v>0</v>
      </c>
      <c r="BB22" s="9">
        <v>129832</v>
      </c>
      <c r="BC22" s="9">
        <v>129832</v>
      </c>
      <c r="BD22" s="9">
        <v>165.25700000000001</v>
      </c>
      <c r="BE22" s="9">
        <v>0</v>
      </c>
      <c r="BF22" s="9">
        <v>26786777</v>
      </c>
      <c r="BG22" s="9">
        <v>0</v>
      </c>
      <c r="BH22" s="10">
        <v>563.42100000000005</v>
      </c>
      <c r="BI22" s="10">
        <v>154941</v>
      </c>
      <c r="BJ22" s="9">
        <v>12</v>
      </c>
      <c r="BK22" s="9">
        <v>0</v>
      </c>
      <c r="BL22" s="9">
        <v>0</v>
      </c>
      <c r="BM22" s="9">
        <v>0</v>
      </c>
      <c r="BN22" s="9">
        <v>0</v>
      </c>
      <c r="BO22" s="9">
        <v>0</v>
      </c>
      <c r="BP22" s="9">
        <v>0</v>
      </c>
      <c r="BQ22" s="9">
        <v>5392</v>
      </c>
      <c r="BR22" s="9">
        <v>1</v>
      </c>
      <c r="BS22" s="9">
        <v>0</v>
      </c>
      <c r="BT22" s="9">
        <v>0</v>
      </c>
      <c r="BU22" s="9">
        <v>0</v>
      </c>
      <c r="BV22" s="9">
        <v>0</v>
      </c>
      <c r="BW22" s="9">
        <v>0</v>
      </c>
      <c r="BX22" s="9">
        <v>0</v>
      </c>
      <c r="BY22" s="9">
        <v>0</v>
      </c>
      <c r="BZ22" s="9">
        <v>0</v>
      </c>
      <c r="CA22" s="9">
        <v>24.624000000000002</v>
      </c>
      <c r="CB22" s="9">
        <v>24624</v>
      </c>
      <c r="CC22" s="9">
        <v>0</v>
      </c>
      <c r="CD22" s="9">
        <v>0</v>
      </c>
      <c r="CE22" s="9">
        <v>0</v>
      </c>
      <c r="CF22" s="9">
        <v>0</v>
      </c>
      <c r="CG22" s="9">
        <v>0</v>
      </c>
      <c r="CH22" s="10">
        <v>582652</v>
      </c>
      <c r="CI22" s="9">
        <v>0</v>
      </c>
      <c r="CJ22" s="9">
        <v>4</v>
      </c>
      <c r="CK22" s="9">
        <v>0</v>
      </c>
      <c r="CL22" s="9">
        <v>0</v>
      </c>
      <c r="CM22" s="9">
        <v>0</v>
      </c>
      <c r="CN22" s="9">
        <v>0</v>
      </c>
      <c r="CO22" s="9">
        <v>0</v>
      </c>
      <c r="CP22" s="9">
        <v>0</v>
      </c>
      <c r="CQ22" s="9">
        <v>0</v>
      </c>
      <c r="CR22" s="9">
        <v>2957.83</v>
      </c>
      <c r="CS22" s="9">
        <v>0</v>
      </c>
      <c r="CT22" s="9">
        <v>0</v>
      </c>
      <c r="CU22" s="9">
        <v>0</v>
      </c>
      <c r="CV22" s="9">
        <v>0</v>
      </c>
      <c r="CW22" s="9">
        <v>0</v>
      </c>
      <c r="CX22" s="9">
        <v>0</v>
      </c>
      <c r="CY22" s="9">
        <v>0</v>
      </c>
      <c r="CZ22" s="9">
        <v>0</v>
      </c>
      <c r="DA22" s="9">
        <v>1</v>
      </c>
      <c r="DB22" s="9">
        <v>20092101</v>
      </c>
      <c r="DC22" s="9">
        <v>0</v>
      </c>
      <c r="DD22" s="9">
        <v>0</v>
      </c>
      <c r="DE22" s="9">
        <v>2861039</v>
      </c>
      <c r="DF22" s="9">
        <v>2861039</v>
      </c>
      <c r="DG22" s="9">
        <v>2185</v>
      </c>
      <c r="DH22" s="9">
        <v>0</v>
      </c>
      <c r="DI22" s="9">
        <v>0</v>
      </c>
      <c r="DJ22" s="9">
        <v>0</v>
      </c>
      <c r="DK22" s="9">
        <v>5392</v>
      </c>
      <c r="DL22" s="9">
        <v>0</v>
      </c>
      <c r="DM22" s="9">
        <v>3264653</v>
      </c>
      <c r="DN22" s="9">
        <v>0</v>
      </c>
      <c r="DO22" s="9">
        <v>2892</v>
      </c>
      <c r="DP22" s="9">
        <v>0</v>
      </c>
      <c r="DQ22" s="9">
        <v>0</v>
      </c>
      <c r="DR22" s="9">
        <v>0</v>
      </c>
      <c r="DS22" s="9">
        <v>0</v>
      </c>
      <c r="DT22" s="9">
        <v>3.1E-2</v>
      </c>
      <c r="DU22" s="9">
        <v>0</v>
      </c>
      <c r="DV22" s="9">
        <v>6.2E-2</v>
      </c>
      <c r="DW22" s="9">
        <v>6.2E-2</v>
      </c>
      <c r="DX22" s="9">
        <v>0</v>
      </c>
      <c r="DY22" s="9">
        <v>0</v>
      </c>
      <c r="DZ22" s="9">
        <v>0.58900000000000008</v>
      </c>
      <c r="EA22" s="9">
        <v>0.75900000000000001</v>
      </c>
      <c r="EB22" s="9">
        <v>0</v>
      </c>
      <c r="EC22" s="9">
        <v>124.06</v>
      </c>
      <c r="ED22" s="9">
        <v>893443</v>
      </c>
      <c r="EE22" s="9">
        <v>0</v>
      </c>
      <c r="EF22" s="9">
        <v>0</v>
      </c>
      <c r="EG22" s="9">
        <v>0</v>
      </c>
      <c r="EH22" s="9">
        <v>2368318</v>
      </c>
      <c r="EI22" s="9">
        <v>0</v>
      </c>
      <c r="EJ22" s="9">
        <v>0</v>
      </c>
      <c r="EK22" s="9">
        <v>73.548000000000002</v>
      </c>
      <c r="EL22" s="9">
        <v>1.7120000000000002</v>
      </c>
      <c r="EM22" s="9">
        <v>33.379000000000005</v>
      </c>
      <c r="EN22" s="9">
        <v>7.4330000000000007</v>
      </c>
      <c r="EO22" s="9">
        <v>0</v>
      </c>
      <c r="EP22" s="9">
        <v>0</v>
      </c>
      <c r="EQ22" s="9">
        <v>115.119</v>
      </c>
      <c r="ER22" s="9">
        <v>0</v>
      </c>
      <c r="ES22" s="9">
        <v>361.74100000000004</v>
      </c>
      <c r="ET22" s="10">
        <v>0</v>
      </c>
      <c r="EU22" s="9">
        <v>1660439</v>
      </c>
      <c r="EV22" s="9">
        <v>0</v>
      </c>
      <c r="EW22" s="9">
        <v>0</v>
      </c>
      <c r="EX22" s="9">
        <v>0</v>
      </c>
      <c r="EY22" s="9">
        <v>0</v>
      </c>
      <c r="EZ22" s="9">
        <v>26041636</v>
      </c>
      <c r="FA22" s="9">
        <v>0</v>
      </c>
      <c r="FB22" s="10">
        <v>27702075</v>
      </c>
      <c r="FC22" s="9">
        <v>0.97326799999999991</v>
      </c>
      <c r="FD22" s="9">
        <v>0</v>
      </c>
      <c r="FE22" s="9">
        <v>4143843</v>
      </c>
      <c r="FF22" s="9">
        <v>882429</v>
      </c>
      <c r="FG22" s="9">
        <v>5.8088000000000001E-2</v>
      </c>
      <c r="FH22" s="9">
        <v>5.2622999999999996E-2</v>
      </c>
      <c r="FI22" s="9">
        <v>0</v>
      </c>
      <c r="FJ22" s="9">
        <v>0</v>
      </c>
      <c r="FK22" s="9">
        <v>5248.4790000000003</v>
      </c>
      <c r="FL22" s="9">
        <v>33310999</v>
      </c>
      <c r="FM22" s="9">
        <v>0</v>
      </c>
      <c r="FN22" s="9">
        <v>0</v>
      </c>
      <c r="FO22" s="9">
        <v>0</v>
      </c>
      <c r="FP22" s="9">
        <v>0</v>
      </c>
      <c r="FQ22" s="9">
        <v>0</v>
      </c>
      <c r="FR22" s="9">
        <v>0</v>
      </c>
      <c r="FS22" s="9">
        <v>0</v>
      </c>
      <c r="FT22" s="9">
        <v>0</v>
      </c>
      <c r="FU22" s="9">
        <v>0</v>
      </c>
      <c r="FV22" s="9">
        <v>0</v>
      </c>
      <c r="FW22" s="9">
        <v>0</v>
      </c>
      <c r="FX22" s="9">
        <v>0</v>
      </c>
      <c r="FY22" s="9">
        <v>0</v>
      </c>
      <c r="FZ22" s="9">
        <v>0</v>
      </c>
      <c r="GA22" s="9">
        <v>0</v>
      </c>
      <c r="GB22" s="10">
        <v>1070416</v>
      </c>
      <c r="GC22" s="10">
        <v>1070416</v>
      </c>
      <c r="GD22" s="10">
        <v>121.10900000000001</v>
      </c>
      <c r="GE22" s="9">
        <v>0</v>
      </c>
      <c r="GF22" s="9">
        <v>0</v>
      </c>
      <c r="GG22" s="9">
        <v>0</v>
      </c>
      <c r="GH22" s="9">
        <v>0</v>
      </c>
      <c r="GI22" s="9">
        <v>0</v>
      </c>
      <c r="GJ22" s="9">
        <v>0</v>
      </c>
      <c r="GK22" s="9">
        <v>5043</v>
      </c>
      <c r="GL22" s="9">
        <v>19083</v>
      </c>
      <c r="GM22" s="9">
        <v>0</v>
      </c>
      <c r="GN22" s="9">
        <v>0</v>
      </c>
      <c r="GO22" s="9">
        <v>0</v>
      </c>
      <c r="GP22" s="9">
        <v>32728347</v>
      </c>
      <c r="GQ22" s="9">
        <v>32728347</v>
      </c>
      <c r="GR22" s="9">
        <v>0</v>
      </c>
      <c r="GS22" s="9">
        <v>0</v>
      </c>
      <c r="GT22" s="9">
        <v>0</v>
      </c>
      <c r="GU22" s="9">
        <v>0</v>
      </c>
      <c r="GV22" s="9">
        <v>0</v>
      </c>
      <c r="GW22" s="9">
        <v>0</v>
      </c>
      <c r="GX22" s="9">
        <v>0</v>
      </c>
      <c r="GY22" s="9">
        <v>0</v>
      </c>
      <c r="GZ22" s="9">
        <v>0</v>
      </c>
      <c r="HA22" s="9">
        <v>0</v>
      </c>
      <c r="HB22" s="9">
        <v>300501363</v>
      </c>
      <c r="HC22" s="9">
        <v>4.4742999999999998E-2</v>
      </c>
      <c r="HD22" s="10">
        <v>582652</v>
      </c>
      <c r="HE22" s="9">
        <v>0</v>
      </c>
      <c r="HF22" s="9">
        <v>0</v>
      </c>
      <c r="HG22" s="9">
        <v>0</v>
      </c>
      <c r="HH22" s="9">
        <v>0</v>
      </c>
      <c r="HI22" s="9">
        <v>0</v>
      </c>
      <c r="HJ22" s="9">
        <v>0</v>
      </c>
      <c r="HK22" s="9">
        <v>0</v>
      </c>
      <c r="HL22" s="9">
        <v>0</v>
      </c>
      <c r="HM22" s="9">
        <v>0</v>
      </c>
      <c r="HN22" s="9">
        <v>0</v>
      </c>
      <c r="HO22" s="9">
        <v>0</v>
      </c>
      <c r="HP22" s="9">
        <v>0</v>
      </c>
      <c r="HQ22" s="9">
        <v>0</v>
      </c>
      <c r="HR22" s="9">
        <v>0</v>
      </c>
      <c r="HS22" s="9">
        <v>0</v>
      </c>
      <c r="HT22" s="9">
        <v>0</v>
      </c>
      <c r="HU22" s="9">
        <v>0</v>
      </c>
      <c r="HV22" s="9">
        <v>0</v>
      </c>
      <c r="HW22" s="9">
        <v>0</v>
      </c>
      <c r="HX22" s="9">
        <v>0</v>
      </c>
      <c r="HY22" s="9">
        <v>0</v>
      </c>
      <c r="HZ22" s="9">
        <v>0</v>
      </c>
      <c r="IA22" s="9">
        <v>0</v>
      </c>
      <c r="IB22" s="9">
        <v>0</v>
      </c>
      <c r="IC22" s="9">
        <v>0</v>
      </c>
      <c r="ID22" s="9">
        <v>0</v>
      </c>
      <c r="IE22" s="9">
        <v>0</v>
      </c>
      <c r="IF22" s="9">
        <v>0</v>
      </c>
      <c r="IG22" s="9">
        <v>0</v>
      </c>
      <c r="IH22" s="9">
        <v>0</v>
      </c>
      <c r="II22" s="9">
        <v>0</v>
      </c>
      <c r="IJ22" s="9">
        <v>0</v>
      </c>
      <c r="IK22" s="9">
        <v>0</v>
      </c>
      <c r="IL22" s="9">
        <v>0</v>
      </c>
      <c r="IM22" s="9">
        <v>0</v>
      </c>
      <c r="IN22" s="9">
        <v>0</v>
      </c>
      <c r="IO22" s="9">
        <v>0</v>
      </c>
      <c r="IP22" s="9">
        <v>0</v>
      </c>
      <c r="IQ22" s="9">
        <v>0</v>
      </c>
      <c r="IR22" s="9">
        <v>0</v>
      </c>
      <c r="IS22" s="9">
        <v>0</v>
      </c>
      <c r="IT22" s="9">
        <v>0</v>
      </c>
      <c r="IU22" s="9">
        <v>0</v>
      </c>
      <c r="IV22" s="9">
        <v>0</v>
      </c>
      <c r="IW22" s="9">
        <v>0</v>
      </c>
      <c r="IX22" s="9">
        <v>0</v>
      </c>
      <c r="IY22" s="9">
        <v>0</v>
      </c>
      <c r="IZ22" s="9">
        <v>0</v>
      </c>
      <c r="JA22" s="9">
        <v>0</v>
      </c>
      <c r="JB22" s="9">
        <v>0</v>
      </c>
      <c r="JC22" s="9">
        <v>0</v>
      </c>
      <c r="JD22" s="9">
        <v>0</v>
      </c>
      <c r="JE22" s="9">
        <v>0</v>
      </c>
      <c r="JF22" s="9">
        <v>0</v>
      </c>
      <c r="JG22" s="9">
        <v>0</v>
      </c>
      <c r="JH22" s="9">
        <v>0</v>
      </c>
      <c r="JI22" s="9">
        <v>0</v>
      </c>
      <c r="JJ22" s="9">
        <v>0</v>
      </c>
      <c r="JK22" s="9">
        <v>0</v>
      </c>
      <c r="JL22" s="9">
        <v>0</v>
      </c>
      <c r="JM22" s="9">
        <v>0</v>
      </c>
      <c r="JN22" s="9">
        <v>36832</v>
      </c>
      <c r="JO22" s="9">
        <v>0</v>
      </c>
      <c r="JP22" s="9">
        <v>0</v>
      </c>
      <c r="JQ22" s="9">
        <v>0</v>
      </c>
      <c r="JR22" s="9">
        <v>0</v>
      </c>
      <c r="JS22" s="9">
        <v>0</v>
      </c>
      <c r="JT22" s="9">
        <v>0</v>
      </c>
      <c r="JU22" s="9">
        <v>0</v>
      </c>
      <c r="JV22" s="9">
        <v>0</v>
      </c>
      <c r="JW22" s="9">
        <v>0</v>
      </c>
      <c r="JX22" s="9">
        <v>0</v>
      </c>
      <c r="JY22" s="9">
        <v>0</v>
      </c>
      <c r="JZ22" s="9">
        <v>0</v>
      </c>
      <c r="KA22" s="9">
        <v>0</v>
      </c>
      <c r="KB22" s="9">
        <v>0</v>
      </c>
      <c r="KC22" s="9">
        <v>0</v>
      </c>
      <c r="KD22" s="9">
        <v>0</v>
      </c>
      <c r="KE22" s="9">
        <v>0</v>
      </c>
      <c r="KF22" s="9">
        <v>0</v>
      </c>
      <c r="KG22" s="9">
        <v>0</v>
      </c>
      <c r="KH22" s="9">
        <v>0</v>
      </c>
      <c r="KI22" s="9">
        <v>0</v>
      </c>
    </row>
    <row r="23" spans="1:295" x14ac:dyDescent="0.25">
      <c r="A23" s="9">
        <v>15831</v>
      </c>
      <c r="B23" s="9">
        <v>36871</v>
      </c>
      <c r="C23" s="9">
        <v>35</v>
      </c>
      <c r="D23" s="9">
        <v>2023</v>
      </c>
      <c r="E23" s="9">
        <v>5392</v>
      </c>
      <c r="F23" s="9">
        <v>0</v>
      </c>
      <c r="G23" s="9">
        <v>0</v>
      </c>
      <c r="H23" s="9">
        <v>4238.6190000000006</v>
      </c>
      <c r="I23" s="9">
        <v>4238.6190000000006</v>
      </c>
      <c r="J23" s="9">
        <v>4409.1210000000001</v>
      </c>
      <c r="K23" s="9">
        <v>0</v>
      </c>
      <c r="L23" s="9">
        <v>6547</v>
      </c>
      <c r="M23" s="9">
        <v>0</v>
      </c>
      <c r="N23" s="9">
        <v>0</v>
      </c>
      <c r="O23" s="9">
        <v>0</v>
      </c>
      <c r="P23" s="9">
        <v>3049.1060000000002</v>
      </c>
      <c r="Q23" s="9">
        <v>0</v>
      </c>
      <c r="R23" s="9">
        <v>1484677</v>
      </c>
      <c r="S23" s="9">
        <v>486.92200000000003</v>
      </c>
      <c r="T23" s="9">
        <v>0</v>
      </c>
      <c r="U23" s="9">
        <v>1484677</v>
      </c>
      <c r="V23" s="9">
        <v>694.48400000000004</v>
      </c>
      <c r="W23" s="9">
        <v>454679</v>
      </c>
      <c r="X23" s="9">
        <v>454679</v>
      </c>
      <c r="Y23" s="9">
        <v>0</v>
      </c>
      <c r="Z23" s="9">
        <v>0</v>
      </c>
      <c r="AA23" s="9">
        <v>1</v>
      </c>
      <c r="AB23" s="9">
        <v>1</v>
      </c>
      <c r="AC23" s="9">
        <v>0</v>
      </c>
      <c r="AD23" s="9" t="s">
        <v>314</v>
      </c>
      <c r="AE23" s="9">
        <v>0</v>
      </c>
      <c r="AF23" s="9">
        <v>0</v>
      </c>
      <c r="AG23" s="9">
        <v>0</v>
      </c>
      <c r="AH23" s="9">
        <v>0</v>
      </c>
      <c r="AI23" s="9">
        <v>0</v>
      </c>
      <c r="AJ23" s="9">
        <v>5104</v>
      </c>
      <c r="AK23" s="9" t="s">
        <v>651</v>
      </c>
      <c r="AL23" s="9" t="s">
        <v>316</v>
      </c>
      <c r="AM23" s="9">
        <v>0</v>
      </c>
      <c r="AN23" s="9">
        <v>0</v>
      </c>
      <c r="AO23" s="9">
        <v>0</v>
      </c>
      <c r="AP23" s="9">
        <v>0</v>
      </c>
      <c r="AQ23" s="9">
        <v>0</v>
      </c>
      <c r="AR23" s="9">
        <v>0</v>
      </c>
      <c r="AS23" s="9">
        <v>0</v>
      </c>
      <c r="AT23" s="9">
        <v>0</v>
      </c>
      <c r="AU23" s="9">
        <v>0</v>
      </c>
      <c r="AV23" s="9">
        <v>-523885</v>
      </c>
      <c r="AW23" s="9">
        <v>42187076</v>
      </c>
      <c r="AX23" s="9">
        <v>39913835</v>
      </c>
      <c r="AY23" s="9">
        <v>44993418</v>
      </c>
      <c r="AZ23" s="9">
        <v>2945188</v>
      </c>
      <c r="BA23" s="9">
        <v>70.917000000000002</v>
      </c>
      <c r="BB23" s="9">
        <v>173199</v>
      </c>
      <c r="BC23" s="9">
        <v>173199</v>
      </c>
      <c r="BD23" s="9">
        <v>220.45600000000002</v>
      </c>
      <c r="BE23" s="9">
        <v>0</v>
      </c>
      <c r="BF23" s="9">
        <v>34069868</v>
      </c>
      <c r="BG23" s="9">
        <v>0</v>
      </c>
      <c r="BH23" s="9">
        <v>238.482</v>
      </c>
      <c r="BI23" s="9">
        <v>65583</v>
      </c>
      <c r="BJ23" s="9">
        <v>12</v>
      </c>
      <c r="BK23" s="9">
        <v>0</v>
      </c>
      <c r="BL23" s="9">
        <v>0</v>
      </c>
      <c r="BM23" s="9">
        <v>0</v>
      </c>
      <c r="BN23" s="9">
        <v>0</v>
      </c>
      <c r="BO23" s="9">
        <v>0</v>
      </c>
      <c r="BP23" s="9">
        <v>0</v>
      </c>
      <c r="BQ23" s="9">
        <v>5392</v>
      </c>
      <c r="BR23" s="9">
        <v>1</v>
      </c>
      <c r="BS23" s="9">
        <v>0</v>
      </c>
      <c r="BT23" s="9">
        <v>0</v>
      </c>
      <c r="BU23" s="9">
        <v>0</v>
      </c>
      <c r="BV23" s="9">
        <v>0</v>
      </c>
      <c r="BW23" s="9">
        <v>0</v>
      </c>
      <c r="BX23" s="9">
        <v>0</v>
      </c>
      <c r="BY23" s="9">
        <v>0</v>
      </c>
      <c r="BZ23" s="9">
        <v>0</v>
      </c>
      <c r="CA23" s="9">
        <v>1394.9280000000001</v>
      </c>
      <c r="CB23" s="9">
        <v>1394928</v>
      </c>
      <c r="CC23" s="9">
        <v>0</v>
      </c>
      <c r="CD23" s="9">
        <v>0</v>
      </c>
      <c r="CE23" s="9">
        <v>0</v>
      </c>
      <c r="CF23" s="9">
        <v>0</v>
      </c>
      <c r="CG23" s="9">
        <v>0</v>
      </c>
      <c r="CH23" s="9">
        <v>812730</v>
      </c>
      <c r="CI23" s="9">
        <v>0</v>
      </c>
      <c r="CJ23" s="9">
        <v>4</v>
      </c>
      <c r="CK23" s="9">
        <v>0</v>
      </c>
      <c r="CL23" s="9">
        <v>0</v>
      </c>
      <c r="CM23" s="9">
        <v>0</v>
      </c>
      <c r="CN23" s="9">
        <v>0</v>
      </c>
      <c r="CO23" s="9">
        <v>0</v>
      </c>
      <c r="CP23" s="9">
        <v>0</v>
      </c>
      <c r="CQ23" s="9">
        <v>0</v>
      </c>
      <c r="CR23" s="9">
        <v>2992.5230000000001</v>
      </c>
      <c r="CS23" s="9">
        <v>0</v>
      </c>
      <c r="CT23" s="9">
        <v>0</v>
      </c>
      <c r="CU23" s="9">
        <v>0</v>
      </c>
      <c r="CV23" s="9">
        <v>0</v>
      </c>
      <c r="CW23" s="9">
        <v>0</v>
      </c>
      <c r="CX23" s="9">
        <v>0</v>
      </c>
      <c r="CY23" s="9">
        <v>0</v>
      </c>
      <c r="CZ23" s="9">
        <v>0</v>
      </c>
      <c r="DA23" s="9">
        <v>1</v>
      </c>
      <c r="DB23" s="9">
        <v>27750239</v>
      </c>
      <c r="DC23" s="9">
        <v>0</v>
      </c>
      <c r="DD23" s="9">
        <v>0</v>
      </c>
      <c r="DE23" s="9">
        <v>3145179</v>
      </c>
      <c r="DF23" s="9">
        <v>3145179</v>
      </c>
      <c r="DG23" s="9">
        <v>2402</v>
      </c>
      <c r="DH23" s="9">
        <v>0</v>
      </c>
      <c r="DI23" s="9">
        <v>0</v>
      </c>
      <c r="DJ23" s="9">
        <v>0</v>
      </c>
      <c r="DK23" s="9">
        <v>5392</v>
      </c>
      <c r="DL23" s="9">
        <v>0</v>
      </c>
      <c r="DM23" s="9">
        <v>3144247</v>
      </c>
      <c r="DN23" s="9">
        <v>0</v>
      </c>
      <c r="DO23" s="9">
        <v>0</v>
      </c>
      <c r="DP23" s="9">
        <v>0</v>
      </c>
      <c r="DQ23" s="9">
        <v>0</v>
      </c>
      <c r="DR23" s="9">
        <v>0</v>
      </c>
      <c r="DS23" s="9">
        <v>0</v>
      </c>
      <c r="DT23" s="9">
        <v>0</v>
      </c>
      <c r="DU23" s="9">
        <v>0</v>
      </c>
      <c r="DV23" s="9">
        <v>0</v>
      </c>
      <c r="DW23" s="9">
        <v>0</v>
      </c>
      <c r="DX23" s="9">
        <v>0</v>
      </c>
      <c r="DY23" s="9">
        <v>0</v>
      </c>
      <c r="DZ23" s="9">
        <v>0</v>
      </c>
      <c r="EA23" s="9">
        <v>4.7E-2</v>
      </c>
      <c r="EB23" s="9">
        <v>0</v>
      </c>
      <c r="EC23" s="9">
        <v>58.877000000000002</v>
      </c>
      <c r="ED23" s="9">
        <v>424014</v>
      </c>
      <c r="EE23" s="9">
        <v>0</v>
      </c>
      <c r="EF23" s="9">
        <v>0</v>
      </c>
      <c r="EG23" s="9">
        <v>0</v>
      </c>
      <c r="EH23" s="9">
        <v>2720233</v>
      </c>
      <c r="EI23" s="9">
        <v>0</v>
      </c>
      <c r="EJ23" s="9">
        <v>0</v>
      </c>
      <c r="EK23" s="9">
        <v>111.974</v>
      </c>
      <c r="EL23" s="9">
        <v>0</v>
      </c>
      <c r="EM23" s="9">
        <v>10.902000000000001</v>
      </c>
      <c r="EN23" s="9">
        <v>9.3260000000000005</v>
      </c>
      <c r="EO23" s="9">
        <v>0</v>
      </c>
      <c r="EP23" s="9">
        <v>0</v>
      </c>
      <c r="EQ23" s="9">
        <v>132.249</v>
      </c>
      <c r="ER23" s="9">
        <v>0</v>
      </c>
      <c r="ES23" s="9">
        <v>415.49299999999999</v>
      </c>
      <c r="ET23" s="9">
        <v>35459</v>
      </c>
      <c r="EU23" s="9">
        <v>2945188</v>
      </c>
      <c r="EV23" s="9">
        <v>0</v>
      </c>
      <c r="EW23" s="9">
        <v>0</v>
      </c>
      <c r="EX23" s="9">
        <v>0</v>
      </c>
      <c r="EY23" s="9">
        <v>0</v>
      </c>
      <c r="EZ23" s="9">
        <v>33520963</v>
      </c>
      <c r="FA23" s="9">
        <v>0</v>
      </c>
      <c r="FB23" s="9">
        <v>36466151</v>
      </c>
      <c r="FC23" s="9">
        <v>0.97326799999999991</v>
      </c>
      <c r="FD23" s="9">
        <v>0</v>
      </c>
      <c r="FE23" s="9">
        <v>5270518</v>
      </c>
      <c r="FF23" s="9">
        <v>1122354</v>
      </c>
      <c r="FG23" s="9">
        <v>5.8088000000000001E-2</v>
      </c>
      <c r="FH23" s="9">
        <v>5.2622999999999996E-2</v>
      </c>
      <c r="FI23" s="9">
        <v>0</v>
      </c>
      <c r="FJ23" s="9">
        <v>0</v>
      </c>
      <c r="FK23" s="9">
        <v>6675.4949999999999</v>
      </c>
      <c r="FL23" s="9">
        <v>43671753</v>
      </c>
      <c r="FM23" s="9">
        <v>0</v>
      </c>
      <c r="FN23" s="9">
        <v>0</v>
      </c>
      <c r="FO23" s="9">
        <v>0</v>
      </c>
      <c r="FP23" s="9">
        <v>0</v>
      </c>
      <c r="FQ23" s="9">
        <v>0</v>
      </c>
      <c r="FR23" s="9">
        <v>0</v>
      </c>
      <c r="FS23" s="9">
        <v>0</v>
      </c>
      <c r="FT23" s="9">
        <v>0</v>
      </c>
      <c r="FU23" s="9">
        <v>0</v>
      </c>
      <c r="FV23" s="9">
        <v>0</v>
      </c>
      <c r="FW23" s="9">
        <v>0</v>
      </c>
      <c r="FX23" s="9">
        <v>0</v>
      </c>
      <c r="FY23" s="9">
        <v>0</v>
      </c>
      <c r="FZ23" s="9">
        <v>0</v>
      </c>
      <c r="GA23" s="9">
        <v>0</v>
      </c>
      <c r="GB23" s="9">
        <v>338097</v>
      </c>
      <c r="GC23" s="9">
        <v>338097</v>
      </c>
      <c r="GD23" s="9">
        <v>38.253</v>
      </c>
      <c r="GE23" s="9">
        <v>0</v>
      </c>
      <c r="GF23" s="9">
        <v>0</v>
      </c>
      <c r="GG23" s="9">
        <v>0</v>
      </c>
      <c r="GH23" s="9">
        <v>0</v>
      </c>
      <c r="GI23" s="9">
        <v>0</v>
      </c>
      <c r="GJ23" s="9">
        <v>0</v>
      </c>
      <c r="GK23" s="9">
        <v>5104.8670000000002</v>
      </c>
      <c r="GL23" s="9">
        <v>8860</v>
      </c>
      <c r="GM23" s="9">
        <v>0</v>
      </c>
      <c r="GN23" s="9">
        <v>0</v>
      </c>
      <c r="GO23" s="9">
        <v>0</v>
      </c>
      <c r="GP23" s="9">
        <v>42859023</v>
      </c>
      <c r="GQ23" s="9">
        <v>42859023</v>
      </c>
      <c r="GR23" s="9">
        <v>0</v>
      </c>
      <c r="GS23" s="9">
        <v>0</v>
      </c>
      <c r="GT23" s="9">
        <v>0</v>
      </c>
      <c r="GU23" s="9">
        <v>0</v>
      </c>
      <c r="GV23" s="9">
        <v>0</v>
      </c>
      <c r="GW23" s="9">
        <v>0</v>
      </c>
      <c r="GX23" s="9">
        <v>0</v>
      </c>
      <c r="GY23" s="9">
        <v>0</v>
      </c>
      <c r="GZ23" s="9">
        <v>0</v>
      </c>
      <c r="HA23" s="9">
        <v>0</v>
      </c>
      <c r="HB23" s="9">
        <v>300501363</v>
      </c>
      <c r="HC23" s="9">
        <v>4.4742999999999998E-2</v>
      </c>
      <c r="HD23" s="9">
        <v>777271</v>
      </c>
      <c r="HE23" s="9">
        <v>0</v>
      </c>
      <c r="HF23" s="9">
        <v>0</v>
      </c>
      <c r="HG23" s="9">
        <v>0</v>
      </c>
      <c r="HH23" s="9">
        <v>0</v>
      </c>
      <c r="HI23" s="9">
        <v>0</v>
      </c>
      <c r="HJ23" s="9">
        <v>0</v>
      </c>
      <c r="HK23" s="9">
        <v>0</v>
      </c>
      <c r="HL23" s="9">
        <v>0</v>
      </c>
      <c r="HM23" s="9">
        <v>0</v>
      </c>
      <c r="HN23" s="9">
        <v>0</v>
      </c>
      <c r="HO23" s="9">
        <v>0</v>
      </c>
      <c r="HP23" s="9">
        <v>0</v>
      </c>
      <c r="HQ23" s="9">
        <v>0</v>
      </c>
      <c r="HR23" s="9">
        <v>0</v>
      </c>
      <c r="HS23" s="9">
        <v>0</v>
      </c>
      <c r="HT23" s="9">
        <v>0</v>
      </c>
      <c r="HU23" s="9">
        <v>0</v>
      </c>
      <c r="HV23" s="9">
        <v>0</v>
      </c>
      <c r="HW23" s="9">
        <v>0</v>
      </c>
      <c r="HX23" s="9">
        <v>0</v>
      </c>
      <c r="HY23" s="9">
        <v>0</v>
      </c>
      <c r="HZ23" s="9">
        <v>0</v>
      </c>
      <c r="IA23" s="9">
        <v>0</v>
      </c>
      <c r="IB23" s="9">
        <v>0</v>
      </c>
      <c r="IC23" s="9">
        <v>0</v>
      </c>
      <c r="ID23" s="9">
        <v>0</v>
      </c>
      <c r="IE23" s="9">
        <v>0</v>
      </c>
      <c r="IF23" s="9">
        <v>0</v>
      </c>
      <c r="IG23" s="9">
        <v>0</v>
      </c>
      <c r="IH23" s="9">
        <v>0</v>
      </c>
      <c r="II23" s="9">
        <v>0</v>
      </c>
      <c r="IJ23" s="9">
        <v>0</v>
      </c>
      <c r="IK23" s="9">
        <v>0</v>
      </c>
      <c r="IL23" s="9">
        <v>0</v>
      </c>
      <c r="IM23" s="9">
        <v>0</v>
      </c>
      <c r="IN23" s="9">
        <v>0</v>
      </c>
      <c r="IO23" s="9">
        <v>0</v>
      </c>
      <c r="IP23" s="9">
        <v>0</v>
      </c>
      <c r="IQ23" s="9">
        <v>0</v>
      </c>
      <c r="IR23" s="9">
        <v>0</v>
      </c>
      <c r="IS23" s="9">
        <v>0</v>
      </c>
      <c r="IT23" s="9">
        <v>0</v>
      </c>
      <c r="IU23" s="9">
        <v>0</v>
      </c>
      <c r="IV23" s="9">
        <v>0</v>
      </c>
      <c r="IW23" s="9">
        <v>0</v>
      </c>
      <c r="IX23" s="9">
        <v>0</v>
      </c>
      <c r="IY23" s="9">
        <v>0</v>
      </c>
      <c r="IZ23" s="9">
        <v>0</v>
      </c>
      <c r="JA23" s="9">
        <v>0</v>
      </c>
      <c r="JB23" s="9">
        <v>0</v>
      </c>
      <c r="JC23" s="9">
        <v>0</v>
      </c>
      <c r="JD23" s="9">
        <v>0</v>
      </c>
      <c r="JE23" s="9">
        <v>0</v>
      </c>
      <c r="JF23" s="9">
        <v>0</v>
      </c>
      <c r="JG23" s="9">
        <v>0</v>
      </c>
      <c r="JH23" s="9">
        <v>0</v>
      </c>
      <c r="JI23" s="9">
        <v>0</v>
      </c>
      <c r="JJ23" s="9">
        <v>0</v>
      </c>
      <c r="JK23" s="9">
        <v>0</v>
      </c>
      <c r="JL23" s="9">
        <v>0</v>
      </c>
      <c r="JM23" s="9">
        <v>0</v>
      </c>
      <c r="JN23" s="9">
        <v>36832</v>
      </c>
      <c r="JO23" s="9">
        <v>0</v>
      </c>
      <c r="JP23" s="9">
        <v>0</v>
      </c>
      <c r="JQ23" s="9">
        <v>0</v>
      </c>
      <c r="JR23" s="9">
        <v>0</v>
      </c>
      <c r="JS23" s="9">
        <v>0</v>
      </c>
      <c r="JT23" s="9">
        <v>0</v>
      </c>
      <c r="JU23" s="9">
        <v>0</v>
      </c>
      <c r="JV23" s="9">
        <v>0</v>
      </c>
      <c r="JW23" s="9">
        <v>0</v>
      </c>
      <c r="JX23" s="9">
        <v>0</v>
      </c>
      <c r="JY23" s="9">
        <v>0</v>
      </c>
      <c r="JZ23" s="9">
        <v>0</v>
      </c>
      <c r="KA23" s="9">
        <v>0</v>
      </c>
      <c r="KB23" s="9">
        <v>0</v>
      </c>
      <c r="KC23" s="9">
        <v>0</v>
      </c>
      <c r="KD23" s="9">
        <v>0</v>
      </c>
      <c r="KE23" s="9">
        <v>0</v>
      </c>
      <c r="KF23" s="9">
        <v>0</v>
      </c>
      <c r="KG23" s="9">
        <v>0</v>
      </c>
      <c r="KH23" s="9">
        <v>0</v>
      </c>
      <c r="KI23" s="9">
        <v>0</v>
      </c>
    </row>
    <row r="24" spans="1:295" ht="13" x14ac:dyDescent="0.3">
      <c r="A24" s="9">
        <v>15833</v>
      </c>
      <c r="B24" s="9">
        <v>36871</v>
      </c>
      <c r="C24" s="9">
        <v>35</v>
      </c>
      <c r="D24" s="9">
        <v>2023</v>
      </c>
      <c r="E24" s="9">
        <v>5392</v>
      </c>
      <c r="F24" s="9">
        <v>0</v>
      </c>
      <c r="G24" s="9">
        <v>0</v>
      </c>
      <c r="H24" s="9">
        <v>95.931000000000012</v>
      </c>
      <c r="I24" s="9">
        <v>95.931000000000012</v>
      </c>
      <c r="J24" s="9">
        <v>98.169000000000011</v>
      </c>
      <c r="K24" s="9">
        <v>0</v>
      </c>
      <c r="L24" s="9">
        <v>6547</v>
      </c>
      <c r="M24" s="9">
        <v>0</v>
      </c>
      <c r="N24" s="9">
        <v>0</v>
      </c>
      <c r="O24" s="9">
        <v>0</v>
      </c>
      <c r="P24" s="9">
        <v>105.376</v>
      </c>
      <c r="Q24" s="9">
        <v>0</v>
      </c>
      <c r="R24" s="10">
        <v>51310</v>
      </c>
      <c r="S24" s="9">
        <v>486.92200000000003</v>
      </c>
      <c r="T24" s="9">
        <v>0</v>
      </c>
      <c r="U24" s="10">
        <v>51310</v>
      </c>
      <c r="V24" s="10">
        <v>0</v>
      </c>
      <c r="W24" s="10">
        <v>0</v>
      </c>
      <c r="X24" s="10">
        <v>0</v>
      </c>
      <c r="Y24" s="9">
        <v>0</v>
      </c>
      <c r="Z24" s="9">
        <v>0</v>
      </c>
      <c r="AA24" s="9">
        <v>1</v>
      </c>
      <c r="AB24" s="9">
        <v>1</v>
      </c>
      <c r="AC24" s="9">
        <v>0</v>
      </c>
      <c r="AD24" s="9" t="s">
        <v>314</v>
      </c>
      <c r="AE24" s="9">
        <v>0</v>
      </c>
      <c r="AF24" s="9">
        <v>0</v>
      </c>
      <c r="AG24" s="9">
        <v>0</v>
      </c>
      <c r="AH24" s="9">
        <v>0</v>
      </c>
      <c r="AI24" s="9">
        <v>0</v>
      </c>
      <c r="AJ24" s="9">
        <v>5104</v>
      </c>
      <c r="AK24" s="9" t="s">
        <v>651</v>
      </c>
      <c r="AL24" s="9" t="s">
        <v>94</v>
      </c>
      <c r="AM24" s="9">
        <v>0</v>
      </c>
      <c r="AN24" s="9">
        <v>0</v>
      </c>
      <c r="AO24" s="9">
        <v>0</v>
      </c>
      <c r="AP24" s="9">
        <v>0</v>
      </c>
      <c r="AQ24" s="9">
        <v>0</v>
      </c>
      <c r="AR24" s="9">
        <v>0</v>
      </c>
      <c r="AS24" s="9">
        <v>0</v>
      </c>
      <c r="AT24" s="9">
        <v>0</v>
      </c>
      <c r="AU24" s="9">
        <v>0</v>
      </c>
      <c r="AV24" s="9">
        <v>-36225</v>
      </c>
      <c r="AW24" s="9">
        <v>910656</v>
      </c>
      <c r="AX24" s="9">
        <v>871301</v>
      </c>
      <c r="AY24" s="9">
        <v>833543</v>
      </c>
      <c r="AZ24" s="9">
        <v>73359</v>
      </c>
      <c r="BA24" s="10">
        <v>0</v>
      </c>
      <c r="BB24" s="9">
        <v>0</v>
      </c>
      <c r="BC24" s="9">
        <v>0</v>
      </c>
      <c r="BD24" s="9">
        <v>0</v>
      </c>
      <c r="BE24" s="9">
        <v>0</v>
      </c>
      <c r="BF24" s="9">
        <v>759284</v>
      </c>
      <c r="BG24" s="9">
        <v>0</v>
      </c>
      <c r="BH24" s="10">
        <v>80.177000000000007</v>
      </c>
      <c r="BI24" s="10">
        <v>22049</v>
      </c>
      <c r="BJ24" s="9">
        <v>12</v>
      </c>
      <c r="BK24" s="9">
        <v>0</v>
      </c>
      <c r="BL24" s="9">
        <v>0</v>
      </c>
      <c r="BM24" s="9">
        <v>0</v>
      </c>
      <c r="BN24" s="9">
        <v>0</v>
      </c>
      <c r="BO24" s="9">
        <v>0</v>
      </c>
      <c r="BP24" s="9">
        <v>0</v>
      </c>
      <c r="BQ24" s="9">
        <v>5392</v>
      </c>
      <c r="BR24" s="9">
        <v>1</v>
      </c>
      <c r="BS24" s="9">
        <v>0</v>
      </c>
      <c r="BT24" s="9">
        <v>0</v>
      </c>
      <c r="BU24" s="9">
        <v>0</v>
      </c>
      <c r="BV24" s="9">
        <v>0</v>
      </c>
      <c r="BW24" s="9">
        <v>0</v>
      </c>
      <c r="BX24" s="9">
        <v>0</v>
      </c>
      <c r="BY24" s="9">
        <v>0</v>
      </c>
      <c r="BZ24" s="9">
        <v>0</v>
      </c>
      <c r="CA24" s="9">
        <v>0</v>
      </c>
      <c r="CB24" s="9">
        <v>0</v>
      </c>
      <c r="CC24" s="9">
        <v>0</v>
      </c>
      <c r="CD24" s="9">
        <v>0</v>
      </c>
      <c r="CE24" s="9">
        <v>0</v>
      </c>
      <c r="CF24" s="9">
        <v>0</v>
      </c>
      <c r="CG24" s="9">
        <v>0</v>
      </c>
      <c r="CH24" s="10">
        <v>17306</v>
      </c>
      <c r="CI24" s="9">
        <v>0</v>
      </c>
      <c r="CJ24" s="9">
        <v>4</v>
      </c>
      <c r="CK24" s="9">
        <v>0</v>
      </c>
      <c r="CL24" s="9">
        <v>0</v>
      </c>
      <c r="CM24" s="9">
        <v>0</v>
      </c>
      <c r="CN24" s="9">
        <v>0</v>
      </c>
      <c r="CO24" s="9">
        <v>0</v>
      </c>
      <c r="CP24" s="9">
        <v>0</v>
      </c>
      <c r="CQ24" s="9">
        <v>0</v>
      </c>
      <c r="CR24" s="9">
        <v>102.738</v>
      </c>
      <c r="CS24" s="9">
        <v>0</v>
      </c>
      <c r="CT24" s="9">
        <v>0</v>
      </c>
      <c r="CU24" s="9">
        <v>0</v>
      </c>
      <c r="CV24" s="9">
        <v>0</v>
      </c>
      <c r="CW24" s="9">
        <v>0</v>
      </c>
      <c r="CX24" s="9">
        <v>0</v>
      </c>
      <c r="CY24" s="9">
        <v>0</v>
      </c>
      <c r="CZ24" s="9">
        <v>0</v>
      </c>
      <c r="DA24" s="9">
        <v>1</v>
      </c>
      <c r="DB24" s="9">
        <v>628060</v>
      </c>
      <c r="DC24" s="9">
        <v>0</v>
      </c>
      <c r="DD24" s="9">
        <v>0</v>
      </c>
      <c r="DE24" s="9">
        <v>75513</v>
      </c>
      <c r="DF24" s="9">
        <v>75513</v>
      </c>
      <c r="DG24" s="9">
        <v>57.67</v>
      </c>
      <c r="DH24" s="9">
        <v>0</v>
      </c>
      <c r="DI24" s="9">
        <v>0</v>
      </c>
      <c r="DJ24" s="9">
        <v>0</v>
      </c>
      <c r="DK24" s="9">
        <v>5392</v>
      </c>
      <c r="DL24" s="9">
        <v>0</v>
      </c>
      <c r="DM24" s="9">
        <v>76566</v>
      </c>
      <c r="DN24" s="9">
        <v>0</v>
      </c>
      <c r="DO24" s="9">
        <v>0</v>
      </c>
      <c r="DP24" s="9">
        <v>0</v>
      </c>
      <c r="DQ24" s="9">
        <v>0</v>
      </c>
      <c r="DR24" s="9">
        <v>0</v>
      </c>
      <c r="DS24" s="9">
        <v>0</v>
      </c>
      <c r="DT24" s="9">
        <v>0</v>
      </c>
      <c r="DU24" s="9">
        <v>0</v>
      </c>
      <c r="DV24" s="9">
        <v>0</v>
      </c>
      <c r="DW24" s="9">
        <v>0</v>
      </c>
      <c r="DX24" s="9">
        <v>0</v>
      </c>
      <c r="DY24" s="9">
        <v>0</v>
      </c>
      <c r="DZ24" s="9">
        <v>0</v>
      </c>
      <c r="EA24" s="9">
        <v>0</v>
      </c>
      <c r="EB24" s="9">
        <v>0</v>
      </c>
      <c r="EC24" s="9">
        <v>4.5280000000000005</v>
      </c>
      <c r="ED24" s="9">
        <v>32609</v>
      </c>
      <c r="EE24" s="9">
        <v>0</v>
      </c>
      <c r="EF24" s="9">
        <v>0</v>
      </c>
      <c r="EG24" s="9">
        <v>0</v>
      </c>
      <c r="EH24" s="9">
        <v>43957</v>
      </c>
      <c r="EI24" s="9">
        <v>0</v>
      </c>
      <c r="EJ24" s="9">
        <v>0</v>
      </c>
      <c r="EK24" s="9">
        <v>2.238</v>
      </c>
      <c r="EL24" s="9">
        <v>0</v>
      </c>
      <c r="EM24" s="9">
        <v>0</v>
      </c>
      <c r="EN24" s="9">
        <v>0</v>
      </c>
      <c r="EO24" s="9">
        <v>0</v>
      </c>
      <c r="EP24" s="9">
        <v>0</v>
      </c>
      <c r="EQ24" s="9">
        <v>2.238</v>
      </c>
      <c r="ER24" s="9">
        <v>0</v>
      </c>
      <c r="ES24" s="9">
        <v>6.7140000000000004</v>
      </c>
      <c r="ET24" s="10">
        <v>0</v>
      </c>
      <c r="EU24" s="9">
        <v>73359</v>
      </c>
      <c r="EV24" s="9">
        <v>0</v>
      </c>
      <c r="EW24" s="9">
        <v>0</v>
      </c>
      <c r="EX24" s="9">
        <v>0</v>
      </c>
      <c r="EY24" s="9">
        <v>0</v>
      </c>
      <c r="EZ24" s="9">
        <v>728829</v>
      </c>
      <c r="FA24" s="9">
        <v>0</v>
      </c>
      <c r="FB24" s="10">
        <v>802188</v>
      </c>
      <c r="FC24" s="9">
        <v>0.97326799999999991</v>
      </c>
      <c r="FD24" s="9">
        <v>0</v>
      </c>
      <c r="FE24" s="9">
        <v>117459</v>
      </c>
      <c r="FF24" s="9">
        <v>25013</v>
      </c>
      <c r="FG24" s="9">
        <v>5.8088000000000001E-2</v>
      </c>
      <c r="FH24" s="9">
        <v>5.2622999999999996E-2</v>
      </c>
      <c r="FI24" s="9">
        <v>0</v>
      </c>
      <c r="FJ24" s="9">
        <v>0</v>
      </c>
      <c r="FK24" s="9">
        <v>148.77100000000002</v>
      </c>
      <c r="FL24" s="9">
        <v>961966</v>
      </c>
      <c r="FM24" s="9">
        <v>0</v>
      </c>
      <c r="FN24" s="9">
        <v>0</v>
      </c>
      <c r="FO24" s="9">
        <v>0</v>
      </c>
      <c r="FP24" s="9">
        <v>0</v>
      </c>
      <c r="FQ24" s="9">
        <v>0</v>
      </c>
      <c r="FR24" s="9">
        <v>0</v>
      </c>
      <c r="FS24" s="9">
        <v>0</v>
      </c>
      <c r="FT24" s="9">
        <v>0</v>
      </c>
      <c r="FU24" s="9">
        <v>0</v>
      </c>
      <c r="FV24" s="9">
        <v>0</v>
      </c>
      <c r="FW24" s="9">
        <v>0</v>
      </c>
      <c r="FX24" s="9">
        <v>0</v>
      </c>
      <c r="FY24" s="9">
        <v>0</v>
      </c>
      <c r="FZ24" s="9">
        <v>0</v>
      </c>
      <c r="GA24" s="9">
        <v>0</v>
      </c>
      <c r="GB24" s="10">
        <v>0</v>
      </c>
      <c r="GC24" s="10">
        <v>0</v>
      </c>
      <c r="GD24" s="10">
        <v>0</v>
      </c>
      <c r="GE24" s="9">
        <v>0</v>
      </c>
      <c r="GF24" s="9">
        <v>0</v>
      </c>
      <c r="GG24" s="9">
        <v>0</v>
      </c>
      <c r="GH24" s="9">
        <v>0</v>
      </c>
      <c r="GI24" s="9">
        <v>0</v>
      </c>
      <c r="GJ24" s="9">
        <v>0</v>
      </c>
      <c r="GK24" s="9">
        <v>5153</v>
      </c>
      <c r="GL24" s="9">
        <v>0</v>
      </c>
      <c r="GM24" s="9">
        <v>0</v>
      </c>
      <c r="GN24" s="9">
        <v>0</v>
      </c>
      <c r="GO24" s="9">
        <v>0</v>
      </c>
      <c r="GP24" s="9">
        <v>944660</v>
      </c>
      <c r="GQ24" s="9">
        <v>944660</v>
      </c>
      <c r="GR24" s="9">
        <v>0</v>
      </c>
      <c r="GS24" s="9">
        <v>0</v>
      </c>
      <c r="GT24" s="9">
        <v>0</v>
      </c>
      <c r="GU24" s="9">
        <v>0</v>
      </c>
      <c r="GV24" s="9">
        <v>0</v>
      </c>
      <c r="GW24" s="9">
        <v>0</v>
      </c>
      <c r="GX24" s="9">
        <v>0</v>
      </c>
      <c r="GY24" s="9">
        <v>0</v>
      </c>
      <c r="GZ24" s="9">
        <v>0</v>
      </c>
      <c r="HA24" s="9">
        <v>0</v>
      </c>
      <c r="HB24" s="9">
        <v>300501363</v>
      </c>
      <c r="HC24" s="9">
        <v>4.4742999999999998E-2</v>
      </c>
      <c r="HD24" s="10">
        <v>17306</v>
      </c>
      <c r="HE24" s="9">
        <v>0</v>
      </c>
      <c r="HF24" s="9">
        <v>0</v>
      </c>
      <c r="HG24" s="9">
        <v>0</v>
      </c>
      <c r="HH24" s="9">
        <v>0</v>
      </c>
      <c r="HI24" s="9">
        <v>0</v>
      </c>
      <c r="HJ24" s="9">
        <v>0</v>
      </c>
      <c r="HK24" s="9">
        <v>0</v>
      </c>
      <c r="HL24" s="9">
        <v>0</v>
      </c>
      <c r="HM24" s="9">
        <v>0</v>
      </c>
      <c r="HN24" s="9">
        <v>0</v>
      </c>
      <c r="HO24" s="9">
        <v>0</v>
      </c>
      <c r="HP24" s="9">
        <v>0</v>
      </c>
      <c r="HQ24" s="9">
        <v>0</v>
      </c>
      <c r="HR24" s="9">
        <v>0</v>
      </c>
      <c r="HS24" s="9">
        <v>0</v>
      </c>
      <c r="HT24" s="9">
        <v>0</v>
      </c>
      <c r="HU24" s="9">
        <v>0</v>
      </c>
      <c r="HV24" s="9">
        <v>0</v>
      </c>
      <c r="HW24" s="9">
        <v>0</v>
      </c>
      <c r="HX24" s="9">
        <v>0</v>
      </c>
      <c r="HY24" s="9">
        <v>0</v>
      </c>
      <c r="HZ24" s="9">
        <v>0</v>
      </c>
      <c r="IA24" s="9">
        <v>0</v>
      </c>
      <c r="IB24" s="9">
        <v>0</v>
      </c>
      <c r="IC24" s="9">
        <v>0</v>
      </c>
      <c r="ID24" s="9">
        <v>0</v>
      </c>
      <c r="IE24" s="9">
        <v>0</v>
      </c>
      <c r="IF24" s="9">
        <v>0</v>
      </c>
      <c r="IG24" s="9">
        <v>0</v>
      </c>
      <c r="IH24" s="9">
        <v>0</v>
      </c>
      <c r="II24" s="9">
        <v>0</v>
      </c>
      <c r="IJ24" s="9">
        <v>0</v>
      </c>
      <c r="IK24" s="9">
        <v>0</v>
      </c>
      <c r="IL24" s="9">
        <v>0</v>
      </c>
      <c r="IM24" s="9">
        <v>0</v>
      </c>
      <c r="IN24" s="9">
        <v>0</v>
      </c>
      <c r="IO24" s="9">
        <v>0</v>
      </c>
      <c r="IP24" s="9">
        <v>0</v>
      </c>
      <c r="IQ24" s="9">
        <v>0</v>
      </c>
      <c r="IR24" s="9">
        <v>0</v>
      </c>
      <c r="IS24" s="9">
        <v>0</v>
      </c>
      <c r="IT24" s="9">
        <v>0</v>
      </c>
      <c r="IU24" s="9">
        <v>0</v>
      </c>
      <c r="IV24" s="9">
        <v>0</v>
      </c>
      <c r="IW24" s="9">
        <v>0</v>
      </c>
      <c r="IX24" s="9">
        <v>0</v>
      </c>
      <c r="IY24" s="9">
        <v>0</v>
      </c>
      <c r="IZ24" s="9">
        <v>0</v>
      </c>
      <c r="JA24" s="9">
        <v>0</v>
      </c>
      <c r="JB24" s="9">
        <v>0</v>
      </c>
      <c r="JC24" s="9">
        <v>0</v>
      </c>
      <c r="JD24" s="9">
        <v>0</v>
      </c>
      <c r="JE24" s="9">
        <v>0</v>
      </c>
      <c r="JF24" s="9">
        <v>0</v>
      </c>
      <c r="JG24" s="9">
        <v>0</v>
      </c>
      <c r="JH24" s="9">
        <v>0</v>
      </c>
      <c r="JI24" s="9">
        <v>0</v>
      </c>
      <c r="JJ24" s="9">
        <v>0</v>
      </c>
      <c r="JK24" s="9">
        <v>0</v>
      </c>
      <c r="JL24" s="9">
        <v>0</v>
      </c>
      <c r="JM24" s="9">
        <v>0</v>
      </c>
      <c r="JN24" s="9">
        <v>36832</v>
      </c>
      <c r="JO24" s="9">
        <v>0</v>
      </c>
      <c r="JP24" s="9">
        <v>0</v>
      </c>
      <c r="JQ24" s="9">
        <v>0</v>
      </c>
      <c r="JR24" s="9">
        <v>0</v>
      </c>
      <c r="JS24" s="9">
        <v>0</v>
      </c>
      <c r="JT24" s="9">
        <v>0</v>
      </c>
      <c r="JU24" s="9">
        <v>0</v>
      </c>
      <c r="JV24" s="9">
        <v>0</v>
      </c>
      <c r="JW24" s="9">
        <v>0</v>
      </c>
      <c r="JX24" s="9">
        <v>0</v>
      </c>
      <c r="JY24" s="9">
        <v>0</v>
      </c>
      <c r="JZ24" s="9">
        <v>0</v>
      </c>
      <c r="KA24" s="9">
        <v>0</v>
      </c>
      <c r="KB24" s="9">
        <v>0</v>
      </c>
      <c r="KC24" s="9">
        <v>0</v>
      </c>
      <c r="KD24" s="9">
        <v>0</v>
      </c>
      <c r="KE24" s="9">
        <v>0</v>
      </c>
      <c r="KF24" s="9">
        <v>0</v>
      </c>
      <c r="KG24" s="9">
        <v>0</v>
      </c>
      <c r="KH24" s="9">
        <v>0</v>
      </c>
      <c r="KI24" s="9">
        <v>0</v>
      </c>
    </row>
    <row r="25" spans="1:295" x14ac:dyDescent="0.25">
      <c r="A25" s="9">
        <v>15834</v>
      </c>
      <c r="B25" s="9">
        <v>36871</v>
      </c>
      <c r="C25" s="9">
        <v>35</v>
      </c>
      <c r="D25" s="9">
        <v>2023</v>
      </c>
      <c r="E25" s="9">
        <v>5392</v>
      </c>
      <c r="F25" s="9">
        <v>0</v>
      </c>
      <c r="G25" s="9">
        <v>0</v>
      </c>
      <c r="H25" s="9">
        <v>2883.6350000000002</v>
      </c>
      <c r="I25" s="9">
        <v>2883.6350000000002</v>
      </c>
      <c r="J25" s="9">
        <v>2899.8160000000003</v>
      </c>
      <c r="K25" s="9">
        <v>0</v>
      </c>
      <c r="L25" s="9">
        <v>6547</v>
      </c>
      <c r="M25" s="9">
        <v>0</v>
      </c>
      <c r="N25" s="9">
        <v>0</v>
      </c>
      <c r="O25" s="9">
        <v>0</v>
      </c>
      <c r="P25" s="9">
        <v>2444.9949999999999</v>
      </c>
      <c r="Q25" s="9">
        <v>0</v>
      </c>
      <c r="R25" s="9">
        <v>1190522</v>
      </c>
      <c r="S25" s="9">
        <v>486.92200000000003</v>
      </c>
      <c r="T25" s="9">
        <v>0</v>
      </c>
      <c r="U25" s="9">
        <v>1190522</v>
      </c>
      <c r="V25" s="9">
        <v>355.44800000000004</v>
      </c>
      <c r="W25" s="9">
        <v>232712</v>
      </c>
      <c r="X25" s="9">
        <v>232712</v>
      </c>
      <c r="Y25" s="9">
        <v>0</v>
      </c>
      <c r="Z25" s="9">
        <v>0</v>
      </c>
      <c r="AA25" s="9">
        <v>1</v>
      </c>
      <c r="AB25" s="9">
        <v>1</v>
      </c>
      <c r="AC25" s="9">
        <v>0</v>
      </c>
      <c r="AD25" s="9" t="s">
        <v>314</v>
      </c>
      <c r="AE25" s="9">
        <v>0</v>
      </c>
      <c r="AF25" s="9">
        <v>0</v>
      </c>
      <c r="AG25" s="9">
        <v>0</v>
      </c>
      <c r="AH25" s="9">
        <v>0</v>
      </c>
      <c r="AI25" s="9">
        <v>0</v>
      </c>
      <c r="AJ25" s="9">
        <v>5104</v>
      </c>
      <c r="AK25" s="9" t="s">
        <v>651</v>
      </c>
      <c r="AL25" s="9" t="s">
        <v>317</v>
      </c>
      <c r="AM25" s="9">
        <v>0</v>
      </c>
      <c r="AN25" s="9">
        <v>0</v>
      </c>
      <c r="AO25" s="9">
        <v>0</v>
      </c>
      <c r="AP25" s="9">
        <v>0</v>
      </c>
      <c r="AQ25" s="9">
        <v>0</v>
      </c>
      <c r="AR25" s="9">
        <v>0</v>
      </c>
      <c r="AS25" s="9">
        <v>0</v>
      </c>
      <c r="AT25" s="9">
        <v>0</v>
      </c>
      <c r="AU25" s="9">
        <v>0</v>
      </c>
      <c r="AV25" s="9">
        <v>-429727</v>
      </c>
      <c r="AW25" s="9">
        <v>22783401</v>
      </c>
      <c r="AX25" s="9">
        <v>21960915</v>
      </c>
      <c r="AY25" s="9">
        <v>24232765</v>
      </c>
      <c r="AZ25" s="9">
        <v>1501808</v>
      </c>
      <c r="BA25" s="9">
        <v>0</v>
      </c>
      <c r="BB25" s="9">
        <v>0</v>
      </c>
      <c r="BC25" s="9">
        <v>0</v>
      </c>
      <c r="BD25" s="9">
        <v>0</v>
      </c>
      <c r="BE25" s="9">
        <v>0</v>
      </c>
      <c r="BF25" s="9">
        <v>19053014</v>
      </c>
      <c r="BG25" s="9">
        <v>0</v>
      </c>
      <c r="BH25" s="9">
        <v>357.78100000000001</v>
      </c>
      <c r="BI25" s="9">
        <v>98390</v>
      </c>
      <c r="BJ25" s="9">
        <v>12</v>
      </c>
      <c r="BK25" s="9">
        <v>0</v>
      </c>
      <c r="BL25" s="9">
        <v>0</v>
      </c>
      <c r="BM25" s="9">
        <v>0</v>
      </c>
      <c r="BN25" s="9">
        <v>0</v>
      </c>
      <c r="BO25" s="9">
        <v>0</v>
      </c>
      <c r="BP25" s="9">
        <v>0</v>
      </c>
      <c r="BQ25" s="9">
        <v>5392</v>
      </c>
      <c r="BR25" s="9">
        <v>1</v>
      </c>
      <c r="BS25" s="9">
        <v>0</v>
      </c>
      <c r="BT25" s="9">
        <v>0</v>
      </c>
      <c r="BU25" s="9">
        <v>0</v>
      </c>
      <c r="BV25" s="9">
        <v>0</v>
      </c>
      <c r="BW25" s="9">
        <v>0</v>
      </c>
      <c r="BX25" s="9">
        <v>0</v>
      </c>
      <c r="BY25" s="9">
        <v>0</v>
      </c>
      <c r="BZ25" s="9">
        <v>0</v>
      </c>
      <c r="CA25" s="9">
        <v>212.89600000000002</v>
      </c>
      <c r="CB25" s="9">
        <v>212896</v>
      </c>
      <c r="CC25" s="9">
        <v>0</v>
      </c>
      <c r="CD25" s="9">
        <v>0</v>
      </c>
      <c r="CE25" s="9">
        <v>0</v>
      </c>
      <c r="CF25" s="9">
        <v>0</v>
      </c>
      <c r="CG25" s="9">
        <v>0</v>
      </c>
      <c r="CH25" s="9">
        <v>511200</v>
      </c>
      <c r="CI25" s="9">
        <v>0</v>
      </c>
      <c r="CJ25" s="9">
        <v>5</v>
      </c>
      <c r="CK25" s="9">
        <v>0</v>
      </c>
      <c r="CL25" s="9">
        <v>0</v>
      </c>
      <c r="CM25" s="9">
        <v>0</v>
      </c>
      <c r="CN25" s="9">
        <v>0</v>
      </c>
      <c r="CO25" s="9">
        <v>0</v>
      </c>
      <c r="CP25" s="9">
        <v>0</v>
      </c>
      <c r="CQ25" s="9">
        <v>0</v>
      </c>
      <c r="CR25" s="9">
        <v>2444.9949999999999</v>
      </c>
      <c r="CS25" s="9">
        <v>0</v>
      </c>
      <c r="CT25" s="9">
        <v>0</v>
      </c>
      <c r="CU25" s="9">
        <v>0</v>
      </c>
      <c r="CV25" s="9">
        <v>0</v>
      </c>
      <c r="CW25" s="9">
        <v>0</v>
      </c>
      <c r="CX25" s="9">
        <v>0</v>
      </c>
      <c r="CY25" s="9">
        <v>0</v>
      </c>
      <c r="CZ25" s="9">
        <v>0</v>
      </c>
      <c r="DA25" s="9">
        <v>1</v>
      </c>
      <c r="DB25" s="9">
        <v>18879158</v>
      </c>
      <c r="DC25" s="9">
        <v>0</v>
      </c>
      <c r="DD25" s="9">
        <v>0</v>
      </c>
      <c r="DE25" s="9">
        <v>0</v>
      </c>
      <c r="DF25" s="9">
        <v>0</v>
      </c>
      <c r="DG25" s="9">
        <v>0</v>
      </c>
      <c r="DH25" s="9">
        <v>0</v>
      </c>
      <c r="DI25" s="9">
        <v>0</v>
      </c>
      <c r="DJ25" s="9">
        <v>0</v>
      </c>
      <c r="DK25" s="9">
        <v>5392</v>
      </c>
      <c r="DL25" s="9">
        <v>0</v>
      </c>
      <c r="DM25" s="9">
        <v>464459</v>
      </c>
      <c r="DN25" s="9">
        <v>0</v>
      </c>
      <c r="DO25" s="9">
        <v>0</v>
      </c>
      <c r="DP25" s="9">
        <v>0</v>
      </c>
      <c r="DQ25" s="9">
        <v>0</v>
      </c>
      <c r="DR25" s="9">
        <v>0</v>
      </c>
      <c r="DS25" s="9">
        <v>0</v>
      </c>
      <c r="DT25" s="9">
        <v>0</v>
      </c>
      <c r="DU25" s="9">
        <v>0</v>
      </c>
      <c r="DV25" s="9">
        <v>0</v>
      </c>
      <c r="DW25" s="9">
        <v>0</v>
      </c>
      <c r="DX25" s="9">
        <v>0</v>
      </c>
      <c r="DY25" s="9">
        <v>0</v>
      </c>
      <c r="DZ25" s="9">
        <v>0</v>
      </c>
      <c r="EA25" s="9">
        <v>0</v>
      </c>
      <c r="EB25" s="9">
        <v>0</v>
      </c>
      <c r="EC25" s="9">
        <v>16.143000000000001</v>
      </c>
      <c r="ED25" s="9">
        <v>116257</v>
      </c>
      <c r="EE25" s="9">
        <v>0</v>
      </c>
      <c r="EF25" s="9">
        <v>0</v>
      </c>
      <c r="EG25" s="9">
        <v>0</v>
      </c>
      <c r="EH25" s="9">
        <v>348202</v>
      </c>
      <c r="EI25" s="9">
        <v>0</v>
      </c>
      <c r="EJ25" s="9">
        <v>0</v>
      </c>
      <c r="EK25" s="9">
        <v>13.86</v>
      </c>
      <c r="EL25" s="9">
        <v>0</v>
      </c>
      <c r="EM25" s="9">
        <v>0</v>
      </c>
      <c r="EN25" s="9">
        <v>2.3210000000000002</v>
      </c>
      <c r="EO25" s="9">
        <v>0</v>
      </c>
      <c r="EP25" s="9">
        <v>0</v>
      </c>
      <c r="EQ25" s="9">
        <v>16.181000000000001</v>
      </c>
      <c r="ER25" s="9">
        <v>0</v>
      </c>
      <c r="ES25" s="9">
        <v>53.185000000000002</v>
      </c>
      <c r="ET25" s="9">
        <v>0</v>
      </c>
      <c r="EU25" s="9">
        <v>1501808</v>
      </c>
      <c r="EV25" s="9">
        <v>0</v>
      </c>
      <c r="EW25" s="9">
        <v>0</v>
      </c>
      <c r="EX25" s="9">
        <v>0</v>
      </c>
      <c r="EY25" s="9">
        <v>0</v>
      </c>
      <c r="EZ25" s="9">
        <v>18385807</v>
      </c>
      <c r="FA25" s="9">
        <v>0</v>
      </c>
      <c r="FB25" s="9">
        <v>19887615</v>
      </c>
      <c r="FC25" s="9">
        <v>0.97326799999999991</v>
      </c>
      <c r="FD25" s="9">
        <v>0</v>
      </c>
      <c r="FE25" s="9">
        <v>2947450</v>
      </c>
      <c r="FF25" s="9">
        <v>627658</v>
      </c>
      <c r="FG25" s="9">
        <v>5.8088000000000001E-2</v>
      </c>
      <c r="FH25" s="9">
        <v>5.2622999999999996E-2</v>
      </c>
      <c r="FI25" s="9">
        <v>0</v>
      </c>
      <c r="FJ25" s="9">
        <v>0</v>
      </c>
      <c r="FK25" s="9">
        <v>3733.1610000000001</v>
      </c>
      <c r="FL25" s="9">
        <v>23973923</v>
      </c>
      <c r="FM25" s="9">
        <v>0</v>
      </c>
      <c r="FN25" s="9">
        <v>0</v>
      </c>
      <c r="FO25" s="9">
        <v>0</v>
      </c>
      <c r="FP25" s="9">
        <v>0</v>
      </c>
      <c r="FQ25" s="9">
        <v>0</v>
      </c>
      <c r="FR25" s="9">
        <v>0</v>
      </c>
      <c r="FS25" s="9">
        <v>0</v>
      </c>
      <c r="FT25" s="9">
        <v>0</v>
      </c>
      <c r="FU25" s="9">
        <v>0</v>
      </c>
      <c r="FV25" s="9">
        <v>0</v>
      </c>
      <c r="FW25" s="9">
        <v>0</v>
      </c>
      <c r="FX25" s="9">
        <v>0</v>
      </c>
      <c r="FY25" s="9">
        <v>0</v>
      </c>
      <c r="FZ25" s="9">
        <v>0</v>
      </c>
      <c r="GA25" s="9">
        <v>0</v>
      </c>
      <c r="GB25" s="9">
        <v>0</v>
      </c>
      <c r="GC25" s="9">
        <v>0</v>
      </c>
      <c r="GD25" s="9">
        <v>0</v>
      </c>
      <c r="GE25" s="9">
        <v>0</v>
      </c>
      <c r="GF25" s="9">
        <v>0</v>
      </c>
      <c r="GG25" s="9">
        <v>0</v>
      </c>
      <c r="GH25" s="9">
        <v>0</v>
      </c>
      <c r="GI25" s="9">
        <v>0</v>
      </c>
      <c r="GJ25" s="9">
        <v>0</v>
      </c>
      <c r="GK25" s="9">
        <v>4971</v>
      </c>
      <c r="GL25" s="9">
        <v>0</v>
      </c>
      <c r="GM25" s="9">
        <v>0</v>
      </c>
      <c r="GN25" s="9">
        <v>0</v>
      </c>
      <c r="GO25" s="9">
        <v>0</v>
      </c>
      <c r="GP25" s="9">
        <v>23462723</v>
      </c>
      <c r="GQ25" s="9">
        <v>23462723</v>
      </c>
      <c r="GR25" s="9">
        <v>0</v>
      </c>
      <c r="GS25" s="9">
        <v>0</v>
      </c>
      <c r="GT25" s="9">
        <v>0</v>
      </c>
      <c r="GU25" s="9">
        <v>0</v>
      </c>
      <c r="GV25" s="9">
        <v>0</v>
      </c>
      <c r="GW25" s="9">
        <v>0</v>
      </c>
      <c r="GX25" s="9">
        <v>0</v>
      </c>
      <c r="GY25" s="9">
        <v>0</v>
      </c>
      <c r="GZ25" s="9">
        <v>0</v>
      </c>
      <c r="HA25" s="9">
        <v>0</v>
      </c>
      <c r="HB25" s="9">
        <v>300501363</v>
      </c>
      <c r="HC25" s="9">
        <v>4.4742999999999998E-2</v>
      </c>
      <c r="HD25" s="9">
        <v>511200</v>
      </c>
      <c r="HE25" s="9">
        <v>0</v>
      </c>
      <c r="HF25" s="9">
        <v>0</v>
      </c>
      <c r="HG25" s="9">
        <v>0</v>
      </c>
      <c r="HH25" s="9">
        <v>0</v>
      </c>
      <c r="HI25" s="9">
        <v>0</v>
      </c>
      <c r="HJ25" s="9">
        <v>0</v>
      </c>
      <c r="HK25" s="9">
        <v>0</v>
      </c>
      <c r="HL25" s="9">
        <v>0</v>
      </c>
      <c r="HM25" s="9">
        <v>0</v>
      </c>
      <c r="HN25" s="9">
        <v>0</v>
      </c>
      <c r="HO25" s="9">
        <v>0</v>
      </c>
      <c r="HP25" s="9">
        <v>0</v>
      </c>
      <c r="HQ25" s="9">
        <v>0</v>
      </c>
      <c r="HR25" s="9">
        <v>0</v>
      </c>
      <c r="HS25" s="9">
        <v>0</v>
      </c>
      <c r="HT25" s="9">
        <v>0</v>
      </c>
      <c r="HU25" s="9">
        <v>0</v>
      </c>
      <c r="HV25" s="9">
        <v>0</v>
      </c>
      <c r="HW25" s="9">
        <v>0</v>
      </c>
      <c r="HX25" s="9">
        <v>0</v>
      </c>
      <c r="HY25" s="9">
        <v>0</v>
      </c>
      <c r="HZ25" s="9">
        <v>0</v>
      </c>
      <c r="IA25" s="9">
        <v>0</v>
      </c>
      <c r="IB25" s="9">
        <v>0</v>
      </c>
      <c r="IC25" s="9">
        <v>0</v>
      </c>
      <c r="ID25" s="9">
        <v>0</v>
      </c>
      <c r="IE25" s="9">
        <v>0</v>
      </c>
      <c r="IF25" s="9">
        <v>0</v>
      </c>
      <c r="IG25" s="9">
        <v>0</v>
      </c>
      <c r="IH25" s="9">
        <v>0</v>
      </c>
      <c r="II25" s="9">
        <v>0</v>
      </c>
      <c r="IJ25" s="9">
        <v>0</v>
      </c>
      <c r="IK25" s="9">
        <v>0</v>
      </c>
      <c r="IL25" s="9">
        <v>0</v>
      </c>
      <c r="IM25" s="9">
        <v>0</v>
      </c>
      <c r="IN25" s="9">
        <v>0</v>
      </c>
      <c r="IO25" s="9">
        <v>0</v>
      </c>
      <c r="IP25" s="9">
        <v>0</v>
      </c>
      <c r="IQ25" s="9">
        <v>0</v>
      </c>
      <c r="IR25" s="9">
        <v>0</v>
      </c>
      <c r="IS25" s="9">
        <v>0</v>
      </c>
      <c r="IT25" s="9">
        <v>0</v>
      </c>
      <c r="IU25" s="9">
        <v>0</v>
      </c>
      <c r="IV25" s="9">
        <v>0</v>
      </c>
      <c r="IW25" s="9">
        <v>0</v>
      </c>
      <c r="IX25" s="9">
        <v>0</v>
      </c>
      <c r="IY25" s="9">
        <v>0</v>
      </c>
      <c r="IZ25" s="9">
        <v>0</v>
      </c>
      <c r="JA25" s="9">
        <v>0</v>
      </c>
      <c r="JB25" s="9">
        <v>0</v>
      </c>
      <c r="JC25" s="9">
        <v>0</v>
      </c>
      <c r="JD25" s="9">
        <v>0</v>
      </c>
      <c r="JE25" s="9">
        <v>0</v>
      </c>
      <c r="JF25" s="9">
        <v>0</v>
      </c>
      <c r="JG25" s="9">
        <v>0</v>
      </c>
      <c r="JH25" s="9">
        <v>0</v>
      </c>
      <c r="JI25" s="9">
        <v>0</v>
      </c>
      <c r="JJ25" s="9">
        <v>0</v>
      </c>
      <c r="JK25" s="9">
        <v>0</v>
      </c>
      <c r="JL25" s="9">
        <v>0</v>
      </c>
      <c r="JM25" s="9">
        <v>0</v>
      </c>
      <c r="JN25" s="9">
        <v>36832</v>
      </c>
      <c r="JO25" s="9">
        <v>0</v>
      </c>
      <c r="JP25" s="9">
        <v>0</v>
      </c>
      <c r="JQ25" s="9">
        <v>0</v>
      </c>
      <c r="JR25" s="9">
        <v>0</v>
      </c>
      <c r="JS25" s="9">
        <v>0</v>
      </c>
      <c r="JT25" s="9">
        <v>0</v>
      </c>
      <c r="JU25" s="9">
        <v>0</v>
      </c>
      <c r="JV25" s="9">
        <v>0</v>
      </c>
      <c r="JW25" s="9">
        <v>0</v>
      </c>
      <c r="JX25" s="9">
        <v>0</v>
      </c>
      <c r="JY25" s="9">
        <v>0</v>
      </c>
      <c r="JZ25" s="9">
        <v>0</v>
      </c>
      <c r="KA25" s="9">
        <v>0</v>
      </c>
      <c r="KB25" s="9">
        <v>0</v>
      </c>
      <c r="KC25" s="9">
        <v>0</v>
      </c>
      <c r="KD25" s="9">
        <v>0</v>
      </c>
      <c r="KE25" s="9">
        <v>0</v>
      </c>
      <c r="KF25" s="9">
        <v>0</v>
      </c>
      <c r="KG25" s="9">
        <v>0</v>
      </c>
      <c r="KH25" s="9">
        <v>0</v>
      </c>
      <c r="KI25" s="9">
        <v>0</v>
      </c>
    </row>
    <row r="26" spans="1:295" ht="13" x14ac:dyDescent="0.3">
      <c r="A26" s="9">
        <v>15835</v>
      </c>
      <c r="B26" s="9">
        <v>36871</v>
      </c>
      <c r="C26" s="9">
        <v>35</v>
      </c>
      <c r="D26" s="9">
        <v>2023</v>
      </c>
      <c r="E26" s="9">
        <v>5392</v>
      </c>
      <c r="F26" s="9">
        <v>0</v>
      </c>
      <c r="G26" s="9">
        <v>0</v>
      </c>
      <c r="H26" s="9">
        <v>6264.9930000000004</v>
      </c>
      <c r="I26" s="9">
        <v>6264.9930000000004</v>
      </c>
      <c r="J26" s="9">
        <v>6428.8280000000004</v>
      </c>
      <c r="K26" s="9">
        <v>0</v>
      </c>
      <c r="L26" s="9">
        <v>6547</v>
      </c>
      <c r="M26" s="9">
        <v>0</v>
      </c>
      <c r="N26" s="9">
        <v>0</v>
      </c>
      <c r="O26" s="9">
        <v>0</v>
      </c>
      <c r="P26" s="9">
        <v>4610.0110000000004</v>
      </c>
      <c r="Q26" s="9">
        <v>0</v>
      </c>
      <c r="R26" s="10">
        <v>2244716</v>
      </c>
      <c r="S26" s="9">
        <v>486.92200000000003</v>
      </c>
      <c r="T26" s="9">
        <v>0</v>
      </c>
      <c r="U26" s="10">
        <v>2244716</v>
      </c>
      <c r="V26" s="10">
        <v>410.488</v>
      </c>
      <c r="W26" s="10">
        <v>268746</v>
      </c>
      <c r="X26" s="10">
        <v>268746</v>
      </c>
      <c r="Y26" s="9">
        <v>0</v>
      </c>
      <c r="Z26" s="9">
        <v>0</v>
      </c>
      <c r="AA26" s="9">
        <v>1</v>
      </c>
      <c r="AB26" s="9">
        <v>1</v>
      </c>
      <c r="AC26" s="9">
        <v>0</v>
      </c>
      <c r="AD26" s="9" t="s">
        <v>314</v>
      </c>
      <c r="AE26" s="9">
        <v>0</v>
      </c>
      <c r="AF26" s="9">
        <v>0</v>
      </c>
      <c r="AG26" s="9">
        <v>0</v>
      </c>
      <c r="AH26" s="9">
        <v>0</v>
      </c>
      <c r="AI26" s="9">
        <v>0</v>
      </c>
      <c r="AJ26" s="9">
        <v>5104</v>
      </c>
      <c r="AK26" s="9" t="s">
        <v>651</v>
      </c>
      <c r="AL26" s="9" t="s">
        <v>318</v>
      </c>
      <c r="AM26" s="9">
        <v>0</v>
      </c>
      <c r="AN26" s="9">
        <v>0</v>
      </c>
      <c r="AO26" s="9">
        <v>0</v>
      </c>
      <c r="AP26" s="9">
        <v>0</v>
      </c>
      <c r="AQ26" s="9">
        <v>0</v>
      </c>
      <c r="AR26" s="9">
        <v>0</v>
      </c>
      <c r="AS26" s="9">
        <v>0</v>
      </c>
      <c r="AT26" s="9">
        <v>0</v>
      </c>
      <c r="AU26" s="9">
        <v>0</v>
      </c>
      <c r="AV26" s="9">
        <v>-808</v>
      </c>
      <c r="AW26" s="9">
        <v>55423521</v>
      </c>
      <c r="AX26" s="9">
        <v>52403936</v>
      </c>
      <c r="AY26" s="9">
        <v>59044489</v>
      </c>
      <c r="AZ26" s="9">
        <v>4130982</v>
      </c>
      <c r="BA26" s="10">
        <v>0</v>
      </c>
      <c r="BB26" s="9">
        <v>0</v>
      </c>
      <c r="BC26" s="9">
        <v>0</v>
      </c>
      <c r="BD26" s="9">
        <v>0</v>
      </c>
      <c r="BE26" s="9">
        <v>0</v>
      </c>
      <c r="BF26" s="9">
        <v>44974380</v>
      </c>
      <c r="BG26" s="9">
        <v>0</v>
      </c>
      <c r="BH26" s="10">
        <v>672.90200000000004</v>
      </c>
      <c r="BI26" s="10">
        <v>185048</v>
      </c>
      <c r="BJ26" s="9">
        <v>12</v>
      </c>
      <c r="BK26" s="9">
        <v>0</v>
      </c>
      <c r="BL26" s="9">
        <v>0</v>
      </c>
      <c r="BM26" s="9">
        <v>0</v>
      </c>
      <c r="BN26" s="9">
        <v>0</v>
      </c>
      <c r="BO26" s="9">
        <v>0</v>
      </c>
      <c r="BP26" s="9">
        <v>0</v>
      </c>
      <c r="BQ26" s="9">
        <v>5392</v>
      </c>
      <c r="BR26" s="9">
        <v>1</v>
      </c>
      <c r="BS26" s="9">
        <v>0</v>
      </c>
      <c r="BT26" s="9">
        <v>0</v>
      </c>
      <c r="BU26" s="9">
        <v>0</v>
      </c>
      <c r="BV26" s="9">
        <v>0</v>
      </c>
      <c r="BW26" s="9">
        <v>0</v>
      </c>
      <c r="BX26" s="9">
        <v>0</v>
      </c>
      <c r="BY26" s="9">
        <v>0</v>
      </c>
      <c r="BZ26" s="9">
        <v>0</v>
      </c>
      <c r="CA26" s="9">
        <v>1701.2180000000001</v>
      </c>
      <c r="CB26" s="9">
        <v>1701218</v>
      </c>
      <c r="CC26" s="9">
        <v>0</v>
      </c>
      <c r="CD26" s="9">
        <v>0</v>
      </c>
      <c r="CE26" s="9">
        <v>0</v>
      </c>
      <c r="CF26" s="9">
        <v>0</v>
      </c>
      <c r="CG26" s="9">
        <v>0</v>
      </c>
      <c r="CH26" s="10">
        <v>1133319</v>
      </c>
      <c r="CI26" s="9">
        <v>0</v>
      </c>
      <c r="CJ26" s="9">
        <v>4</v>
      </c>
      <c r="CK26" s="9">
        <v>0</v>
      </c>
      <c r="CL26" s="9">
        <v>0</v>
      </c>
      <c r="CM26" s="9">
        <v>0</v>
      </c>
      <c r="CN26" s="9">
        <v>0</v>
      </c>
      <c r="CO26" s="9">
        <v>0</v>
      </c>
      <c r="CP26" s="9">
        <v>0</v>
      </c>
      <c r="CQ26" s="9">
        <v>0</v>
      </c>
      <c r="CR26" s="9">
        <v>4583.6370000000006</v>
      </c>
      <c r="CS26" s="9">
        <v>0</v>
      </c>
      <c r="CT26" s="9">
        <v>0</v>
      </c>
      <c r="CU26" s="9">
        <v>0</v>
      </c>
      <c r="CV26" s="9">
        <v>0</v>
      </c>
      <c r="CW26" s="9">
        <v>0</v>
      </c>
      <c r="CX26" s="9">
        <v>0</v>
      </c>
      <c r="CY26" s="9">
        <v>0</v>
      </c>
      <c r="CZ26" s="9">
        <v>0</v>
      </c>
      <c r="DA26" s="9">
        <v>1</v>
      </c>
      <c r="DB26" s="9">
        <v>41016909</v>
      </c>
      <c r="DC26" s="9">
        <v>0</v>
      </c>
      <c r="DD26" s="9">
        <v>0</v>
      </c>
      <c r="DE26" s="9">
        <v>1411533</v>
      </c>
      <c r="DF26" s="9">
        <v>1411533</v>
      </c>
      <c r="DG26" s="9">
        <v>1078</v>
      </c>
      <c r="DH26" s="9">
        <v>0</v>
      </c>
      <c r="DI26" s="9">
        <v>0</v>
      </c>
      <c r="DJ26" s="9">
        <v>0</v>
      </c>
      <c r="DK26" s="9">
        <v>5392</v>
      </c>
      <c r="DL26" s="9">
        <v>0</v>
      </c>
      <c r="DM26" s="9">
        <v>3370038</v>
      </c>
      <c r="DN26" s="9">
        <v>0</v>
      </c>
      <c r="DO26" s="9">
        <v>0</v>
      </c>
      <c r="DP26" s="9">
        <v>0</v>
      </c>
      <c r="DQ26" s="9">
        <v>0</v>
      </c>
      <c r="DR26" s="9">
        <v>0</v>
      </c>
      <c r="DS26" s="9">
        <v>0</v>
      </c>
      <c r="DT26" s="9">
        <v>0</v>
      </c>
      <c r="DU26" s="9">
        <v>0</v>
      </c>
      <c r="DV26" s="9">
        <v>0</v>
      </c>
      <c r="DW26" s="9">
        <v>0</v>
      </c>
      <c r="DX26" s="9">
        <v>0</v>
      </c>
      <c r="DY26" s="9">
        <v>0</v>
      </c>
      <c r="DZ26" s="9">
        <v>0</v>
      </c>
      <c r="EA26" s="9">
        <v>0</v>
      </c>
      <c r="EB26" s="9">
        <v>0</v>
      </c>
      <c r="EC26" s="9">
        <v>43.981999999999999</v>
      </c>
      <c r="ED26" s="9">
        <v>316745</v>
      </c>
      <c r="EE26" s="9">
        <v>0</v>
      </c>
      <c r="EF26" s="9">
        <v>0</v>
      </c>
      <c r="EG26" s="9">
        <v>0</v>
      </c>
      <c r="EH26" s="9">
        <v>3053293</v>
      </c>
      <c r="EI26" s="9">
        <v>0</v>
      </c>
      <c r="EJ26" s="9">
        <v>0</v>
      </c>
      <c r="EK26" s="9">
        <v>116.01700000000001</v>
      </c>
      <c r="EL26" s="9">
        <v>0</v>
      </c>
      <c r="EM26" s="9">
        <v>19.96</v>
      </c>
      <c r="EN26" s="9">
        <v>11.639000000000001</v>
      </c>
      <c r="EO26" s="9">
        <v>0</v>
      </c>
      <c r="EP26" s="9">
        <v>0</v>
      </c>
      <c r="EQ26" s="9">
        <v>147.72</v>
      </c>
      <c r="ER26" s="9">
        <v>0.10400000000000001</v>
      </c>
      <c r="ES26" s="9">
        <v>466.36500000000001</v>
      </c>
      <c r="ET26" s="10">
        <v>0</v>
      </c>
      <c r="EU26" s="9">
        <v>4130982</v>
      </c>
      <c r="EV26" s="9">
        <v>0</v>
      </c>
      <c r="EW26" s="9">
        <v>0</v>
      </c>
      <c r="EX26" s="9">
        <v>0</v>
      </c>
      <c r="EY26" s="9">
        <v>0</v>
      </c>
      <c r="EZ26" s="9">
        <v>43964942</v>
      </c>
      <c r="FA26" s="9">
        <v>0</v>
      </c>
      <c r="FB26" s="10">
        <v>48095924</v>
      </c>
      <c r="FC26" s="9">
        <v>0.97326799999999991</v>
      </c>
      <c r="FD26" s="9">
        <v>0</v>
      </c>
      <c r="FE26" s="9">
        <v>6957416</v>
      </c>
      <c r="FF26" s="9">
        <v>1481578</v>
      </c>
      <c r="FG26" s="9">
        <v>5.8088000000000001E-2</v>
      </c>
      <c r="FH26" s="9">
        <v>5.2622999999999996E-2</v>
      </c>
      <c r="FI26" s="9">
        <v>0</v>
      </c>
      <c r="FJ26" s="9">
        <v>0</v>
      </c>
      <c r="FK26" s="9">
        <v>8812.0750000000007</v>
      </c>
      <c r="FL26" s="9">
        <v>57668237</v>
      </c>
      <c r="FM26" s="9">
        <v>0</v>
      </c>
      <c r="FN26" s="9">
        <v>0</v>
      </c>
      <c r="FO26" s="9">
        <v>0</v>
      </c>
      <c r="FP26" s="9">
        <v>0</v>
      </c>
      <c r="FQ26" s="9">
        <v>0</v>
      </c>
      <c r="FR26" s="9">
        <v>0</v>
      </c>
      <c r="FS26" s="9">
        <v>0</v>
      </c>
      <c r="FT26" s="9">
        <v>0</v>
      </c>
      <c r="FU26" s="9">
        <v>0</v>
      </c>
      <c r="FV26" s="9">
        <v>0</v>
      </c>
      <c r="FW26" s="9">
        <v>0</v>
      </c>
      <c r="FX26" s="9">
        <v>0</v>
      </c>
      <c r="FY26" s="9">
        <v>0</v>
      </c>
      <c r="FZ26" s="9">
        <v>0</v>
      </c>
      <c r="GA26" s="9">
        <v>0</v>
      </c>
      <c r="GB26" s="10">
        <v>142432</v>
      </c>
      <c r="GC26" s="10">
        <v>142432</v>
      </c>
      <c r="GD26" s="10">
        <v>16.115000000000002</v>
      </c>
      <c r="GE26" s="9">
        <v>0</v>
      </c>
      <c r="GF26" s="9">
        <v>0</v>
      </c>
      <c r="GG26" s="9">
        <v>0</v>
      </c>
      <c r="GH26" s="9">
        <v>0</v>
      </c>
      <c r="GI26" s="9">
        <v>0</v>
      </c>
      <c r="GJ26" s="9">
        <v>0</v>
      </c>
      <c r="GK26" s="9">
        <v>0</v>
      </c>
      <c r="GL26" s="9">
        <v>0</v>
      </c>
      <c r="GM26" s="9">
        <v>0</v>
      </c>
      <c r="GN26" s="9">
        <v>0</v>
      </c>
      <c r="GO26" s="9">
        <v>0</v>
      </c>
      <c r="GP26" s="9">
        <v>56534918</v>
      </c>
      <c r="GQ26" s="9">
        <v>56534918</v>
      </c>
      <c r="GR26" s="9">
        <v>0</v>
      </c>
      <c r="GS26" s="9">
        <v>0</v>
      </c>
      <c r="GT26" s="9">
        <v>0</v>
      </c>
      <c r="GU26" s="9">
        <v>0</v>
      </c>
      <c r="GV26" s="9">
        <v>0</v>
      </c>
      <c r="GW26" s="9">
        <v>0</v>
      </c>
      <c r="GX26" s="9">
        <v>0</v>
      </c>
      <c r="GY26" s="9">
        <v>0</v>
      </c>
      <c r="GZ26" s="9">
        <v>0</v>
      </c>
      <c r="HA26" s="9">
        <v>0</v>
      </c>
      <c r="HB26" s="9">
        <v>300501363</v>
      </c>
      <c r="HC26" s="9">
        <v>4.4742999999999998E-2</v>
      </c>
      <c r="HD26" s="10">
        <v>1133319</v>
      </c>
      <c r="HE26" s="9">
        <v>0</v>
      </c>
      <c r="HF26" s="9">
        <v>0</v>
      </c>
      <c r="HG26" s="9">
        <v>0</v>
      </c>
      <c r="HH26" s="9">
        <v>0</v>
      </c>
      <c r="HI26" s="9">
        <v>0</v>
      </c>
      <c r="HJ26" s="9">
        <v>0</v>
      </c>
      <c r="HK26" s="9">
        <v>0</v>
      </c>
      <c r="HL26" s="9">
        <v>0</v>
      </c>
      <c r="HM26" s="9">
        <v>0</v>
      </c>
      <c r="HN26" s="9">
        <v>0</v>
      </c>
      <c r="HO26" s="9">
        <v>0</v>
      </c>
      <c r="HP26" s="9">
        <v>0</v>
      </c>
      <c r="HQ26" s="9">
        <v>0</v>
      </c>
      <c r="HR26" s="9">
        <v>0</v>
      </c>
      <c r="HS26" s="9">
        <v>0</v>
      </c>
      <c r="HT26" s="9">
        <v>0</v>
      </c>
      <c r="HU26" s="9">
        <v>0</v>
      </c>
      <c r="HV26" s="9">
        <v>0</v>
      </c>
      <c r="HW26" s="9">
        <v>0</v>
      </c>
      <c r="HX26" s="9">
        <v>0</v>
      </c>
      <c r="HY26" s="9">
        <v>0</v>
      </c>
      <c r="HZ26" s="9">
        <v>0</v>
      </c>
      <c r="IA26" s="9">
        <v>0</v>
      </c>
      <c r="IB26" s="9">
        <v>0</v>
      </c>
      <c r="IC26" s="9">
        <v>0</v>
      </c>
      <c r="ID26" s="9">
        <v>0</v>
      </c>
      <c r="IE26" s="9">
        <v>0</v>
      </c>
      <c r="IF26" s="9">
        <v>0</v>
      </c>
      <c r="IG26" s="9">
        <v>0</v>
      </c>
      <c r="IH26" s="9">
        <v>0</v>
      </c>
      <c r="II26" s="9">
        <v>0</v>
      </c>
      <c r="IJ26" s="9">
        <v>0</v>
      </c>
      <c r="IK26" s="9">
        <v>0</v>
      </c>
      <c r="IL26" s="9">
        <v>0</v>
      </c>
      <c r="IM26" s="9">
        <v>0</v>
      </c>
      <c r="IN26" s="9">
        <v>0</v>
      </c>
      <c r="IO26" s="9">
        <v>0</v>
      </c>
      <c r="IP26" s="9">
        <v>0</v>
      </c>
      <c r="IQ26" s="9">
        <v>0</v>
      </c>
      <c r="IR26" s="9">
        <v>0</v>
      </c>
      <c r="IS26" s="9">
        <v>0</v>
      </c>
      <c r="IT26" s="9">
        <v>0</v>
      </c>
      <c r="IU26" s="9">
        <v>0</v>
      </c>
      <c r="IV26" s="9">
        <v>0</v>
      </c>
      <c r="IW26" s="9">
        <v>0</v>
      </c>
      <c r="IX26" s="9">
        <v>0</v>
      </c>
      <c r="IY26" s="9">
        <v>0</v>
      </c>
      <c r="IZ26" s="9">
        <v>0</v>
      </c>
      <c r="JA26" s="9">
        <v>0</v>
      </c>
      <c r="JB26" s="9">
        <v>0</v>
      </c>
      <c r="JC26" s="9">
        <v>0</v>
      </c>
      <c r="JD26" s="9">
        <v>0</v>
      </c>
      <c r="JE26" s="9">
        <v>0</v>
      </c>
      <c r="JF26" s="9">
        <v>0</v>
      </c>
      <c r="JG26" s="9">
        <v>0</v>
      </c>
      <c r="JH26" s="9">
        <v>0</v>
      </c>
      <c r="JI26" s="9">
        <v>0</v>
      </c>
      <c r="JJ26" s="9">
        <v>0</v>
      </c>
      <c r="JK26" s="9">
        <v>0</v>
      </c>
      <c r="JL26" s="9">
        <v>0</v>
      </c>
      <c r="JM26" s="9">
        <v>0</v>
      </c>
      <c r="JN26" s="9">
        <v>36832</v>
      </c>
      <c r="JO26" s="9">
        <v>0</v>
      </c>
      <c r="JP26" s="9">
        <v>0</v>
      </c>
      <c r="JQ26" s="9">
        <v>0</v>
      </c>
      <c r="JR26" s="9">
        <v>0</v>
      </c>
      <c r="JS26" s="9">
        <v>0</v>
      </c>
      <c r="JT26" s="9">
        <v>0</v>
      </c>
      <c r="JU26" s="9">
        <v>0</v>
      </c>
      <c r="JV26" s="9">
        <v>0</v>
      </c>
      <c r="JW26" s="9">
        <v>0</v>
      </c>
      <c r="JX26" s="9">
        <v>0</v>
      </c>
      <c r="JY26" s="9">
        <v>0</v>
      </c>
      <c r="JZ26" s="9">
        <v>0</v>
      </c>
      <c r="KA26" s="9">
        <v>0</v>
      </c>
      <c r="KB26" s="9">
        <v>0</v>
      </c>
      <c r="KC26" s="9">
        <v>0</v>
      </c>
      <c r="KD26" s="9">
        <v>0</v>
      </c>
      <c r="KE26" s="9">
        <v>0</v>
      </c>
      <c r="KF26" s="9">
        <v>0</v>
      </c>
      <c r="KG26" s="9">
        <v>0</v>
      </c>
      <c r="KH26" s="9">
        <v>0</v>
      </c>
      <c r="KI26" s="9">
        <v>0</v>
      </c>
    </row>
    <row r="27" spans="1:295" x14ac:dyDescent="0.25">
      <c r="A27" s="9">
        <v>15836</v>
      </c>
      <c r="B27" s="9">
        <v>36871</v>
      </c>
      <c r="C27" s="9">
        <v>35</v>
      </c>
      <c r="D27" s="9">
        <v>2023</v>
      </c>
      <c r="E27" s="9">
        <v>5392</v>
      </c>
      <c r="F27" s="9">
        <v>0</v>
      </c>
      <c r="G27" s="9">
        <v>0</v>
      </c>
      <c r="H27" s="9">
        <v>457.37900000000002</v>
      </c>
      <c r="I27" s="9">
        <v>457.37900000000002</v>
      </c>
      <c r="J27" s="9">
        <v>466.20500000000004</v>
      </c>
      <c r="K27" s="9">
        <v>0</v>
      </c>
      <c r="L27" s="9">
        <v>6547</v>
      </c>
      <c r="M27" s="9">
        <v>0</v>
      </c>
      <c r="N27" s="9">
        <v>0</v>
      </c>
      <c r="O27" s="9">
        <v>0</v>
      </c>
      <c r="P27" s="9">
        <v>408.84700000000004</v>
      </c>
      <c r="Q27" s="9">
        <v>0</v>
      </c>
      <c r="R27" s="9">
        <v>199077</v>
      </c>
      <c r="S27" s="9">
        <v>486.92200000000003</v>
      </c>
      <c r="T27" s="9">
        <v>0</v>
      </c>
      <c r="U27" s="9">
        <v>199077</v>
      </c>
      <c r="V27" s="9">
        <v>26.488</v>
      </c>
      <c r="W27" s="9">
        <v>17342</v>
      </c>
      <c r="X27" s="9">
        <v>17342</v>
      </c>
      <c r="Y27" s="9">
        <v>0</v>
      </c>
      <c r="Z27" s="9">
        <v>0</v>
      </c>
      <c r="AA27" s="9">
        <v>1</v>
      </c>
      <c r="AB27" s="9">
        <v>1</v>
      </c>
      <c r="AC27" s="9">
        <v>0</v>
      </c>
      <c r="AD27" s="9" t="s">
        <v>314</v>
      </c>
      <c r="AE27" s="9">
        <v>0</v>
      </c>
      <c r="AF27" s="9">
        <v>0</v>
      </c>
      <c r="AG27" s="9">
        <v>0</v>
      </c>
      <c r="AH27" s="9">
        <v>0</v>
      </c>
      <c r="AI27" s="9">
        <v>0</v>
      </c>
      <c r="AJ27" s="9">
        <v>5104</v>
      </c>
      <c r="AK27" s="9" t="s">
        <v>651</v>
      </c>
      <c r="AL27" s="9" t="s">
        <v>319</v>
      </c>
      <c r="AM27" s="9">
        <v>0</v>
      </c>
      <c r="AN27" s="9">
        <v>0</v>
      </c>
      <c r="AO27" s="9">
        <v>0</v>
      </c>
      <c r="AP27" s="9">
        <v>0</v>
      </c>
      <c r="AQ27" s="9">
        <v>0</v>
      </c>
      <c r="AR27" s="9">
        <v>0</v>
      </c>
      <c r="AS27" s="9">
        <v>0</v>
      </c>
      <c r="AT27" s="9">
        <v>0</v>
      </c>
      <c r="AU27" s="9">
        <v>0</v>
      </c>
      <c r="AV27" s="9">
        <v>-73</v>
      </c>
      <c r="AW27" s="9">
        <v>3835972</v>
      </c>
      <c r="AX27" s="9">
        <v>3753786</v>
      </c>
      <c r="AY27" s="9">
        <v>4068691</v>
      </c>
      <c r="AZ27" s="9">
        <v>199077</v>
      </c>
      <c r="BA27" s="9">
        <v>0</v>
      </c>
      <c r="BB27" s="9">
        <v>0</v>
      </c>
      <c r="BC27" s="9">
        <v>0</v>
      </c>
      <c r="BD27" s="9">
        <v>0</v>
      </c>
      <c r="BE27" s="9">
        <v>0</v>
      </c>
      <c r="BF27" s="9">
        <v>3253100</v>
      </c>
      <c r="BG27" s="9">
        <v>0</v>
      </c>
      <c r="BH27" s="9">
        <v>0</v>
      </c>
      <c r="BI27" s="9">
        <v>0</v>
      </c>
      <c r="BJ27" s="9">
        <v>12</v>
      </c>
      <c r="BK27" s="9">
        <v>0</v>
      </c>
      <c r="BL27" s="9">
        <v>0</v>
      </c>
      <c r="BM27" s="9">
        <v>0</v>
      </c>
      <c r="BN27" s="9">
        <v>0</v>
      </c>
      <c r="BO27" s="9">
        <v>0</v>
      </c>
      <c r="BP27" s="9">
        <v>0</v>
      </c>
      <c r="BQ27" s="9">
        <v>5392</v>
      </c>
      <c r="BR27" s="9">
        <v>1</v>
      </c>
      <c r="BS27" s="9">
        <v>0</v>
      </c>
      <c r="BT27" s="9">
        <v>0</v>
      </c>
      <c r="BU27" s="9">
        <v>0</v>
      </c>
      <c r="BV27" s="9">
        <v>0</v>
      </c>
      <c r="BW27" s="9">
        <v>0</v>
      </c>
      <c r="BX27" s="9">
        <v>0</v>
      </c>
      <c r="BY27" s="9">
        <v>0</v>
      </c>
      <c r="BZ27" s="9">
        <v>0</v>
      </c>
      <c r="CA27" s="9">
        <v>0</v>
      </c>
      <c r="CB27" s="9">
        <v>0</v>
      </c>
      <c r="CC27" s="9">
        <v>0</v>
      </c>
      <c r="CD27" s="9">
        <v>0</v>
      </c>
      <c r="CE27" s="9">
        <v>0</v>
      </c>
      <c r="CF27" s="9">
        <v>0</v>
      </c>
      <c r="CG27" s="9">
        <v>0</v>
      </c>
      <c r="CH27" s="9">
        <v>82186</v>
      </c>
      <c r="CI27" s="9">
        <v>0</v>
      </c>
      <c r="CJ27" s="9">
        <v>4</v>
      </c>
      <c r="CK27" s="9">
        <v>0</v>
      </c>
      <c r="CL27" s="9">
        <v>0</v>
      </c>
      <c r="CM27" s="9">
        <v>0</v>
      </c>
      <c r="CN27" s="9">
        <v>0</v>
      </c>
      <c r="CO27" s="9">
        <v>0</v>
      </c>
      <c r="CP27" s="9">
        <v>0</v>
      </c>
      <c r="CQ27" s="9">
        <v>0</v>
      </c>
      <c r="CR27" s="9">
        <v>408.84700000000004</v>
      </c>
      <c r="CS27" s="9">
        <v>0</v>
      </c>
      <c r="CT27" s="9">
        <v>0</v>
      </c>
      <c r="CU27" s="9">
        <v>0</v>
      </c>
      <c r="CV27" s="9">
        <v>0</v>
      </c>
      <c r="CW27" s="9">
        <v>0</v>
      </c>
      <c r="CX27" s="9">
        <v>0</v>
      </c>
      <c r="CY27" s="9">
        <v>0</v>
      </c>
      <c r="CZ27" s="9">
        <v>0</v>
      </c>
      <c r="DA27" s="9">
        <v>1</v>
      </c>
      <c r="DB27" s="9">
        <v>2994460</v>
      </c>
      <c r="DC27" s="9">
        <v>0</v>
      </c>
      <c r="DD27" s="9">
        <v>0</v>
      </c>
      <c r="DE27" s="9">
        <v>103220</v>
      </c>
      <c r="DF27" s="9">
        <v>103220</v>
      </c>
      <c r="DG27" s="9">
        <v>78.83</v>
      </c>
      <c r="DH27" s="9">
        <v>0</v>
      </c>
      <c r="DI27" s="9">
        <v>0</v>
      </c>
      <c r="DJ27" s="9">
        <v>0</v>
      </c>
      <c r="DK27" s="9">
        <v>5392</v>
      </c>
      <c r="DL27" s="9">
        <v>0</v>
      </c>
      <c r="DM27" s="9">
        <v>227429</v>
      </c>
      <c r="DN27" s="9">
        <v>0</v>
      </c>
      <c r="DO27" s="9">
        <v>0</v>
      </c>
      <c r="DP27" s="9">
        <v>0</v>
      </c>
      <c r="DQ27" s="9">
        <v>0</v>
      </c>
      <c r="DR27" s="9">
        <v>0</v>
      </c>
      <c r="DS27" s="9">
        <v>0</v>
      </c>
      <c r="DT27" s="9">
        <v>0</v>
      </c>
      <c r="DU27" s="9">
        <v>0</v>
      </c>
      <c r="DV27" s="9">
        <v>0</v>
      </c>
      <c r="DW27" s="9">
        <v>0</v>
      </c>
      <c r="DX27" s="9">
        <v>0</v>
      </c>
      <c r="DY27" s="9">
        <v>0</v>
      </c>
      <c r="DZ27" s="9">
        <v>0</v>
      </c>
      <c r="EA27" s="9">
        <v>0</v>
      </c>
      <c r="EB27" s="9">
        <v>0</v>
      </c>
      <c r="EC27" s="9">
        <v>5.9290000000000003</v>
      </c>
      <c r="ED27" s="9">
        <v>42699</v>
      </c>
      <c r="EE27" s="9">
        <v>0</v>
      </c>
      <c r="EF27" s="9">
        <v>0</v>
      </c>
      <c r="EG27" s="9">
        <v>0</v>
      </c>
      <c r="EH27" s="9">
        <v>184730</v>
      </c>
      <c r="EI27" s="9">
        <v>0</v>
      </c>
      <c r="EJ27" s="9">
        <v>0</v>
      </c>
      <c r="EK27" s="9">
        <v>7.68</v>
      </c>
      <c r="EL27" s="9">
        <v>0</v>
      </c>
      <c r="EM27" s="9">
        <v>0.27700000000000002</v>
      </c>
      <c r="EN27" s="9">
        <v>0.86899999999999999</v>
      </c>
      <c r="EO27" s="9">
        <v>0</v>
      </c>
      <c r="EP27" s="9">
        <v>0</v>
      </c>
      <c r="EQ27" s="9">
        <v>8.8260000000000005</v>
      </c>
      <c r="ER27" s="9">
        <v>0</v>
      </c>
      <c r="ES27" s="9">
        <v>28.216000000000001</v>
      </c>
      <c r="ET27" s="9">
        <v>0</v>
      </c>
      <c r="EU27" s="9">
        <v>199077</v>
      </c>
      <c r="EV27" s="9">
        <v>0</v>
      </c>
      <c r="EW27" s="9">
        <v>0</v>
      </c>
      <c r="EX27" s="9">
        <v>0</v>
      </c>
      <c r="EY27" s="9">
        <v>0</v>
      </c>
      <c r="EZ27" s="9">
        <v>3143374</v>
      </c>
      <c r="FA27" s="9">
        <v>0</v>
      </c>
      <c r="FB27" s="9">
        <v>3342451</v>
      </c>
      <c r="FC27" s="9">
        <v>0.97326799999999991</v>
      </c>
      <c r="FD27" s="9">
        <v>0</v>
      </c>
      <c r="FE27" s="9">
        <v>503246</v>
      </c>
      <c r="FF27" s="9">
        <v>107166</v>
      </c>
      <c r="FG27" s="9">
        <v>5.8088000000000001E-2</v>
      </c>
      <c r="FH27" s="9">
        <v>5.2622999999999996E-2</v>
      </c>
      <c r="FI27" s="9">
        <v>0</v>
      </c>
      <c r="FJ27" s="9">
        <v>0</v>
      </c>
      <c r="FK27" s="9">
        <v>637.39800000000002</v>
      </c>
      <c r="FL27" s="9">
        <v>4035049</v>
      </c>
      <c r="FM27" s="9">
        <v>0</v>
      </c>
      <c r="FN27" s="9">
        <v>0</v>
      </c>
      <c r="FO27" s="9">
        <v>0</v>
      </c>
      <c r="FP27" s="9">
        <v>0</v>
      </c>
      <c r="FQ27" s="9">
        <v>0</v>
      </c>
      <c r="FR27" s="9">
        <v>0</v>
      </c>
      <c r="FS27" s="9">
        <v>0</v>
      </c>
      <c r="FT27" s="9">
        <v>0</v>
      </c>
      <c r="FU27" s="9">
        <v>0</v>
      </c>
      <c r="FV27" s="9">
        <v>0</v>
      </c>
      <c r="FW27" s="9">
        <v>0</v>
      </c>
      <c r="FX27" s="9">
        <v>0</v>
      </c>
      <c r="FY27" s="9">
        <v>0</v>
      </c>
      <c r="FZ27" s="9">
        <v>0</v>
      </c>
      <c r="GA27" s="9">
        <v>0</v>
      </c>
      <c r="GB27" s="9">
        <v>0</v>
      </c>
      <c r="GC27" s="9">
        <v>0</v>
      </c>
      <c r="GD27" s="9">
        <v>0</v>
      </c>
      <c r="GE27" s="9">
        <v>0</v>
      </c>
      <c r="GF27" s="9">
        <v>0</v>
      </c>
      <c r="GG27" s="9">
        <v>0</v>
      </c>
      <c r="GH27" s="9">
        <v>0</v>
      </c>
      <c r="GI27" s="9">
        <v>0</v>
      </c>
      <c r="GJ27" s="9">
        <v>0</v>
      </c>
      <c r="GK27" s="9">
        <v>4971</v>
      </c>
      <c r="GL27" s="9">
        <v>0</v>
      </c>
      <c r="GM27" s="9">
        <v>0</v>
      </c>
      <c r="GN27" s="9">
        <v>0</v>
      </c>
      <c r="GO27" s="9">
        <v>0</v>
      </c>
      <c r="GP27" s="9">
        <v>3952863</v>
      </c>
      <c r="GQ27" s="9">
        <v>3952863</v>
      </c>
      <c r="GR27" s="9">
        <v>0</v>
      </c>
      <c r="GS27" s="9">
        <v>0</v>
      </c>
      <c r="GT27" s="9">
        <v>0</v>
      </c>
      <c r="GU27" s="9">
        <v>0</v>
      </c>
      <c r="GV27" s="9">
        <v>0</v>
      </c>
      <c r="GW27" s="9">
        <v>0</v>
      </c>
      <c r="GX27" s="9">
        <v>0</v>
      </c>
      <c r="GY27" s="9">
        <v>0</v>
      </c>
      <c r="GZ27" s="9">
        <v>0</v>
      </c>
      <c r="HA27" s="9">
        <v>0</v>
      </c>
      <c r="HB27" s="9">
        <v>300501363</v>
      </c>
      <c r="HC27" s="9">
        <v>4.4742999999999998E-2</v>
      </c>
      <c r="HD27" s="9">
        <v>82186</v>
      </c>
      <c r="HE27" s="9">
        <v>0</v>
      </c>
      <c r="HF27" s="9">
        <v>0</v>
      </c>
      <c r="HG27" s="9">
        <v>0</v>
      </c>
      <c r="HH27" s="9">
        <v>0</v>
      </c>
      <c r="HI27" s="9">
        <v>0</v>
      </c>
      <c r="HJ27" s="9">
        <v>0</v>
      </c>
      <c r="HK27" s="9">
        <v>0</v>
      </c>
      <c r="HL27" s="9">
        <v>0</v>
      </c>
      <c r="HM27" s="9">
        <v>0</v>
      </c>
      <c r="HN27" s="9">
        <v>0</v>
      </c>
      <c r="HO27" s="9">
        <v>0</v>
      </c>
      <c r="HP27" s="9">
        <v>0</v>
      </c>
      <c r="HQ27" s="9">
        <v>0</v>
      </c>
      <c r="HR27" s="9">
        <v>0</v>
      </c>
      <c r="HS27" s="9">
        <v>0</v>
      </c>
      <c r="HT27" s="9">
        <v>0</v>
      </c>
      <c r="HU27" s="9">
        <v>0</v>
      </c>
      <c r="HV27" s="9">
        <v>0</v>
      </c>
      <c r="HW27" s="9">
        <v>0</v>
      </c>
      <c r="HX27" s="9">
        <v>0</v>
      </c>
      <c r="HY27" s="9">
        <v>0</v>
      </c>
      <c r="HZ27" s="9">
        <v>0</v>
      </c>
      <c r="IA27" s="9">
        <v>0</v>
      </c>
      <c r="IB27" s="9">
        <v>0</v>
      </c>
      <c r="IC27" s="9">
        <v>0</v>
      </c>
      <c r="ID27" s="9">
        <v>0</v>
      </c>
      <c r="IE27" s="9">
        <v>0</v>
      </c>
      <c r="IF27" s="9">
        <v>0</v>
      </c>
      <c r="IG27" s="9">
        <v>0</v>
      </c>
      <c r="IH27" s="9">
        <v>0</v>
      </c>
      <c r="II27" s="9">
        <v>0</v>
      </c>
      <c r="IJ27" s="9">
        <v>0</v>
      </c>
      <c r="IK27" s="9">
        <v>0</v>
      </c>
      <c r="IL27" s="9">
        <v>0</v>
      </c>
      <c r="IM27" s="9">
        <v>0</v>
      </c>
      <c r="IN27" s="9">
        <v>0</v>
      </c>
      <c r="IO27" s="9">
        <v>0</v>
      </c>
      <c r="IP27" s="9">
        <v>0</v>
      </c>
      <c r="IQ27" s="9">
        <v>0</v>
      </c>
      <c r="IR27" s="9">
        <v>0</v>
      </c>
      <c r="IS27" s="9">
        <v>0</v>
      </c>
      <c r="IT27" s="9">
        <v>0</v>
      </c>
      <c r="IU27" s="9">
        <v>0</v>
      </c>
      <c r="IV27" s="9">
        <v>0</v>
      </c>
      <c r="IW27" s="9">
        <v>0</v>
      </c>
      <c r="IX27" s="9">
        <v>0</v>
      </c>
      <c r="IY27" s="9">
        <v>0</v>
      </c>
      <c r="IZ27" s="9">
        <v>0</v>
      </c>
      <c r="JA27" s="9">
        <v>0</v>
      </c>
      <c r="JB27" s="9">
        <v>0</v>
      </c>
      <c r="JC27" s="9">
        <v>0</v>
      </c>
      <c r="JD27" s="9">
        <v>0</v>
      </c>
      <c r="JE27" s="9">
        <v>0</v>
      </c>
      <c r="JF27" s="9">
        <v>0</v>
      </c>
      <c r="JG27" s="9">
        <v>0</v>
      </c>
      <c r="JH27" s="9">
        <v>0</v>
      </c>
      <c r="JI27" s="9">
        <v>0</v>
      </c>
      <c r="JJ27" s="9">
        <v>0</v>
      </c>
      <c r="JK27" s="9">
        <v>0</v>
      </c>
      <c r="JL27" s="9">
        <v>0</v>
      </c>
      <c r="JM27" s="9">
        <v>0</v>
      </c>
      <c r="JN27" s="9">
        <v>36832</v>
      </c>
      <c r="JO27" s="9">
        <v>0</v>
      </c>
      <c r="JP27" s="9">
        <v>0</v>
      </c>
      <c r="JQ27" s="9">
        <v>0</v>
      </c>
      <c r="JR27" s="9">
        <v>0</v>
      </c>
      <c r="JS27" s="9">
        <v>0</v>
      </c>
      <c r="JT27" s="9">
        <v>0</v>
      </c>
      <c r="JU27" s="9">
        <v>0</v>
      </c>
      <c r="JV27" s="9">
        <v>0</v>
      </c>
      <c r="JW27" s="9">
        <v>0</v>
      </c>
      <c r="JX27" s="9">
        <v>0</v>
      </c>
      <c r="JY27" s="9">
        <v>0</v>
      </c>
      <c r="JZ27" s="9">
        <v>0</v>
      </c>
      <c r="KA27" s="9">
        <v>0</v>
      </c>
      <c r="KB27" s="9">
        <v>0</v>
      </c>
      <c r="KC27" s="9">
        <v>0</v>
      </c>
      <c r="KD27" s="9">
        <v>0</v>
      </c>
      <c r="KE27" s="9">
        <v>0</v>
      </c>
      <c r="KF27" s="9">
        <v>0</v>
      </c>
      <c r="KG27" s="9">
        <v>0</v>
      </c>
      <c r="KH27" s="9">
        <v>0</v>
      </c>
      <c r="KI27" s="9">
        <v>0</v>
      </c>
    </row>
    <row r="28" spans="1:295" ht="13" x14ac:dyDescent="0.3">
      <c r="A28" s="9">
        <v>15838</v>
      </c>
      <c r="B28" s="9">
        <v>36871</v>
      </c>
      <c r="C28" s="9">
        <v>35</v>
      </c>
      <c r="D28" s="9">
        <v>2023</v>
      </c>
      <c r="E28" s="9">
        <v>5392</v>
      </c>
      <c r="F28" s="9">
        <v>0</v>
      </c>
      <c r="G28" s="9">
        <v>0</v>
      </c>
      <c r="H28" s="9">
        <v>1001.2280000000001</v>
      </c>
      <c r="I28" s="9">
        <v>1001.2280000000001</v>
      </c>
      <c r="J28" s="9">
        <v>1036.1090000000002</v>
      </c>
      <c r="K28" s="9">
        <v>0</v>
      </c>
      <c r="L28" s="9">
        <v>6547</v>
      </c>
      <c r="M28" s="9">
        <v>0</v>
      </c>
      <c r="N28" s="9">
        <v>0</v>
      </c>
      <c r="O28" s="9">
        <v>0</v>
      </c>
      <c r="P28" s="9">
        <v>333.50600000000003</v>
      </c>
      <c r="Q28" s="9">
        <v>0</v>
      </c>
      <c r="R28" s="10">
        <v>162391</v>
      </c>
      <c r="S28" s="9">
        <v>486.92200000000003</v>
      </c>
      <c r="T28" s="9">
        <v>0</v>
      </c>
      <c r="U28" s="10">
        <v>162391</v>
      </c>
      <c r="V28" s="10">
        <v>118.25800000000001</v>
      </c>
      <c r="W28" s="10">
        <v>77424</v>
      </c>
      <c r="X28" s="10">
        <v>77424</v>
      </c>
      <c r="Y28" s="9">
        <v>0</v>
      </c>
      <c r="Z28" s="9">
        <v>0</v>
      </c>
      <c r="AA28" s="9">
        <v>1</v>
      </c>
      <c r="AB28" s="9">
        <v>1</v>
      </c>
      <c r="AC28" s="9">
        <v>0</v>
      </c>
      <c r="AD28" s="9" t="s">
        <v>314</v>
      </c>
      <c r="AE28" s="9">
        <v>0</v>
      </c>
      <c r="AF28" s="9">
        <v>0</v>
      </c>
      <c r="AG28" s="9">
        <v>0</v>
      </c>
      <c r="AH28" s="9">
        <v>0</v>
      </c>
      <c r="AI28" s="9">
        <v>0</v>
      </c>
      <c r="AJ28" s="9">
        <v>5104</v>
      </c>
      <c r="AK28" s="9" t="s">
        <v>651</v>
      </c>
      <c r="AL28" s="9" t="s">
        <v>700</v>
      </c>
      <c r="AM28" s="9">
        <v>0</v>
      </c>
      <c r="AN28" s="9">
        <v>0</v>
      </c>
      <c r="AO28" s="9">
        <v>0</v>
      </c>
      <c r="AP28" s="9">
        <v>0</v>
      </c>
      <c r="AQ28" s="9">
        <v>0</v>
      </c>
      <c r="AR28" s="9">
        <v>0</v>
      </c>
      <c r="AS28" s="9">
        <v>0</v>
      </c>
      <c r="AT28" s="9">
        <v>0</v>
      </c>
      <c r="AU28" s="9">
        <v>0</v>
      </c>
      <c r="AV28" s="9">
        <v>68541</v>
      </c>
      <c r="AW28" s="9">
        <v>10354868</v>
      </c>
      <c r="AX28" s="9">
        <v>9468533</v>
      </c>
      <c r="AY28" s="9">
        <v>12473297</v>
      </c>
      <c r="AZ28" s="9">
        <v>866073</v>
      </c>
      <c r="BA28" s="10">
        <v>0</v>
      </c>
      <c r="BB28" s="9">
        <v>0</v>
      </c>
      <c r="BC28" s="9">
        <v>0</v>
      </c>
      <c r="BD28" s="9">
        <v>0</v>
      </c>
      <c r="BE28" s="9">
        <v>0</v>
      </c>
      <c r="BF28" s="9">
        <v>7823909</v>
      </c>
      <c r="BG28" s="9">
        <v>0</v>
      </c>
      <c r="BH28" s="10">
        <v>166.523</v>
      </c>
      <c r="BI28" s="10">
        <v>45794</v>
      </c>
      <c r="BJ28" s="9">
        <v>12</v>
      </c>
      <c r="BK28" s="9">
        <v>0</v>
      </c>
      <c r="BL28" s="9">
        <v>0</v>
      </c>
      <c r="BM28" s="9">
        <v>0</v>
      </c>
      <c r="BN28" s="9">
        <v>0</v>
      </c>
      <c r="BO28" s="9">
        <v>0</v>
      </c>
      <c r="BP28" s="9">
        <v>0</v>
      </c>
      <c r="BQ28" s="9">
        <v>5392</v>
      </c>
      <c r="BR28" s="9">
        <v>1</v>
      </c>
      <c r="BS28" s="9">
        <v>0</v>
      </c>
      <c r="BT28" s="9">
        <v>0</v>
      </c>
      <c r="BU28" s="9">
        <v>0</v>
      </c>
      <c r="BV28" s="9">
        <v>0</v>
      </c>
      <c r="BW28" s="9">
        <v>0</v>
      </c>
      <c r="BX28" s="9">
        <v>0</v>
      </c>
      <c r="BY28" s="9">
        <v>0</v>
      </c>
      <c r="BZ28" s="9">
        <v>0</v>
      </c>
      <c r="CA28" s="9">
        <v>657.88800000000003</v>
      </c>
      <c r="CB28" s="9">
        <v>657888</v>
      </c>
      <c r="CC28" s="9">
        <v>0</v>
      </c>
      <c r="CD28" s="9">
        <v>0</v>
      </c>
      <c r="CE28" s="9">
        <v>0</v>
      </c>
      <c r="CF28" s="9">
        <v>0</v>
      </c>
      <c r="CG28" s="9">
        <v>0</v>
      </c>
      <c r="CH28" s="10">
        <v>182653</v>
      </c>
      <c r="CI28" s="9">
        <v>0</v>
      </c>
      <c r="CJ28" s="9">
        <v>5</v>
      </c>
      <c r="CK28" s="9">
        <v>0</v>
      </c>
      <c r="CL28" s="9">
        <v>0</v>
      </c>
      <c r="CM28" s="9">
        <v>0</v>
      </c>
      <c r="CN28" s="9">
        <v>0</v>
      </c>
      <c r="CO28" s="9">
        <v>0</v>
      </c>
      <c r="CP28" s="9">
        <v>0</v>
      </c>
      <c r="CQ28" s="9">
        <v>0</v>
      </c>
      <c r="CR28" s="9">
        <v>316.61600000000004</v>
      </c>
      <c r="CS28" s="9">
        <v>0</v>
      </c>
      <c r="CT28" s="9">
        <v>0</v>
      </c>
      <c r="CU28" s="9">
        <v>0</v>
      </c>
      <c r="CV28" s="9">
        <v>0</v>
      </c>
      <c r="CW28" s="9">
        <v>0</v>
      </c>
      <c r="CX28" s="9">
        <v>0</v>
      </c>
      <c r="CY28" s="9">
        <v>0</v>
      </c>
      <c r="CZ28" s="9">
        <v>0</v>
      </c>
      <c r="DA28" s="9">
        <v>1</v>
      </c>
      <c r="DB28" s="9">
        <v>6555040</v>
      </c>
      <c r="DC28" s="9">
        <v>0</v>
      </c>
      <c r="DD28" s="9">
        <v>0</v>
      </c>
      <c r="DE28" s="9">
        <v>374052</v>
      </c>
      <c r="DF28" s="9">
        <v>374052</v>
      </c>
      <c r="DG28" s="9">
        <v>285.66700000000003</v>
      </c>
      <c r="DH28" s="9">
        <v>0</v>
      </c>
      <c r="DI28" s="9">
        <v>0</v>
      </c>
      <c r="DJ28" s="9">
        <v>0</v>
      </c>
      <c r="DK28" s="9">
        <v>5392</v>
      </c>
      <c r="DL28" s="9">
        <v>0</v>
      </c>
      <c r="DM28" s="9">
        <v>808117</v>
      </c>
      <c r="DN28" s="9">
        <v>0</v>
      </c>
      <c r="DO28" s="9">
        <v>0</v>
      </c>
      <c r="DP28" s="9">
        <v>0</v>
      </c>
      <c r="DQ28" s="9">
        <v>0</v>
      </c>
      <c r="DR28" s="9">
        <v>0</v>
      </c>
      <c r="DS28" s="9">
        <v>0</v>
      </c>
      <c r="DT28" s="9">
        <v>0</v>
      </c>
      <c r="DU28" s="9">
        <v>0</v>
      </c>
      <c r="DV28" s="9">
        <v>0</v>
      </c>
      <c r="DW28" s="9">
        <v>0</v>
      </c>
      <c r="DX28" s="9">
        <v>0</v>
      </c>
      <c r="DY28" s="9">
        <v>0</v>
      </c>
      <c r="DZ28" s="9">
        <v>0</v>
      </c>
      <c r="EA28" s="9">
        <v>0</v>
      </c>
      <c r="EB28" s="9">
        <v>0</v>
      </c>
      <c r="EC28" s="9">
        <v>83.352000000000004</v>
      </c>
      <c r="ED28" s="9">
        <v>600276</v>
      </c>
      <c r="EE28" s="9">
        <v>0</v>
      </c>
      <c r="EF28" s="9">
        <v>0</v>
      </c>
      <c r="EG28" s="9">
        <v>0</v>
      </c>
      <c r="EH28" s="9">
        <v>207841</v>
      </c>
      <c r="EI28" s="9">
        <v>0</v>
      </c>
      <c r="EJ28" s="9">
        <v>0</v>
      </c>
      <c r="EK28" s="9">
        <v>1.294</v>
      </c>
      <c r="EL28" s="9">
        <v>0</v>
      </c>
      <c r="EM28" s="9">
        <v>6.6280000000000001</v>
      </c>
      <c r="EN28" s="9">
        <v>1.5960000000000001</v>
      </c>
      <c r="EO28" s="9">
        <v>0</v>
      </c>
      <c r="EP28" s="9">
        <v>0</v>
      </c>
      <c r="EQ28" s="9">
        <v>9.5180000000000007</v>
      </c>
      <c r="ER28" s="9">
        <v>0</v>
      </c>
      <c r="ES28" s="9">
        <v>31.746000000000002</v>
      </c>
      <c r="ET28" s="10">
        <v>0</v>
      </c>
      <c r="EU28" s="9">
        <v>866073</v>
      </c>
      <c r="EV28" s="9">
        <v>0</v>
      </c>
      <c r="EW28" s="9">
        <v>0</v>
      </c>
      <c r="EX28" s="9">
        <v>0</v>
      </c>
      <c r="EY28" s="9">
        <v>0</v>
      </c>
      <c r="EZ28" s="9">
        <v>8000454</v>
      </c>
      <c r="FA28" s="9">
        <v>0</v>
      </c>
      <c r="FB28" s="10">
        <v>8866527</v>
      </c>
      <c r="FC28" s="9">
        <v>0.97326799999999991</v>
      </c>
      <c r="FD28" s="9">
        <v>0</v>
      </c>
      <c r="FE28" s="9">
        <v>1210338</v>
      </c>
      <c r="FF28" s="9">
        <v>257741</v>
      </c>
      <c r="FG28" s="9">
        <v>5.8088000000000001E-2</v>
      </c>
      <c r="FH28" s="9">
        <v>5.2622999999999996E-2</v>
      </c>
      <c r="FI28" s="9">
        <v>0</v>
      </c>
      <c r="FJ28" s="9">
        <v>0</v>
      </c>
      <c r="FK28" s="9">
        <v>1532.981</v>
      </c>
      <c r="FL28" s="9">
        <v>10517259</v>
      </c>
      <c r="FM28" s="9">
        <v>0</v>
      </c>
      <c r="FN28" s="9">
        <v>0</v>
      </c>
      <c r="FO28" s="9">
        <v>101864</v>
      </c>
      <c r="FP28" s="9">
        <v>22178</v>
      </c>
      <c r="FQ28" s="9">
        <v>124042</v>
      </c>
      <c r="FR28" s="9">
        <v>101864</v>
      </c>
      <c r="FS28" s="9">
        <v>0</v>
      </c>
      <c r="FT28" s="9">
        <v>0</v>
      </c>
      <c r="FU28" s="9">
        <v>0</v>
      </c>
      <c r="FV28" s="9">
        <v>0</v>
      </c>
      <c r="FW28" s="9">
        <v>0</v>
      </c>
      <c r="FX28" s="9">
        <v>0</v>
      </c>
      <c r="FY28" s="9">
        <v>0</v>
      </c>
      <c r="FZ28" s="9">
        <v>0</v>
      </c>
      <c r="GA28" s="9">
        <v>0</v>
      </c>
      <c r="GB28" s="10">
        <v>224170</v>
      </c>
      <c r="GC28" s="10">
        <v>224170</v>
      </c>
      <c r="GD28" s="10">
        <v>25.363</v>
      </c>
      <c r="GE28" s="9">
        <v>0</v>
      </c>
      <c r="GF28" s="9">
        <v>0</v>
      </c>
      <c r="GG28" s="9">
        <v>0</v>
      </c>
      <c r="GH28" s="9">
        <v>0</v>
      </c>
      <c r="GI28" s="9">
        <v>0</v>
      </c>
      <c r="GJ28" s="9">
        <v>0</v>
      </c>
      <c r="GK28" s="9">
        <v>0</v>
      </c>
      <c r="GL28" s="9">
        <v>0</v>
      </c>
      <c r="GM28" s="9">
        <v>0</v>
      </c>
      <c r="GN28" s="9">
        <v>0</v>
      </c>
      <c r="GO28" s="9">
        <v>0</v>
      </c>
      <c r="GP28" s="9">
        <v>10334606</v>
      </c>
      <c r="GQ28" s="9">
        <v>10334606</v>
      </c>
      <c r="GR28" s="9">
        <v>0</v>
      </c>
      <c r="GS28" s="9">
        <v>0</v>
      </c>
      <c r="GT28" s="9">
        <v>0</v>
      </c>
      <c r="GU28" s="9">
        <v>0</v>
      </c>
      <c r="GV28" s="9">
        <v>0</v>
      </c>
      <c r="GW28" s="9">
        <v>0</v>
      </c>
      <c r="GX28" s="9">
        <v>0</v>
      </c>
      <c r="GY28" s="9">
        <v>0</v>
      </c>
      <c r="GZ28" s="9">
        <v>0</v>
      </c>
      <c r="HA28" s="9">
        <v>0</v>
      </c>
      <c r="HB28" s="9">
        <v>300501363</v>
      </c>
      <c r="HC28" s="9">
        <v>4.4742999999999998E-2</v>
      </c>
      <c r="HD28" s="10">
        <v>182653</v>
      </c>
      <c r="HE28" s="9">
        <v>0</v>
      </c>
      <c r="HF28" s="9">
        <v>0</v>
      </c>
      <c r="HG28" s="9">
        <v>0</v>
      </c>
      <c r="HH28" s="9">
        <v>0</v>
      </c>
      <c r="HI28" s="9">
        <v>0</v>
      </c>
      <c r="HJ28" s="9">
        <v>0</v>
      </c>
      <c r="HK28" s="9">
        <v>0</v>
      </c>
      <c r="HL28" s="9">
        <v>0</v>
      </c>
      <c r="HM28" s="9">
        <v>0</v>
      </c>
      <c r="HN28" s="9">
        <v>0</v>
      </c>
      <c r="HO28" s="9">
        <v>0</v>
      </c>
      <c r="HP28" s="9">
        <v>0</v>
      </c>
      <c r="HQ28" s="9">
        <v>0</v>
      </c>
      <c r="HR28" s="9">
        <v>0</v>
      </c>
      <c r="HS28" s="9">
        <v>0</v>
      </c>
      <c r="HT28" s="9">
        <v>0</v>
      </c>
      <c r="HU28" s="9">
        <v>0</v>
      </c>
      <c r="HV28" s="9">
        <v>0</v>
      </c>
      <c r="HW28" s="9">
        <v>0</v>
      </c>
      <c r="HX28" s="9">
        <v>0</v>
      </c>
      <c r="HY28" s="9">
        <v>0</v>
      </c>
      <c r="HZ28" s="9">
        <v>0</v>
      </c>
      <c r="IA28" s="9">
        <v>0</v>
      </c>
      <c r="IB28" s="9">
        <v>0</v>
      </c>
      <c r="IC28" s="9">
        <v>0</v>
      </c>
      <c r="ID28" s="9">
        <v>0</v>
      </c>
      <c r="IE28" s="9">
        <v>0</v>
      </c>
      <c r="IF28" s="9">
        <v>0</v>
      </c>
      <c r="IG28" s="9">
        <v>0</v>
      </c>
      <c r="IH28" s="9">
        <v>0</v>
      </c>
      <c r="II28" s="9">
        <v>0</v>
      </c>
      <c r="IJ28" s="9">
        <v>0</v>
      </c>
      <c r="IK28" s="9">
        <v>0</v>
      </c>
      <c r="IL28" s="9">
        <v>0</v>
      </c>
      <c r="IM28" s="9">
        <v>0</v>
      </c>
      <c r="IN28" s="9">
        <v>0</v>
      </c>
      <c r="IO28" s="9">
        <v>0</v>
      </c>
      <c r="IP28" s="9">
        <v>0</v>
      </c>
      <c r="IQ28" s="9">
        <v>0</v>
      </c>
      <c r="IR28" s="9">
        <v>0</v>
      </c>
      <c r="IS28" s="9">
        <v>0</v>
      </c>
      <c r="IT28" s="9">
        <v>0</v>
      </c>
      <c r="IU28" s="9">
        <v>0</v>
      </c>
      <c r="IV28" s="9">
        <v>0</v>
      </c>
      <c r="IW28" s="9">
        <v>0</v>
      </c>
      <c r="IX28" s="9">
        <v>0</v>
      </c>
      <c r="IY28" s="9">
        <v>0</v>
      </c>
      <c r="IZ28" s="9">
        <v>0</v>
      </c>
      <c r="JA28" s="9">
        <v>0</v>
      </c>
      <c r="JB28" s="9">
        <v>0</v>
      </c>
      <c r="JC28" s="9">
        <v>0</v>
      </c>
      <c r="JD28" s="9">
        <v>0</v>
      </c>
      <c r="JE28" s="9">
        <v>0</v>
      </c>
      <c r="JF28" s="9">
        <v>0</v>
      </c>
      <c r="JG28" s="9">
        <v>0</v>
      </c>
      <c r="JH28" s="9">
        <v>0</v>
      </c>
      <c r="JI28" s="9">
        <v>0</v>
      </c>
      <c r="JJ28" s="9">
        <v>0</v>
      </c>
      <c r="JK28" s="9">
        <v>0</v>
      </c>
      <c r="JL28" s="9">
        <v>0</v>
      </c>
      <c r="JM28" s="9">
        <v>0</v>
      </c>
      <c r="JN28" s="9">
        <v>36832</v>
      </c>
      <c r="JO28" s="9">
        <v>0</v>
      </c>
      <c r="JP28" s="9">
        <v>0</v>
      </c>
      <c r="JQ28" s="9">
        <v>0</v>
      </c>
      <c r="JR28" s="9">
        <v>0</v>
      </c>
      <c r="JS28" s="9">
        <v>0</v>
      </c>
      <c r="JT28" s="9">
        <v>0</v>
      </c>
      <c r="JU28" s="9">
        <v>0</v>
      </c>
      <c r="JV28" s="9">
        <v>0</v>
      </c>
      <c r="JW28" s="9">
        <v>0</v>
      </c>
      <c r="JX28" s="9">
        <v>0</v>
      </c>
      <c r="JY28" s="9">
        <v>0</v>
      </c>
      <c r="JZ28" s="9">
        <v>0</v>
      </c>
      <c r="KA28" s="9">
        <v>0</v>
      </c>
      <c r="KB28" s="9">
        <v>0</v>
      </c>
      <c r="KC28" s="9">
        <v>0</v>
      </c>
      <c r="KD28" s="9">
        <v>0</v>
      </c>
      <c r="KE28" s="9">
        <v>0</v>
      </c>
      <c r="KF28" s="9">
        <v>0</v>
      </c>
      <c r="KG28" s="9">
        <v>0</v>
      </c>
      <c r="KH28" s="9">
        <v>0</v>
      </c>
      <c r="KI28" s="9">
        <v>0</v>
      </c>
    </row>
    <row r="29" spans="1:295" x14ac:dyDescent="0.25">
      <c r="A29" s="9">
        <v>15839</v>
      </c>
      <c r="B29" s="9">
        <v>36871</v>
      </c>
      <c r="C29" s="9">
        <v>35</v>
      </c>
      <c r="D29" s="9">
        <v>2023</v>
      </c>
      <c r="E29" s="9">
        <v>5392</v>
      </c>
      <c r="F29" s="9">
        <v>0</v>
      </c>
      <c r="G29" s="9">
        <v>0</v>
      </c>
      <c r="H29" s="9">
        <v>169.596</v>
      </c>
      <c r="I29" s="9">
        <v>169.596</v>
      </c>
      <c r="J29" s="9">
        <v>171.39500000000001</v>
      </c>
      <c r="K29" s="9">
        <v>0</v>
      </c>
      <c r="L29" s="9">
        <v>6547</v>
      </c>
      <c r="M29" s="9">
        <v>0</v>
      </c>
      <c r="N29" s="9">
        <v>0</v>
      </c>
      <c r="O29" s="9">
        <v>0</v>
      </c>
      <c r="P29" s="9">
        <v>0</v>
      </c>
      <c r="Q29" s="9">
        <v>0</v>
      </c>
      <c r="R29" s="9">
        <v>0</v>
      </c>
      <c r="S29" s="9">
        <v>486.92200000000003</v>
      </c>
      <c r="T29" s="9">
        <v>0</v>
      </c>
      <c r="U29" s="9">
        <v>0</v>
      </c>
      <c r="V29" s="9">
        <v>8.2650000000000006</v>
      </c>
      <c r="W29" s="9">
        <v>5411</v>
      </c>
      <c r="X29" s="9">
        <v>5411</v>
      </c>
      <c r="Y29" s="9">
        <v>0</v>
      </c>
      <c r="Z29" s="9">
        <v>0</v>
      </c>
      <c r="AA29" s="9">
        <v>1</v>
      </c>
      <c r="AB29" s="9">
        <v>1</v>
      </c>
      <c r="AC29" s="9">
        <v>0</v>
      </c>
      <c r="AD29" s="9" t="s">
        <v>314</v>
      </c>
      <c r="AE29" s="9">
        <v>0</v>
      </c>
      <c r="AF29" s="9">
        <v>0</v>
      </c>
      <c r="AG29" s="9">
        <v>0</v>
      </c>
      <c r="AH29" s="9">
        <v>0</v>
      </c>
      <c r="AI29" s="9">
        <v>0</v>
      </c>
      <c r="AJ29" s="9">
        <v>5104</v>
      </c>
      <c r="AK29" s="9" t="s">
        <v>651</v>
      </c>
      <c r="AL29" s="9" t="s">
        <v>455</v>
      </c>
      <c r="AM29" s="9">
        <v>0</v>
      </c>
      <c r="AN29" s="9">
        <v>0</v>
      </c>
      <c r="AO29" s="9">
        <v>0</v>
      </c>
      <c r="AP29" s="9">
        <v>0</v>
      </c>
      <c r="AQ29" s="9">
        <v>0</v>
      </c>
      <c r="AR29" s="9">
        <v>0</v>
      </c>
      <c r="AS29" s="9">
        <v>0</v>
      </c>
      <c r="AT29" s="9">
        <v>0</v>
      </c>
      <c r="AU29" s="9">
        <v>0</v>
      </c>
      <c r="AV29" s="9">
        <v>328682</v>
      </c>
      <c r="AW29" s="9">
        <v>0</v>
      </c>
      <c r="AX29" s="9">
        <v>1476071</v>
      </c>
      <c r="AY29" s="9">
        <v>2456744</v>
      </c>
      <c r="AZ29" s="9">
        <v>171395</v>
      </c>
      <c r="BA29" s="9">
        <v>0</v>
      </c>
      <c r="BB29" s="9">
        <v>0</v>
      </c>
      <c r="BC29" s="9">
        <v>0</v>
      </c>
      <c r="BD29" s="9">
        <v>0</v>
      </c>
      <c r="BE29" s="9">
        <v>0</v>
      </c>
      <c r="BF29" s="9">
        <v>1187725</v>
      </c>
      <c r="BG29" s="9">
        <v>0</v>
      </c>
      <c r="BH29" s="9">
        <v>0</v>
      </c>
      <c r="BI29" s="9">
        <v>0</v>
      </c>
      <c r="BJ29" s="9">
        <v>12</v>
      </c>
      <c r="BK29" s="9">
        <v>0</v>
      </c>
      <c r="BL29" s="9">
        <v>0</v>
      </c>
      <c r="BM29" s="9">
        <v>0</v>
      </c>
      <c r="BN29" s="9">
        <v>0</v>
      </c>
      <c r="BO29" s="9">
        <v>0</v>
      </c>
      <c r="BP29" s="9">
        <v>0</v>
      </c>
      <c r="BQ29" s="9">
        <v>5392</v>
      </c>
      <c r="BR29" s="9">
        <v>1</v>
      </c>
      <c r="BS29" s="9">
        <v>0</v>
      </c>
      <c r="BT29" s="9">
        <v>0</v>
      </c>
      <c r="BU29" s="9">
        <v>0</v>
      </c>
      <c r="BV29" s="9">
        <v>0</v>
      </c>
      <c r="BW29" s="9">
        <v>0</v>
      </c>
      <c r="BX29" s="9">
        <v>0</v>
      </c>
      <c r="BY29" s="9">
        <v>0</v>
      </c>
      <c r="BZ29" s="9">
        <v>0</v>
      </c>
      <c r="CA29" s="9">
        <v>171.39500000000001</v>
      </c>
      <c r="CB29" s="9">
        <v>171395</v>
      </c>
      <c r="CC29" s="9">
        <v>0</v>
      </c>
      <c r="CD29" s="9">
        <v>0</v>
      </c>
      <c r="CE29" s="9">
        <v>0</v>
      </c>
      <c r="CF29" s="9">
        <v>0</v>
      </c>
      <c r="CG29" s="9">
        <v>0</v>
      </c>
      <c r="CH29" s="9">
        <v>0</v>
      </c>
      <c r="CI29" s="9">
        <v>0</v>
      </c>
      <c r="CJ29" s="9">
        <v>4</v>
      </c>
      <c r="CK29" s="9">
        <v>0</v>
      </c>
      <c r="CL29" s="9">
        <v>0</v>
      </c>
      <c r="CM29" s="9">
        <v>0</v>
      </c>
      <c r="CN29" s="9">
        <v>0</v>
      </c>
      <c r="CO29" s="9">
        <v>0</v>
      </c>
      <c r="CP29" s="9">
        <v>0</v>
      </c>
      <c r="CQ29" s="9">
        <v>0</v>
      </c>
      <c r="CR29" s="9">
        <v>0</v>
      </c>
      <c r="CS29" s="9">
        <v>0</v>
      </c>
      <c r="CT29" s="9">
        <v>0</v>
      </c>
      <c r="CU29" s="9">
        <v>0</v>
      </c>
      <c r="CV29" s="9">
        <v>0</v>
      </c>
      <c r="CW29" s="9">
        <v>0</v>
      </c>
      <c r="CX29" s="9">
        <v>0</v>
      </c>
      <c r="CY29" s="9">
        <v>0</v>
      </c>
      <c r="CZ29" s="9">
        <v>0</v>
      </c>
      <c r="DA29" s="9">
        <v>1</v>
      </c>
      <c r="DB29" s="9">
        <v>1110345</v>
      </c>
      <c r="DC29" s="9">
        <v>0</v>
      </c>
      <c r="DD29" s="9">
        <v>0</v>
      </c>
      <c r="DE29" s="9">
        <v>0</v>
      </c>
      <c r="DF29" s="9">
        <v>0</v>
      </c>
      <c r="DG29" s="9">
        <v>0</v>
      </c>
      <c r="DH29" s="9">
        <v>0</v>
      </c>
      <c r="DI29" s="9">
        <v>0</v>
      </c>
      <c r="DJ29" s="9">
        <v>0</v>
      </c>
      <c r="DK29" s="9">
        <v>5392</v>
      </c>
      <c r="DL29" s="9">
        <v>0</v>
      </c>
      <c r="DM29" s="9">
        <v>104591</v>
      </c>
      <c r="DN29" s="9">
        <v>0</v>
      </c>
      <c r="DO29" s="9">
        <v>0</v>
      </c>
      <c r="DP29" s="9">
        <v>0</v>
      </c>
      <c r="DQ29" s="9">
        <v>0</v>
      </c>
      <c r="DR29" s="9">
        <v>0</v>
      </c>
      <c r="DS29" s="9">
        <v>0</v>
      </c>
      <c r="DT29" s="9">
        <v>0</v>
      </c>
      <c r="DU29" s="9">
        <v>0</v>
      </c>
      <c r="DV29" s="9">
        <v>0</v>
      </c>
      <c r="DW29" s="9">
        <v>0</v>
      </c>
      <c r="DX29" s="9">
        <v>0</v>
      </c>
      <c r="DY29" s="9">
        <v>0</v>
      </c>
      <c r="DZ29" s="9">
        <v>0</v>
      </c>
      <c r="EA29" s="9">
        <v>0</v>
      </c>
      <c r="EB29" s="9">
        <v>0</v>
      </c>
      <c r="EC29" s="9">
        <v>8.6639999999999997</v>
      </c>
      <c r="ED29" s="9">
        <v>62396</v>
      </c>
      <c r="EE29" s="9">
        <v>0</v>
      </c>
      <c r="EF29" s="9">
        <v>0</v>
      </c>
      <c r="EG29" s="9">
        <v>0</v>
      </c>
      <c r="EH29" s="9">
        <v>42195</v>
      </c>
      <c r="EI29" s="9">
        <v>0</v>
      </c>
      <c r="EJ29" s="9">
        <v>0</v>
      </c>
      <c r="EK29" s="9">
        <v>0.89800000000000002</v>
      </c>
      <c r="EL29" s="9">
        <v>0</v>
      </c>
      <c r="EM29" s="9">
        <v>0.377</v>
      </c>
      <c r="EN29" s="9">
        <v>0.52400000000000002</v>
      </c>
      <c r="EO29" s="9">
        <v>0</v>
      </c>
      <c r="EP29" s="9">
        <v>0</v>
      </c>
      <c r="EQ29" s="9">
        <v>1.7990000000000002</v>
      </c>
      <c r="ER29" s="9">
        <v>0</v>
      </c>
      <c r="ES29" s="9">
        <v>6.4450000000000003</v>
      </c>
      <c r="ET29" s="9">
        <v>0</v>
      </c>
      <c r="EU29" s="9">
        <v>171395</v>
      </c>
      <c r="EV29" s="9">
        <v>0</v>
      </c>
      <c r="EW29" s="9">
        <v>0</v>
      </c>
      <c r="EX29" s="9">
        <v>0</v>
      </c>
      <c r="EY29" s="9">
        <v>0</v>
      </c>
      <c r="EZ29" s="9">
        <v>1253206</v>
      </c>
      <c r="FA29" s="9">
        <v>0</v>
      </c>
      <c r="FB29" s="9">
        <v>1424601</v>
      </c>
      <c r="FC29" s="9">
        <v>0.97326799999999991</v>
      </c>
      <c r="FD29" s="9">
        <v>0</v>
      </c>
      <c r="FE29" s="9">
        <v>183738</v>
      </c>
      <c r="FF29" s="9">
        <v>39127</v>
      </c>
      <c r="FG29" s="9">
        <v>5.8088000000000001E-2</v>
      </c>
      <c r="FH29" s="9">
        <v>5.2622999999999996E-2</v>
      </c>
      <c r="FI29" s="9">
        <v>0</v>
      </c>
      <c r="FJ29" s="9">
        <v>0</v>
      </c>
      <c r="FK29" s="9">
        <v>232.71700000000001</v>
      </c>
      <c r="FL29" s="9">
        <v>0</v>
      </c>
      <c r="FM29" s="9">
        <v>0</v>
      </c>
      <c r="FN29" s="9">
        <v>0</v>
      </c>
      <c r="FO29" s="9">
        <v>32859</v>
      </c>
      <c r="FP29" s="9">
        <v>0</v>
      </c>
      <c r="FQ29" s="9">
        <v>32859</v>
      </c>
      <c r="FR29" s="9">
        <v>32859</v>
      </c>
      <c r="FS29" s="9">
        <v>0</v>
      </c>
      <c r="FT29" s="9">
        <v>0</v>
      </c>
      <c r="FU29" s="9">
        <v>0</v>
      </c>
      <c r="FV29" s="9">
        <v>0</v>
      </c>
      <c r="FW29" s="9">
        <v>0</v>
      </c>
      <c r="FX29" s="9">
        <v>0</v>
      </c>
      <c r="FY29" s="9">
        <v>0</v>
      </c>
      <c r="FZ29" s="9">
        <v>0</v>
      </c>
      <c r="GA29" s="9">
        <v>0</v>
      </c>
      <c r="GB29" s="9">
        <v>0</v>
      </c>
      <c r="GC29" s="9">
        <v>0</v>
      </c>
      <c r="GD29" s="9">
        <v>0</v>
      </c>
      <c r="GE29" s="9">
        <v>0</v>
      </c>
      <c r="GF29" s="9">
        <v>0</v>
      </c>
      <c r="GG29" s="9">
        <v>0</v>
      </c>
      <c r="GH29" s="9">
        <v>0</v>
      </c>
      <c r="GI29" s="9">
        <v>0</v>
      </c>
      <c r="GJ29" s="9">
        <v>0</v>
      </c>
      <c r="GK29" s="9">
        <v>0</v>
      </c>
      <c r="GL29" s="9">
        <v>0</v>
      </c>
      <c r="GM29" s="9">
        <v>0</v>
      </c>
      <c r="GN29" s="9">
        <v>0</v>
      </c>
      <c r="GO29" s="9">
        <v>0</v>
      </c>
      <c r="GP29" s="9">
        <v>1647466</v>
      </c>
      <c r="GQ29" s="9">
        <v>1647466</v>
      </c>
      <c r="GR29" s="9">
        <v>0</v>
      </c>
      <c r="GS29" s="9">
        <v>0</v>
      </c>
      <c r="GT29" s="9">
        <v>0</v>
      </c>
      <c r="GU29" s="9">
        <v>0</v>
      </c>
      <c r="GV29" s="9">
        <v>0</v>
      </c>
      <c r="GW29" s="9">
        <v>0</v>
      </c>
      <c r="GX29" s="9">
        <v>0</v>
      </c>
      <c r="GY29" s="9">
        <v>0</v>
      </c>
      <c r="GZ29" s="9">
        <v>0</v>
      </c>
      <c r="HA29" s="9">
        <v>0</v>
      </c>
      <c r="HB29" s="9">
        <v>0</v>
      </c>
      <c r="HC29" s="9">
        <v>0</v>
      </c>
      <c r="HD29" s="9">
        <v>0</v>
      </c>
      <c r="HE29" s="9">
        <v>0</v>
      </c>
      <c r="HF29" s="9">
        <v>0</v>
      </c>
      <c r="HG29" s="9">
        <v>0</v>
      </c>
      <c r="HH29" s="9">
        <v>0</v>
      </c>
      <c r="HI29" s="9">
        <v>0</v>
      </c>
      <c r="HJ29" s="9">
        <v>0</v>
      </c>
      <c r="HK29" s="9">
        <v>0</v>
      </c>
      <c r="HL29" s="9">
        <v>0</v>
      </c>
      <c r="HM29" s="9">
        <v>0</v>
      </c>
      <c r="HN29" s="9">
        <v>0</v>
      </c>
      <c r="HO29" s="9">
        <v>0</v>
      </c>
      <c r="HP29" s="9">
        <v>0</v>
      </c>
      <c r="HQ29" s="9">
        <v>0</v>
      </c>
      <c r="HR29" s="9">
        <v>0</v>
      </c>
      <c r="HS29" s="9">
        <v>0</v>
      </c>
      <c r="HT29" s="9">
        <v>0</v>
      </c>
      <c r="HU29" s="9">
        <v>0</v>
      </c>
      <c r="HV29" s="9">
        <v>0</v>
      </c>
      <c r="HW29" s="9">
        <v>0</v>
      </c>
      <c r="HX29" s="9">
        <v>0</v>
      </c>
      <c r="HY29" s="9">
        <v>0</v>
      </c>
      <c r="HZ29" s="9">
        <v>0</v>
      </c>
      <c r="IA29" s="9">
        <v>0</v>
      </c>
      <c r="IB29" s="9">
        <v>0</v>
      </c>
      <c r="IC29" s="9">
        <v>0</v>
      </c>
      <c r="ID29" s="9">
        <v>0</v>
      </c>
      <c r="IE29" s="9">
        <v>0</v>
      </c>
      <c r="IF29" s="9">
        <v>0</v>
      </c>
      <c r="IG29" s="9">
        <v>0</v>
      </c>
      <c r="IH29" s="9">
        <v>0</v>
      </c>
      <c r="II29" s="9">
        <v>0</v>
      </c>
      <c r="IJ29" s="9">
        <v>0</v>
      </c>
      <c r="IK29" s="9">
        <v>0</v>
      </c>
      <c r="IL29" s="9">
        <v>0</v>
      </c>
      <c r="IM29" s="9">
        <v>0</v>
      </c>
      <c r="IN29" s="9">
        <v>0</v>
      </c>
      <c r="IO29" s="9">
        <v>0</v>
      </c>
      <c r="IP29" s="9">
        <v>0</v>
      </c>
      <c r="IQ29" s="9">
        <v>0</v>
      </c>
      <c r="IR29" s="9">
        <v>0</v>
      </c>
      <c r="IS29" s="9">
        <v>0</v>
      </c>
      <c r="IT29" s="9">
        <v>0</v>
      </c>
      <c r="IU29" s="9">
        <v>0</v>
      </c>
      <c r="IV29" s="9">
        <v>0</v>
      </c>
      <c r="IW29" s="9">
        <v>0</v>
      </c>
      <c r="IX29" s="9">
        <v>0</v>
      </c>
      <c r="IY29" s="9">
        <v>0</v>
      </c>
      <c r="IZ29" s="9">
        <v>0</v>
      </c>
      <c r="JA29" s="9">
        <v>0</v>
      </c>
      <c r="JB29" s="9">
        <v>0</v>
      </c>
      <c r="JC29" s="9">
        <v>0</v>
      </c>
      <c r="JD29" s="9">
        <v>0</v>
      </c>
      <c r="JE29" s="9">
        <v>0</v>
      </c>
      <c r="JF29" s="9">
        <v>0</v>
      </c>
      <c r="JG29" s="9">
        <v>0</v>
      </c>
      <c r="JH29" s="9">
        <v>0</v>
      </c>
      <c r="JI29" s="9">
        <v>0</v>
      </c>
      <c r="JJ29" s="9">
        <v>0</v>
      </c>
      <c r="JK29" s="9">
        <v>0</v>
      </c>
      <c r="JL29" s="9">
        <v>0</v>
      </c>
      <c r="JM29" s="9">
        <v>0</v>
      </c>
      <c r="JN29" s="9">
        <v>36832</v>
      </c>
      <c r="JO29" s="9">
        <v>0</v>
      </c>
      <c r="JP29" s="9">
        <v>0</v>
      </c>
      <c r="JQ29" s="9">
        <v>0</v>
      </c>
      <c r="JR29" s="9">
        <v>0</v>
      </c>
      <c r="JS29" s="9">
        <v>0</v>
      </c>
      <c r="JT29" s="9">
        <v>0</v>
      </c>
      <c r="JU29" s="9">
        <v>0</v>
      </c>
      <c r="JV29" s="9">
        <v>0</v>
      </c>
      <c r="JW29" s="9">
        <v>0</v>
      </c>
      <c r="JX29" s="9">
        <v>0</v>
      </c>
      <c r="JY29" s="9">
        <v>0</v>
      </c>
      <c r="JZ29" s="9">
        <v>0</v>
      </c>
      <c r="KA29" s="9">
        <v>0</v>
      </c>
      <c r="KB29" s="9">
        <v>0</v>
      </c>
      <c r="KC29" s="9">
        <v>0</v>
      </c>
      <c r="KD29" s="9">
        <v>0</v>
      </c>
      <c r="KE29" s="9">
        <v>0</v>
      </c>
      <c r="KF29" s="9">
        <v>0</v>
      </c>
      <c r="KG29" s="9">
        <v>0</v>
      </c>
      <c r="KH29" s="9">
        <v>0</v>
      </c>
      <c r="KI29" s="9">
        <v>0</v>
      </c>
    </row>
    <row r="30" spans="1:295" ht="13" x14ac:dyDescent="0.3">
      <c r="A30" s="9">
        <v>15840</v>
      </c>
      <c r="B30" s="9">
        <v>36871</v>
      </c>
      <c r="C30" s="9">
        <v>35</v>
      </c>
      <c r="D30" s="9">
        <v>2023</v>
      </c>
      <c r="E30" s="9">
        <v>5392</v>
      </c>
      <c r="F30" s="9">
        <v>0</v>
      </c>
      <c r="G30" s="9">
        <v>0</v>
      </c>
      <c r="H30" s="9">
        <v>188.214</v>
      </c>
      <c r="I30" s="9">
        <v>188.214</v>
      </c>
      <c r="J30" s="9">
        <v>189.387</v>
      </c>
      <c r="K30" s="9">
        <v>0</v>
      </c>
      <c r="L30" s="9">
        <v>6547</v>
      </c>
      <c r="M30" s="9">
        <v>0</v>
      </c>
      <c r="N30" s="9">
        <v>0</v>
      </c>
      <c r="O30" s="9">
        <v>0</v>
      </c>
      <c r="P30" s="9">
        <v>0</v>
      </c>
      <c r="Q30" s="9">
        <v>0</v>
      </c>
      <c r="R30" s="10">
        <v>0</v>
      </c>
      <c r="S30" s="9">
        <v>486.92200000000003</v>
      </c>
      <c r="T30" s="9">
        <v>0</v>
      </c>
      <c r="U30" s="10">
        <v>0</v>
      </c>
      <c r="V30" s="10">
        <v>0</v>
      </c>
      <c r="W30" s="10">
        <v>0</v>
      </c>
      <c r="X30" s="10">
        <v>0</v>
      </c>
      <c r="Y30" s="9">
        <v>0</v>
      </c>
      <c r="Z30" s="9">
        <v>0</v>
      </c>
      <c r="AA30" s="9">
        <v>1</v>
      </c>
      <c r="AB30" s="9">
        <v>1</v>
      </c>
      <c r="AC30" s="9">
        <v>0</v>
      </c>
      <c r="AD30" s="9" t="s">
        <v>314</v>
      </c>
      <c r="AE30" s="9">
        <v>0</v>
      </c>
      <c r="AF30" s="9">
        <v>0</v>
      </c>
      <c r="AG30" s="9">
        <v>0</v>
      </c>
      <c r="AH30" s="9">
        <v>0</v>
      </c>
      <c r="AI30" s="9">
        <v>0</v>
      </c>
      <c r="AJ30" s="9">
        <v>5104</v>
      </c>
      <c r="AK30" s="9" t="s">
        <v>651</v>
      </c>
      <c r="AL30" s="9" t="s">
        <v>701</v>
      </c>
      <c r="AM30" s="9">
        <v>0</v>
      </c>
      <c r="AN30" s="9">
        <v>0</v>
      </c>
      <c r="AO30" s="9">
        <v>0</v>
      </c>
      <c r="AP30" s="9">
        <v>0</v>
      </c>
      <c r="AQ30" s="9">
        <v>0</v>
      </c>
      <c r="AR30" s="9">
        <v>0</v>
      </c>
      <c r="AS30" s="9">
        <v>0</v>
      </c>
      <c r="AT30" s="9">
        <v>0</v>
      </c>
      <c r="AU30" s="9">
        <v>0</v>
      </c>
      <c r="AV30" s="9">
        <v>65848</v>
      </c>
      <c r="AW30" s="9">
        <v>0</v>
      </c>
      <c r="AX30" s="9">
        <v>1675266</v>
      </c>
      <c r="AY30" s="9">
        <v>2294469</v>
      </c>
      <c r="AZ30" s="9">
        <v>189387</v>
      </c>
      <c r="BA30" s="10">
        <v>0</v>
      </c>
      <c r="BB30" s="9">
        <v>0</v>
      </c>
      <c r="BC30" s="9">
        <v>0</v>
      </c>
      <c r="BD30" s="9">
        <v>0</v>
      </c>
      <c r="BE30" s="9">
        <v>0</v>
      </c>
      <c r="BF30" s="9">
        <v>1378699</v>
      </c>
      <c r="BG30" s="9">
        <v>0</v>
      </c>
      <c r="BH30" s="10">
        <v>0</v>
      </c>
      <c r="BI30" s="10">
        <v>0</v>
      </c>
      <c r="BJ30" s="9">
        <v>12</v>
      </c>
      <c r="BK30" s="9">
        <v>0</v>
      </c>
      <c r="BL30" s="9">
        <v>0</v>
      </c>
      <c r="BM30" s="9">
        <v>0</v>
      </c>
      <c r="BN30" s="9">
        <v>0</v>
      </c>
      <c r="BO30" s="9">
        <v>0</v>
      </c>
      <c r="BP30" s="9">
        <v>0</v>
      </c>
      <c r="BQ30" s="9">
        <v>5392</v>
      </c>
      <c r="BR30" s="9">
        <v>1</v>
      </c>
      <c r="BS30" s="9">
        <v>0</v>
      </c>
      <c r="BT30" s="9">
        <v>0</v>
      </c>
      <c r="BU30" s="9">
        <v>0</v>
      </c>
      <c r="BV30" s="9">
        <v>0</v>
      </c>
      <c r="BW30" s="9">
        <v>0</v>
      </c>
      <c r="BX30" s="9">
        <v>0</v>
      </c>
      <c r="BY30" s="9">
        <v>0</v>
      </c>
      <c r="BZ30" s="9">
        <v>0</v>
      </c>
      <c r="CA30" s="9">
        <v>189.387</v>
      </c>
      <c r="CB30" s="9">
        <v>189387</v>
      </c>
      <c r="CC30" s="9">
        <v>0</v>
      </c>
      <c r="CD30" s="9">
        <v>0</v>
      </c>
      <c r="CE30" s="9">
        <v>0</v>
      </c>
      <c r="CF30" s="9">
        <v>0</v>
      </c>
      <c r="CG30" s="9">
        <v>0</v>
      </c>
      <c r="CH30" s="10">
        <v>0</v>
      </c>
      <c r="CI30" s="9">
        <v>0</v>
      </c>
      <c r="CJ30" s="9">
        <v>4</v>
      </c>
      <c r="CK30" s="9">
        <v>0</v>
      </c>
      <c r="CL30" s="9">
        <v>0</v>
      </c>
      <c r="CM30" s="9">
        <v>0</v>
      </c>
      <c r="CN30" s="9">
        <v>0</v>
      </c>
      <c r="CO30" s="9">
        <v>0</v>
      </c>
      <c r="CP30" s="9">
        <v>0</v>
      </c>
      <c r="CQ30" s="9">
        <v>0</v>
      </c>
      <c r="CR30" s="9">
        <v>0</v>
      </c>
      <c r="CS30" s="9">
        <v>0</v>
      </c>
      <c r="CT30" s="9">
        <v>0</v>
      </c>
      <c r="CU30" s="9">
        <v>0</v>
      </c>
      <c r="CV30" s="9">
        <v>0</v>
      </c>
      <c r="CW30" s="9">
        <v>0</v>
      </c>
      <c r="CX30" s="9">
        <v>0</v>
      </c>
      <c r="CY30" s="9">
        <v>0</v>
      </c>
      <c r="CZ30" s="9">
        <v>0</v>
      </c>
      <c r="DA30" s="9">
        <v>1</v>
      </c>
      <c r="DB30" s="9">
        <v>1232237</v>
      </c>
      <c r="DC30" s="9">
        <v>0</v>
      </c>
      <c r="DD30" s="9">
        <v>0</v>
      </c>
      <c r="DE30" s="9">
        <v>0</v>
      </c>
      <c r="DF30" s="9">
        <v>0</v>
      </c>
      <c r="DG30" s="9">
        <v>0</v>
      </c>
      <c r="DH30" s="9">
        <v>0</v>
      </c>
      <c r="DI30" s="9">
        <v>0</v>
      </c>
      <c r="DJ30" s="9">
        <v>0</v>
      </c>
      <c r="DK30" s="9">
        <v>5392</v>
      </c>
      <c r="DL30" s="9">
        <v>0</v>
      </c>
      <c r="DM30" s="9">
        <v>184330</v>
      </c>
      <c r="DN30" s="9">
        <v>0</v>
      </c>
      <c r="DO30" s="9">
        <v>0</v>
      </c>
      <c r="DP30" s="9">
        <v>0</v>
      </c>
      <c r="DQ30" s="9">
        <v>0</v>
      </c>
      <c r="DR30" s="9">
        <v>0</v>
      </c>
      <c r="DS30" s="9">
        <v>0</v>
      </c>
      <c r="DT30" s="9">
        <v>0</v>
      </c>
      <c r="DU30" s="9">
        <v>0</v>
      </c>
      <c r="DV30" s="9">
        <v>0</v>
      </c>
      <c r="DW30" s="9">
        <v>0</v>
      </c>
      <c r="DX30" s="9">
        <v>0</v>
      </c>
      <c r="DY30" s="9">
        <v>0</v>
      </c>
      <c r="DZ30" s="9">
        <v>0</v>
      </c>
      <c r="EA30" s="9">
        <v>0</v>
      </c>
      <c r="EB30" s="9">
        <v>0</v>
      </c>
      <c r="EC30" s="9">
        <v>21.978000000000002</v>
      </c>
      <c r="ED30" s="9">
        <v>158279</v>
      </c>
      <c r="EE30" s="9">
        <v>0</v>
      </c>
      <c r="EF30" s="9">
        <v>0</v>
      </c>
      <c r="EG30" s="9">
        <v>0</v>
      </c>
      <c r="EH30" s="9">
        <v>26051</v>
      </c>
      <c r="EI30" s="9">
        <v>0</v>
      </c>
      <c r="EJ30" s="9">
        <v>0</v>
      </c>
      <c r="EK30" s="9">
        <v>0.83600000000000008</v>
      </c>
      <c r="EL30" s="9">
        <v>0</v>
      </c>
      <c r="EM30" s="9">
        <v>0.10700000000000001</v>
      </c>
      <c r="EN30" s="9">
        <v>0.23</v>
      </c>
      <c r="EO30" s="9">
        <v>0</v>
      </c>
      <c r="EP30" s="9">
        <v>0</v>
      </c>
      <c r="EQ30" s="9">
        <v>1.173</v>
      </c>
      <c r="ER30" s="9">
        <v>0</v>
      </c>
      <c r="ES30" s="9">
        <v>3.9790000000000001</v>
      </c>
      <c r="ET30" s="10">
        <v>0</v>
      </c>
      <c r="EU30" s="9">
        <v>189387</v>
      </c>
      <c r="EV30" s="9">
        <v>0</v>
      </c>
      <c r="EW30" s="9">
        <v>0</v>
      </c>
      <c r="EX30" s="9">
        <v>0</v>
      </c>
      <c r="EY30" s="9">
        <v>0</v>
      </c>
      <c r="EZ30" s="9">
        <v>1416567</v>
      </c>
      <c r="FA30" s="9">
        <v>0</v>
      </c>
      <c r="FB30" s="10">
        <v>1605954</v>
      </c>
      <c r="FC30" s="9">
        <v>0.97326799999999991</v>
      </c>
      <c r="FD30" s="9">
        <v>0</v>
      </c>
      <c r="FE30" s="9">
        <v>213281</v>
      </c>
      <c r="FF30" s="9">
        <v>45418</v>
      </c>
      <c r="FG30" s="9">
        <v>5.8088000000000001E-2</v>
      </c>
      <c r="FH30" s="9">
        <v>5.2622999999999996E-2</v>
      </c>
      <c r="FI30" s="9">
        <v>0</v>
      </c>
      <c r="FJ30" s="9">
        <v>0</v>
      </c>
      <c r="FK30" s="9">
        <v>270.13600000000002</v>
      </c>
      <c r="FL30" s="9">
        <v>0</v>
      </c>
      <c r="FM30" s="9">
        <v>0</v>
      </c>
      <c r="FN30" s="9">
        <v>0</v>
      </c>
      <c r="FO30" s="9">
        <v>0</v>
      </c>
      <c r="FP30" s="9">
        <v>0</v>
      </c>
      <c r="FQ30" s="9">
        <v>0</v>
      </c>
      <c r="FR30" s="9">
        <v>0</v>
      </c>
      <c r="FS30" s="9">
        <v>0</v>
      </c>
      <c r="FT30" s="9">
        <v>0</v>
      </c>
      <c r="FU30" s="9">
        <v>0</v>
      </c>
      <c r="FV30" s="9">
        <v>0</v>
      </c>
      <c r="FW30" s="9">
        <v>0</v>
      </c>
      <c r="FX30" s="9">
        <v>0</v>
      </c>
      <c r="FY30" s="9">
        <v>0</v>
      </c>
      <c r="FZ30" s="9">
        <v>0</v>
      </c>
      <c r="GA30" s="9">
        <v>0</v>
      </c>
      <c r="GB30" s="10">
        <v>0</v>
      </c>
      <c r="GC30" s="10">
        <v>0</v>
      </c>
      <c r="GD30" s="10">
        <v>0</v>
      </c>
      <c r="GE30" s="9">
        <v>0</v>
      </c>
      <c r="GF30" s="9">
        <v>0</v>
      </c>
      <c r="GG30" s="9">
        <v>0</v>
      </c>
      <c r="GH30" s="9">
        <v>0</v>
      </c>
      <c r="GI30" s="9">
        <v>0</v>
      </c>
      <c r="GJ30" s="9">
        <v>0</v>
      </c>
      <c r="GK30" s="9">
        <v>0</v>
      </c>
      <c r="GL30" s="9">
        <v>0</v>
      </c>
      <c r="GM30" s="9">
        <v>0</v>
      </c>
      <c r="GN30" s="9">
        <v>0</v>
      </c>
      <c r="GO30" s="9">
        <v>0</v>
      </c>
      <c r="GP30" s="9">
        <v>1864653</v>
      </c>
      <c r="GQ30" s="9">
        <v>1864653</v>
      </c>
      <c r="GR30" s="9">
        <v>0</v>
      </c>
      <c r="GS30" s="9">
        <v>0</v>
      </c>
      <c r="GT30" s="9">
        <v>0</v>
      </c>
      <c r="GU30" s="9">
        <v>0</v>
      </c>
      <c r="GV30" s="9">
        <v>0</v>
      </c>
      <c r="GW30" s="9">
        <v>0</v>
      </c>
      <c r="GX30" s="9">
        <v>0</v>
      </c>
      <c r="GY30" s="9">
        <v>0</v>
      </c>
      <c r="GZ30" s="9">
        <v>0</v>
      </c>
      <c r="HA30" s="9">
        <v>0</v>
      </c>
      <c r="HB30" s="9">
        <v>0</v>
      </c>
      <c r="HC30" s="9">
        <v>0</v>
      </c>
      <c r="HD30" s="10">
        <v>0</v>
      </c>
      <c r="HE30" s="9">
        <v>0</v>
      </c>
      <c r="HF30" s="9">
        <v>0</v>
      </c>
      <c r="HG30" s="9">
        <v>0</v>
      </c>
      <c r="HH30" s="9">
        <v>0</v>
      </c>
      <c r="HI30" s="9">
        <v>0</v>
      </c>
      <c r="HJ30" s="9">
        <v>0</v>
      </c>
      <c r="HK30" s="9">
        <v>0</v>
      </c>
      <c r="HL30" s="9">
        <v>0</v>
      </c>
      <c r="HM30" s="9">
        <v>0</v>
      </c>
      <c r="HN30" s="9">
        <v>0</v>
      </c>
      <c r="HO30" s="9">
        <v>0</v>
      </c>
      <c r="HP30" s="9">
        <v>0</v>
      </c>
      <c r="HQ30" s="9">
        <v>0</v>
      </c>
      <c r="HR30" s="9">
        <v>0</v>
      </c>
      <c r="HS30" s="9">
        <v>0</v>
      </c>
      <c r="HT30" s="9">
        <v>0</v>
      </c>
      <c r="HU30" s="9">
        <v>0</v>
      </c>
      <c r="HV30" s="9">
        <v>0</v>
      </c>
      <c r="HW30" s="9">
        <v>0</v>
      </c>
      <c r="HX30" s="9">
        <v>0</v>
      </c>
      <c r="HY30" s="9">
        <v>0</v>
      </c>
      <c r="HZ30" s="9">
        <v>0</v>
      </c>
      <c r="IA30" s="9">
        <v>0</v>
      </c>
      <c r="IB30" s="9">
        <v>0</v>
      </c>
      <c r="IC30" s="9">
        <v>0</v>
      </c>
      <c r="ID30" s="9">
        <v>0</v>
      </c>
      <c r="IE30" s="9">
        <v>0</v>
      </c>
      <c r="IF30" s="9">
        <v>0</v>
      </c>
      <c r="IG30" s="9">
        <v>0</v>
      </c>
      <c r="IH30" s="9">
        <v>0</v>
      </c>
      <c r="II30" s="9">
        <v>0</v>
      </c>
      <c r="IJ30" s="9">
        <v>0</v>
      </c>
      <c r="IK30" s="9">
        <v>0</v>
      </c>
      <c r="IL30" s="9">
        <v>0</v>
      </c>
      <c r="IM30" s="9">
        <v>0</v>
      </c>
      <c r="IN30" s="9">
        <v>0</v>
      </c>
      <c r="IO30" s="9">
        <v>0</v>
      </c>
      <c r="IP30" s="9">
        <v>0</v>
      </c>
      <c r="IQ30" s="9">
        <v>0</v>
      </c>
      <c r="IR30" s="9">
        <v>0</v>
      </c>
      <c r="IS30" s="9">
        <v>0</v>
      </c>
      <c r="IT30" s="9">
        <v>0</v>
      </c>
      <c r="IU30" s="9">
        <v>0</v>
      </c>
      <c r="IV30" s="9">
        <v>0</v>
      </c>
      <c r="IW30" s="9">
        <v>0</v>
      </c>
      <c r="IX30" s="9">
        <v>0</v>
      </c>
      <c r="IY30" s="9">
        <v>0</v>
      </c>
      <c r="IZ30" s="9">
        <v>0</v>
      </c>
      <c r="JA30" s="9">
        <v>0</v>
      </c>
      <c r="JB30" s="9">
        <v>0</v>
      </c>
      <c r="JC30" s="9">
        <v>0</v>
      </c>
      <c r="JD30" s="9">
        <v>0</v>
      </c>
      <c r="JE30" s="9">
        <v>0</v>
      </c>
      <c r="JF30" s="9">
        <v>0</v>
      </c>
      <c r="JG30" s="9">
        <v>0</v>
      </c>
      <c r="JH30" s="9">
        <v>0</v>
      </c>
      <c r="JI30" s="9">
        <v>0</v>
      </c>
      <c r="JJ30" s="9">
        <v>0</v>
      </c>
      <c r="JK30" s="9">
        <v>0</v>
      </c>
      <c r="JL30" s="9">
        <v>0</v>
      </c>
      <c r="JM30" s="9">
        <v>0</v>
      </c>
      <c r="JN30" s="9">
        <v>36832</v>
      </c>
      <c r="JO30" s="9">
        <v>0</v>
      </c>
      <c r="JP30" s="9">
        <v>0</v>
      </c>
      <c r="JQ30" s="9">
        <v>0</v>
      </c>
      <c r="JR30" s="9">
        <v>0</v>
      </c>
      <c r="JS30" s="9">
        <v>0</v>
      </c>
      <c r="JT30" s="9">
        <v>0</v>
      </c>
      <c r="JU30" s="9">
        <v>0</v>
      </c>
      <c r="JV30" s="9">
        <v>0</v>
      </c>
      <c r="JW30" s="9">
        <v>0</v>
      </c>
      <c r="JX30" s="9">
        <v>0</v>
      </c>
      <c r="JY30" s="9">
        <v>0</v>
      </c>
      <c r="JZ30" s="9">
        <v>0</v>
      </c>
      <c r="KA30" s="9">
        <v>0</v>
      </c>
      <c r="KB30" s="9">
        <v>0</v>
      </c>
      <c r="KC30" s="9">
        <v>0</v>
      </c>
      <c r="KD30" s="9">
        <v>0</v>
      </c>
      <c r="KE30" s="9">
        <v>0</v>
      </c>
      <c r="KF30" s="9">
        <v>0</v>
      </c>
      <c r="KG30" s="9">
        <v>0</v>
      </c>
      <c r="KH30" s="9">
        <v>0</v>
      </c>
      <c r="KI30" s="9">
        <v>0</v>
      </c>
    </row>
    <row r="31" spans="1:295" ht="13" x14ac:dyDescent="0.3">
      <c r="A31" s="9">
        <v>15841</v>
      </c>
      <c r="B31" s="9">
        <v>36871</v>
      </c>
      <c r="C31" s="9">
        <v>35</v>
      </c>
      <c r="D31" s="9">
        <v>2023</v>
      </c>
      <c r="E31" s="9">
        <v>5392</v>
      </c>
      <c r="F31" s="9">
        <v>0</v>
      </c>
      <c r="G31" s="9">
        <v>0</v>
      </c>
      <c r="H31" s="9">
        <v>323.37299999999999</v>
      </c>
      <c r="I31" s="9">
        <v>323.37299999999999</v>
      </c>
      <c r="J31" s="9">
        <v>325.327</v>
      </c>
      <c r="K31" s="9">
        <v>0</v>
      </c>
      <c r="L31" s="9">
        <v>6547</v>
      </c>
      <c r="M31" s="9">
        <v>0</v>
      </c>
      <c r="N31" s="9">
        <v>0</v>
      </c>
      <c r="O31" s="9">
        <v>0</v>
      </c>
      <c r="P31" s="9">
        <v>0</v>
      </c>
      <c r="Q31" s="9">
        <v>0</v>
      </c>
      <c r="R31" s="10">
        <v>0</v>
      </c>
      <c r="S31" s="9">
        <v>486.92200000000003</v>
      </c>
      <c r="T31" s="9">
        <v>0</v>
      </c>
      <c r="U31" s="10">
        <v>0</v>
      </c>
      <c r="V31" s="10">
        <v>2.25</v>
      </c>
      <c r="W31" s="10">
        <v>1473</v>
      </c>
      <c r="X31" s="10">
        <v>1473</v>
      </c>
      <c r="Y31" s="9">
        <v>0</v>
      </c>
      <c r="Z31" s="9">
        <v>0</v>
      </c>
      <c r="AA31" s="9">
        <v>1</v>
      </c>
      <c r="AB31" s="9">
        <v>1</v>
      </c>
      <c r="AC31" s="9">
        <v>0</v>
      </c>
      <c r="AD31" s="9" t="s">
        <v>314</v>
      </c>
      <c r="AE31" s="9">
        <v>0</v>
      </c>
      <c r="AF31" s="9">
        <v>0</v>
      </c>
      <c r="AG31" s="9">
        <v>0</v>
      </c>
      <c r="AH31" s="9">
        <v>0</v>
      </c>
      <c r="AI31" s="9">
        <v>0</v>
      </c>
      <c r="AJ31" s="9">
        <v>5104</v>
      </c>
      <c r="AK31" s="9" t="s">
        <v>651</v>
      </c>
      <c r="AL31" s="9" t="s">
        <v>538</v>
      </c>
      <c r="AM31" s="9">
        <v>0</v>
      </c>
      <c r="AN31" s="9">
        <v>0</v>
      </c>
      <c r="AO31" s="9">
        <v>0</v>
      </c>
      <c r="AP31" s="9">
        <v>0</v>
      </c>
      <c r="AQ31" s="9">
        <v>0</v>
      </c>
      <c r="AR31" s="9">
        <v>0</v>
      </c>
      <c r="AS31" s="9">
        <v>0</v>
      </c>
      <c r="AT31" s="9">
        <v>0</v>
      </c>
      <c r="AU31" s="9">
        <v>0</v>
      </c>
      <c r="AV31" s="9">
        <v>184</v>
      </c>
      <c r="AW31" s="9">
        <v>0</v>
      </c>
      <c r="AX31" s="9">
        <v>2755205</v>
      </c>
      <c r="AY31" s="9">
        <v>3828486</v>
      </c>
      <c r="AZ31" s="9">
        <v>325327</v>
      </c>
      <c r="BA31" s="10">
        <v>0</v>
      </c>
      <c r="BB31" s="9">
        <v>0</v>
      </c>
      <c r="BC31" s="9">
        <v>0</v>
      </c>
      <c r="BD31" s="9">
        <v>0</v>
      </c>
      <c r="BE31" s="9">
        <v>0</v>
      </c>
      <c r="BF31" s="9">
        <v>2267460</v>
      </c>
      <c r="BG31" s="9">
        <v>0</v>
      </c>
      <c r="BH31" s="10">
        <v>0</v>
      </c>
      <c r="BI31" s="10">
        <v>0</v>
      </c>
      <c r="BJ31" s="9">
        <v>12</v>
      </c>
      <c r="BK31" s="9">
        <v>0</v>
      </c>
      <c r="BL31" s="9">
        <v>0</v>
      </c>
      <c r="BM31" s="9">
        <v>0</v>
      </c>
      <c r="BN31" s="9">
        <v>0</v>
      </c>
      <c r="BO31" s="9">
        <v>0</v>
      </c>
      <c r="BP31" s="9">
        <v>0</v>
      </c>
      <c r="BQ31" s="9">
        <v>5392</v>
      </c>
      <c r="BR31" s="9">
        <v>1</v>
      </c>
      <c r="BS31" s="9">
        <v>0</v>
      </c>
      <c r="BT31" s="9">
        <v>0</v>
      </c>
      <c r="BU31" s="9">
        <v>0</v>
      </c>
      <c r="BV31" s="9">
        <v>0</v>
      </c>
      <c r="BW31" s="9">
        <v>0</v>
      </c>
      <c r="BX31" s="9">
        <v>0</v>
      </c>
      <c r="BY31" s="9">
        <v>0</v>
      </c>
      <c r="BZ31" s="9">
        <v>0</v>
      </c>
      <c r="CA31" s="9">
        <v>325.327</v>
      </c>
      <c r="CB31" s="9">
        <v>325327</v>
      </c>
      <c r="CC31" s="9">
        <v>0</v>
      </c>
      <c r="CD31" s="9">
        <v>0</v>
      </c>
      <c r="CE31" s="9">
        <v>0</v>
      </c>
      <c r="CF31" s="9">
        <v>0</v>
      </c>
      <c r="CG31" s="9">
        <v>0</v>
      </c>
      <c r="CH31" s="10">
        <v>0</v>
      </c>
      <c r="CI31" s="9">
        <v>0</v>
      </c>
      <c r="CJ31" s="9">
        <v>4</v>
      </c>
      <c r="CK31" s="9">
        <v>0</v>
      </c>
      <c r="CL31" s="9">
        <v>0</v>
      </c>
      <c r="CM31" s="9">
        <v>0</v>
      </c>
      <c r="CN31" s="9">
        <v>0</v>
      </c>
      <c r="CO31" s="9">
        <v>0</v>
      </c>
      <c r="CP31" s="9">
        <v>0</v>
      </c>
      <c r="CQ31" s="9">
        <v>0</v>
      </c>
      <c r="CR31" s="9">
        <v>0</v>
      </c>
      <c r="CS31" s="9">
        <v>0</v>
      </c>
      <c r="CT31" s="9">
        <v>0</v>
      </c>
      <c r="CU31" s="9">
        <v>0</v>
      </c>
      <c r="CV31" s="9">
        <v>0</v>
      </c>
      <c r="CW31" s="9">
        <v>0</v>
      </c>
      <c r="CX31" s="9">
        <v>0</v>
      </c>
      <c r="CY31" s="9">
        <v>0</v>
      </c>
      <c r="CZ31" s="9">
        <v>0</v>
      </c>
      <c r="DA31" s="9">
        <v>1</v>
      </c>
      <c r="DB31" s="9">
        <v>2117123</v>
      </c>
      <c r="DC31" s="9">
        <v>0</v>
      </c>
      <c r="DD31" s="9">
        <v>0</v>
      </c>
      <c r="DE31" s="9">
        <v>0</v>
      </c>
      <c r="DF31" s="9">
        <v>0</v>
      </c>
      <c r="DG31" s="9">
        <v>0</v>
      </c>
      <c r="DH31" s="9">
        <v>0</v>
      </c>
      <c r="DI31" s="9">
        <v>0</v>
      </c>
      <c r="DJ31" s="9">
        <v>0</v>
      </c>
      <c r="DK31" s="9">
        <v>5392</v>
      </c>
      <c r="DL31" s="9">
        <v>0</v>
      </c>
      <c r="DM31" s="9">
        <v>211143</v>
      </c>
      <c r="DN31" s="9">
        <v>0</v>
      </c>
      <c r="DO31" s="9">
        <v>0</v>
      </c>
      <c r="DP31" s="9">
        <v>0</v>
      </c>
      <c r="DQ31" s="9">
        <v>0</v>
      </c>
      <c r="DR31" s="9">
        <v>0</v>
      </c>
      <c r="DS31" s="9">
        <v>0</v>
      </c>
      <c r="DT31" s="9">
        <v>0</v>
      </c>
      <c r="DU31" s="9">
        <v>0</v>
      </c>
      <c r="DV31" s="9">
        <v>0</v>
      </c>
      <c r="DW31" s="9">
        <v>0</v>
      </c>
      <c r="DX31" s="9">
        <v>0</v>
      </c>
      <c r="DY31" s="9">
        <v>0</v>
      </c>
      <c r="DZ31" s="9">
        <v>0</v>
      </c>
      <c r="EA31" s="9">
        <v>0</v>
      </c>
      <c r="EB31" s="9">
        <v>0</v>
      </c>
      <c r="EC31" s="9">
        <v>21.813000000000002</v>
      </c>
      <c r="ED31" s="9">
        <v>157091</v>
      </c>
      <c r="EE31" s="9">
        <v>0</v>
      </c>
      <c r="EF31" s="9">
        <v>0</v>
      </c>
      <c r="EG31" s="9">
        <v>0</v>
      </c>
      <c r="EH31" s="9">
        <v>54052</v>
      </c>
      <c r="EI31" s="9">
        <v>0</v>
      </c>
      <c r="EJ31" s="9">
        <v>0</v>
      </c>
      <c r="EK31" s="9">
        <v>0.75700000000000001</v>
      </c>
      <c r="EL31" s="9">
        <v>0</v>
      </c>
      <c r="EM31" s="9">
        <v>0</v>
      </c>
      <c r="EN31" s="9">
        <v>1.1970000000000001</v>
      </c>
      <c r="EO31" s="9">
        <v>0</v>
      </c>
      <c r="EP31" s="9">
        <v>0</v>
      </c>
      <c r="EQ31" s="9">
        <v>1.9540000000000002</v>
      </c>
      <c r="ER31" s="9">
        <v>0</v>
      </c>
      <c r="ES31" s="9">
        <v>8.2560000000000002</v>
      </c>
      <c r="ET31" s="10">
        <v>0</v>
      </c>
      <c r="EU31" s="9">
        <v>325327</v>
      </c>
      <c r="EV31" s="9">
        <v>0</v>
      </c>
      <c r="EW31" s="9">
        <v>0</v>
      </c>
      <c r="EX31" s="9">
        <v>0</v>
      </c>
      <c r="EY31" s="9">
        <v>0</v>
      </c>
      <c r="EZ31" s="9">
        <v>2329739</v>
      </c>
      <c r="FA31" s="9">
        <v>0</v>
      </c>
      <c r="FB31" s="10">
        <v>2655066</v>
      </c>
      <c r="FC31" s="9">
        <v>0.97326799999999991</v>
      </c>
      <c r="FD31" s="9">
        <v>0</v>
      </c>
      <c r="FE31" s="9">
        <v>350770</v>
      </c>
      <c r="FF31" s="9">
        <v>74696</v>
      </c>
      <c r="FG31" s="9">
        <v>5.8088000000000001E-2</v>
      </c>
      <c r="FH31" s="9">
        <v>5.2622999999999996E-2</v>
      </c>
      <c r="FI31" s="9">
        <v>0</v>
      </c>
      <c r="FJ31" s="9">
        <v>0</v>
      </c>
      <c r="FK31" s="9">
        <v>444.27600000000001</v>
      </c>
      <c r="FL31" s="9">
        <v>0</v>
      </c>
      <c r="FM31" s="9">
        <v>0</v>
      </c>
      <c r="FN31" s="9">
        <v>0</v>
      </c>
      <c r="FO31" s="9">
        <v>0</v>
      </c>
      <c r="FP31" s="9">
        <v>0</v>
      </c>
      <c r="FQ31" s="9">
        <v>0</v>
      </c>
      <c r="FR31" s="9">
        <v>0</v>
      </c>
      <c r="FS31" s="9">
        <v>0</v>
      </c>
      <c r="FT31" s="9">
        <v>0</v>
      </c>
      <c r="FU31" s="9">
        <v>0</v>
      </c>
      <c r="FV31" s="9">
        <v>0</v>
      </c>
      <c r="FW31" s="9">
        <v>0</v>
      </c>
      <c r="FX31" s="9">
        <v>0</v>
      </c>
      <c r="FY31" s="9">
        <v>0</v>
      </c>
      <c r="FZ31" s="9">
        <v>0</v>
      </c>
      <c r="GA31" s="9">
        <v>0</v>
      </c>
      <c r="GB31" s="10">
        <v>0</v>
      </c>
      <c r="GC31" s="10">
        <v>0</v>
      </c>
      <c r="GD31" s="10">
        <v>0</v>
      </c>
      <c r="GE31" s="9">
        <v>0</v>
      </c>
      <c r="GF31" s="9">
        <v>0</v>
      </c>
      <c r="GG31" s="9">
        <v>0</v>
      </c>
      <c r="GH31" s="9">
        <v>0</v>
      </c>
      <c r="GI31" s="9">
        <v>0</v>
      </c>
      <c r="GJ31" s="9">
        <v>0</v>
      </c>
      <c r="GK31" s="9">
        <v>0</v>
      </c>
      <c r="GL31" s="9">
        <v>0</v>
      </c>
      <c r="GM31" s="9">
        <v>0</v>
      </c>
      <c r="GN31" s="9">
        <v>0</v>
      </c>
      <c r="GO31" s="9">
        <v>0</v>
      </c>
      <c r="GP31" s="9">
        <v>3080532</v>
      </c>
      <c r="GQ31" s="9">
        <v>3080532</v>
      </c>
      <c r="GR31" s="9">
        <v>0</v>
      </c>
      <c r="GS31" s="9">
        <v>0</v>
      </c>
      <c r="GT31" s="9">
        <v>0</v>
      </c>
      <c r="GU31" s="9">
        <v>0</v>
      </c>
      <c r="GV31" s="9">
        <v>0</v>
      </c>
      <c r="GW31" s="9">
        <v>0</v>
      </c>
      <c r="GX31" s="9">
        <v>0</v>
      </c>
      <c r="GY31" s="9">
        <v>0</v>
      </c>
      <c r="GZ31" s="9">
        <v>0</v>
      </c>
      <c r="HA31" s="9">
        <v>0</v>
      </c>
      <c r="HB31" s="9">
        <v>0</v>
      </c>
      <c r="HC31" s="9">
        <v>0</v>
      </c>
      <c r="HD31" s="10">
        <v>0</v>
      </c>
      <c r="HE31" s="9">
        <v>0</v>
      </c>
      <c r="HF31" s="9">
        <v>0</v>
      </c>
      <c r="HG31" s="9">
        <v>0</v>
      </c>
      <c r="HH31" s="9">
        <v>0</v>
      </c>
      <c r="HI31" s="9">
        <v>0</v>
      </c>
      <c r="HJ31" s="9">
        <v>0</v>
      </c>
      <c r="HK31" s="9">
        <v>0</v>
      </c>
      <c r="HL31" s="9">
        <v>0</v>
      </c>
      <c r="HM31" s="9">
        <v>0</v>
      </c>
      <c r="HN31" s="9">
        <v>0</v>
      </c>
      <c r="HO31" s="9">
        <v>0</v>
      </c>
      <c r="HP31" s="9">
        <v>0</v>
      </c>
      <c r="HQ31" s="9">
        <v>0</v>
      </c>
      <c r="HR31" s="9">
        <v>0</v>
      </c>
      <c r="HS31" s="9">
        <v>0</v>
      </c>
      <c r="HT31" s="9">
        <v>0</v>
      </c>
      <c r="HU31" s="9">
        <v>0</v>
      </c>
      <c r="HV31" s="9">
        <v>0</v>
      </c>
      <c r="HW31" s="9">
        <v>0</v>
      </c>
      <c r="HX31" s="9">
        <v>0</v>
      </c>
      <c r="HY31" s="9">
        <v>0</v>
      </c>
      <c r="HZ31" s="9">
        <v>0</v>
      </c>
      <c r="IA31" s="9">
        <v>0</v>
      </c>
      <c r="IB31" s="9">
        <v>0</v>
      </c>
      <c r="IC31" s="9">
        <v>0</v>
      </c>
      <c r="ID31" s="9">
        <v>0</v>
      </c>
      <c r="IE31" s="9">
        <v>0</v>
      </c>
      <c r="IF31" s="9">
        <v>0</v>
      </c>
      <c r="IG31" s="9">
        <v>0</v>
      </c>
      <c r="IH31" s="9">
        <v>0</v>
      </c>
      <c r="II31" s="9">
        <v>0</v>
      </c>
      <c r="IJ31" s="9">
        <v>0</v>
      </c>
      <c r="IK31" s="9">
        <v>0</v>
      </c>
      <c r="IL31" s="9">
        <v>0</v>
      </c>
      <c r="IM31" s="9">
        <v>0</v>
      </c>
      <c r="IN31" s="9">
        <v>0</v>
      </c>
      <c r="IO31" s="9">
        <v>0</v>
      </c>
      <c r="IP31" s="9">
        <v>0</v>
      </c>
      <c r="IQ31" s="9">
        <v>0</v>
      </c>
      <c r="IR31" s="9">
        <v>0</v>
      </c>
      <c r="IS31" s="9">
        <v>0</v>
      </c>
      <c r="IT31" s="9">
        <v>0</v>
      </c>
      <c r="IU31" s="9">
        <v>0</v>
      </c>
      <c r="IV31" s="9">
        <v>0</v>
      </c>
      <c r="IW31" s="9">
        <v>0</v>
      </c>
      <c r="IX31" s="9">
        <v>0</v>
      </c>
      <c r="IY31" s="9">
        <v>0</v>
      </c>
      <c r="IZ31" s="9">
        <v>0</v>
      </c>
      <c r="JA31" s="9">
        <v>0</v>
      </c>
      <c r="JB31" s="9">
        <v>0</v>
      </c>
      <c r="JC31" s="9">
        <v>0</v>
      </c>
      <c r="JD31" s="9">
        <v>0</v>
      </c>
      <c r="JE31" s="9">
        <v>0</v>
      </c>
      <c r="JF31" s="9">
        <v>0</v>
      </c>
      <c r="JG31" s="9">
        <v>0</v>
      </c>
      <c r="JH31" s="9">
        <v>0</v>
      </c>
      <c r="JI31" s="9">
        <v>0</v>
      </c>
      <c r="JJ31" s="9">
        <v>0</v>
      </c>
      <c r="JK31" s="9">
        <v>0</v>
      </c>
      <c r="JL31" s="9">
        <v>0</v>
      </c>
      <c r="JM31" s="9">
        <v>0</v>
      </c>
      <c r="JN31" s="9">
        <v>36832</v>
      </c>
      <c r="JO31" s="9">
        <v>0</v>
      </c>
      <c r="JP31" s="9">
        <v>0</v>
      </c>
      <c r="JQ31" s="9">
        <v>0</v>
      </c>
      <c r="JR31" s="9">
        <v>0</v>
      </c>
      <c r="JS31" s="9">
        <v>0</v>
      </c>
      <c r="JT31" s="9">
        <v>0</v>
      </c>
      <c r="JU31" s="9">
        <v>0</v>
      </c>
      <c r="JV31" s="9">
        <v>0</v>
      </c>
      <c r="JW31" s="9">
        <v>0</v>
      </c>
      <c r="JX31" s="9">
        <v>0</v>
      </c>
      <c r="JY31" s="9">
        <v>0</v>
      </c>
      <c r="JZ31" s="9">
        <v>0</v>
      </c>
      <c r="KA31" s="9">
        <v>0</v>
      </c>
      <c r="KB31" s="9">
        <v>0</v>
      </c>
      <c r="KC31" s="9">
        <v>0</v>
      </c>
      <c r="KD31" s="9">
        <v>0</v>
      </c>
      <c r="KE31" s="9">
        <v>0</v>
      </c>
      <c r="KF31" s="9">
        <v>0</v>
      </c>
      <c r="KG31" s="9">
        <v>0</v>
      </c>
      <c r="KH31" s="9">
        <v>0</v>
      </c>
      <c r="KI31" s="9">
        <v>0</v>
      </c>
    </row>
    <row r="32" spans="1:295" ht="13" x14ac:dyDescent="0.3">
      <c r="A32" s="9">
        <v>15842</v>
      </c>
      <c r="B32" s="9">
        <v>0</v>
      </c>
      <c r="C32" s="9">
        <v>0</v>
      </c>
      <c r="D32" s="9">
        <v>0</v>
      </c>
      <c r="E32" s="9">
        <v>0</v>
      </c>
      <c r="F32" s="9">
        <v>0</v>
      </c>
      <c r="G32" s="9">
        <v>0</v>
      </c>
      <c r="H32" s="9">
        <v>0</v>
      </c>
      <c r="I32" s="9">
        <v>0</v>
      </c>
      <c r="J32" s="9">
        <v>0</v>
      </c>
      <c r="K32" s="9">
        <v>0</v>
      </c>
      <c r="L32" s="9">
        <v>0</v>
      </c>
      <c r="M32" s="9">
        <v>0</v>
      </c>
      <c r="N32" s="9">
        <v>0</v>
      </c>
      <c r="O32" s="9">
        <v>0</v>
      </c>
      <c r="P32" s="9">
        <v>0</v>
      </c>
      <c r="Q32" s="9">
        <v>0</v>
      </c>
      <c r="R32" s="10">
        <v>0</v>
      </c>
      <c r="S32" s="9">
        <v>0</v>
      </c>
      <c r="T32" s="9">
        <v>0</v>
      </c>
      <c r="U32" s="10">
        <v>0</v>
      </c>
      <c r="V32" s="10">
        <v>0</v>
      </c>
      <c r="W32" s="10">
        <v>0</v>
      </c>
      <c r="X32" s="10">
        <v>0</v>
      </c>
      <c r="Y32" s="9">
        <v>0</v>
      </c>
      <c r="Z32" s="9">
        <v>0</v>
      </c>
      <c r="AA32" s="9">
        <v>0</v>
      </c>
      <c r="AB32" s="9">
        <v>0</v>
      </c>
      <c r="AC32" s="9">
        <v>0</v>
      </c>
      <c r="AD32" s="9">
        <v>0</v>
      </c>
      <c r="AE32" s="9">
        <v>0</v>
      </c>
      <c r="AF32" s="9">
        <v>0</v>
      </c>
      <c r="AG32" s="9">
        <v>0</v>
      </c>
      <c r="AH32" s="9">
        <v>0</v>
      </c>
      <c r="AI32" s="9">
        <v>0</v>
      </c>
      <c r="AJ32" s="9">
        <v>0</v>
      </c>
      <c r="AK32" s="9">
        <v>0</v>
      </c>
      <c r="AL32" s="9">
        <v>0</v>
      </c>
      <c r="AM32" s="9">
        <v>0</v>
      </c>
      <c r="AN32" s="9">
        <v>0</v>
      </c>
      <c r="AO32" s="9">
        <v>0</v>
      </c>
      <c r="AP32" s="9">
        <v>0</v>
      </c>
      <c r="AQ32" s="9">
        <v>0</v>
      </c>
      <c r="AR32" s="9">
        <v>0</v>
      </c>
      <c r="AS32" s="9">
        <v>0</v>
      </c>
      <c r="AT32" s="9">
        <v>0</v>
      </c>
      <c r="AU32" s="9">
        <v>0</v>
      </c>
      <c r="AV32" s="9">
        <v>0</v>
      </c>
      <c r="AW32" s="9">
        <v>0</v>
      </c>
      <c r="AX32" s="9">
        <v>0</v>
      </c>
      <c r="AY32" s="9">
        <v>0</v>
      </c>
      <c r="AZ32" s="9">
        <v>0</v>
      </c>
      <c r="BA32" s="10">
        <v>0</v>
      </c>
      <c r="BB32" s="9">
        <v>0</v>
      </c>
      <c r="BC32" s="9">
        <v>0</v>
      </c>
      <c r="BD32" s="9">
        <v>0</v>
      </c>
      <c r="BE32" s="9">
        <v>0</v>
      </c>
      <c r="BF32" s="9">
        <v>0</v>
      </c>
      <c r="BG32" s="9">
        <v>0</v>
      </c>
      <c r="BH32" s="10">
        <v>0</v>
      </c>
      <c r="BI32" s="10">
        <v>0</v>
      </c>
      <c r="BJ32" s="9">
        <v>0</v>
      </c>
      <c r="BK32" s="9">
        <v>0</v>
      </c>
      <c r="BL32" s="9">
        <v>0</v>
      </c>
      <c r="BM32" s="9">
        <v>0</v>
      </c>
      <c r="BN32" s="9">
        <v>0</v>
      </c>
      <c r="BO32" s="9">
        <v>0</v>
      </c>
      <c r="BP32" s="9">
        <v>0</v>
      </c>
      <c r="BQ32" s="9">
        <v>0</v>
      </c>
      <c r="BR32" s="9">
        <v>0</v>
      </c>
      <c r="BS32" s="9">
        <v>0</v>
      </c>
      <c r="BT32" s="9">
        <v>0</v>
      </c>
      <c r="BU32" s="9">
        <v>0</v>
      </c>
      <c r="BV32" s="9">
        <v>0</v>
      </c>
      <c r="BW32" s="9">
        <v>0</v>
      </c>
      <c r="BX32" s="9">
        <v>0</v>
      </c>
      <c r="BY32" s="9">
        <v>0</v>
      </c>
      <c r="BZ32" s="9">
        <v>0</v>
      </c>
      <c r="CA32" s="9">
        <v>0</v>
      </c>
      <c r="CB32" s="9">
        <v>0</v>
      </c>
      <c r="CC32" s="9">
        <v>0</v>
      </c>
      <c r="CD32" s="9">
        <v>0</v>
      </c>
      <c r="CE32" s="9">
        <v>0</v>
      </c>
      <c r="CF32" s="9">
        <v>0</v>
      </c>
      <c r="CG32" s="9">
        <v>0</v>
      </c>
      <c r="CH32" s="10">
        <v>0</v>
      </c>
      <c r="CI32" s="9">
        <v>0</v>
      </c>
      <c r="CJ32" s="9">
        <v>0</v>
      </c>
      <c r="CK32" s="9">
        <v>0</v>
      </c>
      <c r="CL32" s="9">
        <v>0</v>
      </c>
      <c r="CM32" s="9">
        <v>0</v>
      </c>
      <c r="CN32" s="9">
        <v>0</v>
      </c>
      <c r="CO32" s="9">
        <v>0</v>
      </c>
      <c r="CP32" s="9">
        <v>0</v>
      </c>
      <c r="CQ32" s="9">
        <v>0</v>
      </c>
      <c r="CR32" s="9">
        <v>0</v>
      </c>
      <c r="CS32" s="9">
        <v>0</v>
      </c>
      <c r="CT32" s="9">
        <v>0</v>
      </c>
      <c r="CU32" s="9">
        <v>0</v>
      </c>
      <c r="CV32" s="9">
        <v>0</v>
      </c>
      <c r="CW32" s="9">
        <v>0</v>
      </c>
      <c r="CX32" s="9">
        <v>0</v>
      </c>
      <c r="CY32" s="9">
        <v>0</v>
      </c>
      <c r="CZ32" s="9">
        <v>0</v>
      </c>
      <c r="DA32" s="9">
        <v>0</v>
      </c>
      <c r="DB32" s="9">
        <v>0</v>
      </c>
      <c r="DC32" s="9">
        <v>0</v>
      </c>
      <c r="DD32" s="9">
        <v>0</v>
      </c>
      <c r="DE32" s="9">
        <v>0</v>
      </c>
      <c r="DF32" s="9">
        <v>0</v>
      </c>
      <c r="DG32" s="9">
        <v>0</v>
      </c>
      <c r="DH32" s="9">
        <v>0</v>
      </c>
      <c r="DI32" s="9">
        <v>0</v>
      </c>
      <c r="DJ32" s="9">
        <v>0</v>
      </c>
      <c r="DK32" s="9">
        <v>0</v>
      </c>
      <c r="DL32" s="9">
        <v>0</v>
      </c>
      <c r="DM32" s="9">
        <v>0</v>
      </c>
      <c r="DN32" s="9">
        <v>0</v>
      </c>
      <c r="DO32" s="9">
        <v>0</v>
      </c>
      <c r="DP32" s="9">
        <v>0</v>
      </c>
      <c r="DQ32" s="9">
        <v>0</v>
      </c>
      <c r="DR32" s="9">
        <v>0</v>
      </c>
      <c r="DS32" s="9">
        <v>0</v>
      </c>
      <c r="DT32" s="9">
        <v>0</v>
      </c>
      <c r="DU32" s="9">
        <v>0</v>
      </c>
      <c r="DV32" s="9">
        <v>0</v>
      </c>
      <c r="DW32" s="9">
        <v>0</v>
      </c>
      <c r="DX32" s="9">
        <v>0</v>
      </c>
      <c r="DY32" s="9">
        <v>0</v>
      </c>
      <c r="DZ32" s="9">
        <v>0</v>
      </c>
      <c r="EA32" s="9">
        <v>0</v>
      </c>
      <c r="EB32" s="9">
        <v>0</v>
      </c>
      <c r="EC32" s="9">
        <v>0</v>
      </c>
      <c r="ED32" s="9">
        <v>0</v>
      </c>
      <c r="EE32" s="9">
        <v>0</v>
      </c>
      <c r="EF32" s="9">
        <v>0</v>
      </c>
      <c r="EG32" s="9">
        <v>0</v>
      </c>
      <c r="EH32" s="9">
        <v>0</v>
      </c>
      <c r="EI32" s="9">
        <v>0</v>
      </c>
      <c r="EJ32" s="9">
        <v>0</v>
      </c>
      <c r="EK32" s="9">
        <v>0</v>
      </c>
      <c r="EL32" s="9">
        <v>0</v>
      </c>
      <c r="EM32" s="9">
        <v>0</v>
      </c>
      <c r="EN32" s="9">
        <v>0</v>
      </c>
      <c r="EO32" s="9">
        <v>0</v>
      </c>
      <c r="EP32" s="9">
        <v>0</v>
      </c>
      <c r="EQ32" s="9">
        <v>0</v>
      </c>
      <c r="ER32" s="9">
        <v>0</v>
      </c>
      <c r="ES32" s="9">
        <v>0</v>
      </c>
      <c r="ET32" s="10">
        <v>0</v>
      </c>
      <c r="EU32" s="9">
        <v>0</v>
      </c>
      <c r="EV32" s="9">
        <v>0</v>
      </c>
      <c r="EW32" s="9">
        <v>0</v>
      </c>
      <c r="EX32" s="9">
        <v>0</v>
      </c>
      <c r="EY32" s="9">
        <v>0</v>
      </c>
      <c r="EZ32" s="9">
        <v>0</v>
      </c>
      <c r="FA32" s="9">
        <v>0</v>
      </c>
      <c r="FB32" s="10">
        <v>0</v>
      </c>
      <c r="FC32" s="9">
        <v>0</v>
      </c>
      <c r="FD32" s="9">
        <v>0</v>
      </c>
      <c r="FE32" s="9">
        <v>0</v>
      </c>
      <c r="FF32" s="9">
        <v>0</v>
      </c>
      <c r="FG32" s="9">
        <v>0</v>
      </c>
      <c r="FH32" s="9">
        <v>0</v>
      </c>
      <c r="FI32" s="9">
        <v>0</v>
      </c>
      <c r="FJ32" s="9">
        <v>0</v>
      </c>
      <c r="FK32" s="9">
        <v>0</v>
      </c>
      <c r="FL32" s="9">
        <v>0</v>
      </c>
      <c r="FM32" s="9">
        <v>0</v>
      </c>
      <c r="FN32" s="9">
        <v>0</v>
      </c>
      <c r="FO32" s="9">
        <v>0</v>
      </c>
      <c r="FP32" s="9">
        <v>0</v>
      </c>
      <c r="FQ32" s="9">
        <v>0</v>
      </c>
      <c r="FR32" s="9">
        <v>0</v>
      </c>
      <c r="FS32" s="9">
        <v>0</v>
      </c>
      <c r="FT32" s="9">
        <v>0</v>
      </c>
      <c r="FU32" s="9">
        <v>0</v>
      </c>
      <c r="FV32" s="9">
        <v>0</v>
      </c>
      <c r="FW32" s="9">
        <v>0</v>
      </c>
      <c r="FX32" s="9">
        <v>0</v>
      </c>
      <c r="FY32" s="9">
        <v>0</v>
      </c>
      <c r="FZ32" s="9">
        <v>0</v>
      </c>
      <c r="GA32" s="9">
        <v>0</v>
      </c>
      <c r="GB32" s="10">
        <v>0</v>
      </c>
      <c r="GC32" s="10">
        <v>0</v>
      </c>
      <c r="GD32" s="10">
        <v>0</v>
      </c>
      <c r="GE32" s="9">
        <v>0</v>
      </c>
      <c r="GF32" s="9">
        <v>0</v>
      </c>
      <c r="GG32" s="9">
        <v>0</v>
      </c>
      <c r="GH32" s="9">
        <v>0</v>
      </c>
      <c r="GI32" s="9">
        <v>0</v>
      </c>
      <c r="GJ32" s="9">
        <v>0</v>
      </c>
      <c r="GK32" s="9">
        <v>0</v>
      </c>
      <c r="GL32" s="9">
        <v>0</v>
      </c>
      <c r="GM32" s="9">
        <v>0</v>
      </c>
      <c r="GN32" s="9">
        <v>0</v>
      </c>
      <c r="GO32" s="9">
        <v>0</v>
      </c>
      <c r="GP32" s="9">
        <v>0</v>
      </c>
      <c r="GQ32" s="9">
        <v>0</v>
      </c>
      <c r="GR32" s="9">
        <v>0</v>
      </c>
      <c r="GS32" s="9">
        <v>0</v>
      </c>
      <c r="GT32" s="9">
        <v>0</v>
      </c>
      <c r="GU32" s="9">
        <v>0</v>
      </c>
      <c r="GV32" s="9">
        <v>0</v>
      </c>
      <c r="GW32" s="9">
        <v>0</v>
      </c>
      <c r="GX32" s="9">
        <v>0</v>
      </c>
      <c r="GY32" s="9">
        <v>0</v>
      </c>
      <c r="GZ32" s="9">
        <v>0</v>
      </c>
      <c r="HA32" s="9">
        <v>0</v>
      </c>
      <c r="HB32" s="9">
        <v>0</v>
      </c>
      <c r="HC32" s="9">
        <v>0</v>
      </c>
      <c r="HD32" s="10">
        <v>0</v>
      </c>
      <c r="HE32" s="9">
        <v>0</v>
      </c>
      <c r="HF32" s="9">
        <v>0</v>
      </c>
      <c r="HG32" s="9">
        <v>0</v>
      </c>
      <c r="HH32" s="9">
        <v>0</v>
      </c>
      <c r="HI32" s="9">
        <v>0</v>
      </c>
      <c r="HJ32" s="9">
        <v>0</v>
      </c>
      <c r="HK32" s="9">
        <v>0</v>
      </c>
      <c r="HL32" s="9">
        <v>0</v>
      </c>
      <c r="HM32" s="9">
        <v>0</v>
      </c>
      <c r="HN32" s="9">
        <v>0</v>
      </c>
      <c r="HO32" s="9">
        <v>0</v>
      </c>
      <c r="HP32" s="9">
        <v>0</v>
      </c>
      <c r="HQ32" s="9">
        <v>0</v>
      </c>
      <c r="HR32" s="9">
        <v>0</v>
      </c>
      <c r="HS32" s="9">
        <v>0</v>
      </c>
      <c r="HT32" s="9">
        <v>0</v>
      </c>
      <c r="HU32" s="9">
        <v>0</v>
      </c>
      <c r="HV32" s="9">
        <v>0</v>
      </c>
      <c r="HW32" s="9">
        <v>0</v>
      </c>
      <c r="HX32" s="9">
        <v>0</v>
      </c>
      <c r="HY32" s="9">
        <v>0</v>
      </c>
      <c r="HZ32" s="9">
        <v>0</v>
      </c>
      <c r="IA32" s="9">
        <v>0</v>
      </c>
      <c r="IB32" s="9">
        <v>0</v>
      </c>
      <c r="IC32" s="9">
        <v>0</v>
      </c>
      <c r="ID32" s="9">
        <v>0</v>
      </c>
      <c r="IE32" s="9">
        <v>0</v>
      </c>
      <c r="IF32" s="9">
        <v>0</v>
      </c>
      <c r="IG32" s="9">
        <v>0</v>
      </c>
      <c r="IH32" s="9">
        <v>0</v>
      </c>
      <c r="II32" s="9">
        <v>0</v>
      </c>
      <c r="IJ32" s="9">
        <v>0</v>
      </c>
      <c r="IK32" s="9">
        <v>0</v>
      </c>
      <c r="IL32" s="9">
        <v>0</v>
      </c>
      <c r="IM32" s="9">
        <v>0</v>
      </c>
      <c r="IN32" s="9">
        <v>0</v>
      </c>
      <c r="IO32" s="9">
        <v>0</v>
      </c>
      <c r="IP32" s="9">
        <v>0</v>
      </c>
      <c r="IQ32" s="9">
        <v>0</v>
      </c>
      <c r="IR32" s="9">
        <v>0</v>
      </c>
      <c r="IS32" s="9">
        <v>0</v>
      </c>
      <c r="IT32" s="9">
        <v>0</v>
      </c>
      <c r="IU32" s="9">
        <v>0</v>
      </c>
      <c r="IV32" s="9">
        <v>0</v>
      </c>
      <c r="IW32" s="9">
        <v>0</v>
      </c>
      <c r="IX32" s="9">
        <v>0</v>
      </c>
      <c r="IY32" s="9">
        <v>0</v>
      </c>
      <c r="IZ32" s="9">
        <v>0</v>
      </c>
      <c r="JA32" s="9">
        <v>0</v>
      </c>
      <c r="JB32" s="9">
        <v>0</v>
      </c>
      <c r="JC32" s="9">
        <v>0</v>
      </c>
      <c r="JD32" s="9">
        <v>0</v>
      </c>
      <c r="JE32" s="9">
        <v>0</v>
      </c>
      <c r="JF32" s="9">
        <v>0</v>
      </c>
      <c r="JG32" s="9">
        <v>0</v>
      </c>
      <c r="JH32" s="9">
        <v>0</v>
      </c>
      <c r="JI32" s="9">
        <v>0</v>
      </c>
      <c r="JJ32" s="9">
        <v>0</v>
      </c>
      <c r="JK32" s="9">
        <v>0</v>
      </c>
      <c r="JL32" s="9">
        <v>0</v>
      </c>
      <c r="JM32" s="9">
        <v>0</v>
      </c>
      <c r="JN32" s="9">
        <v>0</v>
      </c>
      <c r="JO32" s="9">
        <v>0</v>
      </c>
      <c r="JP32" s="9">
        <v>0</v>
      </c>
      <c r="JQ32" s="9">
        <v>0</v>
      </c>
      <c r="JR32" s="9">
        <v>0</v>
      </c>
      <c r="JS32" s="9">
        <v>0</v>
      </c>
      <c r="JT32" s="9">
        <v>0</v>
      </c>
      <c r="JU32" s="9">
        <v>0</v>
      </c>
      <c r="JV32" s="9">
        <v>0</v>
      </c>
      <c r="JW32" s="9">
        <v>0</v>
      </c>
      <c r="JX32" s="9">
        <v>0</v>
      </c>
      <c r="JY32" s="9">
        <v>0</v>
      </c>
      <c r="JZ32" s="9">
        <v>0</v>
      </c>
      <c r="KA32" s="9">
        <v>0</v>
      </c>
      <c r="KB32" s="9">
        <v>0</v>
      </c>
      <c r="KC32" s="9">
        <v>0</v>
      </c>
      <c r="KD32" s="9">
        <v>0</v>
      </c>
      <c r="KE32" s="9">
        <v>0</v>
      </c>
      <c r="KF32" s="9">
        <v>0</v>
      </c>
      <c r="KG32" s="9">
        <v>0</v>
      </c>
      <c r="KH32" s="9">
        <v>0</v>
      </c>
      <c r="KI32" s="9">
        <v>0</v>
      </c>
    </row>
    <row r="33" spans="1:295" ht="13" x14ac:dyDescent="0.3">
      <c r="A33" s="9">
        <v>15843</v>
      </c>
      <c r="B33" s="9">
        <v>0</v>
      </c>
      <c r="C33" s="9">
        <v>0</v>
      </c>
      <c r="D33" s="9">
        <v>0</v>
      </c>
      <c r="E33" s="9">
        <v>0</v>
      </c>
      <c r="F33" s="9">
        <v>0</v>
      </c>
      <c r="G33" s="9">
        <v>0</v>
      </c>
      <c r="H33" s="9">
        <v>0</v>
      </c>
      <c r="I33" s="9">
        <v>0</v>
      </c>
      <c r="J33" s="9">
        <v>0</v>
      </c>
      <c r="K33" s="9">
        <v>0</v>
      </c>
      <c r="L33" s="9">
        <v>0</v>
      </c>
      <c r="M33" s="9">
        <v>0</v>
      </c>
      <c r="N33" s="9">
        <v>0</v>
      </c>
      <c r="O33" s="9">
        <v>0</v>
      </c>
      <c r="P33" s="9">
        <v>0</v>
      </c>
      <c r="Q33" s="9">
        <v>0</v>
      </c>
      <c r="R33" s="10">
        <v>0</v>
      </c>
      <c r="S33" s="9">
        <v>0</v>
      </c>
      <c r="T33" s="9">
        <v>0</v>
      </c>
      <c r="U33" s="10">
        <v>0</v>
      </c>
      <c r="V33" s="10">
        <v>0</v>
      </c>
      <c r="W33" s="10">
        <v>0</v>
      </c>
      <c r="X33" s="10">
        <v>0</v>
      </c>
      <c r="Y33" s="9">
        <v>0</v>
      </c>
      <c r="Z33" s="9">
        <v>0</v>
      </c>
      <c r="AA33" s="9">
        <v>0</v>
      </c>
      <c r="AB33" s="9">
        <v>0</v>
      </c>
      <c r="AC33" s="9">
        <v>0</v>
      </c>
      <c r="AD33" s="9">
        <v>0</v>
      </c>
      <c r="AE33" s="9">
        <v>0</v>
      </c>
      <c r="AF33" s="9">
        <v>0</v>
      </c>
      <c r="AG33" s="9">
        <v>0</v>
      </c>
      <c r="AH33" s="9">
        <v>0</v>
      </c>
      <c r="AI33" s="9">
        <v>0</v>
      </c>
      <c r="AJ33" s="9">
        <v>0</v>
      </c>
      <c r="AK33" s="9">
        <v>0</v>
      </c>
      <c r="AL33" s="9">
        <v>0</v>
      </c>
      <c r="AM33" s="9">
        <v>0</v>
      </c>
      <c r="AN33" s="9">
        <v>0</v>
      </c>
      <c r="AO33" s="9">
        <v>0</v>
      </c>
      <c r="AP33" s="9">
        <v>0</v>
      </c>
      <c r="AQ33" s="9">
        <v>0</v>
      </c>
      <c r="AR33" s="9">
        <v>0</v>
      </c>
      <c r="AS33" s="9">
        <v>0</v>
      </c>
      <c r="AT33" s="9">
        <v>0</v>
      </c>
      <c r="AU33" s="9">
        <v>0</v>
      </c>
      <c r="AV33" s="9">
        <v>0</v>
      </c>
      <c r="AW33" s="9">
        <v>0</v>
      </c>
      <c r="AX33" s="9">
        <v>0</v>
      </c>
      <c r="AY33" s="9">
        <v>0</v>
      </c>
      <c r="AZ33" s="9">
        <v>0</v>
      </c>
      <c r="BA33" s="10">
        <v>0</v>
      </c>
      <c r="BB33" s="9">
        <v>0</v>
      </c>
      <c r="BC33" s="9">
        <v>0</v>
      </c>
      <c r="BD33" s="9">
        <v>0</v>
      </c>
      <c r="BE33" s="9">
        <v>0</v>
      </c>
      <c r="BF33" s="9">
        <v>0</v>
      </c>
      <c r="BG33" s="9">
        <v>0</v>
      </c>
      <c r="BH33" s="10">
        <v>0</v>
      </c>
      <c r="BI33" s="10">
        <v>0</v>
      </c>
      <c r="BJ33" s="9">
        <v>0</v>
      </c>
      <c r="BK33" s="9">
        <v>0</v>
      </c>
      <c r="BL33" s="9">
        <v>0</v>
      </c>
      <c r="BM33" s="9">
        <v>0</v>
      </c>
      <c r="BN33" s="9">
        <v>0</v>
      </c>
      <c r="BO33" s="9">
        <v>0</v>
      </c>
      <c r="BP33" s="9">
        <v>0</v>
      </c>
      <c r="BQ33" s="9">
        <v>0</v>
      </c>
      <c r="BR33" s="9">
        <v>0</v>
      </c>
      <c r="BS33" s="9">
        <v>0</v>
      </c>
      <c r="BT33" s="9">
        <v>0</v>
      </c>
      <c r="BU33" s="9">
        <v>0</v>
      </c>
      <c r="BV33" s="9">
        <v>0</v>
      </c>
      <c r="BW33" s="9">
        <v>0</v>
      </c>
      <c r="BX33" s="9">
        <v>0</v>
      </c>
      <c r="BY33" s="9">
        <v>0</v>
      </c>
      <c r="BZ33" s="9">
        <v>0</v>
      </c>
      <c r="CA33" s="9">
        <v>0</v>
      </c>
      <c r="CB33" s="9">
        <v>0</v>
      </c>
      <c r="CC33" s="9">
        <v>0</v>
      </c>
      <c r="CD33" s="9">
        <v>0</v>
      </c>
      <c r="CE33" s="9">
        <v>0</v>
      </c>
      <c r="CF33" s="9">
        <v>0</v>
      </c>
      <c r="CG33" s="9">
        <v>0</v>
      </c>
      <c r="CH33" s="10">
        <v>0</v>
      </c>
      <c r="CI33" s="9">
        <v>0</v>
      </c>
      <c r="CJ33" s="9">
        <v>0</v>
      </c>
      <c r="CK33" s="9">
        <v>0</v>
      </c>
      <c r="CL33" s="9">
        <v>0</v>
      </c>
      <c r="CM33" s="9">
        <v>0</v>
      </c>
      <c r="CN33" s="9">
        <v>0</v>
      </c>
      <c r="CO33" s="9">
        <v>0</v>
      </c>
      <c r="CP33" s="9">
        <v>0</v>
      </c>
      <c r="CQ33" s="9">
        <v>0</v>
      </c>
      <c r="CR33" s="9">
        <v>0</v>
      </c>
      <c r="CS33" s="9">
        <v>0</v>
      </c>
      <c r="CT33" s="9">
        <v>0</v>
      </c>
      <c r="CU33" s="9">
        <v>0</v>
      </c>
      <c r="CV33" s="9">
        <v>0</v>
      </c>
      <c r="CW33" s="9">
        <v>0</v>
      </c>
      <c r="CX33" s="9">
        <v>0</v>
      </c>
      <c r="CY33" s="9">
        <v>0</v>
      </c>
      <c r="CZ33" s="9">
        <v>0</v>
      </c>
      <c r="DA33" s="9">
        <v>0</v>
      </c>
      <c r="DB33" s="9">
        <v>0</v>
      </c>
      <c r="DC33" s="9">
        <v>0</v>
      </c>
      <c r="DD33" s="9">
        <v>0</v>
      </c>
      <c r="DE33" s="9">
        <v>0</v>
      </c>
      <c r="DF33" s="9">
        <v>0</v>
      </c>
      <c r="DG33" s="9">
        <v>0</v>
      </c>
      <c r="DH33" s="9">
        <v>0</v>
      </c>
      <c r="DI33" s="9">
        <v>0</v>
      </c>
      <c r="DJ33" s="9">
        <v>0</v>
      </c>
      <c r="DK33" s="9">
        <v>0</v>
      </c>
      <c r="DL33" s="9">
        <v>0</v>
      </c>
      <c r="DM33" s="9">
        <v>0</v>
      </c>
      <c r="DN33" s="9">
        <v>0</v>
      </c>
      <c r="DO33" s="9">
        <v>0</v>
      </c>
      <c r="DP33" s="9">
        <v>0</v>
      </c>
      <c r="DQ33" s="9">
        <v>0</v>
      </c>
      <c r="DR33" s="9">
        <v>0</v>
      </c>
      <c r="DS33" s="9">
        <v>0</v>
      </c>
      <c r="DT33" s="9">
        <v>0</v>
      </c>
      <c r="DU33" s="9">
        <v>0</v>
      </c>
      <c r="DV33" s="9">
        <v>0</v>
      </c>
      <c r="DW33" s="9">
        <v>0</v>
      </c>
      <c r="DX33" s="9">
        <v>0</v>
      </c>
      <c r="DY33" s="9">
        <v>0</v>
      </c>
      <c r="DZ33" s="9">
        <v>0</v>
      </c>
      <c r="EA33" s="9">
        <v>0</v>
      </c>
      <c r="EB33" s="9">
        <v>0</v>
      </c>
      <c r="EC33" s="9">
        <v>0</v>
      </c>
      <c r="ED33" s="9">
        <v>0</v>
      </c>
      <c r="EE33" s="9">
        <v>0</v>
      </c>
      <c r="EF33" s="9">
        <v>0</v>
      </c>
      <c r="EG33" s="9">
        <v>0</v>
      </c>
      <c r="EH33" s="9">
        <v>0</v>
      </c>
      <c r="EI33" s="9">
        <v>0</v>
      </c>
      <c r="EJ33" s="9">
        <v>0</v>
      </c>
      <c r="EK33" s="9">
        <v>0</v>
      </c>
      <c r="EL33" s="9">
        <v>0</v>
      </c>
      <c r="EM33" s="9">
        <v>0</v>
      </c>
      <c r="EN33" s="9">
        <v>0</v>
      </c>
      <c r="EO33" s="9">
        <v>0</v>
      </c>
      <c r="EP33" s="9">
        <v>0</v>
      </c>
      <c r="EQ33" s="9">
        <v>0</v>
      </c>
      <c r="ER33" s="9">
        <v>0</v>
      </c>
      <c r="ES33" s="9">
        <v>0</v>
      </c>
      <c r="ET33" s="10">
        <v>0</v>
      </c>
      <c r="EU33" s="9">
        <v>0</v>
      </c>
      <c r="EV33" s="9">
        <v>0</v>
      </c>
      <c r="EW33" s="9">
        <v>0</v>
      </c>
      <c r="EX33" s="9">
        <v>0</v>
      </c>
      <c r="EY33" s="9">
        <v>0</v>
      </c>
      <c r="EZ33" s="9">
        <v>0</v>
      </c>
      <c r="FA33" s="9">
        <v>0</v>
      </c>
      <c r="FB33" s="10">
        <v>0</v>
      </c>
      <c r="FC33" s="9">
        <v>0</v>
      </c>
      <c r="FD33" s="9">
        <v>0</v>
      </c>
      <c r="FE33" s="9">
        <v>0</v>
      </c>
      <c r="FF33" s="9">
        <v>0</v>
      </c>
      <c r="FG33" s="9">
        <v>0</v>
      </c>
      <c r="FH33" s="9">
        <v>0</v>
      </c>
      <c r="FI33" s="9">
        <v>0</v>
      </c>
      <c r="FJ33" s="9">
        <v>0</v>
      </c>
      <c r="FK33" s="9">
        <v>0</v>
      </c>
      <c r="FL33" s="9">
        <v>0</v>
      </c>
      <c r="FM33" s="9">
        <v>0</v>
      </c>
      <c r="FN33" s="9">
        <v>0</v>
      </c>
      <c r="FO33" s="9">
        <v>0</v>
      </c>
      <c r="FP33" s="9">
        <v>0</v>
      </c>
      <c r="FQ33" s="9">
        <v>0</v>
      </c>
      <c r="FR33" s="9">
        <v>0</v>
      </c>
      <c r="FS33" s="9">
        <v>0</v>
      </c>
      <c r="FT33" s="9">
        <v>0</v>
      </c>
      <c r="FU33" s="9">
        <v>0</v>
      </c>
      <c r="FV33" s="9">
        <v>0</v>
      </c>
      <c r="FW33" s="9">
        <v>0</v>
      </c>
      <c r="FX33" s="9">
        <v>0</v>
      </c>
      <c r="FY33" s="9">
        <v>0</v>
      </c>
      <c r="FZ33" s="9">
        <v>0</v>
      </c>
      <c r="GA33" s="9">
        <v>0</v>
      </c>
      <c r="GB33" s="10">
        <v>0</v>
      </c>
      <c r="GC33" s="10">
        <v>0</v>
      </c>
      <c r="GD33" s="10">
        <v>0</v>
      </c>
      <c r="GE33" s="9">
        <v>0</v>
      </c>
      <c r="GF33" s="9">
        <v>0</v>
      </c>
      <c r="GG33" s="9">
        <v>0</v>
      </c>
      <c r="GH33" s="9">
        <v>0</v>
      </c>
      <c r="GI33" s="9">
        <v>0</v>
      </c>
      <c r="GJ33" s="9">
        <v>0</v>
      </c>
      <c r="GK33" s="9">
        <v>0</v>
      </c>
      <c r="GL33" s="9">
        <v>0</v>
      </c>
      <c r="GM33" s="9">
        <v>0</v>
      </c>
      <c r="GN33" s="9">
        <v>0</v>
      </c>
      <c r="GO33" s="9">
        <v>0</v>
      </c>
      <c r="GP33" s="9">
        <v>0</v>
      </c>
      <c r="GQ33" s="9">
        <v>0</v>
      </c>
      <c r="GR33" s="9">
        <v>0</v>
      </c>
      <c r="GS33" s="9">
        <v>0</v>
      </c>
      <c r="GT33" s="9">
        <v>0</v>
      </c>
      <c r="GU33" s="9">
        <v>0</v>
      </c>
      <c r="GV33" s="9">
        <v>0</v>
      </c>
      <c r="GW33" s="9">
        <v>0</v>
      </c>
      <c r="GX33" s="9">
        <v>0</v>
      </c>
      <c r="GY33" s="9">
        <v>0</v>
      </c>
      <c r="GZ33" s="9">
        <v>0</v>
      </c>
      <c r="HA33" s="9">
        <v>0</v>
      </c>
      <c r="HB33" s="9">
        <v>0</v>
      </c>
      <c r="HC33" s="9">
        <v>0</v>
      </c>
      <c r="HD33" s="10">
        <v>0</v>
      </c>
      <c r="HE33" s="9">
        <v>0</v>
      </c>
      <c r="HF33" s="9">
        <v>0</v>
      </c>
      <c r="HG33" s="9">
        <v>0</v>
      </c>
      <c r="HH33" s="9">
        <v>0</v>
      </c>
      <c r="HI33" s="9">
        <v>0</v>
      </c>
      <c r="HJ33" s="9">
        <v>0</v>
      </c>
      <c r="HK33" s="9">
        <v>0</v>
      </c>
      <c r="HL33" s="9">
        <v>0</v>
      </c>
      <c r="HM33" s="9">
        <v>0</v>
      </c>
      <c r="HN33" s="9">
        <v>0</v>
      </c>
      <c r="HO33" s="9">
        <v>0</v>
      </c>
      <c r="HP33" s="9">
        <v>0</v>
      </c>
      <c r="HQ33" s="9">
        <v>0</v>
      </c>
      <c r="HR33" s="9">
        <v>0</v>
      </c>
      <c r="HS33" s="9">
        <v>0</v>
      </c>
      <c r="HT33" s="9">
        <v>0</v>
      </c>
      <c r="HU33" s="9">
        <v>0</v>
      </c>
      <c r="HV33" s="9">
        <v>0</v>
      </c>
      <c r="HW33" s="9">
        <v>0</v>
      </c>
      <c r="HX33" s="9">
        <v>0</v>
      </c>
      <c r="HY33" s="9">
        <v>0</v>
      </c>
      <c r="HZ33" s="9">
        <v>0</v>
      </c>
      <c r="IA33" s="9">
        <v>0</v>
      </c>
      <c r="IB33" s="9">
        <v>0</v>
      </c>
      <c r="IC33" s="9">
        <v>0</v>
      </c>
      <c r="ID33" s="9">
        <v>0</v>
      </c>
      <c r="IE33" s="9">
        <v>0</v>
      </c>
      <c r="IF33" s="9">
        <v>0</v>
      </c>
      <c r="IG33" s="9">
        <v>0</v>
      </c>
      <c r="IH33" s="9">
        <v>0</v>
      </c>
      <c r="II33" s="9">
        <v>0</v>
      </c>
      <c r="IJ33" s="9">
        <v>0</v>
      </c>
      <c r="IK33" s="9">
        <v>0</v>
      </c>
      <c r="IL33" s="9">
        <v>0</v>
      </c>
      <c r="IM33" s="9">
        <v>0</v>
      </c>
      <c r="IN33" s="9">
        <v>0</v>
      </c>
      <c r="IO33" s="9">
        <v>0</v>
      </c>
      <c r="IP33" s="9">
        <v>0</v>
      </c>
      <c r="IQ33" s="9">
        <v>0</v>
      </c>
      <c r="IR33" s="9">
        <v>0</v>
      </c>
      <c r="IS33" s="9">
        <v>0</v>
      </c>
      <c r="IT33" s="9">
        <v>0</v>
      </c>
      <c r="IU33" s="9">
        <v>0</v>
      </c>
      <c r="IV33" s="9">
        <v>0</v>
      </c>
      <c r="IW33" s="9">
        <v>0</v>
      </c>
      <c r="IX33" s="9">
        <v>0</v>
      </c>
      <c r="IY33" s="9">
        <v>0</v>
      </c>
      <c r="IZ33" s="9">
        <v>0</v>
      </c>
      <c r="JA33" s="9">
        <v>0</v>
      </c>
      <c r="JB33" s="9">
        <v>0</v>
      </c>
      <c r="JC33" s="9">
        <v>0</v>
      </c>
      <c r="JD33" s="9">
        <v>0</v>
      </c>
      <c r="JE33" s="9">
        <v>0</v>
      </c>
      <c r="JF33" s="9">
        <v>0</v>
      </c>
      <c r="JG33" s="9">
        <v>0</v>
      </c>
      <c r="JH33" s="9">
        <v>0</v>
      </c>
      <c r="JI33" s="9">
        <v>0</v>
      </c>
      <c r="JJ33" s="9">
        <v>0</v>
      </c>
      <c r="JK33" s="9">
        <v>0</v>
      </c>
      <c r="JL33" s="9">
        <v>0</v>
      </c>
      <c r="JM33" s="9">
        <v>0</v>
      </c>
      <c r="JN33" s="9">
        <v>0</v>
      </c>
      <c r="JO33" s="9">
        <v>0</v>
      </c>
      <c r="JP33" s="9">
        <v>0</v>
      </c>
      <c r="JQ33" s="9">
        <v>0</v>
      </c>
      <c r="JR33" s="9">
        <v>0</v>
      </c>
      <c r="JS33" s="9">
        <v>0</v>
      </c>
      <c r="JT33" s="9">
        <v>0</v>
      </c>
      <c r="JU33" s="9">
        <v>0</v>
      </c>
      <c r="JV33" s="9">
        <v>0</v>
      </c>
      <c r="JW33" s="9">
        <v>0</v>
      </c>
      <c r="JX33" s="9">
        <v>0</v>
      </c>
      <c r="JY33" s="9">
        <v>0</v>
      </c>
      <c r="JZ33" s="9">
        <v>0</v>
      </c>
      <c r="KA33" s="9">
        <v>0</v>
      </c>
      <c r="KB33" s="9">
        <v>0</v>
      </c>
      <c r="KC33" s="9">
        <v>0</v>
      </c>
      <c r="KD33" s="9">
        <v>0</v>
      </c>
      <c r="KE33" s="9">
        <v>0</v>
      </c>
      <c r="KF33" s="9">
        <v>0</v>
      </c>
      <c r="KG33" s="9">
        <v>0</v>
      </c>
      <c r="KH33" s="9">
        <v>0</v>
      </c>
      <c r="KI33" s="9">
        <v>0</v>
      </c>
    </row>
    <row r="34" spans="1:295" ht="13" x14ac:dyDescent="0.3">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10">
        <v>0</v>
      </c>
      <c r="S34" s="9">
        <v>0</v>
      </c>
      <c r="T34" s="9">
        <v>0</v>
      </c>
      <c r="U34" s="10">
        <v>0</v>
      </c>
      <c r="V34" s="10">
        <v>0</v>
      </c>
      <c r="W34" s="10">
        <v>0</v>
      </c>
      <c r="X34" s="10">
        <v>0</v>
      </c>
      <c r="Y34" s="9">
        <v>0</v>
      </c>
      <c r="Z34" s="9">
        <v>0</v>
      </c>
      <c r="AA34" s="9">
        <v>0</v>
      </c>
      <c r="AB34" s="9">
        <v>0</v>
      </c>
      <c r="AC34" s="9">
        <v>0</v>
      </c>
      <c r="AD34" s="9">
        <v>0</v>
      </c>
      <c r="AE34" s="9">
        <v>0</v>
      </c>
      <c r="AF34" s="9">
        <v>0</v>
      </c>
      <c r="AG34" s="9">
        <v>0</v>
      </c>
      <c r="AH34" s="9">
        <v>0</v>
      </c>
      <c r="AI34" s="9">
        <v>0</v>
      </c>
      <c r="AJ34" s="9">
        <v>0</v>
      </c>
      <c r="AK34" s="9">
        <v>0</v>
      </c>
      <c r="AL34" s="9">
        <v>0</v>
      </c>
      <c r="AM34" s="9">
        <v>0</v>
      </c>
      <c r="AN34" s="9">
        <v>0</v>
      </c>
      <c r="AO34" s="9">
        <v>0</v>
      </c>
      <c r="AP34" s="9">
        <v>0</v>
      </c>
      <c r="AQ34" s="9">
        <v>0</v>
      </c>
      <c r="AR34" s="9">
        <v>0</v>
      </c>
      <c r="AS34" s="9">
        <v>0</v>
      </c>
      <c r="AT34" s="9">
        <v>0</v>
      </c>
      <c r="AU34" s="9">
        <v>0</v>
      </c>
      <c r="AV34" s="9">
        <v>0</v>
      </c>
      <c r="AW34" s="9">
        <v>0</v>
      </c>
      <c r="AX34" s="9">
        <v>0</v>
      </c>
      <c r="AY34" s="9">
        <v>0</v>
      </c>
      <c r="AZ34" s="9">
        <v>0</v>
      </c>
      <c r="BA34" s="10">
        <v>0</v>
      </c>
      <c r="BB34" s="9">
        <v>0</v>
      </c>
      <c r="BC34" s="9">
        <v>0</v>
      </c>
      <c r="BD34" s="9">
        <v>0</v>
      </c>
      <c r="BE34" s="9">
        <v>0</v>
      </c>
      <c r="BF34" s="9">
        <v>0</v>
      </c>
      <c r="BG34" s="9">
        <v>0</v>
      </c>
      <c r="BH34" s="10">
        <v>0</v>
      </c>
      <c r="BI34" s="10">
        <v>0</v>
      </c>
      <c r="BJ34" s="9">
        <v>0</v>
      </c>
      <c r="BK34" s="9">
        <v>0</v>
      </c>
      <c r="BL34" s="9">
        <v>0</v>
      </c>
      <c r="BM34" s="9">
        <v>0</v>
      </c>
      <c r="BN34" s="9">
        <v>0</v>
      </c>
      <c r="BO34" s="9">
        <v>0</v>
      </c>
      <c r="BP34" s="9">
        <v>0</v>
      </c>
      <c r="BQ34" s="9">
        <v>0</v>
      </c>
      <c r="BR34" s="9">
        <v>0</v>
      </c>
      <c r="BS34" s="9">
        <v>0</v>
      </c>
      <c r="BT34" s="9">
        <v>0</v>
      </c>
      <c r="BU34" s="9">
        <v>0</v>
      </c>
      <c r="BV34" s="9">
        <v>0</v>
      </c>
      <c r="BW34" s="9">
        <v>0</v>
      </c>
      <c r="BX34" s="9">
        <v>0</v>
      </c>
      <c r="BY34" s="9">
        <v>0</v>
      </c>
      <c r="BZ34" s="9">
        <v>0</v>
      </c>
      <c r="CA34" s="9">
        <v>0</v>
      </c>
      <c r="CB34" s="9">
        <v>0</v>
      </c>
      <c r="CC34" s="9">
        <v>0</v>
      </c>
      <c r="CD34" s="9">
        <v>0</v>
      </c>
      <c r="CE34" s="9">
        <v>0</v>
      </c>
      <c r="CF34" s="9">
        <v>0</v>
      </c>
      <c r="CG34" s="9">
        <v>0</v>
      </c>
      <c r="CH34" s="10">
        <v>0</v>
      </c>
      <c r="CI34" s="9">
        <v>0</v>
      </c>
      <c r="CJ34" s="9">
        <v>0</v>
      </c>
      <c r="CK34" s="9">
        <v>0</v>
      </c>
      <c r="CL34" s="9">
        <v>0</v>
      </c>
      <c r="CM34" s="9">
        <v>0</v>
      </c>
      <c r="CN34" s="9">
        <v>0</v>
      </c>
      <c r="CO34" s="9">
        <v>0</v>
      </c>
      <c r="CP34" s="9">
        <v>0</v>
      </c>
      <c r="CQ34" s="9">
        <v>0</v>
      </c>
      <c r="CR34" s="9">
        <v>0</v>
      </c>
      <c r="CS34" s="9">
        <v>0</v>
      </c>
      <c r="CT34" s="9">
        <v>0</v>
      </c>
      <c r="CU34" s="9">
        <v>0</v>
      </c>
      <c r="CV34" s="9">
        <v>0</v>
      </c>
      <c r="CW34" s="9">
        <v>0</v>
      </c>
      <c r="CX34" s="9">
        <v>0</v>
      </c>
      <c r="CY34" s="9">
        <v>0</v>
      </c>
      <c r="CZ34" s="9">
        <v>0</v>
      </c>
      <c r="DA34" s="9">
        <v>0</v>
      </c>
      <c r="DB34" s="9">
        <v>0</v>
      </c>
      <c r="DC34" s="9">
        <v>0</v>
      </c>
      <c r="DD34" s="9">
        <v>0</v>
      </c>
      <c r="DE34" s="9">
        <v>0</v>
      </c>
      <c r="DF34" s="9">
        <v>0</v>
      </c>
      <c r="DG34" s="9">
        <v>0</v>
      </c>
      <c r="DH34" s="9">
        <v>0</v>
      </c>
      <c r="DI34" s="9">
        <v>0</v>
      </c>
      <c r="DJ34" s="9">
        <v>0</v>
      </c>
      <c r="DK34" s="9">
        <v>0</v>
      </c>
      <c r="DL34" s="9">
        <v>0</v>
      </c>
      <c r="DM34" s="9">
        <v>0</v>
      </c>
      <c r="DN34" s="9">
        <v>0</v>
      </c>
      <c r="DO34" s="9">
        <v>0</v>
      </c>
      <c r="DP34" s="9">
        <v>0</v>
      </c>
      <c r="DQ34" s="9">
        <v>0</v>
      </c>
      <c r="DR34" s="9">
        <v>0</v>
      </c>
      <c r="DS34" s="9">
        <v>0</v>
      </c>
      <c r="DT34" s="9">
        <v>0</v>
      </c>
      <c r="DU34" s="9">
        <v>0</v>
      </c>
      <c r="DV34" s="9">
        <v>0</v>
      </c>
      <c r="DW34" s="9">
        <v>0</v>
      </c>
      <c r="DX34" s="9">
        <v>0</v>
      </c>
      <c r="DY34" s="9">
        <v>0</v>
      </c>
      <c r="DZ34" s="9">
        <v>0</v>
      </c>
      <c r="EA34" s="9">
        <v>0</v>
      </c>
      <c r="EB34" s="9">
        <v>0</v>
      </c>
      <c r="EC34" s="9">
        <v>0</v>
      </c>
      <c r="ED34" s="9">
        <v>0</v>
      </c>
      <c r="EE34" s="9">
        <v>0</v>
      </c>
      <c r="EF34" s="9">
        <v>0</v>
      </c>
      <c r="EG34" s="9">
        <v>0</v>
      </c>
      <c r="EH34" s="9">
        <v>0</v>
      </c>
      <c r="EI34" s="9">
        <v>0</v>
      </c>
      <c r="EJ34" s="9">
        <v>0</v>
      </c>
      <c r="EK34" s="9">
        <v>0</v>
      </c>
      <c r="EL34" s="9">
        <v>0</v>
      </c>
      <c r="EM34" s="9">
        <v>0</v>
      </c>
      <c r="EN34" s="9">
        <v>0</v>
      </c>
      <c r="EO34" s="9">
        <v>0</v>
      </c>
      <c r="EP34" s="9">
        <v>0</v>
      </c>
      <c r="EQ34" s="9">
        <v>0</v>
      </c>
      <c r="ER34" s="9">
        <v>0</v>
      </c>
      <c r="ES34" s="9">
        <v>0</v>
      </c>
      <c r="ET34" s="10">
        <v>0</v>
      </c>
      <c r="EU34" s="9">
        <v>0</v>
      </c>
      <c r="EV34" s="9">
        <v>0</v>
      </c>
      <c r="EW34" s="9">
        <v>0</v>
      </c>
      <c r="EX34" s="9">
        <v>0</v>
      </c>
      <c r="EY34" s="9">
        <v>0</v>
      </c>
      <c r="EZ34" s="9">
        <v>0</v>
      </c>
      <c r="FA34" s="9">
        <v>0</v>
      </c>
      <c r="FB34" s="10">
        <v>0</v>
      </c>
      <c r="FC34" s="9">
        <v>0</v>
      </c>
      <c r="FD34" s="9">
        <v>0</v>
      </c>
      <c r="FE34" s="9">
        <v>0</v>
      </c>
      <c r="FF34" s="9">
        <v>0</v>
      </c>
      <c r="FG34" s="9">
        <v>0</v>
      </c>
      <c r="FH34" s="9">
        <v>0</v>
      </c>
      <c r="FI34" s="9">
        <v>0</v>
      </c>
      <c r="FJ34" s="9">
        <v>0</v>
      </c>
      <c r="FK34" s="9">
        <v>0</v>
      </c>
      <c r="FL34" s="9">
        <v>0</v>
      </c>
      <c r="FM34" s="9">
        <v>0</v>
      </c>
      <c r="FN34" s="9">
        <v>0</v>
      </c>
      <c r="FO34" s="9">
        <v>0</v>
      </c>
      <c r="FP34" s="9">
        <v>0</v>
      </c>
      <c r="FQ34" s="9">
        <v>0</v>
      </c>
      <c r="FR34" s="9">
        <v>0</v>
      </c>
      <c r="FS34" s="9">
        <v>0</v>
      </c>
      <c r="FT34" s="9">
        <v>0</v>
      </c>
      <c r="FU34" s="9">
        <v>0</v>
      </c>
      <c r="FV34" s="9">
        <v>0</v>
      </c>
      <c r="FW34" s="9">
        <v>0</v>
      </c>
      <c r="FX34" s="9">
        <v>0</v>
      </c>
      <c r="FY34" s="9">
        <v>0</v>
      </c>
      <c r="FZ34" s="9">
        <v>0</v>
      </c>
      <c r="GA34" s="9">
        <v>0</v>
      </c>
      <c r="GB34" s="10">
        <v>0</v>
      </c>
      <c r="GC34" s="10">
        <v>0</v>
      </c>
      <c r="GD34" s="10">
        <v>0</v>
      </c>
      <c r="GE34" s="9">
        <v>0</v>
      </c>
      <c r="GF34" s="9">
        <v>0</v>
      </c>
      <c r="GG34" s="9">
        <v>0</v>
      </c>
      <c r="GH34" s="9">
        <v>0</v>
      </c>
      <c r="GI34" s="9">
        <v>0</v>
      </c>
      <c r="GJ34" s="9">
        <v>0</v>
      </c>
      <c r="GK34" s="9">
        <v>0</v>
      </c>
      <c r="GL34" s="9">
        <v>0</v>
      </c>
      <c r="GM34" s="9">
        <v>0</v>
      </c>
      <c r="GN34" s="9">
        <v>0</v>
      </c>
      <c r="GO34" s="9">
        <v>0</v>
      </c>
      <c r="GP34" s="9">
        <v>0</v>
      </c>
      <c r="GQ34" s="9">
        <v>0</v>
      </c>
      <c r="GR34" s="9">
        <v>0</v>
      </c>
      <c r="GS34" s="9">
        <v>0</v>
      </c>
      <c r="GT34" s="9">
        <v>0</v>
      </c>
      <c r="GU34" s="9">
        <v>0</v>
      </c>
      <c r="GV34" s="9">
        <v>0</v>
      </c>
      <c r="GW34" s="9">
        <v>0</v>
      </c>
      <c r="GX34" s="9">
        <v>0</v>
      </c>
      <c r="GY34" s="9">
        <v>0</v>
      </c>
      <c r="GZ34" s="9">
        <v>0</v>
      </c>
      <c r="HA34" s="9">
        <v>0</v>
      </c>
      <c r="HB34" s="9">
        <v>0</v>
      </c>
      <c r="HC34" s="9">
        <v>0</v>
      </c>
      <c r="HD34" s="10">
        <v>0</v>
      </c>
      <c r="HE34" s="9">
        <v>0</v>
      </c>
      <c r="HF34" s="9">
        <v>0</v>
      </c>
      <c r="HG34" s="9">
        <v>0</v>
      </c>
      <c r="HH34" s="9">
        <v>0</v>
      </c>
      <c r="HI34" s="9">
        <v>0</v>
      </c>
      <c r="HJ34" s="9">
        <v>0</v>
      </c>
      <c r="HK34" s="9">
        <v>0</v>
      </c>
      <c r="HL34" s="9">
        <v>0</v>
      </c>
      <c r="HM34" s="9">
        <v>0</v>
      </c>
      <c r="HN34" s="9">
        <v>0</v>
      </c>
      <c r="HO34" s="9">
        <v>0</v>
      </c>
      <c r="HP34" s="9">
        <v>0</v>
      </c>
      <c r="HQ34" s="9">
        <v>0</v>
      </c>
      <c r="HR34" s="9">
        <v>0</v>
      </c>
      <c r="HS34" s="9">
        <v>0</v>
      </c>
      <c r="HT34" s="9">
        <v>0</v>
      </c>
      <c r="HU34" s="9">
        <v>0</v>
      </c>
      <c r="HV34" s="9">
        <v>0</v>
      </c>
      <c r="HW34" s="9">
        <v>0</v>
      </c>
      <c r="HX34" s="9">
        <v>0</v>
      </c>
      <c r="HY34" s="9">
        <v>0</v>
      </c>
      <c r="HZ34" s="9">
        <v>0</v>
      </c>
      <c r="IA34" s="9">
        <v>0</v>
      </c>
      <c r="IB34" s="9">
        <v>0</v>
      </c>
      <c r="IC34" s="9">
        <v>0</v>
      </c>
      <c r="ID34" s="9">
        <v>0</v>
      </c>
      <c r="IE34" s="9">
        <v>0</v>
      </c>
      <c r="IF34" s="9">
        <v>0</v>
      </c>
      <c r="IG34" s="9">
        <v>0</v>
      </c>
      <c r="IH34" s="9">
        <v>0</v>
      </c>
      <c r="II34" s="9">
        <v>0</v>
      </c>
      <c r="IJ34" s="9">
        <v>0</v>
      </c>
      <c r="IK34" s="9">
        <v>0</v>
      </c>
      <c r="IL34" s="9">
        <v>0</v>
      </c>
      <c r="IM34" s="9">
        <v>0</v>
      </c>
      <c r="IN34" s="9">
        <v>0</v>
      </c>
      <c r="IO34" s="9">
        <v>0</v>
      </c>
      <c r="IP34" s="9">
        <v>0</v>
      </c>
      <c r="IQ34" s="9">
        <v>0</v>
      </c>
      <c r="IR34" s="9">
        <v>0</v>
      </c>
      <c r="IS34" s="9">
        <v>0</v>
      </c>
      <c r="IT34" s="9">
        <v>0</v>
      </c>
      <c r="IU34" s="9">
        <v>0</v>
      </c>
      <c r="IV34" s="9">
        <v>0</v>
      </c>
      <c r="IW34" s="9">
        <v>0</v>
      </c>
      <c r="IX34" s="9">
        <v>0</v>
      </c>
      <c r="IY34" s="9">
        <v>0</v>
      </c>
      <c r="IZ34" s="9">
        <v>0</v>
      </c>
      <c r="JA34" s="9">
        <v>0</v>
      </c>
      <c r="JB34" s="9">
        <v>0</v>
      </c>
      <c r="JC34" s="9">
        <v>0</v>
      </c>
      <c r="JD34" s="9">
        <v>0</v>
      </c>
      <c r="JE34" s="9">
        <v>0</v>
      </c>
      <c r="JF34" s="9">
        <v>0</v>
      </c>
      <c r="JG34" s="9">
        <v>0</v>
      </c>
      <c r="JH34" s="9">
        <v>0</v>
      </c>
      <c r="JI34" s="9">
        <v>0</v>
      </c>
      <c r="JJ34" s="9">
        <v>0</v>
      </c>
      <c r="JK34" s="9">
        <v>0</v>
      </c>
      <c r="JL34" s="9">
        <v>0</v>
      </c>
      <c r="JM34" s="9">
        <v>0</v>
      </c>
      <c r="JN34" s="9">
        <v>0</v>
      </c>
      <c r="JO34" s="9">
        <v>0</v>
      </c>
      <c r="JP34" s="9">
        <v>0</v>
      </c>
      <c r="JQ34" s="9">
        <v>0</v>
      </c>
      <c r="JR34" s="9">
        <v>0</v>
      </c>
      <c r="JS34" s="9">
        <v>0</v>
      </c>
      <c r="JT34" s="9">
        <v>0</v>
      </c>
      <c r="JU34" s="9">
        <v>0</v>
      </c>
      <c r="JV34" s="9">
        <v>0</v>
      </c>
      <c r="JW34" s="9">
        <v>0</v>
      </c>
      <c r="JX34" s="9">
        <v>0</v>
      </c>
      <c r="JY34" s="9">
        <v>0</v>
      </c>
      <c r="JZ34" s="9">
        <v>0</v>
      </c>
      <c r="KA34" s="9">
        <v>0</v>
      </c>
      <c r="KB34" s="9">
        <v>0</v>
      </c>
      <c r="KC34" s="9">
        <v>0</v>
      </c>
      <c r="KD34" s="9">
        <v>0</v>
      </c>
      <c r="KE34" s="9">
        <v>0</v>
      </c>
      <c r="KF34" s="9">
        <v>0</v>
      </c>
      <c r="KG34" s="9">
        <v>0</v>
      </c>
      <c r="KH34" s="9">
        <v>0</v>
      </c>
      <c r="KI34" s="9">
        <v>0</v>
      </c>
    </row>
    <row r="35" spans="1:295" x14ac:dyDescent="0.25">
      <c r="A35" s="9">
        <v>21803</v>
      </c>
      <c r="B35" s="9">
        <v>36871</v>
      </c>
      <c r="C35" s="9">
        <v>35</v>
      </c>
      <c r="D35" s="9">
        <v>2023</v>
      </c>
      <c r="E35" s="9">
        <v>5392</v>
      </c>
      <c r="F35" s="9">
        <v>0</v>
      </c>
      <c r="G35" s="9">
        <v>0</v>
      </c>
      <c r="H35" s="9">
        <v>285.94600000000003</v>
      </c>
      <c r="I35" s="9">
        <v>285.94600000000003</v>
      </c>
      <c r="J35" s="9">
        <v>293.84100000000001</v>
      </c>
      <c r="K35" s="9">
        <v>0</v>
      </c>
      <c r="L35" s="9">
        <v>6547</v>
      </c>
      <c r="M35" s="9">
        <v>0</v>
      </c>
      <c r="N35" s="9">
        <v>0</v>
      </c>
      <c r="O35" s="9">
        <v>0</v>
      </c>
      <c r="P35" s="9">
        <v>295.654</v>
      </c>
      <c r="Q35" s="9">
        <v>0</v>
      </c>
      <c r="R35" s="9">
        <v>143960</v>
      </c>
      <c r="S35" s="9">
        <v>486.92200000000003</v>
      </c>
      <c r="T35" s="9">
        <v>0</v>
      </c>
      <c r="U35" s="9">
        <v>143960</v>
      </c>
      <c r="V35" s="9">
        <v>109.02200000000001</v>
      </c>
      <c r="W35" s="9">
        <v>71377</v>
      </c>
      <c r="X35" s="9">
        <v>71377</v>
      </c>
      <c r="Y35" s="9">
        <v>0</v>
      </c>
      <c r="Z35" s="9">
        <v>0</v>
      </c>
      <c r="AA35" s="9">
        <v>1</v>
      </c>
      <c r="AB35" s="9">
        <v>1</v>
      </c>
      <c r="AC35" s="9">
        <v>0</v>
      </c>
      <c r="AD35" s="9" t="s">
        <v>314</v>
      </c>
      <c r="AE35" s="9">
        <v>0</v>
      </c>
      <c r="AF35" s="9">
        <v>0</v>
      </c>
      <c r="AG35" s="9">
        <v>0</v>
      </c>
      <c r="AH35" s="9">
        <v>0</v>
      </c>
      <c r="AI35" s="9">
        <v>0</v>
      </c>
      <c r="AJ35" s="9">
        <v>5104</v>
      </c>
      <c r="AK35" s="9" t="s">
        <v>651</v>
      </c>
      <c r="AL35" s="9" t="s">
        <v>40</v>
      </c>
      <c r="AM35" s="9">
        <v>0</v>
      </c>
      <c r="AN35" s="9">
        <v>0</v>
      </c>
      <c r="AO35" s="9">
        <v>0</v>
      </c>
      <c r="AP35" s="9">
        <v>0</v>
      </c>
      <c r="AQ35" s="9">
        <v>0</v>
      </c>
      <c r="AR35" s="9">
        <v>0</v>
      </c>
      <c r="AS35" s="9">
        <v>0</v>
      </c>
      <c r="AT35" s="9">
        <v>0</v>
      </c>
      <c r="AU35" s="9">
        <v>0</v>
      </c>
      <c r="AV35" s="9">
        <v>-177943</v>
      </c>
      <c r="AW35" s="9">
        <v>3032178</v>
      </c>
      <c r="AX35" s="9">
        <v>2970961</v>
      </c>
      <c r="AY35" s="9">
        <v>2981012</v>
      </c>
      <c r="AZ35" s="9">
        <v>143960</v>
      </c>
      <c r="BA35" s="9">
        <v>17.833000000000002</v>
      </c>
      <c r="BB35" s="9">
        <v>0</v>
      </c>
      <c r="BC35" s="9">
        <v>0</v>
      </c>
      <c r="BD35" s="9">
        <v>0</v>
      </c>
      <c r="BE35" s="9">
        <v>0</v>
      </c>
      <c r="BF35" s="9">
        <v>2563496</v>
      </c>
      <c r="BG35" s="9">
        <v>0</v>
      </c>
      <c r="BH35" s="9">
        <v>0</v>
      </c>
      <c r="BI35" s="9">
        <v>0</v>
      </c>
      <c r="BJ35" s="9">
        <v>12</v>
      </c>
      <c r="BK35" s="9">
        <v>0</v>
      </c>
      <c r="BL35" s="9">
        <v>0</v>
      </c>
      <c r="BM35" s="9">
        <v>0</v>
      </c>
      <c r="BN35" s="9">
        <v>0</v>
      </c>
      <c r="BO35" s="9">
        <v>0</v>
      </c>
      <c r="BP35" s="9">
        <v>0</v>
      </c>
      <c r="BQ35" s="9">
        <v>5392</v>
      </c>
      <c r="BR35" s="9">
        <v>1</v>
      </c>
      <c r="BS35" s="9">
        <v>0</v>
      </c>
      <c r="BT35" s="9">
        <v>0</v>
      </c>
      <c r="BU35" s="9">
        <v>0</v>
      </c>
      <c r="BV35" s="9">
        <v>0</v>
      </c>
      <c r="BW35" s="9">
        <v>0</v>
      </c>
      <c r="BX35" s="9">
        <v>0</v>
      </c>
      <c r="BY35" s="9">
        <v>0</v>
      </c>
      <c r="BZ35" s="9">
        <v>0</v>
      </c>
      <c r="CA35" s="9">
        <v>0</v>
      </c>
      <c r="CB35" s="9">
        <v>0</v>
      </c>
      <c r="CC35" s="9">
        <v>0</v>
      </c>
      <c r="CD35" s="9">
        <v>0</v>
      </c>
      <c r="CE35" s="9">
        <v>0</v>
      </c>
      <c r="CF35" s="9">
        <v>0</v>
      </c>
      <c r="CG35" s="9">
        <v>0</v>
      </c>
      <c r="CH35" s="9">
        <v>61217</v>
      </c>
      <c r="CI35" s="9">
        <v>0</v>
      </c>
      <c r="CJ35" s="9">
        <v>4</v>
      </c>
      <c r="CK35" s="9">
        <v>0</v>
      </c>
      <c r="CL35" s="9">
        <v>0</v>
      </c>
      <c r="CM35" s="9">
        <v>0</v>
      </c>
      <c r="CN35" s="9">
        <v>0</v>
      </c>
      <c r="CO35" s="9">
        <v>0</v>
      </c>
      <c r="CP35" s="9">
        <v>0</v>
      </c>
      <c r="CQ35" s="9">
        <v>2</v>
      </c>
      <c r="CR35" s="9">
        <v>279.69499999999999</v>
      </c>
      <c r="CS35" s="9">
        <v>0</v>
      </c>
      <c r="CT35" s="9">
        <v>0</v>
      </c>
      <c r="CU35" s="9">
        <v>0</v>
      </c>
      <c r="CV35" s="9">
        <v>0</v>
      </c>
      <c r="CW35" s="9">
        <v>0</v>
      </c>
      <c r="CX35" s="9">
        <v>0</v>
      </c>
      <c r="CY35" s="9">
        <v>0</v>
      </c>
      <c r="CZ35" s="9">
        <v>0</v>
      </c>
      <c r="DA35" s="9">
        <v>1</v>
      </c>
      <c r="DB35" s="9">
        <v>1872088</v>
      </c>
      <c r="DC35" s="9">
        <v>0</v>
      </c>
      <c r="DD35" s="9">
        <v>0</v>
      </c>
      <c r="DE35" s="9">
        <v>526811</v>
      </c>
      <c r="DF35" s="9">
        <v>526811</v>
      </c>
      <c r="DG35" s="9">
        <v>402.33</v>
      </c>
      <c r="DH35" s="9">
        <v>0</v>
      </c>
      <c r="DI35" s="9">
        <v>0</v>
      </c>
      <c r="DJ35" s="9">
        <v>0</v>
      </c>
      <c r="DK35" s="9">
        <v>5392</v>
      </c>
      <c r="DL35" s="9">
        <v>0</v>
      </c>
      <c r="DM35" s="9">
        <v>163630</v>
      </c>
      <c r="DN35" s="9">
        <v>0</v>
      </c>
      <c r="DO35" s="9">
        <v>0</v>
      </c>
      <c r="DP35" s="9">
        <v>0</v>
      </c>
      <c r="DQ35" s="9">
        <v>0</v>
      </c>
      <c r="DR35" s="9">
        <v>0</v>
      </c>
      <c r="DS35" s="9">
        <v>0</v>
      </c>
      <c r="DT35" s="9">
        <v>0</v>
      </c>
      <c r="DU35" s="9">
        <v>0</v>
      </c>
      <c r="DV35" s="9">
        <v>0</v>
      </c>
      <c r="DW35" s="9">
        <v>0</v>
      </c>
      <c r="DX35" s="9">
        <v>0</v>
      </c>
      <c r="DY35" s="9">
        <v>0</v>
      </c>
      <c r="DZ35" s="9">
        <v>0</v>
      </c>
      <c r="EA35" s="9">
        <v>0</v>
      </c>
      <c r="EB35" s="9">
        <v>0</v>
      </c>
      <c r="EC35" s="9">
        <v>3.1E-2</v>
      </c>
      <c r="ED35" s="9">
        <v>223</v>
      </c>
      <c r="EE35" s="9">
        <v>0</v>
      </c>
      <c r="EF35" s="9">
        <v>0</v>
      </c>
      <c r="EG35" s="9">
        <v>0</v>
      </c>
      <c r="EH35" s="9">
        <v>163407</v>
      </c>
      <c r="EI35" s="9">
        <v>0</v>
      </c>
      <c r="EJ35" s="9">
        <v>0</v>
      </c>
      <c r="EK35" s="9">
        <v>7.258</v>
      </c>
      <c r="EL35" s="9">
        <v>0</v>
      </c>
      <c r="EM35" s="9">
        <v>0</v>
      </c>
      <c r="EN35" s="9">
        <v>0.63700000000000001</v>
      </c>
      <c r="EO35" s="9">
        <v>0</v>
      </c>
      <c r="EP35" s="9">
        <v>0</v>
      </c>
      <c r="EQ35" s="9">
        <v>7.8950000000000005</v>
      </c>
      <c r="ER35" s="9">
        <v>0</v>
      </c>
      <c r="ES35" s="9">
        <v>24.959</v>
      </c>
      <c r="ET35" s="9">
        <v>9417</v>
      </c>
      <c r="EU35" s="9">
        <v>143960</v>
      </c>
      <c r="EV35" s="9">
        <v>0</v>
      </c>
      <c r="EW35" s="9">
        <v>0</v>
      </c>
      <c r="EX35" s="9">
        <v>0</v>
      </c>
      <c r="EY35" s="9">
        <v>0</v>
      </c>
      <c r="EZ35" s="9">
        <v>2489946</v>
      </c>
      <c r="FA35" s="9">
        <v>0</v>
      </c>
      <c r="FB35" s="9">
        <v>2633906</v>
      </c>
      <c r="FC35" s="9">
        <v>0.97326799999999991</v>
      </c>
      <c r="FD35" s="9">
        <v>0</v>
      </c>
      <c r="FE35" s="9">
        <v>396566</v>
      </c>
      <c r="FF35" s="9">
        <v>84449</v>
      </c>
      <c r="FG35" s="9">
        <v>5.8088000000000001E-2</v>
      </c>
      <c r="FH35" s="9">
        <v>5.2622999999999996E-2</v>
      </c>
      <c r="FI35" s="9">
        <v>0</v>
      </c>
      <c r="FJ35" s="9">
        <v>0</v>
      </c>
      <c r="FK35" s="9">
        <v>502.28000000000003</v>
      </c>
      <c r="FL35" s="9">
        <v>3176138</v>
      </c>
      <c r="FM35" s="9">
        <v>0</v>
      </c>
      <c r="FN35" s="9">
        <v>0</v>
      </c>
      <c r="FO35" s="9">
        <v>0</v>
      </c>
      <c r="FP35" s="9">
        <v>0</v>
      </c>
      <c r="FQ35" s="9">
        <v>0</v>
      </c>
      <c r="FR35" s="9">
        <v>0</v>
      </c>
      <c r="FS35" s="9">
        <v>0</v>
      </c>
      <c r="FT35" s="9">
        <v>0</v>
      </c>
      <c r="FU35" s="9">
        <v>0</v>
      </c>
      <c r="FV35" s="9">
        <v>0</v>
      </c>
      <c r="FW35" s="9">
        <v>0</v>
      </c>
      <c r="FX35" s="9">
        <v>0</v>
      </c>
      <c r="FY35" s="9">
        <v>0</v>
      </c>
      <c r="FZ35" s="9">
        <v>0</v>
      </c>
      <c r="GA35" s="9">
        <v>0</v>
      </c>
      <c r="GB35" s="9">
        <v>0</v>
      </c>
      <c r="GC35" s="9">
        <v>0</v>
      </c>
      <c r="GD35" s="9">
        <v>0</v>
      </c>
      <c r="GE35" s="9">
        <v>0</v>
      </c>
      <c r="GF35" s="9">
        <v>0</v>
      </c>
      <c r="GG35" s="9">
        <v>0</v>
      </c>
      <c r="GH35" s="9">
        <v>0</v>
      </c>
      <c r="GI35" s="9">
        <v>0</v>
      </c>
      <c r="GJ35" s="9">
        <v>0</v>
      </c>
      <c r="GK35" s="9">
        <v>5192</v>
      </c>
      <c r="GL35" s="9">
        <v>14077</v>
      </c>
      <c r="GM35" s="9">
        <v>0</v>
      </c>
      <c r="GN35" s="9">
        <v>49454</v>
      </c>
      <c r="GO35" s="9">
        <v>0</v>
      </c>
      <c r="GP35" s="9">
        <v>3114921</v>
      </c>
      <c r="GQ35" s="9">
        <v>3114921</v>
      </c>
      <c r="GR35" s="9">
        <v>0</v>
      </c>
      <c r="GS35" s="9">
        <v>0</v>
      </c>
      <c r="GT35" s="9">
        <v>0</v>
      </c>
      <c r="GU35" s="9">
        <v>0</v>
      </c>
      <c r="GV35" s="9">
        <v>0</v>
      </c>
      <c r="GW35" s="9">
        <v>0</v>
      </c>
      <c r="GX35" s="9">
        <v>0</v>
      </c>
      <c r="GY35" s="9">
        <v>0</v>
      </c>
      <c r="GZ35" s="9">
        <v>0</v>
      </c>
      <c r="HA35" s="9">
        <v>0</v>
      </c>
      <c r="HB35" s="9">
        <v>300501363</v>
      </c>
      <c r="HC35" s="9">
        <v>4.4742999999999998E-2</v>
      </c>
      <c r="HD35" s="9">
        <v>51800</v>
      </c>
      <c r="HE35" s="9">
        <v>0</v>
      </c>
      <c r="HF35" s="9">
        <v>0</v>
      </c>
      <c r="HG35" s="9">
        <v>0</v>
      </c>
      <c r="HH35" s="9">
        <v>0</v>
      </c>
      <c r="HI35" s="9">
        <v>0</v>
      </c>
      <c r="HJ35" s="9">
        <v>0</v>
      </c>
      <c r="HK35" s="9">
        <v>0</v>
      </c>
      <c r="HL35" s="9">
        <v>0</v>
      </c>
      <c r="HM35" s="9">
        <v>0</v>
      </c>
      <c r="HN35" s="9">
        <v>0</v>
      </c>
      <c r="HO35" s="9">
        <v>0</v>
      </c>
      <c r="HP35" s="9">
        <v>0</v>
      </c>
      <c r="HQ35" s="9">
        <v>0</v>
      </c>
      <c r="HR35" s="9">
        <v>0</v>
      </c>
      <c r="HS35" s="9">
        <v>0</v>
      </c>
      <c r="HT35" s="9">
        <v>0</v>
      </c>
      <c r="HU35" s="9">
        <v>0</v>
      </c>
      <c r="HV35" s="9">
        <v>0</v>
      </c>
      <c r="HW35" s="9">
        <v>0</v>
      </c>
      <c r="HX35" s="9">
        <v>0</v>
      </c>
      <c r="HY35" s="9">
        <v>0</v>
      </c>
      <c r="HZ35" s="9">
        <v>0</v>
      </c>
      <c r="IA35" s="9">
        <v>0</v>
      </c>
      <c r="IB35" s="9">
        <v>0</v>
      </c>
      <c r="IC35" s="9">
        <v>0</v>
      </c>
      <c r="ID35" s="9">
        <v>0</v>
      </c>
      <c r="IE35" s="9">
        <v>0</v>
      </c>
      <c r="IF35" s="9">
        <v>0</v>
      </c>
      <c r="IG35" s="9">
        <v>0</v>
      </c>
      <c r="IH35" s="9">
        <v>0</v>
      </c>
      <c r="II35" s="9">
        <v>0</v>
      </c>
      <c r="IJ35" s="9">
        <v>0</v>
      </c>
      <c r="IK35" s="9">
        <v>0</v>
      </c>
      <c r="IL35" s="9">
        <v>0</v>
      </c>
      <c r="IM35" s="9">
        <v>0</v>
      </c>
      <c r="IN35" s="9">
        <v>0</v>
      </c>
      <c r="IO35" s="9">
        <v>0</v>
      </c>
      <c r="IP35" s="9">
        <v>0</v>
      </c>
      <c r="IQ35" s="9">
        <v>0</v>
      </c>
      <c r="IR35" s="9">
        <v>0</v>
      </c>
      <c r="IS35" s="9">
        <v>0</v>
      </c>
      <c r="IT35" s="9">
        <v>0</v>
      </c>
      <c r="IU35" s="9">
        <v>0</v>
      </c>
      <c r="IV35" s="9">
        <v>0</v>
      </c>
      <c r="IW35" s="9">
        <v>0</v>
      </c>
      <c r="IX35" s="9">
        <v>0</v>
      </c>
      <c r="IY35" s="9">
        <v>0</v>
      </c>
      <c r="IZ35" s="9">
        <v>0</v>
      </c>
      <c r="JA35" s="9">
        <v>0</v>
      </c>
      <c r="JB35" s="9">
        <v>0</v>
      </c>
      <c r="JC35" s="9">
        <v>0</v>
      </c>
      <c r="JD35" s="9">
        <v>0</v>
      </c>
      <c r="JE35" s="9">
        <v>0</v>
      </c>
      <c r="JF35" s="9">
        <v>0</v>
      </c>
      <c r="JG35" s="9">
        <v>0</v>
      </c>
      <c r="JH35" s="9">
        <v>0</v>
      </c>
      <c r="JI35" s="9">
        <v>0</v>
      </c>
      <c r="JJ35" s="9">
        <v>0</v>
      </c>
      <c r="JK35" s="9">
        <v>0</v>
      </c>
      <c r="JL35" s="9">
        <v>0</v>
      </c>
      <c r="JM35" s="9">
        <v>0</v>
      </c>
      <c r="JN35" s="9">
        <v>36832</v>
      </c>
      <c r="JO35" s="9">
        <v>0</v>
      </c>
      <c r="JP35" s="9">
        <v>0</v>
      </c>
      <c r="JQ35" s="9">
        <v>0</v>
      </c>
      <c r="JR35" s="9">
        <v>0</v>
      </c>
      <c r="JS35" s="9">
        <v>0</v>
      </c>
      <c r="JT35" s="9">
        <v>0</v>
      </c>
      <c r="JU35" s="9">
        <v>0</v>
      </c>
      <c r="JV35" s="9">
        <v>0</v>
      </c>
      <c r="JW35" s="9">
        <v>0</v>
      </c>
      <c r="JX35" s="9">
        <v>0</v>
      </c>
      <c r="JY35" s="9">
        <v>0</v>
      </c>
      <c r="JZ35" s="9">
        <v>0</v>
      </c>
      <c r="KA35" s="9">
        <v>0</v>
      </c>
      <c r="KB35" s="9">
        <v>0</v>
      </c>
      <c r="KC35" s="9">
        <v>0</v>
      </c>
      <c r="KD35" s="9">
        <v>0</v>
      </c>
      <c r="KE35" s="9">
        <v>0</v>
      </c>
      <c r="KF35" s="9">
        <v>0</v>
      </c>
      <c r="KG35" s="9">
        <v>0</v>
      </c>
      <c r="KH35" s="9">
        <v>0</v>
      </c>
      <c r="KI35" s="9">
        <v>0</v>
      </c>
    </row>
    <row r="36" spans="1:295" x14ac:dyDescent="0.25">
      <c r="A36" s="9">
        <v>21805</v>
      </c>
      <c r="B36" s="9">
        <v>36871</v>
      </c>
      <c r="C36" s="9">
        <v>35</v>
      </c>
      <c r="D36" s="9">
        <v>2023</v>
      </c>
      <c r="E36" s="9">
        <v>5392</v>
      </c>
      <c r="F36" s="9">
        <v>0</v>
      </c>
      <c r="G36" s="9">
        <v>0</v>
      </c>
      <c r="H36" s="9">
        <v>779.46400000000006</v>
      </c>
      <c r="I36" s="9">
        <v>779.46400000000006</v>
      </c>
      <c r="J36" s="9">
        <v>797.43700000000001</v>
      </c>
      <c r="K36" s="9">
        <v>0</v>
      </c>
      <c r="L36" s="9">
        <v>6547</v>
      </c>
      <c r="M36" s="9">
        <v>0</v>
      </c>
      <c r="N36" s="9">
        <v>0</v>
      </c>
      <c r="O36" s="9">
        <v>0</v>
      </c>
      <c r="P36" s="9">
        <v>711.49800000000005</v>
      </c>
      <c r="Q36" s="9">
        <v>0</v>
      </c>
      <c r="R36" s="9">
        <v>346444</v>
      </c>
      <c r="S36" s="9">
        <v>486.92200000000003</v>
      </c>
      <c r="T36" s="9">
        <v>0</v>
      </c>
      <c r="U36" s="9">
        <v>346444</v>
      </c>
      <c r="V36" s="9">
        <v>82.525000000000006</v>
      </c>
      <c r="W36" s="9">
        <v>54029</v>
      </c>
      <c r="X36" s="9">
        <v>54029</v>
      </c>
      <c r="Y36" s="9">
        <v>0</v>
      </c>
      <c r="Z36" s="9">
        <v>0</v>
      </c>
      <c r="AA36" s="9">
        <v>1</v>
      </c>
      <c r="AB36" s="9">
        <v>1</v>
      </c>
      <c r="AC36" s="9">
        <v>0</v>
      </c>
      <c r="AD36" s="9" t="s">
        <v>314</v>
      </c>
      <c r="AE36" s="9">
        <v>0</v>
      </c>
      <c r="AF36" s="9">
        <v>0</v>
      </c>
      <c r="AG36" s="9">
        <v>0</v>
      </c>
      <c r="AH36" s="9">
        <v>0</v>
      </c>
      <c r="AI36" s="9">
        <v>0</v>
      </c>
      <c r="AJ36" s="9">
        <v>5104</v>
      </c>
      <c r="AK36" s="9" t="s">
        <v>651</v>
      </c>
      <c r="AL36" s="9" t="s">
        <v>320</v>
      </c>
      <c r="AM36" s="9">
        <v>0</v>
      </c>
      <c r="AN36" s="9">
        <v>0</v>
      </c>
      <c r="AO36" s="9">
        <v>0</v>
      </c>
      <c r="AP36" s="9">
        <v>0</v>
      </c>
      <c r="AQ36" s="9">
        <v>0</v>
      </c>
      <c r="AR36" s="9">
        <v>0</v>
      </c>
      <c r="AS36" s="9">
        <v>0</v>
      </c>
      <c r="AT36" s="9">
        <v>0</v>
      </c>
      <c r="AU36" s="9">
        <v>0</v>
      </c>
      <c r="AV36" s="9">
        <v>-291198</v>
      </c>
      <c r="AW36" s="9">
        <v>7678322</v>
      </c>
      <c r="AX36" s="9">
        <v>7537744</v>
      </c>
      <c r="AY36" s="9">
        <v>6969031</v>
      </c>
      <c r="AZ36" s="9">
        <v>346444</v>
      </c>
      <c r="BA36" s="9">
        <v>0</v>
      </c>
      <c r="BB36" s="9">
        <v>4714</v>
      </c>
      <c r="BC36" s="9">
        <v>4714</v>
      </c>
      <c r="BD36" s="9">
        <v>6</v>
      </c>
      <c r="BE36" s="9">
        <v>0</v>
      </c>
      <c r="BF36" s="9">
        <v>6478389</v>
      </c>
      <c r="BG36" s="9">
        <v>0</v>
      </c>
      <c r="BH36" s="9">
        <v>0</v>
      </c>
      <c r="BI36" s="9">
        <v>0</v>
      </c>
      <c r="BJ36" s="9">
        <v>12</v>
      </c>
      <c r="BK36" s="9">
        <v>0</v>
      </c>
      <c r="BL36" s="9">
        <v>0</v>
      </c>
      <c r="BM36" s="9">
        <v>0</v>
      </c>
      <c r="BN36" s="9">
        <v>0</v>
      </c>
      <c r="BO36" s="9">
        <v>0</v>
      </c>
      <c r="BP36" s="9">
        <v>0</v>
      </c>
      <c r="BQ36" s="9">
        <v>5392</v>
      </c>
      <c r="BR36" s="9">
        <v>1</v>
      </c>
      <c r="BS36" s="9">
        <v>0</v>
      </c>
      <c r="BT36" s="9">
        <v>0</v>
      </c>
      <c r="BU36" s="9">
        <v>0</v>
      </c>
      <c r="BV36" s="9">
        <v>0</v>
      </c>
      <c r="BW36" s="9">
        <v>0</v>
      </c>
      <c r="BX36" s="9">
        <v>0</v>
      </c>
      <c r="BY36" s="9">
        <v>0</v>
      </c>
      <c r="BZ36" s="9">
        <v>0</v>
      </c>
      <c r="CA36" s="9">
        <v>0</v>
      </c>
      <c r="CB36" s="9">
        <v>0</v>
      </c>
      <c r="CC36" s="9">
        <v>0</v>
      </c>
      <c r="CD36" s="9">
        <v>0</v>
      </c>
      <c r="CE36" s="9">
        <v>0</v>
      </c>
      <c r="CF36" s="9">
        <v>0</v>
      </c>
      <c r="CG36" s="9">
        <v>0</v>
      </c>
      <c r="CH36" s="9">
        <v>140578</v>
      </c>
      <c r="CI36" s="9">
        <v>0</v>
      </c>
      <c r="CJ36" s="9">
        <v>4</v>
      </c>
      <c r="CK36" s="9">
        <v>0</v>
      </c>
      <c r="CL36" s="9">
        <v>0</v>
      </c>
      <c r="CM36" s="9">
        <v>0</v>
      </c>
      <c r="CN36" s="9">
        <v>0</v>
      </c>
      <c r="CO36" s="9">
        <v>0</v>
      </c>
      <c r="CP36" s="9">
        <v>0</v>
      </c>
      <c r="CQ36" s="9">
        <v>0</v>
      </c>
      <c r="CR36" s="9">
        <v>684.26800000000003</v>
      </c>
      <c r="CS36" s="9">
        <v>0</v>
      </c>
      <c r="CT36" s="9">
        <v>0</v>
      </c>
      <c r="CU36" s="9">
        <v>0</v>
      </c>
      <c r="CV36" s="9">
        <v>0</v>
      </c>
      <c r="CW36" s="9">
        <v>0</v>
      </c>
      <c r="CX36" s="9">
        <v>0</v>
      </c>
      <c r="CY36" s="9">
        <v>0</v>
      </c>
      <c r="CZ36" s="9">
        <v>0</v>
      </c>
      <c r="DA36" s="9">
        <v>1</v>
      </c>
      <c r="DB36" s="9">
        <v>5103151</v>
      </c>
      <c r="DC36" s="9">
        <v>0</v>
      </c>
      <c r="DD36" s="9">
        <v>0</v>
      </c>
      <c r="DE36" s="9">
        <v>1002568</v>
      </c>
      <c r="DF36" s="9">
        <v>1002568</v>
      </c>
      <c r="DG36" s="9">
        <v>765.67000000000007</v>
      </c>
      <c r="DH36" s="9">
        <v>0</v>
      </c>
      <c r="DI36" s="9">
        <v>0</v>
      </c>
      <c r="DJ36" s="9">
        <v>0</v>
      </c>
      <c r="DK36" s="9">
        <v>5392</v>
      </c>
      <c r="DL36" s="9">
        <v>0</v>
      </c>
      <c r="DM36" s="9">
        <v>491864</v>
      </c>
      <c r="DN36" s="9">
        <v>0</v>
      </c>
      <c r="DO36" s="9">
        <v>0</v>
      </c>
      <c r="DP36" s="9">
        <v>0</v>
      </c>
      <c r="DQ36" s="9">
        <v>0</v>
      </c>
      <c r="DR36" s="9">
        <v>0</v>
      </c>
      <c r="DS36" s="9">
        <v>0</v>
      </c>
      <c r="DT36" s="9">
        <v>0</v>
      </c>
      <c r="DU36" s="9">
        <v>0</v>
      </c>
      <c r="DV36" s="9">
        <v>0</v>
      </c>
      <c r="DW36" s="9">
        <v>0</v>
      </c>
      <c r="DX36" s="9">
        <v>0</v>
      </c>
      <c r="DY36" s="9">
        <v>0</v>
      </c>
      <c r="DZ36" s="9">
        <v>0</v>
      </c>
      <c r="EA36" s="9">
        <v>0</v>
      </c>
      <c r="EB36" s="9">
        <v>0</v>
      </c>
      <c r="EC36" s="9">
        <v>17.432000000000002</v>
      </c>
      <c r="ED36" s="9">
        <v>125540</v>
      </c>
      <c r="EE36" s="9">
        <v>0</v>
      </c>
      <c r="EF36" s="9">
        <v>0</v>
      </c>
      <c r="EG36" s="9">
        <v>0</v>
      </c>
      <c r="EH36" s="9">
        <v>366324</v>
      </c>
      <c r="EI36" s="9">
        <v>0</v>
      </c>
      <c r="EJ36" s="9">
        <v>0</v>
      </c>
      <c r="EK36" s="9">
        <v>16.076000000000001</v>
      </c>
      <c r="EL36" s="9">
        <v>0</v>
      </c>
      <c r="EM36" s="9">
        <v>0.88</v>
      </c>
      <c r="EN36" s="9">
        <v>1.0170000000000001</v>
      </c>
      <c r="EO36" s="9">
        <v>0</v>
      </c>
      <c r="EP36" s="9">
        <v>0</v>
      </c>
      <c r="EQ36" s="9">
        <v>17.973000000000003</v>
      </c>
      <c r="ER36" s="9">
        <v>0</v>
      </c>
      <c r="ES36" s="9">
        <v>55.953000000000003</v>
      </c>
      <c r="ET36" s="9">
        <v>0</v>
      </c>
      <c r="EU36" s="9">
        <v>346444</v>
      </c>
      <c r="EV36" s="9">
        <v>0</v>
      </c>
      <c r="EW36" s="9">
        <v>0</v>
      </c>
      <c r="EX36" s="9">
        <v>0</v>
      </c>
      <c r="EY36" s="9">
        <v>0</v>
      </c>
      <c r="EZ36" s="9">
        <v>6322139</v>
      </c>
      <c r="FA36" s="9">
        <v>0</v>
      </c>
      <c r="FB36" s="9">
        <v>6668583</v>
      </c>
      <c r="FC36" s="9">
        <v>0.97326799999999991</v>
      </c>
      <c r="FD36" s="9">
        <v>0</v>
      </c>
      <c r="FE36" s="9">
        <v>1002189</v>
      </c>
      <c r="FF36" s="9">
        <v>213416</v>
      </c>
      <c r="FG36" s="9">
        <v>5.8088000000000001E-2</v>
      </c>
      <c r="FH36" s="9">
        <v>5.2622999999999996E-2</v>
      </c>
      <c r="FI36" s="9">
        <v>0</v>
      </c>
      <c r="FJ36" s="9">
        <v>0</v>
      </c>
      <c r="FK36" s="9">
        <v>1269.346</v>
      </c>
      <c r="FL36" s="9">
        <v>8024766</v>
      </c>
      <c r="FM36" s="9">
        <v>0</v>
      </c>
      <c r="FN36" s="9">
        <v>0</v>
      </c>
      <c r="FO36" s="9">
        <v>12257</v>
      </c>
      <c r="FP36" s="9">
        <v>0</v>
      </c>
      <c r="FQ36" s="9">
        <v>12257</v>
      </c>
      <c r="FR36" s="9">
        <v>12257</v>
      </c>
      <c r="FS36" s="9">
        <v>0</v>
      </c>
      <c r="FT36" s="9">
        <v>0</v>
      </c>
      <c r="FU36" s="9">
        <v>0</v>
      </c>
      <c r="FV36" s="9">
        <v>0</v>
      </c>
      <c r="FW36" s="9">
        <v>0</v>
      </c>
      <c r="FX36" s="9">
        <v>0</v>
      </c>
      <c r="FY36" s="9">
        <v>0</v>
      </c>
      <c r="FZ36" s="9">
        <v>0</v>
      </c>
      <c r="GA36" s="9">
        <v>0</v>
      </c>
      <c r="GB36" s="9">
        <v>0</v>
      </c>
      <c r="GC36" s="9">
        <v>0</v>
      </c>
      <c r="GD36" s="9">
        <v>0</v>
      </c>
      <c r="GE36" s="9">
        <v>0</v>
      </c>
      <c r="GF36" s="9">
        <v>0</v>
      </c>
      <c r="GG36" s="9">
        <v>0</v>
      </c>
      <c r="GH36" s="9">
        <v>0</v>
      </c>
      <c r="GI36" s="9">
        <v>0</v>
      </c>
      <c r="GJ36" s="9">
        <v>0</v>
      </c>
      <c r="GK36" s="9">
        <v>4971</v>
      </c>
      <c r="GL36" s="9">
        <v>0</v>
      </c>
      <c r="GM36" s="9">
        <v>0</v>
      </c>
      <c r="GN36" s="9">
        <v>0</v>
      </c>
      <c r="GO36" s="9">
        <v>0</v>
      </c>
      <c r="GP36" s="9">
        <v>7884188</v>
      </c>
      <c r="GQ36" s="9">
        <v>7884188</v>
      </c>
      <c r="GR36" s="9">
        <v>0</v>
      </c>
      <c r="GS36" s="9">
        <v>0</v>
      </c>
      <c r="GT36" s="9">
        <v>0</v>
      </c>
      <c r="GU36" s="9">
        <v>0</v>
      </c>
      <c r="GV36" s="9">
        <v>0</v>
      </c>
      <c r="GW36" s="9">
        <v>0</v>
      </c>
      <c r="GX36" s="9">
        <v>0</v>
      </c>
      <c r="GY36" s="9">
        <v>0</v>
      </c>
      <c r="GZ36" s="9">
        <v>0</v>
      </c>
      <c r="HA36" s="9">
        <v>0</v>
      </c>
      <c r="HB36" s="9">
        <v>300501363</v>
      </c>
      <c r="HC36" s="9">
        <v>4.4742999999999998E-2</v>
      </c>
      <c r="HD36" s="9">
        <v>140578</v>
      </c>
      <c r="HE36" s="9">
        <v>0</v>
      </c>
      <c r="HF36" s="9">
        <v>0</v>
      </c>
      <c r="HG36" s="9">
        <v>0</v>
      </c>
      <c r="HH36" s="9">
        <v>0</v>
      </c>
      <c r="HI36" s="9">
        <v>0</v>
      </c>
      <c r="HJ36" s="9">
        <v>0</v>
      </c>
      <c r="HK36" s="9">
        <v>0</v>
      </c>
      <c r="HL36" s="9">
        <v>0</v>
      </c>
      <c r="HM36" s="9">
        <v>0</v>
      </c>
      <c r="HN36" s="9">
        <v>0</v>
      </c>
      <c r="HO36" s="9">
        <v>0</v>
      </c>
      <c r="HP36" s="9">
        <v>0</v>
      </c>
      <c r="HQ36" s="9">
        <v>0</v>
      </c>
      <c r="HR36" s="9">
        <v>0</v>
      </c>
      <c r="HS36" s="9">
        <v>0</v>
      </c>
      <c r="HT36" s="9">
        <v>0</v>
      </c>
      <c r="HU36" s="9">
        <v>0</v>
      </c>
      <c r="HV36" s="9">
        <v>0</v>
      </c>
      <c r="HW36" s="9">
        <v>0</v>
      </c>
      <c r="HX36" s="9">
        <v>0</v>
      </c>
      <c r="HY36" s="9">
        <v>0</v>
      </c>
      <c r="HZ36" s="9">
        <v>0</v>
      </c>
      <c r="IA36" s="9">
        <v>0</v>
      </c>
      <c r="IB36" s="9">
        <v>0</v>
      </c>
      <c r="IC36" s="9">
        <v>0</v>
      </c>
      <c r="ID36" s="9">
        <v>0</v>
      </c>
      <c r="IE36" s="9">
        <v>0</v>
      </c>
      <c r="IF36" s="9">
        <v>0</v>
      </c>
      <c r="IG36" s="9">
        <v>0</v>
      </c>
      <c r="IH36" s="9">
        <v>0</v>
      </c>
      <c r="II36" s="9">
        <v>0</v>
      </c>
      <c r="IJ36" s="9">
        <v>0</v>
      </c>
      <c r="IK36" s="9">
        <v>0</v>
      </c>
      <c r="IL36" s="9">
        <v>0</v>
      </c>
      <c r="IM36" s="9">
        <v>0</v>
      </c>
      <c r="IN36" s="9">
        <v>0</v>
      </c>
      <c r="IO36" s="9">
        <v>0</v>
      </c>
      <c r="IP36" s="9">
        <v>0</v>
      </c>
      <c r="IQ36" s="9">
        <v>0</v>
      </c>
      <c r="IR36" s="9">
        <v>0</v>
      </c>
      <c r="IS36" s="9">
        <v>0</v>
      </c>
      <c r="IT36" s="9">
        <v>0</v>
      </c>
      <c r="IU36" s="9">
        <v>0</v>
      </c>
      <c r="IV36" s="9">
        <v>0</v>
      </c>
      <c r="IW36" s="9">
        <v>0</v>
      </c>
      <c r="IX36" s="9">
        <v>0</v>
      </c>
      <c r="IY36" s="9">
        <v>0</v>
      </c>
      <c r="IZ36" s="9">
        <v>0</v>
      </c>
      <c r="JA36" s="9">
        <v>0</v>
      </c>
      <c r="JB36" s="9">
        <v>0</v>
      </c>
      <c r="JC36" s="9">
        <v>0</v>
      </c>
      <c r="JD36" s="9">
        <v>0</v>
      </c>
      <c r="JE36" s="9">
        <v>0</v>
      </c>
      <c r="JF36" s="9">
        <v>0</v>
      </c>
      <c r="JG36" s="9">
        <v>0</v>
      </c>
      <c r="JH36" s="9">
        <v>0</v>
      </c>
      <c r="JI36" s="9">
        <v>0</v>
      </c>
      <c r="JJ36" s="9">
        <v>0</v>
      </c>
      <c r="JK36" s="9">
        <v>0</v>
      </c>
      <c r="JL36" s="9">
        <v>0</v>
      </c>
      <c r="JM36" s="9">
        <v>0</v>
      </c>
      <c r="JN36" s="9">
        <v>36832</v>
      </c>
      <c r="JO36" s="9">
        <v>0</v>
      </c>
      <c r="JP36" s="9">
        <v>0</v>
      </c>
      <c r="JQ36" s="9">
        <v>0</v>
      </c>
      <c r="JR36" s="9">
        <v>0</v>
      </c>
      <c r="JS36" s="9">
        <v>0</v>
      </c>
      <c r="JT36" s="9">
        <v>0</v>
      </c>
      <c r="JU36" s="9">
        <v>0</v>
      </c>
      <c r="JV36" s="9">
        <v>0</v>
      </c>
      <c r="JW36" s="9">
        <v>0</v>
      </c>
      <c r="JX36" s="9">
        <v>0</v>
      </c>
      <c r="JY36" s="9">
        <v>0</v>
      </c>
      <c r="JZ36" s="9">
        <v>0</v>
      </c>
      <c r="KA36" s="9">
        <v>0</v>
      </c>
      <c r="KB36" s="9">
        <v>0</v>
      </c>
      <c r="KC36" s="9">
        <v>0</v>
      </c>
      <c r="KD36" s="9">
        <v>0</v>
      </c>
      <c r="KE36" s="9">
        <v>0</v>
      </c>
      <c r="KF36" s="9">
        <v>0</v>
      </c>
      <c r="KG36" s="9">
        <v>0</v>
      </c>
      <c r="KH36" s="9">
        <v>0</v>
      </c>
      <c r="KI36" s="9">
        <v>0</v>
      </c>
    </row>
    <row r="37" spans="1:295" x14ac:dyDescent="0.25">
      <c r="A37" s="9">
        <v>43801</v>
      </c>
      <c r="B37" s="9">
        <v>36871</v>
      </c>
      <c r="C37" s="9">
        <v>35</v>
      </c>
      <c r="D37" s="9">
        <v>2023</v>
      </c>
      <c r="E37" s="9">
        <v>5392</v>
      </c>
      <c r="F37" s="9">
        <v>0</v>
      </c>
      <c r="G37" s="9">
        <v>0</v>
      </c>
      <c r="H37" s="9">
        <v>1379.492</v>
      </c>
      <c r="I37" s="9">
        <v>1379.492</v>
      </c>
      <c r="J37" s="9">
        <v>1387.7910000000002</v>
      </c>
      <c r="K37" s="9">
        <v>0</v>
      </c>
      <c r="L37" s="9">
        <v>6547</v>
      </c>
      <c r="M37" s="9">
        <v>0</v>
      </c>
      <c r="N37" s="9">
        <v>0</v>
      </c>
      <c r="O37" s="9">
        <v>0</v>
      </c>
      <c r="P37" s="9">
        <v>1350.2250000000001</v>
      </c>
      <c r="Q37" s="9">
        <v>0</v>
      </c>
      <c r="R37" s="9">
        <v>657454</v>
      </c>
      <c r="S37" s="9">
        <v>486.92200000000003</v>
      </c>
      <c r="T37" s="9">
        <v>0</v>
      </c>
      <c r="U37" s="9">
        <v>657454</v>
      </c>
      <c r="V37" s="9">
        <v>150.09800000000001</v>
      </c>
      <c r="W37" s="9">
        <v>98269</v>
      </c>
      <c r="X37" s="9">
        <v>98269</v>
      </c>
      <c r="Y37" s="9">
        <v>0</v>
      </c>
      <c r="Z37" s="9">
        <v>0</v>
      </c>
      <c r="AA37" s="9">
        <v>1</v>
      </c>
      <c r="AB37" s="9">
        <v>1</v>
      </c>
      <c r="AC37" s="9">
        <v>0</v>
      </c>
      <c r="AD37" s="9" t="s">
        <v>314</v>
      </c>
      <c r="AE37" s="9">
        <v>0</v>
      </c>
      <c r="AF37" s="9">
        <v>0</v>
      </c>
      <c r="AG37" s="9">
        <v>0</v>
      </c>
      <c r="AH37" s="9">
        <v>0</v>
      </c>
      <c r="AI37" s="9">
        <v>0</v>
      </c>
      <c r="AJ37" s="9">
        <v>5104</v>
      </c>
      <c r="AK37" s="9" t="s">
        <v>651</v>
      </c>
      <c r="AL37" s="9" t="s">
        <v>321</v>
      </c>
      <c r="AM37" s="9">
        <v>0</v>
      </c>
      <c r="AN37" s="9">
        <v>0</v>
      </c>
      <c r="AO37" s="9">
        <v>0</v>
      </c>
      <c r="AP37" s="9">
        <v>0</v>
      </c>
      <c r="AQ37" s="9">
        <v>0</v>
      </c>
      <c r="AR37" s="9">
        <v>0</v>
      </c>
      <c r="AS37" s="9">
        <v>0</v>
      </c>
      <c r="AT37" s="9">
        <v>0</v>
      </c>
      <c r="AU37" s="9">
        <v>0</v>
      </c>
      <c r="AV37" s="9">
        <v>-52440</v>
      </c>
      <c r="AW37" s="9">
        <v>11150437</v>
      </c>
      <c r="AX37" s="9">
        <v>10839198</v>
      </c>
      <c r="AY37" s="9">
        <v>11782500</v>
      </c>
      <c r="AZ37" s="9">
        <v>724043</v>
      </c>
      <c r="BA37" s="9">
        <v>0</v>
      </c>
      <c r="BB37" s="9">
        <v>0</v>
      </c>
      <c r="BC37" s="9">
        <v>0</v>
      </c>
      <c r="BD37" s="9">
        <v>0</v>
      </c>
      <c r="BE37" s="9">
        <v>0</v>
      </c>
      <c r="BF37" s="9">
        <v>9461437</v>
      </c>
      <c r="BG37" s="9">
        <v>0</v>
      </c>
      <c r="BH37" s="9">
        <v>242.14000000000001</v>
      </c>
      <c r="BI37" s="9">
        <v>66589</v>
      </c>
      <c r="BJ37" s="9">
        <v>12</v>
      </c>
      <c r="BK37" s="9">
        <v>0</v>
      </c>
      <c r="BL37" s="9">
        <v>0</v>
      </c>
      <c r="BM37" s="9">
        <v>0</v>
      </c>
      <c r="BN37" s="9">
        <v>0</v>
      </c>
      <c r="BO37" s="9">
        <v>0</v>
      </c>
      <c r="BP37" s="9">
        <v>0</v>
      </c>
      <c r="BQ37" s="9">
        <v>5392</v>
      </c>
      <c r="BR37" s="9">
        <v>1</v>
      </c>
      <c r="BS37" s="9">
        <v>0</v>
      </c>
      <c r="BT37" s="9">
        <v>0</v>
      </c>
      <c r="BU37" s="9">
        <v>0</v>
      </c>
      <c r="BV37" s="9">
        <v>0</v>
      </c>
      <c r="BW37" s="9">
        <v>0</v>
      </c>
      <c r="BX37" s="9">
        <v>0</v>
      </c>
      <c r="BY37" s="9">
        <v>0</v>
      </c>
      <c r="BZ37" s="9">
        <v>0</v>
      </c>
      <c r="CA37" s="9">
        <v>0</v>
      </c>
      <c r="CB37" s="9">
        <v>0</v>
      </c>
      <c r="CC37" s="9">
        <v>0</v>
      </c>
      <c r="CD37" s="9">
        <v>0</v>
      </c>
      <c r="CE37" s="9">
        <v>0</v>
      </c>
      <c r="CF37" s="9">
        <v>0</v>
      </c>
      <c r="CG37" s="9">
        <v>0</v>
      </c>
      <c r="CH37" s="9">
        <v>244650</v>
      </c>
      <c r="CI37" s="9">
        <v>0</v>
      </c>
      <c r="CJ37" s="9">
        <v>4</v>
      </c>
      <c r="CK37" s="9">
        <v>0</v>
      </c>
      <c r="CL37" s="9">
        <v>0</v>
      </c>
      <c r="CM37" s="9">
        <v>0</v>
      </c>
      <c r="CN37" s="9">
        <v>0</v>
      </c>
      <c r="CO37" s="9">
        <v>0</v>
      </c>
      <c r="CP37" s="9">
        <v>0</v>
      </c>
      <c r="CQ37" s="9">
        <v>0</v>
      </c>
      <c r="CR37" s="9">
        <v>1350.2250000000001</v>
      </c>
      <c r="CS37" s="9">
        <v>0</v>
      </c>
      <c r="CT37" s="9">
        <v>0</v>
      </c>
      <c r="CU37" s="9">
        <v>0</v>
      </c>
      <c r="CV37" s="9">
        <v>0</v>
      </c>
      <c r="CW37" s="9">
        <v>0</v>
      </c>
      <c r="CX37" s="9">
        <v>0</v>
      </c>
      <c r="CY37" s="9">
        <v>0</v>
      </c>
      <c r="CZ37" s="9">
        <v>0</v>
      </c>
      <c r="DA37" s="9">
        <v>1</v>
      </c>
      <c r="DB37" s="9">
        <v>9031534</v>
      </c>
      <c r="DC37" s="9">
        <v>0</v>
      </c>
      <c r="DD37" s="9">
        <v>0</v>
      </c>
      <c r="DE37" s="9">
        <v>172618</v>
      </c>
      <c r="DF37" s="9">
        <v>172618</v>
      </c>
      <c r="DG37" s="9">
        <v>131.83000000000001</v>
      </c>
      <c r="DH37" s="9">
        <v>0</v>
      </c>
      <c r="DI37" s="9">
        <v>0</v>
      </c>
      <c r="DJ37" s="9">
        <v>0</v>
      </c>
      <c r="DK37" s="9">
        <v>5392</v>
      </c>
      <c r="DL37" s="9">
        <v>0</v>
      </c>
      <c r="DM37" s="9">
        <v>418886</v>
      </c>
      <c r="DN37" s="9">
        <v>0</v>
      </c>
      <c r="DO37" s="9">
        <v>574</v>
      </c>
      <c r="DP37" s="9">
        <v>0</v>
      </c>
      <c r="DQ37" s="9">
        <v>0</v>
      </c>
      <c r="DR37" s="9">
        <v>0</v>
      </c>
      <c r="DS37" s="9">
        <v>0</v>
      </c>
      <c r="DT37" s="9">
        <v>3.9E-2</v>
      </c>
      <c r="DU37" s="9">
        <v>0</v>
      </c>
      <c r="DV37" s="9">
        <v>0</v>
      </c>
      <c r="DW37" s="9">
        <v>0</v>
      </c>
      <c r="DX37" s="9">
        <v>0</v>
      </c>
      <c r="DY37" s="9">
        <v>0</v>
      </c>
      <c r="DZ37" s="9">
        <v>0.11700000000000001</v>
      </c>
      <c r="EA37" s="9">
        <v>0</v>
      </c>
      <c r="EB37" s="9">
        <v>0</v>
      </c>
      <c r="EC37" s="9">
        <v>32.917000000000002</v>
      </c>
      <c r="ED37" s="9">
        <v>237058</v>
      </c>
      <c r="EE37" s="9">
        <v>0</v>
      </c>
      <c r="EF37" s="9">
        <v>0</v>
      </c>
      <c r="EG37" s="9">
        <v>0</v>
      </c>
      <c r="EH37" s="9">
        <v>181254</v>
      </c>
      <c r="EI37" s="9">
        <v>0</v>
      </c>
      <c r="EJ37" s="9">
        <v>0</v>
      </c>
      <c r="EK37" s="9">
        <v>6.3810000000000002</v>
      </c>
      <c r="EL37" s="9">
        <v>7.400000000000001E-2</v>
      </c>
      <c r="EM37" s="9">
        <v>0.52400000000000002</v>
      </c>
      <c r="EN37" s="9">
        <v>1.3940000000000001</v>
      </c>
      <c r="EO37" s="9">
        <v>0</v>
      </c>
      <c r="EP37" s="9">
        <v>0</v>
      </c>
      <c r="EQ37" s="9">
        <v>8.2990000000000013</v>
      </c>
      <c r="ER37" s="9">
        <v>0</v>
      </c>
      <c r="ES37" s="9">
        <v>27.685000000000002</v>
      </c>
      <c r="ET37" s="9">
        <v>0</v>
      </c>
      <c r="EU37" s="9">
        <v>724043</v>
      </c>
      <c r="EV37" s="9">
        <v>0</v>
      </c>
      <c r="EW37" s="9">
        <v>0</v>
      </c>
      <c r="EX37" s="9">
        <v>0</v>
      </c>
      <c r="EY37" s="9">
        <v>0</v>
      </c>
      <c r="EZ37" s="9">
        <v>9063853</v>
      </c>
      <c r="FA37" s="9">
        <v>0</v>
      </c>
      <c r="FB37" s="9">
        <v>9787896</v>
      </c>
      <c r="FC37" s="9">
        <v>0.97326799999999991</v>
      </c>
      <c r="FD37" s="9">
        <v>0</v>
      </c>
      <c r="FE37" s="9">
        <v>1463659</v>
      </c>
      <c r="FF37" s="9">
        <v>311686</v>
      </c>
      <c r="FG37" s="9">
        <v>5.8088000000000001E-2</v>
      </c>
      <c r="FH37" s="9">
        <v>5.2622999999999996E-2</v>
      </c>
      <c r="FI37" s="9">
        <v>0</v>
      </c>
      <c r="FJ37" s="9">
        <v>0</v>
      </c>
      <c r="FK37" s="9">
        <v>1853.8310000000001</v>
      </c>
      <c r="FL37" s="9">
        <v>11807891</v>
      </c>
      <c r="FM37" s="9">
        <v>0</v>
      </c>
      <c r="FN37" s="9">
        <v>0</v>
      </c>
      <c r="FO37" s="9">
        <v>0</v>
      </c>
      <c r="FP37" s="9">
        <v>0</v>
      </c>
      <c r="FQ37" s="9">
        <v>0</v>
      </c>
      <c r="FR37" s="9">
        <v>0</v>
      </c>
      <c r="FS37" s="9">
        <v>0</v>
      </c>
      <c r="FT37" s="9">
        <v>0</v>
      </c>
      <c r="FU37" s="9">
        <v>0</v>
      </c>
      <c r="FV37" s="9">
        <v>0</v>
      </c>
      <c r="FW37" s="9">
        <v>0</v>
      </c>
      <c r="FX37" s="9">
        <v>0</v>
      </c>
      <c r="FY37" s="9">
        <v>0</v>
      </c>
      <c r="FZ37" s="9">
        <v>0</v>
      </c>
      <c r="GA37" s="9">
        <v>0</v>
      </c>
      <c r="GB37" s="9">
        <v>0</v>
      </c>
      <c r="GC37" s="9">
        <v>0</v>
      </c>
      <c r="GD37" s="9">
        <v>0</v>
      </c>
      <c r="GE37" s="9">
        <v>0</v>
      </c>
      <c r="GF37" s="9">
        <v>0</v>
      </c>
      <c r="GG37" s="9">
        <v>0</v>
      </c>
      <c r="GH37" s="9">
        <v>0</v>
      </c>
      <c r="GI37" s="9">
        <v>0</v>
      </c>
      <c r="GJ37" s="9">
        <v>0</v>
      </c>
      <c r="GK37" s="9">
        <v>4971</v>
      </c>
      <c r="GL37" s="9">
        <v>0</v>
      </c>
      <c r="GM37" s="9">
        <v>0</v>
      </c>
      <c r="GN37" s="9">
        <v>0</v>
      </c>
      <c r="GO37" s="9">
        <v>0</v>
      </c>
      <c r="GP37" s="9">
        <v>11563241</v>
      </c>
      <c r="GQ37" s="9">
        <v>11563241</v>
      </c>
      <c r="GR37" s="9">
        <v>0</v>
      </c>
      <c r="GS37" s="9">
        <v>0</v>
      </c>
      <c r="GT37" s="9">
        <v>0</v>
      </c>
      <c r="GU37" s="9">
        <v>0</v>
      </c>
      <c r="GV37" s="9">
        <v>0</v>
      </c>
      <c r="GW37" s="9">
        <v>0</v>
      </c>
      <c r="GX37" s="9">
        <v>0</v>
      </c>
      <c r="GY37" s="9">
        <v>0</v>
      </c>
      <c r="GZ37" s="9">
        <v>0</v>
      </c>
      <c r="HA37" s="9">
        <v>0</v>
      </c>
      <c r="HB37" s="9">
        <v>300501363</v>
      </c>
      <c r="HC37" s="9">
        <v>4.4742999999999998E-2</v>
      </c>
      <c r="HD37" s="9">
        <v>244650</v>
      </c>
      <c r="HE37" s="9">
        <v>0</v>
      </c>
      <c r="HF37" s="9">
        <v>0</v>
      </c>
      <c r="HG37" s="9">
        <v>0</v>
      </c>
      <c r="HH37" s="9">
        <v>0</v>
      </c>
      <c r="HI37" s="9">
        <v>0</v>
      </c>
      <c r="HJ37" s="9">
        <v>0</v>
      </c>
      <c r="HK37" s="9">
        <v>0</v>
      </c>
      <c r="HL37" s="9">
        <v>0</v>
      </c>
      <c r="HM37" s="9">
        <v>0</v>
      </c>
      <c r="HN37" s="9">
        <v>0</v>
      </c>
      <c r="HO37" s="9">
        <v>0</v>
      </c>
      <c r="HP37" s="9">
        <v>0</v>
      </c>
      <c r="HQ37" s="9">
        <v>0</v>
      </c>
      <c r="HR37" s="9">
        <v>0</v>
      </c>
      <c r="HS37" s="9">
        <v>0</v>
      </c>
      <c r="HT37" s="9">
        <v>0</v>
      </c>
      <c r="HU37" s="9">
        <v>0</v>
      </c>
      <c r="HV37" s="9">
        <v>0</v>
      </c>
      <c r="HW37" s="9">
        <v>0</v>
      </c>
      <c r="HX37" s="9">
        <v>0</v>
      </c>
      <c r="HY37" s="9">
        <v>0</v>
      </c>
      <c r="HZ37" s="9">
        <v>0</v>
      </c>
      <c r="IA37" s="9">
        <v>0</v>
      </c>
      <c r="IB37" s="9">
        <v>0</v>
      </c>
      <c r="IC37" s="9">
        <v>0</v>
      </c>
      <c r="ID37" s="9">
        <v>0</v>
      </c>
      <c r="IE37" s="9">
        <v>0</v>
      </c>
      <c r="IF37" s="9">
        <v>0</v>
      </c>
      <c r="IG37" s="9">
        <v>0</v>
      </c>
      <c r="IH37" s="9">
        <v>0</v>
      </c>
      <c r="II37" s="9">
        <v>0</v>
      </c>
      <c r="IJ37" s="9">
        <v>0</v>
      </c>
      <c r="IK37" s="9">
        <v>0</v>
      </c>
      <c r="IL37" s="9">
        <v>0</v>
      </c>
      <c r="IM37" s="9">
        <v>0</v>
      </c>
      <c r="IN37" s="9">
        <v>0</v>
      </c>
      <c r="IO37" s="9">
        <v>0</v>
      </c>
      <c r="IP37" s="9">
        <v>0</v>
      </c>
      <c r="IQ37" s="9">
        <v>0</v>
      </c>
      <c r="IR37" s="9">
        <v>0</v>
      </c>
      <c r="IS37" s="9">
        <v>0</v>
      </c>
      <c r="IT37" s="9">
        <v>0</v>
      </c>
      <c r="IU37" s="9">
        <v>0</v>
      </c>
      <c r="IV37" s="9">
        <v>0</v>
      </c>
      <c r="IW37" s="9">
        <v>0</v>
      </c>
      <c r="IX37" s="9">
        <v>0</v>
      </c>
      <c r="IY37" s="9">
        <v>0</v>
      </c>
      <c r="IZ37" s="9">
        <v>0</v>
      </c>
      <c r="JA37" s="9">
        <v>0</v>
      </c>
      <c r="JB37" s="9">
        <v>0</v>
      </c>
      <c r="JC37" s="9">
        <v>0</v>
      </c>
      <c r="JD37" s="9">
        <v>0</v>
      </c>
      <c r="JE37" s="9">
        <v>0</v>
      </c>
      <c r="JF37" s="9">
        <v>0</v>
      </c>
      <c r="JG37" s="9">
        <v>0</v>
      </c>
      <c r="JH37" s="9">
        <v>0</v>
      </c>
      <c r="JI37" s="9">
        <v>0</v>
      </c>
      <c r="JJ37" s="9">
        <v>0</v>
      </c>
      <c r="JK37" s="9">
        <v>0</v>
      </c>
      <c r="JL37" s="9">
        <v>0</v>
      </c>
      <c r="JM37" s="9">
        <v>0</v>
      </c>
      <c r="JN37" s="9">
        <v>36832</v>
      </c>
      <c r="JO37" s="9">
        <v>0</v>
      </c>
      <c r="JP37" s="9">
        <v>0</v>
      </c>
      <c r="JQ37" s="9">
        <v>0</v>
      </c>
      <c r="JR37" s="9">
        <v>0</v>
      </c>
      <c r="JS37" s="9">
        <v>0</v>
      </c>
      <c r="JT37" s="9">
        <v>0</v>
      </c>
      <c r="JU37" s="9">
        <v>0</v>
      </c>
      <c r="JV37" s="9">
        <v>0</v>
      </c>
      <c r="JW37" s="9">
        <v>0</v>
      </c>
      <c r="JX37" s="9">
        <v>0</v>
      </c>
      <c r="JY37" s="9">
        <v>0</v>
      </c>
      <c r="JZ37" s="9">
        <v>0</v>
      </c>
      <c r="KA37" s="9">
        <v>0</v>
      </c>
      <c r="KB37" s="9">
        <v>0</v>
      </c>
      <c r="KC37" s="9">
        <v>0</v>
      </c>
      <c r="KD37" s="9">
        <v>0</v>
      </c>
      <c r="KE37" s="9">
        <v>0</v>
      </c>
      <c r="KF37" s="9">
        <v>0</v>
      </c>
      <c r="KG37" s="9">
        <v>0</v>
      </c>
      <c r="KH37" s="9">
        <v>0</v>
      </c>
      <c r="KI37" s="9">
        <v>0</v>
      </c>
    </row>
    <row r="38" spans="1:295" ht="14.5" x14ac:dyDescent="0.35">
      <c r="A38" s="9">
        <v>43802</v>
      </c>
      <c r="B38" s="9">
        <v>36871</v>
      </c>
      <c r="C38" s="9">
        <v>35</v>
      </c>
      <c r="D38" s="9">
        <v>2023</v>
      </c>
      <c r="E38" s="9">
        <v>5392</v>
      </c>
      <c r="F38" s="9">
        <v>0</v>
      </c>
      <c r="G38" s="9">
        <v>0</v>
      </c>
      <c r="H38" s="9">
        <v>252.43200000000002</v>
      </c>
      <c r="I38" s="9">
        <v>252.43200000000002</v>
      </c>
      <c r="J38" s="9">
        <v>258.72899999999998</v>
      </c>
      <c r="K38" s="9">
        <v>0</v>
      </c>
      <c r="L38" s="9">
        <v>6547</v>
      </c>
      <c r="M38" s="9">
        <v>0</v>
      </c>
      <c r="N38" s="9">
        <v>0</v>
      </c>
      <c r="O38" s="9">
        <v>0</v>
      </c>
      <c r="P38" s="9">
        <v>178.446</v>
      </c>
      <c r="Q38" s="9">
        <v>0</v>
      </c>
      <c r="R38" s="9">
        <v>86889</v>
      </c>
      <c r="S38" s="9">
        <v>486.92200000000003</v>
      </c>
      <c r="T38" s="9">
        <v>0</v>
      </c>
      <c r="U38" s="9">
        <v>86889</v>
      </c>
      <c r="V38" s="9">
        <v>20.838000000000001</v>
      </c>
      <c r="W38" s="9">
        <v>13643</v>
      </c>
      <c r="X38" s="9">
        <v>13643</v>
      </c>
      <c r="Y38" s="9">
        <v>0</v>
      </c>
      <c r="Z38" s="9">
        <v>0</v>
      </c>
      <c r="AA38" s="9">
        <v>1</v>
      </c>
      <c r="AB38" s="9">
        <v>1</v>
      </c>
      <c r="AC38" s="9">
        <v>0</v>
      </c>
      <c r="AD38" s="9" t="s">
        <v>314</v>
      </c>
      <c r="AE38" s="9">
        <v>0</v>
      </c>
      <c r="AF38" s="9">
        <v>0</v>
      </c>
      <c r="AG38" s="9">
        <v>0</v>
      </c>
      <c r="AH38" s="9">
        <v>0</v>
      </c>
      <c r="AI38" s="9">
        <v>0</v>
      </c>
      <c r="AJ38" s="9">
        <v>5104</v>
      </c>
      <c r="AK38" s="9" t="s">
        <v>651</v>
      </c>
      <c r="AL38" s="12" t="s">
        <v>440</v>
      </c>
      <c r="AM38" s="9">
        <v>0</v>
      </c>
      <c r="AN38" s="9">
        <v>0</v>
      </c>
      <c r="AO38" s="9">
        <v>0</v>
      </c>
      <c r="AP38" s="9">
        <v>0</v>
      </c>
      <c r="AQ38" s="9">
        <v>0</v>
      </c>
      <c r="AR38" s="9">
        <v>0</v>
      </c>
      <c r="AS38" s="9">
        <v>0</v>
      </c>
      <c r="AT38" s="9">
        <v>0</v>
      </c>
      <c r="AU38" s="9">
        <v>0</v>
      </c>
      <c r="AV38" s="9">
        <v>-47360</v>
      </c>
      <c r="AW38" s="9">
        <v>2086772</v>
      </c>
      <c r="AX38" s="9">
        <v>2041161</v>
      </c>
      <c r="AY38" s="9">
        <v>2163566</v>
      </c>
      <c r="AZ38" s="9">
        <v>86889</v>
      </c>
      <c r="BA38" s="9">
        <v>0</v>
      </c>
      <c r="BB38" s="9">
        <v>0</v>
      </c>
      <c r="BC38" s="9">
        <v>0</v>
      </c>
      <c r="BD38" s="9">
        <v>0</v>
      </c>
      <c r="BE38" s="9">
        <v>0</v>
      </c>
      <c r="BF38" s="9">
        <v>1751329</v>
      </c>
      <c r="BG38" s="9">
        <v>0</v>
      </c>
      <c r="BH38" s="9">
        <v>0</v>
      </c>
      <c r="BI38" s="9">
        <v>0</v>
      </c>
      <c r="BJ38" s="9">
        <v>12</v>
      </c>
      <c r="BK38" s="9">
        <v>0</v>
      </c>
      <c r="BL38" s="9">
        <v>0</v>
      </c>
      <c r="BM38" s="9">
        <v>0</v>
      </c>
      <c r="BN38" s="9">
        <v>0</v>
      </c>
      <c r="BO38" s="9">
        <v>0</v>
      </c>
      <c r="BP38" s="9">
        <v>0</v>
      </c>
      <c r="BQ38" s="9">
        <v>5392</v>
      </c>
      <c r="BR38" s="9">
        <v>1</v>
      </c>
      <c r="BS38" s="9">
        <v>0</v>
      </c>
      <c r="BT38" s="9">
        <v>0</v>
      </c>
      <c r="BU38" s="9">
        <v>0</v>
      </c>
      <c r="BV38" s="9">
        <v>0</v>
      </c>
      <c r="BW38" s="9">
        <v>0</v>
      </c>
      <c r="BX38" s="9">
        <v>0</v>
      </c>
      <c r="BY38" s="9">
        <v>0</v>
      </c>
      <c r="BZ38" s="9">
        <v>0</v>
      </c>
      <c r="CA38" s="9">
        <v>0</v>
      </c>
      <c r="CB38" s="9">
        <v>0</v>
      </c>
      <c r="CC38" s="9">
        <v>0</v>
      </c>
      <c r="CD38" s="9">
        <v>0</v>
      </c>
      <c r="CE38" s="9">
        <v>0</v>
      </c>
      <c r="CF38" s="9">
        <v>0</v>
      </c>
      <c r="CG38" s="9">
        <v>0</v>
      </c>
      <c r="CH38" s="9">
        <v>45611</v>
      </c>
      <c r="CI38" s="9">
        <v>0</v>
      </c>
      <c r="CJ38" s="9">
        <v>5</v>
      </c>
      <c r="CK38" s="9">
        <v>0</v>
      </c>
      <c r="CL38" s="9">
        <v>0</v>
      </c>
      <c r="CM38" s="9">
        <v>0</v>
      </c>
      <c r="CN38" s="9">
        <v>0</v>
      </c>
      <c r="CO38" s="9">
        <v>0</v>
      </c>
      <c r="CP38" s="9">
        <v>0</v>
      </c>
      <c r="CQ38" s="9">
        <v>0</v>
      </c>
      <c r="CR38" s="9">
        <v>178.446</v>
      </c>
      <c r="CS38" s="9">
        <v>0</v>
      </c>
      <c r="CT38" s="9">
        <v>0</v>
      </c>
      <c r="CU38" s="9">
        <v>0</v>
      </c>
      <c r="CV38" s="9">
        <v>0</v>
      </c>
      <c r="CW38" s="9">
        <v>0</v>
      </c>
      <c r="CX38" s="9">
        <v>0</v>
      </c>
      <c r="CY38" s="9">
        <v>0</v>
      </c>
      <c r="CZ38" s="9">
        <v>0</v>
      </c>
      <c r="DA38" s="9">
        <v>1</v>
      </c>
      <c r="DB38" s="9">
        <v>1652672</v>
      </c>
      <c r="DC38" s="9">
        <v>0</v>
      </c>
      <c r="DD38" s="9">
        <v>0</v>
      </c>
      <c r="DE38" s="9">
        <v>0</v>
      </c>
      <c r="DF38" s="9">
        <v>0</v>
      </c>
      <c r="DG38" s="9">
        <v>0</v>
      </c>
      <c r="DH38" s="9">
        <v>0</v>
      </c>
      <c r="DI38" s="9">
        <v>0</v>
      </c>
      <c r="DJ38" s="9">
        <v>0</v>
      </c>
      <c r="DK38" s="9">
        <v>5392</v>
      </c>
      <c r="DL38" s="9">
        <v>0</v>
      </c>
      <c r="DM38" s="9">
        <v>133116</v>
      </c>
      <c r="DN38" s="9">
        <v>0</v>
      </c>
      <c r="DO38" s="9">
        <v>0</v>
      </c>
      <c r="DP38" s="9">
        <v>0</v>
      </c>
      <c r="DQ38" s="9">
        <v>0</v>
      </c>
      <c r="DR38" s="9">
        <v>0</v>
      </c>
      <c r="DS38" s="9">
        <v>0</v>
      </c>
      <c r="DT38" s="9">
        <v>0</v>
      </c>
      <c r="DU38" s="9">
        <v>0</v>
      </c>
      <c r="DV38" s="9">
        <v>0</v>
      </c>
      <c r="DW38" s="9">
        <v>0</v>
      </c>
      <c r="DX38" s="9">
        <v>0</v>
      </c>
      <c r="DY38" s="9">
        <v>0</v>
      </c>
      <c r="DZ38" s="9">
        <v>0</v>
      </c>
      <c r="EA38" s="9">
        <v>0</v>
      </c>
      <c r="EB38" s="9">
        <v>0</v>
      </c>
      <c r="EC38" s="9">
        <v>0.28500000000000003</v>
      </c>
      <c r="ED38" s="9">
        <v>2052</v>
      </c>
      <c r="EE38" s="9">
        <v>0</v>
      </c>
      <c r="EF38" s="9">
        <v>0</v>
      </c>
      <c r="EG38" s="9">
        <v>0</v>
      </c>
      <c r="EH38" s="9">
        <v>131064</v>
      </c>
      <c r="EI38" s="9">
        <v>0</v>
      </c>
      <c r="EJ38" s="9">
        <v>0</v>
      </c>
      <c r="EK38" s="9">
        <v>4.4030000000000005</v>
      </c>
      <c r="EL38" s="9">
        <v>0</v>
      </c>
      <c r="EM38" s="9">
        <v>1.33</v>
      </c>
      <c r="EN38" s="9">
        <v>0.56400000000000006</v>
      </c>
      <c r="EO38" s="9">
        <v>0</v>
      </c>
      <c r="EP38" s="9">
        <v>0</v>
      </c>
      <c r="EQ38" s="9">
        <v>6.2970000000000006</v>
      </c>
      <c r="ER38" s="9">
        <v>0</v>
      </c>
      <c r="ES38" s="9">
        <v>20.019000000000002</v>
      </c>
      <c r="ET38" s="9">
        <v>0</v>
      </c>
      <c r="EU38" s="9">
        <v>86889</v>
      </c>
      <c r="EV38" s="9">
        <v>0</v>
      </c>
      <c r="EW38" s="9">
        <v>0</v>
      </c>
      <c r="EX38" s="9">
        <v>0</v>
      </c>
      <c r="EY38" s="9">
        <v>0</v>
      </c>
      <c r="EZ38" s="9">
        <v>1712542</v>
      </c>
      <c r="FA38" s="9">
        <v>0</v>
      </c>
      <c r="FB38" s="9">
        <v>1799431</v>
      </c>
      <c r="FC38" s="9">
        <v>0.97326799999999991</v>
      </c>
      <c r="FD38" s="9">
        <v>0</v>
      </c>
      <c r="FE38" s="9">
        <v>270926</v>
      </c>
      <c r="FF38" s="9">
        <v>57693</v>
      </c>
      <c r="FG38" s="9">
        <v>5.8088000000000001E-2</v>
      </c>
      <c r="FH38" s="9">
        <v>5.2622999999999996E-2</v>
      </c>
      <c r="FI38" s="9">
        <v>0</v>
      </c>
      <c r="FJ38" s="9">
        <v>0</v>
      </c>
      <c r="FK38" s="9">
        <v>343.14699999999999</v>
      </c>
      <c r="FL38" s="9">
        <v>2173661</v>
      </c>
      <c r="FM38" s="9">
        <v>0</v>
      </c>
      <c r="FN38" s="9">
        <v>0</v>
      </c>
      <c r="FO38" s="9">
        <v>0</v>
      </c>
      <c r="FP38" s="9">
        <v>0</v>
      </c>
      <c r="FQ38" s="9">
        <v>0</v>
      </c>
      <c r="FR38" s="9">
        <v>0</v>
      </c>
      <c r="FS38" s="9">
        <v>0</v>
      </c>
      <c r="FT38" s="9">
        <v>0</v>
      </c>
      <c r="FU38" s="9">
        <v>0</v>
      </c>
      <c r="FV38" s="9">
        <v>0</v>
      </c>
      <c r="FW38" s="9">
        <v>0</v>
      </c>
      <c r="FX38" s="9">
        <v>0</v>
      </c>
      <c r="FY38" s="9">
        <v>0</v>
      </c>
      <c r="FZ38" s="9">
        <v>0</v>
      </c>
      <c r="GA38" s="9">
        <v>0</v>
      </c>
      <c r="GB38" s="9">
        <v>0</v>
      </c>
      <c r="GC38" s="9">
        <v>0</v>
      </c>
      <c r="GD38" s="9">
        <v>0</v>
      </c>
      <c r="GE38" s="9">
        <v>0</v>
      </c>
      <c r="GF38" s="9">
        <v>0</v>
      </c>
      <c r="GG38" s="9">
        <v>0</v>
      </c>
      <c r="GH38" s="9">
        <v>0</v>
      </c>
      <c r="GI38" s="9">
        <v>0</v>
      </c>
      <c r="GJ38" s="9">
        <v>0</v>
      </c>
      <c r="GK38" s="9">
        <v>0</v>
      </c>
      <c r="GL38" s="9">
        <v>0</v>
      </c>
      <c r="GM38" s="9">
        <v>0</v>
      </c>
      <c r="GN38" s="9">
        <v>0</v>
      </c>
      <c r="GO38" s="9">
        <v>0</v>
      </c>
      <c r="GP38" s="9">
        <v>2128050</v>
      </c>
      <c r="GQ38" s="9">
        <v>2128050</v>
      </c>
      <c r="GR38" s="9">
        <v>0</v>
      </c>
      <c r="GS38" s="9">
        <v>0</v>
      </c>
      <c r="GT38" s="9">
        <v>0</v>
      </c>
      <c r="GU38" s="9">
        <v>0</v>
      </c>
      <c r="GV38" s="9">
        <v>0</v>
      </c>
      <c r="GW38" s="9">
        <v>0</v>
      </c>
      <c r="GX38" s="9">
        <v>0</v>
      </c>
      <c r="GY38" s="9">
        <v>0</v>
      </c>
      <c r="GZ38" s="9">
        <v>0</v>
      </c>
      <c r="HA38" s="9">
        <v>0</v>
      </c>
      <c r="HB38" s="9">
        <v>300501363</v>
      </c>
      <c r="HC38" s="9">
        <v>4.4742999999999998E-2</v>
      </c>
      <c r="HD38" s="9">
        <v>45611</v>
      </c>
      <c r="HE38" s="9">
        <v>0</v>
      </c>
      <c r="HF38" s="9">
        <v>0</v>
      </c>
      <c r="HG38" s="9">
        <v>0</v>
      </c>
      <c r="HH38" s="9">
        <v>0</v>
      </c>
      <c r="HI38" s="9">
        <v>0</v>
      </c>
      <c r="HJ38" s="9">
        <v>0</v>
      </c>
      <c r="HK38" s="9">
        <v>0</v>
      </c>
      <c r="HL38" s="9">
        <v>0</v>
      </c>
      <c r="HM38" s="9">
        <v>0</v>
      </c>
      <c r="HN38" s="9">
        <v>0</v>
      </c>
      <c r="HO38" s="9">
        <v>0</v>
      </c>
      <c r="HP38" s="9">
        <v>0</v>
      </c>
      <c r="HQ38" s="9">
        <v>0</v>
      </c>
      <c r="HR38" s="9">
        <v>0</v>
      </c>
      <c r="HS38" s="9">
        <v>0</v>
      </c>
      <c r="HT38" s="9">
        <v>0</v>
      </c>
      <c r="HU38" s="9">
        <v>0</v>
      </c>
      <c r="HV38" s="9">
        <v>0</v>
      </c>
      <c r="HW38" s="9">
        <v>0</v>
      </c>
      <c r="HX38" s="9">
        <v>0</v>
      </c>
      <c r="HY38" s="9">
        <v>0</v>
      </c>
      <c r="HZ38" s="9">
        <v>0</v>
      </c>
      <c r="IA38" s="9">
        <v>0</v>
      </c>
      <c r="IB38" s="9">
        <v>0</v>
      </c>
      <c r="IC38" s="9">
        <v>0</v>
      </c>
      <c r="ID38" s="9">
        <v>0</v>
      </c>
      <c r="IE38" s="9">
        <v>0</v>
      </c>
      <c r="IF38" s="9">
        <v>0</v>
      </c>
      <c r="IG38" s="9">
        <v>0</v>
      </c>
      <c r="IH38" s="9">
        <v>0</v>
      </c>
      <c r="II38" s="9">
        <v>0</v>
      </c>
      <c r="IJ38" s="9">
        <v>0</v>
      </c>
      <c r="IK38" s="9">
        <v>0</v>
      </c>
      <c r="IL38" s="9">
        <v>0</v>
      </c>
      <c r="IM38" s="9">
        <v>0</v>
      </c>
      <c r="IN38" s="9">
        <v>0</v>
      </c>
      <c r="IO38" s="9">
        <v>0</v>
      </c>
      <c r="IP38" s="9">
        <v>0</v>
      </c>
      <c r="IQ38" s="9">
        <v>0</v>
      </c>
      <c r="IR38" s="9">
        <v>0</v>
      </c>
      <c r="IS38" s="9">
        <v>0</v>
      </c>
      <c r="IT38" s="9">
        <v>0</v>
      </c>
      <c r="IU38" s="9">
        <v>0</v>
      </c>
      <c r="IV38" s="9">
        <v>0</v>
      </c>
      <c r="IW38" s="9">
        <v>0</v>
      </c>
      <c r="IX38" s="9">
        <v>0</v>
      </c>
      <c r="IY38" s="9">
        <v>0</v>
      </c>
      <c r="IZ38" s="9">
        <v>0</v>
      </c>
      <c r="JA38" s="9">
        <v>0</v>
      </c>
      <c r="JB38" s="9">
        <v>0</v>
      </c>
      <c r="JC38" s="9">
        <v>0</v>
      </c>
      <c r="JD38" s="9">
        <v>0</v>
      </c>
      <c r="JE38" s="9">
        <v>0</v>
      </c>
      <c r="JF38" s="9">
        <v>0</v>
      </c>
      <c r="JG38" s="9">
        <v>0</v>
      </c>
      <c r="JH38" s="9">
        <v>0</v>
      </c>
      <c r="JI38" s="9">
        <v>0</v>
      </c>
      <c r="JJ38" s="9">
        <v>0</v>
      </c>
      <c r="JK38" s="9">
        <v>0</v>
      </c>
      <c r="JL38" s="9">
        <v>0</v>
      </c>
      <c r="JM38" s="9">
        <v>0</v>
      </c>
      <c r="JN38" s="9">
        <v>36832</v>
      </c>
      <c r="JO38" s="9">
        <v>0</v>
      </c>
      <c r="JP38" s="9">
        <v>0</v>
      </c>
      <c r="JQ38" s="9">
        <v>0</v>
      </c>
      <c r="JR38" s="9">
        <v>0</v>
      </c>
      <c r="JS38" s="9">
        <v>0</v>
      </c>
      <c r="JT38" s="9">
        <v>0</v>
      </c>
      <c r="JU38" s="9">
        <v>0</v>
      </c>
      <c r="JV38" s="9">
        <v>0</v>
      </c>
      <c r="JW38" s="9">
        <v>0</v>
      </c>
      <c r="JX38" s="9">
        <v>0</v>
      </c>
      <c r="JY38" s="9">
        <v>0</v>
      </c>
      <c r="JZ38" s="9">
        <v>0</v>
      </c>
      <c r="KA38" s="9">
        <v>0</v>
      </c>
      <c r="KB38" s="9">
        <v>0</v>
      </c>
      <c r="KC38" s="9">
        <v>0</v>
      </c>
      <c r="KD38" s="9">
        <v>0</v>
      </c>
      <c r="KE38" s="9">
        <v>0</v>
      </c>
      <c r="KF38" s="9">
        <v>0</v>
      </c>
      <c r="KG38" s="9">
        <v>0</v>
      </c>
      <c r="KH38" s="9">
        <v>0</v>
      </c>
      <c r="KI38" s="9">
        <v>0</v>
      </c>
    </row>
    <row r="39" spans="1:295" x14ac:dyDescent="0.25">
      <c r="A39" s="9">
        <v>46802</v>
      </c>
      <c r="B39" s="9">
        <v>36871</v>
      </c>
      <c r="C39" s="9">
        <v>35</v>
      </c>
      <c r="D39" s="9">
        <v>2023</v>
      </c>
      <c r="E39" s="9">
        <v>5392</v>
      </c>
      <c r="F39" s="9">
        <v>0</v>
      </c>
      <c r="G39" s="9">
        <v>0</v>
      </c>
      <c r="H39" s="9">
        <v>244.71</v>
      </c>
      <c r="I39" s="9">
        <v>244.71</v>
      </c>
      <c r="J39" s="9">
        <v>396.68299999999999</v>
      </c>
      <c r="K39" s="9">
        <v>0</v>
      </c>
      <c r="L39" s="9">
        <v>6547</v>
      </c>
      <c r="M39" s="9">
        <v>0</v>
      </c>
      <c r="N39" s="9">
        <v>0</v>
      </c>
      <c r="O39" s="9">
        <v>0</v>
      </c>
      <c r="P39" s="9">
        <v>402.625</v>
      </c>
      <c r="Q39" s="9">
        <v>0</v>
      </c>
      <c r="R39" s="9">
        <v>196047</v>
      </c>
      <c r="S39" s="9">
        <v>486.92200000000003</v>
      </c>
      <c r="T39" s="9">
        <v>0</v>
      </c>
      <c r="U39" s="9">
        <v>196047</v>
      </c>
      <c r="V39" s="9">
        <v>15.873000000000001</v>
      </c>
      <c r="W39" s="9">
        <v>10392</v>
      </c>
      <c r="X39" s="9">
        <v>10392</v>
      </c>
      <c r="Y39" s="9">
        <v>0</v>
      </c>
      <c r="Z39" s="9">
        <v>0</v>
      </c>
      <c r="AA39" s="9">
        <v>1</v>
      </c>
      <c r="AB39" s="9">
        <v>1</v>
      </c>
      <c r="AC39" s="9">
        <v>0</v>
      </c>
      <c r="AD39" s="9" t="s">
        <v>314</v>
      </c>
      <c r="AE39" s="9">
        <v>0</v>
      </c>
      <c r="AF39" s="9">
        <v>0</v>
      </c>
      <c r="AG39" s="9">
        <v>0</v>
      </c>
      <c r="AH39" s="9">
        <v>0</v>
      </c>
      <c r="AI39" s="9">
        <v>0</v>
      </c>
      <c r="AJ39" s="9">
        <v>5104</v>
      </c>
      <c r="AK39" s="9" t="s">
        <v>651</v>
      </c>
      <c r="AL39" s="9" t="s">
        <v>41</v>
      </c>
      <c r="AM39" s="9">
        <v>0</v>
      </c>
      <c r="AN39" s="9">
        <v>0</v>
      </c>
      <c r="AO39" s="9">
        <v>0</v>
      </c>
      <c r="AP39" s="9">
        <v>0</v>
      </c>
      <c r="AQ39" s="9">
        <v>0</v>
      </c>
      <c r="AR39" s="9">
        <v>0</v>
      </c>
      <c r="AS39" s="9">
        <v>0</v>
      </c>
      <c r="AT39" s="9">
        <v>0</v>
      </c>
      <c r="AU39" s="9">
        <v>0</v>
      </c>
      <c r="AV39" s="9">
        <v>-345823</v>
      </c>
      <c r="AW39" s="9">
        <v>6887564</v>
      </c>
      <c r="AX39" s="9">
        <v>6726317</v>
      </c>
      <c r="AY39" s="9">
        <v>6541614</v>
      </c>
      <c r="AZ39" s="9">
        <v>266322</v>
      </c>
      <c r="BA39" s="9">
        <v>42.083000000000006</v>
      </c>
      <c r="BB39" s="9">
        <v>0</v>
      </c>
      <c r="BC39" s="9">
        <v>0</v>
      </c>
      <c r="BD39" s="9">
        <v>0</v>
      </c>
      <c r="BE39" s="9">
        <v>0</v>
      </c>
      <c r="BF39" s="9">
        <v>5696920</v>
      </c>
      <c r="BG39" s="9">
        <v>0</v>
      </c>
      <c r="BH39" s="9">
        <v>255.54600000000002</v>
      </c>
      <c r="BI39" s="9">
        <v>70275</v>
      </c>
      <c r="BJ39" s="9">
        <v>12</v>
      </c>
      <c r="BK39" s="9">
        <v>0</v>
      </c>
      <c r="BL39" s="9">
        <v>0</v>
      </c>
      <c r="BM39" s="9">
        <v>0</v>
      </c>
      <c r="BN39" s="9">
        <v>0</v>
      </c>
      <c r="BO39" s="9">
        <v>0</v>
      </c>
      <c r="BP39" s="9">
        <v>0</v>
      </c>
      <c r="BQ39" s="9">
        <v>5392</v>
      </c>
      <c r="BR39" s="9">
        <v>1</v>
      </c>
      <c r="BS39" s="9">
        <v>0</v>
      </c>
      <c r="BT39" s="9">
        <v>0</v>
      </c>
      <c r="BU39" s="9">
        <v>0</v>
      </c>
      <c r="BV39" s="9">
        <v>0</v>
      </c>
      <c r="BW39" s="9">
        <v>0</v>
      </c>
      <c r="BX39" s="9">
        <v>0</v>
      </c>
      <c r="BY39" s="9">
        <v>0</v>
      </c>
      <c r="BZ39" s="9">
        <v>0</v>
      </c>
      <c r="CA39" s="9">
        <v>0</v>
      </c>
      <c r="CB39" s="9">
        <v>0</v>
      </c>
      <c r="CC39" s="9">
        <v>0</v>
      </c>
      <c r="CD39" s="9">
        <v>0</v>
      </c>
      <c r="CE39" s="9">
        <v>0</v>
      </c>
      <c r="CF39" s="9">
        <v>0</v>
      </c>
      <c r="CG39" s="9">
        <v>0</v>
      </c>
      <c r="CH39" s="9">
        <v>90972</v>
      </c>
      <c r="CI39" s="9">
        <v>0</v>
      </c>
      <c r="CJ39" s="9">
        <v>4</v>
      </c>
      <c r="CK39" s="9">
        <v>0</v>
      </c>
      <c r="CL39" s="9">
        <v>0</v>
      </c>
      <c r="CM39" s="9">
        <v>0</v>
      </c>
      <c r="CN39" s="9">
        <v>0</v>
      </c>
      <c r="CO39" s="9">
        <v>0</v>
      </c>
      <c r="CP39" s="9">
        <v>0</v>
      </c>
      <c r="CQ39" s="9">
        <v>0</v>
      </c>
      <c r="CR39" s="9">
        <v>386.18299999999999</v>
      </c>
      <c r="CS39" s="9">
        <v>0</v>
      </c>
      <c r="CT39" s="9">
        <v>0</v>
      </c>
      <c r="CU39" s="9">
        <v>0</v>
      </c>
      <c r="CV39" s="9">
        <v>0</v>
      </c>
      <c r="CW39" s="9">
        <v>0</v>
      </c>
      <c r="CX39" s="9">
        <v>0</v>
      </c>
      <c r="CY39" s="9">
        <v>0</v>
      </c>
      <c r="CZ39" s="9">
        <v>0</v>
      </c>
      <c r="DA39" s="9">
        <v>1</v>
      </c>
      <c r="DB39" s="9">
        <v>1602116</v>
      </c>
      <c r="DC39" s="9">
        <v>0</v>
      </c>
      <c r="DD39" s="9">
        <v>0</v>
      </c>
      <c r="DE39" s="9">
        <v>561078</v>
      </c>
      <c r="DF39" s="9">
        <v>561078</v>
      </c>
      <c r="DG39" s="9">
        <v>428.5</v>
      </c>
      <c r="DH39" s="9">
        <v>0</v>
      </c>
      <c r="DI39" s="9">
        <v>0</v>
      </c>
      <c r="DJ39" s="9">
        <v>0</v>
      </c>
      <c r="DK39" s="9">
        <v>5392</v>
      </c>
      <c r="DL39" s="9">
        <v>0</v>
      </c>
      <c r="DM39" s="9">
        <v>3513450</v>
      </c>
      <c r="DN39" s="9">
        <v>0</v>
      </c>
      <c r="DO39" s="9">
        <v>0</v>
      </c>
      <c r="DP39" s="9">
        <v>0</v>
      </c>
      <c r="DQ39" s="9">
        <v>0</v>
      </c>
      <c r="DR39" s="9">
        <v>0</v>
      </c>
      <c r="DS39" s="9">
        <v>0</v>
      </c>
      <c r="DT39" s="9">
        <v>0</v>
      </c>
      <c r="DU39" s="9">
        <v>0</v>
      </c>
      <c r="DV39" s="9">
        <v>0</v>
      </c>
      <c r="DW39" s="9">
        <v>0</v>
      </c>
      <c r="DX39" s="9">
        <v>0</v>
      </c>
      <c r="DY39" s="9">
        <v>0</v>
      </c>
      <c r="DZ39" s="9">
        <v>0</v>
      </c>
      <c r="EA39" s="9">
        <v>0</v>
      </c>
      <c r="EB39" s="9">
        <v>0</v>
      </c>
      <c r="EC39" s="9">
        <v>4.1429999999999998</v>
      </c>
      <c r="ED39" s="9">
        <v>29837</v>
      </c>
      <c r="EE39" s="9">
        <v>0</v>
      </c>
      <c r="EF39" s="9">
        <v>0</v>
      </c>
      <c r="EG39" s="9">
        <v>0</v>
      </c>
      <c r="EH39" s="9">
        <v>32558</v>
      </c>
      <c r="EI39" s="9">
        <v>3451055</v>
      </c>
      <c r="EJ39" s="9">
        <v>131.78</v>
      </c>
      <c r="EK39" s="9">
        <v>0.94100000000000006</v>
      </c>
      <c r="EL39" s="9">
        <v>0</v>
      </c>
      <c r="EM39" s="9">
        <v>0</v>
      </c>
      <c r="EN39" s="9">
        <v>0.43</v>
      </c>
      <c r="EO39" s="9">
        <v>0</v>
      </c>
      <c r="EP39" s="9">
        <v>0</v>
      </c>
      <c r="EQ39" s="9">
        <v>133.15100000000001</v>
      </c>
      <c r="ER39" s="9">
        <v>0</v>
      </c>
      <c r="ES39" s="9">
        <v>4.9729999999999999</v>
      </c>
      <c r="ET39" s="9">
        <v>21042</v>
      </c>
      <c r="EU39" s="9">
        <v>266322</v>
      </c>
      <c r="EV39" s="9">
        <v>0</v>
      </c>
      <c r="EW39" s="9">
        <v>0</v>
      </c>
      <c r="EX39" s="9">
        <v>0</v>
      </c>
      <c r="EY39" s="9">
        <v>0</v>
      </c>
      <c r="EZ39" s="9">
        <v>5657346</v>
      </c>
      <c r="FA39" s="9">
        <v>0</v>
      </c>
      <c r="FB39" s="9">
        <v>5923668</v>
      </c>
      <c r="FC39" s="9">
        <v>0.97326799999999991</v>
      </c>
      <c r="FD39" s="9">
        <v>0</v>
      </c>
      <c r="FE39" s="9">
        <v>881299</v>
      </c>
      <c r="FF39" s="9">
        <v>187672</v>
      </c>
      <c r="FG39" s="9">
        <v>5.8088000000000001E-2</v>
      </c>
      <c r="FH39" s="9">
        <v>5.2622999999999996E-2</v>
      </c>
      <c r="FI39" s="9">
        <v>0</v>
      </c>
      <c r="FJ39" s="9">
        <v>0</v>
      </c>
      <c r="FK39" s="9">
        <v>1116.229</v>
      </c>
      <c r="FL39" s="9">
        <v>7083611</v>
      </c>
      <c r="FM39" s="9">
        <v>0</v>
      </c>
      <c r="FN39" s="9">
        <v>0</v>
      </c>
      <c r="FO39" s="9">
        <v>0</v>
      </c>
      <c r="FP39" s="9">
        <v>0</v>
      </c>
      <c r="FQ39" s="9">
        <v>0</v>
      </c>
      <c r="FR39" s="9">
        <v>0</v>
      </c>
      <c r="FS39" s="9">
        <v>0</v>
      </c>
      <c r="FT39" s="9">
        <v>0</v>
      </c>
      <c r="FU39" s="9">
        <v>0</v>
      </c>
      <c r="FV39" s="9">
        <v>0</v>
      </c>
      <c r="FW39" s="9">
        <v>0</v>
      </c>
      <c r="FX39" s="9">
        <v>0</v>
      </c>
      <c r="FY39" s="9">
        <v>0</v>
      </c>
      <c r="FZ39" s="9">
        <v>0</v>
      </c>
      <c r="GA39" s="9">
        <v>0</v>
      </c>
      <c r="GB39" s="9">
        <v>166357</v>
      </c>
      <c r="GC39" s="9">
        <v>166357</v>
      </c>
      <c r="GD39" s="9">
        <v>18.821999999999999</v>
      </c>
      <c r="GE39" s="9">
        <v>0</v>
      </c>
      <c r="GF39" s="9">
        <v>0</v>
      </c>
      <c r="GG39" s="9">
        <v>0</v>
      </c>
      <c r="GH39" s="9">
        <v>0</v>
      </c>
      <c r="GI39" s="9">
        <v>0</v>
      </c>
      <c r="GJ39" s="9">
        <v>0</v>
      </c>
      <c r="GK39" s="9">
        <v>5091</v>
      </c>
      <c r="GL39" s="9">
        <v>26007</v>
      </c>
      <c r="GM39" s="9">
        <v>0</v>
      </c>
      <c r="GN39" s="9">
        <v>0</v>
      </c>
      <c r="GO39" s="9">
        <v>0</v>
      </c>
      <c r="GP39" s="9">
        <v>6992639</v>
      </c>
      <c r="GQ39" s="9">
        <v>6992639</v>
      </c>
      <c r="GR39" s="9">
        <v>0</v>
      </c>
      <c r="GS39" s="9">
        <v>0</v>
      </c>
      <c r="GT39" s="9">
        <v>0</v>
      </c>
      <c r="GU39" s="9">
        <v>0</v>
      </c>
      <c r="GV39" s="9">
        <v>0</v>
      </c>
      <c r="GW39" s="9">
        <v>0</v>
      </c>
      <c r="GX39" s="9">
        <v>0</v>
      </c>
      <c r="GY39" s="9">
        <v>0</v>
      </c>
      <c r="GZ39" s="9">
        <v>0</v>
      </c>
      <c r="HA39" s="9">
        <v>0</v>
      </c>
      <c r="HB39" s="9">
        <v>300501363</v>
      </c>
      <c r="HC39" s="9">
        <v>4.4742999999999998E-2</v>
      </c>
      <c r="HD39" s="9">
        <v>69930</v>
      </c>
      <c r="HE39" s="9">
        <v>0</v>
      </c>
      <c r="HF39" s="9">
        <v>0</v>
      </c>
      <c r="HG39" s="9">
        <v>0</v>
      </c>
      <c r="HH39" s="9">
        <v>0</v>
      </c>
      <c r="HI39" s="9">
        <v>0</v>
      </c>
      <c r="HJ39" s="9">
        <v>0</v>
      </c>
      <c r="HK39" s="9">
        <v>0</v>
      </c>
      <c r="HL39" s="9">
        <v>0</v>
      </c>
      <c r="HM39" s="9">
        <v>0</v>
      </c>
      <c r="HN39" s="9">
        <v>0</v>
      </c>
      <c r="HO39" s="9">
        <v>0</v>
      </c>
      <c r="HP39" s="9">
        <v>0</v>
      </c>
      <c r="HQ39" s="9">
        <v>0</v>
      </c>
      <c r="HR39" s="9">
        <v>0</v>
      </c>
      <c r="HS39" s="9">
        <v>0</v>
      </c>
      <c r="HT39" s="9">
        <v>0</v>
      </c>
      <c r="HU39" s="9">
        <v>0</v>
      </c>
      <c r="HV39" s="9">
        <v>0</v>
      </c>
      <c r="HW39" s="9">
        <v>0</v>
      </c>
      <c r="HX39" s="9">
        <v>0</v>
      </c>
      <c r="HY39" s="9">
        <v>0</v>
      </c>
      <c r="HZ39" s="9">
        <v>0</v>
      </c>
      <c r="IA39" s="9">
        <v>0</v>
      </c>
      <c r="IB39" s="9">
        <v>0</v>
      </c>
      <c r="IC39" s="9">
        <v>0</v>
      </c>
      <c r="ID39" s="9">
        <v>0</v>
      </c>
      <c r="IE39" s="9">
        <v>0</v>
      </c>
      <c r="IF39" s="9">
        <v>0</v>
      </c>
      <c r="IG39" s="9">
        <v>0</v>
      </c>
      <c r="IH39" s="9">
        <v>0</v>
      </c>
      <c r="II39" s="9">
        <v>0</v>
      </c>
      <c r="IJ39" s="9">
        <v>0</v>
      </c>
      <c r="IK39" s="9">
        <v>0</v>
      </c>
      <c r="IL39" s="9">
        <v>0</v>
      </c>
      <c r="IM39" s="9">
        <v>0</v>
      </c>
      <c r="IN39" s="9">
        <v>0</v>
      </c>
      <c r="IO39" s="9">
        <v>0</v>
      </c>
      <c r="IP39" s="9">
        <v>0</v>
      </c>
      <c r="IQ39" s="9">
        <v>0</v>
      </c>
      <c r="IR39" s="9">
        <v>0</v>
      </c>
      <c r="IS39" s="9">
        <v>0</v>
      </c>
      <c r="IT39" s="9">
        <v>0</v>
      </c>
      <c r="IU39" s="9">
        <v>0</v>
      </c>
      <c r="IV39" s="9">
        <v>0</v>
      </c>
      <c r="IW39" s="9">
        <v>0</v>
      </c>
      <c r="IX39" s="9">
        <v>0</v>
      </c>
      <c r="IY39" s="9">
        <v>0</v>
      </c>
      <c r="IZ39" s="9">
        <v>0</v>
      </c>
      <c r="JA39" s="9">
        <v>0</v>
      </c>
      <c r="JB39" s="9">
        <v>0</v>
      </c>
      <c r="JC39" s="9">
        <v>0</v>
      </c>
      <c r="JD39" s="9">
        <v>0</v>
      </c>
      <c r="JE39" s="9">
        <v>0</v>
      </c>
      <c r="JF39" s="9">
        <v>0</v>
      </c>
      <c r="JG39" s="9">
        <v>0</v>
      </c>
      <c r="JH39" s="9">
        <v>0</v>
      </c>
      <c r="JI39" s="9">
        <v>0</v>
      </c>
      <c r="JJ39" s="9">
        <v>0</v>
      </c>
      <c r="JK39" s="9">
        <v>0</v>
      </c>
      <c r="JL39" s="9">
        <v>0</v>
      </c>
      <c r="JM39" s="9">
        <v>0</v>
      </c>
      <c r="JN39" s="9">
        <v>36832</v>
      </c>
      <c r="JO39" s="9">
        <v>0</v>
      </c>
      <c r="JP39" s="9">
        <v>0</v>
      </c>
      <c r="JQ39" s="9">
        <v>0</v>
      </c>
      <c r="JR39" s="9">
        <v>0</v>
      </c>
      <c r="JS39" s="9">
        <v>0</v>
      </c>
      <c r="JT39" s="9">
        <v>0</v>
      </c>
      <c r="JU39" s="9">
        <v>0</v>
      </c>
      <c r="JV39" s="9">
        <v>0</v>
      </c>
      <c r="JW39" s="9">
        <v>0</v>
      </c>
      <c r="JX39" s="9">
        <v>0</v>
      </c>
      <c r="JY39" s="9">
        <v>0</v>
      </c>
      <c r="JZ39" s="9">
        <v>0</v>
      </c>
      <c r="KA39" s="9">
        <v>0</v>
      </c>
      <c r="KB39" s="9">
        <v>0</v>
      </c>
      <c r="KC39" s="9">
        <v>0</v>
      </c>
      <c r="KD39" s="9">
        <v>0</v>
      </c>
      <c r="KE39" s="9">
        <v>0</v>
      </c>
      <c r="KF39" s="9">
        <v>0</v>
      </c>
      <c r="KG39" s="9">
        <v>0</v>
      </c>
      <c r="KH39" s="9">
        <v>0</v>
      </c>
      <c r="KI39" s="9">
        <v>0</v>
      </c>
    </row>
    <row r="40" spans="1:295" x14ac:dyDescent="0.25">
      <c r="A40" s="9">
        <v>57802</v>
      </c>
      <c r="B40" s="9">
        <v>36871</v>
      </c>
      <c r="C40" s="9">
        <v>35</v>
      </c>
      <c r="D40" s="9">
        <v>2023</v>
      </c>
      <c r="E40" s="9">
        <v>5392</v>
      </c>
      <c r="F40" s="9">
        <v>0</v>
      </c>
      <c r="G40" s="9">
        <v>0</v>
      </c>
      <c r="H40" s="9">
        <v>530.35300000000007</v>
      </c>
      <c r="I40" s="9">
        <v>530.35300000000007</v>
      </c>
      <c r="J40" s="9">
        <v>546.75599999999997</v>
      </c>
      <c r="K40" s="9">
        <v>0</v>
      </c>
      <c r="L40" s="9">
        <v>6547</v>
      </c>
      <c r="M40" s="9">
        <v>0</v>
      </c>
      <c r="N40" s="9">
        <v>0</v>
      </c>
      <c r="O40" s="9">
        <v>0</v>
      </c>
      <c r="P40" s="9">
        <v>566.98</v>
      </c>
      <c r="Q40" s="9">
        <v>0</v>
      </c>
      <c r="R40" s="9">
        <v>276075</v>
      </c>
      <c r="S40" s="9">
        <v>486.92200000000003</v>
      </c>
      <c r="T40" s="9">
        <v>0</v>
      </c>
      <c r="U40" s="9">
        <v>276075</v>
      </c>
      <c r="V40" s="9">
        <v>127.01</v>
      </c>
      <c r="W40" s="9">
        <v>83153</v>
      </c>
      <c r="X40" s="9">
        <v>83153</v>
      </c>
      <c r="Y40" s="9">
        <v>0</v>
      </c>
      <c r="Z40" s="9">
        <v>0</v>
      </c>
      <c r="AA40" s="9">
        <v>1</v>
      </c>
      <c r="AB40" s="9">
        <v>1</v>
      </c>
      <c r="AC40" s="9">
        <v>0</v>
      </c>
      <c r="AD40" s="9" t="s">
        <v>314</v>
      </c>
      <c r="AE40" s="9">
        <v>0</v>
      </c>
      <c r="AF40" s="9">
        <v>0</v>
      </c>
      <c r="AG40" s="9">
        <v>0</v>
      </c>
      <c r="AH40" s="9">
        <v>0</v>
      </c>
      <c r="AI40" s="9">
        <v>0</v>
      </c>
      <c r="AJ40" s="9">
        <v>5104</v>
      </c>
      <c r="AK40" s="9" t="s">
        <v>651</v>
      </c>
      <c r="AL40" s="9" t="s">
        <v>17</v>
      </c>
      <c r="AM40" s="9">
        <v>0</v>
      </c>
      <c r="AN40" s="9">
        <v>0</v>
      </c>
      <c r="AO40" s="9">
        <v>0</v>
      </c>
      <c r="AP40" s="9">
        <v>0</v>
      </c>
      <c r="AQ40" s="9">
        <v>0</v>
      </c>
      <c r="AR40" s="9">
        <v>0</v>
      </c>
      <c r="AS40" s="9">
        <v>0</v>
      </c>
      <c r="AT40" s="9">
        <v>0</v>
      </c>
      <c r="AU40" s="9">
        <v>0</v>
      </c>
      <c r="AV40" s="9">
        <v>-208118</v>
      </c>
      <c r="AW40" s="9">
        <v>5497503</v>
      </c>
      <c r="AX40" s="9">
        <v>5353351</v>
      </c>
      <c r="AY40" s="9">
        <v>5007452</v>
      </c>
      <c r="AZ40" s="9">
        <v>316507</v>
      </c>
      <c r="BA40" s="9">
        <v>14.667</v>
      </c>
      <c r="BB40" s="9">
        <v>0</v>
      </c>
      <c r="BC40" s="9">
        <v>0</v>
      </c>
      <c r="BD40" s="9">
        <v>0</v>
      </c>
      <c r="BE40" s="9">
        <v>0</v>
      </c>
      <c r="BF40" s="9">
        <v>4538456</v>
      </c>
      <c r="BG40" s="9">
        <v>0</v>
      </c>
      <c r="BH40" s="9">
        <v>147.02600000000001</v>
      </c>
      <c r="BI40" s="9">
        <v>40432</v>
      </c>
      <c r="BJ40" s="9">
        <v>12</v>
      </c>
      <c r="BK40" s="9">
        <v>0</v>
      </c>
      <c r="BL40" s="9">
        <v>0</v>
      </c>
      <c r="BM40" s="9">
        <v>0</v>
      </c>
      <c r="BN40" s="9">
        <v>0</v>
      </c>
      <c r="BO40" s="9">
        <v>0</v>
      </c>
      <c r="BP40" s="9">
        <v>0</v>
      </c>
      <c r="BQ40" s="9">
        <v>5392</v>
      </c>
      <c r="BR40" s="9">
        <v>1</v>
      </c>
      <c r="BS40" s="9">
        <v>0</v>
      </c>
      <c r="BT40" s="9">
        <v>0</v>
      </c>
      <c r="BU40" s="9">
        <v>0</v>
      </c>
      <c r="BV40" s="9">
        <v>0</v>
      </c>
      <c r="BW40" s="9">
        <v>0</v>
      </c>
      <c r="BX40" s="9">
        <v>0</v>
      </c>
      <c r="BY40" s="9">
        <v>0</v>
      </c>
      <c r="BZ40" s="9">
        <v>0</v>
      </c>
      <c r="CA40" s="9">
        <v>0</v>
      </c>
      <c r="CB40" s="9">
        <v>0</v>
      </c>
      <c r="CC40" s="9">
        <v>0</v>
      </c>
      <c r="CD40" s="9">
        <v>0</v>
      </c>
      <c r="CE40" s="9">
        <v>0</v>
      </c>
      <c r="CF40" s="9">
        <v>0</v>
      </c>
      <c r="CG40" s="9">
        <v>0</v>
      </c>
      <c r="CH40" s="9">
        <v>103720</v>
      </c>
      <c r="CI40" s="9">
        <v>0</v>
      </c>
      <c r="CJ40" s="9">
        <v>4</v>
      </c>
      <c r="CK40" s="9">
        <v>0</v>
      </c>
      <c r="CL40" s="9">
        <v>0</v>
      </c>
      <c r="CM40" s="9">
        <v>0</v>
      </c>
      <c r="CN40" s="9">
        <v>0</v>
      </c>
      <c r="CO40" s="9">
        <v>0</v>
      </c>
      <c r="CP40" s="9">
        <v>0</v>
      </c>
      <c r="CQ40" s="9">
        <v>0</v>
      </c>
      <c r="CR40" s="9">
        <v>537.78500000000008</v>
      </c>
      <c r="CS40" s="9">
        <v>0</v>
      </c>
      <c r="CT40" s="9">
        <v>0</v>
      </c>
      <c r="CU40" s="9">
        <v>0</v>
      </c>
      <c r="CV40" s="9">
        <v>0</v>
      </c>
      <c r="CW40" s="9">
        <v>0</v>
      </c>
      <c r="CX40" s="9">
        <v>0</v>
      </c>
      <c r="CY40" s="9">
        <v>0</v>
      </c>
      <c r="CZ40" s="9">
        <v>0</v>
      </c>
      <c r="DA40" s="9">
        <v>1</v>
      </c>
      <c r="DB40" s="9">
        <v>3472221</v>
      </c>
      <c r="DC40" s="9">
        <v>0</v>
      </c>
      <c r="DD40" s="9">
        <v>0</v>
      </c>
      <c r="DE40" s="9">
        <v>652513</v>
      </c>
      <c r="DF40" s="9">
        <v>652513</v>
      </c>
      <c r="DG40" s="9">
        <v>498.33</v>
      </c>
      <c r="DH40" s="9">
        <v>0</v>
      </c>
      <c r="DI40" s="9">
        <v>0</v>
      </c>
      <c r="DJ40" s="9">
        <v>0</v>
      </c>
      <c r="DK40" s="9">
        <v>5392</v>
      </c>
      <c r="DL40" s="9">
        <v>0</v>
      </c>
      <c r="DM40" s="9">
        <v>455223</v>
      </c>
      <c r="DN40" s="9">
        <v>0</v>
      </c>
      <c r="DO40" s="9">
        <v>0</v>
      </c>
      <c r="DP40" s="9">
        <v>0</v>
      </c>
      <c r="DQ40" s="9">
        <v>0</v>
      </c>
      <c r="DR40" s="9">
        <v>0</v>
      </c>
      <c r="DS40" s="9">
        <v>0</v>
      </c>
      <c r="DT40" s="9">
        <v>0</v>
      </c>
      <c r="DU40" s="9">
        <v>0</v>
      </c>
      <c r="DV40" s="9">
        <v>0</v>
      </c>
      <c r="DW40" s="9">
        <v>0</v>
      </c>
      <c r="DX40" s="9">
        <v>0</v>
      </c>
      <c r="DY40" s="9">
        <v>0</v>
      </c>
      <c r="DZ40" s="9">
        <v>0</v>
      </c>
      <c r="EA40" s="9">
        <v>0</v>
      </c>
      <c r="EB40" s="9">
        <v>0</v>
      </c>
      <c r="EC40" s="9">
        <v>16.966000000000001</v>
      </c>
      <c r="ED40" s="9">
        <v>122184</v>
      </c>
      <c r="EE40" s="9">
        <v>0</v>
      </c>
      <c r="EF40" s="9">
        <v>0</v>
      </c>
      <c r="EG40" s="9">
        <v>0</v>
      </c>
      <c r="EH40" s="9">
        <v>333039</v>
      </c>
      <c r="EI40" s="9">
        <v>0</v>
      </c>
      <c r="EJ40" s="9">
        <v>0</v>
      </c>
      <c r="EK40" s="9">
        <v>15.573</v>
      </c>
      <c r="EL40" s="9">
        <v>0</v>
      </c>
      <c r="EM40" s="9">
        <v>0</v>
      </c>
      <c r="EN40" s="9">
        <v>0.83000000000000007</v>
      </c>
      <c r="EO40" s="9">
        <v>0</v>
      </c>
      <c r="EP40" s="9">
        <v>0</v>
      </c>
      <c r="EQ40" s="9">
        <v>16.403000000000002</v>
      </c>
      <c r="ER40" s="9">
        <v>0</v>
      </c>
      <c r="ES40" s="9">
        <v>50.869</v>
      </c>
      <c r="ET40" s="9">
        <v>7334</v>
      </c>
      <c r="EU40" s="9">
        <v>316507</v>
      </c>
      <c r="EV40" s="9">
        <v>0</v>
      </c>
      <c r="EW40" s="9">
        <v>0</v>
      </c>
      <c r="EX40" s="9">
        <v>0</v>
      </c>
      <c r="EY40" s="9">
        <v>0</v>
      </c>
      <c r="EZ40" s="9">
        <v>4501755</v>
      </c>
      <c r="FA40" s="9">
        <v>0</v>
      </c>
      <c r="FB40" s="9">
        <v>4818262</v>
      </c>
      <c r="FC40" s="9">
        <v>0.97326799999999991</v>
      </c>
      <c r="FD40" s="9">
        <v>0</v>
      </c>
      <c r="FE40" s="9">
        <v>702087</v>
      </c>
      <c r="FF40" s="9">
        <v>149509</v>
      </c>
      <c r="FG40" s="9">
        <v>5.8088000000000001E-2</v>
      </c>
      <c r="FH40" s="9">
        <v>5.2622999999999996E-2</v>
      </c>
      <c r="FI40" s="9">
        <v>0</v>
      </c>
      <c r="FJ40" s="9">
        <v>0</v>
      </c>
      <c r="FK40" s="9">
        <v>889.24400000000003</v>
      </c>
      <c r="FL40" s="9">
        <v>5773578</v>
      </c>
      <c r="FM40" s="9">
        <v>0</v>
      </c>
      <c r="FN40" s="9">
        <v>0</v>
      </c>
      <c r="FO40" s="9">
        <v>114720</v>
      </c>
      <c r="FP40" s="9">
        <v>0</v>
      </c>
      <c r="FQ40" s="9">
        <v>114720</v>
      </c>
      <c r="FR40" s="9">
        <v>114720</v>
      </c>
      <c r="FS40" s="9">
        <v>0</v>
      </c>
      <c r="FT40" s="9">
        <v>0</v>
      </c>
      <c r="FU40" s="9">
        <v>0</v>
      </c>
      <c r="FV40" s="9">
        <v>0</v>
      </c>
      <c r="FW40" s="9">
        <v>0</v>
      </c>
      <c r="FX40" s="9">
        <v>0</v>
      </c>
      <c r="FY40" s="9">
        <v>0</v>
      </c>
      <c r="FZ40" s="9">
        <v>0</v>
      </c>
      <c r="GA40" s="9">
        <v>0</v>
      </c>
      <c r="GB40" s="9">
        <v>0</v>
      </c>
      <c r="GC40" s="9">
        <v>0</v>
      </c>
      <c r="GD40" s="9">
        <v>0</v>
      </c>
      <c r="GE40" s="9">
        <v>0</v>
      </c>
      <c r="GF40" s="9">
        <v>0</v>
      </c>
      <c r="GG40" s="9">
        <v>0</v>
      </c>
      <c r="GH40" s="9">
        <v>0</v>
      </c>
      <c r="GI40" s="9">
        <v>0</v>
      </c>
      <c r="GJ40" s="9">
        <v>0</v>
      </c>
      <c r="GK40" s="9">
        <v>5361</v>
      </c>
      <c r="GL40" s="9">
        <v>15527</v>
      </c>
      <c r="GM40" s="9">
        <v>0</v>
      </c>
      <c r="GN40" s="9">
        <v>0</v>
      </c>
      <c r="GO40" s="9">
        <v>0</v>
      </c>
      <c r="GP40" s="9">
        <v>5669858</v>
      </c>
      <c r="GQ40" s="9">
        <v>5669858</v>
      </c>
      <c r="GR40" s="9">
        <v>0</v>
      </c>
      <c r="GS40" s="9">
        <v>0</v>
      </c>
      <c r="GT40" s="9">
        <v>0</v>
      </c>
      <c r="GU40" s="9">
        <v>0</v>
      </c>
      <c r="GV40" s="9">
        <v>0</v>
      </c>
      <c r="GW40" s="9">
        <v>0</v>
      </c>
      <c r="GX40" s="9">
        <v>0</v>
      </c>
      <c r="GY40" s="9">
        <v>0</v>
      </c>
      <c r="GZ40" s="9">
        <v>0</v>
      </c>
      <c r="HA40" s="9">
        <v>0</v>
      </c>
      <c r="HB40" s="9">
        <v>300501363</v>
      </c>
      <c r="HC40" s="9">
        <v>4.4742999999999998E-2</v>
      </c>
      <c r="HD40" s="9">
        <v>96386</v>
      </c>
      <c r="HE40" s="9">
        <v>0</v>
      </c>
      <c r="HF40" s="9">
        <v>0</v>
      </c>
      <c r="HG40" s="9">
        <v>0</v>
      </c>
      <c r="HH40" s="9">
        <v>0</v>
      </c>
      <c r="HI40" s="9">
        <v>0</v>
      </c>
      <c r="HJ40" s="9">
        <v>0</v>
      </c>
      <c r="HK40" s="9">
        <v>0</v>
      </c>
      <c r="HL40" s="9">
        <v>0</v>
      </c>
      <c r="HM40" s="9">
        <v>0</v>
      </c>
      <c r="HN40" s="9">
        <v>0</v>
      </c>
      <c r="HO40" s="9">
        <v>0</v>
      </c>
      <c r="HP40" s="9">
        <v>0</v>
      </c>
      <c r="HQ40" s="9">
        <v>0</v>
      </c>
      <c r="HR40" s="9">
        <v>0</v>
      </c>
      <c r="HS40" s="9">
        <v>0</v>
      </c>
      <c r="HT40" s="9">
        <v>0</v>
      </c>
      <c r="HU40" s="9">
        <v>0</v>
      </c>
      <c r="HV40" s="9">
        <v>0</v>
      </c>
      <c r="HW40" s="9">
        <v>0</v>
      </c>
      <c r="HX40" s="9">
        <v>0</v>
      </c>
      <c r="HY40" s="9">
        <v>0</v>
      </c>
      <c r="HZ40" s="9">
        <v>0</v>
      </c>
      <c r="IA40" s="9">
        <v>0</v>
      </c>
      <c r="IB40" s="9">
        <v>0</v>
      </c>
      <c r="IC40" s="9">
        <v>0</v>
      </c>
      <c r="ID40" s="9">
        <v>0</v>
      </c>
      <c r="IE40" s="9">
        <v>0</v>
      </c>
      <c r="IF40" s="9">
        <v>0</v>
      </c>
      <c r="IG40" s="9">
        <v>0</v>
      </c>
      <c r="IH40" s="9">
        <v>0</v>
      </c>
      <c r="II40" s="9">
        <v>0</v>
      </c>
      <c r="IJ40" s="9">
        <v>0</v>
      </c>
      <c r="IK40" s="9">
        <v>0</v>
      </c>
      <c r="IL40" s="9">
        <v>0</v>
      </c>
      <c r="IM40" s="9">
        <v>0</v>
      </c>
      <c r="IN40" s="9">
        <v>0</v>
      </c>
      <c r="IO40" s="9">
        <v>0</v>
      </c>
      <c r="IP40" s="9">
        <v>0</v>
      </c>
      <c r="IQ40" s="9">
        <v>0</v>
      </c>
      <c r="IR40" s="9">
        <v>0</v>
      </c>
      <c r="IS40" s="9">
        <v>0</v>
      </c>
      <c r="IT40" s="9">
        <v>0</v>
      </c>
      <c r="IU40" s="9">
        <v>0</v>
      </c>
      <c r="IV40" s="9">
        <v>0</v>
      </c>
      <c r="IW40" s="9">
        <v>0</v>
      </c>
      <c r="IX40" s="9">
        <v>0</v>
      </c>
      <c r="IY40" s="9">
        <v>0</v>
      </c>
      <c r="IZ40" s="9">
        <v>0</v>
      </c>
      <c r="JA40" s="9">
        <v>0</v>
      </c>
      <c r="JB40" s="9">
        <v>0</v>
      </c>
      <c r="JC40" s="9">
        <v>0</v>
      </c>
      <c r="JD40" s="9">
        <v>0</v>
      </c>
      <c r="JE40" s="9">
        <v>0</v>
      </c>
      <c r="JF40" s="9">
        <v>0</v>
      </c>
      <c r="JG40" s="9">
        <v>0</v>
      </c>
      <c r="JH40" s="9">
        <v>0</v>
      </c>
      <c r="JI40" s="9">
        <v>0</v>
      </c>
      <c r="JJ40" s="9">
        <v>0</v>
      </c>
      <c r="JK40" s="9">
        <v>0</v>
      </c>
      <c r="JL40" s="9">
        <v>0</v>
      </c>
      <c r="JM40" s="9">
        <v>0</v>
      </c>
      <c r="JN40" s="9">
        <v>36832</v>
      </c>
      <c r="JO40" s="9">
        <v>0</v>
      </c>
      <c r="JP40" s="9">
        <v>0</v>
      </c>
      <c r="JQ40" s="9">
        <v>0</v>
      </c>
      <c r="JR40" s="9">
        <v>0</v>
      </c>
      <c r="JS40" s="9">
        <v>0</v>
      </c>
      <c r="JT40" s="9">
        <v>0</v>
      </c>
      <c r="JU40" s="9">
        <v>0</v>
      </c>
      <c r="JV40" s="9">
        <v>0</v>
      </c>
      <c r="JW40" s="9">
        <v>0</v>
      </c>
      <c r="JX40" s="9">
        <v>0</v>
      </c>
      <c r="JY40" s="9">
        <v>0</v>
      </c>
      <c r="JZ40" s="9">
        <v>0</v>
      </c>
      <c r="KA40" s="9">
        <v>0</v>
      </c>
      <c r="KB40" s="9">
        <v>0</v>
      </c>
      <c r="KC40" s="9">
        <v>0</v>
      </c>
      <c r="KD40" s="9">
        <v>0</v>
      </c>
      <c r="KE40" s="9">
        <v>0</v>
      </c>
      <c r="KF40" s="9">
        <v>0</v>
      </c>
      <c r="KG40" s="9">
        <v>0</v>
      </c>
      <c r="KH40" s="9">
        <v>0</v>
      </c>
      <c r="KI40" s="9">
        <v>0</v>
      </c>
    </row>
    <row r="41" spans="1:295" x14ac:dyDescent="0.25">
      <c r="A41" s="9">
        <v>57803</v>
      </c>
      <c r="B41" s="9">
        <v>36871</v>
      </c>
      <c r="C41" s="9">
        <v>35</v>
      </c>
      <c r="D41" s="9">
        <v>2023</v>
      </c>
      <c r="E41" s="9">
        <v>5392</v>
      </c>
      <c r="F41" s="9">
        <v>0</v>
      </c>
      <c r="G41" s="9">
        <v>0</v>
      </c>
      <c r="H41" s="9">
        <v>18741.762999999999</v>
      </c>
      <c r="I41" s="9">
        <v>18741.762999999999</v>
      </c>
      <c r="J41" s="9">
        <v>20254.147000000001</v>
      </c>
      <c r="K41" s="9">
        <v>0</v>
      </c>
      <c r="L41" s="9">
        <v>6547</v>
      </c>
      <c r="M41" s="9">
        <v>0</v>
      </c>
      <c r="N41" s="9">
        <v>0</v>
      </c>
      <c r="O41" s="9">
        <v>0</v>
      </c>
      <c r="P41" s="9">
        <v>18751.648000000001</v>
      </c>
      <c r="Q41" s="9">
        <v>0</v>
      </c>
      <c r="R41" s="9">
        <v>9130590</v>
      </c>
      <c r="S41" s="9">
        <v>486.92200000000003</v>
      </c>
      <c r="T41" s="9">
        <v>0</v>
      </c>
      <c r="U41" s="9">
        <v>9130590</v>
      </c>
      <c r="V41" s="9">
        <v>5678.7380000000003</v>
      </c>
      <c r="W41" s="9">
        <v>3717870</v>
      </c>
      <c r="X41" s="9">
        <v>3717870</v>
      </c>
      <c r="Y41" s="9">
        <v>0</v>
      </c>
      <c r="Z41" s="9">
        <v>0</v>
      </c>
      <c r="AA41" s="9">
        <v>1</v>
      </c>
      <c r="AB41" s="9">
        <v>1</v>
      </c>
      <c r="AC41" s="9">
        <v>0</v>
      </c>
      <c r="AD41" s="9" t="s">
        <v>314</v>
      </c>
      <c r="AE41" s="9">
        <v>0</v>
      </c>
      <c r="AF41" s="9">
        <v>0</v>
      </c>
      <c r="AG41" s="9">
        <v>0</v>
      </c>
      <c r="AH41" s="9">
        <v>0</v>
      </c>
      <c r="AI41" s="9">
        <v>0</v>
      </c>
      <c r="AJ41" s="9">
        <v>5104</v>
      </c>
      <c r="AK41" s="9" t="s">
        <v>651</v>
      </c>
      <c r="AL41" s="9" t="s">
        <v>381</v>
      </c>
      <c r="AM41" s="9">
        <v>0</v>
      </c>
      <c r="AN41" s="9">
        <v>0</v>
      </c>
      <c r="AO41" s="9">
        <v>0</v>
      </c>
      <c r="AP41" s="9">
        <v>0</v>
      </c>
      <c r="AQ41" s="9">
        <v>0</v>
      </c>
      <c r="AR41" s="9">
        <v>0</v>
      </c>
      <c r="AS41" s="9">
        <v>0</v>
      </c>
      <c r="AT41" s="9">
        <v>0</v>
      </c>
      <c r="AU41" s="9">
        <v>0</v>
      </c>
      <c r="AV41" s="9">
        <v>-2664650</v>
      </c>
      <c r="AW41" s="9">
        <v>196079905</v>
      </c>
      <c r="AX41" s="9">
        <v>190085225</v>
      </c>
      <c r="AY41" s="9">
        <v>206476423</v>
      </c>
      <c r="AZ41" s="9">
        <v>11381102</v>
      </c>
      <c r="BA41" s="9">
        <v>345.91700000000003</v>
      </c>
      <c r="BB41" s="9">
        <v>0</v>
      </c>
      <c r="BC41" s="9">
        <v>0</v>
      </c>
      <c r="BD41" s="9">
        <v>0</v>
      </c>
      <c r="BE41" s="9">
        <v>0</v>
      </c>
      <c r="BF41" s="9">
        <v>163949288</v>
      </c>
      <c r="BG41" s="9">
        <v>0</v>
      </c>
      <c r="BH41" s="9">
        <v>4403.7700000000004</v>
      </c>
      <c r="BI41" s="9">
        <v>1211037</v>
      </c>
      <c r="BJ41" s="9">
        <v>12</v>
      </c>
      <c r="BK41" s="9">
        <v>0</v>
      </c>
      <c r="BL41" s="9">
        <v>0</v>
      </c>
      <c r="BM41" s="9">
        <v>0</v>
      </c>
      <c r="BN41" s="9">
        <v>0</v>
      </c>
      <c r="BO41" s="9">
        <v>0</v>
      </c>
      <c r="BP41" s="9">
        <v>0</v>
      </c>
      <c r="BQ41" s="9">
        <v>5392</v>
      </c>
      <c r="BR41" s="9">
        <v>1</v>
      </c>
      <c r="BS41" s="9">
        <v>0</v>
      </c>
      <c r="BT41" s="9">
        <v>0</v>
      </c>
      <c r="BU41" s="9">
        <v>0</v>
      </c>
      <c r="BV41" s="9">
        <v>0</v>
      </c>
      <c r="BW41" s="9">
        <v>0</v>
      </c>
      <c r="BX41" s="9">
        <v>0</v>
      </c>
      <c r="BY41" s="9">
        <v>0</v>
      </c>
      <c r="BZ41" s="9">
        <v>0</v>
      </c>
      <c r="CA41" s="9">
        <v>1039.4750000000001</v>
      </c>
      <c r="CB41" s="9">
        <v>1039475</v>
      </c>
      <c r="CC41" s="9">
        <v>0</v>
      </c>
      <c r="CD41" s="9">
        <v>0</v>
      </c>
      <c r="CE41" s="9">
        <v>0</v>
      </c>
      <c r="CF41" s="9">
        <v>0</v>
      </c>
      <c r="CG41" s="9">
        <v>0</v>
      </c>
      <c r="CH41" s="9">
        <v>3744168</v>
      </c>
      <c r="CI41" s="9">
        <v>0</v>
      </c>
      <c r="CJ41" s="9">
        <v>4</v>
      </c>
      <c r="CK41" s="9">
        <v>0</v>
      </c>
      <c r="CL41" s="9">
        <v>0</v>
      </c>
      <c r="CM41" s="9">
        <v>0</v>
      </c>
      <c r="CN41" s="9">
        <v>0</v>
      </c>
      <c r="CO41" s="9">
        <v>0</v>
      </c>
      <c r="CP41" s="9">
        <v>0</v>
      </c>
      <c r="CQ41" s="9">
        <v>2.6670000000000003</v>
      </c>
      <c r="CR41" s="9">
        <v>18122.955000000002</v>
      </c>
      <c r="CS41" s="9">
        <v>0</v>
      </c>
      <c r="CT41" s="9">
        <v>0</v>
      </c>
      <c r="CU41" s="9">
        <v>0</v>
      </c>
      <c r="CV41" s="9">
        <v>0</v>
      </c>
      <c r="CW41" s="9">
        <v>0</v>
      </c>
      <c r="CX41" s="9">
        <v>0</v>
      </c>
      <c r="CY41" s="9">
        <v>0</v>
      </c>
      <c r="CZ41" s="9">
        <v>0</v>
      </c>
      <c r="DA41" s="9">
        <v>1</v>
      </c>
      <c r="DB41" s="9">
        <v>122702322</v>
      </c>
      <c r="DC41" s="9">
        <v>0</v>
      </c>
      <c r="DD41" s="9">
        <v>0</v>
      </c>
      <c r="DE41" s="9">
        <v>20502363</v>
      </c>
      <c r="DF41" s="9">
        <v>20502363</v>
      </c>
      <c r="DG41" s="9">
        <v>15657.83</v>
      </c>
      <c r="DH41" s="9">
        <v>0</v>
      </c>
      <c r="DI41" s="9">
        <v>0</v>
      </c>
      <c r="DJ41" s="9">
        <v>0</v>
      </c>
      <c r="DK41" s="9">
        <v>5392</v>
      </c>
      <c r="DL41" s="9">
        <v>0</v>
      </c>
      <c r="DM41" s="9">
        <v>13405063</v>
      </c>
      <c r="DN41" s="9">
        <v>0</v>
      </c>
      <c r="DO41" s="9">
        <v>19386</v>
      </c>
      <c r="DP41" s="9">
        <v>0</v>
      </c>
      <c r="DQ41" s="9">
        <v>0</v>
      </c>
      <c r="DR41" s="9">
        <v>0</v>
      </c>
      <c r="DS41" s="9">
        <v>0</v>
      </c>
      <c r="DT41" s="9">
        <v>5.3000000000000005E-2</v>
      </c>
      <c r="DU41" s="9">
        <v>0</v>
      </c>
      <c r="DV41" s="9">
        <v>1.2630000000000001</v>
      </c>
      <c r="DW41" s="9">
        <v>0</v>
      </c>
      <c r="DX41" s="9">
        <v>0</v>
      </c>
      <c r="DY41" s="9">
        <v>0</v>
      </c>
      <c r="DZ41" s="9">
        <v>3.9480000000000004</v>
      </c>
      <c r="EA41" s="9">
        <v>0.83800000000000008</v>
      </c>
      <c r="EB41" s="9">
        <v>0</v>
      </c>
      <c r="EC41" s="9">
        <v>177.881</v>
      </c>
      <c r="ED41" s="9">
        <v>1281046</v>
      </c>
      <c r="EE41" s="9">
        <v>11130</v>
      </c>
      <c r="EF41" s="9">
        <v>1</v>
      </c>
      <c r="EG41" s="9">
        <v>0</v>
      </c>
      <c r="EH41" s="9">
        <v>12093501</v>
      </c>
      <c r="EI41" s="9">
        <v>0</v>
      </c>
      <c r="EJ41" s="9">
        <v>0</v>
      </c>
      <c r="EK41" s="9">
        <v>464.31200000000001</v>
      </c>
      <c r="EL41" s="9">
        <v>0.10500000000000001</v>
      </c>
      <c r="EM41" s="9">
        <v>94.932000000000002</v>
      </c>
      <c r="EN41" s="9">
        <v>33.052</v>
      </c>
      <c r="EO41" s="9">
        <v>0</v>
      </c>
      <c r="EP41" s="9">
        <v>0</v>
      </c>
      <c r="EQ41" s="9">
        <v>593.13400000000001</v>
      </c>
      <c r="ER41" s="9">
        <v>0</v>
      </c>
      <c r="ES41" s="9">
        <v>1847.182</v>
      </c>
      <c r="ET41" s="9">
        <v>173625</v>
      </c>
      <c r="EU41" s="9">
        <v>11381102</v>
      </c>
      <c r="EV41" s="9">
        <v>0</v>
      </c>
      <c r="EW41" s="9">
        <v>0</v>
      </c>
      <c r="EX41" s="9">
        <v>0</v>
      </c>
      <c r="EY41" s="9">
        <v>0</v>
      </c>
      <c r="EZ41" s="9">
        <v>159321773</v>
      </c>
      <c r="FA41" s="9">
        <v>0</v>
      </c>
      <c r="FB41" s="9">
        <v>170702875</v>
      </c>
      <c r="FC41" s="9">
        <v>0.97326799999999991</v>
      </c>
      <c r="FD41" s="9">
        <v>0</v>
      </c>
      <c r="FE41" s="9">
        <v>25362516</v>
      </c>
      <c r="FF41" s="9">
        <v>5400936</v>
      </c>
      <c r="FG41" s="9">
        <v>5.8088000000000001E-2</v>
      </c>
      <c r="FH41" s="9">
        <v>5.2622999999999996E-2</v>
      </c>
      <c r="FI41" s="9">
        <v>0</v>
      </c>
      <c r="FJ41" s="9">
        <v>0</v>
      </c>
      <c r="FK41" s="9">
        <v>32123.476999999999</v>
      </c>
      <c r="FL41" s="9">
        <v>205210495</v>
      </c>
      <c r="FM41" s="9">
        <v>0</v>
      </c>
      <c r="FN41" s="9">
        <v>0</v>
      </c>
      <c r="FO41" s="9">
        <v>0</v>
      </c>
      <c r="FP41" s="9">
        <v>0</v>
      </c>
      <c r="FQ41" s="9">
        <v>0</v>
      </c>
      <c r="FR41" s="9">
        <v>0</v>
      </c>
      <c r="FS41" s="9">
        <v>0</v>
      </c>
      <c r="FT41" s="9">
        <v>0</v>
      </c>
      <c r="FU41" s="9">
        <v>1</v>
      </c>
      <c r="FV41" s="9">
        <v>0</v>
      </c>
      <c r="FW41" s="9">
        <v>0</v>
      </c>
      <c r="FX41" s="9">
        <v>0</v>
      </c>
      <c r="FY41" s="9">
        <v>0</v>
      </c>
      <c r="FZ41" s="9">
        <v>0</v>
      </c>
      <c r="GA41" s="9">
        <v>0</v>
      </c>
      <c r="GB41" s="9">
        <v>8124745</v>
      </c>
      <c r="GC41" s="9">
        <v>8124745</v>
      </c>
      <c r="GD41" s="9">
        <v>919.25</v>
      </c>
      <c r="GE41" s="9">
        <v>0</v>
      </c>
      <c r="GF41" s="9">
        <v>0</v>
      </c>
      <c r="GG41" s="9">
        <v>0</v>
      </c>
      <c r="GH41" s="9">
        <v>0</v>
      </c>
      <c r="GI41" s="9">
        <v>0</v>
      </c>
      <c r="GJ41" s="9">
        <v>0</v>
      </c>
      <c r="GK41" s="9">
        <v>5360</v>
      </c>
      <c r="GL41" s="9">
        <v>35199</v>
      </c>
      <c r="GM41" s="9">
        <v>0</v>
      </c>
      <c r="GN41" s="9">
        <v>0</v>
      </c>
      <c r="GO41" s="9">
        <v>0</v>
      </c>
      <c r="GP41" s="9">
        <v>201466327</v>
      </c>
      <c r="GQ41" s="9">
        <v>201466327</v>
      </c>
      <c r="GR41" s="9">
        <v>0</v>
      </c>
      <c r="GS41" s="9">
        <v>0</v>
      </c>
      <c r="GT41" s="9">
        <v>0</v>
      </c>
      <c r="GU41" s="9">
        <v>0</v>
      </c>
      <c r="GV41" s="9">
        <v>0</v>
      </c>
      <c r="GW41" s="9">
        <v>0</v>
      </c>
      <c r="GX41" s="9">
        <v>0</v>
      </c>
      <c r="GY41" s="9">
        <v>0</v>
      </c>
      <c r="GZ41" s="9">
        <v>0</v>
      </c>
      <c r="HA41" s="9">
        <v>0</v>
      </c>
      <c r="HB41" s="9">
        <v>300501363</v>
      </c>
      <c r="HC41" s="9">
        <v>4.4742999999999998E-2</v>
      </c>
      <c r="HD41" s="9">
        <v>3570543</v>
      </c>
      <c r="HE41" s="9">
        <v>0</v>
      </c>
      <c r="HF41" s="9">
        <v>0</v>
      </c>
      <c r="HG41" s="9">
        <v>0</v>
      </c>
      <c r="HH41" s="9">
        <v>0</v>
      </c>
      <c r="HI41" s="9">
        <v>0</v>
      </c>
      <c r="HJ41" s="9">
        <v>0</v>
      </c>
      <c r="HK41" s="9">
        <v>0</v>
      </c>
      <c r="HL41" s="9">
        <v>0</v>
      </c>
      <c r="HM41" s="9">
        <v>0</v>
      </c>
      <c r="HN41" s="9">
        <v>0</v>
      </c>
      <c r="HO41" s="9">
        <v>0</v>
      </c>
      <c r="HP41" s="9">
        <v>0</v>
      </c>
      <c r="HQ41" s="9">
        <v>0</v>
      </c>
      <c r="HR41" s="9">
        <v>0</v>
      </c>
      <c r="HS41" s="9">
        <v>0</v>
      </c>
      <c r="HT41" s="9">
        <v>0</v>
      </c>
      <c r="HU41" s="9">
        <v>0</v>
      </c>
      <c r="HV41" s="9">
        <v>0</v>
      </c>
      <c r="HW41" s="9">
        <v>0</v>
      </c>
      <c r="HX41" s="9">
        <v>0</v>
      </c>
      <c r="HY41" s="9">
        <v>0</v>
      </c>
      <c r="HZ41" s="9">
        <v>0</v>
      </c>
      <c r="IA41" s="9">
        <v>0</v>
      </c>
      <c r="IB41" s="9">
        <v>0</v>
      </c>
      <c r="IC41" s="9">
        <v>0</v>
      </c>
      <c r="ID41" s="9">
        <v>0</v>
      </c>
      <c r="IE41" s="9">
        <v>0</v>
      </c>
      <c r="IF41" s="9">
        <v>0</v>
      </c>
      <c r="IG41" s="9">
        <v>0</v>
      </c>
      <c r="IH41" s="9">
        <v>0</v>
      </c>
      <c r="II41" s="9">
        <v>0</v>
      </c>
      <c r="IJ41" s="9">
        <v>0</v>
      </c>
      <c r="IK41" s="9">
        <v>0</v>
      </c>
      <c r="IL41" s="9">
        <v>0</v>
      </c>
      <c r="IM41" s="9">
        <v>0</v>
      </c>
      <c r="IN41" s="9">
        <v>0</v>
      </c>
      <c r="IO41" s="9">
        <v>0</v>
      </c>
      <c r="IP41" s="9">
        <v>0</v>
      </c>
      <c r="IQ41" s="9">
        <v>0</v>
      </c>
      <c r="IR41" s="9">
        <v>0</v>
      </c>
      <c r="IS41" s="9">
        <v>0</v>
      </c>
      <c r="IT41" s="9">
        <v>0</v>
      </c>
      <c r="IU41" s="9">
        <v>0</v>
      </c>
      <c r="IV41" s="9">
        <v>0</v>
      </c>
      <c r="IW41" s="9">
        <v>0</v>
      </c>
      <c r="IX41" s="9">
        <v>0</v>
      </c>
      <c r="IY41" s="9">
        <v>0</v>
      </c>
      <c r="IZ41" s="9">
        <v>0</v>
      </c>
      <c r="JA41" s="9">
        <v>0</v>
      </c>
      <c r="JB41" s="9">
        <v>0</v>
      </c>
      <c r="JC41" s="9">
        <v>0</v>
      </c>
      <c r="JD41" s="9">
        <v>0</v>
      </c>
      <c r="JE41" s="9">
        <v>0</v>
      </c>
      <c r="JF41" s="9">
        <v>0</v>
      </c>
      <c r="JG41" s="9">
        <v>0</v>
      </c>
      <c r="JH41" s="9">
        <v>0</v>
      </c>
      <c r="JI41" s="9">
        <v>0</v>
      </c>
      <c r="JJ41" s="9">
        <v>0</v>
      </c>
      <c r="JK41" s="9">
        <v>0</v>
      </c>
      <c r="JL41" s="9">
        <v>0</v>
      </c>
      <c r="JM41" s="9">
        <v>0</v>
      </c>
      <c r="JN41" s="9">
        <v>36832</v>
      </c>
      <c r="JO41" s="9">
        <v>0</v>
      </c>
      <c r="JP41" s="9">
        <v>0</v>
      </c>
      <c r="JQ41" s="9">
        <v>0</v>
      </c>
      <c r="JR41" s="9">
        <v>0</v>
      </c>
      <c r="JS41" s="9">
        <v>0</v>
      </c>
      <c r="JT41" s="9">
        <v>0</v>
      </c>
      <c r="JU41" s="9">
        <v>0</v>
      </c>
      <c r="JV41" s="9">
        <v>0</v>
      </c>
      <c r="JW41" s="9">
        <v>0</v>
      </c>
      <c r="JX41" s="9">
        <v>0</v>
      </c>
      <c r="JY41" s="9">
        <v>0</v>
      </c>
      <c r="JZ41" s="9">
        <v>0</v>
      </c>
      <c r="KA41" s="9">
        <v>0</v>
      </c>
      <c r="KB41" s="9">
        <v>0</v>
      </c>
      <c r="KC41" s="9">
        <v>0</v>
      </c>
      <c r="KD41" s="9">
        <v>0</v>
      </c>
      <c r="KE41" s="9">
        <v>0</v>
      </c>
      <c r="KF41" s="9">
        <v>0</v>
      </c>
      <c r="KG41" s="9">
        <v>0</v>
      </c>
      <c r="KH41" s="9">
        <v>0</v>
      </c>
      <c r="KI41" s="9">
        <v>0</v>
      </c>
    </row>
    <row r="42" spans="1:295" x14ac:dyDescent="0.25">
      <c r="A42" s="9">
        <v>57804</v>
      </c>
      <c r="B42" s="9">
        <v>36871</v>
      </c>
      <c r="C42" s="9">
        <v>35</v>
      </c>
      <c r="D42" s="9">
        <v>2023</v>
      </c>
      <c r="E42" s="9">
        <v>5392</v>
      </c>
      <c r="F42" s="9">
        <v>0</v>
      </c>
      <c r="G42" s="9">
        <v>0</v>
      </c>
      <c r="H42" s="9">
        <v>4320.442</v>
      </c>
      <c r="I42" s="9">
        <v>4320.442</v>
      </c>
      <c r="J42" s="9">
        <v>4504.8130000000001</v>
      </c>
      <c r="K42" s="9">
        <v>0</v>
      </c>
      <c r="L42" s="9">
        <v>6547</v>
      </c>
      <c r="M42" s="9">
        <v>0</v>
      </c>
      <c r="N42" s="9">
        <v>0</v>
      </c>
      <c r="O42" s="9">
        <v>0</v>
      </c>
      <c r="P42" s="9">
        <v>4474.8950000000004</v>
      </c>
      <c r="Q42" s="9">
        <v>0</v>
      </c>
      <c r="R42" s="9">
        <v>2178925</v>
      </c>
      <c r="S42" s="9">
        <v>486.92200000000003</v>
      </c>
      <c r="T42" s="9">
        <v>0</v>
      </c>
      <c r="U42" s="9">
        <v>2178925</v>
      </c>
      <c r="V42" s="9">
        <v>770.09300000000007</v>
      </c>
      <c r="W42" s="9">
        <v>504180</v>
      </c>
      <c r="X42" s="9">
        <v>504180</v>
      </c>
      <c r="Y42" s="9">
        <v>0</v>
      </c>
      <c r="Z42" s="9">
        <v>0</v>
      </c>
      <c r="AA42" s="9">
        <v>1</v>
      </c>
      <c r="AB42" s="9">
        <v>1</v>
      </c>
      <c r="AC42" s="9">
        <v>0</v>
      </c>
      <c r="AD42" s="9" t="s">
        <v>314</v>
      </c>
      <c r="AE42" s="9">
        <v>0</v>
      </c>
      <c r="AF42" s="9">
        <v>0</v>
      </c>
      <c r="AG42" s="9">
        <v>0</v>
      </c>
      <c r="AH42" s="9">
        <v>0</v>
      </c>
      <c r="AI42" s="9">
        <v>0</v>
      </c>
      <c r="AJ42" s="9">
        <v>5104</v>
      </c>
      <c r="AK42" s="9" t="s">
        <v>651</v>
      </c>
      <c r="AL42" s="9" t="s">
        <v>322</v>
      </c>
      <c r="AM42" s="9">
        <v>0</v>
      </c>
      <c r="AN42" s="9">
        <v>0</v>
      </c>
      <c r="AO42" s="9">
        <v>0</v>
      </c>
      <c r="AP42" s="9">
        <v>0</v>
      </c>
      <c r="AQ42" s="9">
        <v>0</v>
      </c>
      <c r="AR42" s="9">
        <v>0</v>
      </c>
      <c r="AS42" s="9">
        <v>0</v>
      </c>
      <c r="AT42" s="9">
        <v>0</v>
      </c>
      <c r="AU42" s="9">
        <v>0</v>
      </c>
      <c r="AV42" s="9">
        <v>2606797</v>
      </c>
      <c r="AW42" s="9">
        <v>44770069</v>
      </c>
      <c r="AX42" s="9">
        <v>43147342</v>
      </c>
      <c r="AY42" s="9">
        <v>45349666</v>
      </c>
      <c r="AZ42" s="9">
        <v>3007512</v>
      </c>
      <c r="BA42" s="9">
        <v>0</v>
      </c>
      <c r="BB42" s="9">
        <v>0</v>
      </c>
      <c r="BC42" s="9">
        <v>0</v>
      </c>
      <c r="BD42" s="9">
        <v>0</v>
      </c>
      <c r="BE42" s="9">
        <v>0</v>
      </c>
      <c r="BF42" s="9">
        <v>37274219</v>
      </c>
      <c r="BG42" s="9">
        <v>0</v>
      </c>
      <c r="BH42" s="9">
        <v>3013.0430000000001</v>
      </c>
      <c r="BI42" s="9">
        <v>828587</v>
      </c>
      <c r="BJ42" s="9">
        <v>12</v>
      </c>
      <c r="BK42" s="9">
        <v>0</v>
      </c>
      <c r="BL42" s="9">
        <v>0</v>
      </c>
      <c r="BM42" s="9">
        <v>0</v>
      </c>
      <c r="BN42" s="9">
        <v>0</v>
      </c>
      <c r="BO42" s="9">
        <v>0</v>
      </c>
      <c r="BP42" s="9">
        <v>0</v>
      </c>
      <c r="BQ42" s="9">
        <v>5392</v>
      </c>
      <c r="BR42" s="9">
        <v>1</v>
      </c>
      <c r="BS42" s="9">
        <v>0</v>
      </c>
      <c r="BT42" s="9">
        <v>0</v>
      </c>
      <c r="BU42" s="9">
        <v>0</v>
      </c>
      <c r="BV42" s="9">
        <v>0</v>
      </c>
      <c r="BW42" s="9">
        <v>0</v>
      </c>
      <c r="BX42" s="9">
        <v>0</v>
      </c>
      <c r="BY42" s="9">
        <v>0</v>
      </c>
      <c r="BZ42" s="9">
        <v>0</v>
      </c>
      <c r="CA42" s="9">
        <v>0</v>
      </c>
      <c r="CB42" s="9">
        <v>0</v>
      </c>
      <c r="CC42" s="9">
        <v>0</v>
      </c>
      <c r="CD42" s="9">
        <v>0</v>
      </c>
      <c r="CE42" s="9">
        <v>0</v>
      </c>
      <c r="CF42" s="9">
        <v>0</v>
      </c>
      <c r="CG42" s="9">
        <v>0</v>
      </c>
      <c r="CH42" s="9">
        <v>794140</v>
      </c>
      <c r="CI42" s="9">
        <v>0</v>
      </c>
      <c r="CJ42" s="9">
        <v>4</v>
      </c>
      <c r="CK42" s="9">
        <v>0</v>
      </c>
      <c r="CL42" s="9">
        <v>0</v>
      </c>
      <c r="CM42" s="9">
        <v>0</v>
      </c>
      <c r="CN42" s="9">
        <v>0</v>
      </c>
      <c r="CO42" s="9">
        <v>0</v>
      </c>
      <c r="CP42" s="9">
        <v>0</v>
      </c>
      <c r="CQ42" s="9">
        <v>0</v>
      </c>
      <c r="CR42" s="9">
        <v>4312.7629999999999</v>
      </c>
      <c r="CS42" s="9">
        <v>0</v>
      </c>
      <c r="CT42" s="9">
        <v>0</v>
      </c>
      <c r="CU42" s="9">
        <v>0</v>
      </c>
      <c r="CV42" s="9">
        <v>0</v>
      </c>
      <c r="CW42" s="9">
        <v>0</v>
      </c>
      <c r="CX42" s="9">
        <v>0</v>
      </c>
      <c r="CY42" s="9">
        <v>0</v>
      </c>
      <c r="CZ42" s="9">
        <v>0</v>
      </c>
      <c r="DA42" s="9">
        <v>1</v>
      </c>
      <c r="DB42" s="9">
        <v>28285934</v>
      </c>
      <c r="DC42" s="9">
        <v>0</v>
      </c>
      <c r="DD42" s="9">
        <v>0</v>
      </c>
      <c r="DE42" s="9">
        <v>5671889</v>
      </c>
      <c r="DF42" s="9">
        <v>5671889</v>
      </c>
      <c r="DG42" s="9">
        <v>4331.67</v>
      </c>
      <c r="DH42" s="9">
        <v>0</v>
      </c>
      <c r="DI42" s="9">
        <v>0</v>
      </c>
      <c r="DJ42" s="9">
        <v>0</v>
      </c>
      <c r="DK42" s="9">
        <v>5392</v>
      </c>
      <c r="DL42" s="9">
        <v>0</v>
      </c>
      <c r="DM42" s="9">
        <v>2693348</v>
      </c>
      <c r="DN42" s="9">
        <v>0</v>
      </c>
      <c r="DO42" s="9">
        <v>0</v>
      </c>
      <c r="DP42" s="9">
        <v>0</v>
      </c>
      <c r="DQ42" s="9">
        <v>0</v>
      </c>
      <c r="DR42" s="9">
        <v>0</v>
      </c>
      <c r="DS42" s="9">
        <v>0</v>
      </c>
      <c r="DT42" s="9">
        <v>0</v>
      </c>
      <c r="DU42" s="9">
        <v>0</v>
      </c>
      <c r="DV42" s="9">
        <v>0</v>
      </c>
      <c r="DW42" s="9">
        <v>0</v>
      </c>
      <c r="DX42" s="9">
        <v>0</v>
      </c>
      <c r="DY42" s="9">
        <v>0</v>
      </c>
      <c r="DZ42" s="9">
        <v>0</v>
      </c>
      <c r="EA42" s="9">
        <v>0</v>
      </c>
      <c r="EB42" s="9">
        <v>0</v>
      </c>
      <c r="EC42" s="9">
        <v>222.67600000000002</v>
      </c>
      <c r="ED42" s="9">
        <v>1603646</v>
      </c>
      <c r="EE42" s="9">
        <v>0</v>
      </c>
      <c r="EF42" s="9">
        <v>0</v>
      </c>
      <c r="EG42" s="9">
        <v>0</v>
      </c>
      <c r="EH42" s="9">
        <v>1089702</v>
      </c>
      <c r="EI42" s="9">
        <v>0</v>
      </c>
      <c r="EJ42" s="9">
        <v>0</v>
      </c>
      <c r="EK42" s="9">
        <v>54.501000000000005</v>
      </c>
      <c r="EL42" s="9">
        <v>0</v>
      </c>
      <c r="EM42" s="9">
        <v>0</v>
      </c>
      <c r="EN42" s="9">
        <v>0.58800000000000008</v>
      </c>
      <c r="EO42" s="9">
        <v>0</v>
      </c>
      <c r="EP42" s="9">
        <v>0</v>
      </c>
      <c r="EQ42" s="9">
        <v>55.089000000000006</v>
      </c>
      <c r="ER42" s="9">
        <v>0</v>
      </c>
      <c r="ES42" s="9">
        <v>166.44300000000001</v>
      </c>
      <c r="ET42" s="9">
        <v>0</v>
      </c>
      <c r="EU42" s="9">
        <v>3007512</v>
      </c>
      <c r="EV42" s="9">
        <v>0</v>
      </c>
      <c r="EW42" s="9">
        <v>0</v>
      </c>
      <c r="EX42" s="9">
        <v>0</v>
      </c>
      <c r="EY42" s="9">
        <v>0</v>
      </c>
      <c r="EZ42" s="9">
        <v>36153206</v>
      </c>
      <c r="FA42" s="9">
        <v>0</v>
      </c>
      <c r="FB42" s="9">
        <v>39160718</v>
      </c>
      <c r="FC42" s="9">
        <v>0.97326799999999991</v>
      </c>
      <c r="FD42" s="9">
        <v>0</v>
      </c>
      <c r="FE42" s="9">
        <v>5766222</v>
      </c>
      <c r="FF42" s="9">
        <v>1227914</v>
      </c>
      <c r="FG42" s="9">
        <v>5.8088000000000001E-2</v>
      </c>
      <c r="FH42" s="9">
        <v>5.2622999999999996E-2</v>
      </c>
      <c r="FI42" s="9">
        <v>0</v>
      </c>
      <c r="FJ42" s="9">
        <v>0</v>
      </c>
      <c r="FK42" s="9">
        <v>7303.3410000000003</v>
      </c>
      <c r="FL42" s="9">
        <v>46948994</v>
      </c>
      <c r="FM42" s="9">
        <v>0</v>
      </c>
      <c r="FN42" s="9">
        <v>0</v>
      </c>
      <c r="FO42" s="9">
        <v>34128</v>
      </c>
      <c r="FP42" s="9">
        <v>0</v>
      </c>
      <c r="FQ42" s="9">
        <v>34128</v>
      </c>
      <c r="FR42" s="9">
        <v>34128</v>
      </c>
      <c r="FS42" s="9">
        <v>0</v>
      </c>
      <c r="FT42" s="9">
        <v>0</v>
      </c>
      <c r="FU42" s="9">
        <v>0</v>
      </c>
      <c r="FV42" s="9">
        <v>0</v>
      </c>
      <c r="FW42" s="9">
        <v>0</v>
      </c>
      <c r="FX42" s="9">
        <v>0</v>
      </c>
      <c r="FY42" s="9">
        <v>0</v>
      </c>
      <c r="FZ42" s="9">
        <v>0</v>
      </c>
      <c r="GA42" s="9">
        <v>0</v>
      </c>
      <c r="GB42" s="9">
        <v>1142652</v>
      </c>
      <c r="GC42" s="9">
        <v>1142652</v>
      </c>
      <c r="GD42" s="9">
        <v>129.28200000000001</v>
      </c>
      <c r="GE42" s="9">
        <v>0</v>
      </c>
      <c r="GF42" s="9">
        <v>0</v>
      </c>
      <c r="GG42" s="9">
        <v>0</v>
      </c>
      <c r="GH42" s="9">
        <v>0</v>
      </c>
      <c r="GI42" s="9">
        <v>0</v>
      </c>
      <c r="GJ42" s="9">
        <v>0</v>
      </c>
      <c r="GK42" s="9">
        <v>5340.4940000000006</v>
      </c>
      <c r="GL42" s="9">
        <v>64453</v>
      </c>
      <c r="GM42" s="9">
        <v>0</v>
      </c>
      <c r="GN42" s="9">
        <v>413599</v>
      </c>
      <c r="GO42" s="9">
        <v>0</v>
      </c>
      <c r="GP42" s="9">
        <v>46154854</v>
      </c>
      <c r="GQ42" s="9">
        <v>46154854</v>
      </c>
      <c r="GR42" s="9">
        <v>0</v>
      </c>
      <c r="GS42" s="9">
        <v>0</v>
      </c>
      <c r="GT42" s="9">
        <v>0</v>
      </c>
      <c r="GU42" s="9">
        <v>0</v>
      </c>
      <c r="GV42" s="9">
        <v>0</v>
      </c>
      <c r="GW42" s="9">
        <v>0</v>
      </c>
      <c r="GX42" s="9">
        <v>0</v>
      </c>
      <c r="GY42" s="9">
        <v>0</v>
      </c>
      <c r="GZ42" s="9">
        <v>0</v>
      </c>
      <c r="HA42" s="9">
        <v>0</v>
      </c>
      <c r="HB42" s="9">
        <v>300501363</v>
      </c>
      <c r="HC42" s="9">
        <v>4.4742999999999998E-2</v>
      </c>
      <c r="HD42" s="9">
        <v>794140</v>
      </c>
      <c r="HE42" s="9">
        <v>0</v>
      </c>
      <c r="HF42" s="9">
        <v>0</v>
      </c>
      <c r="HG42" s="9">
        <v>0</v>
      </c>
      <c r="HH42" s="9">
        <v>0</v>
      </c>
      <c r="HI42" s="9">
        <v>0</v>
      </c>
      <c r="HJ42" s="9">
        <v>0</v>
      </c>
      <c r="HK42" s="9">
        <v>0</v>
      </c>
      <c r="HL42" s="9">
        <v>0</v>
      </c>
      <c r="HM42" s="9">
        <v>0</v>
      </c>
      <c r="HN42" s="9">
        <v>0</v>
      </c>
      <c r="HO42" s="9">
        <v>0</v>
      </c>
      <c r="HP42" s="9">
        <v>0</v>
      </c>
      <c r="HQ42" s="9">
        <v>0</v>
      </c>
      <c r="HR42" s="9">
        <v>0</v>
      </c>
      <c r="HS42" s="9">
        <v>0</v>
      </c>
      <c r="HT42" s="9">
        <v>0</v>
      </c>
      <c r="HU42" s="9">
        <v>0</v>
      </c>
      <c r="HV42" s="9">
        <v>0</v>
      </c>
      <c r="HW42" s="9">
        <v>0</v>
      </c>
      <c r="HX42" s="9">
        <v>0</v>
      </c>
      <c r="HY42" s="9">
        <v>0</v>
      </c>
      <c r="HZ42" s="9">
        <v>0</v>
      </c>
      <c r="IA42" s="9">
        <v>0</v>
      </c>
      <c r="IB42" s="9">
        <v>0</v>
      </c>
      <c r="IC42" s="9">
        <v>0</v>
      </c>
      <c r="ID42" s="9">
        <v>0</v>
      </c>
      <c r="IE42" s="9">
        <v>0</v>
      </c>
      <c r="IF42" s="9">
        <v>0</v>
      </c>
      <c r="IG42" s="9">
        <v>0</v>
      </c>
      <c r="IH42" s="9">
        <v>0</v>
      </c>
      <c r="II42" s="9">
        <v>0</v>
      </c>
      <c r="IJ42" s="9">
        <v>0</v>
      </c>
      <c r="IK42" s="9">
        <v>0</v>
      </c>
      <c r="IL42" s="9">
        <v>0</v>
      </c>
      <c r="IM42" s="9">
        <v>0</v>
      </c>
      <c r="IN42" s="9">
        <v>0</v>
      </c>
      <c r="IO42" s="9">
        <v>0</v>
      </c>
      <c r="IP42" s="9">
        <v>0</v>
      </c>
      <c r="IQ42" s="9">
        <v>0</v>
      </c>
      <c r="IR42" s="9">
        <v>0</v>
      </c>
      <c r="IS42" s="9">
        <v>0</v>
      </c>
      <c r="IT42" s="9">
        <v>0</v>
      </c>
      <c r="IU42" s="9">
        <v>0</v>
      </c>
      <c r="IV42" s="9">
        <v>0</v>
      </c>
      <c r="IW42" s="9">
        <v>0</v>
      </c>
      <c r="IX42" s="9">
        <v>0</v>
      </c>
      <c r="IY42" s="9">
        <v>0</v>
      </c>
      <c r="IZ42" s="9">
        <v>0</v>
      </c>
      <c r="JA42" s="9">
        <v>0</v>
      </c>
      <c r="JB42" s="9">
        <v>0</v>
      </c>
      <c r="JC42" s="9">
        <v>0</v>
      </c>
      <c r="JD42" s="9">
        <v>0</v>
      </c>
      <c r="JE42" s="9">
        <v>0</v>
      </c>
      <c r="JF42" s="9">
        <v>0</v>
      </c>
      <c r="JG42" s="9">
        <v>0</v>
      </c>
      <c r="JH42" s="9">
        <v>0</v>
      </c>
      <c r="JI42" s="9">
        <v>0</v>
      </c>
      <c r="JJ42" s="9">
        <v>0</v>
      </c>
      <c r="JK42" s="9">
        <v>0</v>
      </c>
      <c r="JL42" s="9">
        <v>0</v>
      </c>
      <c r="JM42" s="9">
        <v>0</v>
      </c>
      <c r="JN42" s="9">
        <v>36832</v>
      </c>
      <c r="JO42" s="9">
        <v>0</v>
      </c>
      <c r="JP42" s="9">
        <v>0</v>
      </c>
      <c r="JQ42" s="9">
        <v>0</v>
      </c>
      <c r="JR42" s="9">
        <v>0</v>
      </c>
      <c r="JS42" s="9">
        <v>0</v>
      </c>
      <c r="JT42" s="9">
        <v>0</v>
      </c>
      <c r="JU42" s="9">
        <v>0</v>
      </c>
      <c r="JV42" s="9">
        <v>0</v>
      </c>
      <c r="JW42" s="9">
        <v>0</v>
      </c>
      <c r="JX42" s="9">
        <v>0</v>
      </c>
      <c r="JY42" s="9">
        <v>0</v>
      </c>
      <c r="JZ42" s="9">
        <v>0</v>
      </c>
      <c r="KA42" s="9">
        <v>0</v>
      </c>
      <c r="KB42" s="9">
        <v>0</v>
      </c>
      <c r="KC42" s="9">
        <v>0</v>
      </c>
      <c r="KD42" s="9">
        <v>0</v>
      </c>
      <c r="KE42" s="9">
        <v>0</v>
      </c>
      <c r="KF42" s="9">
        <v>0</v>
      </c>
      <c r="KG42" s="9">
        <v>0</v>
      </c>
      <c r="KH42" s="9">
        <v>0</v>
      </c>
      <c r="KI42" s="9">
        <v>0</v>
      </c>
    </row>
    <row r="43" spans="1:295" x14ac:dyDescent="0.25">
      <c r="A43" s="9">
        <v>57805</v>
      </c>
      <c r="B43" s="9">
        <v>36871</v>
      </c>
      <c r="C43" s="9">
        <v>35</v>
      </c>
      <c r="D43" s="9">
        <v>2023</v>
      </c>
      <c r="E43" s="9">
        <v>5392</v>
      </c>
      <c r="F43" s="9">
        <v>0</v>
      </c>
      <c r="G43" s="9">
        <v>0</v>
      </c>
      <c r="H43" s="9">
        <v>196.41900000000001</v>
      </c>
      <c r="I43" s="9">
        <v>196.41900000000001</v>
      </c>
      <c r="J43" s="9">
        <v>202.24800000000002</v>
      </c>
      <c r="K43" s="9">
        <v>0</v>
      </c>
      <c r="L43" s="9">
        <v>6547</v>
      </c>
      <c r="M43" s="9">
        <v>0</v>
      </c>
      <c r="N43" s="9">
        <v>0</v>
      </c>
      <c r="O43" s="9">
        <v>0</v>
      </c>
      <c r="P43" s="9">
        <v>207.44500000000002</v>
      </c>
      <c r="Q43" s="9">
        <v>0</v>
      </c>
      <c r="R43" s="9">
        <v>101010</v>
      </c>
      <c r="S43" s="9">
        <v>486.92200000000003</v>
      </c>
      <c r="T43" s="9">
        <v>0</v>
      </c>
      <c r="U43" s="9">
        <v>101010</v>
      </c>
      <c r="V43" s="9">
        <v>67.356000000000009</v>
      </c>
      <c r="W43" s="9">
        <v>44098</v>
      </c>
      <c r="X43" s="9">
        <v>44098</v>
      </c>
      <c r="Y43" s="9">
        <v>0</v>
      </c>
      <c r="Z43" s="9">
        <v>0</v>
      </c>
      <c r="AA43" s="9">
        <v>1</v>
      </c>
      <c r="AB43" s="9">
        <v>1</v>
      </c>
      <c r="AC43" s="9">
        <v>0</v>
      </c>
      <c r="AD43" s="9" t="s">
        <v>314</v>
      </c>
      <c r="AE43" s="9">
        <v>0</v>
      </c>
      <c r="AF43" s="9">
        <v>0</v>
      </c>
      <c r="AG43" s="9">
        <v>0</v>
      </c>
      <c r="AH43" s="9">
        <v>0</v>
      </c>
      <c r="AI43" s="9">
        <v>0</v>
      </c>
      <c r="AJ43" s="9">
        <v>5104</v>
      </c>
      <c r="AK43" s="9" t="s">
        <v>651</v>
      </c>
      <c r="AL43" s="9" t="s">
        <v>323</v>
      </c>
      <c r="AM43" s="9">
        <v>0</v>
      </c>
      <c r="AN43" s="9">
        <v>0</v>
      </c>
      <c r="AO43" s="9">
        <v>0</v>
      </c>
      <c r="AP43" s="9">
        <v>0</v>
      </c>
      <c r="AQ43" s="9">
        <v>0</v>
      </c>
      <c r="AR43" s="9">
        <v>0</v>
      </c>
      <c r="AS43" s="9">
        <v>0</v>
      </c>
      <c r="AT43" s="9">
        <v>0</v>
      </c>
      <c r="AU43" s="9">
        <v>0</v>
      </c>
      <c r="AV43" s="9">
        <v>-2891</v>
      </c>
      <c r="AW43" s="9">
        <v>1985199</v>
      </c>
      <c r="AX43" s="9">
        <v>1985199</v>
      </c>
      <c r="AY43" s="9">
        <v>1939177</v>
      </c>
      <c r="AZ43" s="9">
        <v>101010</v>
      </c>
      <c r="BA43" s="9">
        <v>0</v>
      </c>
      <c r="BB43" s="9">
        <v>0</v>
      </c>
      <c r="BC43" s="9">
        <v>0</v>
      </c>
      <c r="BD43" s="9">
        <v>0</v>
      </c>
      <c r="BE43" s="9">
        <v>0</v>
      </c>
      <c r="BF43" s="9">
        <v>1716894</v>
      </c>
      <c r="BG43" s="9">
        <v>0</v>
      </c>
      <c r="BH43" s="9">
        <v>0</v>
      </c>
      <c r="BI43" s="9">
        <v>0</v>
      </c>
      <c r="BJ43" s="9">
        <v>12</v>
      </c>
      <c r="BK43" s="9">
        <v>0</v>
      </c>
      <c r="BL43" s="9">
        <v>0</v>
      </c>
      <c r="BM43" s="9">
        <v>0</v>
      </c>
      <c r="BN43" s="9">
        <v>0</v>
      </c>
      <c r="BO43" s="9">
        <v>0</v>
      </c>
      <c r="BP43" s="9">
        <v>0</v>
      </c>
      <c r="BQ43" s="9">
        <v>5392</v>
      </c>
      <c r="BR43" s="9">
        <v>1</v>
      </c>
      <c r="BS43" s="9">
        <v>0</v>
      </c>
      <c r="BT43" s="9">
        <v>0</v>
      </c>
      <c r="BU43" s="9">
        <v>0</v>
      </c>
      <c r="BV43" s="9">
        <v>0</v>
      </c>
      <c r="BW43" s="9">
        <v>0</v>
      </c>
      <c r="BX43" s="9">
        <v>0</v>
      </c>
      <c r="BY43" s="9">
        <v>0</v>
      </c>
      <c r="BZ43" s="9">
        <v>0</v>
      </c>
      <c r="CA43" s="9">
        <v>0</v>
      </c>
      <c r="CB43" s="9">
        <v>0</v>
      </c>
      <c r="CC43" s="9">
        <v>0</v>
      </c>
      <c r="CD43" s="9">
        <v>0</v>
      </c>
      <c r="CE43" s="9">
        <v>0</v>
      </c>
      <c r="CF43" s="9">
        <v>0</v>
      </c>
      <c r="CG43" s="9">
        <v>0</v>
      </c>
      <c r="CH43" s="9">
        <v>0</v>
      </c>
      <c r="CI43" s="9">
        <v>0</v>
      </c>
      <c r="CJ43" s="9">
        <v>4</v>
      </c>
      <c r="CK43" s="9">
        <v>0</v>
      </c>
      <c r="CL43" s="9">
        <v>0</v>
      </c>
      <c r="CM43" s="9">
        <v>0</v>
      </c>
      <c r="CN43" s="9">
        <v>0</v>
      </c>
      <c r="CO43" s="9">
        <v>0</v>
      </c>
      <c r="CP43" s="9">
        <v>0</v>
      </c>
      <c r="CQ43" s="9">
        <v>0</v>
      </c>
      <c r="CR43" s="9">
        <v>201.27800000000002</v>
      </c>
      <c r="CS43" s="9">
        <v>0</v>
      </c>
      <c r="CT43" s="9">
        <v>0</v>
      </c>
      <c r="CU43" s="9">
        <v>0</v>
      </c>
      <c r="CV43" s="9">
        <v>0</v>
      </c>
      <c r="CW43" s="9">
        <v>0</v>
      </c>
      <c r="CX43" s="9">
        <v>0</v>
      </c>
      <c r="CY43" s="9">
        <v>0</v>
      </c>
      <c r="CZ43" s="9">
        <v>0</v>
      </c>
      <c r="DA43" s="9">
        <v>1</v>
      </c>
      <c r="DB43" s="9">
        <v>1285955</v>
      </c>
      <c r="DC43" s="9">
        <v>0</v>
      </c>
      <c r="DD43" s="9">
        <v>0</v>
      </c>
      <c r="DE43" s="9">
        <v>308141</v>
      </c>
      <c r="DF43" s="9">
        <v>308141</v>
      </c>
      <c r="DG43" s="9">
        <v>235.33</v>
      </c>
      <c r="DH43" s="9">
        <v>0</v>
      </c>
      <c r="DI43" s="9">
        <v>0</v>
      </c>
      <c r="DJ43" s="9">
        <v>0</v>
      </c>
      <c r="DK43" s="9">
        <v>5392</v>
      </c>
      <c r="DL43" s="9">
        <v>0</v>
      </c>
      <c r="DM43" s="9">
        <v>125857</v>
      </c>
      <c r="DN43" s="9">
        <v>0</v>
      </c>
      <c r="DO43" s="9">
        <v>358</v>
      </c>
      <c r="DP43" s="9">
        <v>0</v>
      </c>
      <c r="DQ43" s="9">
        <v>0</v>
      </c>
      <c r="DR43" s="9">
        <v>0</v>
      </c>
      <c r="DS43" s="9">
        <v>0</v>
      </c>
      <c r="DT43" s="9">
        <v>1.1000000000000001E-2</v>
      </c>
      <c r="DU43" s="9">
        <v>0</v>
      </c>
      <c r="DV43" s="9">
        <v>0</v>
      </c>
      <c r="DW43" s="9">
        <v>8.0000000000000002E-3</v>
      </c>
      <c r="DX43" s="9">
        <v>0</v>
      </c>
      <c r="DY43" s="9">
        <v>0</v>
      </c>
      <c r="DZ43" s="9">
        <v>7.3000000000000009E-2</v>
      </c>
      <c r="EA43" s="9">
        <v>0</v>
      </c>
      <c r="EB43" s="9">
        <v>0</v>
      </c>
      <c r="EC43" s="9">
        <v>0</v>
      </c>
      <c r="ED43" s="9">
        <v>0</v>
      </c>
      <c r="EE43" s="9">
        <v>0</v>
      </c>
      <c r="EF43" s="9">
        <v>0</v>
      </c>
      <c r="EG43" s="9">
        <v>0</v>
      </c>
      <c r="EH43" s="9">
        <v>125499</v>
      </c>
      <c r="EI43" s="9">
        <v>0</v>
      </c>
      <c r="EJ43" s="9">
        <v>0</v>
      </c>
      <c r="EK43" s="9">
        <v>4.9880000000000004</v>
      </c>
      <c r="EL43" s="9">
        <v>0</v>
      </c>
      <c r="EM43" s="9">
        <v>0</v>
      </c>
      <c r="EN43" s="9">
        <v>0.84100000000000008</v>
      </c>
      <c r="EO43" s="9">
        <v>0</v>
      </c>
      <c r="EP43" s="9">
        <v>0</v>
      </c>
      <c r="EQ43" s="9">
        <v>5.8290000000000006</v>
      </c>
      <c r="ER43" s="9">
        <v>0</v>
      </c>
      <c r="ES43" s="9">
        <v>19.169</v>
      </c>
      <c r="ET43" s="9">
        <v>0</v>
      </c>
      <c r="EU43" s="9">
        <v>101010</v>
      </c>
      <c r="EV43" s="9">
        <v>0</v>
      </c>
      <c r="EW43" s="9">
        <v>0</v>
      </c>
      <c r="EX43" s="9">
        <v>0</v>
      </c>
      <c r="EY43" s="9">
        <v>0</v>
      </c>
      <c r="EZ43" s="9">
        <v>1663041</v>
      </c>
      <c r="FA43" s="9">
        <v>0</v>
      </c>
      <c r="FB43" s="9">
        <v>1764051</v>
      </c>
      <c r="FC43" s="9">
        <v>0.97326799999999991</v>
      </c>
      <c r="FD43" s="9">
        <v>0</v>
      </c>
      <c r="FE43" s="9">
        <v>265599</v>
      </c>
      <c r="FF43" s="9">
        <v>56559</v>
      </c>
      <c r="FG43" s="9">
        <v>5.8088000000000001E-2</v>
      </c>
      <c r="FH43" s="9">
        <v>5.2622999999999996E-2</v>
      </c>
      <c r="FI43" s="9">
        <v>0</v>
      </c>
      <c r="FJ43" s="9">
        <v>0</v>
      </c>
      <c r="FK43" s="9">
        <v>336.40000000000003</v>
      </c>
      <c r="FL43" s="9">
        <v>2086209</v>
      </c>
      <c r="FM43" s="9">
        <v>0</v>
      </c>
      <c r="FN43" s="9">
        <v>0</v>
      </c>
      <c r="FO43" s="9">
        <v>0</v>
      </c>
      <c r="FP43" s="9">
        <v>0</v>
      </c>
      <c r="FQ43" s="9">
        <v>0</v>
      </c>
      <c r="FR43" s="9">
        <v>0</v>
      </c>
      <c r="FS43" s="9">
        <v>0</v>
      </c>
      <c r="FT43" s="9">
        <v>0</v>
      </c>
      <c r="FU43" s="9">
        <v>0</v>
      </c>
      <c r="FV43" s="9">
        <v>0</v>
      </c>
      <c r="FW43" s="9">
        <v>0</v>
      </c>
      <c r="FX43" s="9">
        <v>0</v>
      </c>
      <c r="FY43" s="9">
        <v>0</v>
      </c>
      <c r="FZ43" s="9">
        <v>0</v>
      </c>
      <c r="GA43" s="9">
        <v>0</v>
      </c>
      <c r="GB43" s="9">
        <v>0</v>
      </c>
      <c r="GC43" s="9">
        <v>0</v>
      </c>
      <c r="GD43" s="9">
        <v>0</v>
      </c>
      <c r="GE43" s="9">
        <v>0</v>
      </c>
      <c r="GF43" s="9">
        <v>0</v>
      </c>
      <c r="GG43" s="9">
        <v>0</v>
      </c>
      <c r="GH43" s="9">
        <v>0</v>
      </c>
      <c r="GI43" s="9">
        <v>0</v>
      </c>
      <c r="GJ43" s="9">
        <v>0</v>
      </c>
      <c r="GK43" s="9">
        <v>5183</v>
      </c>
      <c r="GL43" s="9">
        <v>4467</v>
      </c>
      <c r="GM43" s="9">
        <v>0</v>
      </c>
      <c r="GN43" s="9">
        <v>0</v>
      </c>
      <c r="GO43" s="9">
        <v>0</v>
      </c>
      <c r="GP43" s="9">
        <v>2086209</v>
      </c>
      <c r="GQ43" s="9">
        <v>2086209</v>
      </c>
      <c r="GR43" s="9">
        <v>0</v>
      </c>
      <c r="GS43" s="9">
        <v>0</v>
      </c>
      <c r="GT43" s="9">
        <v>0</v>
      </c>
      <c r="GU43" s="9">
        <v>0</v>
      </c>
      <c r="GV43" s="9">
        <v>0</v>
      </c>
      <c r="GW43" s="9">
        <v>0</v>
      </c>
      <c r="GX43" s="9">
        <v>0</v>
      </c>
      <c r="GY43" s="9">
        <v>0</v>
      </c>
      <c r="GZ43" s="9">
        <v>0</v>
      </c>
      <c r="HA43" s="9">
        <v>0</v>
      </c>
      <c r="HB43" s="9">
        <v>0</v>
      </c>
      <c r="HC43" s="9">
        <v>0</v>
      </c>
      <c r="HD43" s="9">
        <v>0</v>
      </c>
      <c r="HE43" s="9">
        <v>0</v>
      </c>
      <c r="HF43" s="9">
        <v>0</v>
      </c>
      <c r="HG43" s="9">
        <v>0</v>
      </c>
      <c r="HH43" s="9">
        <v>0</v>
      </c>
      <c r="HI43" s="9">
        <v>0</v>
      </c>
      <c r="HJ43" s="9">
        <v>0</v>
      </c>
      <c r="HK43" s="9">
        <v>0</v>
      </c>
      <c r="HL43" s="9">
        <v>0</v>
      </c>
      <c r="HM43" s="9">
        <v>0</v>
      </c>
      <c r="HN43" s="9">
        <v>0</v>
      </c>
      <c r="HO43" s="9">
        <v>0</v>
      </c>
      <c r="HP43" s="9">
        <v>0</v>
      </c>
      <c r="HQ43" s="9">
        <v>0</v>
      </c>
      <c r="HR43" s="9">
        <v>0</v>
      </c>
      <c r="HS43" s="9">
        <v>0</v>
      </c>
      <c r="HT43" s="9">
        <v>0</v>
      </c>
      <c r="HU43" s="9">
        <v>0</v>
      </c>
      <c r="HV43" s="9">
        <v>0</v>
      </c>
      <c r="HW43" s="9">
        <v>0</v>
      </c>
      <c r="HX43" s="9">
        <v>0</v>
      </c>
      <c r="HY43" s="9">
        <v>0</v>
      </c>
      <c r="HZ43" s="9">
        <v>0</v>
      </c>
      <c r="IA43" s="9">
        <v>0</v>
      </c>
      <c r="IB43" s="9">
        <v>0</v>
      </c>
      <c r="IC43" s="9">
        <v>0</v>
      </c>
      <c r="ID43" s="9">
        <v>0</v>
      </c>
      <c r="IE43" s="9">
        <v>0</v>
      </c>
      <c r="IF43" s="9">
        <v>0</v>
      </c>
      <c r="IG43" s="9">
        <v>0</v>
      </c>
      <c r="IH43" s="9">
        <v>0</v>
      </c>
      <c r="II43" s="9">
        <v>0</v>
      </c>
      <c r="IJ43" s="9">
        <v>0</v>
      </c>
      <c r="IK43" s="9">
        <v>0</v>
      </c>
      <c r="IL43" s="9">
        <v>0</v>
      </c>
      <c r="IM43" s="9">
        <v>0</v>
      </c>
      <c r="IN43" s="9">
        <v>0</v>
      </c>
      <c r="IO43" s="9">
        <v>0</v>
      </c>
      <c r="IP43" s="9">
        <v>0</v>
      </c>
      <c r="IQ43" s="9">
        <v>0</v>
      </c>
      <c r="IR43" s="9">
        <v>0</v>
      </c>
      <c r="IS43" s="9">
        <v>0</v>
      </c>
      <c r="IT43" s="9">
        <v>0</v>
      </c>
      <c r="IU43" s="9">
        <v>0</v>
      </c>
      <c r="IV43" s="9">
        <v>0</v>
      </c>
      <c r="IW43" s="9">
        <v>0</v>
      </c>
      <c r="IX43" s="9">
        <v>0</v>
      </c>
      <c r="IY43" s="9">
        <v>0</v>
      </c>
      <c r="IZ43" s="9">
        <v>0</v>
      </c>
      <c r="JA43" s="9">
        <v>0</v>
      </c>
      <c r="JB43" s="9">
        <v>0</v>
      </c>
      <c r="JC43" s="9">
        <v>0</v>
      </c>
      <c r="JD43" s="9">
        <v>0</v>
      </c>
      <c r="JE43" s="9">
        <v>0</v>
      </c>
      <c r="JF43" s="9">
        <v>0</v>
      </c>
      <c r="JG43" s="9">
        <v>0</v>
      </c>
      <c r="JH43" s="9">
        <v>0</v>
      </c>
      <c r="JI43" s="9">
        <v>0</v>
      </c>
      <c r="JJ43" s="9">
        <v>0</v>
      </c>
      <c r="JK43" s="9">
        <v>0</v>
      </c>
      <c r="JL43" s="9">
        <v>0</v>
      </c>
      <c r="JM43" s="9">
        <v>0</v>
      </c>
      <c r="JN43" s="9">
        <v>36832</v>
      </c>
      <c r="JO43" s="9">
        <v>0</v>
      </c>
      <c r="JP43" s="9">
        <v>0</v>
      </c>
      <c r="JQ43" s="9">
        <v>0</v>
      </c>
      <c r="JR43" s="9">
        <v>0</v>
      </c>
      <c r="JS43" s="9">
        <v>0</v>
      </c>
      <c r="JT43" s="9">
        <v>0</v>
      </c>
      <c r="JU43" s="9">
        <v>0</v>
      </c>
      <c r="JV43" s="9">
        <v>0</v>
      </c>
      <c r="JW43" s="9">
        <v>0</v>
      </c>
      <c r="JX43" s="9">
        <v>0</v>
      </c>
      <c r="JY43" s="9">
        <v>0</v>
      </c>
      <c r="JZ43" s="9">
        <v>0</v>
      </c>
      <c r="KA43" s="9">
        <v>0</v>
      </c>
      <c r="KB43" s="9">
        <v>0</v>
      </c>
      <c r="KC43" s="9">
        <v>0</v>
      </c>
      <c r="KD43" s="9">
        <v>0</v>
      </c>
      <c r="KE43" s="9">
        <v>0</v>
      </c>
      <c r="KF43" s="9">
        <v>0</v>
      </c>
      <c r="KG43" s="9">
        <v>0</v>
      </c>
      <c r="KH43" s="9">
        <v>0</v>
      </c>
      <c r="KI43" s="9">
        <v>0</v>
      </c>
    </row>
    <row r="44" spans="1:295" x14ac:dyDescent="0.25">
      <c r="A44" s="9">
        <v>57806</v>
      </c>
      <c r="B44" s="9">
        <v>36871</v>
      </c>
      <c r="C44" s="9">
        <v>35</v>
      </c>
      <c r="D44" s="9">
        <v>2023</v>
      </c>
      <c r="E44" s="9">
        <v>5392</v>
      </c>
      <c r="F44" s="9">
        <v>0</v>
      </c>
      <c r="G44" s="9">
        <v>0</v>
      </c>
      <c r="H44" s="9">
        <v>1065.7170000000001</v>
      </c>
      <c r="I44" s="9">
        <v>1065.7170000000001</v>
      </c>
      <c r="J44" s="9">
        <v>1128.7619999999999</v>
      </c>
      <c r="K44" s="9">
        <v>0</v>
      </c>
      <c r="L44" s="9">
        <v>6547</v>
      </c>
      <c r="M44" s="9">
        <v>0</v>
      </c>
      <c r="N44" s="9">
        <v>0</v>
      </c>
      <c r="O44" s="9">
        <v>0</v>
      </c>
      <c r="P44" s="9">
        <v>1204.1960000000001</v>
      </c>
      <c r="Q44" s="9">
        <v>0</v>
      </c>
      <c r="R44" s="9">
        <v>586350</v>
      </c>
      <c r="S44" s="9">
        <v>486.92200000000003</v>
      </c>
      <c r="T44" s="9">
        <v>0</v>
      </c>
      <c r="U44" s="9">
        <v>586350</v>
      </c>
      <c r="V44" s="9">
        <v>273.58300000000003</v>
      </c>
      <c r="W44" s="9">
        <v>179115</v>
      </c>
      <c r="X44" s="9">
        <v>179115</v>
      </c>
      <c r="Y44" s="9">
        <v>0</v>
      </c>
      <c r="Z44" s="9">
        <v>0</v>
      </c>
      <c r="AA44" s="9">
        <v>1</v>
      </c>
      <c r="AB44" s="9">
        <v>1</v>
      </c>
      <c r="AC44" s="9">
        <v>0</v>
      </c>
      <c r="AD44" s="9" t="s">
        <v>314</v>
      </c>
      <c r="AE44" s="9">
        <v>0</v>
      </c>
      <c r="AF44" s="9">
        <v>0</v>
      </c>
      <c r="AG44" s="9">
        <v>0</v>
      </c>
      <c r="AH44" s="9">
        <v>0</v>
      </c>
      <c r="AI44" s="9">
        <v>0</v>
      </c>
      <c r="AJ44" s="9">
        <v>5104</v>
      </c>
      <c r="AK44" s="9" t="s">
        <v>651</v>
      </c>
      <c r="AL44" s="9" t="s">
        <v>324</v>
      </c>
      <c r="AM44" s="9">
        <v>0</v>
      </c>
      <c r="AN44" s="9">
        <v>0</v>
      </c>
      <c r="AO44" s="9">
        <v>0</v>
      </c>
      <c r="AP44" s="9">
        <v>0</v>
      </c>
      <c r="AQ44" s="9">
        <v>0</v>
      </c>
      <c r="AR44" s="9">
        <v>0</v>
      </c>
      <c r="AS44" s="9">
        <v>0</v>
      </c>
      <c r="AT44" s="9">
        <v>0</v>
      </c>
      <c r="AU44" s="9">
        <v>0</v>
      </c>
      <c r="AV44" s="9">
        <v>-864093</v>
      </c>
      <c r="AW44" s="9">
        <v>11004072</v>
      </c>
      <c r="AX44" s="9">
        <v>10741781</v>
      </c>
      <c r="AY44" s="9">
        <v>10765790</v>
      </c>
      <c r="AZ44" s="9">
        <v>629322</v>
      </c>
      <c r="BA44" s="9">
        <v>40.582999999999998</v>
      </c>
      <c r="BB44" s="9">
        <v>40068</v>
      </c>
      <c r="BC44" s="9">
        <v>40068</v>
      </c>
      <c r="BD44" s="9">
        <v>51</v>
      </c>
      <c r="BE44" s="9">
        <v>0</v>
      </c>
      <c r="BF44" s="9">
        <v>9322749</v>
      </c>
      <c r="BG44" s="9">
        <v>0</v>
      </c>
      <c r="BH44" s="9">
        <v>156.26300000000001</v>
      </c>
      <c r="BI44" s="9">
        <v>42972</v>
      </c>
      <c r="BJ44" s="9">
        <v>12</v>
      </c>
      <c r="BK44" s="9">
        <v>0</v>
      </c>
      <c r="BL44" s="9">
        <v>0</v>
      </c>
      <c r="BM44" s="9">
        <v>0</v>
      </c>
      <c r="BN44" s="9">
        <v>0</v>
      </c>
      <c r="BO44" s="9">
        <v>0</v>
      </c>
      <c r="BP44" s="9">
        <v>0</v>
      </c>
      <c r="BQ44" s="9">
        <v>5392</v>
      </c>
      <c r="BR44" s="9">
        <v>1</v>
      </c>
      <c r="BS44" s="9">
        <v>0</v>
      </c>
      <c r="BT44" s="9">
        <v>0</v>
      </c>
      <c r="BU44" s="9">
        <v>0</v>
      </c>
      <c r="BV44" s="9">
        <v>0</v>
      </c>
      <c r="BW44" s="9">
        <v>0</v>
      </c>
      <c r="BX44" s="9">
        <v>0</v>
      </c>
      <c r="BY44" s="9">
        <v>0</v>
      </c>
      <c r="BZ44" s="9">
        <v>0</v>
      </c>
      <c r="CA44" s="9">
        <v>0</v>
      </c>
      <c r="CB44" s="9">
        <v>0</v>
      </c>
      <c r="CC44" s="9">
        <v>0</v>
      </c>
      <c r="CD44" s="9">
        <v>0</v>
      </c>
      <c r="CE44" s="9">
        <v>0</v>
      </c>
      <c r="CF44" s="9">
        <v>0</v>
      </c>
      <c r="CG44" s="9">
        <v>0</v>
      </c>
      <c r="CH44" s="9">
        <v>219319</v>
      </c>
      <c r="CI44" s="9">
        <v>0</v>
      </c>
      <c r="CJ44" s="9">
        <v>4</v>
      </c>
      <c r="CK44" s="9">
        <v>0</v>
      </c>
      <c r="CL44" s="9">
        <v>0</v>
      </c>
      <c r="CM44" s="9">
        <v>0</v>
      </c>
      <c r="CN44" s="9">
        <v>0</v>
      </c>
      <c r="CO44" s="9">
        <v>0</v>
      </c>
      <c r="CP44" s="9">
        <v>0</v>
      </c>
      <c r="CQ44" s="9">
        <v>0.16700000000000001</v>
      </c>
      <c r="CR44" s="9">
        <v>1156.9349999999999</v>
      </c>
      <c r="CS44" s="9">
        <v>0</v>
      </c>
      <c r="CT44" s="9">
        <v>0</v>
      </c>
      <c r="CU44" s="9">
        <v>0</v>
      </c>
      <c r="CV44" s="9">
        <v>0</v>
      </c>
      <c r="CW44" s="9">
        <v>0</v>
      </c>
      <c r="CX44" s="9">
        <v>0</v>
      </c>
      <c r="CY44" s="9">
        <v>0</v>
      </c>
      <c r="CZ44" s="9">
        <v>0</v>
      </c>
      <c r="DA44" s="9">
        <v>1</v>
      </c>
      <c r="DB44" s="9">
        <v>6977249</v>
      </c>
      <c r="DC44" s="9">
        <v>0</v>
      </c>
      <c r="DD44" s="9">
        <v>0</v>
      </c>
      <c r="DE44" s="9">
        <v>1413720</v>
      </c>
      <c r="DF44" s="9">
        <v>1413720</v>
      </c>
      <c r="DG44" s="9">
        <v>1079.67</v>
      </c>
      <c r="DH44" s="9">
        <v>0</v>
      </c>
      <c r="DI44" s="9">
        <v>0</v>
      </c>
      <c r="DJ44" s="9">
        <v>0</v>
      </c>
      <c r="DK44" s="9">
        <v>5392</v>
      </c>
      <c r="DL44" s="9">
        <v>0</v>
      </c>
      <c r="DM44" s="9">
        <v>548522</v>
      </c>
      <c r="DN44" s="9">
        <v>0</v>
      </c>
      <c r="DO44" s="9">
        <v>0</v>
      </c>
      <c r="DP44" s="9">
        <v>0</v>
      </c>
      <c r="DQ44" s="9">
        <v>0</v>
      </c>
      <c r="DR44" s="9">
        <v>0</v>
      </c>
      <c r="DS44" s="9">
        <v>0</v>
      </c>
      <c r="DT44" s="9">
        <v>0</v>
      </c>
      <c r="DU44" s="9">
        <v>0</v>
      </c>
      <c r="DV44" s="9">
        <v>0</v>
      </c>
      <c r="DW44" s="9">
        <v>0</v>
      </c>
      <c r="DX44" s="9">
        <v>0</v>
      </c>
      <c r="DY44" s="9">
        <v>0</v>
      </c>
      <c r="DZ44" s="9">
        <v>0</v>
      </c>
      <c r="EA44" s="9">
        <v>0</v>
      </c>
      <c r="EB44" s="9">
        <v>0</v>
      </c>
      <c r="EC44" s="9">
        <v>31.182000000000002</v>
      </c>
      <c r="ED44" s="9">
        <v>224563</v>
      </c>
      <c r="EE44" s="9">
        <v>0</v>
      </c>
      <c r="EF44" s="9">
        <v>0</v>
      </c>
      <c r="EG44" s="9">
        <v>0</v>
      </c>
      <c r="EH44" s="9">
        <v>323959</v>
      </c>
      <c r="EI44" s="9">
        <v>0</v>
      </c>
      <c r="EJ44" s="9">
        <v>0</v>
      </c>
      <c r="EK44" s="9">
        <v>14.034000000000001</v>
      </c>
      <c r="EL44" s="9">
        <v>0</v>
      </c>
      <c r="EM44" s="9">
        <v>0</v>
      </c>
      <c r="EN44" s="9">
        <v>1.476</v>
      </c>
      <c r="EO44" s="9">
        <v>0</v>
      </c>
      <c r="EP44" s="9">
        <v>0</v>
      </c>
      <c r="EQ44" s="9">
        <v>15.51</v>
      </c>
      <c r="ER44" s="9">
        <v>0</v>
      </c>
      <c r="ES44" s="9">
        <v>49.481999999999999</v>
      </c>
      <c r="ET44" s="9">
        <v>20333</v>
      </c>
      <c r="EU44" s="9">
        <v>629322</v>
      </c>
      <c r="EV44" s="9">
        <v>0</v>
      </c>
      <c r="EW44" s="9">
        <v>0</v>
      </c>
      <c r="EX44" s="9">
        <v>0</v>
      </c>
      <c r="EY44" s="9">
        <v>0</v>
      </c>
      <c r="EZ44" s="9">
        <v>8992460</v>
      </c>
      <c r="FA44" s="9">
        <v>0</v>
      </c>
      <c r="FB44" s="9">
        <v>9621782</v>
      </c>
      <c r="FC44" s="9">
        <v>0.97326799999999991</v>
      </c>
      <c r="FD44" s="9">
        <v>0</v>
      </c>
      <c r="FE44" s="9">
        <v>1442204</v>
      </c>
      <c r="FF44" s="9">
        <v>307117</v>
      </c>
      <c r="FG44" s="9">
        <v>5.8088000000000001E-2</v>
      </c>
      <c r="FH44" s="9">
        <v>5.2622999999999996E-2</v>
      </c>
      <c r="FI44" s="9">
        <v>0</v>
      </c>
      <c r="FJ44" s="9">
        <v>0</v>
      </c>
      <c r="FK44" s="9">
        <v>1826.6570000000002</v>
      </c>
      <c r="FL44" s="9">
        <v>11590422</v>
      </c>
      <c r="FM44" s="9">
        <v>0</v>
      </c>
      <c r="FN44" s="9">
        <v>0</v>
      </c>
      <c r="FO44" s="9">
        <v>0</v>
      </c>
      <c r="FP44" s="9">
        <v>0</v>
      </c>
      <c r="FQ44" s="9">
        <v>0</v>
      </c>
      <c r="FR44" s="9">
        <v>0</v>
      </c>
      <c r="FS44" s="9">
        <v>0</v>
      </c>
      <c r="FT44" s="9">
        <v>0</v>
      </c>
      <c r="FU44" s="9">
        <v>0</v>
      </c>
      <c r="FV44" s="9">
        <v>0</v>
      </c>
      <c r="FW44" s="9">
        <v>0</v>
      </c>
      <c r="FX44" s="9">
        <v>0</v>
      </c>
      <c r="FY44" s="9">
        <v>0</v>
      </c>
      <c r="FZ44" s="9">
        <v>0</v>
      </c>
      <c r="GA44" s="9">
        <v>0</v>
      </c>
      <c r="GB44" s="9">
        <v>420136</v>
      </c>
      <c r="GC44" s="9">
        <v>420136</v>
      </c>
      <c r="GD44" s="9">
        <v>47.535000000000004</v>
      </c>
      <c r="GE44" s="9">
        <v>0</v>
      </c>
      <c r="GF44" s="9">
        <v>0</v>
      </c>
      <c r="GG44" s="9">
        <v>0</v>
      </c>
      <c r="GH44" s="9">
        <v>0</v>
      </c>
      <c r="GI44" s="9">
        <v>0</v>
      </c>
      <c r="GJ44" s="9">
        <v>0</v>
      </c>
      <c r="GK44" s="9">
        <v>5150</v>
      </c>
      <c r="GL44" s="9">
        <v>45560</v>
      </c>
      <c r="GM44" s="9">
        <v>0</v>
      </c>
      <c r="GN44" s="9">
        <v>0</v>
      </c>
      <c r="GO44" s="9">
        <v>0</v>
      </c>
      <c r="GP44" s="9">
        <v>11371103</v>
      </c>
      <c r="GQ44" s="9">
        <v>11371103</v>
      </c>
      <c r="GR44" s="9">
        <v>0</v>
      </c>
      <c r="GS44" s="9">
        <v>0</v>
      </c>
      <c r="GT44" s="9">
        <v>0</v>
      </c>
      <c r="GU44" s="9">
        <v>0</v>
      </c>
      <c r="GV44" s="9">
        <v>0</v>
      </c>
      <c r="GW44" s="9">
        <v>0</v>
      </c>
      <c r="GX44" s="9">
        <v>0</v>
      </c>
      <c r="GY44" s="9">
        <v>0</v>
      </c>
      <c r="GZ44" s="9">
        <v>0</v>
      </c>
      <c r="HA44" s="9">
        <v>0</v>
      </c>
      <c r="HB44" s="9">
        <v>300501363</v>
      </c>
      <c r="HC44" s="9">
        <v>4.4742999999999998E-2</v>
      </c>
      <c r="HD44" s="9">
        <v>198986</v>
      </c>
      <c r="HE44" s="9">
        <v>0</v>
      </c>
      <c r="HF44" s="9">
        <v>0</v>
      </c>
      <c r="HG44" s="9">
        <v>0</v>
      </c>
      <c r="HH44" s="9">
        <v>0</v>
      </c>
      <c r="HI44" s="9">
        <v>0</v>
      </c>
      <c r="HJ44" s="9">
        <v>0</v>
      </c>
      <c r="HK44" s="9">
        <v>0</v>
      </c>
      <c r="HL44" s="9">
        <v>0</v>
      </c>
      <c r="HM44" s="9">
        <v>0</v>
      </c>
      <c r="HN44" s="9">
        <v>0</v>
      </c>
      <c r="HO44" s="9">
        <v>0</v>
      </c>
      <c r="HP44" s="9">
        <v>0</v>
      </c>
      <c r="HQ44" s="9">
        <v>0</v>
      </c>
      <c r="HR44" s="9">
        <v>0</v>
      </c>
      <c r="HS44" s="9">
        <v>0</v>
      </c>
      <c r="HT44" s="9">
        <v>0</v>
      </c>
      <c r="HU44" s="9">
        <v>0</v>
      </c>
      <c r="HV44" s="9">
        <v>0</v>
      </c>
      <c r="HW44" s="9">
        <v>0</v>
      </c>
      <c r="HX44" s="9">
        <v>0</v>
      </c>
      <c r="HY44" s="9">
        <v>0</v>
      </c>
      <c r="HZ44" s="9">
        <v>0</v>
      </c>
      <c r="IA44" s="9">
        <v>0</v>
      </c>
      <c r="IB44" s="9">
        <v>0</v>
      </c>
      <c r="IC44" s="9">
        <v>0</v>
      </c>
      <c r="ID44" s="9">
        <v>0</v>
      </c>
      <c r="IE44" s="9">
        <v>0</v>
      </c>
      <c r="IF44" s="9">
        <v>0</v>
      </c>
      <c r="IG44" s="9">
        <v>0</v>
      </c>
      <c r="IH44" s="9">
        <v>0</v>
      </c>
      <c r="II44" s="9">
        <v>0</v>
      </c>
      <c r="IJ44" s="9">
        <v>0</v>
      </c>
      <c r="IK44" s="9">
        <v>0</v>
      </c>
      <c r="IL44" s="9">
        <v>0</v>
      </c>
      <c r="IM44" s="9">
        <v>0</v>
      </c>
      <c r="IN44" s="9">
        <v>0</v>
      </c>
      <c r="IO44" s="9">
        <v>0</v>
      </c>
      <c r="IP44" s="9">
        <v>0</v>
      </c>
      <c r="IQ44" s="9">
        <v>0</v>
      </c>
      <c r="IR44" s="9">
        <v>0</v>
      </c>
      <c r="IS44" s="9">
        <v>0</v>
      </c>
      <c r="IT44" s="9">
        <v>0</v>
      </c>
      <c r="IU44" s="9">
        <v>0</v>
      </c>
      <c r="IV44" s="9">
        <v>0</v>
      </c>
      <c r="IW44" s="9">
        <v>0</v>
      </c>
      <c r="IX44" s="9">
        <v>0</v>
      </c>
      <c r="IY44" s="9">
        <v>0</v>
      </c>
      <c r="IZ44" s="9">
        <v>0</v>
      </c>
      <c r="JA44" s="9">
        <v>0</v>
      </c>
      <c r="JB44" s="9">
        <v>0</v>
      </c>
      <c r="JC44" s="9">
        <v>0</v>
      </c>
      <c r="JD44" s="9">
        <v>0</v>
      </c>
      <c r="JE44" s="9">
        <v>0</v>
      </c>
      <c r="JF44" s="9">
        <v>0</v>
      </c>
      <c r="JG44" s="9">
        <v>0</v>
      </c>
      <c r="JH44" s="9">
        <v>0</v>
      </c>
      <c r="JI44" s="9">
        <v>0</v>
      </c>
      <c r="JJ44" s="9">
        <v>0</v>
      </c>
      <c r="JK44" s="9">
        <v>0</v>
      </c>
      <c r="JL44" s="9">
        <v>0</v>
      </c>
      <c r="JM44" s="9">
        <v>0</v>
      </c>
      <c r="JN44" s="9">
        <v>36832</v>
      </c>
      <c r="JO44" s="9">
        <v>0</v>
      </c>
      <c r="JP44" s="9">
        <v>0</v>
      </c>
      <c r="JQ44" s="9">
        <v>0</v>
      </c>
      <c r="JR44" s="9">
        <v>0</v>
      </c>
      <c r="JS44" s="9">
        <v>0</v>
      </c>
      <c r="JT44" s="9">
        <v>0</v>
      </c>
      <c r="JU44" s="9">
        <v>0</v>
      </c>
      <c r="JV44" s="9">
        <v>0</v>
      </c>
      <c r="JW44" s="9">
        <v>0</v>
      </c>
      <c r="JX44" s="9">
        <v>0</v>
      </c>
      <c r="JY44" s="9">
        <v>0</v>
      </c>
      <c r="JZ44" s="9">
        <v>0</v>
      </c>
      <c r="KA44" s="9">
        <v>0</v>
      </c>
      <c r="KB44" s="9">
        <v>0</v>
      </c>
      <c r="KC44" s="9">
        <v>0</v>
      </c>
      <c r="KD44" s="9">
        <v>0</v>
      </c>
      <c r="KE44" s="9">
        <v>0</v>
      </c>
      <c r="KF44" s="9">
        <v>0</v>
      </c>
      <c r="KG44" s="9">
        <v>0</v>
      </c>
      <c r="KH44" s="9">
        <v>0</v>
      </c>
      <c r="KI44" s="9">
        <v>0</v>
      </c>
    </row>
    <row r="45" spans="1:295" x14ac:dyDescent="0.25">
      <c r="A45" s="9">
        <v>57807</v>
      </c>
      <c r="B45" s="9">
        <v>36871</v>
      </c>
      <c r="C45" s="9">
        <v>35</v>
      </c>
      <c r="D45" s="9">
        <v>2023</v>
      </c>
      <c r="E45" s="9">
        <v>5392</v>
      </c>
      <c r="F45" s="9">
        <v>0</v>
      </c>
      <c r="G45" s="9">
        <v>0</v>
      </c>
      <c r="H45" s="9">
        <v>4660.616</v>
      </c>
      <c r="I45" s="9">
        <v>4660.616</v>
      </c>
      <c r="J45" s="9">
        <v>5245.9560000000001</v>
      </c>
      <c r="K45" s="9">
        <v>0</v>
      </c>
      <c r="L45" s="9">
        <v>6547</v>
      </c>
      <c r="M45" s="9">
        <v>0</v>
      </c>
      <c r="N45" s="9">
        <v>0</v>
      </c>
      <c r="O45" s="9">
        <v>0</v>
      </c>
      <c r="P45" s="9">
        <v>5301.4949999999999</v>
      </c>
      <c r="Q45" s="9">
        <v>0</v>
      </c>
      <c r="R45" s="9">
        <v>2581415</v>
      </c>
      <c r="S45" s="9">
        <v>486.92200000000003</v>
      </c>
      <c r="T45" s="9">
        <v>0</v>
      </c>
      <c r="U45" s="9">
        <v>2581415</v>
      </c>
      <c r="V45" s="9">
        <v>498.87</v>
      </c>
      <c r="W45" s="9">
        <v>326610</v>
      </c>
      <c r="X45" s="9">
        <v>326610</v>
      </c>
      <c r="Y45" s="9">
        <v>0</v>
      </c>
      <c r="Z45" s="9">
        <v>0</v>
      </c>
      <c r="AA45" s="9">
        <v>1</v>
      </c>
      <c r="AB45" s="9">
        <v>1</v>
      </c>
      <c r="AC45" s="9">
        <v>0</v>
      </c>
      <c r="AD45" s="9" t="s">
        <v>314</v>
      </c>
      <c r="AE45" s="9">
        <v>0</v>
      </c>
      <c r="AF45" s="9">
        <v>0</v>
      </c>
      <c r="AG45" s="9">
        <v>0</v>
      </c>
      <c r="AH45" s="9">
        <v>0</v>
      </c>
      <c r="AI45" s="9">
        <v>0</v>
      </c>
      <c r="AJ45" s="9">
        <v>5104</v>
      </c>
      <c r="AK45" s="9" t="s">
        <v>651</v>
      </c>
      <c r="AL45" s="9" t="s">
        <v>18</v>
      </c>
      <c r="AM45" s="9">
        <v>0</v>
      </c>
      <c r="AN45" s="9">
        <v>0</v>
      </c>
      <c r="AO45" s="9">
        <v>0</v>
      </c>
      <c r="AP45" s="9">
        <v>0</v>
      </c>
      <c r="AQ45" s="9">
        <v>0</v>
      </c>
      <c r="AR45" s="9">
        <v>0</v>
      </c>
      <c r="AS45" s="9">
        <v>0</v>
      </c>
      <c r="AT45" s="9">
        <v>0</v>
      </c>
      <c r="AU45" s="9">
        <v>0</v>
      </c>
      <c r="AV45" s="9">
        <v>-1149759</v>
      </c>
      <c r="AW45" s="9">
        <v>51273368</v>
      </c>
      <c r="AX45" s="9">
        <v>49929352</v>
      </c>
      <c r="AY45" s="9">
        <v>52520996</v>
      </c>
      <c r="AZ45" s="9">
        <v>3000637</v>
      </c>
      <c r="BA45" s="9">
        <v>0</v>
      </c>
      <c r="BB45" s="9">
        <v>206072</v>
      </c>
      <c r="BC45" s="9">
        <v>206072</v>
      </c>
      <c r="BD45" s="9">
        <v>262.298</v>
      </c>
      <c r="BE45" s="9">
        <v>0</v>
      </c>
      <c r="BF45" s="9">
        <v>43192464</v>
      </c>
      <c r="BG45" s="9">
        <v>0</v>
      </c>
      <c r="BH45" s="9">
        <v>1380.0040000000001</v>
      </c>
      <c r="BI45" s="9">
        <v>379501</v>
      </c>
      <c r="BJ45" s="9">
        <v>12</v>
      </c>
      <c r="BK45" s="9">
        <v>0</v>
      </c>
      <c r="BL45" s="9">
        <v>0</v>
      </c>
      <c r="BM45" s="9">
        <v>0</v>
      </c>
      <c r="BN45" s="9">
        <v>0</v>
      </c>
      <c r="BO45" s="9">
        <v>0</v>
      </c>
      <c r="BP45" s="9">
        <v>0</v>
      </c>
      <c r="BQ45" s="9">
        <v>5392</v>
      </c>
      <c r="BR45" s="9">
        <v>1</v>
      </c>
      <c r="BS45" s="9">
        <v>0</v>
      </c>
      <c r="BT45" s="9">
        <v>0</v>
      </c>
      <c r="BU45" s="9">
        <v>0</v>
      </c>
      <c r="BV45" s="9">
        <v>0</v>
      </c>
      <c r="BW45" s="9">
        <v>0</v>
      </c>
      <c r="BX45" s="9">
        <v>0</v>
      </c>
      <c r="BY45" s="9">
        <v>0</v>
      </c>
      <c r="BZ45" s="9">
        <v>0</v>
      </c>
      <c r="CA45" s="9">
        <v>39.721000000000004</v>
      </c>
      <c r="CB45" s="9">
        <v>39721</v>
      </c>
      <c r="CC45" s="9">
        <v>0</v>
      </c>
      <c r="CD45" s="9">
        <v>0</v>
      </c>
      <c r="CE45" s="9">
        <v>0</v>
      </c>
      <c r="CF45" s="9">
        <v>0</v>
      </c>
      <c r="CG45" s="9">
        <v>0</v>
      </c>
      <c r="CH45" s="9">
        <v>924794</v>
      </c>
      <c r="CI45" s="9">
        <v>0</v>
      </c>
      <c r="CJ45" s="9">
        <v>4</v>
      </c>
      <c r="CK45" s="9">
        <v>0</v>
      </c>
      <c r="CL45" s="9">
        <v>0</v>
      </c>
      <c r="CM45" s="9">
        <v>0</v>
      </c>
      <c r="CN45" s="9">
        <v>0</v>
      </c>
      <c r="CO45" s="9">
        <v>0</v>
      </c>
      <c r="CP45" s="9">
        <v>0</v>
      </c>
      <c r="CQ45" s="9">
        <v>0</v>
      </c>
      <c r="CR45" s="9">
        <v>5160.3460000000005</v>
      </c>
      <c r="CS45" s="9">
        <v>0</v>
      </c>
      <c r="CT45" s="9">
        <v>0</v>
      </c>
      <c r="CU45" s="9">
        <v>0</v>
      </c>
      <c r="CV45" s="9">
        <v>0</v>
      </c>
      <c r="CW45" s="9">
        <v>0</v>
      </c>
      <c r="CX45" s="9">
        <v>0</v>
      </c>
      <c r="CY45" s="9">
        <v>0</v>
      </c>
      <c r="CZ45" s="9">
        <v>0</v>
      </c>
      <c r="DA45" s="9">
        <v>1</v>
      </c>
      <c r="DB45" s="9">
        <v>30513053</v>
      </c>
      <c r="DC45" s="9">
        <v>0</v>
      </c>
      <c r="DD45" s="9">
        <v>0</v>
      </c>
      <c r="DE45" s="9">
        <v>4674558</v>
      </c>
      <c r="DF45" s="9">
        <v>4674558</v>
      </c>
      <c r="DG45" s="9">
        <v>3570</v>
      </c>
      <c r="DH45" s="9">
        <v>0</v>
      </c>
      <c r="DI45" s="9">
        <v>0</v>
      </c>
      <c r="DJ45" s="9">
        <v>0</v>
      </c>
      <c r="DK45" s="9">
        <v>5392</v>
      </c>
      <c r="DL45" s="9">
        <v>0</v>
      </c>
      <c r="DM45" s="9">
        <v>5149563</v>
      </c>
      <c r="DN45" s="9">
        <v>0</v>
      </c>
      <c r="DO45" s="9">
        <v>0</v>
      </c>
      <c r="DP45" s="9">
        <v>0</v>
      </c>
      <c r="DQ45" s="9">
        <v>0</v>
      </c>
      <c r="DR45" s="9">
        <v>0</v>
      </c>
      <c r="DS45" s="9">
        <v>0</v>
      </c>
      <c r="DT45" s="9">
        <v>0</v>
      </c>
      <c r="DU45" s="9">
        <v>0</v>
      </c>
      <c r="DV45" s="9">
        <v>0</v>
      </c>
      <c r="DW45" s="9">
        <v>0</v>
      </c>
      <c r="DX45" s="9">
        <v>0</v>
      </c>
      <c r="DY45" s="9">
        <v>0</v>
      </c>
      <c r="DZ45" s="9">
        <v>0</v>
      </c>
      <c r="EA45" s="9">
        <v>0</v>
      </c>
      <c r="EB45" s="9">
        <v>0</v>
      </c>
      <c r="EC45" s="9">
        <v>182.38200000000001</v>
      </c>
      <c r="ED45" s="9">
        <v>1313460</v>
      </c>
      <c r="EE45" s="9">
        <v>0</v>
      </c>
      <c r="EF45" s="9">
        <v>0</v>
      </c>
      <c r="EG45" s="9">
        <v>0</v>
      </c>
      <c r="EH45" s="9">
        <v>3836103</v>
      </c>
      <c r="EI45" s="9">
        <v>0</v>
      </c>
      <c r="EJ45" s="9">
        <v>0</v>
      </c>
      <c r="EK45" s="9">
        <v>141.11799999999999</v>
      </c>
      <c r="EL45" s="9">
        <v>0</v>
      </c>
      <c r="EM45" s="9">
        <v>36.743000000000002</v>
      </c>
      <c r="EN45" s="9">
        <v>10.47</v>
      </c>
      <c r="EO45" s="9">
        <v>0</v>
      </c>
      <c r="EP45" s="9">
        <v>0</v>
      </c>
      <c r="EQ45" s="9">
        <v>188.33100000000002</v>
      </c>
      <c r="ER45" s="9">
        <v>0</v>
      </c>
      <c r="ES45" s="9">
        <v>585.93299999999999</v>
      </c>
      <c r="ET45" s="9">
        <v>0</v>
      </c>
      <c r="EU45" s="9">
        <v>3000637</v>
      </c>
      <c r="EV45" s="9">
        <v>0</v>
      </c>
      <c r="EW45" s="9">
        <v>0</v>
      </c>
      <c r="EX45" s="9">
        <v>0</v>
      </c>
      <c r="EY45" s="9">
        <v>0</v>
      </c>
      <c r="EZ45" s="9">
        <v>41824716</v>
      </c>
      <c r="FA45" s="9">
        <v>0</v>
      </c>
      <c r="FB45" s="9">
        <v>44825353</v>
      </c>
      <c r="FC45" s="9">
        <v>0.97326799999999991</v>
      </c>
      <c r="FD45" s="9">
        <v>0</v>
      </c>
      <c r="FE45" s="9">
        <v>6681759</v>
      </c>
      <c r="FF45" s="9">
        <v>1422877</v>
      </c>
      <c r="FG45" s="9">
        <v>5.8088000000000001E-2</v>
      </c>
      <c r="FH45" s="9">
        <v>5.2622999999999996E-2</v>
      </c>
      <c r="FI45" s="9">
        <v>0</v>
      </c>
      <c r="FJ45" s="9">
        <v>0</v>
      </c>
      <c r="FK45" s="9">
        <v>8462.9350000000013</v>
      </c>
      <c r="FL45" s="9">
        <v>53854783</v>
      </c>
      <c r="FM45" s="9">
        <v>0</v>
      </c>
      <c r="FN45" s="9">
        <v>0</v>
      </c>
      <c r="FO45" s="9">
        <v>27331</v>
      </c>
      <c r="FP45" s="9">
        <v>0</v>
      </c>
      <c r="FQ45" s="9">
        <v>27331</v>
      </c>
      <c r="FR45" s="9">
        <v>27331</v>
      </c>
      <c r="FS45" s="9">
        <v>0</v>
      </c>
      <c r="FT45" s="9">
        <v>0</v>
      </c>
      <c r="FU45" s="9">
        <v>0</v>
      </c>
      <c r="FV45" s="9">
        <v>0</v>
      </c>
      <c r="FW45" s="9">
        <v>0</v>
      </c>
      <c r="FX45" s="9">
        <v>0</v>
      </c>
      <c r="FY45" s="9">
        <v>0</v>
      </c>
      <c r="FZ45" s="9">
        <v>0</v>
      </c>
      <c r="GA45" s="9">
        <v>0</v>
      </c>
      <c r="GB45" s="9">
        <v>3508944</v>
      </c>
      <c r="GC45" s="9">
        <v>3508944</v>
      </c>
      <c r="GD45" s="9">
        <v>397.00900000000001</v>
      </c>
      <c r="GE45" s="9">
        <v>0</v>
      </c>
      <c r="GF45" s="9">
        <v>0</v>
      </c>
      <c r="GG45" s="9">
        <v>0</v>
      </c>
      <c r="GH45" s="9">
        <v>0</v>
      </c>
      <c r="GI45" s="9">
        <v>0</v>
      </c>
      <c r="GJ45" s="9">
        <v>0</v>
      </c>
      <c r="GK45" s="9">
        <v>5113</v>
      </c>
      <c r="GL45" s="9">
        <v>97141</v>
      </c>
      <c r="GM45" s="9">
        <v>0</v>
      </c>
      <c r="GN45" s="9">
        <v>0</v>
      </c>
      <c r="GO45" s="9">
        <v>0</v>
      </c>
      <c r="GP45" s="9">
        <v>52929989</v>
      </c>
      <c r="GQ45" s="9">
        <v>52929989</v>
      </c>
      <c r="GR45" s="9">
        <v>0</v>
      </c>
      <c r="GS45" s="9">
        <v>0</v>
      </c>
      <c r="GT45" s="9">
        <v>0</v>
      </c>
      <c r="GU45" s="9">
        <v>0</v>
      </c>
      <c r="GV45" s="9">
        <v>0</v>
      </c>
      <c r="GW45" s="9">
        <v>0</v>
      </c>
      <c r="GX45" s="9">
        <v>0</v>
      </c>
      <c r="GY45" s="9">
        <v>0</v>
      </c>
      <c r="GZ45" s="9">
        <v>0</v>
      </c>
      <c r="HA45" s="9">
        <v>0</v>
      </c>
      <c r="HB45" s="9">
        <v>300501363</v>
      </c>
      <c r="HC45" s="9">
        <v>4.4742999999999998E-2</v>
      </c>
      <c r="HD45" s="9">
        <v>924794</v>
      </c>
      <c r="HE45" s="9">
        <v>0</v>
      </c>
      <c r="HF45" s="9">
        <v>0</v>
      </c>
      <c r="HG45" s="9">
        <v>0</v>
      </c>
      <c r="HH45" s="9">
        <v>0</v>
      </c>
      <c r="HI45" s="9">
        <v>0</v>
      </c>
      <c r="HJ45" s="9">
        <v>0</v>
      </c>
      <c r="HK45" s="9">
        <v>0</v>
      </c>
      <c r="HL45" s="9">
        <v>0</v>
      </c>
      <c r="HM45" s="9">
        <v>0</v>
      </c>
      <c r="HN45" s="9">
        <v>0</v>
      </c>
      <c r="HO45" s="9">
        <v>0</v>
      </c>
      <c r="HP45" s="9">
        <v>0</v>
      </c>
      <c r="HQ45" s="9">
        <v>0</v>
      </c>
      <c r="HR45" s="9">
        <v>0</v>
      </c>
      <c r="HS45" s="9">
        <v>0</v>
      </c>
      <c r="HT45" s="9">
        <v>0</v>
      </c>
      <c r="HU45" s="9">
        <v>0</v>
      </c>
      <c r="HV45" s="9">
        <v>0</v>
      </c>
      <c r="HW45" s="9">
        <v>0</v>
      </c>
      <c r="HX45" s="9">
        <v>0</v>
      </c>
      <c r="HY45" s="9">
        <v>0</v>
      </c>
      <c r="HZ45" s="9">
        <v>0</v>
      </c>
      <c r="IA45" s="9">
        <v>0</v>
      </c>
      <c r="IB45" s="9">
        <v>0</v>
      </c>
      <c r="IC45" s="9">
        <v>0</v>
      </c>
      <c r="ID45" s="9">
        <v>0</v>
      </c>
      <c r="IE45" s="9">
        <v>0</v>
      </c>
      <c r="IF45" s="9">
        <v>0</v>
      </c>
      <c r="IG45" s="9">
        <v>0</v>
      </c>
      <c r="IH45" s="9">
        <v>0</v>
      </c>
      <c r="II45" s="9">
        <v>0</v>
      </c>
      <c r="IJ45" s="9">
        <v>0</v>
      </c>
      <c r="IK45" s="9">
        <v>0</v>
      </c>
      <c r="IL45" s="9">
        <v>0</v>
      </c>
      <c r="IM45" s="9">
        <v>0</v>
      </c>
      <c r="IN45" s="9">
        <v>0</v>
      </c>
      <c r="IO45" s="9">
        <v>0</v>
      </c>
      <c r="IP45" s="9">
        <v>0</v>
      </c>
      <c r="IQ45" s="9">
        <v>0</v>
      </c>
      <c r="IR45" s="9">
        <v>0</v>
      </c>
      <c r="IS45" s="9">
        <v>0</v>
      </c>
      <c r="IT45" s="9">
        <v>0</v>
      </c>
      <c r="IU45" s="9">
        <v>0</v>
      </c>
      <c r="IV45" s="9">
        <v>0</v>
      </c>
      <c r="IW45" s="9">
        <v>0</v>
      </c>
      <c r="IX45" s="9">
        <v>0</v>
      </c>
      <c r="IY45" s="9">
        <v>0</v>
      </c>
      <c r="IZ45" s="9">
        <v>0</v>
      </c>
      <c r="JA45" s="9">
        <v>0</v>
      </c>
      <c r="JB45" s="9">
        <v>0</v>
      </c>
      <c r="JC45" s="9">
        <v>0</v>
      </c>
      <c r="JD45" s="9">
        <v>0</v>
      </c>
      <c r="JE45" s="9">
        <v>0</v>
      </c>
      <c r="JF45" s="9">
        <v>0</v>
      </c>
      <c r="JG45" s="9">
        <v>0</v>
      </c>
      <c r="JH45" s="9">
        <v>0</v>
      </c>
      <c r="JI45" s="9">
        <v>0</v>
      </c>
      <c r="JJ45" s="9">
        <v>0</v>
      </c>
      <c r="JK45" s="9">
        <v>0</v>
      </c>
      <c r="JL45" s="9">
        <v>0</v>
      </c>
      <c r="JM45" s="9">
        <v>0</v>
      </c>
      <c r="JN45" s="9">
        <v>36832</v>
      </c>
      <c r="JO45" s="9">
        <v>0</v>
      </c>
      <c r="JP45" s="9">
        <v>0</v>
      </c>
      <c r="JQ45" s="9">
        <v>0</v>
      </c>
      <c r="JR45" s="9">
        <v>0</v>
      </c>
      <c r="JS45" s="9">
        <v>0</v>
      </c>
      <c r="JT45" s="9">
        <v>0</v>
      </c>
      <c r="JU45" s="9">
        <v>0</v>
      </c>
      <c r="JV45" s="9">
        <v>0</v>
      </c>
      <c r="JW45" s="9">
        <v>0</v>
      </c>
      <c r="JX45" s="9">
        <v>0</v>
      </c>
      <c r="JY45" s="9">
        <v>0</v>
      </c>
      <c r="JZ45" s="9">
        <v>0</v>
      </c>
      <c r="KA45" s="9">
        <v>0</v>
      </c>
      <c r="KB45" s="9">
        <v>0</v>
      </c>
      <c r="KC45" s="9">
        <v>0</v>
      </c>
      <c r="KD45" s="9">
        <v>0</v>
      </c>
      <c r="KE45" s="9">
        <v>0</v>
      </c>
      <c r="KF45" s="9">
        <v>0</v>
      </c>
      <c r="KG45" s="9">
        <v>0</v>
      </c>
      <c r="KH45" s="9">
        <v>0</v>
      </c>
      <c r="KI45" s="9">
        <v>0</v>
      </c>
    </row>
    <row r="46" spans="1:295" ht="13" x14ac:dyDescent="0.3">
      <c r="A46" s="9">
        <v>57808</v>
      </c>
      <c r="B46" s="9">
        <v>36871</v>
      </c>
      <c r="C46" s="9">
        <v>35</v>
      </c>
      <c r="D46" s="9">
        <v>2023</v>
      </c>
      <c r="E46" s="9">
        <v>5392</v>
      </c>
      <c r="F46" s="9">
        <v>0</v>
      </c>
      <c r="G46" s="9">
        <v>0</v>
      </c>
      <c r="H46" s="9">
        <v>2121.4349999999999</v>
      </c>
      <c r="I46" s="9">
        <v>2121.4349999999999</v>
      </c>
      <c r="J46" s="9">
        <v>2158.06</v>
      </c>
      <c r="K46" s="9">
        <v>0</v>
      </c>
      <c r="L46" s="9">
        <v>6547</v>
      </c>
      <c r="M46" s="9">
        <v>0</v>
      </c>
      <c r="N46" s="9">
        <v>0</v>
      </c>
      <c r="O46" s="9">
        <v>0</v>
      </c>
      <c r="P46" s="9">
        <v>2001.82</v>
      </c>
      <c r="Q46" s="9">
        <v>0</v>
      </c>
      <c r="R46" s="10">
        <v>974730</v>
      </c>
      <c r="S46" s="9">
        <v>486.92200000000003</v>
      </c>
      <c r="T46" s="9">
        <v>0</v>
      </c>
      <c r="U46" s="10">
        <v>974730</v>
      </c>
      <c r="V46" s="10">
        <v>842.83300000000008</v>
      </c>
      <c r="W46" s="10">
        <v>551803</v>
      </c>
      <c r="X46" s="10">
        <v>551803</v>
      </c>
      <c r="Y46" s="9">
        <v>0</v>
      </c>
      <c r="Z46" s="9">
        <v>0</v>
      </c>
      <c r="AA46" s="9">
        <v>1</v>
      </c>
      <c r="AB46" s="9">
        <v>1</v>
      </c>
      <c r="AC46" s="9">
        <v>0</v>
      </c>
      <c r="AD46" s="9" t="s">
        <v>314</v>
      </c>
      <c r="AE46" s="9">
        <v>0</v>
      </c>
      <c r="AF46" s="9">
        <v>0</v>
      </c>
      <c r="AG46" s="9">
        <v>0</v>
      </c>
      <c r="AH46" s="9">
        <v>0</v>
      </c>
      <c r="AI46" s="9">
        <v>0</v>
      </c>
      <c r="AJ46" s="9">
        <v>5104</v>
      </c>
      <c r="AK46" s="9" t="s">
        <v>651</v>
      </c>
      <c r="AL46" s="9" t="s">
        <v>42</v>
      </c>
      <c r="AM46" s="9">
        <v>0</v>
      </c>
      <c r="AN46" s="9">
        <v>0</v>
      </c>
      <c r="AO46" s="9">
        <v>0</v>
      </c>
      <c r="AP46" s="9">
        <v>0</v>
      </c>
      <c r="AQ46" s="9">
        <v>0</v>
      </c>
      <c r="AR46" s="9">
        <v>0</v>
      </c>
      <c r="AS46" s="9">
        <v>0</v>
      </c>
      <c r="AT46" s="9">
        <v>0</v>
      </c>
      <c r="AU46" s="9">
        <v>0</v>
      </c>
      <c r="AV46" s="9">
        <v>-351623</v>
      </c>
      <c r="AW46" s="9">
        <v>18588105</v>
      </c>
      <c r="AX46" s="9">
        <v>18137549</v>
      </c>
      <c r="AY46" s="9">
        <v>19436895</v>
      </c>
      <c r="AZ46" s="9">
        <v>1023869</v>
      </c>
      <c r="BA46" s="10">
        <v>37.25</v>
      </c>
      <c r="BB46" s="9">
        <v>84773</v>
      </c>
      <c r="BC46" s="9">
        <v>84773</v>
      </c>
      <c r="BD46" s="9">
        <v>107.90300000000001</v>
      </c>
      <c r="BE46" s="9">
        <v>0</v>
      </c>
      <c r="BF46" s="9">
        <v>15696392</v>
      </c>
      <c r="BG46" s="9">
        <v>0</v>
      </c>
      <c r="BH46" s="10">
        <v>178.68600000000001</v>
      </c>
      <c r="BI46" s="10">
        <v>49139</v>
      </c>
      <c r="BJ46" s="9">
        <v>12</v>
      </c>
      <c r="BK46" s="9">
        <v>0</v>
      </c>
      <c r="BL46" s="9">
        <v>0</v>
      </c>
      <c r="BM46" s="9">
        <v>0</v>
      </c>
      <c r="BN46" s="9">
        <v>0</v>
      </c>
      <c r="BO46" s="9">
        <v>0</v>
      </c>
      <c r="BP46" s="9">
        <v>0</v>
      </c>
      <c r="BQ46" s="9">
        <v>5392</v>
      </c>
      <c r="BR46" s="9">
        <v>1</v>
      </c>
      <c r="BS46" s="9">
        <v>0</v>
      </c>
      <c r="BT46" s="9">
        <v>0</v>
      </c>
      <c r="BU46" s="9">
        <v>0</v>
      </c>
      <c r="BV46" s="9">
        <v>0</v>
      </c>
      <c r="BW46" s="9">
        <v>0</v>
      </c>
      <c r="BX46" s="9">
        <v>0</v>
      </c>
      <c r="BY46" s="9">
        <v>0</v>
      </c>
      <c r="BZ46" s="9">
        <v>0</v>
      </c>
      <c r="CA46" s="9">
        <v>0</v>
      </c>
      <c r="CB46" s="9">
        <v>0</v>
      </c>
      <c r="CC46" s="9">
        <v>0</v>
      </c>
      <c r="CD46" s="9">
        <v>0</v>
      </c>
      <c r="CE46" s="9">
        <v>0</v>
      </c>
      <c r="CF46" s="9">
        <v>0</v>
      </c>
      <c r="CG46" s="9">
        <v>0</v>
      </c>
      <c r="CH46" s="10">
        <v>401417</v>
      </c>
      <c r="CI46" s="9">
        <v>0</v>
      </c>
      <c r="CJ46" s="9">
        <v>4</v>
      </c>
      <c r="CK46" s="9">
        <v>0</v>
      </c>
      <c r="CL46" s="9">
        <v>0</v>
      </c>
      <c r="CM46" s="9">
        <v>0</v>
      </c>
      <c r="CN46" s="9">
        <v>0</v>
      </c>
      <c r="CO46" s="9">
        <v>0</v>
      </c>
      <c r="CP46" s="9">
        <v>0</v>
      </c>
      <c r="CQ46" s="9">
        <v>9.4169999999999998</v>
      </c>
      <c r="CR46" s="9">
        <v>1977.7520000000002</v>
      </c>
      <c r="CS46" s="9">
        <v>0</v>
      </c>
      <c r="CT46" s="9">
        <v>0</v>
      </c>
      <c r="CU46" s="9">
        <v>0</v>
      </c>
      <c r="CV46" s="9">
        <v>0</v>
      </c>
      <c r="CW46" s="9">
        <v>0</v>
      </c>
      <c r="CX46" s="9">
        <v>0</v>
      </c>
      <c r="CY46" s="9">
        <v>0</v>
      </c>
      <c r="CZ46" s="9">
        <v>0</v>
      </c>
      <c r="DA46" s="9">
        <v>1</v>
      </c>
      <c r="DB46" s="9">
        <v>13889035</v>
      </c>
      <c r="DC46" s="9">
        <v>0</v>
      </c>
      <c r="DD46" s="9">
        <v>0</v>
      </c>
      <c r="DE46" s="9">
        <v>998850</v>
      </c>
      <c r="DF46" s="9">
        <v>998850</v>
      </c>
      <c r="DG46" s="9">
        <v>762.83</v>
      </c>
      <c r="DH46" s="9">
        <v>0</v>
      </c>
      <c r="DI46" s="9">
        <v>0</v>
      </c>
      <c r="DJ46" s="9">
        <v>0</v>
      </c>
      <c r="DK46" s="9">
        <v>5392</v>
      </c>
      <c r="DL46" s="9">
        <v>0</v>
      </c>
      <c r="DM46" s="9">
        <v>460921</v>
      </c>
      <c r="DN46" s="9">
        <v>0</v>
      </c>
      <c r="DO46" s="9">
        <v>0</v>
      </c>
      <c r="DP46" s="9">
        <v>0</v>
      </c>
      <c r="DQ46" s="9">
        <v>0</v>
      </c>
      <c r="DR46" s="9">
        <v>0</v>
      </c>
      <c r="DS46" s="9">
        <v>0</v>
      </c>
      <c r="DT46" s="9">
        <v>0</v>
      </c>
      <c r="DU46" s="9">
        <v>0</v>
      </c>
      <c r="DV46" s="9">
        <v>0</v>
      </c>
      <c r="DW46" s="9">
        <v>0</v>
      </c>
      <c r="DX46" s="9">
        <v>0</v>
      </c>
      <c r="DY46" s="9">
        <v>0</v>
      </c>
      <c r="DZ46" s="9">
        <v>0</v>
      </c>
      <c r="EA46" s="9">
        <v>0</v>
      </c>
      <c r="EB46" s="9">
        <v>0</v>
      </c>
      <c r="EC46" s="9">
        <v>4.7090000000000005</v>
      </c>
      <c r="ED46" s="9">
        <v>33913</v>
      </c>
      <c r="EE46" s="9">
        <v>0</v>
      </c>
      <c r="EF46" s="9">
        <v>0</v>
      </c>
      <c r="EG46" s="9">
        <v>0</v>
      </c>
      <c r="EH46" s="9">
        <v>427008</v>
      </c>
      <c r="EI46" s="9">
        <v>0</v>
      </c>
      <c r="EJ46" s="9">
        <v>0</v>
      </c>
      <c r="EK46" s="9">
        <v>18.276</v>
      </c>
      <c r="EL46" s="9">
        <v>0</v>
      </c>
      <c r="EM46" s="9">
        <v>0.47300000000000003</v>
      </c>
      <c r="EN46" s="9">
        <v>1.7950000000000002</v>
      </c>
      <c r="EO46" s="9">
        <v>0</v>
      </c>
      <c r="EP46" s="9">
        <v>0</v>
      </c>
      <c r="EQ46" s="9">
        <v>20.544</v>
      </c>
      <c r="ER46" s="9">
        <v>0</v>
      </c>
      <c r="ES46" s="9">
        <v>65.222000000000008</v>
      </c>
      <c r="ET46" s="10">
        <v>20979</v>
      </c>
      <c r="EU46" s="9">
        <v>1023869</v>
      </c>
      <c r="EV46" s="9">
        <v>0</v>
      </c>
      <c r="EW46" s="9">
        <v>0</v>
      </c>
      <c r="EX46" s="9">
        <v>0</v>
      </c>
      <c r="EY46" s="9">
        <v>0</v>
      </c>
      <c r="EZ46" s="9">
        <v>15192277</v>
      </c>
      <c r="FA46" s="9">
        <v>0</v>
      </c>
      <c r="FB46" s="10">
        <v>16216146</v>
      </c>
      <c r="FC46" s="9">
        <v>0.97326799999999991</v>
      </c>
      <c r="FD46" s="9">
        <v>0</v>
      </c>
      <c r="FE46" s="9">
        <v>2428190</v>
      </c>
      <c r="FF46" s="9">
        <v>517082</v>
      </c>
      <c r="FG46" s="9">
        <v>5.8088000000000001E-2</v>
      </c>
      <c r="FH46" s="9">
        <v>5.2622999999999996E-2</v>
      </c>
      <c r="FI46" s="9">
        <v>0</v>
      </c>
      <c r="FJ46" s="9">
        <v>0</v>
      </c>
      <c r="FK46" s="9">
        <v>3075.48</v>
      </c>
      <c r="FL46" s="9">
        <v>19562835</v>
      </c>
      <c r="FM46" s="9">
        <v>0</v>
      </c>
      <c r="FN46" s="9">
        <v>0</v>
      </c>
      <c r="FO46" s="9">
        <v>39494</v>
      </c>
      <c r="FP46" s="9">
        <v>0</v>
      </c>
      <c r="FQ46" s="9">
        <v>39494</v>
      </c>
      <c r="FR46" s="9">
        <v>39494</v>
      </c>
      <c r="FS46" s="9">
        <v>0</v>
      </c>
      <c r="FT46" s="9">
        <v>0</v>
      </c>
      <c r="FU46" s="9">
        <v>0</v>
      </c>
      <c r="FV46" s="9">
        <v>0</v>
      </c>
      <c r="FW46" s="9">
        <v>0</v>
      </c>
      <c r="FX46" s="9">
        <v>0</v>
      </c>
      <c r="FY46" s="9">
        <v>0</v>
      </c>
      <c r="FZ46" s="9">
        <v>0</v>
      </c>
      <c r="GA46" s="9">
        <v>0</v>
      </c>
      <c r="GB46" s="10">
        <v>142131</v>
      </c>
      <c r="GC46" s="10">
        <v>142131</v>
      </c>
      <c r="GD46" s="10">
        <v>16.081</v>
      </c>
      <c r="GE46" s="9">
        <v>0</v>
      </c>
      <c r="GF46" s="9">
        <v>0</v>
      </c>
      <c r="GG46" s="9">
        <v>0</v>
      </c>
      <c r="GH46" s="9">
        <v>0</v>
      </c>
      <c r="GI46" s="9">
        <v>0</v>
      </c>
      <c r="GJ46" s="9">
        <v>0</v>
      </c>
      <c r="GK46" s="9">
        <v>5260</v>
      </c>
      <c r="GL46" s="9">
        <v>42070</v>
      </c>
      <c r="GM46" s="9">
        <v>0</v>
      </c>
      <c r="GN46" s="9">
        <v>68530</v>
      </c>
      <c r="GO46" s="9">
        <v>0</v>
      </c>
      <c r="GP46" s="9">
        <v>19161418</v>
      </c>
      <c r="GQ46" s="9">
        <v>19161418</v>
      </c>
      <c r="GR46" s="9">
        <v>0</v>
      </c>
      <c r="GS46" s="9">
        <v>0</v>
      </c>
      <c r="GT46" s="9">
        <v>0</v>
      </c>
      <c r="GU46" s="9">
        <v>0</v>
      </c>
      <c r="GV46" s="9">
        <v>0</v>
      </c>
      <c r="GW46" s="9">
        <v>0</v>
      </c>
      <c r="GX46" s="9">
        <v>0</v>
      </c>
      <c r="GY46" s="9">
        <v>0</v>
      </c>
      <c r="GZ46" s="9">
        <v>0</v>
      </c>
      <c r="HA46" s="9">
        <v>0</v>
      </c>
      <c r="HB46" s="9">
        <v>300501363</v>
      </c>
      <c r="HC46" s="9">
        <v>4.4742999999999998E-2</v>
      </c>
      <c r="HD46" s="10">
        <v>380438</v>
      </c>
      <c r="HE46" s="9">
        <v>0</v>
      </c>
      <c r="HF46" s="9">
        <v>0</v>
      </c>
      <c r="HG46" s="9">
        <v>0</v>
      </c>
      <c r="HH46" s="9">
        <v>0</v>
      </c>
      <c r="HI46" s="9">
        <v>0</v>
      </c>
      <c r="HJ46" s="9">
        <v>0</v>
      </c>
      <c r="HK46" s="9">
        <v>0</v>
      </c>
      <c r="HL46" s="9">
        <v>0</v>
      </c>
      <c r="HM46" s="9">
        <v>0</v>
      </c>
      <c r="HN46" s="9">
        <v>0</v>
      </c>
      <c r="HO46" s="9">
        <v>0</v>
      </c>
      <c r="HP46" s="9">
        <v>0</v>
      </c>
      <c r="HQ46" s="9">
        <v>0</v>
      </c>
      <c r="HR46" s="9">
        <v>0</v>
      </c>
      <c r="HS46" s="9">
        <v>0</v>
      </c>
      <c r="HT46" s="9">
        <v>0</v>
      </c>
      <c r="HU46" s="9">
        <v>0</v>
      </c>
      <c r="HV46" s="9">
        <v>0</v>
      </c>
      <c r="HW46" s="9">
        <v>0</v>
      </c>
      <c r="HX46" s="9">
        <v>0</v>
      </c>
      <c r="HY46" s="9">
        <v>0</v>
      </c>
      <c r="HZ46" s="9">
        <v>0</v>
      </c>
      <c r="IA46" s="9">
        <v>0</v>
      </c>
      <c r="IB46" s="9">
        <v>0</v>
      </c>
      <c r="IC46" s="9">
        <v>0</v>
      </c>
      <c r="ID46" s="9">
        <v>0</v>
      </c>
      <c r="IE46" s="9">
        <v>0</v>
      </c>
      <c r="IF46" s="9">
        <v>0</v>
      </c>
      <c r="IG46" s="9">
        <v>0</v>
      </c>
      <c r="IH46" s="9">
        <v>0</v>
      </c>
      <c r="II46" s="9">
        <v>0</v>
      </c>
      <c r="IJ46" s="9">
        <v>0</v>
      </c>
      <c r="IK46" s="9">
        <v>0</v>
      </c>
      <c r="IL46" s="9">
        <v>0</v>
      </c>
      <c r="IM46" s="9">
        <v>0</v>
      </c>
      <c r="IN46" s="9">
        <v>0</v>
      </c>
      <c r="IO46" s="9">
        <v>0</v>
      </c>
      <c r="IP46" s="9">
        <v>0</v>
      </c>
      <c r="IQ46" s="9">
        <v>0</v>
      </c>
      <c r="IR46" s="9">
        <v>0</v>
      </c>
      <c r="IS46" s="9">
        <v>0</v>
      </c>
      <c r="IT46" s="9">
        <v>0</v>
      </c>
      <c r="IU46" s="9">
        <v>0</v>
      </c>
      <c r="IV46" s="9">
        <v>0</v>
      </c>
      <c r="IW46" s="9">
        <v>0</v>
      </c>
      <c r="IX46" s="9">
        <v>0</v>
      </c>
      <c r="IY46" s="9">
        <v>0</v>
      </c>
      <c r="IZ46" s="9">
        <v>0</v>
      </c>
      <c r="JA46" s="9">
        <v>0</v>
      </c>
      <c r="JB46" s="9">
        <v>0</v>
      </c>
      <c r="JC46" s="9">
        <v>0</v>
      </c>
      <c r="JD46" s="9">
        <v>0</v>
      </c>
      <c r="JE46" s="9">
        <v>0</v>
      </c>
      <c r="JF46" s="9">
        <v>0</v>
      </c>
      <c r="JG46" s="9">
        <v>0</v>
      </c>
      <c r="JH46" s="9">
        <v>0</v>
      </c>
      <c r="JI46" s="9">
        <v>0</v>
      </c>
      <c r="JJ46" s="9">
        <v>0</v>
      </c>
      <c r="JK46" s="9">
        <v>0</v>
      </c>
      <c r="JL46" s="9">
        <v>0</v>
      </c>
      <c r="JM46" s="9">
        <v>0</v>
      </c>
      <c r="JN46" s="9">
        <v>36832</v>
      </c>
      <c r="JO46" s="9">
        <v>0</v>
      </c>
      <c r="JP46" s="9">
        <v>0</v>
      </c>
      <c r="JQ46" s="9">
        <v>0</v>
      </c>
      <c r="JR46" s="9">
        <v>0</v>
      </c>
      <c r="JS46" s="9">
        <v>0</v>
      </c>
      <c r="JT46" s="9">
        <v>0</v>
      </c>
      <c r="JU46" s="9">
        <v>0</v>
      </c>
      <c r="JV46" s="9">
        <v>0</v>
      </c>
      <c r="JW46" s="9">
        <v>0</v>
      </c>
      <c r="JX46" s="9">
        <v>0</v>
      </c>
      <c r="JY46" s="9">
        <v>0</v>
      </c>
      <c r="JZ46" s="9">
        <v>0</v>
      </c>
      <c r="KA46" s="9">
        <v>0</v>
      </c>
      <c r="KB46" s="9">
        <v>0</v>
      </c>
      <c r="KC46" s="9">
        <v>0</v>
      </c>
      <c r="KD46" s="9">
        <v>0</v>
      </c>
      <c r="KE46" s="9">
        <v>0</v>
      </c>
      <c r="KF46" s="9">
        <v>0</v>
      </c>
      <c r="KG46" s="9">
        <v>0</v>
      </c>
      <c r="KH46" s="9">
        <v>0</v>
      </c>
      <c r="KI46" s="9">
        <v>0</v>
      </c>
    </row>
    <row r="47" spans="1:295" x14ac:dyDescent="0.25">
      <c r="A47" s="9">
        <v>57809</v>
      </c>
      <c r="B47" s="9">
        <v>36871</v>
      </c>
      <c r="C47" s="9">
        <v>35</v>
      </c>
      <c r="D47" s="9">
        <v>2023</v>
      </c>
      <c r="E47" s="9">
        <v>5392</v>
      </c>
      <c r="F47" s="9">
        <v>0</v>
      </c>
      <c r="G47" s="9">
        <v>0</v>
      </c>
      <c r="H47" s="9">
        <v>88.95</v>
      </c>
      <c r="I47" s="9">
        <v>88.95</v>
      </c>
      <c r="J47" s="9">
        <v>88.972999999999999</v>
      </c>
      <c r="K47" s="9">
        <v>0</v>
      </c>
      <c r="L47" s="9">
        <v>6547</v>
      </c>
      <c r="M47" s="9">
        <v>0</v>
      </c>
      <c r="N47" s="9">
        <v>0</v>
      </c>
      <c r="O47" s="9">
        <v>0</v>
      </c>
      <c r="P47" s="9">
        <v>97.231000000000009</v>
      </c>
      <c r="Q47" s="9">
        <v>0</v>
      </c>
      <c r="R47" s="9">
        <v>47344</v>
      </c>
      <c r="S47" s="9">
        <v>486.92200000000003</v>
      </c>
      <c r="T47" s="9">
        <v>0</v>
      </c>
      <c r="U47" s="9">
        <v>47344</v>
      </c>
      <c r="V47" s="9">
        <v>8.5590000000000011</v>
      </c>
      <c r="W47" s="9">
        <v>5604</v>
      </c>
      <c r="X47" s="9">
        <v>5604</v>
      </c>
      <c r="Y47" s="9">
        <v>0</v>
      </c>
      <c r="Z47" s="9">
        <v>0</v>
      </c>
      <c r="AA47" s="9">
        <v>1</v>
      </c>
      <c r="AB47" s="9">
        <v>1</v>
      </c>
      <c r="AC47" s="9">
        <v>0</v>
      </c>
      <c r="AD47" s="9" t="s">
        <v>314</v>
      </c>
      <c r="AE47" s="9">
        <v>0</v>
      </c>
      <c r="AF47" s="9">
        <v>0</v>
      </c>
      <c r="AG47" s="9">
        <v>0</v>
      </c>
      <c r="AH47" s="9">
        <v>0</v>
      </c>
      <c r="AI47" s="9">
        <v>0</v>
      </c>
      <c r="AJ47" s="9">
        <v>5104</v>
      </c>
      <c r="AK47" s="9" t="s">
        <v>651</v>
      </c>
      <c r="AL47" s="9" t="s">
        <v>325</v>
      </c>
      <c r="AM47" s="9">
        <v>0</v>
      </c>
      <c r="AN47" s="9">
        <v>0</v>
      </c>
      <c r="AO47" s="9">
        <v>0</v>
      </c>
      <c r="AP47" s="9">
        <v>0</v>
      </c>
      <c r="AQ47" s="9">
        <v>0</v>
      </c>
      <c r="AR47" s="9">
        <v>0</v>
      </c>
      <c r="AS47" s="9">
        <v>0</v>
      </c>
      <c r="AT47" s="9">
        <v>0</v>
      </c>
      <c r="AU47" s="9">
        <v>0</v>
      </c>
      <c r="AV47" s="9">
        <v>-62597</v>
      </c>
      <c r="AW47" s="9">
        <v>864230</v>
      </c>
      <c r="AX47" s="9">
        <v>845545</v>
      </c>
      <c r="AY47" s="9">
        <v>927160</v>
      </c>
      <c r="AZ47" s="9">
        <v>47344</v>
      </c>
      <c r="BA47" s="9">
        <v>6</v>
      </c>
      <c r="BB47" s="9">
        <v>0</v>
      </c>
      <c r="BC47" s="9">
        <v>0</v>
      </c>
      <c r="BD47" s="9">
        <v>0</v>
      </c>
      <c r="BE47" s="9">
        <v>0</v>
      </c>
      <c r="BF47" s="9">
        <v>734824</v>
      </c>
      <c r="BG47" s="9">
        <v>0</v>
      </c>
      <c r="BH47" s="9">
        <v>0</v>
      </c>
      <c r="BI47" s="9">
        <v>0</v>
      </c>
      <c r="BJ47" s="9">
        <v>12</v>
      </c>
      <c r="BK47" s="9">
        <v>0</v>
      </c>
      <c r="BL47" s="9">
        <v>0</v>
      </c>
      <c r="BM47" s="9">
        <v>0</v>
      </c>
      <c r="BN47" s="9">
        <v>0</v>
      </c>
      <c r="BO47" s="9">
        <v>0</v>
      </c>
      <c r="BP47" s="9">
        <v>0</v>
      </c>
      <c r="BQ47" s="9">
        <v>5392</v>
      </c>
      <c r="BR47" s="9">
        <v>1</v>
      </c>
      <c r="BS47" s="9">
        <v>0</v>
      </c>
      <c r="BT47" s="9">
        <v>0</v>
      </c>
      <c r="BU47" s="9">
        <v>0</v>
      </c>
      <c r="BV47" s="9">
        <v>0</v>
      </c>
      <c r="BW47" s="9">
        <v>0</v>
      </c>
      <c r="BX47" s="9">
        <v>0</v>
      </c>
      <c r="BY47" s="9">
        <v>0</v>
      </c>
      <c r="BZ47" s="9">
        <v>0</v>
      </c>
      <c r="CA47" s="9">
        <v>0</v>
      </c>
      <c r="CB47" s="9">
        <v>0</v>
      </c>
      <c r="CC47" s="9">
        <v>0</v>
      </c>
      <c r="CD47" s="9">
        <v>0</v>
      </c>
      <c r="CE47" s="9">
        <v>0</v>
      </c>
      <c r="CF47" s="9">
        <v>0</v>
      </c>
      <c r="CG47" s="9">
        <v>0</v>
      </c>
      <c r="CH47" s="9">
        <v>18685</v>
      </c>
      <c r="CI47" s="9">
        <v>0</v>
      </c>
      <c r="CJ47" s="9">
        <v>4</v>
      </c>
      <c r="CK47" s="9">
        <v>0</v>
      </c>
      <c r="CL47" s="9">
        <v>0</v>
      </c>
      <c r="CM47" s="9">
        <v>0</v>
      </c>
      <c r="CN47" s="9">
        <v>0</v>
      </c>
      <c r="CO47" s="9">
        <v>0</v>
      </c>
      <c r="CP47" s="9">
        <v>0</v>
      </c>
      <c r="CQ47" s="9">
        <v>0</v>
      </c>
      <c r="CR47" s="9">
        <v>90.385000000000005</v>
      </c>
      <c r="CS47" s="9">
        <v>0</v>
      </c>
      <c r="CT47" s="9">
        <v>0</v>
      </c>
      <c r="CU47" s="9">
        <v>0</v>
      </c>
      <c r="CV47" s="9">
        <v>0</v>
      </c>
      <c r="CW47" s="9">
        <v>0</v>
      </c>
      <c r="CX47" s="9">
        <v>0</v>
      </c>
      <c r="CY47" s="9">
        <v>0</v>
      </c>
      <c r="CZ47" s="9">
        <v>0</v>
      </c>
      <c r="DA47" s="9">
        <v>1</v>
      </c>
      <c r="DB47" s="9">
        <v>582356</v>
      </c>
      <c r="DC47" s="9">
        <v>0</v>
      </c>
      <c r="DD47" s="9">
        <v>0</v>
      </c>
      <c r="DE47" s="9">
        <v>166294</v>
      </c>
      <c r="DF47" s="9">
        <v>166294</v>
      </c>
      <c r="DG47" s="9">
        <v>127</v>
      </c>
      <c r="DH47" s="9">
        <v>0</v>
      </c>
      <c r="DI47" s="9">
        <v>0</v>
      </c>
      <c r="DJ47" s="9">
        <v>0</v>
      </c>
      <c r="DK47" s="9">
        <v>5392</v>
      </c>
      <c r="DL47" s="9">
        <v>0</v>
      </c>
      <c r="DM47" s="9">
        <v>753</v>
      </c>
      <c r="DN47" s="9">
        <v>0</v>
      </c>
      <c r="DO47" s="9">
        <v>0</v>
      </c>
      <c r="DP47" s="9">
        <v>0</v>
      </c>
      <c r="DQ47" s="9">
        <v>0</v>
      </c>
      <c r="DR47" s="9">
        <v>0</v>
      </c>
      <c r="DS47" s="9">
        <v>0</v>
      </c>
      <c r="DT47" s="9">
        <v>0</v>
      </c>
      <c r="DU47" s="9">
        <v>0</v>
      </c>
      <c r="DV47" s="9">
        <v>0</v>
      </c>
      <c r="DW47" s="9">
        <v>0</v>
      </c>
      <c r="DX47" s="9">
        <v>0</v>
      </c>
      <c r="DY47" s="9">
        <v>0</v>
      </c>
      <c r="DZ47" s="9">
        <v>0</v>
      </c>
      <c r="EA47" s="9">
        <v>0</v>
      </c>
      <c r="EB47" s="9">
        <v>0</v>
      </c>
      <c r="EC47" s="9">
        <v>0</v>
      </c>
      <c r="ED47" s="9">
        <v>0</v>
      </c>
      <c r="EE47" s="9">
        <v>0</v>
      </c>
      <c r="EF47" s="9">
        <v>0</v>
      </c>
      <c r="EG47" s="9">
        <v>0</v>
      </c>
      <c r="EH47" s="9">
        <v>753</v>
      </c>
      <c r="EI47" s="9">
        <v>0</v>
      </c>
      <c r="EJ47" s="9">
        <v>0</v>
      </c>
      <c r="EK47" s="9">
        <v>0</v>
      </c>
      <c r="EL47" s="9">
        <v>0</v>
      </c>
      <c r="EM47" s="9">
        <v>0</v>
      </c>
      <c r="EN47" s="9">
        <v>2.3E-2</v>
      </c>
      <c r="EO47" s="9">
        <v>0</v>
      </c>
      <c r="EP47" s="9">
        <v>0</v>
      </c>
      <c r="EQ47" s="9">
        <v>2.3E-2</v>
      </c>
      <c r="ER47" s="9">
        <v>0</v>
      </c>
      <c r="ES47" s="9">
        <v>0.115</v>
      </c>
      <c r="ET47" s="9">
        <v>3000</v>
      </c>
      <c r="EU47" s="9">
        <v>47344</v>
      </c>
      <c r="EV47" s="9">
        <v>0</v>
      </c>
      <c r="EW47" s="9">
        <v>0</v>
      </c>
      <c r="EX47" s="9">
        <v>0</v>
      </c>
      <c r="EY47" s="9">
        <v>0</v>
      </c>
      <c r="EZ47" s="9">
        <v>707663</v>
      </c>
      <c r="FA47" s="9">
        <v>0</v>
      </c>
      <c r="FB47" s="9">
        <v>755007</v>
      </c>
      <c r="FC47" s="9">
        <v>0.97326799999999991</v>
      </c>
      <c r="FD47" s="9">
        <v>0</v>
      </c>
      <c r="FE47" s="9">
        <v>113675</v>
      </c>
      <c r="FF47" s="9">
        <v>24207</v>
      </c>
      <c r="FG47" s="9">
        <v>5.8088000000000001E-2</v>
      </c>
      <c r="FH47" s="9">
        <v>5.2622999999999996E-2</v>
      </c>
      <c r="FI47" s="9">
        <v>0</v>
      </c>
      <c r="FJ47" s="9">
        <v>0</v>
      </c>
      <c r="FK47" s="9">
        <v>143.97800000000001</v>
      </c>
      <c r="FL47" s="9">
        <v>911574</v>
      </c>
      <c r="FM47" s="9">
        <v>0</v>
      </c>
      <c r="FN47" s="9">
        <v>0</v>
      </c>
      <c r="FO47" s="9">
        <v>0</v>
      </c>
      <c r="FP47" s="9">
        <v>0</v>
      </c>
      <c r="FQ47" s="9">
        <v>0</v>
      </c>
      <c r="FR47" s="9">
        <v>0</v>
      </c>
      <c r="FS47" s="9">
        <v>0</v>
      </c>
      <c r="FT47" s="9">
        <v>0</v>
      </c>
      <c r="FU47" s="9">
        <v>0</v>
      </c>
      <c r="FV47" s="9">
        <v>0</v>
      </c>
      <c r="FW47" s="9">
        <v>0</v>
      </c>
      <c r="FX47" s="9">
        <v>0</v>
      </c>
      <c r="FY47" s="9">
        <v>0</v>
      </c>
      <c r="FZ47" s="9">
        <v>0</v>
      </c>
      <c r="GA47" s="9">
        <v>0</v>
      </c>
      <c r="GB47" s="9">
        <v>0</v>
      </c>
      <c r="GC47" s="9">
        <v>0</v>
      </c>
      <c r="GD47" s="9">
        <v>0</v>
      </c>
      <c r="GE47" s="9">
        <v>0</v>
      </c>
      <c r="GF47" s="9">
        <v>0</v>
      </c>
      <c r="GG47" s="9">
        <v>0</v>
      </c>
      <c r="GH47" s="9">
        <v>0</v>
      </c>
      <c r="GI47" s="9">
        <v>0</v>
      </c>
      <c r="GJ47" s="9">
        <v>0</v>
      </c>
      <c r="GK47" s="9">
        <v>5247</v>
      </c>
      <c r="GL47" s="9">
        <v>6421</v>
      </c>
      <c r="GM47" s="9">
        <v>0</v>
      </c>
      <c r="GN47" s="9">
        <v>0</v>
      </c>
      <c r="GO47" s="9">
        <v>0</v>
      </c>
      <c r="GP47" s="9">
        <v>892889</v>
      </c>
      <c r="GQ47" s="9">
        <v>892889</v>
      </c>
      <c r="GR47" s="9">
        <v>0</v>
      </c>
      <c r="GS47" s="9">
        <v>0</v>
      </c>
      <c r="GT47" s="9">
        <v>0</v>
      </c>
      <c r="GU47" s="9">
        <v>0</v>
      </c>
      <c r="GV47" s="9">
        <v>0</v>
      </c>
      <c r="GW47" s="9">
        <v>0</v>
      </c>
      <c r="GX47" s="9">
        <v>0</v>
      </c>
      <c r="GY47" s="9">
        <v>0</v>
      </c>
      <c r="GZ47" s="9">
        <v>0</v>
      </c>
      <c r="HA47" s="9">
        <v>0</v>
      </c>
      <c r="HB47" s="9">
        <v>300501363</v>
      </c>
      <c r="HC47" s="9">
        <v>4.4742999999999998E-2</v>
      </c>
      <c r="HD47" s="9">
        <v>15685</v>
      </c>
      <c r="HE47" s="9">
        <v>0</v>
      </c>
      <c r="HF47" s="9">
        <v>0</v>
      </c>
      <c r="HG47" s="9">
        <v>0</v>
      </c>
      <c r="HH47" s="9">
        <v>0</v>
      </c>
      <c r="HI47" s="9">
        <v>0</v>
      </c>
      <c r="HJ47" s="9">
        <v>0</v>
      </c>
      <c r="HK47" s="9">
        <v>0</v>
      </c>
      <c r="HL47" s="9">
        <v>0</v>
      </c>
      <c r="HM47" s="9">
        <v>0</v>
      </c>
      <c r="HN47" s="9">
        <v>0</v>
      </c>
      <c r="HO47" s="9">
        <v>0</v>
      </c>
      <c r="HP47" s="9">
        <v>0</v>
      </c>
      <c r="HQ47" s="9">
        <v>0</v>
      </c>
      <c r="HR47" s="9">
        <v>0</v>
      </c>
      <c r="HS47" s="9">
        <v>0</v>
      </c>
      <c r="HT47" s="9">
        <v>0</v>
      </c>
      <c r="HU47" s="9">
        <v>0</v>
      </c>
      <c r="HV47" s="9">
        <v>0</v>
      </c>
      <c r="HW47" s="9">
        <v>0</v>
      </c>
      <c r="HX47" s="9">
        <v>0</v>
      </c>
      <c r="HY47" s="9">
        <v>0</v>
      </c>
      <c r="HZ47" s="9">
        <v>0</v>
      </c>
      <c r="IA47" s="9">
        <v>0</v>
      </c>
      <c r="IB47" s="9">
        <v>0</v>
      </c>
      <c r="IC47" s="9">
        <v>0</v>
      </c>
      <c r="ID47" s="9">
        <v>0</v>
      </c>
      <c r="IE47" s="9">
        <v>0</v>
      </c>
      <c r="IF47" s="9">
        <v>0</v>
      </c>
      <c r="IG47" s="9">
        <v>0</v>
      </c>
      <c r="IH47" s="9">
        <v>0</v>
      </c>
      <c r="II47" s="9">
        <v>0</v>
      </c>
      <c r="IJ47" s="9">
        <v>0</v>
      </c>
      <c r="IK47" s="9">
        <v>0</v>
      </c>
      <c r="IL47" s="9">
        <v>0</v>
      </c>
      <c r="IM47" s="9">
        <v>0</v>
      </c>
      <c r="IN47" s="9">
        <v>0</v>
      </c>
      <c r="IO47" s="9">
        <v>0</v>
      </c>
      <c r="IP47" s="9">
        <v>0</v>
      </c>
      <c r="IQ47" s="9">
        <v>0</v>
      </c>
      <c r="IR47" s="9">
        <v>0</v>
      </c>
      <c r="IS47" s="9">
        <v>0</v>
      </c>
      <c r="IT47" s="9">
        <v>0</v>
      </c>
      <c r="IU47" s="9">
        <v>0</v>
      </c>
      <c r="IV47" s="9">
        <v>0</v>
      </c>
      <c r="IW47" s="9">
        <v>0</v>
      </c>
      <c r="IX47" s="9">
        <v>0</v>
      </c>
      <c r="IY47" s="9">
        <v>0</v>
      </c>
      <c r="IZ47" s="9">
        <v>0</v>
      </c>
      <c r="JA47" s="9">
        <v>0</v>
      </c>
      <c r="JB47" s="9">
        <v>0</v>
      </c>
      <c r="JC47" s="9">
        <v>0</v>
      </c>
      <c r="JD47" s="9">
        <v>0</v>
      </c>
      <c r="JE47" s="9">
        <v>0</v>
      </c>
      <c r="JF47" s="9">
        <v>0</v>
      </c>
      <c r="JG47" s="9">
        <v>0</v>
      </c>
      <c r="JH47" s="9">
        <v>0</v>
      </c>
      <c r="JI47" s="9">
        <v>0</v>
      </c>
      <c r="JJ47" s="9">
        <v>0</v>
      </c>
      <c r="JK47" s="9">
        <v>0</v>
      </c>
      <c r="JL47" s="9">
        <v>0</v>
      </c>
      <c r="JM47" s="9">
        <v>0</v>
      </c>
      <c r="JN47" s="9">
        <v>36832</v>
      </c>
      <c r="JO47" s="9">
        <v>0</v>
      </c>
      <c r="JP47" s="9">
        <v>0</v>
      </c>
      <c r="JQ47" s="9">
        <v>0</v>
      </c>
      <c r="JR47" s="9">
        <v>0</v>
      </c>
      <c r="JS47" s="9">
        <v>0</v>
      </c>
      <c r="JT47" s="9">
        <v>0</v>
      </c>
      <c r="JU47" s="9">
        <v>0</v>
      </c>
      <c r="JV47" s="9">
        <v>0</v>
      </c>
      <c r="JW47" s="9">
        <v>0</v>
      </c>
      <c r="JX47" s="9">
        <v>0</v>
      </c>
      <c r="JY47" s="9">
        <v>0</v>
      </c>
      <c r="JZ47" s="9">
        <v>0</v>
      </c>
      <c r="KA47" s="9">
        <v>0</v>
      </c>
      <c r="KB47" s="9">
        <v>0</v>
      </c>
      <c r="KC47" s="9">
        <v>0</v>
      </c>
      <c r="KD47" s="9">
        <v>0</v>
      </c>
      <c r="KE47" s="9">
        <v>0</v>
      </c>
      <c r="KF47" s="9">
        <v>0</v>
      </c>
      <c r="KG47" s="9">
        <v>0</v>
      </c>
      <c r="KH47" s="9">
        <v>0</v>
      </c>
      <c r="KI47" s="9">
        <v>0</v>
      </c>
    </row>
    <row r="48" spans="1:295" x14ac:dyDescent="0.25">
      <c r="A48" s="9">
        <v>57810</v>
      </c>
      <c r="B48" s="9">
        <v>36871</v>
      </c>
      <c r="C48" s="9">
        <v>35</v>
      </c>
      <c r="D48" s="9">
        <v>2023</v>
      </c>
      <c r="E48" s="9">
        <v>5392</v>
      </c>
      <c r="F48" s="9">
        <v>0</v>
      </c>
      <c r="G48" s="9">
        <v>0</v>
      </c>
      <c r="H48" s="9">
        <v>364.84800000000001</v>
      </c>
      <c r="I48" s="9">
        <v>364.84800000000001</v>
      </c>
      <c r="J48" s="9">
        <v>372.29200000000003</v>
      </c>
      <c r="K48" s="9">
        <v>0</v>
      </c>
      <c r="L48" s="9">
        <v>6547</v>
      </c>
      <c r="M48" s="9">
        <v>0</v>
      </c>
      <c r="N48" s="9">
        <v>0</v>
      </c>
      <c r="O48" s="9">
        <v>0</v>
      </c>
      <c r="P48" s="9">
        <v>366.30600000000004</v>
      </c>
      <c r="Q48" s="9">
        <v>0</v>
      </c>
      <c r="R48" s="9">
        <v>178362</v>
      </c>
      <c r="S48" s="9">
        <v>486.92200000000003</v>
      </c>
      <c r="T48" s="9">
        <v>0</v>
      </c>
      <c r="U48" s="9">
        <v>178362</v>
      </c>
      <c r="V48" s="9">
        <v>29.958000000000002</v>
      </c>
      <c r="W48" s="9">
        <v>19614</v>
      </c>
      <c r="X48" s="9">
        <v>19614</v>
      </c>
      <c r="Y48" s="9">
        <v>0</v>
      </c>
      <c r="Z48" s="9">
        <v>0</v>
      </c>
      <c r="AA48" s="9">
        <v>1</v>
      </c>
      <c r="AB48" s="9">
        <v>1</v>
      </c>
      <c r="AC48" s="9">
        <v>0</v>
      </c>
      <c r="AD48" s="9" t="s">
        <v>314</v>
      </c>
      <c r="AE48" s="9">
        <v>0</v>
      </c>
      <c r="AF48" s="9">
        <v>0</v>
      </c>
      <c r="AG48" s="9">
        <v>0</v>
      </c>
      <c r="AH48" s="9">
        <v>0</v>
      </c>
      <c r="AI48" s="9">
        <v>0</v>
      </c>
      <c r="AJ48" s="9">
        <v>5104</v>
      </c>
      <c r="AK48" s="9" t="s">
        <v>651</v>
      </c>
      <c r="AL48" s="9" t="s">
        <v>20</v>
      </c>
      <c r="AM48" s="9">
        <v>0</v>
      </c>
      <c r="AN48" s="9">
        <v>0</v>
      </c>
      <c r="AO48" s="9">
        <v>0</v>
      </c>
      <c r="AP48" s="9">
        <v>0</v>
      </c>
      <c r="AQ48" s="9">
        <v>0</v>
      </c>
      <c r="AR48" s="9">
        <v>0</v>
      </c>
      <c r="AS48" s="9">
        <v>0</v>
      </c>
      <c r="AT48" s="9">
        <v>0</v>
      </c>
      <c r="AU48" s="9">
        <v>0</v>
      </c>
      <c r="AV48" s="9">
        <v>-135733</v>
      </c>
      <c r="AW48" s="9">
        <v>3678246</v>
      </c>
      <c r="AX48" s="9">
        <v>3612616</v>
      </c>
      <c r="AY48" s="9">
        <v>3276147</v>
      </c>
      <c r="AZ48" s="9">
        <v>178362</v>
      </c>
      <c r="BA48" s="9">
        <v>0</v>
      </c>
      <c r="BB48" s="9">
        <v>0</v>
      </c>
      <c r="BC48" s="9">
        <v>0</v>
      </c>
      <c r="BD48" s="9">
        <v>0</v>
      </c>
      <c r="BE48" s="9">
        <v>0</v>
      </c>
      <c r="BF48" s="9">
        <v>3119874</v>
      </c>
      <c r="BG48" s="9">
        <v>0</v>
      </c>
      <c r="BH48" s="9">
        <v>0</v>
      </c>
      <c r="BI48" s="9">
        <v>0</v>
      </c>
      <c r="BJ48" s="9">
        <v>12</v>
      </c>
      <c r="BK48" s="9">
        <v>0</v>
      </c>
      <c r="BL48" s="9">
        <v>0</v>
      </c>
      <c r="BM48" s="9">
        <v>0</v>
      </c>
      <c r="BN48" s="9">
        <v>0</v>
      </c>
      <c r="BO48" s="9">
        <v>0</v>
      </c>
      <c r="BP48" s="9">
        <v>0</v>
      </c>
      <c r="BQ48" s="9">
        <v>5392</v>
      </c>
      <c r="BR48" s="9">
        <v>1</v>
      </c>
      <c r="BS48" s="9">
        <v>0</v>
      </c>
      <c r="BT48" s="9">
        <v>0</v>
      </c>
      <c r="BU48" s="9">
        <v>0</v>
      </c>
      <c r="BV48" s="9">
        <v>0</v>
      </c>
      <c r="BW48" s="9">
        <v>0</v>
      </c>
      <c r="BX48" s="9">
        <v>0</v>
      </c>
      <c r="BY48" s="9">
        <v>0</v>
      </c>
      <c r="BZ48" s="9">
        <v>0</v>
      </c>
      <c r="CA48" s="9">
        <v>0</v>
      </c>
      <c r="CB48" s="9">
        <v>0</v>
      </c>
      <c r="CC48" s="9">
        <v>0</v>
      </c>
      <c r="CD48" s="9">
        <v>0</v>
      </c>
      <c r="CE48" s="9">
        <v>0</v>
      </c>
      <c r="CF48" s="9">
        <v>0</v>
      </c>
      <c r="CG48" s="9">
        <v>0</v>
      </c>
      <c r="CH48" s="9">
        <v>65630</v>
      </c>
      <c r="CI48" s="9">
        <v>0</v>
      </c>
      <c r="CJ48" s="9">
        <v>4</v>
      </c>
      <c r="CK48" s="9">
        <v>0</v>
      </c>
      <c r="CL48" s="9">
        <v>0</v>
      </c>
      <c r="CM48" s="9">
        <v>0</v>
      </c>
      <c r="CN48" s="9">
        <v>0</v>
      </c>
      <c r="CO48" s="9">
        <v>0</v>
      </c>
      <c r="CP48" s="9">
        <v>0</v>
      </c>
      <c r="CQ48" s="9">
        <v>0</v>
      </c>
      <c r="CR48" s="9">
        <v>344.88400000000001</v>
      </c>
      <c r="CS48" s="9">
        <v>0</v>
      </c>
      <c r="CT48" s="9">
        <v>0</v>
      </c>
      <c r="CU48" s="9">
        <v>0</v>
      </c>
      <c r="CV48" s="9">
        <v>0</v>
      </c>
      <c r="CW48" s="9">
        <v>0</v>
      </c>
      <c r="CX48" s="9">
        <v>0</v>
      </c>
      <c r="CY48" s="9">
        <v>0</v>
      </c>
      <c r="CZ48" s="9">
        <v>0</v>
      </c>
      <c r="DA48" s="9">
        <v>1</v>
      </c>
      <c r="DB48" s="9">
        <v>2388660</v>
      </c>
      <c r="DC48" s="9">
        <v>0</v>
      </c>
      <c r="DD48" s="9">
        <v>0</v>
      </c>
      <c r="DE48" s="9">
        <v>616505</v>
      </c>
      <c r="DF48" s="9">
        <v>616505</v>
      </c>
      <c r="DG48" s="9">
        <v>470.83</v>
      </c>
      <c r="DH48" s="9">
        <v>0</v>
      </c>
      <c r="DI48" s="9">
        <v>0</v>
      </c>
      <c r="DJ48" s="9">
        <v>0</v>
      </c>
      <c r="DK48" s="9">
        <v>5392</v>
      </c>
      <c r="DL48" s="9">
        <v>0</v>
      </c>
      <c r="DM48" s="9">
        <v>180786</v>
      </c>
      <c r="DN48" s="9">
        <v>0</v>
      </c>
      <c r="DO48" s="9">
        <v>0</v>
      </c>
      <c r="DP48" s="9">
        <v>0</v>
      </c>
      <c r="DQ48" s="9">
        <v>0</v>
      </c>
      <c r="DR48" s="9">
        <v>0</v>
      </c>
      <c r="DS48" s="9">
        <v>0</v>
      </c>
      <c r="DT48" s="9">
        <v>0</v>
      </c>
      <c r="DU48" s="9">
        <v>0</v>
      </c>
      <c r="DV48" s="9">
        <v>0</v>
      </c>
      <c r="DW48" s="9">
        <v>0</v>
      </c>
      <c r="DX48" s="9">
        <v>0</v>
      </c>
      <c r="DY48" s="9">
        <v>0</v>
      </c>
      <c r="DZ48" s="9">
        <v>0</v>
      </c>
      <c r="EA48" s="9">
        <v>0</v>
      </c>
      <c r="EB48" s="9">
        <v>0</v>
      </c>
      <c r="EC48" s="9">
        <v>3.8960000000000004</v>
      </c>
      <c r="ED48" s="9">
        <v>28058</v>
      </c>
      <c r="EE48" s="9">
        <v>0</v>
      </c>
      <c r="EF48" s="9">
        <v>0</v>
      </c>
      <c r="EG48" s="9">
        <v>0</v>
      </c>
      <c r="EH48" s="9">
        <v>152728</v>
      </c>
      <c r="EI48" s="9">
        <v>0</v>
      </c>
      <c r="EJ48" s="9">
        <v>0</v>
      </c>
      <c r="EK48" s="9">
        <v>2.4060000000000001</v>
      </c>
      <c r="EL48" s="9">
        <v>0</v>
      </c>
      <c r="EM48" s="9">
        <v>4.54</v>
      </c>
      <c r="EN48" s="9">
        <v>0.498</v>
      </c>
      <c r="EO48" s="9">
        <v>0</v>
      </c>
      <c r="EP48" s="9">
        <v>0</v>
      </c>
      <c r="EQ48" s="9">
        <v>7.444</v>
      </c>
      <c r="ER48" s="9">
        <v>0</v>
      </c>
      <c r="ES48" s="9">
        <v>23.327999999999999</v>
      </c>
      <c r="ET48" s="9">
        <v>0</v>
      </c>
      <c r="EU48" s="9">
        <v>178362</v>
      </c>
      <c r="EV48" s="9">
        <v>0</v>
      </c>
      <c r="EW48" s="9">
        <v>0</v>
      </c>
      <c r="EX48" s="9">
        <v>0</v>
      </c>
      <c r="EY48" s="9">
        <v>0</v>
      </c>
      <c r="EZ48" s="9">
        <v>3027203</v>
      </c>
      <c r="FA48" s="9">
        <v>0</v>
      </c>
      <c r="FB48" s="9">
        <v>3205565</v>
      </c>
      <c r="FC48" s="9">
        <v>0.97326799999999991</v>
      </c>
      <c r="FD48" s="9">
        <v>0</v>
      </c>
      <c r="FE48" s="9">
        <v>482636</v>
      </c>
      <c r="FF48" s="9">
        <v>102777</v>
      </c>
      <c r="FG48" s="9">
        <v>5.8088000000000001E-2</v>
      </c>
      <c r="FH48" s="9">
        <v>5.2622999999999996E-2</v>
      </c>
      <c r="FI48" s="9">
        <v>0</v>
      </c>
      <c r="FJ48" s="9">
        <v>0</v>
      </c>
      <c r="FK48" s="9">
        <v>611.29399999999998</v>
      </c>
      <c r="FL48" s="9">
        <v>3856608</v>
      </c>
      <c r="FM48" s="9">
        <v>0</v>
      </c>
      <c r="FN48" s="9">
        <v>0</v>
      </c>
      <c r="FO48" s="9">
        <v>0</v>
      </c>
      <c r="FP48" s="9">
        <v>0</v>
      </c>
      <c r="FQ48" s="9">
        <v>0</v>
      </c>
      <c r="FR48" s="9">
        <v>0</v>
      </c>
      <c r="FS48" s="9">
        <v>0</v>
      </c>
      <c r="FT48" s="9">
        <v>0</v>
      </c>
      <c r="FU48" s="9">
        <v>0</v>
      </c>
      <c r="FV48" s="9">
        <v>0</v>
      </c>
      <c r="FW48" s="9">
        <v>0</v>
      </c>
      <c r="FX48" s="9">
        <v>0</v>
      </c>
      <c r="FY48" s="9">
        <v>0</v>
      </c>
      <c r="FZ48" s="9">
        <v>0</v>
      </c>
      <c r="GA48" s="9">
        <v>0</v>
      </c>
      <c r="GB48" s="9">
        <v>0</v>
      </c>
      <c r="GC48" s="9">
        <v>0</v>
      </c>
      <c r="GD48" s="9">
        <v>0</v>
      </c>
      <c r="GE48" s="9">
        <v>0</v>
      </c>
      <c r="GF48" s="9">
        <v>0</v>
      </c>
      <c r="GG48" s="9">
        <v>0</v>
      </c>
      <c r="GH48" s="9">
        <v>0</v>
      </c>
      <c r="GI48" s="9">
        <v>0</v>
      </c>
      <c r="GJ48" s="9">
        <v>0</v>
      </c>
      <c r="GK48" s="9">
        <v>5204</v>
      </c>
      <c r="GL48" s="9">
        <v>14307</v>
      </c>
      <c r="GM48" s="9">
        <v>0</v>
      </c>
      <c r="GN48" s="9">
        <v>0</v>
      </c>
      <c r="GO48" s="9">
        <v>0</v>
      </c>
      <c r="GP48" s="9">
        <v>3790978</v>
      </c>
      <c r="GQ48" s="9">
        <v>3790978</v>
      </c>
      <c r="GR48" s="9">
        <v>0</v>
      </c>
      <c r="GS48" s="9">
        <v>0</v>
      </c>
      <c r="GT48" s="9">
        <v>0</v>
      </c>
      <c r="GU48" s="9">
        <v>0</v>
      </c>
      <c r="GV48" s="9">
        <v>0</v>
      </c>
      <c r="GW48" s="9">
        <v>0</v>
      </c>
      <c r="GX48" s="9">
        <v>0</v>
      </c>
      <c r="GY48" s="9">
        <v>0</v>
      </c>
      <c r="GZ48" s="9">
        <v>0</v>
      </c>
      <c r="HA48" s="9">
        <v>0</v>
      </c>
      <c r="HB48" s="9">
        <v>300501363</v>
      </c>
      <c r="HC48" s="9">
        <v>4.4742999999999998E-2</v>
      </c>
      <c r="HD48" s="9">
        <v>65630</v>
      </c>
      <c r="HE48" s="9">
        <v>0</v>
      </c>
      <c r="HF48" s="9">
        <v>0</v>
      </c>
      <c r="HG48" s="9">
        <v>0</v>
      </c>
      <c r="HH48" s="9">
        <v>0</v>
      </c>
      <c r="HI48" s="9">
        <v>0</v>
      </c>
      <c r="HJ48" s="9">
        <v>0</v>
      </c>
      <c r="HK48" s="9">
        <v>0</v>
      </c>
      <c r="HL48" s="9">
        <v>0</v>
      </c>
      <c r="HM48" s="9">
        <v>0</v>
      </c>
      <c r="HN48" s="9">
        <v>0</v>
      </c>
      <c r="HO48" s="9">
        <v>0</v>
      </c>
      <c r="HP48" s="9">
        <v>0</v>
      </c>
      <c r="HQ48" s="9">
        <v>0</v>
      </c>
      <c r="HR48" s="9">
        <v>0</v>
      </c>
      <c r="HS48" s="9">
        <v>0</v>
      </c>
      <c r="HT48" s="9">
        <v>0</v>
      </c>
      <c r="HU48" s="9">
        <v>0</v>
      </c>
      <c r="HV48" s="9">
        <v>0</v>
      </c>
      <c r="HW48" s="9">
        <v>0</v>
      </c>
      <c r="HX48" s="9">
        <v>0</v>
      </c>
      <c r="HY48" s="9">
        <v>0</v>
      </c>
      <c r="HZ48" s="9">
        <v>0</v>
      </c>
      <c r="IA48" s="9">
        <v>0</v>
      </c>
      <c r="IB48" s="9">
        <v>0</v>
      </c>
      <c r="IC48" s="9">
        <v>0</v>
      </c>
      <c r="ID48" s="9">
        <v>0</v>
      </c>
      <c r="IE48" s="9">
        <v>0</v>
      </c>
      <c r="IF48" s="9">
        <v>0</v>
      </c>
      <c r="IG48" s="9">
        <v>0</v>
      </c>
      <c r="IH48" s="9">
        <v>0</v>
      </c>
      <c r="II48" s="9">
        <v>0</v>
      </c>
      <c r="IJ48" s="9">
        <v>0</v>
      </c>
      <c r="IK48" s="9">
        <v>0</v>
      </c>
      <c r="IL48" s="9">
        <v>0</v>
      </c>
      <c r="IM48" s="9">
        <v>0</v>
      </c>
      <c r="IN48" s="9">
        <v>0</v>
      </c>
      <c r="IO48" s="9">
        <v>0</v>
      </c>
      <c r="IP48" s="9">
        <v>0</v>
      </c>
      <c r="IQ48" s="9">
        <v>0</v>
      </c>
      <c r="IR48" s="9">
        <v>0</v>
      </c>
      <c r="IS48" s="9">
        <v>0</v>
      </c>
      <c r="IT48" s="9">
        <v>0</v>
      </c>
      <c r="IU48" s="9">
        <v>0</v>
      </c>
      <c r="IV48" s="9">
        <v>0</v>
      </c>
      <c r="IW48" s="9">
        <v>0</v>
      </c>
      <c r="IX48" s="9">
        <v>0</v>
      </c>
      <c r="IY48" s="9">
        <v>0</v>
      </c>
      <c r="IZ48" s="9">
        <v>0</v>
      </c>
      <c r="JA48" s="9">
        <v>0</v>
      </c>
      <c r="JB48" s="9">
        <v>0</v>
      </c>
      <c r="JC48" s="9">
        <v>0</v>
      </c>
      <c r="JD48" s="9">
        <v>0</v>
      </c>
      <c r="JE48" s="9">
        <v>0</v>
      </c>
      <c r="JF48" s="9">
        <v>0</v>
      </c>
      <c r="JG48" s="9">
        <v>0</v>
      </c>
      <c r="JH48" s="9">
        <v>0</v>
      </c>
      <c r="JI48" s="9">
        <v>0</v>
      </c>
      <c r="JJ48" s="9">
        <v>0</v>
      </c>
      <c r="JK48" s="9">
        <v>0</v>
      </c>
      <c r="JL48" s="9">
        <v>0</v>
      </c>
      <c r="JM48" s="9">
        <v>0</v>
      </c>
      <c r="JN48" s="9">
        <v>36832</v>
      </c>
      <c r="JO48" s="9">
        <v>0</v>
      </c>
      <c r="JP48" s="9">
        <v>0</v>
      </c>
      <c r="JQ48" s="9">
        <v>0</v>
      </c>
      <c r="JR48" s="9">
        <v>0</v>
      </c>
      <c r="JS48" s="9">
        <v>0</v>
      </c>
      <c r="JT48" s="9">
        <v>0</v>
      </c>
      <c r="JU48" s="9">
        <v>0</v>
      </c>
      <c r="JV48" s="9">
        <v>0</v>
      </c>
      <c r="JW48" s="9">
        <v>0</v>
      </c>
      <c r="JX48" s="9">
        <v>0</v>
      </c>
      <c r="JY48" s="9">
        <v>0</v>
      </c>
      <c r="JZ48" s="9">
        <v>0</v>
      </c>
      <c r="KA48" s="9">
        <v>0</v>
      </c>
      <c r="KB48" s="9">
        <v>0</v>
      </c>
      <c r="KC48" s="9">
        <v>0</v>
      </c>
      <c r="KD48" s="9">
        <v>0</v>
      </c>
      <c r="KE48" s="9">
        <v>0</v>
      </c>
      <c r="KF48" s="9">
        <v>0</v>
      </c>
      <c r="KG48" s="9">
        <v>0</v>
      </c>
      <c r="KH48" s="9">
        <v>0</v>
      </c>
      <c r="KI48" s="9">
        <v>0</v>
      </c>
    </row>
    <row r="49" spans="1:295" x14ac:dyDescent="0.25">
      <c r="A49" s="9">
        <v>57813</v>
      </c>
      <c r="B49" s="9">
        <v>36871</v>
      </c>
      <c r="C49" s="9">
        <v>35</v>
      </c>
      <c r="D49" s="9">
        <v>2023</v>
      </c>
      <c r="E49" s="9">
        <v>5392</v>
      </c>
      <c r="F49" s="9">
        <v>0</v>
      </c>
      <c r="G49" s="9">
        <v>0</v>
      </c>
      <c r="H49" s="9">
        <v>3478.62</v>
      </c>
      <c r="I49" s="9">
        <v>3478.62</v>
      </c>
      <c r="J49" s="9">
        <v>3602.8680000000004</v>
      </c>
      <c r="K49" s="9">
        <v>0</v>
      </c>
      <c r="L49" s="9">
        <v>6547</v>
      </c>
      <c r="M49" s="9">
        <v>0</v>
      </c>
      <c r="N49" s="9">
        <v>0</v>
      </c>
      <c r="O49" s="9">
        <v>0</v>
      </c>
      <c r="P49" s="9">
        <v>3331.4260000000004</v>
      </c>
      <c r="Q49" s="9">
        <v>0</v>
      </c>
      <c r="R49" s="9">
        <v>1622145</v>
      </c>
      <c r="S49" s="9">
        <v>486.92200000000003</v>
      </c>
      <c r="T49" s="9">
        <v>0</v>
      </c>
      <c r="U49" s="9">
        <v>1622145</v>
      </c>
      <c r="V49" s="9">
        <v>2096.8710000000001</v>
      </c>
      <c r="W49" s="9">
        <v>1372821</v>
      </c>
      <c r="X49" s="9">
        <v>1372821</v>
      </c>
      <c r="Y49" s="9">
        <v>0</v>
      </c>
      <c r="Z49" s="9">
        <v>0</v>
      </c>
      <c r="AA49" s="9">
        <v>1</v>
      </c>
      <c r="AB49" s="9">
        <v>1</v>
      </c>
      <c r="AC49" s="9">
        <v>0</v>
      </c>
      <c r="AD49" s="9" t="s">
        <v>314</v>
      </c>
      <c r="AE49" s="9">
        <v>0</v>
      </c>
      <c r="AF49" s="9">
        <v>0</v>
      </c>
      <c r="AG49" s="9">
        <v>0</v>
      </c>
      <c r="AH49" s="9">
        <v>0</v>
      </c>
      <c r="AI49" s="9">
        <v>0</v>
      </c>
      <c r="AJ49" s="9">
        <v>5104</v>
      </c>
      <c r="AK49" s="9" t="s">
        <v>651</v>
      </c>
      <c r="AL49" s="9" t="s">
        <v>21</v>
      </c>
      <c r="AM49" s="9">
        <v>0</v>
      </c>
      <c r="AN49" s="9">
        <v>0</v>
      </c>
      <c r="AO49" s="9">
        <v>0</v>
      </c>
      <c r="AP49" s="9">
        <v>0</v>
      </c>
      <c r="AQ49" s="9">
        <v>0</v>
      </c>
      <c r="AR49" s="9">
        <v>0</v>
      </c>
      <c r="AS49" s="9">
        <v>0</v>
      </c>
      <c r="AT49" s="9">
        <v>0</v>
      </c>
      <c r="AU49" s="9">
        <v>0</v>
      </c>
      <c r="AV49" s="9">
        <v>-209025</v>
      </c>
      <c r="AW49" s="9">
        <v>36628398</v>
      </c>
      <c r="AX49" s="9">
        <v>35759746</v>
      </c>
      <c r="AY49" s="9">
        <v>40643065</v>
      </c>
      <c r="AZ49" s="9">
        <v>1779908</v>
      </c>
      <c r="BA49" s="9">
        <v>143</v>
      </c>
      <c r="BB49" s="9">
        <v>0</v>
      </c>
      <c r="BC49" s="9">
        <v>0</v>
      </c>
      <c r="BD49" s="9">
        <v>0</v>
      </c>
      <c r="BE49" s="9">
        <v>0</v>
      </c>
      <c r="BF49" s="9">
        <v>30764297</v>
      </c>
      <c r="BG49" s="9">
        <v>0</v>
      </c>
      <c r="BH49" s="9">
        <v>0</v>
      </c>
      <c r="BI49" s="9">
        <v>0</v>
      </c>
      <c r="BJ49" s="9">
        <v>12</v>
      </c>
      <c r="BK49" s="9">
        <v>0</v>
      </c>
      <c r="BL49" s="9">
        <v>0</v>
      </c>
      <c r="BM49" s="9">
        <v>0</v>
      </c>
      <c r="BN49" s="9">
        <v>0</v>
      </c>
      <c r="BO49" s="9">
        <v>0</v>
      </c>
      <c r="BP49" s="9">
        <v>0</v>
      </c>
      <c r="BQ49" s="9">
        <v>5392</v>
      </c>
      <c r="BR49" s="9">
        <v>1</v>
      </c>
      <c r="BS49" s="9">
        <v>0</v>
      </c>
      <c r="BT49" s="9">
        <v>0</v>
      </c>
      <c r="BU49" s="9">
        <v>0</v>
      </c>
      <c r="BV49" s="9">
        <v>0</v>
      </c>
      <c r="BW49" s="9">
        <v>0</v>
      </c>
      <c r="BX49" s="9">
        <v>0</v>
      </c>
      <c r="BY49" s="9">
        <v>0</v>
      </c>
      <c r="BZ49" s="9">
        <v>0</v>
      </c>
      <c r="CA49" s="9">
        <v>157.76300000000001</v>
      </c>
      <c r="CB49" s="9">
        <v>157763</v>
      </c>
      <c r="CC49" s="9">
        <v>0</v>
      </c>
      <c r="CD49" s="9">
        <v>0</v>
      </c>
      <c r="CE49" s="9">
        <v>0</v>
      </c>
      <c r="CF49" s="9">
        <v>0</v>
      </c>
      <c r="CG49" s="9">
        <v>0</v>
      </c>
      <c r="CH49" s="9">
        <v>710889</v>
      </c>
      <c r="CI49" s="9">
        <v>0</v>
      </c>
      <c r="CJ49" s="9">
        <v>4</v>
      </c>
      <c r="CK49" s="9">
        <v>0</v>
      </c>
      <c r="CL49" s="9">
        <v>0</v>
      </c>
      <c r="CM49" s="9">
        <v>0</v>
      </c>
      <c r="CN49" s="9">
        <v>0</v>
      </c>
      <c r="CO49" s="9">
        <v>0</v>
      </c>
      <c r="CP49" s="9">
        <v>0</v>
      </c>
      <c r="CQ49" s="9">
        <v>17</v>
      </c>
      <c r="CR49" s="9">
        <v>3210.62</v>
      </c>
      <c r="CS49" s="9">
        <v>0</v>
      </c>
      <c r="CT49" s="9">
        <v>0</v>
      </c>
      <c r="CU49" s="9">
        <v>0</v>
      </c>
      <c r="CV49" s="9">
        <v>0</v>
      </c>
      <c r="CW49" s="9">
        <v>0</v>
      </c>
      <c r="CX49" s="9">
        <v>0</v>
      </c>
      <c r="CY49" s="9">
        <v>0</v>
      </c>
      <c r="CZ49" s="9">
        <v>0</v>
      </c>
      <c r="DA49" s="9">
        <v>1</v>
      </c>
      <c r="DB49" s="9">
        <v>22774525</v>
      </c>
      <c r="DC49" s="9">
        <v>0</v>
      </c>
      <c r="DD49" s="9">
        <v>0</v>
      </c>
      <c r="DE49" s="9">
        <v>4599490</v>
      </c>
      <c r="DF49" s="9">
        <v>4599490</v>
      </c>
      <c r="DG49" s="9">
        <v>3512.67</v>
      </c>
      <c r="DH49" s="9">
        <v>0</v>
      </c>
      <c r="DI49" s="9">
        <v>0</v>
      </c>
      <c r="DJ49" s="9">
        <v>0</v>
      </c>
      <c r="DK49" s="9">
        <v>5392</v>
      </c>
      <c r="DL49" s="9">
        <v>0</v>
      </c>
      <c r="DM49" s="9">
        <v>2862441</v>
      </c>
      <c r="DN49" s="9">
        <v>0</v>
      </c>
      <c r="DO49" s="9">
        <v>7027</v>
      </c>
      <c r="DP49" s="9">
        <v>0</v>
      </c>
      <c r="DQ49" s="9">
        <v>0</v>
      </c>
      <c r="DR49" s="9">
        <v>0</v>
      </c>
      <c r="DS49" s="9">
        <v>0</v>
      </c>
      <c r="DT49" s="9">
        <v>0.19900000000000001</v>
      </c>
      <c r="DU49" s="9">
        <v>0</v>
      </c>
      <c r="DV49" s="9">
        <v>0.27800000000000002</v>
      </c>
      <c r="DW49" s="9">
        <v>0</v>
      </c>
      <c r="DX49" s="9">
        <v>0</v>
      </c>
      <c r="DY49" s="9">
        <v>0</v>
      </c>
      <c r="DZ49" s="9">
        <v>1.431</v>
      </c>
      <c r="EA49" s="9">
        <v>0</v>
      </c>
      <c r="EB49" s="9">
        <v>0</v>
      </c>
      <c r="EC49" s="9">
        <v>40.657000000000004</v>
      </c>
      <c r="ED49" s="9">
        <v>292800</v>
      </c>
      <c r="EE49" s="9">
        <v>0</v>
      </c>
      <c r="EF49" s="9">
        <v>0</v>
      </c>
      <c r="EG49" s="9">
        <v>0</v>
      </c>
      <c r="EH49" s="9">
        <v>2562614</v>
      </c>
      <c r="EI49" s="9">
        <v>0</v>
      </c>
      <c r="EJ49" s="9">
        <v>0</v>
      </c>
      <c r="EK49" s="9">
        <v>82.418999999999997</v>
      </c>
      <c r="EL49" s="9">
        <v>2.548</v>
      </c>
      <c r="EM49" s="9">
        <v>32.492000000000004</v>
      </c>
      <c r="EN49" s="9">
        <v>9.3369999999999997</v>
      </c>
      <c r="EO49" s="9">
        <v>0</v>
      </c>
      <c r="EP49" s="9">
        <v>0</v>
      </c>
      <c r="EQ49" s="9">
        <v>124.248</v>
      </c>
      <c r="ER49" s="9">
        <v>0</v>
      </c>
      <c r="ES49" s="9">
        <v>391.41800000000001</v>
      </c>
      <c r="ET49" s="9">
        <v>75750</v>
      </c>
      <c r="EU49" s="9">
        <v>1779908</v>
      </c>
      <c r="EV49" s="9">
        <v>0</v>
      </c>
      <c r="EW49" s="9">
        <v>0</v>
      </c>
      <c r="EX49" s="9">
        <v>0</v>
      </c>
      <c r="EY49" s="9">
        <v>0</v>
      </c>
      <c r="EZ49" s="9">
        <v>29987132</v>
      </c>
      <c r="FA49" s="9">
        <v>0</v>
      </c>
      <c r="FB49" s="9">
        <v>31767040</v>
      </c>
      <c r="FC49" s="9">
        <v>0.97326799999999991</v>
      </c>
      <c r="FD49" s="9">
        <v>0</v>
      </c>
      <c r="FE49" s="9">
        <v>4759154</v>
      </c>
      <c r="FF49" s="9">
        <v>1013460</v>
      </c>
      <c r="FG49" s="9">
        <v>5.8088000000000001E-2</v>
      </c>
      <c r="FH49" s="9">
        <v>5.2622999999999996E-2</v>
      </c>
      <c r="FI49" s="9">
        <v>0</v>
      </c>
      <c r="FJ49" s="9">
        <v>0</v>
      </c>
      <c r="FK49" s="9">
        <v>6027.8160000000007</v>
      </c>
      <c r="FL49" s="9">
        <v>38250543</v>
      </c>
      <c r="FM49" s="9">
        <v>0</v>
      </c>
      <c r="FN49" s="9">
        <v>0</v>
      </c>
      <c r="FO49" s="9">
        <v>0</v>
      </c>
      <c r="FP49" s="9">
        <v>0</v>
      </c>
      <c r="FQ49" s="9">
        <v>0</v>
      </c>
      <c r="FR49" s="9">
        <v>0</v>
      </c>
      <c r="FS49" s="9">
        <v>0</v>
      </c>
      <c r="FT49" s="9">
        <v>0</v>
      </c>
      <c r="FU49" s="9">
        <v>0</v>
      </c>
      <c r="FV49" s="9">
        <v>0</v>
      </c>
      <c r="FW49" s="9">
        <v>0</v>
      </c>
      <c r="FX49" s="9">
        <v>0</v>
      </c>
      <c r="FY49" s="9">
        <v>0</v>
      </c>
      <c r="FZ49" s="9">
        <v>0</v>
      </c>
      <c r="GA49" s="9">
        <v>0</v>
      </c>
      <c r="GB49" s="9">
        <v>0</v>
      </c>
      <c r="GC49" s="9">
        <v>0</v>
      </c>
      <c r="GD49" s="9">
        <v>0</v>
      </c>
      <c r="GE49" s="9">
        <v>0</v>
      </c>
      <c r="GF49" s="9">
        <v>0</v>
      </c>
      <c r="GG49" s="9">
        <v>0</v>
      </c>
      <c r="GH49" s="9">
        <v>0</v>
      </c>
      <c r="GI49" s="9">
        <v>0</v>
      </c>
      <c r="GJ49" s="9">
        <v>0</v>
      </c>
      <c r="GK49" s="9">
        <v>5246.9390000000003</v>
      </c>
      <c r="GL49" s="9">
        <v>17937</v>
      </c>
      <c r="GM49" s="9">
        <v>0</v>
      </c>
      <c r="GN49" s="9">
        <v>0</v>
      </c>
      <c r="GO49" s="9">
        <v>0</v>
      </c>
      <c r="GP49" s="9">
        <v>37539654</v>
      </c>
      <c r="GQ49" s="9">
        <v>37539654</v>
      </c>
      <c r="GR49" s="9">
        <v>0</v>
      </c>
      <c r="GS49" s="9">
        <v>0</v>
      </c>
      <c r="GT49" s="9">
        <v>0</v>
      </c>
      <c r="GU49" s="9">
        <v>0</v>
      </c>
      <c r="GV49" s="9">
        <v>0</v>
      </c>
      <c r="GW49" s="9">
        <v>0</v>
      </c>
      <c r="GX49" s="9">
        <v>0</v>
      </c>
      <c r="GY49" s="9">
        <v>0</v>
      </c>
      <c r="GZ49" s="9">
        <v>0</v>
      </c>
      <c r="HA49" s="9">
        <v>0</v>
      </c>
      <c r="HB49" s="9">
        <v>300501363</v>
      </c>
      <c r="HC49" s="9">
        <v>4.4742999999999998E-2</v>
      </c>
      <c r="HD49" s="9">
        <v>635139</v>
      </c>
      <c r="HE49" s="9">
        <v>0</v>
      </c>
      <c r="HF49" s="9">
        <v>0</v>
      </c>
      <c r="HG49" s="9">
        <v>0</v>
      </c>
      <c r="HH49" s="9">
        <v>0</v>
      </c>
      <c r="HI49" s="9">
        <v>0</v>
      </c>
      <c r="HJ49" s="9">
        <v>0</v>
      </c>
      <c r="HK49" s="9">
        <v>0</v>
      </c>
      <c r="HL49" s="9">
        <v>0</v>
      </c>
      <c r="HM49" s="9">
        <v>0</v>
      </c>
      <c r="HN49" s="9">
        <v>0</v>
      </c>
      <c r="HO49" s="9">
        <v>0</v>
      </c>
      <c r="HP49" s="9">
        <v>0</v>
      </c>
      <c r="HQ49" s="9">
        <v>0</v>
      </c>
      <c r="HR49" s="9">
        <v>0</v>
      </c>
      <c r="HS49" s="9">
        <v>0</v>
      </c>
      <c r="HT49" s="9">
        <v>0</v>
      </c>
      <c r="HU49" s="9">
        <v>0</v>
      </c>
      <c r="HV49" s="9">
        <v>0</v>
      </c>
      <c r="HW49" s="9">
        <v>0</v>
      </c>
      <c r="HX49" s="9">
        <v>0</v>
      </c>
      <c r="HY49" s="9">
        <v>0</v>
      </c>
      <c r="HZ49" s="9">
        <v>0</v>
      </c>
      <c r="IA49" s="9">
        <v>0</v>
      </c>
      <c r="IB49" s="9">
        <v>0</v>
      </c>
      <c r="IC49" s="9">
        <v>0</v>
      </c>
      <c r="ID49" s="9">
        <v>0</v>
      </c>
      <c r="IE49" s="9">
        <v>0</v>
      </c>
      <c r="IF49" s="9">
        <v>0</v>
      </c>
      <c r="IG49" s="9">
        <v>0</v>
      </c>
      <c r="IH49" s="9">
        <v>0</v>
      </c>
      <c r="II49" s="9">
        <v>0</v>
      </c>
      <c r="IJ49" s="9">
        <v>0</v>
      </c>
      <c r="IK49" s="9">
        <v>0</v>
      </c>
      <c r="IL49" s="9">
        <v>0</v>
      </c>
      <c r="IM49" s="9">
        <v>0</v>
      </c>
      <c r="IN49" s="9">
        <v>0</v>
      </c>
      <c r="IO49" s="9">
        <v>0</v>
      </c>
      <c r="IP49" s="9">
        <v>0</v>
      </c>
      <c r="IQ49" s="9">
        <v>0</v>
      </c>
      <c r="IR49" s="9">
        <v>0</v>
      </c>
      <c r="IS49" s="9">
        <v>0</v>
      </c>
      <c r="IT49" s="9">
        <v>0</v>
      </c>
      <c r="IU49" s="9">
        <v>0</v>
      </c>
      <c r="IV49" s="9">
        <v>0</v>
      </c>
      <c r="IW49" s="9">
        <v>0</v>
      </c>
      <c r="IX49" s="9">
        <v>0</v>
      </c>
      <c r="IY49" s="9">
        <v>0</v>
      </c>
      <c r="IZ49" s="9">
        <v>0</v>
      </c>
      <c r="JA49" s="9">
        <v>0</v>
      </c>
      <c r="JB49" s="9">
        <v>0</v>
      </c>
      <c r="JC49" s="9">
        <v>0</v>
      </c>
      <c r="JD49" s="9">
        <v>0</v>
      </c>
      <c r="JE49" s="9">
        <v>0</v>
      </c>
      <c r="JF49" s="9">
        <v>0</v>
      </c>
      <c r="JG49" s="9">
        <v>0</v>
      </c>
      <c r="JH49" s="9">
        <v>0</v>
      </c>
      <c r="JI49" s="9">
        <v>0</v>
      </c>
      <c r="JJ49" s="9">
        <v>0</v>
      </c>
      <c r="JK49" s="9">
        <v>0</v>
      </c>
      <c r="JL49" s="9">
        <v>0</v>
      </c>
      <c r="JM49" s="9">
        <v>0</v>
      </c>
      <c r="JN49" s="9">
        <v>36832</v>
      </c>
      <c r="JO49" s="9">
        <v>0</v>
      </c>
      <c r="JP49" s="9">
        <v>0</v>
      </c>
      <c r="JQ49" s="9">
        <v>0</v>
      </c>
      <c r="JR49" s="9">
        <v>0</v>
      </c>
      <c r="JS49" s="9">
        <v>0</v>
      </c>
      <c r="JT49" s="9">
        <v>0</v>
      </c>
      <c r="JU49" s="9">
        <v>0</v>
      </c>
      <c r="JV49" s="9">
        <v>0</v>
      </c>
      <c r="JW49" s="9">
        <v>0</v>
      </c>
      <c r="JX49" s="9">
        <v>0</v>
      </c>
      <c r="JY49" s="9">
        <v>0</v>
      </c>
      <c r="JZ49" s="9">
        <v>0</v>
      </c>
      <c r="KA49" s="9">
        <v>0</v>
      </c>
      <c r="KB49" s="9">
        <v>0</v>
      </c>
      <c r="KC49" s="9">
        <v>0</v>
      </c>
      <c r="KD49" s="9">
        <v>0</v>
      </c>
      <c r="KE49" s="9">
        <v>0</v>
      </c>
      <c r="KF49" s="9">
        <v>0</v>
      </c>
      <c r="KG49" s="9">
        <v>0</v>
      </c>
      <c r="KH49" s="9">
        <v>0</v>
      </c>
      <c r="KI49" s="9">
        <v>0</v>
      </c>
    </row>
    <row r="50" spans="1:295" x14ac:dyDescent="0.25">
      <c r="A50" s="9">
        <v>57814</v>
      </c>
      <c r="B50" s="9">
        <v>36871</v>
      </c>
      <c r="C50" s="9">
        <v>35</v>
      </c>
      <c r="D50" s="9">
        <v>2023</v>
      </c>
      <c r="E50" s="9">
        <v>5392</v>
      </c>
      <c r="F50" s="9">
        <v>0</v>
      </c>
      <c r="G50" s="9">
        <v>0</v>
      </c>
      <c r="H50" s="9">
        <v>323.017</v>
      </c>
      <c r="I50" s="9">
        <v>323.017</v>
      </c>
      <c r="J50" s="9">
        <v>409.94300000000004</v>
      </c>
      <c r="K50" s="9">
        <v>0</v>
      </c>
      <c r="L50" s="9">
        <v>6547</v>
      </c>
      <c r="M50" s="9">
        <v>0</v>
      </c>
      <c r="N50" s="9">
        <v>0</v>
      </c>
      <c r="O50" s="9">
        <v>0</v>
      </c>
      <c r="P50" s="9">
        <v>443.87800000000004</v>
      </c>
      <c r="Q50" s="9">
        <v>0</v>
      </c>
      <c r="R50" s="9">
        <v>216134</v>
      </c>
      <c r="S50" s="9">
        <v>486.92200000000003</v>
      </c>
      <c r="T50" s="9">
        <v>0</v>
      </c>
      <c r="U50" s="9">
        <v>216134</v>
      </c>
      <c r="V50" s="9">
        <v>54.362000000000002</v>
      </c>
      <c r="W50" s="9">
        <v>35591</v>
      </c>
      <c r="X50" s="9">
        <v>35591</v>
      </c>
      <c r="Y50" s="9">
        <v>0</v>
      </c>
      <c r="Z50" s="9">
        <v>0</v>
      </c>
      <c r="AA50" s="9">
        <v>1</v>
      </c>
      <c r="AB50" s="9">
        <v>1</v>
      </c>
      <c r="AC50" s="9">
        <v>0</v>
      </c>
      <c r="AD50" s="9" t="s">
        <v>314</v>
      </c>
      <c r="AE50" s="9">
        <v>0</v>
      </c>
      <c r="AF50" s="9">
        <v>0</v>
      </c>
      <c r="AG50" s="9">
        <v>0</v>
      </c>
      <c r="AH50" s="9">
        <v>0</v>
      </c>
      <c r="AI50" s="9">
        <v>0</v>
      </c>
      <c r="AJ50" s="9">
        <v>5104</v>
      </c>
      <c r="AK50" s="9" t="s">
        <v>651</v>
      </c>
      <c r="AL50" s="9" t="s">
        <v>326</v>
      </c>
      <c r="AM50" s="9">
        <v>0</v>
      </c>
      <c r="AN50" s="9">
        <v>0</v>
      </c>
      <c r="AO50" s="9">
        <v>0</v>
      </c>
      <c r="AP50" s="9">
        <v>0</v>
      </c>
      <c r="AQ50" s="9">
        <v>0</v>
      </c>
      <c r="AR50" s="9">
        <v>0</v>
      </c>
      <c r="AS50" s="9">
        <v>0</v>
      </c>
      <c r="AT50" s="9">
        <v>0</v>
      </c>
      <c r="AU50" s="9">
        <v>0</v>
      </c>
      <c r="AV50" s="9">
        <v>-239614</v>
      </c>
      <c r="AW50" s="9">
        <v>5812853</v>
      </c>
      <c r="AX50" s="9">
        <v>5679460</v>
      </c>
      <c r="AY50" s="9">
        <v>4325410</v>
      </c>
      <c r="AZ50" s="9">
        <v>277259</v>
      </c>
      <c r="BA50" s="9">
        <v>0</v>
      </c>
      <c r="BB50" s="9">
        <v>0</v>
      </c>
      <c r="BC50" s="9">
        <v>0</v>
      </c>
      <c r="BD50" s="9">
        <v>0</v>
      </c>
      <c r="BE50" s="9">
        <v>0</v>
      </c>
      <c r="BF50" s="9">
        <v>4851179</v>
      </c>
      <c r="BG50" s="9">
        <v>0</v>
      </c>
      <c r="BH50" s="9">
        <v>222.27300000000002</v>
      </c>
      <c r="BI50" s="9">
        <v>61125</v>
      </c>
      <c r="BJ50" s="9">
        <v>12</v>
      </c>
      <c r="BK50" s="9">
        <v>0</v>
      </c>
      <c r="BL50" s="9">
        <v>0</v>
      </c>
      <c r="BM50" s="9">
        <v>0</v>
      </c>
      <c r="BN50" s="9">
        <v>0</v>
      </c>
      <c r="BO50" s="9">
        <v>0</v>
      </c>
      <c r="BP50" s="9">
        <v>0</v>
      </c>
      <c r="BQ50" s="9">
        <v>5392</v>
      </c>
      <c r="BR50" s="9">
        <v>1</v>
      </c>
      <c r="BS50" s="9">
        <v>0</v>
      </c>
      <c r="BT50" s="9">
        <v>0</v>
      </c>
      <c r="BU50" s="9">
        <v>0</v>
      </c>
      <c r="BV50" s="9">
        <v>0</v>
      </c>
      <c r="BW50" s="9">
        <v>0</v>
      </c>
      <c r="BX50" s="9">
        <v>0</v>
      </c>
      <c r="BY50" s="9">
        <v>0</v>
      </c>
      <c r="BZ50" s="9">
        <v>0</v>
      </c>
      <c r="CA50" s="9">
        <v>0</v>
      </c>
      <c r="CB50" s="9">
        <v>0</v>
      </c>
      <c r="CC50" s="9">
        <v>0</v>
      </c>
      <c r="CD50" s="9">
        <v>0</v>
      </c>
      <c r="CE50" s="9">
        <v>0</v>
      </c>
      <c r="CF50" s="9">
        <v>0</v>
      </c>
      <c r="CG50" s="9">
        <v>0</v>
      </c>
      <c r="CH50" s="9">
        <v>72268</v>
      </c>
      <c r="CI50" s="9">
        <v>0</v>
      </c>
      <c r="CJ50" s="9">
        <v>4</v>
      </c>
      <c r="CK50" s="9">
        <v>0</v>
      </c>
      <c r="CL50" s="9">
        <v>0</v>
      </c>
      <c r="CM50" s="9">
        <v>0</v>
      </c>
      <c r="CN50" s="9">
        <v>0</v>
      </c>
      <c r="CO50" s="9">
        <v>0</v>
      </c>
      <c r="CP50" s="9">
        <v>0</v>
      </c>
      <c r="CQ50" s="9">
        <v>0</v>
      </c>
      <c r="CR50" s="9">
        <v>422.88600000000002</v>
      </c>
      <c r="CS50" s="9">
        <v>0</v>
      </c>
      <c r="CT50" s="9">
        <v>0</v>
      </c>
      <c r="CU50" s="9">
        <v>0</v>
      </c>
      <c r="CV50" s="9">
        <v>0</v>
      </c>
      <c r="CW50" s="9">
        <v>0</v>
      </c>
      <c r="CX50" s="9">
        <v>0</v>
      </c>
      <c r="CY50" s="9">
        <v>0</v>
      </c>
      <c r="CZ50" s="9">
        <v>0</v>
      </c>
      <c r="DA50" s="9">
        <v>1</v>
      </c>
      <c r="DB50" s="9">
        <v>2114792</v>
      </c>
      <c r="DC50" s="9">
        <v>0</v>
      </c>
      <c r="DD50" s="9">
        <v>0</v>
      </c>
      <c r="DE50" s="9">
        <v>645312</v>
      </c>
      <c r="DF50" s="9">
        <v>645312</v>
      </c>
      <c r="DG50" s="9">
        <v>492.83</v>
      </c>
      <c r="DH50" s="9">
        <v>0</v>
      </c>
      <c r="DI50" s="9">
        <v>0</v>
      </c>
      <c r="DJ50" s="9">
        <v>0</v>
      </c>
      <c r="DK50" s="9">
        <v>5392</v>
      </c>
      <c r="DL50" s="9">
        <v>0</v>
      </c>
      <c r="DM50" s="9">
        <v>2135229</v>
      </c>
      <c r="DN50" s="9">
        <v>0</v>
      </c>
      <c r="DO50" s="9">
        <v>0</v>
      </c>
      <c r="DP50" s="9">
        <v>0</v>
      </c>
      <c r="DQ50" s="9">
        <v>0</v>
      </c>
      <c r="DR50" s="9">
        <v>0</v>
      </c>
      <c r="DS50" s="9">
        <v>0</v>
      </c>
      <c r="DT50" s="9">
        <v>0</v>
      </c>
      <c r="DU50" s="9">
        <v>0</v>
      </c>
      <c r="DV50" s="9">
        <v>0</v>
      </c>
      <c r="DW50" s="9">
        <v>0</v>
      </c>
      <c r="DX50" s="9">
        <v>0</v>
      </c>
      <c r="DY50" s="9">
        <v>0</v>
      </c>
      <c r="DZ50" s="9">
        <v>0</v>
      </c>
      <c r="EA50" s="9">
        <v>0</v>
      </c>
      <c r="EB50" s="9">
        <v>0</v>
      </c>
      <c r="EC50" s="9">
        <v>2.2450000000000001</v>
      </c>
      <c r="ED50" s="9">
        <v>16168</v>
      </c>
      <c r="EE50" s="9">
        <v>0</v>
      </c>
      <c r="EF50" s="9">
        <v>0</v>
      </c>
      <c r="EG50" s="9">
        <v>0</v>
      </c>
      <c r="EH50" s="9">
        <v>18836</v>
      </c>
      <c r="EI50" s="9">
        <v>2100225</v>
      </c>
      <c r="EJ50" s="9">
        <v>80.198000000000008</v>
      </c>
      <c r="EK50" s="9">
        <v>0.22</v>
      </c>
      <c r="EL50" s="9">
        <v>0</v>
      </c>
      <c r="EM50" s="9">
        <v>2.9000000000000001E-2</v>
      </c>
      <c r="EN50" s="9">
        <v>0.42600000000000005</v>
      </c>
      <c r="EO50" s="9">
        <v>0</v>
      </c>
      <c r="EP50" s="9">
        <v>0</v>
      </c>
      <c r="EQ50" s="9">
        <v>80.873000000000005</v>
      </c>
      <c r="ER50" s="9">
        <v>0</v>
      </c>
      <c r="ES50" s="9">
        <v>2.8770000000000002</v>
      </c>
      <c r="ET50" s="9">
        <v>0</v>
      </c>
      <c r="EU50" s="9">
        <v>277259</v>
      </c>
      <c r="EV50" s="9">
        <v>0</v>
      </c>
      <c r="EW50" s="9">
        <v>0</v>
      </c>
      <c r="EX50" s="9">
        <v>0</v>
      </c>
      <c r="EY50" s="9">
        <v>0</v>
      </c>
      <c r="EZ50" s="9">
        <v>4769185</v>
      </c>
      <c r="FA50" s="9">
        <v>0</v>
      </c>
      <c r="FB50" s="9">
        <v>5046444</v>
      </c>
      <c r="FC50" s="9">
        <v>0.97326799999999991</v>
      </c>
      <c r="FD50" s="9">
        <v>0</v>
      </c>
      <c r="FE50" s="9">
        <v>750464</v>
      </c>
      <c r="FF50" s="9">
        <v>159811</v>
      </c>
      <c r="FG50" s="9">
        <v>5.8088000000000001E-2</v>
      </c>
      <c r="FH50" s="9">
        <v>5.2622999999999996E-2</v>
      </c>
      <c r="FI50" s="9">
        <v>0</v>
      </c>
      <c r="FJ50" s="9">
        <v>0</v>
      </c>
      <c r="FK50" s="9">
        <v>950.51800000000003</v>
      </c>
      <c r="FL50" s="9">
        <v>6028987</v>
      </c>
      <c r="FM50" s="9">
        <v>0</v>
      </c>
      <c r="FN50" s="9">
        <v>0</v>
      </c>
      <c r="FO50" s="9">
        <v>896</v>
      </c>
      <c r="FP50" s="9">
        <v>0</v>
      </c>
      <c r="FQ50" s="9">
        <v>896</v>
      </c>
      <c r="FR50" s="9">
        <v>896</v>
      </c>
      <c r="FS50" s="9">
        <v>0</v>
      </c>
      <c r="FT50" s="9">
        <v>0</v>
      </c>
      <c r="FU50" s="9">
        <v>0</v>
      </c>
      <c r="FV50" s="9">
        <v>0</v>
      </c>
      <c r="FW50" s="9">
        <v>0</v>
      </c>
      <c r="FX50" s="9">
        <v>0</v>
      </c>
      <c r="FY50" s="9">
        <v>0</v>
      </c>
      <c r="FZ50" s="9">
        <v>0</v>
      </c>
      <c r="GA50" s="9">
        <v>0</v>
      </c>
      <c r="GB50" s="9">
        <v>53499</v>
      </c>
      <c r="GC50" s="9">
        <v>53499</v>
      </c>
      <c r="GD50" s="9">
        <v>6.0529999999999999</v>
      </c>
      <c r="GE50" s="9">
        <v>0</v>
      </c>
      <c r="GF50" s="9">
        <v>0</v>
      </c>
      <c r="GG50" s="9">
        <v>0</v>
      </c>
      <c r="GH50" s="9">
        <v>0</v>
      </c>
      <c r="GI50" s="9">
        <v>0</v>
      </c>
      <c r="GJ50" s="9">
        <v>0</v>
      </c>
      <c r="GK50" s="9">
        <v>5406</v>
      </c>
      <c r="GL50" s="9">
        <v>22847</v>
      </c>
      <c r="GM50" s="9">
        <v>0</v>
      </c>
      <c r="GN50" s="9">
        <v>147575</v>
      </c>
      <c r="GO50" s="9">
        <v>0</v>
      </c>
      <c r="GP50" s="9">
        <v>5956719</v>
      </c>
      <c r="GQ50" s="9">
        <v>5956719</v>
      </c>
      <c r="GR50" s="9">
        <v>0</v>
      </c>
      <c r="GS50" s="9">
        <v>0</v>
      </c>
      <c r="GT50" s="9">
        <v>0</v>
      </c>
      <c r="GU50" s="9">
        <v>0</v>
      </c>
      <c r="GV50" s="9">
        <v>0</v>
      </c>
      <c r="GW50" s="9">
        <v>0</v>
      </c>
      <c r="GX50" s="9">
        <v>0</v>
      </c>
      <c r="GY50" s="9">
        <v>0</v>
      </c>
      <c r="GZ50" s="9">
        <v>0</v>
      </c>
      <c r="HA50" s="9">
        <v>0</v>
      </c>
      <c r="HB50" s="9">
        <v>300501363</v>
      </c>
      <c r="HC50" s="9">
        <v>4.4742999999999998E-2</v>
      </c>
      <c r="HD50" s="9">
        <v>72268</v>
      </c>
      <c r="HE50" s="9">
        <v>0</v>
      </c>
      <c r="HF50" s="9">
        <v>0</v>
      </c>
      <c r="HG50" s="9">
        <v>0</v>
      </c>
      <c r="HH50" s="9">
        <v>0</v>
      </c>
      <c r="HI50" s="9">
        <v>0</v>
      </c>
      <c r="HJ50" s="9">
        <v>0</v>
      </c>
      <c r="HK50" s="9">
        <v>0</v>
      </c>
      <c r="HL50" s="9">
        <v>0</v>
      </c>
      <c r="HM50" s="9">
        <v>0</v>
      </c>
      <c r="HN50" s="9">
        <v>0</v>
      </c>
      <c r="HO50" s="9">
        <v>0</v>
      </c>
      <c r="HP50" s="9">
        <v>0</v>
      </c>
      <c r="HQ50" s="9">
        <v>0</v>
      </c>
      <c r="HR50" s="9">
        <v>0</v>
      </c>
      <c r="HS50" s="9">
        <v>0</v>
      </c>
      <c r="HT50" s="9">
        <v>0</v>
      </c>
      <c r="HU50" s="9">
        <v>0</v>
      </c>
      <c r="HV50" s="9">
        <v>0</v>
      </c>
      <c r="HW50" s="9">
        <v>0</v>
      </c>
      <c r="HX50" s="9">
        <v>0</v>
      </c>
      <c r="HY50" s="9">
        <v>0</v>
      </c>
      <c r="HZ50" s="9">
        <v>0</v>
      </c>
      <c r="IA50" s="9">
        <v>0</v>
      </c>
      <c r="IB50" s="9">
        <v>0</v>
      </c>
      <c r="IC50" s="9">
        <v>0</v>
      </c>
      <c r="ID50" s="9">
        <v>0</v>
      </c>
      <c r="IE50" s="9">
        <v>0</v>
      </c>
      <c r="IF50" s="9">
        <v>0</v>
      </c>
      <c r="IG50" s="9">
        <v>0</v>
      </c>
      <c r="IH50" s="9">
        <v>0</v>
      </c>
      <c r="II50" s="9">
        <v>0</v>
      </c>
      <c r="IJ50" s="9">
        <v>0</v>
      </c>
      <c r="IK50" s="9">
        <v>0</v>
      </c>
      <c r="IL50" s="9">
        <v>0</v>
      </c>
      <c r="IM50" s="9">
        <v>0</v>
      </c>
      <c r="IN50" s="9">
        <v>0</v>
      </c>
      <c r="IO50" s="9">
        <v>0</v>
      </c>
      <c r="IP50" s="9">
        <v>0</v>
      </c>
      <c r="IQ50" s="9">
        <v>0</v>
      </c>
      <c r="IR50" s="9">
        <v>0</v>
      </c>
      <c r="IS50" s="9">
        <v>0</v>
      </c>
      <c r="IT50" s="9">
        <v>0</v>
      </c>
      <c r="IU50" s="9">
        <v>0</v>
      </c>
      <c r="IV50" s="9">
        <v>0</v>
      </c>
      <c r="IW50" s="9">
        <v>0</v>
      </c>
      <c r="IX50" s="9">
        <v>0</v>
      </c>
      <c r="IY50" s="9">
        <v>0</v>
      </c>
      <c r="IZ50" s="9">
        <v>0</v>
      </c>
      <c r="JA50" s="9">
        <v>0</v>
      </c>
      <c r="JB50" s="9">
        <v>0</v>
      </c>
      <c r="JC50" s="9">
        <v>0</v>
      </c>
      <c r="JD50" s="9">
        <v>0</v>
      </c>
      <c r="JE50" s="9">
        <v>0</v>
      </c>
      <c r="JF50" s="9">
        <v>0</v>
      </c>
      <c r="JG50" s="9">
        <v>0</v>
      </c>
      <c r="JH50" s="9">
        <v>0</v>
      </c>
      <c r="JI50" s="9">
        <v>0</v>
      </c>
      <c r="JJ50" s="9">
        <v>0</v>
      </c>
      <c r="JK50" s="9">
        <v>0</v>
      </c>
      <c r="JL50" s="9">
        <v>0</v>
      </c>
      <c r="JM50" s="9">
        <v>0</v>
      </c>
      <c r="JN50" s="9">
        <v>36832</v>
      </c>
      <c r="JO50" s="9">
        <v>0</v>
      </c>
      <c r="JP50" s="9">
        <v>0</v>
      </c>
      <c r="JQ50" s="9">
        <v>0</v>
      </c>
      <c r="JR50" s="9">
        <v>0</v>
      </c>
      <c r="JS50" s="9">
        <v>0</v>
      </c>
      <c r="JT50" s="9">
        <v>0</v>
      </c>
      <c r="JU50" s="9">
        <v>0</v>
      </c>
      <c r="JV50" s="9">
        <v>0</v>
      </c>
      <c r="JW50" s="9">
        <v>0</v>
      </c>
      <c r="JX50" s="9">
        <v>0</v>
      </c>
      <c r="JY50" s="9">
        <v>0</v>
      </c>
      <c r="JZ50" s="9">
        <v>0</v>
      </c>
      <c r="KA50" s="9">
        <v>0</v>
      </c>
      <c r="KB50" s="9">
        <v>0</v>
      </c>
      <c r="KC50" s="9">
        <v>0</v>
      </c>
      <c r="KD50" s="9">
        <v>0</v>
      </c>
      <c r="KE50" s="9">
        <v>0</v>
      </c>
      <c r="KF50" s="9">
        <v>0</v>
      </c>
      <c r="KG50" s="9">
        <v>0</v>
      </c>
      <c r="KH50" s="9">
        <v>0</v>
      </c>
      <c r="KI50" s="9">
        <v>0</v>
      </c>
    </row>
    <row r="51" spans="1:295" x14ac:dyDescent="0.25">
      <c r="A51" s="9">
        <v>57816</v>
      </c>
      <c r="B51" s="9">
        <v>36871</v>
      </c>
      <c r="C51" s="9">
        <v>35</v>
      </c>
      <c r="D51" s="9">
        <v>2023</v>
      </c>
      <c r="E51" s="9">
        <v>5392</v>
      </c>
      <c r="F51" s="9">
        <v>0</v>
      </c>
      <c r="G51" s="9">
        <v>0</v>
      </c>
      <c r="H51" s="9">
        <v>1214.229</v>
      </c>
      <c r="I51" s="9">
        <v>1214.229</v>
      </c>
      <c r="J51" s="9">
        <v>1227.5220000000002</v>
      </c>
      <c r="K51" s="9">
        <v>0</v>
      </c>
      <c r="L51" s="9">
        <v>6547</v>
      </c>
      <c r="M51" s="9">
        <v>0</v>
      </c>
      <c r="N51" s="9">
        <v>0</v>
      </c>
      <c r="O51" s="9">
        <v>0</v>
      </c>
      <c r="P51" s="9">
        <v>1370.471</v>
      </c>
      <c r="Q51" s="9">
        <v>0</v>
      </c>
      <c r="R51" s="9">
        <v>667312</v>
      </c>
      <c r="S51" s="9">
        <v>486.92200000000003</v>
      </c>
      <c r="T51" s="9">
        <v>0</v>
      </c>
      <c r="U51" s="9">
        <v>667312</v>
      </c>
      <c r="V51" s="9">
        <v>10.313000000000001</v>
      </c>
      <c r="W51" s="9">
        <v>6752</v>
      </c>
      <c r="X51" s="9">
        <v>6752</v>
      </c>
      <c r="Y51" s="9">
        <v>0</v>
      </c>
      <c r="Z51" s="9">
        <v>0</v>
      </c>
      <c r="AA51" s="9">
        <v>1</v>
      </c>
      <c r="AB51" s="9">
        <v>1</v>
      </c>
      <c r="AC51" s="9">
        <v>0</v>
      </c>
      <c r="AD51" s="9" t="s">
        <v>314</v>
      </c>
      <c r="AE51" s="9">
        <v>0</v>
      </c>
      <c r="AF51" s="9">
        <v>0</v>
      </c>
      <c r="AG51" s="9">
        <v>0</v>
      </c>
      <c r="AH51" s="9">
        <v>0</v>
      </c>
      <c r="AI51" s="9">
        <v>0</v>
      </c>
      <c r="AJ51" s="9">
        <v>5104</v>
      </c>
      <c r="AK51" s="9" t="s">
        <v>651</v>
      </c>
      <c r="AL51" s="9" t="s">
        <v>425</v>
      </c>
      <c r="AM51" s="9">
        <v>0</v>
      </c>
      <c r="AN51" s="9">
        <v>0</v>
      </c>
      <c r="AO51" s="9">
        <v>0</v>
      </c>
      <c r="AP51" s="9">
        <v>0</v>
      </c>
      <c r="AQ51" s="9">
        <v>0</v>
      </c>
      <c r="AR51" s="9">
        <v>0</v>
      </c>
      <c r="AS51" s="9">
        <v>0</v>
      </c>
      <c r="AT51" s="9">
        <v>0</v>
      </c>
      <c r="AU51" s="9">
        <v>0</v>
      </c>
      <c r="AV51" s="9">
        <v>-125809</v>
      </c>
      <c r="AW51" s="9">
        <v>11740324</v>
      </c>
      <c r="AX51" s="9">
        <v>11475282</v>
      </c>
      <c r="AY51" s="9">
        <v>11049665</v>
      </c>
      <c r="AZ51" s="9">
        <v>667312</v>
      </c>
      <c r="BA51" s="9">
        <v>95.582999999999998</v>
      </c>
      <c r="BB51" s="9">
        <v>0</v>
      </c>
      <c r="BC51" s="9">
        <v>0</v>
      </c>
      <c r="BD51" s="9">
        <v>0</v>
      </c>
      <c r="BE51" s="9">
        <v>0</v>
      </c>
      <c r="BF51" s="9">
        <v>9992478</v>
      </c>
      <c r="BG51" s="9">
        <v>0</v>
      </c>
      <c r="BH51" s="9">
        <v>0</v>
      </c>
      <c r="BI51" s="9">
        <v>0</v>
      </c>
      <c r="BJ51" s="9">
        <v>12</v>
      </c>
      <c r="BK51" s="9">
        <v>0</v>
      </c>
      <c r="BL51" s="9">
        <v>0</v>
      </c>
      <c r="BM51" s="9">
        <v>0</v>
      </c>
      <c r="BN51" s="9">
        <v>0</v>
      </c>
      <c r="BO51" s="9">
        <v>0</v>
      </c>
      <c r="BP51" s="9">
        <v>0</v>
      </c>
      <c r="BQ51" s="9">
        <v>5392</v>
      </c>
      <c r="BR51" s="9">
        <v>1</v>
      </c>
      <c r="BS51" s="9">
        <v>0</v>
      </c>
      <c r="BT51" s="9">
        <v>0</v>
      </c>
      <c r="BU51" s="9">
        <v>0</v>
      </c>
      <c r="BV51" s="9">
        <v>0</v>
      </c>
      <c r="BW51" s="9">
        <v>0</v>
      </c>
      <c r="BX51" s="9">
        <v>0</v>
      </c>
      <c r="BY51" s="9">
        <v>0</v>
      </c>
      <c r="BZ51" s="9">
        <v>0</v>
      </c>
      <c r="CA51" s="9">
        <v>0</v>
      </c>
      <c r="CB51" s="9">
        <v>0</v>
      </c>
      <c r="CC51" s="9">
        <v>0</v>
      </c>
      <c r="CD51" s="9">
        <v>0</v>
      </c>
      <c r="CE51" s="9">
        <v>0</v>
      </c>
      <c r="CF51" s="9">
        <v>0</v>
      </c>
      <c r="CG51" s="9">
        <v>0</v>
      </c>
      <c r="CH51" s="9">
        <v>265042</v>
      </c>
      <c r="CI51" s="9">
        <v>0</v>
      </c>
      <c r="CJ51" s="9">
        <v>4</v>
      </c>
      <c r="CK51" s="9">
        <v>0</v>
      </c>
      <c r="CL51" s="9">
        <v>0</v>
      </c>
      <c r="CM51" s="9">
        <v>0</v>
      </c>
      <c r="CN51" s="9">
        <v>0</v>
      </c>
      <c r="CO51" s="9">
        <v>0</v>
      </c>
      <c r="CP51" s="9">
        <v>0</v>
      </c>
      <c r="CQ51" s="9">
        <v>3.4170000000000003</v>
      </c>
      <c r="CR51" s="9">
        <v>1324.5250000000001</v>
      </c>
      <c r="CS51" s="9">
        <v>0</v>
      </c>
      <c r="CT51" s="9">
        <v>0</v>
      </c>
      <c r="CU51" s="9">
        <v>0</v>
      </c>
      <c r="CV51" s="9">
        <v>0</v>
      </c>
      <c r="CW51" s="9">
        <v>0</v>
      </c>
      <c r="CX51" s="9">
        <v>0</v>
      </c>
      <c r="CY51" s="9">
        <v>0</v>
      </c>
      <c r="CZ51" s="9">
        <v>0</v>
      </c>
      <c r="DA51" s="9">
        <v>1</v>
      </c>
      <c r="DB51" s="9">
        <v>7949557</v>
      </c>
      <c r="DC51" s="9">
        <v>0</v>
      </c>
      <c r="DD51" s="9">
        <v>0</v>
      </c>
      <c r="DE51" s="9">
        <v>1893615</v>
      </c>
      <c r="DF51" s="9">
        <v>1893615</v>
      </c>
      <c r="DG51" s="9">
        <v>1446.17</v>
      </c>
      <c r="DH51" s="9">
        <v>0</v>
      </c>
      <c r="DI51" s="9">
        <v>0</v>
      </c>
      <c r="DJ51" s="9">
        <v>0</v>
      </c>
      <c r="DK51" s="9">
        <v>5392</v>
      </c>
      <c r="DL51" s="9">
        <v>0</v>
      </c>
      <c r="DM51" s="9">
        <v>417010</v>
      </c>
      <c r="DN51" s="9">
        <v>0</v>
      </c>
      <c r="DO51" s="9">
        <v>1080</v>
      </c>
      <c r="DP51" s="9">
        <v>0</v>
      </c>
      <c r="DQ51" s="9">
        <v>0</v>
      </c>
      <c r="DR51" s="9">
        <v>0</v>
      </c>
      <c r="DS51" s="9">
        <v>0</v>
      </c>
      <c r="DT51" s="9">
        <v>0.02</v>
      </c>
      <c r="DU51" s="9">
        <v>0</v>
      </c>
      <c r="DV51" s="9">
        <v>0</v>
      </c>
      <c r="DW51" s="9">
        <v>3.2000000000000001E-2</v>
      </c>
      <c r="DX51" s="9">
        <v>0</v>
      </c>
      <c r="DY51" s="9">
        <v>0</v>
      </c>
      <c r="DZ51" s="9">
        <v>0.22</v>
      </c>
      <c r="EA51" s="9">
        <v>0</v>
      </c>
      <c r="EB51" s="9">
        <v>0</v>
      </c>
      <c r="EC51" s="9">
        <v>18.428000000000001</v>
      </c>
      <c r="ED51" s="9">
        <v>132713</v>
      </c>
      <c r="EE51" s="9">
        <v>0</v>
      </c>
      <c r="EF51" s="9">
        <v>0</v>
      </c>
      <c r="EG51" s="9">
        <v>0</v>
      </c>
      <c r="EH51" s="9">
        <v>283217</v>
      </c>
      <c r="EI51" s="9">
        <v>0</v>
      </c>
      <c r="EJ51" s="9">
        <v>0</v>
      </c>
      <c r="EK51" s="9">
        <v>9.588000000000001</v>
      </c>
      <c r="EL51" s="9">
        <v>0</v>
      </c>
      <c r="EM51" s="9">
        <v>2.0150000000000001</v>
      </c>
      <c r="EN51" s="9">
        <v>1.69</v>
      </c>
      <c r="EO51" s="9">
        <v>0</v>
      </c>
      <c r="EP51" s="9">
        <v>0</v>
      </c>
      <c r="EQ51" s="9">
        <v>13.293000000000001</v>
      </c>
      <c r="ER51" s="9">
        <v>0</v>
      </c>
      <c r="ES51" s="9">
        <v>43.259</v>
      </c>
      <c r="ET51" s="9">
        <v>48646</v>
      </c>
      <c r="EU51" s="9">
        <v>667312</v>
      </c>
      <c r="EV51" s="9">
        <v>0</v>
      </c>
      <c r="EW51" s="9">
        <v>0</v>
      </c>
      <c r="EX51" s="9">
        <v>0</v>
      </c>
      <c r="EY51" s="9">
        <v>0</v>
      </c>
      <c r="EZ51" s="9">
        <v>9600293</v>
      </c>
      <c r="FA51" s="9">
        <v>0</v>
      </c>
      <c r="FB51" s="9">
        <v>10267605</v>
      </c>
      <c r="FC51" s="9">
        <v>0.97326799999999991</v>
      </c>
      <c r="FD51" s="9">
        <v>0</v>
      </c>
      <c r="FE51" s="9">
        <v>1545810</v>
      </c>
      <c r="FF51" s="9">
        <v>329179</v>
      </c>
      <c r="FG51" s="9">
        <v>5.8088000000000001E-2</v>
      </c>
      <c r="FH51" s="9">
        <v>5.2622999999999996E-2</v>
      </c>
      <c r="FI51" s="9">
        <v>0</v>
      </c>
      <c r="FJ51" s="9">
        <v>0</v>
      </c>
      <c r="FK51" s="9">
        <v>1957.8810000000001</v>
      </c>
      <c r="FL51" s="9">
        <v>12407636</v>
      </c>
      <c r="FM51" s="9">
        <v>0</v>
      </c>
      <c r="FN51" s="9">
        <v>0</v>
      </c>
      <c r="FO51" s="9">
        <v>671</v>
      </c>
      <c r="FP51" s="9">
        <v>0</v>
      </c>
      <c r="FQ51" s="9">
        <v>671</v>
      </c>
      <c r="FR51" s="9">
        <v>671</v>
      </c>
      <c r="FS51" s="9">
        <v>0</v>
      </c>
      <c r="FT51" s="9">
        <v>0</v>
      </c>
      <c r="FU51" s="9">
        <v>0</v>
      </c>
      <c r="FV51" s="9">
        <v>0</v>
      </c>
      <c r="FW51" s="9">
        <v>0</v>
      </c>
      <c r="FX51" s="9">
        <v>0</v>
      </c>
      <c r="FY51" s="9">
        <v>0</v>
      </c>
      <c r="FZ51" s="9">
        <v>0</v>
      </c>
      <c r="GA51" s="9">
        <v>0</v>
      </c>
      <c r="GB51" s="9">
        <v>0</v>
      </c>
      <c r="GC51" s="9">
        <v>0</v>
      </c>
      <c r="GD51" s="9">
        <v>0</v>
      </c>
      <c r="GE51" s="9">
        <v>0</v>
      </c>
      <c r="GF51" s="9">
        <v>0</v>
      </c>
      <c r="GG51" s="9">
        <v>0</v>
      </c>
      <c r="GH51" s="9">
        <v>0</v>
      </c>
      <c r="GI51" s="9">
        <v>0</v>
      </c>
      <c r="GJ51" s="9">
        <v>0</v>
      </c>
      <c r="GK51" s="9">
        <v>5098</v>
      </c>
      <c r="GL51" s="9">
        <v>37189</v>
      </c>
      <c r="GM51" s="9">
        <v>0</v>
      </c>
      <c r="GN51" s="9">
        <v>0</v>
      </c>
      <c r="GO51" s="9">
        <v>0</v>
      </c>
      <c r="GP51" s="9">
        <v>12142594</v>
      </c>
      <c r="GQ51" s="9">
        <v>12142594</v>
      </c>
      <c r="GR51" s="9">
        <v>0</v>
      </c>
      <c r="GS51" s="9">
        <v>0</v>
      </c>
      <c r="GT51" s="9">
        <v>0</v>
      </c>
      <c r="GU51" s="9">
        <v>0</v>
      </c>
      <c r="GV51" s="9">
        <v>0</v>
      </c>
      <c r="GW51" s="9">
        <v>0</v>
      </c>
      <c r="GX51" s="9">
        <v>0</v>
      </c>
      <c r="GY51" s="9">
        <v>0</v>
      </c>
      <c r="GZ51" s="9">
        <v>0</v>
      </c>
      <c r="HA51" s="9">
        <v>0</v>
      </c>
      <c r="HB51" s="9">
        <v>300501363</v>
      </c>
      <c r="HC51" s="9">
        <v>4.4742999999999998E-2</v>
      </c>
      <c r="HD51" s="9">
        <v>216396</v>
      </c>
      <c r="HE51" s="9">
        <v>0</v>
      </c>
      <c r="HF51" s="9">
        <v>0</v>
      </c>
      <c r="HG51" s="9">
        <v>0</v>
      </c>
      <c r="HH51" s="9">
        <v>0</v>
      </c>
      <c r="HI51" s="9">
        <v>0</v>
      </c>
      <c r="HJ51" s="9">
        <v>0</v>
      </c>
      <c r="HK51" s="9">
        <v>0</v>
      </c>
      <c r="HL51" s="9">
        <v>0</v>
      </c>
      <c r="HM51" s="9">
        <v>0</v>
      </c>
      <c r="HN51" s="9">
        <v>0</v>
      </c>
      <c r="HO51" s="9">
        <v>0</v>
      </c>
      <c r="HP51" s="9">
        <v>0</v>
      </c>
      <c r="HQ51" s="9">
        <v>0</v>
      </c>
      <c r="HR51" s="9">
        <v>0</v>
      </c>
      <c r="HS51" s="9">
        <v>0</v>
      </c>
      <c r="HT51" s="9">
        <v>0</v>
      </c>
      <c r="HU51" s="9">
        <v>0</v>
      </c>
      <c r="HV51" s="9">
        <v>0</v>
      </c>
      <c r="HW51" s="9">
        <v>0</v>
      </c>
      <c r="HX51" s="9">
        <v>0</v>
      </c>
      <c r="HY51" s="9">
        <v>0</v>
      </c>
      <c r="HZ51" s="9">
        <v>0</v>
      </c>
      <c r="IA51" s="9">
        <v>0</v>
      </c>
      <c r="IB51" s="9">
        <v>0</v>
      </c>
      <c r="IC51" s="9">
        <v>0</v>
      </c>
      <c r="ID51" s="9">
        <v>0</v>
      </c>
      <c r="IE51" s="9">
        <v>0</v>
      </c>
      <c r="IF51" s="9">
        <v>0</v>
      </c>
      <c r="IG51" s="9">
        <v>0</v>
      </c>
      <c r="IH51" s="9">
        <v>0</v>
      </c>
      <c r="II51" s="9">
        <v>0</v>
      </c>
      <c r="IJ51" s="9">
        <v>0</v>
      </c>
      <c r="IK51" s="9">
        <v>0</v>
      </c>
      <c r="IL51" s="9">
        <v>0</v>
      </c>
      <c r="IM51" s="9">
        <v>0</v>
      </c>
      <c r="IN51" s="9">
        <v>0</v>
      </c>
      <c r="IO51" s="9">
        <v>0</v>
      </c>
      <c r="IP51" s="9">
        <v>0</v>
      </c>
      <c r="IQ51" s="9">
        <v>0</v>
      </c>
      <c r="IR51" s="9">
        <v>0</v>
      </c>
      <c r="IS51" s="9">
        <v>0</v>
      </c>
      <c r="IT51" s="9">
        <v>0</v>
      </c>
      <c r="IU51" s="9">
        <v>0</v>
      </c>
      <c r="IV51" s="9">
        <v>0</v>
      </c>
      <c r="IW51" s="9">
        <v>0</v>
      </c>
      <c r="IX51" s="9">
        <v>0</v>
      </c>
      <c r="IY51" s="9">
        <v>0</v>
      </c>
      <c r="IZ51" s="9">
        <v>0</v>
      </c>
      <c r="JA51" s="9">
        <v>0</v>
      </c>
      <c r="JB51" s="9">
        <v>0</v>
      </c>
      <c r="JC51" s="9">
        <v>0</v>
      </c>
      <c r="JD51" s="9">
        <v>0</v>
      </c>
      <c r="JE51" s="9">
        <v>0</v>
      </c>
      <c r="JF51" s="9">
        <v>0</v>
      </c>
      <c r="JG51" s="9">
        <v>0</v>
      </c>
      <c r="JH51" s="9">
        <v>0</v>
      </c>
      <c r="JI51" s="9">
        <v>0</v>
      </c>
      <c r="JJ51" s="9">
        <v>0</v>
      </c>
      <c r="JK51" s="9">
        <v>0</v>
      </c>
      <c r="JL51" s="9">
        <v>0</v>
      </c>
      <c r="JM51" s="9">
        <v>0</v>
      </c>
      <c r="JN51" s="9">
        <v>36832</v>
      </c>
      <c r="JO51" s="9">
        <v>0</v>
      </c>
      <c r="JP51" s="9">
        <v>0</v>
      </c>
      <c r="JQ51" s="9">
        <v>0</v>
      </c>
      <c r="JR51" s="9">
        <v>0</v>
      </c>
      <c r="JS51" s="9">
        <v>0</v>
      </c>
      <c r="JT51" s="9">
        <v>0</v>
      </c>
      <c r="JU51" s="9">
        <v>0</v>
      </c>
      <c r="JV51" s="9">
        <v>0</v>
      </c>
      <c r="JW51" s="9">
        <v>0</v>
      </c>
      <c r="JX51" s="9">
        <v>0</v>
      </c>
      <c r="JY51" s="9">
        <v>0</v>
      </c>
      <c r="JZ51" s="9">
        <v>0</v>
      </c>
      <c r="KA51" s="9">
        <v>0</v>
      </c>
      <c r="KB51" s="9">
        <v>0</v>
      </c>
      <c r="KC51" s="9">
        <v>0</v>
      </c>
      <c r="KD51" s="9">
        <v>0</v>
      </c>
      <c r="KE51" s="9">
        <v>0</v>
      </c>
      <c r="KF51" s="9">
        <v>0</v>
      </c>
      <c r="KG51" s="9">
        <v>0</v>
      </c>
      <c r="KH51" s="9">
        <v>0</v>
      </c>
      <c r="KI51" s="9">
        <v>0</v>
      </c>
    </row>
    <row r="52" spans="1:295" x14ac:dyDescent="0.25">
      <c r="A52" s="9">
        <v>57819</v>
      </c>
      <c r="B52" s="9">
        <v>36871</v>
      </c>
      <c r="C52" s="9">
        <v>35</v>
      </c>
      <c r="D52" s="9">
        <v>2023</v>
      </c>
      <c r="E52" s="9">
        <v>5392</v>
      </c>
      <c r="F52" s="9">
        <v>0</v>
      </c>
      <c r="G52" s="9">
        <v>0</v>
      </c>
      <c r="H52" s="9">
        <v>191.084</v>
      </c>
      <c r="I52" s="9">
        <v>191.084</v>
      </c>
      <c r="J52" s="9">
        <v>201.36500000000001</v>
      </c>
      <c r="K52" s="9">
        <v>0</v>
      </c>
      <c r="L52" s="9">
        <v>6547</v>
      </c>
      <c r="M52" s="9">
        <v>0</v>
      </c>
      <c r="N52" s="9">
        <v>0</v>
      </c>
      <c r="O52" s="9">
        <v>0</v>
      </c>
      <c r="P52" s="9">
        <v>190.93100000000001</v>
      </c>
      <c r="Q52" s="9">
        <v>0</v>
      </c>
      <c r="R52" s="9">
        <v>92969</v>
      </c>
      <c r="S52" s="9">
        <v>486.92200000000003</v>
      </c>
      <c r="T52" s="9">
        <v>0</v>
      </c>
      <c r="U52" s="9">
        <v>92969</v>
      </c>
      <c r="V52" s="9">
        <v>83.66</v>
      </c>
      <c r="W52" s="9">
        <v>54772</v>
      </c>
      <c r="X52" s="9">
        <v>54772</v>
      </c>
      <c r="Y52" s="9">
        <v>0</v>
      </c>
      <c r="Z52" s="9">
        <v>0</v>
      </c>
      <c r="AA52" s="9">
        <v>1</v>
      </c>
      <c r="AB52" s="9">
        <v>1</v>
      </c>
      <c r="AC52" s="9">
        <v>0</v>
      </c>
      <c r="AD52" s="9" t="s">
        <v>314</v>
      </c>
      <c r="AE52" s="9">
        <v>0</v>
      </c>
      <c r="AF52" s="9">
        <v>0</v>
      </c>
      <c r="AG52" s="9">
        <v>0</v>
      </c>
      <c r="AH52" s="9">
        <v>0</v>
      </c>
      <c r="AI52" s="9">
        <v>0</v>
      </c>
      <c r="AJ52" s="9">
        <v>5104</v>
      </c>
      <c r="AK52" s="9" t="s">
        <v>651</v>
      </c>
      <c r="AL52" s="9" t="s">
        <v>43</v>
      </c>
      <c r="AM52" s="9">
        <v>0</v>
      </c>
      <c r="AN52" s="9">
        <v>0</v>
      </c>
      <c r="AO52" s="9">
        <v>0</v>
      </c>
      <c r="AP52" s="9">
        <v>0</v>
      </c>
      <c r="AQ52" s="9">
        <v>0</v>
      </c>
      <c r="AR52" s="9">
        <v>0</v>
      </c>
      <c r="AS52" s="9">
        <v>0</v>
      </c>
      <c r="AT52" s="9">
        <v>0</v>
      </c>
      <c r="AU52" s="9">
        <v>0</v>
      </c>
      <c r="AV52" s="9">
        <v>-76050</v>
      </c>
      <c r="AW52" s="9">
        <v>2000878</v>
      </c>
      <c r="AX52" s="9">
        <v>1953066</v>
      </c>
      <c r="AY52" s="9">
        <v>1846899</v>
      </c>
      <c r="AZ52" s="9">
        <v>100533</v>
      </c>
      <c r="BA52" s="9">
        <v>9</v>
      </c>
      <c r="BB52" s="9">
        <v>0</v>
      </c>
      <c r="BC52" s="9">
        <v>0</v>
      </c>
      <c r="BD52" s="9">
        <v>0</v>
      </c>
      <c r="BE52" s="9">
        <v>0</v>
      </c>
      <c r="BF52" s="9">
        <v>1683832</v>
      </c>
      <c r="BG52" s="9">
        <v>0</v>
      </c>
      <c r="BH52" s="9">
        <v>27.506</v>
      </c>
      <c r="BI52" s="9">
        <v>7564</v>
      </c>
      <c r="BJ52" s="9">
        <v>12</v>
      </c>
      <c r="BK52" s="9">
        <v>0</v>
      </c>
      <c r="BL52" s="9">
        <v>0</v>
      </c>
      <c r="BM52" s="9">
        <v>0</v>
      </c>
      <c r="BN52" s="9">
        <v>0</v>
      </c>
      <c r="BO52" s="9">
        <v>0</v>
      </c>
      <c r="BP52" s="9">
        <v>0</v>
      </c>
      <c r="BQ52" s="9">
        <v>5392</v>
      </c>
      <c r="BR52" s="9">
        <v>1</v>
      </c>
      <c r="BS52" s="9">
        <v>0</v>
      </c>
      <c r="BT52" s="9">
        <v>0</v>
      </c>
      <c r="BU52" s="9">
        <v>0</v>
      </c>
      <c r="BV52" s="9">
        <v>0</v>
      </c>
      <c r="BW52" s="9">
        <v>0</v>
      </c>
      <c r="BX52" s="9">
        <v>0</v>
      </c>
      <c r="BY52" s="9">
        <v>0</v>
      </c>
      <c r="BZ52" s="9">
        <v>0</v>
      </c>
      <c r="CA52" s="9">
        <v>0</v>
      </c>
      <c r="CB52" s="9">
        <v>0</v>
      </c>
      <c r="CC52" s="9">
        <v>0</v>
      </c>
      <c r="CD52" s="9">
        <v>0</v>
      </c>
      <c r="CE52" s="9">
        <v>0</v>
      </c>
      <c r="CF52" s="9">
        <v>0</v>
      </c>
      <c r="CG52" s="9">
        <v>0</v>
      </c>
      <c r="CH52" s="9">
        <v>40248</v>
      </c>
      <c r="CI52" s="9">
        <v>0</v>
      </c>
      <c r="CJ52" s="9">
        <v>4</v>
      </c>
      <c r="CK52" s="9">
        <v>0</v>
      </c>
      <c r="CL52" s="9">
        <v>0</v>
      </c>
      <c r="CM52" s="9">
        <v>0</v>
      </c>
      <c r="CN52" s="9">
        <v>0</v>
      </c>
      <c r="CO52" s="9">
        <v>0</v>
      </c>
      <c r="CP52" s="9">
        <v>0</v>
      </c>
      <c r="CQ52" s="9">
        <v>1</v>
      </c>
      <c r="CR52" s="9">
        <v>184.14400000000001</v>
      </c>
      <c r="CS52" s="9">
        <v>0</v>
      </c>
      <c r="CT52" s="9">
        <v>0</v>
      </c>
      <c r="CU52" s="9">
        <v>0</v>
      </c>
      <c r="CV52" s="9">
        <v>0</v>
      </c>
      <c r="CW52" s="9">
        <v>0</v>
      </c>
      <c r="CX52" s="9">
        <v>0</v>
      </c>
      <c r="CY52" s="9">
        <v>0</v>
      </c>
      <c r="CZ52" s="9">
        <v>0</v>
      </c>
      <c r="DA52" s="9">
        <v>1</v>
      </c>
      <c r="DB52" s="9">
        <v>1251027</v>
      </c>
      <c r="DC52" s="9">
        <v>0</v>
      </c>
      <c r="DD52" s="9">
        <v>0</v>
      </c>
      <c r="DE52" s="9">
        <v>278470</v>
      </c>
      <c r="DF52" s="9">
        <v>278470</v>
      </c>
      <c r="DG52" s="9">
        <v>212.67000000000002</v>
      </c>
      <c r="DH52" s="9">
        <v>0</v>
      </c>
      <c r="DI52" s="9">
        <v>0</v>
      </c>
      <c r="DJ52" s="9">
        <v>0</v>
      </c>
      <c r="DK52" s="9">
        <v>5392</v>
      </c>
      <c r="DL52" s="9">
        <v>0</v>
      </c>
      <c r="DM52" s="9">
        <v>73513</v>
      </c>
      <c r="DN52" s="9">
        <v>0</v>
      </c>
      <c r="DO52" s="9">
        <v>0</v>
      </c>
      <c r="DP52" s="9">
        <v>0</v>
      </c>
      <c r="DQ52" s="9">
        <v>0</v>
      </c>
      <c r="DR52" s="9">
        <v>0</v>
      </c>
      <c r="DS52" s="9">
        <v>0</v>
      </c>
      <c r="DT52" s="9">
        <v>0</v>
      </c>
      <c r="DU52" s="9">
        <v>0</v>
      </c>
      <c r="DV52" s="9">
        <v>0</v>
      </c>
      <c r="DW52" s="9">
        <v>0</v>
      </c>
      <c r="DX52" s="9">
        <v>0</v>
      </c>
      <c r="DY52" s="9">
        <v>0</v>
      </c>
      <c r="DZ52" s="9">
        <v>0</v>
      </c>
      <c r="EA52" s="9">
        <v>0</v>
      </c>
      <c r="EB52" s="9">
        <v>0</v>
      </c>
      <c r="EC52" s="9">
        <v>4.1139999999999999</v>
      </c>
      <c r="ED52" s="9">
        <v>29628</v>
      </c>
      <c r="EE52" s="9">
        <v>0</v>
      </c>
      <c r="EF52" s="9">
        <v>0</v>
      </c>
      <c r="EG52" s="9">
        <v>0</v>
      </c>
      <c r="EH52" s="9">
        <v>43885</v>
      </c>
      <c r="EI52" s="9">
        <v>0</v>
      </c>
      <c r="EJ52" s="9">
        <v>0</v>
      </c>
      <c r="EK52" s="9">
        <v>1.901</v>
      </c>
      <c r="EL52" s="9">
        <v>0</v>
      </c>
      <c r="EM52" s="9">
        <v>0</v>
      </c>
      <c r="EN52" s="9">
        <v>0.2</v>
      </c>
      <c r="EO52" s="9">
        <v>0</v>
      </c>
      <c r="EP52" s="9">
        <v>0</v>
      </c>
      <c r="EQ52" s="9">
        <v>2.101</v>
      </c>
      <c r="ER52" s="9">
        <v>0</v>
      </c>
      <c r="ES52" s="9">
        <v>6.7030000000000003</v>
      </c>
      <c r="ET52" s="9">
        <v>4750</v>
      </c>
      <c r="EU52" s="9">
        <v>100533</v>
      </c>
      <c r="EV52" s="9">
        <v>0</v>
      </c>
      <c r="EW52" s="9">
        <v>0</v>
      </c>
      <c r="EX52" s="9">
        <v>0</v>
      </c>
      <c r="EY52" s="9">
        <v>0</v>
      </c>
      <c r="EZ52" s="9">
        <v>1637112</v>
      </c>
      <c r="FA52" s="9">
        <v>0</v>
      </c>
      <c r="FB52" s="9">
        <v>1737645</v>
      </c>
      <c r="FC52" s="9">
        <v>0.97326799999999991</v>
      </c>
      <c r="FD52" s="9">
        <v>0</v>
      </c>
      <c r="FE52" s="9">
        <v>260484</v>
      </c>
      <c r="FF52" s="9">
        <v>55470</v>
      </c>
      <c r="FG52" s="9">
        <v>5.8088000000000001E-2</v>
      </c>
      <c r="FH52" s="9">
        <v>5.2622999999999996E-2</v>
      </c>
      <c r="FI52" s="9">
        <v>0</v>
      </c>
      <c r="FJ52" s="9">
        <v>0</v>
      </c>
      <c r="FK52" s="9">
        <v>329.92200000000003</v>
      </c>
      <c r="FL52" s="9">
        <v>2093847</v>
      </c>
      <c r="FM52" s="9">
        <v>0</v>
      </c>
      <c r="FN52" s="9">
        <v>0</v>
      </c>
      <c r="FO52" s="9">
        <v>0</v>
      </c>
      <c r="FP52" s="9">
        <v>0</v>
      </c>
      <c r="FQ52" s="9">
        <v>0</v>
      </c>
      <c r="FR52" s="9">
        <v>0</v>
      </c>
      <c r="FS52" s="9">
        <v>0</v>
      </c>
      <c r="FT52" s="9">
        <v>0</v>
      </c>
      <c r="FU52" s="9">
        <v>0</v>
      </c>
      <c r="FV52" s="9">
        <v>0</v>
      </c>
      <c r="FW52" s="9">
        <v>0</v>
      </c>
      <c r="FX52" s="9">
        <v>0</v>
      </c>
      <c r="FY52" s="9">
        <v>0</v>
      </c>
      <c r="FZ52" s="9">
        <v>0</v>
      </c>
      <c r="GA52" s="9">
        <v>0</v>
      </c>
      <c r="GB52" s="9">
        <v>72299</v>
      </c>
      <c r="GC52" s="9">
        <v>72299</v>
      </c>
      <c r="GD52" s="9">
        <v>8.18</v>
      </c>
      <c r="GE52" s="9">
        <v>0</v>
      </c>
      <c r="GF52" s="9">
        <v>0</v>
      </c>
      <c r="GG52" s="9">
        <v>0</v>
      </c>
      <c r="GH52" s="9">
        <v>0</v>
      </c>
      <c r="GI52" s="9">
        <v>0</v>
      </c>
      <c r="GJ52" s="9">
        <v>0</v>
      </c>
      <c r="GK52" s="9">
        <v>5666</v>
      </c>
      <c r="GL52" s="9">
        <v>3056</v>
      </c>
      <c r="GM52" s="9">
        <v>0</v>
      </c>
      <c r="GN52" s="9">
        <v>96198</v>
      </c>
      <c r="GO52" s="9">
        <v>0</v>
      </c>
      <c r="GP52" s="9">
        <v>2053599</v>
      </c>
      <c r="GQ52" s="9">
        <v>2053599</v>
      </c>
      <c r="GR52" s="9">
        <v>0</v>
      </c>
      <c r="GS52" s="9">
        <v>0</v>
      </c>
      <c r="GT52" s="9">
        <v>0</v>
      </c>
      <c r="GU52" s="9">
        <v>0</v>
      </c>
      <c r="GV52" s="9">
        <v>0</v>
      </c>
      <c r="GW52" s="9">
        <v>0</v>
      </c>
      <c r="GX52" s="9">
        <v>0</v>
      </c>
      <c r="GY52" s="9">
        <v>0</v>
      </c>
      <c r="GZ52" s="9">
        <v>0</v>
      </c>
      <c r="HA52" s="9">
        <v>0</v>
      </c>
      <c r="HB52" s="9">
        <v>300501363</v>
      </c>
      <c r="HC52" s="9">
        <v>4.4742999999999998E-2</v>
      </c>
      <c r="HD52" s="9">
        <v>35498</v>
      </c>
      <c r="HE52" s="9">
        <v>0</v>
      </c>
      <c r="HF52" s="9">
        <v>0</v>
      </c>
      <c r="HG52" s="9">
        <v>0</v>
      </c>
      <c r="HH52" s="9">
        <v>0</v>
      </c>
      <c r="HI52" s="9">
        <v>0</v>
      </c>
      <c r="HJ52" s="9">
        <v>0</v>
      </c>
      <c r="HK52" s="9">
        <v>0</v>
      </c>
      <c r="HL52" s="9">
        <v>0</v>
      </c>
      <c r="HM52" s="9">
        <v>0</v>
      </c>
      <c r="HN52" s="9">
        <v>0</v>
      </c>
      <c r="HO52" s="9">
        <v>0</v>
      </c>
      <c r="HP52" s="9">
        <v>0</v>
      </c>
      <c r="HQ52" s="9">
        <v>0</v>
      </c>
      <c r="HR52" s="9">
        <v>0</v>
      </c>
      <c r="HS52" s="9">
        <v>0</v>
      </c>
      <c r="HT52" s="9">
        <v>0</v>
      </c>
      <c r="HU52" s="9">
        <v>0</v>
      </c>
      <c r="HV52" s="9">
        <v>0</v>
      </c>
      <c r="HW52" s="9">
        <v>0</v>
      </c>
      <c r="HX52" s="9">
        <v>0</v>
      </c>
      <c r="HY52" s="9">
        <v>0</v>
      </c>
      <c r="HZ52" s="9">
        <v>0</v>
      </c>
      <c r="IA52" s="9">
        <v>0</v>
      </c>
      <c r="IB52" s="9">
        <v>0</v>
      </c>
      <c r="IC52" s="9">
        <v>0</v>
      </c>
      <c r="ID52" s="9">
        <v>0</v>
      </c>
      <c r="IE52" s="9">
        <v>0</v>
      </c>
      <c r="IF52" s="9">
        <v>0</v>
      </c>
      <c r="IG52" s="9">
        <v>0</v>
      </c>
      <c r="IH52" s="9">
        <v>0</v>
      </c>
      <c r="II52" s="9">
        <v>0</v>
      </c>
      <c r="IJ52" s="9">
        <v>0</v>
      </c>
      <c r="IK52" s="9">
        <v>0</v>
      </c>
      <c r="IL52" s="9">
        <v>0</v>
      </c>
      <c r="IM52" s="9">
        <v>0</v>
      </c>
      <c r="IN52" s="9">
        <v>0</v>
      </c>
      <c r="IO52" s="9">
        <v>0</v>
      </c>
      <c r="IP52" s="9">
        <v>0</v>
      </c>
      <c r="IQ52" s="9">
        <v>0</v>
      </c>
      <c r="IR52" s="9">
        <v>0</v>
      </c>
      <c r="IS52" s="9">
        <v>0</v>
      </c>
      <c r="IT52" s="9">
        <v>0</v>
      </c>
      <c r="IU52" s="9">
        <v>0</v>
      </c>
      <c r="IV52" s="9">
        <v>0</v>
      </c>
      <c r="IW52" s="9">
        <v>0</v>
      </c>
      <c r="IX52" s="9">
        <v>0</v>
      </c>
      <c r="IY52" s="9">
        <v>0</v>
      </c>
      <c r="IZ52" s="9">
        <v>0</v>
      </c>
      <c r="JA52" s="9">
        <v>0</v>
      </c>
      <c r="JB52" s="9">
        <v>0</v>
      </c>
      <c r="JC52" s="9">
        <v>0</v>
      </c>
      <c r="JD52" s="9">
        <v>0</v>
      </c>
      <c r="JE52" s="9">
        <v>0</v>
      </c>
      <c r="JF52" s="9">
        <v>0</v>
      </c>
      <c r="JG52" s="9">
        <v>0</v>
      </c>
      <c r="JH52" s="9">
        <v>0</v>
      </c>
      <c r="JI52" s="9">
        <v>0</v>
      </c>
      <c r="JJ52" s="9">
        <v>0</v>
      </c>
      <c r="JK52" s="9">
        <v>0</v>
      </c>
      <c r="JL52" s="9">
        <v>0</v>
      </c>
      <c r="JM52" s="9">
        <v>0</v>
      </c>
      <c r="JN52" s="9">
        <v>36832</v>
      </c>
      <c r="JO52" s="9">
        <v>0</v>
      </c>
      <c r="JP52" s="9">
        <v>0</v>
      </c>
      <c r="JQ52" s="9">
        <v>0</v>
      </c>
      <c r="JR52" s="9">
        <v>0</v>
      </c>
      <c r="JS52" s="9">
        <v>0</v>
      </c>
      <c r="JT52" s="9">
        <v>0</v>
      </c>
      <c r="JU52" s="9">
        <v>0</v>
      </c>
      <c r="JV52" s="9">
        <v>0</v>
      </c>
      <c r="JW52" s="9">
        <v>0</v>
      </c>
      <c r="JX52" s="9">
        <v>0</v>
      </c>
      <c r="JY52" s="9">
        <v>0</v>
      </c>
      <c r="JZ52" s="9">
        <v>0</v>
      </c>
      <c r="KA52" s="9">
        <v>0</v>
      </c>
      <c r="KB52" s="9">
        <v>0</v>
      </c>
      <c r="KC52" s="9">
        <v>0</v>
      </c>
      <c r="KD52" s="9">
        <v>0</v>
      </c>
      <c r="KE52" s="9">
        <v>0</v>
      </c>
      <c r="KF52" s="9">
        <v>0</v>
      </c>
      <c r="KG52" s="9">
        <v>0</v>
      </c>
      <c r="KH52" s="9">
        <v>0</v>
      </c>
      <c r="KI52" s="9">
        <v>0</v>
      </c>
    </row>
    <row r="53" spans="1:295" x14ac:dyDescent="0.25">
      <c r="A53" s="9">
        <v>57827</v>
      </c>
      <c r="B53" s="9">
        <v>36871</v>
      </c>
      <c r="C53" s="9">
        <v>35</v>
      </c>
      <c r="D53" s="9">
        <v>2023</v>
      </c>
      <c r="E53" s="9">
        <v>5392</v>
      </c>
      <c r="F53" s="9">
        <v>0</v>
      </c>
      <c r="G53" s="9">
        <v>0</v>
      </c>
      <c r="H53" s="9">
        <v>608.47800000000007</v>
      </c>
      <c r="I53" s="9">
        <v>608.47800000000007</v>
      </c>
      <c r="J53" s="9">
        <v>609.15200000000004</v>
      </c>
      <c r="K53" s="9">
        <v>0</v>
      </c>
      <c r="L53" s="9">
        <v>6547</v>
      </c>
      <c r="M53" s="9">
        <v>0</v>
      </c>
      <c r="N53" s="9">
        <v>0</v>
      </c>
      <c r="O53" s="9">
        <v>0</v>
      </c>
      <c r="P53" s="9">
        <v>563.10800000000006</v>
      </c>
      <c r="Q53" s="9">
        <v>0</v>
      </c>
      <c r="R53" s="9">
        <v>274190</v>
      </c>
      <c r="S53" s="9">
        <v>486.92200000000003</v>
      </c>
      <c r="T53" s="9">
        <v>0</v>
      </c>
      <c r="U53" s="9">
        <v>274190</v>
      </c>
      <c r="V53" s="9">
        <v>147.714</v>
      </c>
      <c r="W53" s="9">
        <v>96708</v>
      </c>
      <c r="X53" s="9">
        <v>96708</v>
      </c>
      <c r="Y53" s="9">
        <v>0</v>
      </c>
      <c r="Z53" s="9">
        <v>0</v>
      </c>
      <c r="AA53" s="9">
        <v>1</v>
      </c>
      <c r="AB53" s="9">
        <v>1</v>
      </c>
      <c r="AC53" s="9">
        <v>0</v>
      </c>
      <c r="AD53" s="9" t="s">
        <v>314</v>
      </c>
      <c r="AE53" s="9">
        <v>0</v>
      </c>
      <c r="AF53" s="9">
        <v>0</v>
      </c>
      <c r="AG53" s="9">
        <v>0</v>
      </c>
      <c r="AH53" s="9">
        <v>0</v>
      </c>
      <c r="AI53" s="9">
        <v>0</v>
      </c>
      <c r="AJ53" s="9">
        <v>5104</v>
      </c>
      <c r="AK53" s="9" t="s">
        <v>651</v>
      </c>
      <c r="AL53" s="9" t="s">
        <v>456</v>
      </c>
      <c r="AM53" s="9">
        <v>0</v>
      </c>
      <c r="AN53" s="9">
        <v>0</v>
      </c>
      <c r="AO53" s="9">
        <v>0</v>
      </c>
      <c r="AP53" s="9">
        <v>0</v>
      </c>
      <c r="AQ53" s="9">
        <v>0</v>
      </c>
      <c r="AR53" s="9">
        <v>0</v>
      </c>
      <c r="AS53" s="9">
        <v>0</v>
      </c>
      <c r="AT53" s="9">
        <v>0</v>
      </c>
      <c r="AU53" s="9">
        <v>0</v>
      </c>
      <c r="AV53" s="9">
        <v>-220275</v>
      </c>
      <c r="AW53" s="9">
        <v>5923158</v>
      </c>
      <c r="AX53" s="9">
        <v>5804730</v>
      </c>
      <c r="AY53" s="9">
        <v>5509840</v>
      </c>
      <c r="AZ53" s="9">
        <v>274190</v>
      </c>
      <c r="BA53" s="9">
        <v>21.667000000000002</v>
      </c>
      <c r="BB53" s="9">
        <v>0</v>
      </c>
      <c r="BC53" s="9">
        <v>0</v>
      </c>
      <c r="BD53" s="9">
        <v>0</v>
      </c>
      <c r="BE53" s="9">
        <v>0</v>
      </c>
      <c r="BF53" s="9">
        <v>5002788</v>
      </c>
      <c r="BG53" s="9">
        <v>0</v>
      </c>
      <c r="BH53" s="9">
        <v>0</v>
      </c>
      <c r="BI53" s="9">
        <v>0</v>
      </c>
      <c r="BJ53" s="9">
        <v>12</v>
      </c>
      <c r="BK53" s="9">
        <v>0</v>
      </c>
      <c r="BL53" s="9">
        <v>0</v>
      </c>
      <c r="BM53" s="9">
        <v>0</v>
      </c>
      <c r="BN53" s="9">
        <v>0</v>
      </c>
      <c r="BO53" s="9">
        <v>0</v>
      </c>
      <c r="BP53" s="9">
        <v>0</v>
      </c>
      <c r="BQ53" s="9">
        <v>5392</v>
      </c>
      <c r="BR53" s="9">
        <v>1</v>
      </c>
      <c r="BS53" s="9">
        <v>0</v>
      </c>
      <c r="BT53" s="9">
        <v>0</v>
      </c>
      <c r="BU53" s="9">
        <v>0</v>
      </c>
      <c r="BV53" s="9">
        <v>0</v>
      </c>
      <c r="BW53" s="9">
        <v>0</v>
      </c>
      <c r="BX53" s="9">
        <v>0</v>
      </c>
      <c r="BY53" s="9">
        <v>0</v>
      </c>
      <c r="BZ53" s="9">
        <v>0</v>
      </c>
      <c r="CA53" s="9">
        <v>0</v>
      </c>
      <c r="CB53" s="9">
        <v>0</v>
      </c>
      <c r="CC53" s="9">
        <v>0</v>
      </c>
      <c r="CD53" s="9">
        <v>0</v>
      </c>
      <c r="CE53" s="9">
        <v>0</v>
      </c>
      <c r="CF53" s="9">
        <v>0</v>
      </c>
      <c r="CG53" s="9">
        <v>0</v>
      </c>
      <c r="CH53" s="9">
        <v>118428</v>
      </c>
      <c r="CI53" s="9">
        <v>0</v>
      </c>
      <c r="CJ53" s="9">
        <v>4</v>
      </c>
      <c r="CK53" s="9">
        <v>0</v>
      </c>
      <c r="CL53" s="9">
        <v>0</v>
      </c>
      <c r="CM53" s="9">
        <v>0</v>
      </c>
      <c r="CN53" s="9">
        <v>0</v>
      </c>
      <c r="CO53" s="9">
        <v>0</v>
      </c>
      <c r="CP53" s="9">
        <v>0</v>
      </c>
      <c r="CQ53" s="9">
        <v>0.83300000000000007</v>
      </c>
      <c r="CR53" s="9">
        <v>534.43000000000006</v>
      </c>
      <c r="CS53" s="9">
        <v>0</v>
      </c>
      <c r="CT53" s="9">
        <v>0</v>
      </c>
      <c r="CU53" s="9">
        <v>0</v>
      </c>
      <c r="CV53" s="9">
        <v>0</v>
      </c>
      <c r="CW53" s="9">
        <v>0</v>
      </c>
      <c r="CX53" s="9">
        <v>0</v>
      </c>
      <c r="CY53" s="9">
        <v>0</v>
      </c>
      <c r="CZ53" s="9">
        <v>0</v>
      </c>
      <c r="DA53" s="9">
        <v>1</v>
      </c>
      <c r="DB53" s="9">
        <v>3983705</v>
      </c>
      <c r="DC53" s="9">
        <v>0</v>
      </c>
      <c r="DD53" s="9">
        <v>0</v>
      </c>
      <c r="DE53" s="9">
        <v>851333</v>
      </c>
      <c r="DF53" s="9">
        <v>851333</v>
      </c>
      <c r="DG53" s="9">
        <v>650.16999999999996</v>
      </c>
      <c r="DH53" s="9">
        <v>0</v>
      </c>
      <c r="DI53" s="9">
        <v>0</v>
      </c>
      <c r="DJ53" s="9">
        <v>0</v>
      </c>
      <c r="DK53" s="9">
        <v>5392</v>
      </c>
      <c r="DL53" s="9">
        <v>0</v>
      </c>
      <c r="DM53" s="9">
        <v>208450</v>
      </c>
      <c r="DN53" s="9">
        <v>0</v>
      </c>
      <c r="DO53" s="9">
        <v>0</v>
      </c>
      <c r="DP53" s="9">
        <v>0</v>
      </c>
      <c r="DQ53" s="9">
        <v>0</v>
      </c>
      <c r="DR53" s="9">
        <v>0</v>
      </c>
      <c r="DS53" s="9">
        <v>0</v>
      </c>
      <c r="DT53" s="9">
        <v>0</v>
      </c>
      <c r="DU53" s="9">
        <v>0</v>
      </c>
      <c r="DV53" s="9">
        <v>0</v>
      </c>
      <c r="DW53" s="9">
        <v>0</v>
      </c>
      <c r="DX53" s="9">
        <v>0</v>
      </c>
      <c r="DY53" s="9">
        <v>0</v>
      </c>
      <c r="DZ53" s="9">
        <v>0</v>
      </c>
      <c r="EA53" s="9">
        <v>0</v>
      </c>
      <c r="EB53" s="9">
        <v>0</v>
      </c>
      <c r="EC53" s="9">
        <v>25.881</v>
      </c>
      <c r="ED53" s="9">
        <v>186387</v>
      </c>
      <c r="EE53" s="9">
        <v>0</v>
      </c>
      <c r="EF53" s="9">
        <v>0</v>
      </c>
      <c r="EG53" s="9">
        <v>0</v>
      </c>
      <c r="EH53" s="9">
        <v>22063</v>
      </c>
      <c r="EI53" s="9">
        <v>0</v>
      </c>
      <c r="EJ53" s="9">
        <v>0</v>
      </c>
      <c r="EK53" s="9">
        <v>0</v>
      </c>
      <c r="EL53" s="9">
        <v>0</v>
      </c>
      <c r="EM53" s="9">
        <v>0</v>
      </c>
      <c r="EN53" s="9">
        <v>0.67400000000000004</v>
      </c>
      <c r="EO53" s="9">
        <v>0</v>
      </c>
      <c r="EP53" s="9">
        <v>0</v>
      </c>
      <c r="EQ53" s="9">
        <v>0.67400000000000004</v>
      </c>
      <c r="ER53" s="9">
        <v>0</v>
      </c>
      <c r="ES53" s="9">
        <v>3.37</v>
      </c>
      <c r="ET53" s="9">
        <v>11042</v>
      </c>
      <c r="EU53" s="9">
        <v>274190</v>
      </c>
      <c r="EV53" s="9">
        <v>0</v>
      </c>
      <c r="EW53" s="9">
        <v>0</v>
      </c>
      <c r="EX53" s="9">
        <v>0</v>
      </c>
      <c r="EY53" s="9">
        <v>0</v>
      </c>
      <c r="EZ53" s="9">
        <v>4866006</v>
      </c>
      <c r="FA53" s="9">
        <v>0</v>
      </c>
      <c r="FB53" s="9">
        <v>5140196</v>
      </c>
      <c r="FC53" s="9">
        <v>0.97326799999999991</v>
      </c>
      <c r="FD53" s="9">
        <v>0</v>
      </c>
      <c r="FE53" s="9">
        <v>773918</v>
      </c>
      <c r="FF53" s="9">
        <v>164806</v>
      </c>
      <c r="FG53" s="9">
        <v>5.8088000000000001E-2</v>
      </c>
      <c r="FH53" s="9">
        <v>5.2622999999999996E-2</v>
      </c>
      <c r="FI53" s="9">
        <v>0</v>
      </c>
      <c r="FJ53" s="9">
        <v>0</v>
      </c>
      <c r="FK53" s="9">
        <v>980.22400000000005</v>
      </c>
      <c r="FL53" s="9">
        <v>6197348</v>
      </c>
      <c r="FM53" s="9">
        <v>0</v>
      </c>
      <c r="FN53" s="9">
        <v>0</v>
      </c>
      <c r="FO53" s="9">
        <v>0</v>
      </c>
      <c r="FP53" s="9">
        <v>0</v>
      </c>
      <c r="FQ53" s="9">
        <v>0</v>
      </c>
      <c r="FR53" s="9">
        <v>0</v>
      </c>
      <c r="FS53" s="9">
        <v>0</v>
      </c>
      <c r="FT53" s="9">
        <v>0</v>
      </c>
      <c r="FU53" s="9">
        <v>0</v>
      </c>
      <c r="FV53" s="9">
        <v>0</v>
      </c>
      <c r="FW53" s="9">
        <v>0</v>
      </c>
      <c r="FX53" s="9">
        <v>0</v>
      </c>
      <c r="FY53" s="9">
        <v>0</v>
      </c>
      <c r="FZ53" s="9">
        <v>0</v>
      </c>
      <c r="GA53" s="9">
        <v>0</v>
      </c>
      <c r="GB53" s="9">
        <v>0</v>
      </c>
      <c r="GC53" s="9">
        <v>0</v>
      </c>
      <c r="GD53" s="9">
        <v>0</v>
      </c>
      <c r="GE53" s="9">
        <v>0</v>
      </c>
      <c r="GF53" s="9">
        <v>0</v>
      </c>
      <c r="GG53" s="9">
        <v>0</v>
      </c>
      <c r="GH53" s="9">
        <v>0</v>
      </c>
      <c r="GI53" s="9">
        <v>0</v>
      </c>
      <c r="GJ53" s="9">
        <v>0</v>
      </c>
      <c r="GK53" s="9">
        <v>5231</v>
      </c>
      <c r="GL53" s="9">
        <v>9041</v>
      </c>
      <c r="GM53" s="9">
        <v>0</v>
      </c>
      <c r="GN53" s="9">
        <v>0</v>
      </c>
      <c r="GO53" s="9">
        <v>0</v>
      </c>
      <c r="GP53" s="9">
        <v>6078920</v>
      </c>
      <c r="GQ53" s="9">
        <v>6078920</v>
      </c>
      <c r="GR53" s="9">
        <v>0</v>
      </c>
      <c r="GS53" s="9">
        <v>0</v>
      </c>
      <c r="GT53" s="9">
        <v>0</v>
      </c>
      <c r="GU53" s="9">
        <v>0</v>
      </c>
      <c r="GV53" s="9">
        <v>0</v>
      </c>
      <c r="GW53" s="9">
        <v>0</v>
      </c>
      <c r="GX53" s="9">
        <v>0</v>
      </c>
      <c r="GY53" s="9">
        <v>0</v>
      </c>
      <c r="GZ53" s="9">
        <v>0</v>
      </c>
      <c r="HA53" s="9">
        <v>0</v>
      </c>
      <c r="HB53" s="9">
        <v>300501363</v>
      </c>
      <c r="HC53" s="9">
        <v>4.4742999999999998E-2</v>
      </c>
      <c r="HD53" s="9">
        <v>107386</v>
      </c>
      <c r="HE53" s="9">
        <v>0</v>
      </c>
      <c r="HF53" s="9">
        <v>0</v>
      </c>
      <c r="HG53" s="9">
        <v>0</v>
      </c>
      <c r="HH53" s="9">
        <v>0</v>
      </c>
      <c r="HI53" s="9">
        <v>0</v>
      </c>
      <c r="HJ53" s="9">
        <v>0</v>
      </c>
      <c r="HK53" s="9">
        <v>0</v>
      </c>
      <c r="HL53" s="9">
        <v>0</v>
      </c>
      <c r="HM53" s="9">
        <v>0</v>
      </c>
      <c r="HN53" s="9">
        <v>0</v>
      </c>
      <c r="HO53" s="9">
        <v>0</v>
      </c>
      <c r="HP53" s="9">
        <v>0</v>
      </c>
      <c r="HQ53" s="9">
        <v>0</v>
      </c>
      <c r="HR53" s="9">
        <v>0</v>
      </c>
      <c r="HS53" s="9">
        <v>0</v>
      </c>
      <c r="HT53" s="9">
        <v>0</v>
      </c>
      <c r="HU53" s="9">
        <v>0</v>
      </c>
      <c r="HV53" s="9">
        <v>0</v>
      </c>
      <c r="HW53" s="9">
        <v>0</v>
      </c>
      <c r="HX53" s="9">
        <v>0</v>
      </c>
      <c r="HY53" s="9">
        <v>0</v>
      </c>
      <c r="HZ53" s="9">
        <v>0</v>
      </c>
      <c r="IA53" s="9">
        <v>0</v>
      </c>
      <c r="IB53" s="9">
        <v>0</v>
      </c>
      <c r="IC53" s="9">
        <v>0</v>
      </c>
      <c r="ID53" s="9">
        <v>0</v>
      </c>
      <c r="IE53" s="9">
        <v>0</v>
      </c>
      <c r="IF53" s="9">
        <v>0</v>
      </c>
      <c r="IG53" s="9">
        <v>0</v>
      </c>
      <c r="IH53" s="9">
        <v>0</v>
      </c>
      <c r="II53" s="9">
        <v>0</v>
      </c>
      <c r="IJ53" s="9">
        <v>0</v>
      </c>
      <c r="IK53" s="9">
        <v>0</v>
      </c>
      <c r="IL53" s="9">
        <v>0</v>
      </c>
      <c r="IM53" s="9">
        <v>0</v>
      </c>
      <c r="IN53" s="9">
        <v>0</v>
      </c>
      <c r="IO53" s="9">
        <v>0</v>
      </c>
      <c r="IP53" s="9">
        <v>0</v>
      </c>
      <c r="IQ53" s="9">
        <v>0</v>
      </c>
      <c r="IR53" s="9">
        <v>0</v>
      </c>
      <c r="IS53" s="9">
        <v>0</v>
      </c>
      <c r="IT53" s="9">
        <v>0</v>
      </c>
      <c r="IU53" s="9">
        <v>0</v>
      </c>
      <c r="IV53" s="9">
        <v>0</v>
      </c>
      <c r="IW53" s="9">
        <v>0</v>
      </c>
      <c r="IX53" s="9">
        <v>0</v>
      </c>
      <c r="IY53" s="9">
        <v>0</v>
      </c>
      <c r="IZ53" s="9">
        <v>0</v>
      </c>
      <c r="JA53" s="9">
        <v>0</v>
      </c>
      <c r="JB53" s="9">
        <v>0</v>
      </c>
      <c r="JC53" s="9">
        <v>0</v>
      </c>
      <c r="JD53" s="9">
        <v>0</v>
      </c>
      <c r="JE53" s="9">
        <v>0</v>
      </c>
      <c r="JF53" s="9">
        <v>0</v>
      </c>
      <c r="JG53" s="9">
        <v>0</v>
      </c>
      <c r="JH53" s="9">
        <v>0</v>
      </c>
      <c r="JI53" s="9">
        <v>0</v>
      </c>
      <c r="JJ53" s="9">
        <v>0</v>
      </c>
      <c r="JK53" s="9">
        <v>0</v>
      </c>
      <c r="JL53" s="9">
        <v>0</v>
      </c>
      <c r="JM53" s="9">
        <v>0</v>
      </c>
      <c r="JN53" s="9">
        <v>36832</v>
      </c>
      <c r="JO53" s="9">
        <v>0</v>
      </c>
      <c r="JP53" s="9">
        <v>0</v>
      </c>
      <c r="JQ53" s="9">
        <v>0</v>
      </c>
      <c r="JR53" s="9">
        <v>0</v>
      </c>
      <c r="JS53" s="9">
        <v>0</v>
      </c>
      <c r="JT53" s="9">
        <v>0</v>
      </c>
      <c r="JU53" s="9">
        <v>0</v>
      </c>
      <c r="JV53" s="9">
        <v>0</v>
      </c>
      <c r="JW53" s="9">
        <v>0</v>
      </c>
      <c r="JX53" s="9">
        <v>0</v>
      </c>
      <c r="JY53" s="9">
        <v>0</v>
      </c>
      <c r="JZ53" s="9">
        <v>0</v>
      </c>
      <c r="KA53" s="9">
        <v>0</v>
      </c>
      <c r="KB53" s="9">
        <v>0</v>
      </c>
      <c r="KC53" s="9">
        <v>0</v>
      </c>
      <c r="KD53" s="9">
        <v>0</v>
      </c>
      <c r="KE53" s="9">
        <v>0</v>
      </c>
      <c r="KF53" s="9">
        <v>0</v>
      </c>
      <c r="KG53" s="9">
        <v>0</v>
      </c>
      <c r="KH53" s="9">
        <v>0</v>
      </c>
      <c r="KI53" s="9">
        <v>0</v>
      </c>
    </row>
    <row r="54" spans="1:295" x14ac:dyDescent="0.25">
      <c r="A54" s="9">
        <v>57828</v>
      </c>
      <c r="B54" s="9">
        <v>36871</v>
      </c>
      <c r="C54" s="9">
        <v>35</v>
      </c>
      <c r="D54" s="9">
        <v>2023</v>
      </c>
      <c r="E54" s="9">
        <v>5392</v>
      </c>
      <c r="F54" s="9">
        <v>0</v>
      </c>
      <c r="G54" s="9">
        <v>0</v>
      </c>
      <c r="H54" s="9">
        <v>790.71800000000007</v>
      </c>
      <c r="I54" s="9">
        <v>790.71800000000007</v>
      </c>
      <c r="J54" s="9">
        <v>911.01100000000008</v>
      </c>
      <c r="K54" s="9">
        <v>0</v>
      </c>
      <c r="L54" s="9">
        <v>6547</v>
      </c>
      <c r="M54" s="9">
        <v>0</v>
      </c>
      <c r="N54" s="9">
        <v>0</v>
      </c>
      <c r="O54" s="9">
        <v>0</v>
      </c>
      <c r="P54" s="9">
        <v>1003.7710000000001</v>
      </c>
      <c r="Q54" s="9">
        <v>0</v>
      </c>
      <c r="R54" s="9">
        <v>488758</v>
      </c>
      <c r="S54" s="9">
        <v>486.92200000000003</v>
      </c>
      <c r="T54" s="9">
        <v>0</v>
      </c>
      <c r="U54" s="9">
        <v>488758</v>
      </c>
      <c r="V54" s="9">
        <v>121.217</v>
      </c>
      <c r="W54" s="9">
        <v>79361</v>
      </c>
      <c r="X54" s="9">
        <v>79361</v>
      </c>
      <c r="Y54" s="9">
        <v>0</v>
      </c>
      <c r="Z54" s="9">
        <v>0</v>
      </c>
      <c r="AA54" s="9">
        <v>1</v>
      </c>
      <c r="AB54" s="9">
        <v>1</v>
      </c>
      <c r="AC54" s="9">
        <v>0</v>
      </c>
      <c r="AD54" s="9" t="s">
        <v>314</v>
      </c>
      <c r="AE54" s="9">
        <v>0</v>
      </c>
      <c r="AF54" s="9">
        <v>0</v>
      </c>
      <c r="AG54" s="9">
        <v>0</v>
      </c>
      <c r="AH54" s="9">
        <v>0</v>
      </c>
      <c r="AI54" s="9">
        <v>0</v>
      </c>
      <c r="AJ54" s="9">
        <v>5104</v>
      </c>
      <c r="AK54" s="9" t="s">
        <v>651</v>
      </c>
      <c r="AL54" s="9" t="s">
        <v>83</v>
      </c>
      <c r="AM54" s="9">
        <v>0</v>
      </c>
      <c r="AN54" s="9">
        <v>0</v>
      </c>
      <c r="AO54" s="9">
        <v>0</v>
      </c>
      <c r="AP54" s="9">
        <v>0</v>
      </c>
      <c r="AQ54" s="9">
        <v>0</v>
      </c>
      <c r="AR54" s="9">
        <v>0</v>
      </c>
      <c r="AS54" s="9">
        <v>0</v>
      </c>
      <c r="AT54" s="9">
        <v>0</v>
      </c>
      <c r="AU54" s="9">
        <v>0</v>
      </c>
      <c r="AV54" s="9">
        <v>32875</v>
      </c>
      <c r="AW54" s="9">
        <v>9338364</v>
      </c>
      <c r="AX54" s="9">
        <v>8927237</v>
      </c>
      <c r="AY54" s="9">
        <v>9689385</v>
      </c>
      <c r="AZ54" s="9">
        <v>739286</v>
      </c>
      <c r="BA54" s="9">
        <v>0</v>
      </c>
      <c r="BB54" s="9">
        <v>0</v>
      </c>
      <c r="BC54" s="9">
        <v>0</v>
      </c>
      <c r="BD54" s="9">
        <v>0</v>
      </c>
      <c r="BE54" s="9">
        <v>0</v>
      </c>
      <c r="BF54" s="9">
        <v>7747109</v>
      </c>
      <c r="BG54" s="9">
        <v>0</v>
      </c>
      <c r="BH54" s="9">
        <v>911.01100000000008</v>
      </c>
      <c r="BI54" s="9">
        <v>250528</v>
      </c>
      <c r="BJ54" s="9">
        <v>12</v>
      </c>
      <c r="BK54" s="9">
        <v>0</v>
      </c>
      <c r="BL54" s="9">
        <v>0</v>
      </c>
      <c r="BM54" s="9">
        <v>0</v>
      </c>
      <c r="BN54" s="9">
        <v>0</v>
      </c>
      <c r="BO54" s="9">
        <v>0</v>
      </c>
      <c r="BP54" s="9">
        <v>0</v>
      </c>
      <c r="BQ54" s="9">
        <v>5392</v>
      </c>
      <c r="BR54" s="9">
        <v>1</v>
      </c>
      <c r="BS54" s="9">
        <v>0</v>
      </c>
      <c r="BT54" s="9">
        <v>0</v>
      </c>
      <c r="BU54" s="9">
        <v>0</v>
      </c>
      <c r="BV54" s="9">
        <v>0</v>
      </c>
      <c r="BW54" s="9">
        <v>0</v>
      </c>
      <c r="BX54" s="9">
        <v>0</v>
      </c>
      <c r="BY54" s="9">
        <v>0</v>
      </c>
      <c r="BZ54" s="9">
        <v>0</v>
      </c>
      <c r="CA54" s="9">
        <v>0</v>
      </c>
      <c r="CB54" s="9">
        <v>0</v>
      </c>
      <c r="CC54" s="9">
        <v>0</v>
      </c>
      <c r="CD54" s="9">
        <v>0</v>
      </c>
      <c r="CE54" s="9">
        <v>0</v>
      </c>
      <c r="CF54" s="9">
        <v>0</v>
      </c>
      <c r="CG54" s="9">
        <v>0</v>
      </c>
      <c r="CH54" s="9">
        <v>160599</v>
      </c>
      <c r="CI54" s="9">
        <v>0</v>
      </c>
      <c r="CJ54" s="9">
        <v>4</v>
      </c>
      <c r="CK54" s="9">
        <v>0</v>
      </c>
      <c r="CL54" s="9">
        <v>0</v>
      </c>
      <c r="CM54" s="9">
        <v>0</v>
      </c>
      <c r="CN54" s="9">
        <v>0</v>
      </c>
      <c r="CO54" s="9">
        <v>0</v>
      </c>
      <c r="CP54" s="9">
        <v>0.20100000000000001</v>
      </c>
      <c r="CQ54" s="9">
        <v>0</v>
      </c>
      <c r="CR54" s="9">
        <v>990.54000000000008</v>
      </c>
      <c r="CS54" s="9">
        <v>0</v>
      </c>
      <c r="CT54" s="9">
        <v>0</v>
      </c>
      <c r="CU54" s="9">
        <v>0</v>
      </c>
      <c r="CV54" s="9">
        <v>0</v>
      </c>
      <c r="CW54" s="9">
        <v>0</v>
      </c>
      <c r="CX54" s="9">
        <v>0</v>
      </c>
      <c r="CY54" s="9">
        <v>0</v>
      </c>
      <c r="CZ54" s="9">
        <v>0</v>
      </c>
      <c r="DA54" s="9">
        <v>1</v>
      </c>
      <c r="DB54" s="9">
        <v>5176831</v>
      </c>
      <c r="DC54" s="9">
        <v>0</v>
      </c>
      <c r="DD54" s="9">
        <v>0</v>
      </c>
      <c r="DE54" s="9">
        <v>934479</v>
      </c>
      <c r="DF54" s="9">
        <v>937650</v>
      </c>
      <c r="DG54" s="9">
        <v>713.67</v>
      </c>
      <c r="DH54" s="9">
        <v>0</v>
      </c>
      <c r="DI54" s="9">
        <v>3171</v>
      </c>
      <c r="DJ54" s="9">
        <v>0</v>
      </c>
      <c r="DK54" s="9">
        <v>5392</v>
      </c>
      <c r="DL54" s="9">
        <v>0</v>
      </c>
      <c r="DM54" s="9">
        <v>959242</v>
      </c>
      <c r="DN54" s="9">
        <v>0</v>
      </c>
      <c r="DO54" s="9">
        <v>0</v>
      </c>
      <c r="DP54" s="9">
        <v>0</v>
      </c>
      <c r="DQ54" s="9">
        <v>0</v>
      </c>
      <c r="DR54" s="9">
        <v>0</v>
      </c>
      <c r="DS54" s="9">
        <v>0</v>
      </c>
      <c r="DT54" s="9">
        <v>0</v>
      </c>
      <c r="DU54" s="9">
        <v>0</v>
      </c>
      <c r="DV54" s="9">
        <v>0</v>
      </c>
      <c r="DW54" s="9">
        <v>0</v>
      </c>
      <c r="DX54" s="9">
        <v>0</v>
      </c>
      <c r="DY54" s="9">
        <v>0</v>
      </c>
      <c r="DZ54" s="9">
        <v>0</v>
      </c>
      <c r="EA54" s="9">
        <v>0</v>
      </c>
      <c r="EB54" s="9">
        <v>0</v>
      </c>
      <c r="EC54" s="9">
        <v>53.204000000000001</v>
      </c>
      <c r="ED54" s="9">
        <v>383159</v>
      </c>
      <c r="EE54" s="9">
        <v>0</v>
      </c>
      <c r="EF54" s="9">
        <v>0</v>
      </c>
      <c r="EG54" s="9">
        <v>0</v>
      </c>
      <c r="EH54" s="9">
        <v>573386</v>
      </c>
      <c r="EI54" s="9">
        <v>2697</v>
      </c>
      <c r="EJ54" s="9">
        <v>0.10300000000000001</v>
      </c>
      <c r="EK54" s="9">
        <v>28.475000000000001</v>
      </c>
      <c r="EL54" s="9">
        <v>0</v>
      </c>
      <c r="EM54" s="9">
        <v>0</v>
      </c>
      <c r="EN54" s="9">
        <v>0.43099999999999999</v>
      </c>
      <c r="EO54" s="9">
        <v>0</v>
      </c>
      <c r="EP54" s="9">
        <v>0</v>
      </c>
      <c r="EQ54" s="9">
        <v>29.009</v>
      </c>
      <c r="ER54" s="9">
        <v>0</v>
      </c>
      <c r="ES54" s="9">
        <v>87.58</v>
      </c>
      <c r="ET54" s="9">
        <v>0</v>
      </c>
      <c r="EU54" s="9">
        <v>739286</v>
      </c>
      <c r="EV54" s="9">
        <v>0</v>
      </c>
      <c r="EW54" s="9">
        <v>0</v>
      </c>
      <c r="EX54" s="9">
        <v>0</v>
      </c>
      <c r="EY54" s="9">
        <v>0</v>
      </c>
      <c r="EZ54" s="9">
        <v>7473569</v>
      </c>
      <c r="FA54" s="9">
        <v>0</v>
      </c>
      <c r="FB54" s="9">
        <v>8212855</v>
      </c>
      <c r="FC54" s="9">
        <v>0.97326799999999991</v>
      </c>
      <c r="FD54" s="9">
        <v>0</v>
      </c>
      <c r="FE54" s="9">
        <v>1198457</v>
      </c>
      <c r="FF54" s="9">
        <v>255211</v>
      </c>
      <c r="FG54" s="9">
        <v>5.8088000000000001E-2</v>
      </c>
      <c r="FH54" s="9">
        <v>5.2622999999999996E-2</v>
      </c>
      <c r="FI54" s="9">
        <v>0</v>
      </c>
      <c r="FJ54" s="9">
        <v>0</v>
      </c>
      <c r="FK54" s="9">
        <v>1517.933</v>
      </c>
      <c r="FL54" s="9">
        <v>9827122</v>
      </c>
      <c r="FM54" s="9">
        <v>0</v>
      </c>
      <c r="FN54" s="9">
        <v>0</v>
      </c>
      <c r="FO54" s="9">
        <v>2434</v>
      </c>
      <c r="FP54" s="9">
        <v>0</v>
      </c>
      <c r="FQ54" s="9">
        <v>2434</v>
      </c>
      <c r="FR54" s="9">
        <v>2434</v>
      </c>
      <c r="FS54" s="9">
        <v>0</v>
      </c>
      <c r="FT54" s="9">
        <v>0</v>
      </c>
      <c r="FU54" s="9">
        <v>0</v>
      </c>
      <c r="FV54" s="9">
        <v>0</v>
      </c>
      <c r="FW54" s="9">
        <v>0</v>
      </c>
      <c r="FX54" s="9">
        <v>0</v>
      </c>
      <c r="FY54" s="9">
        <v>0</v>
      </c>
      <c r="FZ54" s="9">
        <v>0</v>
      </c>
      <c r="GA54" s="9">
        <v>0</v>
      </c>
      <c r="GB54" s="9">
        <v>806809</v>
      </c>
      <c r="GC54" s="9">
        <v>806809</v>
      </c>
      <c r="GD54" s="9">
        <v>91.284000000000006</v>
      </c>
      <c r="GE54" s="9">
        <v>0</v>
      </c>
      <c r="GF54" s="9">
        <v>0</v>
      </c>
      <c r="GG54" s="9">
        <v>0</v>
      </c>
      <c r="GH54" s="9">
        <v>0</v>
      </c>
      <c r="GI54" s="9">
        <v>0</v>
      </c>
      <c r="GJ54" s="9">
        <v>0</v>
      </c>
      <c r="GK54" s="9">
        <v>5252</v>
      </c>
      <c r="GL54" s="9">
        <v>52841</v>
      </c>
      <c r="GM54" s="9">
        <v>0</v>
      </c>
      <c r="GN54" s="9">
        <v>0</v>
      </c>
      <c r="GO54" s="9">
        <v>0</v>
      </c>
      <c r="GP54" s="9">
        <v>9666523</v>
      </c>
      <c r="GQ54" s="9">
        <v>9666523</v>
      </c>
      <c r="GR54" s="9">
        <v>0</v>
      </c>
      <c r="GS54" s="9">
        <v>0</v>
      </c>
      <c r="GT54" s="9">
        <v>0</v>
      </c>
      <c r="GU54" s="9">
        <v>0</v>
      </c>
      <c r="GV54" s="9">
        <v>0</v>
      </c>
      <c r="GW54" s="9">
        <v>0</v>
      </c>
      <c r="GX54" s="9">
        <v>0</v>
      </c>
      <c r="GY54" s="9">
        <v>0</v>
      </c>
      <c r="GZ54" s="9">
        <v>0</v>
      </c>
      <c r="HA54" s="9">
        <v>0</v>
      </c>
      <c r="HB54" s="9">
        <v>300501363</v>
      </c>
      <c r="HC54" s="9">
        <v>4.4742999999999998E-2</v>
      </c>
      <c r="HD54" s="9">
        <v>160599</v>
      </c>
      <c r="HE54" s="9">
        <v>0</v>
      </c>
      <c r="HF54" s="9">
        <v>0</v>
      </c>
      <c r="HG54" s="9">
        <v>0</v>
      </c>
      <c r="HH54" s="9">
        <v>0</v>
      </c>
      <c r="HI54" s="9">
        <v>0</v>
      </c>
      <c r="HJ54" s="9">
        <v>0</v>
      </c>
      <c r="HK54" s="9">
        <v>0</v>
      </c>
      <c r="HL54" s="9">
        <v>0</v>
      </c>
      <c r="HM54" s="9">
        <v>0</v>
      </c>
      <c r="HN54" s="9">
        <v>0</v>
      </c>
      <c r="HO54" s="9">
        <v>0</v>
      </c>
      <c r="HP54" s="9">
        <v>0</v>
      </c>
      <c r="HQ54" s="9">
        <v>0</v>
      </c>
      <c r="HR54" s="9">
        <v>0</v>
      </c>
      <c r="HS54" s="9">
        <v>0</v>
      </c>
      <c r="HT54" s="9">
        <v>0</v>
      </c>
      <c r="HU54" s="9">
        <v>0</v>
      </c>
      <c r="HV54" s="9">
        <v>0</v>
      </c>
      <c r="HW54" s="9">
        <v>0</v>
      </c>
      <c r="HX54" s="9">
        <v>0</v>
      </c>
      <c r="HY54" s="9">
        <v>0</v>
      </c>
      <c r="HZ54" s="9">
        <v>0</v>
      </c>
      <c r="IA54" s="9">
        <v>0</v>
      </c>
      <c r="IB54" s="9">
        <v>0</v>
      </c>
      <c r="IC54" s="9">
        <v>0</v>
      </c>
      <c r="ID54" s="9">
        <v>0</v>
      </c>
      <c r="IE54" s="9">
        <v>0</v>
      </c>
      <c r="IF54" s="9">
        <v>0</v>
      </c>
      <c r="IG54" s="9">
        <v>0</v>
      </c>
      <c r="IH54" s="9">
        <v>0</v>
      </c>
      <c r="II54" s="9">
        <v>0</v>
      </c>
      <c r="IJ54" s="9">
        <v>0</v>
      </c>
      <c r="IK54" s="9">
        <v>0</v>
      </c>
      <c r="IL54" s="9">
        <v>0</v>
      </c>
      <c r="IM54" s="9">
        <v>0</v>
      </c>
      <c r="IN54" s="9">
        <v>0</v>
      </c>
      <c r="IO54" s="9">
        <v>0</v>
      </c>
      <c r="IP54" s="9">
        <v>0</v>
      </c>
      <c r="IQ54" s="9">
        <v>0</v>
      </c>
      <c r="IR54" s="9">
        <v>0</v>
      </c>
      <c r="IS54" s="9">
        <v>0</v>
      </c>
      <c r="IT54" s="9">
        <v>0</v>
      </c>
      <c r="IU54" s="9">
        <v>0</v>
      </c>
      <c r="IV54" s="9">
        <v>0</v>
      </c>
      <c r="IW54" s="9">
        <v>0</v>
      </c>
      <c r="IX54" s="9">
        <v>0</v>
      </c>
      <c r="IY54" s="9">
        <v>0</v>
      </c>
      <c r="IZ54" s="9">
        <v>0</v>
      </c>
      <c r="JA54" s="9">
        <v>0</v>
      </c>
      <c r="JB54" s="9">
        <v>0</v>
      </c>
      <c r="JC54" s="9">
        <v>0</v>
      </c>
      <c r="JD54" s="9">
        <v>0</v>
      </c>
      <c r="JE54" s="9">
        <v>0</v>
      </c>
      <c r="JF54" s="9">
        <v>0</v>
      </c>
      <c r="JG54" s="9">
        <v>0</v>
      </c>
      <c r="JH54" s="9">
        <v>0</v>
      </c>
      <c r="JI54" s="9">
        <v>0</v>
      </c>
      <c r="JJ54" s="9">
        <v>0</v>
      </c>
      <c r="JK54" s="9">
        <v>0</v>
      </c>
      <c r="JL54" s="9">
        <v>0</v>
      </c>
      <c r="JM54" s="9">
        <v>0</v>
      </c>
      <c r="JN54" s="9">
        <v>36832</v>
      </c>
      <c r="JO54" s="9">
        <v>0</v>
      </c>
      <c r="JP54" s="9">
        <v>0</v>
      </c>
      <c r="JQ54" s="9">
        <v>0</v>
      </c>
      <c r="JR54" s="9">
        <v>0</v>
      </c>
      <c r="JS54" s="9">
        <v>0</v>
      </c>
      <c r="JT54" s="9">
        <v>0</v>
      </c>
      <c r="JU54" s="9">
        <v>0</v>
      </c>
      <c r="JV54" s="9">
        <v>0</v>
      </c>
      <c r="JW54" s="9">
        <v>0</v>
      </c>
      <c r="JX54" s="9">
        <v>0</v>
      </c>
      <c r="JY54" s="9">
        <v>0</v>
      </c>
      <c r="JZ54" s="9">
        <v>0</v>
      </c>
      <c r="KA54" s="9">
        <v>0</v>
      </c>
      <c r="KB54" s="9">
        <v>0</v>
      </c>
      <c r="KC54" s="9">
        <v>0</v>
      </c>
      <c r="KD54" s="9">
        <v>0</v>
      </c>
      <c r="KE54" s="9">
        <v>0</v>
      </c>
      <c r="KF54" s="9">
        <v>0</v>
      </c>
      <c r="KG54" s="9">
        <v>0</v>
      </c>
      <c r="KH54" s="9">
        <v>0</v>
      </c>
      <c r="KI54" s="9">
        <v>0</v>
      </c>
    </row>
    <row r="55" spans="1:295" x14ac:dyDescent="0.25">
      <c r="A55" s="9">
        <v>57829</v>
      </c>
      <c r="B55" s="9">
        <v>36871</v>
      </c>
      <c r="C55" s="9">
        <v>35</v>
      </c>
      <c r="D55" s="9">
        <v>2023</v>
      </c>
      <c r="E55" s="9">
        <v>5392</v>
      </c>
      <c r="F55" s="9">
        <v>0</v>
      </c>
      <c r="G55" s="9">
        <v>0</v>
      </c>
      <c r="H55" s="9">
        <v>1205.568</v>
      </c>
      <c r="I55" s="9">
        <v>1205.568</v>
      </c>
      <c r="J55" s="9">
        <v>1312.1660000000002</v>
      </c>
      <c r="K55" s="9">
        <v>0</v>
      </c>
      <c r="L55" s="9">
        <v>6547</v>
      </c>
      <c r="M55" s="9">
        <v>0</v>
      </c>
      <c r="N55" s="9">
        <v>0</v>
      </c>
      <c r="O55" s="9">
        <v>0</v>
      </c>
      <c r="P55" s="9">
        <v>1280.048</v>
      </c>
      <c r="Q55" s="9">
        <v>0</v>
      </c>
      <c r="R55" s="9">
        <v>623284</v>
      </c>
      <c r="S55" s="9">
        <v>486.92200000000003</v>
      </c>
      <c r="T55" s="9">
        <v>0</v>
      </c>
      <c r="U55" s="9">
        <v>623284</v>
      </c>
      <c r="V55" s="9">
        <v>588.56299999999999</v>
      </c>
      <c r="W55" s="9">
        <v>385332</v>
      </c>
      <c r="X55" s="9">
        <v>385332</v>
      </c>
      <c r="Y55" s="9">
        <v>0</v>
      </c>
      <c r="Z55" s="9">
        <v>0</v>
      </c>
      <c r="AA55" s="9">
        <v>1</v>
      </c>
      <c r="AB55" s="9">
        <v>1</v>
      </c>
      <c r="AC55" s="9">
        <v>0</v>
      </c>
      <c r="AD55" s="9" t="s">
        <v>314</v>
      </c>
      <c r="AE55" s="9">
        <v>0</v>
      </c>
      <c r="AF55" s="9">
        <v>0</v>
      </c>
      <c r="AG55" s="9">
        <v>0</v>
      </c>
      <c r="AH55" s="9">
        <v>0</v>
      </c>
      <c r="AI55" s="9">
        <v>0</v>
      </c>
      <c r="AJ55" s="9">
        <v>5104</v>
      </c>
      <c r="AK55" s="9" t="s">
        <v>651</v>
      </c>
      <c r="AL55" s="9" t="s">
        <v>44</v>
      </c>
      <c r="AM55" s="9">
        <v>0</v>
      </c>
      <c r="AN55" s="9">
        <v>0</v>
      </c>
      <c r="AO55" s="9">
        <v>0</v>
      </c>
      <c r="AP55" s="9">
        <v>0</v>
      </c>
      <c r="AQ55" s="9">
        <v>0</v>
      </c>
      <c r="AR55" s="9">
        <v>0</v>
      </c>
      <c r="AS55" s="9">
        <v>0</v>
      </c>
      <c r="AT55" s="9">
        <v>0</v>
      </c>
      <c r="AU55" s="9">
        <v>0</v>
      </c>
      <c r="AV55" s="9">
        <v>-383992</v>
      </c>
      <c r="AW55" s="9">
        <v>13385439</v>
      </c>
      <c r="AX55" s="9">
        <v>13004494</v>
      </c>
      <c r="AY55" s="9">
        <v>13858430</v>
      </c>
      <c r="AZ55" s="9">
        <v>729224</v>
      </c>
      <c r="BA55" s="9">
        <v>82.332999999999998</v>
      </c>
      <c r="BB55" s="9">
        <v>51545</v>
      </c>
      <c r="BC55" s="9">
        <v>51545</v>
      </c>
      <c r="BD55" s="9">
        <v>65.608000000000004</v>
      </c>
      <c r="BE55" s="9">
        <v>0</v>
      </c>
      <c r="BF55" s="9">
        <v>11215298</v>
      </c>
      <c r="BG55" s="9">
        <v>0</v>
      </c>
      <c r="BH55" s="9">
        <v>385.238</v>
      </c>
      <c r="BI55" s="9">
        <v>105940</v>
      </c>
      <c r="BJ55" s="9">
        <v>12</v>
      </c>
      <c r="BK55" s="9">
        <v>0</v>
      </c>
      <c r="BL55" s="9">
        <v>0</v>
      </c>
      <c r="BM55" s="9">
        <v>0</v>
      </c>
      <c r="BN55" s="9">
        <v>0</v>
      </c>
      <c r="BO55" s="9">
        <v>0</v>
      </c>
      <c r="BP55" s="9">
        <v>0</v>
      </c>
      <c r="BQ55" s="9">
        <v>5392</v>
      </c>
      <c r="BR55" s="9">
        <v>1</v>
      </c>
      <c r="BS55" s="9">
        <v>0</v>
      </c>
      <c r="BT55" s="9">
        <v>0</v>
      </c>
      <c r="BU55" s="9">
        <v>0</v>
      </c>
      <c r="BV55" s="9">
        <v>0</v>
      </c>
      <c r="BW55" s="9">
        <v>0</v>
      </c>
      <c r="BX55" s="9">
        <v>0</v>
      </c>
      <c r="BY55" s="9">
        <v>0</v>
      </c>
      <c r="BZ55" s="9">
        <v>0</v>
      </c>
      <c r="CA55" s="9">
        <v>0</v>
      </c>
      <c r="CB55" s="9">
        <v>0</v>
      </c>
      <c r="CC55" s="9">
        <v>0</v>
      </c>
      <c r="CD55" s="9">
        <v>0</v>
      </c>
      <c r="CE55" s="9">
        <v>0</v>
      </c>
      <c r="CF55" s="9">
        <v>0</v>
      </c>
      <c r="CG55" s="9">
        <v>0</v>
      </c>
      <c r="CH55" s="9">
        <v>275005</v>
      </c>
      <c r="CI55" s="9">
        <v>0</v>
      </c>
      <c r="CJ55" s="9">
        <v>4</v>
      </c>
      <c r="CK55" s="9">
        <v>0</v>
      </c>
      <c r="CL55" s="9">
        <v>0</v>
      </c>
      <c r="CM55" s="9">
        <v>0</v>
      </c>
      <c r="CN55" s="9">
        <v>0</v>
      </c>
      <c r="CO55" s="9">
        <v>0</v>
      </c>
      <c r="CP55" s="9">
        <v>0</v>
      </c>
      <c r="CQ55" s="9">
        <v>10.083</v>
      </c>
      <c r="CR55" s="9">
        <v>1222.0640000000001</v>
      </c>
      <c r="CS55" s="9">
        <v>0</v>
      </c>
      <c r="CT55" s="9">
        <v>0</v>
      </c>
      <c r="CU55" s="9">
        <v>0</v>
      </c>
      <c r="CV55" s="9">
        <v>0</v>
      </c>
      <c r="CW55" s="9">
        <v>0</v>
      </c>
      <c r="CX55" s="9">
        <v>0</v>
      </c>
      <c r="CY55" s="9">
        <v>0</v>
      </c>
      <c r="CZ55" s="9">
        <v>0</v>
      </c>
      <c r="DA55" s="9">
        <v>1</v>
      </c>
      <c r="DB55" s="9">
        <v>7892854</v>
      </c>
      <c r="DC55" s="9">
        <v>0</v>
      </c>
      <c r="DD55" s="9">
        <v>0</v>
      </c>
      <c r="DE55" s="9">
        <v>1502969</v>
      </c>
      <c r="DF55" s="9">
        <v>1502969</v>
      </c>
      <c r="DG55" s="9">
        <v>1147.83</v>
      </c>
      <c r="DH55" s="9">
        <v>0</v>
      </c>
      <c r="DI55" s="9">
        <v>0</v>
      </c>
      <c r="DJ55" s="9">
        <v>0</v>
      </c>
      <c r="DK55" s="9">
        <v>5392</v>
      </c>
      <c r="DL55" s="9">
        <v>0</v>
      </c>
      <c r="DM55" s="9">
        <v>1055686</v>
      </c>
      <c r="DN55" s="9">
        <v>0</v>
      </c>
      <c r="DO55" s="9">
        <v>5141</v>
      </c>
      <c r="DP55" s="9">
        <v>0</v>
      </c>
      <c r="DQ55" s="9">
        <v>0</v>
      </c>
      <c r="DR55" s="9">
        <v>0</v>
      </c>
      <c r="DS55" s="9">
        <v>0</v>
      </c>
      <c r="DT55" s="9">
        <v>0</v>
      </c>
      <c r="DU55" s="9">
        <v>0</v>
      </c>
      <c r="DV55" s="9">
        <v>0.34900000000000003</v>
      </c>
      <c r="DW55" s="9">
        <v>0</v>
      </c>
      <c r="DX55" s="9">
        <v>0</v>
      </c>
      <c r="DY55" s="9">
        <v>0</v>
      </c>
      <c r="DZ55" s="9">
        <v>1.0470000000000002</v>
      </c>
      <c r="EA55" s="9">
        <v>0</v>
      </c>
      <c r="EB55" s="9">
        <v>0</v>
      </c>
      <c r="EC55" s="9">
        <v>45.94</v>
      </c>
      <c r="ED55" s="9">
        <v>330846</v>
      </c>
      <c r="EE55" s="9">
        <v>0</v>
      </c>
      <c r="EF55" s="9">
        <v>0</v>
      </c>
      <c r="EG55" s="9">
        <v>0</v>
      </c>
      <c r="EH55" s="9">
        <v>719699</v>
      </c>
      <c r="EI55" s="9">
        <v>0</v>
      </c>
      <c r="EJ55" s="9">
        <v>0</v>
      </c>
      <c r="EK55" s="9">
        <v>21.763000000000002</v>
      </c>
      <c r="EL55" s="9">
        <v>0</v>
      </c>
      <c r="EM55" s="9">
        <v>10.168000000000001</v>
      </c>
      <c r="EN55" s="9">
        <v>2.827</v>
      </c>
      <c r="EO55" s="9">
        <v>0</v>
      </c>
      <c r="EP55" s="9">
        <v>0</v>
      </c>
      <c r="EQ55" s="9">
        <v>34.758000000000003</v>
      </c>
      <c r="ER55" s="9">
        <v>0</v>
      </c>
      <c r="ES55" s="9">
        <v>109.92800000000001</v>
      </c>
      <c r="ET55" s="9">
        <v>43687</v>
      </c>
      <c r="EU55" s="9">
        <v>729224</v>
      </c>
      <c r="EV55" s="9">
        <v>0</v>
      </c>
      <c r="EW55" s="9">
        <v>0</v>
      </c>
      <c r="EX55" s="9">
        <v>0</v>
      </c>
      <c r="EY55" s="9">
        <v>0</v>
      </c>
      <c r="EZ55" s="9">
        <v>10900056</v>
      </c>
      <c r="FA55" s="9">
        <v>0</v>
      </c>
      <c r="FB55" s="9">
        <v>11629280</v>
      </c>
      <c r="FC55" s="9">
        <v>0.97326799999999991</v>
      </c>
      <c r="FD55" s="9">
        <v>0</v>
      </c>
      <c r="FE55" s="9">
        <v>1734976</v>
      </c>
      <c r="FF55" s="9">
        <v>369462</v>
      </c>
      <c r="FG55" s="9">
        <v>5.8088000000000001E-2</v>
      </c>
      <c r="FH55" s="9">
        <v>5.2622999999999996E-2</v>
      </c>
      <c r="FI55" s="9">
        <v>0</v>
      </c>
      <c r="FJ55" s="9">
        <v>0</v>
      </c>
      <c r="FK55" s="9">
        <v>2197.4740000000002</v>
      </c>
      <c r="FL55" s="9">
        <v>14008723</v>
      </c>
      <c r="FM55" s="9">
        <v>0</v>
      </c>
      <c r="FN55" s="9">
        <v>0</v>
      </c>
      <c r="FO55" s="9">
        <v>0</v>
      </c>
      <c r="FP55" s="9">
        <v>0</v>
      </c>
      <c r="FQ55" s="9">
        <v>0</v>
      </c>
      <c r="FR55" s="9">
        <v>0</v>
      </c>
      <c r="FS55" s="9">
        <v>0</v>
      </c>
      <c r="FT55" s="9">
        <v>0</v>
      </c>
      <c r="FU55" s="9">
        <v>0</v>
      </c>
      <c r="FV55" s="9">
        <v>0</v>
      </c>
      <c r="FW55" s="9">
        <v>0</v>
      </c>
      <c r="FX55" s="9">
        <v>0</v>
      </c>
      <c r="FY55" s="9">
        <v>0</v>
      </c>
      <c r="FZ55" s="9">
        <v>0</v>
      </c>
      <c r="GA55" s="9">
        <v>0</v>
      </c>
      <c r="GB55" s="9">
        <v>634954</v>
      </c>
      <c r="GC55" s="9">
        <v>634954</v>
      </c>
      <c r="GD55" s="9">
        <v>71.84</v>
      </c>
      <c r="GE55" s="9">
        <v>0</v>
      </c>
      <c r="GF55" s="9">
        <v>0</v>
      </c>
      <c r="GG55" s="9">
        <v>0</v>
      </c>
      <c r="GH55" s="9">
        <v>0</v>
      </c>
      <c r="GI55" s="9">
        <v>0</v>
      </c>
      <c r="GJ55" s="9">
        <v>0</v>
      </c>
      <c r="GK55" s="9">
        <v>5239</v>
      </c>
      <c r="GL55" s="9">
        <v>31387</v>
      </c>
      <c r="GM55" s="9">
        <v>0</v>
      </c>
      <c r="GN55" s="9">
        <v>0</v>
      </c>
      <c r="GO55" s="9">
        <v>0</v>
      </c>
      <c r="GP55" s="9">
        <v>13733718</v>
      </c>
      <c r="GQ55" s="9">
        <v>13733718</v>
      </c>
      <c r="GR55" s="9">
        <v>0</v>
      </c>
      <c r="GS55" s="9">
        <v>0</v>
      </c>
      <c r="GT55" s="9">
        <v>0</v>
      </c>
      <c r="GU55" s="9">
        <v>0</v>
      </c>
      <c r="GV55" s="9">
        <v>0</v>
      </c>
      <c r="GW55" s="9">
        <v>0</v>
      </c>
      <c r="GX55" s="9">
        <v>0</v>
      </c>
      <c r="GY55" s="9">
        <v>0</v>
      </c>
      <c r="GZ55" s="9">
        <v>0</v>
      </c>
      <c r="HA55" s="9">
        <v>0</v>
      </c>
      <c r="HB55" s="9">
        <v>300501363</v>
      </c>
      <c r="HC55" s="9">
        <v>4.4742999999999998E-2</v>
      </c>
      <c r="HD55" s="9">
        <v>231318</v>
      </c>
      <c r="HE55" s="9">
        <v>0</v>
      </c>
      <c r="HF55" s="9">
        <v>0</v>
      </c>
      <c r="HG55" s="9">
        <v>0</v>
      </c>
      <c r="HH55" s="9">
        <v>0</v>
      </c>
      <c r="HI55" s="9">
        <v>0</v>
      </c>
      <c r="HJ55" s="9">
        <v>0</v>
      </c>
      <c r="HK55" s="9">
        <v>0</v>
      </c>
      <c r="HL55" s="9">
        <v>0</v>
      </c>
      <c r="HM55" s="9">
        <v>0</v>
      </c>
      <c r="HN55" s="9">
        <v>0</v>
      </c>
      <c r="HO55" s="9">
        <v>0</v>
      </c>
      <c r="HP55" s="9">
        <v>0</v>
      </c>
      <c r="HQ55" s="9">
        <v>0</v>
      </c>
      <c r="HR55" s="9">
        <v>0</v>
      </c>
      <c r="HS55" s="9">
        <v>0</v>
      </c>
      <c r="HT55" s="9">
        <v>0</v>
      </c>
      <c r="HU55" s="9">
        <v>0</v>
      </c>
      <c r="HV55" s="9">
        <v>0</v>
      </c>
      <c r="HW55" s="9">
        <v>0</v>
      </c>
      <c r="HX55" s="9">
        <v>0</v>
      </c>
      <c r="HY55" s="9">
        <v>0</v>
      </c>
      <c r="HZ55" s="9">
        <v>0</v>
      </c>
      <c r="IA55" s="9">
        <v>0</v>
      </c>
      <c r="IB55" s="9">
        <v>0</v>
      </c>
      <c r="IC55" s="9">
        <v>0</v>
      </c>
      <c r="ID55" s="9">
        <v>0</v>
      </c>
      <c r="IE55" s="9">
        <v>0</v>
      </c>
      <c r="IF55" s="9">
        <v>0</v>
      </c>
      <c r="IG55" s="9">
        <v>0</v>
      </c>
      <c r="IH55" s="9">
        <v>0</v>
      </c>
      <c r="II55" s="9">
        <v>0</v>
      </c>
      <c r="IJ55" s="9">
        <v>0</v>
      </c>
      <c r="IK55" s="9">
        <v>0</v>
      </c>
      <c r="IL55" s="9">
        <v>0</v>
      </c>
      <c r="IM55" s="9">
        <v>0</v>
      </c>
      <c r="IN55" s="9">
        <v>0</v>
      </c>
      <c r="IO55" s="9">
        <v>0</v>
      </c>
      <c r="IP55" s="9">
        <v>0</v>
      </c>
      <c r="IQ55" s="9">
        <v>0</v>
      </c>
      <c r="IR55" s="9">
        <v>0</v>
      </c>
      <c r="IS55" s="9">
        <v>0</v>
      </c>
      <c r="IT55" s="9">
        <v>0</v>
      </c>
      <c r="IU55" s="9">
        <v>0</v>
      </c>
      <c r="IV55" s="9">
        <v>0</v>
      </c>
      <c r="IW55" s="9">
        <v>0</v>
      </c>
      <c r="IX55" s="9">
        <v>0</v>
      </c>
      <c r="IY55" s="9">
        <v>0</v>
      </c>
      <c r="IZ55" s="9">
        <v>0</v>
      </c>
      <c r="JA55" s="9">
        <v>0</v>
      </c>
      <c r="JB55" s="9">
        <v>0</v>
      </c>
      <c r="JC55" s="9">
        <v>0</v>
      </c>
      <c r="JD55" s="9">
        <v>0</v>
      </c>
      <c r="JE55" s="9">
        <v>0</v>
      </c>
      <c r="JF55" s="9">
        <v>0</v>
      </c>
      <c r="JG55" s="9">
        <v>0</v>
      </c>
      <c r="JH55" s="9">
        <v>0</v>
      </c>
      <c r="JI55" s="9">
        <v>0</v>
      </c>
      <c r="JJ55" s="9">
        <v>0</v>
      </c>
      <c r="JK55" s="9">
        <v>0</v>
      </c>
      <c r="JL55" s="9">
        <v>0</v>
      </c>
      <c r="JM55" s="9">
        <v>0</v>
      </c>
      <c r="JN55" s="9">
        <v>36832</v>
      </c>
      <c r="JO55" s="9">
        <v>0</v>
      </c>
      <c r="JP55" s="9">
        <v>0</v>
      </c>
      <c r="JQ55" s="9">
        <v>0</v>
      </c>
      <c r="JR55" s="9">
        <v>0</v>
      </c>
      <c r="JS55" s="9">
        <v>0</v>
      </c>
      <c r="JT55" s="9">
        <v>0</v>
      </c>
      <c r="JU55" s="9">
        <v>0</v>
      </c>
      <c r="JV55" s="9">
        <v>0</v>
      </c>
      <c r="JW55" s="9">
        <v>0</v>
      </c>
      <c r="JX55" s="9">
        <v>0</v>
      </c>
      <c r="JY55" s="9">
        <v>0</v>
      </c>
      <c r="JZ55" s="9">
        <v>0</v>
      </c>
      <c r="KA55" s="9">
        <v>0</v>
      </c>
      <c r="KB55" s="9">
        <v>0</v>
      </c>
      <c r="KC55" s="9">
        <v>0</v>
      </c>
      <c r="KD55" s="9">
        <v>0</v>
      </c>
      <c r="KE55" s="9">
        <v>0</v>
      </c>
      <c r="KF55" s="9">
        <v>0</v>
      </c>
      <c r="KG55" s="9">
        <v>0</v>
      </c>
      <c r="KH55" s="9">
        <v>0</v>
      </c>
      <c r="KI55" s="9">
        <v>0</v>
      </c>
    </row>
    <row r="56" spans="1:295" x14ac:dyDescent="0.25">
      <c r="A56" s="9">
        <v>57830</v>
      </c>
      <c r="B56" s="9">
        <v>36871</v>
      </c>
      <c r="C56" s="9">
        <v>35</v>
      </c>
      <c r="D56" s="9">
        <v>2023</v>
      </c>
      <c r="E56" s="9">
        <v>5392</v>
      </c>
      <c r="F56" s="9">
        <v>0</v>
      </c>
      <c r="G56" s="9">
        <v>0</v>
      </c>
      <c r="H56" s="9">
        <v>1145.396</v>
      </c>
      <c r="I56" s="9">
        <v>1145.396</v>
      </c>
      <c r="J56" s="9">
        <v>1195.9470000000001</v>
      </c>
      <c r="K56" s="9">
        <v>0</v>
      </c>
      <c r="L56" s="9">
        <v>6547</v>
      </c>
      <c r="M56" s="9">
        <v>0</v>
      </c>
      <c r="N56" s="9">
        <v>0</v>
      </c>
      <c r="O56" s="9">
        <v>0</v>
      </c>
      <c r="P56" s="9">
        <v>1201.8990000000001</v>
      </c>
      <c r="Q56" s="9">
        <v>0</v>
      </c>
      <c r="R56" s="9">
        <v>585231</v>
      </c>
      <c r="S56" s="9">
        <v>486.92200000000003</v>
      </c>
      <c r="T56" s="9">
        <v>0</v>
      </c>
      <c r="U56" s="9">
        <v>585231</v>
      </c>
      <c r="V56" s="9">
        <v>515.94000000000005</v>
      </c>
      <c r="W56" s="9">
        <v>337786</v>
      </c>
      <c r="X56" s="9">
        <v>337786</v>
      </c>
      <c r="Y56" s="9">
        <v>0</v>
      </c>
      <c r="Z56" s="9">
        <v>0</v>
      </c>
      <c r="AA56" s="9">
        <v>1</v>
      </c>
      <c r="AB56" s="9">
        <v>1</v>
      </c>
      <c r="AC56" s="9">
        <v>0</v>
      </c>
      <c r="AD56" s="9" t="s">
        <v>314</v>
      </c>
      <c r="AE56" s="9">
        <v>0</v>
      </c>
      <c r="AF56" s="9">
        <v>0</v>
      </c>
      <c r="AG56" s="9">
        <v>0</v>
      </c>
      <c r="AH56" s="9">
        <v>0</v>
      </c>
      <c r="AI56" s="9">
        <v>0</v>
      </c>
      <c r="AJ56" s="9">
        <v>5104</v>
      </c>
      <c r="AK56" s="9" t="s">
        <v>651</v>
      </c>
      <c r="AL56" s="9" t="s">
        <v>45</v>
      </c>
      <c r="AM56" s="9">
        <v>0</v>
      </c>
      <c r="AN56" s="9">
        <v>0</v>
      </c>
      <c r="AO56" s="9">
        <v>0</v>
      </c>
      <c r="AP56" s="9">
        <v>0</v>
      </c>
      <c r="AQ56" s="9">
        <v>0</v>
      </c>
      <c r="AR56" s="9">
        <v>0</v>
      </c>
      <c r="AS56" s="9">
        <v>0</v>
      </c>
      <c r="AT56" s="9">
        <v>0</v>
      </c>
      <c r="AU56" s="9">
        <v>0</v>
      </c>
      <c r="AV56" s="9">
        <v>-422998</v>
      </c>
      <c r="AW56" s="9">
        <v>12002224</v>
      </c>
      <c r="AX56" s="9">
        <v>11654835</v>
      </c>
      <c r="AY56" s="9">
        <v>12141197</v>
      </c>
      <c r="AZ56" s="9">
        <v>676686</v>
      </c>
      <c r="BA56" s="9">
        <v>85.417000000000002</v>
      </c>
      <c r="BB56" s="9">
        <v>26712</v>
      </c>
      <c r="BC56" s="9">
        <v>26712</v>
      </c>
      <c r="BD56" s="9">
        <v>34</v>
      </c>
      <c r="BE56" s="9">
        <v>0</v>
      </c>
      <c r="BF56" s="9">
        <v>10073248</v>
      </c>
      <c r="BG56" s="9">
        <v>0</v>
      </c>
      <c r="BH56" s="9">
        <v>332.56400000000002</v>
      </c>
      <c r="BI56" s="9">
        <v>91455</v>
      </c>
      <c r="BJ56" s="9">
        <v>12</v>
      </c>
      <c r="BK56" s="9">
        <v>0</v>
      </c>
      <c r="BL56" s="9">
        <v>0</v>
      </c>
      <c r="BM56" s="9">
        <v>0</v>
      </c>
      <c r="BN56" s="9">
        <v>0</v>
      </c>
      <c r="BO56" s="9">
        <v>0</v>
      </c>
      <c r="BP56" s="9">
        <v>0</v>
      </c>
      <c r="BQ56" s="9">
        <v>5392</v>
      </c>
      <c r="BR56" s="9">
        <v>1</v>
      </c>
      <c r="BS56" s="9">
        <v>0</v>
      </c>
      <c r="BT56" s="9">
        <v>0</v>
      </c>
      <c r="BU56" s="9">
        <v>0</v>
      </c>
      <c r="BV56" s="9">
        <v>0</v>
      </c>
      <c r="BW56" s="9">
        <v>0</v>
      </c>
      <c r="BX56" s="9">
        <v>0</v>
      </c>
      <c r="BY56" s="9">
        <v>0</v>
      </c>
      <c r="BZ56" s="9">
        <v>0</v>
      </c>
      <c r="CA56" s="9">
        <v>0</v>
      </c>
      <c r="CB56" s="9">
        <v>0</v>
      </c>
      <c r="CC56" s="9">
        <v>0</v>
      </c>
      <c r="CD56" s="9">
        <v>0</v>
      </c>
      <c r="CE56" s="9">
        <v>0</v>
      </c>
      <c r="CF56" s="9">
        <v>0</v>
      </c>
      <c r="CG56" s="9">
        <v>0</v>
      </c>
      <c r="CH56" s="9">
        <v>255934</v>
      </c>
      <c r="CI56" s="9">
        <v>0</v>
      </c>
      <c r="CJ56" s="9">
        <v>4</v>
      </c>
      <c r="CK56" s="9">
        <v>0</v>
      </c>
      <c r="CL56" s="9">
        <v>0</v>
      </c>
      <c r="CM56" s="9">
        <v>0</v>
      </c>
      <c r="CN56" s="9">
        <v>0</v>
      </c>
      <c r="CO56" s="9">
        <v>0</v>
      </c>
      <c r="CP56" s="9">
        <v>0</v>
      </c>
      <c r="CQ56" s="9">
        <v>9.5830000000000002</v>
      </c>
      <c r="CR56" s="9">
        <v>1138.9000000000001</v>
      </c>
      <c r="CS56" s="9">
        <v>0</v>
      </c>
      <c r="CT56" s="9">
        <v>0</v>
      </c>
      <c r="CU56" s="9">
        <v>0</v>
      </c>
      <c r="CV56" s="9">
        <v>0</v>
      </c>
      <c r="CW56" s="9">
        <v>0</v>
      </c>
      <c r="CX56" s="9">
        <v>0</v>
      </c>
      <c r="CY56" s="9">
        <v>0</v>
      </c>
      <c r="CZ56" s="9">
        <v>0</v>
      </c>
      <c r="DA56" s="9">
        <v>1</v>
      </c>
      <c r="DB56" s="9">
        <v>7498908</v>
      </c>
      <c r="DC56" s="9">
        <v>0</v>
      </c>
      <c r="DD56" s="9">
        <v>0</v>
      </c>
      <c r="DE56" s="9">
        <v>1437119</v>
      </c>
      <c r="DF56" s="9">
        <v>1437119</v>
      </c>
      <c r="DG56" s="9">
        <v>1097.54</v>
      </c>
      <c r="DH56" s="9">
        <v>0</v>
      </c>
      <c r="DI56" s="9">
        <v>0</v>
      </c>
      <c r="DJ56" s="9">
        <v>0</v>
      </c>
      <c r="DK56" s="9">
        <v>5392</v>
      </c>
      <c r="DL56" s="9">
        <v>0</v>
      </c>
      <c r="DM56" s="9">
        <v>791023</v>
      </c>
      <c r="DN56" s="9">
        <v>0</v>
      </c>
      <c r="DO56" s="9">
        <v>0</v>
      </c>
      <c r="DP56" s="9">
        <v>0</v>
      </c>
      <c r="DQ56" s="9">
        <v>0</v>
      </c>
      <c r="DR56" s="9">
        <v>0</v>
      </c>
      <c r="DS56" s="9">
        <v>0</v>
      </c>
      <c r="DT56" s="9">
        <v>0</v>
      </c>
      <c r="DU56" s="9">
        <v>0</v>
      </c>
      <c r="DV56" s="9">
        <v>0</v>
      </c>
      <c r="DW56" s="9">
        <v>0</v>
      </c>
      <c r="DX56" s="9">
        <v>0</v>
      </c>
      <c r="DY56" s="9">
        <v>0</v>
      </c>
      <c r="DZ56" s="9">
        <v>0</v>
      </c>
      <c r="EA56" s="9">
        <v>0</v>
      </c>
      <c r="EB56" s="9">
        <v>0</v>
      </c>
      <c r="EC56" s="9">
        <v>47.882000000000005</v>
      </c>
      <c r="ED56" s="9">
        <v>344832</v>
      </c>
      <c r="EE56" s="9">
        <v>0</v>
      </c>
      <c r="EF56" s="9">
        <v>0</v>
      </c>
      <c r="EG56" s="9">
        <v>0</v>
      </c>
      <c r="EH56" s="9">
        <v>446191</v>
      </c>
      <c r="EI56" s="9">
        <v>0</v>
      </c>
      <c r="EJ56" s="9">
        <v>0</v>
      </c>
      <c r="EK56" s="9">
        <v>15.735000000000001</v>
      </c>
      <c r="EL56" s="9">
        <v>0</v>
      </c>
      <c r="EM56" s="9">
        <v>3.484</v>
      </c>
      <c r="EN56" s="9">
        <v>2.0990000000000002</v>
      </c>
      <c r="EO56" s="9">
        <v>0</v>
      </c>
      <c r="EP56" s="9">
        <v>0</v>
      </c>
      <c r="EQ56" s="9">
        <v>21.318000000000001</v>
      </c>
      <c r="ER56" s="9">
        <v>0</v>
      </c>
      <c r="ES56" s="9">
        <v>68.152000000000001</v>
      </c>
      <c r="ET56" s="9">
        <v>45104</v>
      </c>
      <c r="EU56" s="9">
        <v>676686</v>
      </c>
      <c r="EV56" s="9">
        <v>0</v>
      </c>
      <c r="EW56" s="9">
        <v>0</v>
      </c>
      <c r="EX56" s="9">
        <v>0</v>
      </c>
      <c r="EY56" s="9">
        <v>0</v>
      </c>
      <c r="EZ56" s="9">
        <v>9764691</v>
      </c>
      <c r="FA56" s="9">
        <v>0</v>
      </c>
      <c r="FB56" s="9">
        <v>10441377</v>
      </c>
      <c r="FC56" s="9">
        <v>0.97326799999999991</v>
      </c>
      <c r="FD56" s="9">
        <v>0</v>
      </c>
      <c r="FE56" s="9">
        <v>1558304</v>
      </c>
      <c r="FF56" s="9">
        <v>331840</v>
      </c>
      <c r="FG56" s="9">
        <v>5.8088000000000001E-2</v>
      </c>
      <c r="FH56" s="9">
        <v>5.2622999999999996E-2</v>
      </c>
      <c r="FI56" s="9">
        <v>0</v>
      </c>
      <c r="FJ56" s="9">
        <v>0</v>
      </c>
      <c r="FK56" s="9">
        <v>1973.7060000000001</v>
      </c>
      <c r="FL56" s="9">
        <v>12587455</v>
      </c>
      <c r="FM56" s="9">
        <v>0</v>
      </c>
      <c r="FN56" s="9">
        <v>0</v>
      </c>
      <c r="FO56" s="9">
        <v>0</v>
      </c>
      <c r="FP56" s="9">
        <v>0</v>
      </c>
      <c r="FQ56" s="9">
        <v>0</v>
      </c>
      <c r="FR56" s="9">
        <v>0</v>
      </c>
      <c r="FS56" s="9">
        <v>0</v>
      </c>
      <c r="FT56" s="9">
        <v>0</v>
      </c>
      <c r="FU56" s="9">
        <v>0</v>
      </c>
      <c r="FV56" s="9">
        <v>0</v>
      </c>
      <c r="FW56" s="9">
        <v>0</v>
      </c>
      <c r="FX56" s="9">
        <v>0</v>
      </c>
      <c r="FY56" s="9">
        <v>0</v>
      </c>
      <c r="FZ56" s="9">
        <v>0</v>
      </c>
      <c r="GA56" s="9">
        <v>0</v>
      </c>
      <c r="GB56" s="9">
        <v>258374</v>
      </c>
      <c r="GC56" s="9">
        <v>258374</v>
      </c>
      <c r="GD56" s="9">
        <v>29.233000000000001</v>
      </c>
      <c r="GE56" s="9">
        <v>0</v>
      </c>
      <c r="GF56" s="9">
        <v>0</v>
      </c>
      <c r="GG56" s="9">
        <v>0</v>
      </c>
      <c r="GH56" s="9">
        <v>0</v>
      </c>
      <c r="GI56" s="9">
        <v>0</v>
      </c>
      <c r="GJ56" s="9">
        <v>0</v>
      </c>
      <c r="GK56" s="9">
        <v>5226</v>
      </c>
      <c r="GL56" s="9">
        <v>27510</v>
      </c>
      <c r="GM56" s="9">
        <v>0</v>
      </c>
      <c r="GN56" s="9">
        <v>0</v>
      </c>
      <c r="GO56" s="9">
        <v>0</v>
      </c>
      <c r="GP56" s="9">
        <v>12331521</v>
      </c>
      <c r="GQ56" s="9">
        <v>12331521</v>
      </c>
      <c r="GR56" s="9">
        <v>0</v>
      </c>
      <c r="GS56" s="9">
        <v>0</v>
      </c>
      <c r="GT56" s="9">
        <v>0</v>
      </c>
      <c r="GU56" s="9">
        <v>0</v>
      </c>
      <c r="GV56" s="9">
        <v>0</v>
      </c>
      <c r="GW56" s="9">
        <v>0</v>
      </c>
      <c r="GX56" s="9">
        <v>0</v>
      </c>
      <c r="GY56" s="9">
        <v>0</v>
      </c>
      <c r="GZ56" s="9">
        <v>0</v>
      </c>
      <c r="HA56" s="9">
        <v>0</v>
      </c>
      <c r="HB56" s="9">
        <v>300501363</v>
      </c>
      <c r="HC56" s="9">
        <v>4.4742999999999998E-2</v>
      </c>
      <c r="HD56" s="9">
        <v>210830</v>
      </c>
      <c r="HE56" s="9">
        <v>0</v>
      </c>
      <c r="HF56" s="9">
        <v>0</v>
      </c>
      <c r="HG56" s="9">
        <v>0</v>
      </c>
      <c r="HH56" s="9">
        <v>0</v>
      </c>
      <c r="HI56" s="9">
        <v>0</v>
      </c>
      <c r="HJ56" s="9">
        <v>0</v>
      </c>
      <c r="HK56" s="9">
        <v>0</v>
      </c>
      <c r="HL56" s="9">
        <v>0</v>
      </c>
      <c r="HM56" s="9">
        <v>0</v>
      </c>
      <c r="HN56" s="9">
        <v>0</v>
      </c>
      <c r="HO56" s="9">
        <v>0</v>
      </c>
      <c r="HP56" s="9">
        <v>0</v>
      </c>
      <c r="HQ56" s="9">
        <v>0</v>
      </c>
      <c r="HR56" s="9">
        <v>0</v>
      </c>
      <c r="HS56" s="9">
        <v>0</v>
      </c>
      <c r="HT56" s="9">
        <v>0</v>
      </c>
      <c r="HU56" s="9">
        <v>0</v>
      </c>
      <c r="HV56" s="9">
        <v>0</v>
      </c>
      <c r="HW56" s="9">
        <v>0</v>
      </c>
      <c r="HX56" s="9">
        <v>0</v>
      </c>
      <c r="HY56" s="9">
        <v>0</v>
      </c>
      <c r="HZ56" s="9">
        <v>0</v>
      </c>
      <c r="IA56" s="9">
        <v>0</v>
      </c>
      <c r="IB56" s="9">
        <v>0</v>
      </c>
      <c r="IC56" s="9">
        <v>0</v>
      </c>
      <c r="ID56" s="9">
        <v>0</v>
      </c>
      <c r="IE56" s="9">
        <v>0</v>
      </c>
      <c r="IF56" s="9">
        <v>0</v>
      </c>
      <c r="IG56" s="9">
        <v>0</v>
      </c>
      <c r="IH56" s="9">
        <v>0</v>
      </c>
      <c r="II56" s="9">
        <v>0</v>
      </c>
      <c r="IJ56" s="9">
        <v>0</v>
      </c>
      <c r="IK56" s="9">
        <v>0</v>
      </c>
      <c r="IL56" s="9">
        <v>0</v>
      </c>
      <c r="IM56" s="9">
        <v>0</v>
      </c>
      <c r="IN56" s="9">
        <v>0</v>
      </c>
      <c r="IO56" s="9">
        <v>0</v>
      </c>
      <c r="IP56" s="9">
        <v>0</v>
      </c>
      <c r="IQ56" s="9">
        <v>0</v>
      </c>
      <c r="IR56" s="9">
        <v>0</v>
      </c>
      <c r="IS56" s="9">
        <v>0</v>
      </c>
      <c r="IT56" s="9">
        <v>0</v>
      </c>
      <c r="IU56" s="9">
        <v>0</v>
      </c>
      <c r="IV56" s="9">
        <v>0</v>
      </c>
      <c r="IW56" s="9">
        <v>0</v>
      </c>
      <c r="IX56" s="9">
        <v>0</v>
      </c>
      <c r="IY56" s="9">
        <v>0</v>
      </c>
      <c r="IZ56" s="9">
        <v>0</v>
      </c>
      <c r="JA56" s="9">
        <v>0</v>
      </c>
      <c r="JB56" s="9">
        <v>0</v>
      </c>
      <c r="JC56" s="9">
        <v>0</v>
      </c>
      <c r="JD56" s="9">
        <v>0</v>
      </c>
      <c r="JE56" s="9">
        <v>0</v>
      </c>
      <c r="JF56" s="9">
        <v>0</v>
      </c>
      <c r="JG56" s="9">
        <v>0</v>
      </c>
      <c r="JH56" s="9">
        <v>0</v>
      </c>
      <c r="JI56" s="9">
        <v>0</v>
      </c>
      <c r="JJ56" s="9">
        <v>0</v>
      </c>
      <c r="JK56" s="9">
        <v>0</v>
      </c>
      <c r="JL56" s="9">
        <v>0</v>
      </c>
      <c r="JM56" s="9">
        <v>0</v>
      </c>
      <c r="JN56" s="9">
        <v>36832</v>
      </c>
      <c r="JO56" s="9">
        <v>0</v>
      </c>
      <c r="JP56" s="9">
        <v>0</v>
      </c>
      <c r="JQ56" s="9">
        <v>0</v>
      </c>
      <c r="JR56" s="9">
        <v>0</v>
      </c>
      <c r="JS56" s="9">
        <v>0</v>
      </c>
      <c r="JT56" s="9">
        <v>0</v>
      </c>
      <c r="JU56" s="9">
        <v>0</v>
      </c>
      <c r="JV56" s="9">
        <v>0</v>
      </c>
      <c r="JW56" s="9">
        <v>0</v>
      </c>
      <c r="JX56" s="9">
        <v>0</v>
      </c>
      <c r="JY56" s="9">
        <v>0</v>
      </c>
      <c r="JZ56" s="9">
        <v>0</v>
      </c>
      <c r="KA56" s="9">
        <v>0</v>
      </c>
      <c r="KB56" s="9">
        <v>0</v>
      </c>
      <c r="KC56" s="9">
        <v>0</v>
      </c>
      <c r="KD56" s="9">
        <v>0</v>
      </c>
      <c r="KE56" s="9">
        <v>0</v>
      </c>
      <c r="KF56" s="9">
        <v>0</v>
      </c>
      <c r="KG56" s="9">
        <v>0</v>
      </c>
      <c r="KH56" s="9">
        <v>0</v>
      </c>
      <c r="KI56" s="9">
        <v>0</v>
      </c>
    </row>
    <row r="57" spans="1:295" x14ac:dyDescent="0.25">
      <c r="A57" s="9">
        <v>57831</v>
      </c>
      <c r="B57" s="9">
        <v>36871</v>
      </c>
      <c r="C57" s="9">
        <v>35</v>
      </c>
      <c r="D57" s="9">
        <v>2023</v>
      </c>
      <c r="E57" s="9">
        <v>5392</v>
      </c>
      <c r="F57" s="9">
        <v>0</v>
      </c>
      <c r="G57" s="9">
        <v>0</v>
      </c>
      <c r="H57" s="9">
        <v>590.91100000000006</v>
      </c>
      <c r="I57" s="9">
        <v>590.91100000000006</v>
      </c>
      <c r="J57" s="9">
        <v>625.41700000000003</v>
      </c>
      <c r="K57" s="9">
        <v>0</v>
      </c>
      <c r="L57" s="9">
        <v>6547</v>
      </c>
      <c r="M57" s="9">
        <v>0</v>
      </c>
      <c r="N57" s="9">
        <v>0</v>
      </c>
      <c r="O57" s="9">
        <v>0</v>
      </c>
      <c r="P57" s="9">
        <v>639.54500000000007</v>
      </c>
      <c r="Q57" s="9">
        <v>0</v>
      </c>
      <c r="R57" s="9">
        <v>311409</v>
      </c>
      <c r="S57" s="9">
        <v>486.92200000000003</v>
      </c>
      <c r="T57" s="9">
        <v>0</v>
      </c>
      <c r="U57" s="9">
        <v>311409</v>
      </c>
      <c r="V57" s="9">
        <v>0</v>
      </c>
      <c r="W57" s="9">
        <v>0</v>
      </c>
      <c r="X57" s="9">
        <v>0</v>
      </c>
      <c r="Y57" s="9">
        <v>0</v>
      </c>
      <c r="Z57" s="9">
        <v>0</v>
      </c>
      <c r="AA57" s="9">
        <v>1</v>
      </c>
      <c r="AB57" s="9">
        <v>1</v>
      </c>
      <c r="AC57" s="9">
        <v>0</v>
      </c>
      <c r="AD57" s="9" t="s">
        <v>314</v>
      </c>
      <c r="AE57" s="9">
        <v>0</v>
      </c>
      <c r="AF57" s="9">
        <v>0</v>
      </c>
      <c r="AG57" s="9">
        <v>0</v>
      </c>
      <c r="AH57" s="9">
        <v>0</v>
      </c>
      <c r="AI57" s="9">
        <v>0</v>
      </c>
      <c r="AJ57" s="9">
        <v>5104</v>
      </c>
      <c r="AK57" s="9" t="s">
        <v>651</v>
      </c>
      <c r="AL57" s="9" t="s">
        <v>46</v>
      </c>
      <c r="AM57" s="9">
        <v>0</v>
      </c>
      <c r="AN57" s="9">
        <v>0</v>
      </c>
      <c r="AO57" s="9">
        <v>0</v>
      </c>
      <c r="AP57" s="9">
        <v>0</v>
      </c>
      <c r="AQ57" s="9">
        <v>0</v>
      </c>
      <c r="AR57" s="9">
        <v>0</v>
      </c>
      <c r="AS57" s="9">
        <v>0</v>
      </c>
      <c r="AT57" s="9">
        <v>0</v>
      </c>
      <c r="AU57" s="9">
        <v>0</v>
      </c>
      <c r="AV57" s="9">
        <v>-187611</v>
      </c>
      <c r="AW57" s="9">
        <v>6301426</v>
      </c>
      <c r="AX57" s="9">
        <v>6137661</v>
      </c>
      <c r="AY57" s="9">
        <v>6608390</v>
      </c>
      <c r="AZ57" s="9">
        <v>349567</v>
      </c>
      <c r="BA57" s="9">
        <v>30.667000000000002</v>
      </c>
      <c r="BB57" s="9">
        <v>4714</v>
      </c>
      <c r="BC57" s="9">
        <v>4714</v>
      </c>
      <c r="BD57" s="9">
        <v>6</v>
      </c>
      <c r="BE57" s="9">
        <v>0</v>
      </c>
      <c r="BF57" s="9">
        <v>5276491</v>
      </c>
      <c r="BG57" s="9">
        <v>0</v>
      </c>
      <c r="BH57" s="9">
        <v>138.755</v>
      </c>
      <c r="BI57" s="9">
        <v>38158</v>
      </c>
      <c r="BJ57" s="9">
        <v>12</v>
      </c>
      <c r="BK57" s="9">
        <v>0</v>
      </c>
      <c r="BL57" s="9">
        <v>0</v>
      </c>
      <c r="BM57" s="9">
        <v>0</v>
      </c>
      <c r="BN57" s="9">
        <v>0</v>
      </c>
      <c r="BO57" s="9">
        <v>0</v>
      </c>
      <c r="BP57" s="9">
        <v>0</v>
      </c>
      <c r="BQ57" s="9">
        <v>5392</v>
      </c>
      <c r="BR57" s="9">
        <v>1</v>
      </c>
      <c r="BS57" s="9">
        <v>0</v>
      </c>
      <c r="BT57" s="9">
        <v>0</v>
      </c>
      <c r="BU57" s="9">
        <v>0</v>
      </c>
      <c r="BV57" s="9">
        <v>0</v>
      </c>
      <c r="BW57" s="9">
        <v>0</v>
      </c>
      <c r="BX57" s="9">
        <v>0</v>
      </c>
      <c r="BY57" s="9">
        <v>0</v>
      </c>
      <c r="BZ57" s="9">
        <v>0</v>
      </c>
      <c r="CA57" s="9">
        <v>0</v>
      </c>
      <c r="CB57" s="9">
        <v>0</v>
      </c>
      <c r="CC57" s="9">
        <v>0</v>
      </c>
      <c r="CD57" s="9">
        <v>0</v>
      </c>
      <c r="CE57" s="9">
        <v>0</v>
      </c>
      <c r="CF57" s="9">
        <v>0</v>
      </c>
      <c r="CG57" s="9">
        <v>0</v>
      </c>
      <c r="CH57" s="9">
        <v>125607</v>
      </c>
      <c r="CI57" s="9">
        <v>0</v>
      </c>
      <c r="CJ57" s="9">
        <v>4</v>
      </c>
      <c r="CK57" s="9">
        <v>0</v>
      </c>
      <c r="CL57" s="9">
        <v>0</v>
      </c>
      <c r="CM57" s="9">
        <v>0</v>
      </c>
      <c r="CN57" s="9">
        <v>0</v>
      </c>
      <c r="CO57" s="9">
        <v>0</v>
      </c>
      <c r="CP57" s="9">
        <v>0</v>
      </c>
      <c r="CQ57" s="9">
        <v>8.3000000000000004E-2</v>
      </c>
      <c r="CR57" s="9">
        <v>612.245</v>
      </c>
      <c r="CS57" s="9">
        <v>0</v>
      </c>
      <c r="CT57" s="9">
        <v>0</v>
      </c>
      <c r="CU57" s="9">
        <v>0</v>
      </c>
      <c r="CV57" s="9">
        <v>0</v>
      </c>
      <c r="CW57" s="9">
        <v>0</v>
      </c>
      <c r="CX57" s="9">
        <v>0</v>
      </c>
      <c r="CY57" s="9">
        <v>0</v>
      </c>
      <c r="CZ57" s="9">
        <v>0</v>
      </c>
      <c r="DA57" s="9">
        <v>1</v>
      </c>
      <c r="DB57" s="9">
        <v>3868694</v>
      </c>
      <c r="DC57" s="9">
        <v>0</v>
      </c>
      <c r="DD57" s="9">
        <v>0</v>
      </c>
      <c r="DE57" s="9">
        <v>988165</v>
      </c>
      <c r="DF57" s="9">
        <v>988165</v>
      </c>
      <c r="DG57" s="9">
        <v>754.67</v>
      </c>
      <c r="DH57" s="9">
        <v>0</v>
      </c>
      <c r="DI57" s="9">
        <v>0</v>
      </c>
      <c r="DJ57" s="9">
        <v>0</v>
      </c>
      <c r="DK57" s="9">
        <v>5392</v>
      </c>
      <c r="DL57" s="9">
        <v>0</v>
      </c>
      <c r="DM57" s="9">
        <v>259513</v>
      </c>
      <c r="DN57" s="9">
        <v>0</v>
      </c>
      <c r="DO57" s="9">
        <v>0</v>
      </c>
      <c r="DP57" s="9">
        <v>0</v>
      </c>
      <c r="DQ57" s="9">
        <v>0</v>
      </c>
      <c r="DR57" s="9">
        <v>0</v>
      </c>
      <c r="DS57" s="9">
        <v>0</v>
      </c>
      <c r="DT57" s="9">
        <v>0</v>
      </c>
      <c r="DU57" s="9">
        <v>0</v>
      </c>
      <c r="DV57" s="9">
        <v>0</v>
      </c>
      <c r="DW57" s="9">
        <v>0</v>
      </c>
      <c r="DX57" s="9">
        <v>0</v>
      </c>
      <c r="DY57" s="9">
        <v>0</v>
      </c>
      <c r="DZ57" s="9">
        <v>0</v>
      </c>
      <c r="EA57" s="9">
        <v>0</v>
      </c>
      <c r="EB57" s="9">
        <v>0</v>
      </c>
      <c r="EC57" s="9">
        <v>33.643999999999998</v>
      </c>
      <c r="ED57" s="9">
        <v>242294</v>
      </c>
      <c r="EE57" s="9">
        <v>0</v>
      </c>
      <c r="EF57" s="9">
        <v>0</v>
      </c>
      <c r="EG57" s="9">
        <v>0</v>
      </c>
      <c r="EH57" s="9">
        <v>17219</v>
      </c>
      <c r="EI57" s="9">
        <v>0</v>
      </c>
      <c r="EJ57" s="9">
        <v>0</v>
      </c>
      <c r="EK57" s="9">
        <v>0</v>
      </c>
      <c r="EL57" s="9">
        <v>0</v>
      </c>
      <c r="EM57" s="9">
        <v>0</v>
      </c>
      <c r="EN57" s="9">
        <v>0.52600000000000002</v>
      </c>
      <c r="EO57" s="9">
        <v>0</v>
      </c>
      <c r="EP57" s="9">
        <v>0</v>
      </c>
      <c r="EQ57" s="9">
        <v>0.52600000000000002</v>
      </c>
      <c r="ER57" s="9">
        <v>0</v>
      </c>
      <c r="ES57" s="9">
        <v>2.63</v>
      </c>
      <c r="ET57" s="9">
        <v>15354</v>
      </c>
      <c r="EU57" s="9">
        <v>349567</v>
      </c>
      <c r="EV57" s="9">
        <v>0</v>
      </c>
      <c r="EW57" s="9">
        <v>0</v>
      </c>
      <c r="EX57" s="9">
        <v>0</v>
      </c>
      <c r="EY57" s="9">
        <v>0</v>
      </c>
      <c r="EZ57" s="9">
        <v>5147580</v>
      </c>
      <c r="FA57" s="9">
        <v>0</v>
      </c>
      <c r="FB57" s="9">
        <v>5497147</v>
      </c>
      <c r="FC57" s="9">
        <v>0.97326799999999991</v>
      </c>
      <c r="FD57" s="9">
        <v>0</v>
      </c>
      <c r="FE57" s="9">
        <v>816259</v>
      </c>
      <c r="FF57" s="9">
        <v>173822</v>
      </c>
      <c r="FG57" s="9">
        <v>5.8088000000000001E-2</v>
      </c>
      <c r="FH57" s="9">
        <v>5.2622999999999996E-2</v>
      </c>
      <c r="FI57" s="9">
        <v>0</v>
      </c>
      <c r="FJ57" s="9">
        <v>0</v>
      </c>
      <c r="FK57" s="9">
        <v>1033.8520000000001</v>
      </c>
      <c r="FL57" s="9">
        <v>6612835</v>
      </c>
      <c r="FM57" s="9">
        <v>0</v>
      </c>
      <c r="FN57" s="9">
        <v>0</v>
      </c>
      <c r="FO57" s="9">
        <v>37572</v>
      </c>
      <c r="FP57" s="9">
        <v>0</v>
      </c>
      <c r="FQ57" s="9">
        <v>37572</v>
      </c>
      <c r="FR57" s="9">
        <v>37572</v>
      </c>
      <c r="FS57" s="9">
        <v>0</v>
      </c>
      <c r="FT57" s="9">
        <v>0</v>
      </c>
      <c r="FU57" s="9">
        <v>0</v>
      </c>
      <c r="FV57" s="9">
        <v>0</v>
      </c>
      <c r="FW57" s="9">
        <v>0</v>
      </c>
      <c r="FX57" s="9">
        <v>0</v>
      </c>
      <c r="FY57" s="9">
        <v>0</v>
      </c>
      <c r="FZ57" s="9">
        <v>0</v>
      </c>
      <c r="GA57" s="9">
        <v>0</v>
      </c>
      <c r="GB57" s="9">
        <v>300331</v>
      </c>
      <c r="GC57" s="9">
        <v>300331</v>
      </c>
      <c r="GD57" s="9">
        <v>33.980000000000004</v>
      </c>
      <c r="GE57" s="9">
        <v>0</v>
      </c>
      <c r="GF57" s="9">
        <v>0</v>
      </c>
      <c r="GG57" s="9">
        <v>0</v>
      </c>
      <c r="GH57" s="9">
        <v>0</v>
      </c>
      <c r="GI57" s="9">
        <v>0</v>
      </c>
      <c r="GJ57" s="9">
        <v>0</v>
      </c>
      <c r="GK57" s="9">
        <v>5309</v>
      </c>
      <c r="GL57" s="9">
        <v>22155</v>
      </c>
      <c r="GM57" s="9">
        <v>0</v>
      </c>
      <c r="GN57" s="9">
        <v>52168</v>
      </c>
      <c r="GO57" s="9">
        <v>0</v>
      </c>
      <c r="GP57" s="9">
        <v>6487228</v>
      </c>
      <c r="GQ57" s="9">
        <v>6487228</v>
      </c>
      <c r="GR57" s="9">
        <v>0</v>
      </c>
      <c r="GS57" s="9">
        <v>0</v>
      </c>
      <c r="GT57" s="9">
        <v>0</v>
      </c>
      <c r="GU57" s="9">
        <v>0</v>
      </c>
      <c r="GV57" s="9">
        <v>0</v>
      </c>
      <c r="GW57" s="9">
        <v>0</v>
      </c>
      <c r="GX57" s="9">
        <v>0</v>
      </c>
      <c r="GY57" s="9">
        <v>0</v>
      </c>
      <c r="GZ57" s="9">
        <v>0</v>
      </c>
      <c r="HA57" s="9">
        <v>0</v>
      </c>
      <c r="HB57" s="9">
        <v>300501363</v>
      </c>
      <c r="HC57" s="9">
        <v>4.4742999999999998E-2</v>
      </c>
      <c r="HD57" s="9">
        <v>110253</v>
      </c>
      <c r="HE57" s="9">
        <v>0</v>
      </c>
      <c r="HF57" s="9">
        <v>0</v>
      </c>
      <c r="HG57" s="9">
        <v>0</v>
      </c>
      <c r="HH57" s="9">
        <v>0</v>
      </c>
      <c r="HI57" s="9">
        <v>0</v>
      </c>
      <c r="HJ57" s="9">
        <v>0</v>
      </c>
      <c r="HK57" s="9">
        <v>0</v>
      </c>
      <c r="HL57" s="9">
        <v>0</v>
      </c>
      <c r="HM57" s="9">
        <v>0</v>
      </c>
      <c r="HN57" s="9">
        <v>0</v>
      </c>
      <c r="HO57" s="9">
        <v>0</v>
      </c>
      <c r="HP57" s="9">
        <v>0</v>
      </c>
      <c r="HQ57" s="9">
        <v>0</v>
      </c>
      <c r="HR57" s="9">
        <v>0</v>
      </c>
      <c r="HS57" s="9">
        <v>0</v>
      </c>
      <c r="HT57" s="9">
        <v>0</v>
      </c>
      <c r="HU57" s="9">
        <v>0</v>
      </c>
      <c r="HV57" s="9">
        <v>0</v>
      </c>
      <c r="HW57" s="9">
        <v>0</v>
      </c>
      <c r="HX57" s="9">
        <v>0</v>
      </c>
      <c r="HY57" s="9">
        <v>0</v>
      </c>
      <c r="HZ57" s="9">
        <v>0</v>
      </c>
      <c r="IA57" s="9">
        <v>0</v>
      </c>
      <c r="IB57" s="9">
        <v>0</v>
      </c>
      <c r="IC57" s="9">
        <v>0</v>
      </c>
      <c r="ID57" s="9">
        <v>0</v>
      </c>
      <c r="IE57" s="9">
        <v>0</v>
      </c>
      <c r="IF57" s="9">
        <v>0</v>
      </c>
      <c r="IG57" s="9">
        <v>0</v>
      </c>
      <c r="IH57" s="9">
        <v>0</v>
      </c>
      <c r="II57" s="9">
        <v>0</v>
      </c>
      <c r="IJ57" s="9">
        <v>0</v>
      </c>
      <c r="IK57" s="9">
        <v>0</v>
      </c>
      <c r="IL57" s="9">
        <v>0</v>
      </c>
      <c r="IM57" s="9">
        <v>0</v>
      </c>
      <c r="IN57" s="9">
        <v>0</v>
      </c>
      <c r="IO57" s="9">
        <v>0</v>
      </c>
      <c r="IP57" s="9">
        <v>0</v>
      </c>
      <c r="IQ57" s="9">
        <v>0</v>
      </c>
      <c r="IR57" s="9">
        <v>0</v>
      </c>
      <c r="IS57" s="9">
        <v>0</v>
      </c>
      <c r="IT57" s="9">
        <v>0</v>
      </c>
      <c r="IU57" s="9">
        <v>0</v>
      </c>
      <c r="IV57" s="9">
        <v>0</v>
      </c>
      <c r="IW57" s="9">
        <v>0</v>
      </c>
      <c r="IX57" s="9">
        <v>0</v>
      </c>
      <c r="IY57" s="9">
        <v>0</v>
      </c>
      <c r="IZ57" s="9">
        <v>0</v>
      </c>
      <c r="JA57" s="9">
        <v>0</v>
      </c>
      <c r="JB57" s="9">
        <v>0</v>
      </c>
      <c r="JC57" s="9">
        <v>0</v>
      </c>
      <c r="JD57" s="9">
        <v>0</v>
      </c>
      <c r="JE57" s="9">
        <v>0</v>
      </c>
      <c r="JF57" s="9">
        <v>0</v>
      </c>
      <c r="JG57" s="9">
        <v>0</v>
      </c>
      <c r="JH57" s="9">
        <v>0</v>
      </c>
      <c r="JI57" s="9">
        <v>0</v>
      </c>
      <c r="JJ57" s="9">
        <v>0</v>
      </c>
      <c r="JK57" s="9">
        <v>0</v>
      </c>
      <c r="JL57" s="9">
        <v>0</v>
      </c>
      <c r="JM57" s="9">
        <v>0</v>
      </c>
      <c r="JN57" s="9">
        <v>36832</v>
      </c>
      <c r="JO57" s="9">
        <v>0</v>
      </c>
      <c r="JP57" s="9">
        <v>0</v>
      </c>
      <c r="JQ57" s="9">
        <v>0</v>
      </c>
      <c r="JR57" s="9">
        <v>0</v>
      </c>
      <c r="JS57" s="9">
        <v>0</v>
      </c>
      <c r="JT57" s="9">
        <v>0</v>
      </c>
      <c r="JU57" s="9">
        <v>0</v>
      </c>
      <c r="JV57" s="9">
        <v>0</v>
      </c>
      <c r="JW57" s="9">
        <v>0</v>
      </c>
      <c r="JX57" s="9">
        <v>0</v>
      </c>
      <c r="JY57" s="9">
        <v>0</v>
      </c>
      <c r="JZ57" s="9">
        <v>0</v>
      </c>
      <c r="KA57" s="9">
        <v>0</v>
      </c>
      <c r="KB57" s="9">
        <v>0</v>
      </c>
      <c r="KC57" s="9">
        <v>0</v>
      </c>
      <c r="KD57" s="9">
        <v>0</v>
      </c>
      <c r="KE57" s="9">
        <v>0</v>
      </c>
      <c r="KF57" s="9">
        <v>0</v>
      </c>
      <c r="KG57" s="9">
        <v>0</v>
      </c>
      <c r="KH57" s="9">
        <v>0</v>
      </c>
      <c r="KI57" s="9">
        <v>0</v>
      </c>
    </row>
    <row r="58" spans="1:295" x14ac:dyDescent="0.25">
      <c r="A58" s="9">
        <v>57833</v>
      </c>
      <c r="B58" s="9">
        <v>36871</v>
      </c>
      <c r="C58" s="9">
        <v>35</v>
      </c>
      <c r="D58" s="9">
        <v>2023</v>
      </c>
      <c r="E58" s="9">
        <v>5392</v>
      </c>
      <c r="F58" s="9">
        <v>0</v>
      </c>
      <c r="G58" s="9">
        <v>0</v>
      </c>
      <c r="H58" s="9">
        <v>576.29200000000003</v>
      </c>
      <c r="I58" s="9">
        <v>576.29200000000003</v>
      </c>
      <c r="J58" s="9">
        <v>596.42899999999997</v>
      </c>
      <c r="K58" s="9">
        <v>0</v>
      </c>
      <c r="L58" s="9">
        <v>6547</v>
      </c>
      <c r="M58" s="9">
        <v>0</v>
      </c>
      <c r="N58" s="9">
        <v>0</v>
      </c>
      <c r="O58" s="9">
        <v>0</v>
      </c>
      <c r="P58" s="9">
        <v>565.154</v>
      </c>
      <c r="Q58" s="9">
        <v>0</v>
      </c>
      <c r="R58" s="9">
        <v>275186</v>
      </c>
      <c r="S58" s="9">
        <v>486.92200000000003</v>
      </c>
      <c r="T58" s="9">
        <v>0</v>
      </c>
      <c r="U58" s="9">
        <v>275186</v>
      </c>
      <c r="V58" s="9">
        <v>29.533000000000001</v>
      </c>
      <c r="W58" s="9">
        <v>19335</v>
      </c>
      <c r="X58" s="9">
        <v>19335</v>
      </c>
      <c r="Y58" s="9">
        <v>0</v>
      </c>
      <c r="Z58" s="9">
        <v>0</v>
      </c>
      <c r="AA58" s="9">
        <v>1</v>
      </c>
      <c r="AB58" s="9">
        <v>1</v>
      </c>
      <c r="AC58" s="9">
        <v>0</v>
      </c>
      <c r="AD58" s="9" t="s">
        <v>314</v>
      </c>
      <c r="AE58" s="9">
        <v>0</v>
      </c>
      <c r="AF58" s="9">
        <v>0</v>
      </c>
      <c r="AG58" s="9">
        <v>0</v>
      </c>
      <c r="AH58" s="9">
        <v>0</v>
      </c>
      <c r="AI58" s="9">
        <v>0</v>
      </c>
      <c r="AJ58" s="9">
        <v>5104</v>
      </c>
      <c r="AK58" s="9" t="s">
        <v>651</v>
      </c>
      <c r="AL58" s="9" t="s">
        <v>47</v>
      </c>
      <c r="AM58" s="9">
        <v>0</v>
      </c>
      <c r="AN58" s="9">
        <v>0</v>
      </c>
      <c r="AO58" s="9">
        <v>0</v>
      </c>
      <c r="AP58" s="9">
        <v>0</v>
      </c>
      <c r="AQ58" s="9">
        <v>0</v>
      </c>
      <c r="AR58" s="9">
        <v>0</v>
      </c>
      <c r="AS58" s="9">
        <v>0</v>
      </c>
      <c r="AT58" s="9">
        <v>0</v>
      </c>
      <c r="AU58" s="9">
        <v>0</v>
      </c>
      <c r="AV58" s="9">
        <v>47884</v>
      </c>
      <c r="AW58" s="9">
        <v>5506423</v>
      </c>
      <c r="AX58" s="9">
        <v>5272009</v>
      </c>
      <c r="AY58" s="9">
        <v>5457583</v>
      </c>
      <c r="AZ58" s="9">
        <v>396457</v>
      </c>
      <c r="BA58" s="9">
        <v>16</v>
      </c>
      <c r="BB58" s="9">
        <v>8642</v>
      </c>
      <c r="BC58" s="9">
        <v>8642</v>
      </c>
      <c r="BD58" s="9">
        <v>11</v>
      </c>
      <c r="BE58" s="9">
        <v>0</v>
      </c>
      <c r="BF58" s="9">
        <v>4565193</v>
      </c>
      <c r="BG58" s="9">
        <v>0</v>
      </c>
      <c r="BH58" s="9">
        <v>0</v>
      </c>
      <c r="BI58" s="9">
        <v>0</v>
      </c>
      <c r="BJ58" s="9">
        <v>12</v>
      </c>
      <c r="BK58" s="9">
        <v>0</v>
      </c>
      <c r="BL58" s="9">
        <v>0</v>
      </c>
      <c r="BM58" s="9">
        <v>0</v>
      </c>
      <c r="BN58" s="9">
        <v>0</v>
      </c>
      <c r="BO58" s="9">
        <v>0</v>
      </c>
      <c r="BP58" s="9">
        <v>0</v>
      </c>
      <c r="BQ58" s="9">
        <v>5392</v>
      </c>
      <c r="BR58" s="9">
        <v>1</v>
      </c>
      <c r="BS58" s="9">
        <v>0</v>
      </c>
      <c r="BT58" s="9">
        <v>0</v>
      </c>
      <c r="BU58" s="9">
        <v>0</v>
      </c>
      <c r="BV58" s="9">
        <v>0</v>
      </c>
      <c r="BW58" s="9">
        <v>0</v>
      </c>
      <c r="BX58" s="9">
        <v>0</v>
      </c>
      <c r="BY58" s="9">
        <v>0</v>
      </c>
      <c r="BZ58" s="9">
        <v>0</v>
      </c>
      <c r="CA58" s="9">
        <v>121.271</v>
      </c>
      <c r="CB58" s="9">
        <v>121271</v>
      </c>
      <c r="CC58" s="9">
        <v>0</v>
      </c>
      <c r="CD58" s="9">
        <v>0</v>
      </c>
      <c r="CE58" s="9">
        <v>0</v>
      </c>
      <c r="CF58" s="9">
        <v>0</v>
      </c>
      <c r="CG58" s="9">
        <v>0</v>
      </c>
      <c r="CH58" s="9">
        <v>113143</v>
      </c>
      <c r="CI58" s="9">
        <v>0</v>
      </c>
      <c r="CJ58" s="9">
        <v>4</v>
      </c>
      <c r="CK58" s="9">
        <v>0</v>
      </c>
      <c r="CL58" s="9">
        <v>0</v>
      </c>
      <c r="CM58" s="9">
        <v>0</v>
      </c>
      <c r="CN58" s="9">
        <v>0</v>
      </c>
      <c r="CO58" s="9">
        <v>0</v>
      </c>
      <c r="CP58" s="9">
        <v>0</v>
      </c>
      <c r="CQ58" s="9">
        <v>0</v>
      </c>
      <c r="CR58" s="9">
        <v>554.91200000000003</v>
      </c>
      <c r="CS58" s="9">
        <v>0</v>
      </c>
      <c r="CT58" s="9">
        <v>0</v>
      </c>
      <c r="CU58" s="9">
        <v>0</v>
      </c>
      <c r="CV58" s="9">
        <v>0</v>
      </c>
      <c r="CW58" s="9">
        <v>0</v>
      </c>
      <c r="CX58" s="9">
        <v>0</v>
      </c>
      <c r="CY58" s="9">
        <v>0</v>
      </c>
      <c r="CZ58" s="9">
        <v>0</v>
      </c>
      <c r="DA58" s="9">
        <v>1</v>
      </c>
      <c r="DB58" s="9">
        <v>3772984</v>
      </c>
      <c r="DC58" s="9">
        <v>0</v>
      </c>
      <c r="DD58" s="9">
        <v>0</v>
      </c>
      <c r="DE58" s="9">
        <v>455239</v>
      </c>
      <c r="DF58" s="9">
        <v>455239</v>
      </c>
      <c r="DG58" s="9">
        <v>347.67</v>
      </c>
      <c r="DH58" s="9">
        <v>0</v>
      </c>
      <c r="DI58" s="9">
        <v>0</v>
      </c>
      <c r="DJ58" s="9">
        <v>0</v>
      </c>
      <c r="DK58" s="9">
        <v>5392</v>
      </c>
      <c r="DL58" s="9">
        <v>0</v>
      </c>
      <c r="DM58" s="9">
        <v>434382</v>
      </c>
      <c r="DN58" s="9">
        <v>0</v>
      </c>
      <c r="DO58" s="9">
        <v>0</v>
      </c>
      <c r="DP58" s="9">
        <v>0</v>
      </c>
      <c r="DQ58" s="9">
        <v>0</v>
      </c>
      <c r="DR58" s="9">
        <v>0</v>
      </c>
      <c r="DS58" s="9">
        <v>0</v>
      </c>
      <c r="DT58" s="9">
        <v>0</v>
      </c>
      <c r="DU58" s="9">
        <v>0</v>
      </c>
      <c r="DV58" s="9">
        <v>0</v>
      </c>
      <c r="DW58" s="9">
        <v>0</v>
      </c>
      <c r="DX58" s="9">
        <v>0</v>
      </c>
      <c r="DY58" s="9">
        <v>0</v>
      </c>
      <c r="DZ58" s="9">
        <v>0</v>
      </c>
      <c r="EA58" s="9">
        <v>0</v>
      </c>
      <c r="EB58" s="9">
        <v>0</v>
      </c>
      <c r="EC58" s="9">
        <v>3.1920000000000002</v>
      </c>
      <c r="ED58" s="9">
        <v>22988</v>
      </c>
      <c r="EE58" s="9">
        <v>0</v>
      </c>
      <c r="EF58" s="9">
        <v>0</v>
      </c>
      <c r="EG58" s="9">
        <v>0</v>
      </c>
      <c r="EH58" s="9">
        <v>411394</v>
      </c>
      <c r="EI58" s="9">
        <v>0</v>
      </c>
      <c r="EJ58" s="9">
        <v>0</v>
      </c>
      <c r="EK58" s="9">
        <v>18.923999999999999</v>
      </c>
      <c r="EL58" s="9">
        <v>0</v>
      </c>
      <c r="EM58" s="9">
        <v>0</v>
      </c>
      <c r="EN58" s="9">
        <v>1.2130000000000001</v>
      </c>
      <c r="EO58" s="9">
        <v>0</v>
      </c>
      <c r="EP58" s="9">
        <v>0</v>
      </c>
      <c r="EQ58" s="9">
        <v>20.137</v>
      </c>
      <c r="ER58" s="9">
        <v>0</v>
      </c>
      <c r="ES58" s="9">
        <v>62.837000000000003</v>
      </c>
      <c r="ET58" s="9">
        <v>8000</v>
      </c>
      <c r="EU58" s="9">
        <v>396457</v>
      </c>
      <c r="EV58" s="9">
        <v>0</v>
      </c>
      <c r="EW58" s="9">
        <v>0</v>
      </c>
      <c r="EX58" s="9">
        <v>0</v>
      </c>
      <c r="EY58" s="9">
        <v>0</v>
      </c>
      <c r="EZ58" s="9">
        <v>4415396</v>
      </c>
      <c r="FA58" s="9">
        <v>0</v>
      </c>
      <c r="FB58" s="9">
        <v>4811853</v>
      </c>
      <c r="FC58" s="9">
        <v>0.97326799999999991</v>
      </c>
      <c r="FD58" s="9">
        <v>0</v>
      </c>
      <c r="FE58" s="9">
        <v>706223</v>
      </c>
      <c r="FF58" s="9">
        <v>150390</v>
      </c>
      <c r="FG58" s="9">
        <v>5.8088000000000001E-2</v>
      </c>
      <c r="FH58" s="9">
        <v>5.2622999999999996E-2</v>
      </c>
      <c r="FI58" s="9">
        <v>0</v>
      </c>
      <c r="FJ58" s="9">
        <v>0</v>
      </c>
      <c r="FK58" s="9">
        <v>894.48300000000006</v>
      </c>
      <c r="FL58" s="9">
        <v>5781609</v>
      </c>
      <c r="FM58" s="9">
        <v>0</v>
      </c>
      <c r="FN58" s="9">
        <v>0</v>
      </c>
      <c r="FO58" s="9">
        <v>0</v>
      </c>
      <c r="FP58" s="9">
        <v>0</v>
      </c>
      <c r="FQ58" s="9">
        <v>0</v>
      </c>
      <c r="FR58" s="9">
        <v>0</v>
      </c>
      <c r="FS58" s="9">
        <v>0</v>
      </c>
      <c r="FT58" s="9">
        <v>0</v>
      </c>
      <c r="FU58" s="9">
        <v>0</v>
      </c>
      <c r="FV58" s="9">
        <v>0</v>
      </c>
      <c r="FW58" s="9">
        <v>0</v>
      </c>
      <c r="FX58" s="9">
        <v>0</v>
      </c>
      <c r="FY58" s="9">
        <v>0</v>
      </c>
      <c r="FZ58" s="9">
        <v>0</v>
      </c>
      <c r="GA58" s="9">
        <v>0</v>
      </c>
      <c r="GB58" s="9">
        <v>0</v>
      </c>
      <c r="GC58" s="9">
        <v>0</v>
      </c>
      <c r="GD58" s="9">
        <v>0</v>
      </c>
      <c r="GE58" s="9">
        <v>0</v>
      </c>
      <c r="GF58" s="9">
        <v>0</v>
      </c>
      <c r="GG58" s="9">
        <v>0</v>
      </c>
      <c r="GH58" s="9">
        <v>0</v>
      </c>
      <c r="GI58" s="9">
        <v>0</v>
      </c>
      <c r="GJ58" s="9">
        <v>0</v>
      </c>
      <c r="GK58" s="9">
        <v>5066</v>
      </c>
      <c r="GL58" s="9">
        <v>4430</v>
      </c>
      <c r="GM58" s="9">
        <v>0</v>
      </c>
      <c r="GN58" s="9">
        <v>0</v>
      </c>
      <c r="GO58" s="9">
        <v>0</v>
      </c>
      <c r="GP58" s="9">
        <v>5668466</v>
      </c>
      <c r="GQ58" s="9">
        <v>5668466</v>
      </c>
      <c r="GR58" s="9">
        <v>0</v>
      </c>
      <c r="GS58" s="9">
        <v>0</v>
      </c>
      <c r="GT58" s="9">
        <v>0</v>
      </c>
      <c r="GU58" s="9">
        <v>0</v>
      </c>
      <c r="GV58" s="9">
        <v>0</v>
      </c>
      <c r="GW58" s="9">
        <v>0</v>
      </c>
      <c r="GX58" s="9">
        <v>0</v>
      </c>
      <c r="GY58" s="9">
        <v>0</v>
      </c>
      <c r="GZ58" s="9">
        <v>0</v>
      </c>
      <c r="HA58" s="9">
        <v>0</v>
      </c>
      <c r="HB58" s="9">
        <v>300501363</v>
      </c>
      <c r="HC58" s="9">
        <v>4.4742999999999998E-2</v>
      </c>
      <c r="HD58" s="9">
        <v>105143</v>
      </c>
      <c r="HE58" s="9">
        <v>0</v>
      </c>
      <c r="HF58" s="9">
        <v>0</v>
      </c>
      <c r="HG58" s="9">
        <v>0</v>
      </c>
      <c r="HH58" s="9">
        <v>0</v>
      </c>
      <c r="HI58" s="9">
        <v>0</v>
      </c>
      <c r="HJ58" s="9">
        <v>0</v>
      </c>
      <c r="HK58" s="9">
        <v>0</v>
      </c>
      <c r="HL58" s="9">
        <v>0</v>
      </c>
      <c r="HM58" s="9">
        <v>0</v>
      </c>
      <c r="HN58" s="9">
        <v>0</v>
      </c>
      <c r="HO58" s="9">
        <v>0</v>
      </c>
      <c r="HP58" s="9">
        <v>0</v>
      </c>
      <c r="HQ58" s="9">
        <v>0</v>
      </c>
      <c r="HR58" s="9">
        <v>0</v>
      </c>
      <c r="HS58" s="9">
        <v>0</v>
      </c>
      <c r="HT58" s="9">
        <v>0</v>
      </c>
      <c r="HU58" s="9">
        <v>0</v>
      </c>
      <c r="HV58" s="9">
        <v>0</v>
      </c>
      <c r="HW58" s="9">
        <v>0</v>
      </c>
      <c r="HX58" s="9">
        <v>0</v>
      </c>
      <c r="HY58" s="9">
        <v>0</v>
      </c>
      <c r="HZ58" s="9">
        <v>0</v>
      </c>
      <c r="IA58" s="9">
        <v>0</v>
      </c>
      <c r="IB58" s="9">
        <v>0</v>
      </c>
      <c r="IC58" s="9">
        <v>0</v>
      </c>
      <c r="ID58" s="9">
        <v>0</v>
      </c>
      <c r="IE58" s="9">
        <v>0</v>
      </c>
      <c r="IF58" s="9">
        <v>0</v>
      </c>
      <c r="IG58" s="9">
        <v>0</v>
      </c>
      <c r="IH58" s="9">
        <v>0</v>
      </c>
      <c r="II58" s="9">
        <v>0</v>
      </c>
      <c r="IJ58" s="9">
        <v>0</v>
      </c>
      <c r="IK58" s="9">
        <v>0</v>
      </c>
      <c r="IL58" s="9">
        <v>0</v>
      </c>
      <c r="IM58" s="9">
        <v>0</v>
      </c>
      <c r="IN58" s="9">
        <v>0</v>
      </c>
      <c r="IO58" s="9">
        <v>0</v>
      </c>
      <c r="IP58" s="9">
        <v>0</v>
      </c>
      <c r="IQ58" s="9">
        <v>0</v>
      </c>
      <c r="IR58" s="9">
        <v>0</v>
      </c>
      <c r="IS58" s="9">
        <v>0</v>
      </c>
      <c r="IT58" s="9">
        <v>0</v>
      </c>
      <c r="IU58" s="9">
        <v>0</v>
      </c>
      <c r="IV58" s="9">
        <v>0</v>
      </c>
      <c r="IW58" s="9">
        <v>0</v>
      </c>
      <c r="IX58" s="9">
        <v>0</v>
      </c>
      <c r="IY58" s="9">
        <v>0</v>
      </c>
      <c r="IZ58" s="9">
        <v>0</v>
      </c>
      <c r="JA58" s="9">
        <v>0</v>
      </c>
      <c r="JB58" s="9">
        <v>0</v>
      </c>
      <c r="JC58" s="9">
        <v>0</v>
      </c>
      <c r="JD58" s="9">
        <v>0</v>
      </c>
      <c r="JE58" s="9">
        <v>0</v>
      </c>
      <c r="JF58" s="9">
        <v>0</v>
      </c>
      <c r="JG58" s="9">
        <v>0</v>
      </c>
      <c r="JH58" s="9">
        <v>0</v>
      </c>
      <c r="JI58" s="9">
        <v>0</v>
      </c>
      <c r="JJ58" s="9">
        <v>0</v>
      </c>
      <c r="JK58" s="9">
        <v>0</v>
      </c>
      <c r="JL58" s="9">
        <v>0</v>
      </c>
      <c r="JM58" s="9">
        <v>0</v>
      </c>
      <c r="JN58" s="9">
        <v>36832</v>
      </c>
      <c r="JO58" s="9">
        <v>0</v>
      </c>
      <c r="JP58" s="9">
        <v>0</v>
      </c>
      <c r="JQ58" s="9">
        <v>0</v>
      </c>
      <c r="JR58" s="9">
        <v>0</v>
      </c>
      <c r="JS58" s="9">
        <v>0</v>
      </c>
      <c r="JT58" s="9">
        <v>0</v>
      </c>
      <c r="JU58" s="9">
        <v>0</v>
      </c>
      <c r="JV58" s="9">
        <v>0</v>
      </c>
      <c r="JW58" s="9">
        <v>0</v>
      </c>
      <c r="JX58" s="9">
        <v>0</v>
      </c>
      <c r="JY58" s="9">
        <v>0</v>
      </c>
      <c r="JZ58" s="9">
        <v>0</v>
      </c>
      <c r="KA58" s="9">
        <v>0</v>
      </c>
      <c r="KB58" s="9">
        <v>0</v>
      </c>
      <c r="KC58" s="9">
        <v>0</v>
      </c>
      <c r="KD58" s="9">
        <v>0</v>
      </c>
      <c r="KE58" s="9">
        <v>0</v>
      </c>
      <c r="KF58" s="9">
        <v>0</v>
      </c>
      <c r="KG58" s="9">
        <v>0</v>
      </c>
      <c r="KH58" s="9">
        <v>0</v>
      </c>
      <c r="KI58" s="9">
        <v>0</v>
      </c>
    </row>
    <row r="59" spans="1:295" x14ac:dyDescent="0.25">
      <c r="A59" s="9">
        <v>57834</v>
      </c>
      <c r="B59" s="9">
        <v>36871</v>
      </c>
      <c r="C59" s="9">
        <v>35</v>
      </c>
      <c r="D59" s="9">
        <v>2023</v>
      </c>
      <c r="E59" s="9">
        <v>5392</v>
      </c>
      <c r="F59" s="9">
        <v>0</v>
      </c>
      <c r="G59" s="9">
        <v>0</v>
      </c>
      <c r="H59" s="9">
        <v>444.12900000000002</v>
      </c>
      <c r="I59" s="9">
        <v>444.12900000000002</v>
      </c>
      <c r="J59" s="9">
        <v>511.98900000000003</v>
      </c>
      <c r="K59" s="9">
        <v>0</v>
      </c>
      <c r="L59" s="9">
        <v>6547</v>
      </c>
      <c r="M59" s="9">
        <v>0</v>
      </c>
      <c r="N59" s="9">
        <v>0</v>
      </c>
      <c r="O59" s="9">
        <v>0</v>
      </c>
      <c r="P59" s="9">
        <v>437.31100000000004</v>
      </c>
      <c r="Q59" s="9">
        <v>0</v>
      </c>
      <c r="R59" s="9">
        <v>212936</v>
      </c>
      <c r="S59" s="9">
        <v>486.92200000000003</v>
      </c>
      <c r="T59" s="9">
        <v>0</v>
      </c>
      <c r="U59" s="9">
        <v>212936</v>
      </c>
      <c r="V59" s="9">
        <v>40.146000000000001</v>
      </c>
      <c r="W59" s="9">
        <v>26284</v>
      </c>
      <c r="X59" s="9">
        <v>26284</v>
      </c>
      <c r="Y59" s="9">
        <v>0</v>
      </c>
      <c r="Z59" s="9">
        <v>0</v>
      </c>
      <c r="AA59" s="9">
        <v>1</v>
      </c>
      <c r="AB59" s="9">
        <v>1</v>
      </c>
      <c r="AC59" s="9">
        <v>0</v>
      </c>
      <c r="AD59" s="9" t="s">
        <v>314</v>
      </c>
      <c r="AE59" s="9">
        <v>0</v>
      </c>
      <c r="AF59" s="9">
        <v>0</v>
      </c>
      <c r="AG59" s="9">
        <v>0</v>
      </c>
      <c r="AH59" s="9">
        <v>0</v>
      </c>
      <c r="AI59" s="9">
        <v>0</v>
      </c>
      <c r="AJ59" s="9">
        <v>5104</v>
      </c>
      <c r="AK59" s="9" t="s">
        <v>651</v>
      </c>
      <c r="AL59" s="9" t="s">
        <v>327</v>
      </c>
      <c r="AM59" s="9">
        <v>0</v>
      </c>
      <c r="AN59" s="9">
        <v>0</v>
      </c>
      <c r="AO59" s="9">
        <v>0</v>
      </c>
      <c r="AP59" s="9">
        <v>0</v>
      </c>
      <c r="AQ59" s="9">
        <v>0</v>
      </c>
      <c r="AR59" s="9">
        <v>0</v>
      </c>
      <c r="AS59" s="9">
        <v>0</v>
      </c>
      <c r="AT59" s="9">
        <v>0</v>
      </c>
      <c r="AU59" s="9">
        <v>0</v>
      </c>
      <c r="AV59" s="9">
        <v>275551</v>
      </c>
      <c r="AW59" s="9">
        <v>5387737</v>
      </c>
      <c r="AX59" s="9">
        <v>5145266</v>
      </c>
      <c r="AY59" s="9">
        <v>6219190</v>
      </c>
      <c r="AZ59" s="9">
        <v>353733</v>
      </c>
      <c r="BA59" s="9">
        <v>22.333000000000002</v>
      </c>
      <c r="BB59" s="9">
        <v>0</v>
      </c>
      <c r="BC59" s="9">
        <v>0</v>
      </c>
      <c r="BD59" s="9">
        <v>0</v>
      </c>
      <c r="BE59" s="9">
        <v>0</v>
      </c>
      <c r="BF59" s="9">
        <v>4408231</v>
      </c>
      <c r="BG59" s="9">
        <v>0</v>
      </c>
      <c r="BH59" s="9">
        <v>538.29899999999998</v>
      </c>
      <c r="BI59" s="9">
        <v>140797</v>
      </c>
      <c r="BJ59" s="9">
        <v>12</v>
      </c>
      <c r="BK59" s="9">
        <v>0</v>
      </c>
      <c r="BL59" s="9">
        <v>0</v>
      </c>
      <c r="BM59" s="9">
        <v>0</v>
      </c>
      <c r="BN59" s="9">
        <v>0</v>
      </c>
      <c r="BO59" s="9">
        <v>0</v>
      </c>
      <c r="BP59" s="9">
        <v>0</v>
      </c>
      <c r="BQ59" s="9">
        <v>5392</v>
      </c>
      <c r="BR59" s="9">
        <v>1</v>
      </c>
      <c r="BS59" s="9">
        <v>0</v>
      </c>
      <c r="BT59" s="9">
        <v>0</v>
      </c>
      <c r="BU59" s="9">
        <v>0</v>
      </c>
      <c r="BV59" s="9">
        <v>0</v>
      </c>
      <c r="BW59" s="9">
        <v>0</v>
      </c>
      <c r="BX59" s="9">
        <v>0</v>
      </c>
      <c r="BY59" s="9">
        <v>0</v>
      </c>
      <c r="BZ59" s="9">
        <v>0</v>
      </c>
      <c r="CA59" s="9">
        <v>0</v>
      </c>
      <c r="CB59" s="9">
        <v>0</v>
      </c>
      <c r="CC59" s="9">
        <v>0</v>
      </c>
      <c r="CD59" s="9">
        <v>0</v>
      </c>
      <c r="CE59" s="9">
        <v>0</v>
      </c>
      <c r="CF59" s="9">
        <v>0</v>
      </c>
      <c r="CG59" s="9">
        <v>0</v>
      </c>
      <c r="CH59" s="9">
        <v>101674</v>
      </c>
      <c r="CI59" s="9">
        <v>0</v>
      </c>
      <c r="CJ59" s="9">
        <v>4</v>
      </c>
      <c r="CK59" s="9">
        <v>0</v>
      </c>
      <c r="CL59" s="9">
        <v>0</v>
      </c>
      <c r="CM59" s="9">
        <v>0</v>
      </c>
      <c r="CN59" s="9">
        <v>0</v>
      </c>
      <c r="CO59" s="9">
        <v>0</v>
      </c>
      <c r="CP59" s="9">
        <v>1.607</v>
      </c>
      <c r="CQ59" s="9">
        <v>1</v>
      </c>
      <c r="CR59" s="9">
        <v>434.03400000000005</v>
      </c>
      <c r="CS59" s="9">
        <v>0</v>
      </c>
      <c r="CT59" s="9">
        <v>0</v>
      </c>
      <c r="CU59" s="9">
        <v>0</v>
      </c>
      <c r="CV59" s="9">
        <v>0</v>
      </c>
      <c r="CW59" s="9">
        <v>0</v>
      </c>
      <c r="CX59" s="9">
        <v>0</v>
      </c>
      <c r="CY59" s="9">
        <v>0</v>
      </c>
      <c r="CZ59" s="9">
        <v>0</v>
      </c>
      <c r="DA59" s="9">
        <v>1</v>
      </c>
      <c r="DB59" s="9">
        <v>2907713</v>
      </c>
      <c r="DC59" s="9">
        <v>0</v>
      </c>
      <c r="DD59" s="9">
        <v>0</v>
      </c>
      <c r="DE59" s="9">
        <v>711659</v>
      </c>
      <c r="DF59" s="9">
        <v>737015</v>
      </c>
      <c r="DG59" s="9">
        <v>543.5</v>
      </c>
      <c r="DH59" s="9">
        <v>0</v>
      </c>
      <c r="DI59" s="9">
        <v>25356</v>
      </c>
      <c r="DJ59" s="9">
        <v>0</v>
      </c>
      <c r="DK59" s="9">
        <v>5392</v>
      </c>
      <c r="DL59" s="9">
        <v>0</v>
      </c>
      <c r="DM59" s="9">
        <v>297595</v>
      </c>
      <c r="DN59" s="9">
        <v>0</v>
      </c>
      <c r="DO59" s="9">
        <v>0</v>
      </c>
      <c r="DP59" s="9">
        <v>0</v>
      </c>
      <c r="DQ59" s="9">
        <v>0</v>
      </c>
      <c r="DR59" s="9">
        <v>0</v>
      </c>
      <c r="DS59" s="9">
        <v>0</v>
      </c>
      <c r="DT59" s="9">
        <v>0</v>
      </c>
      <c r="DU59" s="9">
        <v>0</v>
      </c>
      <c r="DV59" s="9">
        <v>0</v>
      </c>
      <c r="DW59" s="9">
        <v>0</v>
      </c>
      <c r="DX59" s="9">
        <v>0</v>
      </c>
      <c r="DY59" s="9">
        <v>0</v>
      </c>
      <c r="DZ59" s="9">
        <v>0</v>
      </c>
      <c r="EA59" s="9">
        <v>0</v>
      </c>
      <c r="EB59" s="9">
        <v>0</v>
      </c>
      <c r="EC59" s="9">
        <v>29.171000000000003</v>
      </c>
      <c r="ED59" s="9">
        <v>210081</v>
      </c>
      <c r="EE59" s="9">
        <v>0</v>
      </c>
      <c r="EF59" s="9">
        <v>0</v>
      </c>
      <c r="EG59" s="9">
        <v>0</v>
      </c>
      <c r="EH59" s="9">
        <v>87514</v>
      </c>
      <c r="EI59" s="9">
        <v>0</v>
      </c>
      <c r="EJ59" s="9">
        <v>0</v>
      </c>
      <c r="EK59" s="9">
        <v>4.3689999999999998</v>
      </c>
      <c r="EL59" s="9">
        <v>0</v>
      </c>
      <c r="EM59" s="9">
        <v>0</v>
      </c>
      <c r="EN59" s="9">
        <v>5.2000000000000005E-2</v>
      </c>
      <c r="EO59" s="9">
        <v>0</v>
      </c>
      <c r="EP59" s="9">
        <v>0</v>
      </c>
      <c r="EQ59" s="9">
        <v>4.4210000000000003</v>
      </c>
      <c r="ER59" s="9">
        <v>0</v>
      </c>
      <c r="ES59" s="9">
        <v>13.367000000000001</v>
      </c>
      <c r="ET59" s="9">
        <v>11417</v>
      </c>
      <c r="EU59" s="9">
        <v>353733</v>
      </c>
      <c r="EV59" s="9">
        <v>0</v>
      </c>
      <c r="EW59" s="9">
        <v>0</v>
      </c>
      <c r="EX59" s="9">
        <v>0</v>
      </c>
      <c r="EY59" s="9">
        <v>0</v>
      </c>
      <c r="EZ59" s="9">
        <v>4318105</v>
      </c>
      <c r="FA59" s="9">
        <v>0</v>
      </c>
      <c r="FB59" s="9">
        <v>4671838</v>
      </c>
      <c r="FC59" s="9">
        <v>0.97326799999999991</v>
      </c>
      <c r="FD59" s="9">
        <v>0</v>
      </c>
      <c r="FE59" s="9">
        <v>681942</v>
      </c>
      <c r="FF59" s="9">
        <v>145219</v>
      </c>
      <c r="FG59" s="9">
        <v>5.8088000000000001E-2</v>
      </c>
      <c r="FH59" s="9">
        <v>5.2622999999999996E-2</v>
      </c>
      <c r="FI59" s="9">
        <v>0</v>
      </c>
      <c r="FJ59" s="9">
        <v>0</v>
      </c>
      <c r="FK59" s="9">
        <v>863.72900000000004</v>
      </c>
      <c r="FL59" s="9">
        <v>5600673</v>
      </c>
      <c r="FM59" s="9">
        <v>0</v>
      </c>
      <c r="FN59" s="9">
        <v>0</v>
      </c>
      <c r="FO59" s="9">
        <v>1732</v>
      </c>
      <c r="FP59" s="9">
        <v>0</v>
      </c>
      <c r="FQ59" s="9">
        <v>1732</v>
      </c>
      <c r="FR59" s="9">
        <v>1732</v>
      </c>
      <c r="FS59" s="9">
        <v>0</v>
      </c>
      <c r="FT59" s="9">
        <v>0</v>
      </c>
      <c r="FU59" s="9">
        <v>0</v>
      </c>
      <c r="FV59" s="9">
        <v>0</v>
      </c>
      <c r="FW59" s="9">
        <v>0</v>
      </c>
      <c r="FX59" s="9">
        <v>0</v>
      </c>
      <c r="FY59" s="9">
        <v>0</v>
      </c>
      <c r="FZ59" s="9">
        <v>0</v>
      </c>
      <c r="GA59" s="9">
        <v>0</v>
      </c>
      <c r="GB59" s="9">
        <v>560702</v>
      </c>
      <c r="GC59" s="9">
        <v>560702</v>
      </c>
      <c r="GD59" s="9">
        <v>63.439</v>
      </c>
      <c r="GE59" s="9">
        <v>0</v>
      </c>
      <c r="GF59" s="9">
        <v>0</v>
      </c>
      <c r="GG59" s="9">
        <v>0</v>
      </c>
      <c r="GH59" s="9">
        <v>0</v>
      </c>
      <c r="GI59" s="9">
        <v>0</v>
      </c>
      <c r="GJ59" s="9">
        <v>0</v>
      </c>
      <c r="GK59" s="9">
        <v>5426</v>
      </c>
      <c r="GL59" s="9">
        <v>11209</v>
      </c>
      <c r="GM59" s="9">
        <v>0</v>
      </c>
      <c r="GN59" s="9">
        <v>83263</v>
      </c>
      <c r="GO59" s="9">
        <v>0</v>
      </c>
      <c r="GP59" s="9">
        <v>5498999</v>
      </c>
      <c r="GQ59" s="9">
        <v>5498999</v>
      </c>
      <c r="GR59" s="9">
        <v>0</v>
      </c>
      <c r="GS59" s="9">
        <v>0</v>
      </c>
      <c r="GT59" s="9">
        <v>0</v>
      </c>
      <c r="GU59" s="9">
        <v>0</v>
      </c>
      <c r="GV59" s="9">
        <v>0</v>
      </c>
      <c r="GW59" s="9">
        <v>0</v>
      </c>
      <c r="GX59" s="9">
        <v>0</v>
      </c>
      <c r="GY59" s="9">
        <v>0</v>
      </c>
      <c r="GZ59" s="9">
        <v>0</v>
      </c>
      <c r="HA59" s="9">
        <v>0</v>
      </c>
      <c r="HB59" s="9">
        <v>300501363</v>
      </c>
      <c r="HC59" s="9">
        <v>4.4742999999999998E-2</v>
      </c>
      <c r="HD59" s="9">
        <v>90257</v>
      </c>
      <c r="HE59" s="9">
        <v>0</v>
      </c>
      <c r="HF59" s="9">
        <v>0</v>
      </c>
      <c r="HG59" s="9">
        <v>0</v>
      </c>
      <c r="HH59" s="9">
        <v>0</v>
      </c>
      <c r="HI59" s="9">
        <v>0</v>
      </c>
      <c r="HJ59" s="9">
        <v>0</v>
      </c>
      <c r="HK59" s="9">
        <v>0</v>
      </c>
      <c r="HL59" s="9">
        <v>0</v>
      </c>
      <c r="HM59" s="9">
        <v>0</v>
      </c>
      <c r="HN59" s="9">
        <v>0</v>
      </c>
      <c r="HO59" s="9">
        <v>0</v>
      </c>
      <c r="HP59" s="9">
        <v>0</v>
      </c>
      <c r="HQ59" s="9">
        <v>0</v>
      </c>
      <c r="HR59" s="9">
        <v>0</v>
      </c>
      <c r="HS59" s="9">
        <v>0</v>
      </c>
      <c r="HT59" s="9">
        <v>0</v>
      </c>
      <c r="HU59" s="9">
        <v>0</v>
      </c>
      <c r="HV59" s="9">
        <v>0</v>
      </c>
      <c r="HW59" s="9">
        <v>0</v>
      </c>
      <c r="HX59" s="9">
        <v>0</v>
      </c>
      <c r="HY59" s="9">
        <v>0</v>
      </c>
      <c r="HZ59" s="9">
        <v>0</v>
      </c>
      <c r="IA59" s="9">
        <v>0</v>
      </c>
      <c r="IB59" s="9">
        <v>0</v>
      </c>
      <c r="IC59" s="9">
        <v>0</v>
      </c>
      <c r="ID59" s="9">
        <v>0</v>
      </c>
      <c r="IE59" s="9">
        <v>0</v>
      </c>
      <c r="IF59" s="9">
        <v>0</v>
      </c>
      <c r="IG59" s="9">
        <v>0</v>
      </c>
      <c r="IH59" s="9">
        <v>0</v>
      </c>
      <c r="II59" s="9">
        <v>0</v>
      </c>
      <c r="IJ59" s="9">
        <v>0</v>
      </c>
      <c r="IK59" s="9">
        <v>0</v>
      </c>
      <c r="IL59" s="9">
        <v>0</v>
      </c>
      <c r="IM59" s="9">
        <v>0</v>
      </c>
      <c r="IN59" s="9">
        <v>0</v>
      </c>
      <c r="IO59" s="9">
        <v>0</v>
      </c>
      <c r="IP59" s="9">
        <v>0</v>
      </c>
      <c r="IQ59" s="9">
        <v>0</v>
      </c>
      <c r="IR59" s="9">
        <v>0</v>
      </c>
      <c r="IS59" s="9">
        <v>0</v>
      </c>
      <c r="IT59" s="9">
        <v>0</v>
      </c>
      <c r="IU59" s="9">
        <v>0</v>
      </c>
      <c r="IV59" s="9">
        <v>0</v>
      </c>
      <c r="IW59" s="9">
        <v>0</v>
      </c>
      <c r="IX59" s="9">
        <v>0</v>
      </c>
      <c r="IY59" s="9">
        <v>0</v>
      </c>
      <c r="IZ59" s="9">
        <v>0</v>
      </c>
      <c r="JA59" s="9">
        <v>0</v>
      </c>
      <c r="JB59" s="9">
        <v>0</v>
      </c>
      <c r="JC59" s="9">
        <v>0</v>
      </c>
      <c r="JD59" s="9">
        <v>0</v>
      </c>
      <c r="JE59" s="9">
        <v>0</v>
      </c>
      <c r="JF59" s="9">
        <v>0</v>
      </c>
      <c r="JG59" s="9">
        <v>0</v>
      </c>
      <c r="JH59" s="9">
        <v>0</v>
      </c>
      <c r="JI59" s="9">
        <v>0</v>
      </c>
      <c r="JJ59" s="9">
        <v>0</v>
      </c>
      <c r="JK59" s="9">
        <v>0</v>
      </c>
      <c r="JL59" s="9">
        <v>0</v>
      </c>
      <c r="JM59" s="9">
        <v>0</v>
      </c>
      <c r="JN59" s="9">
        <v>36832</v>
      </c>
      <c r="JO59" s="9">
        <v>0</v>
      </c>
      <c r="JP59" s="9">
        <v>0</v>
      </c>
      <c r="JQ59" s="9">
        <v>0</v>
      </c>
      <c r="JR59" s="9">
        <v>0</v>
      </c>
      <c r="JS59" s="9">
        <v>0</v>
      </c>
      <c r="JT59" s="9">
        <v>0</v>
      </c>
      <c r="JU59" s="9">
        <v>0</v>
      </c>
      <c r="JV59" s="9">
        <v>0</v>
      </c>
      <c r="JW59" s="9">
        <v>0</v>
      </c>
      <c r="JX59" s="9">
        <v>0</v>
      </c>
      <c r="JY59" s="9">
        <v>0</v>
      </c>
      <c r="JZ59" s="9">
        <v>0</v>
      </c>
      <c r="KA59" s="9">
        <v>0</v>
      </c>
      <c r="KB59" s="9">
        <v>0</v>
      </c>
      <c r="KC59" s="9">
        <v>0</v>
      </c>
      <c r="KD59" s="9">
        <v>0</v>
      </c>
      <c r="KE59" s="9">
        <v>0</v>
      </c>
      <c r="KF59" s="9">
        <v>0</v>
      </c>
      <c r="KG59" s="9">
        <v>0</v>
      </c>
      <c r="KH59" s="9">
        <v>0</v>
      </c>
      <c r="KI59" s="9">
        <v>0</v>
      </c>
    </row>
    <row r="60" spans="1:295" x14ac:dyDescent="0.25">
      <c r="A60" s="9">
        <v>57835</v>
      </c>
      <c r="B60" s="9">
        <v>36871</v>
      </c>
      <c r="C60" s="9">
        <v>35</v>
      </c>
      <c r="D60" s="9">
        <v>2023</v>
      </c>
      <c r="E60" s="9">
        <v>5392</v>
      </c>
      <c r="F60" s="9">
        <v>0</v>
      </c>
      <c r="G60" s="9">
        <v>0</v>
      </c>
      <c r="H60" s="9">
        <v>1348.27</v>
      </c>
      <c r="I60" s="9">
        <v>1348.27</v>
      </c>
      <c r="J60" s="9">
        <v>1403.085</v>
      </c>
      <c r="K60" s="9">
        <v>0</v>
      </c>
      <c r="L60" s="9">
        <v>6547</v>
      </c>
      <c r="M60" s="9">
        <v>0</v>
      </c>
      <c r="N60" s="9">
        <v>0</v>
      </c>
      <c r="O60" s="9">
        <v>0</v>
      </c>
      <c r="P60" s="9">
        <v>1329.941</v>
      </c>
      <c r="Q60" s="9">
        <v>0</v>
      </c>
      <c r="R60" s="9">
        <v>647578</v>
      </c>
      <c r="S60" s="9">
        <v>486.92200000000003</v>
      </c>
      <c r="T60" s="9">
        <v>0</v>
      </c>
      <c r="U60" s="9">
        <v>647578</v>
      </c>
      <c r="V60" s="9">
        <v>648.74200000000008</v>
      </c>
      <c r="W60" s="9">
        <v>424731</v>
      </c>
      <c r="X60" s="9">
        <v>424731</v>
      </c>
      <c r="Y60" s="9">
        <v>0</v>
      </c>
      <c r="Z60" s="9">
        <v>0</v>
      </c>
      <c r="AA60" s="9">
        <v>1</v>
      </c>
      <c r="AB60" s="9">
        <v>1</v>
      </c>
      <c r="AC60" s="9">
        <v>0</v>
      </c>
      <c r="AD60" s="9" t="s">
        <v>314</v>
      </c>
      <c r="AE60" s="9">
        <v>0</v>
      </c>
      <c r="AF60" s="9">
        <v>0</v>
      </c>
      <c r="AG60" s="9">
        <v>0</v>
      </c>
      <c r="AH60" s="9">
        <v>0</v>
      </c>
      <c r="AI60" s="9">
        <v>0</v>
      </c>
      <c r="AJ60" s="9">
        <v>5104</v>
      </c>
      <c r="AK60" s="9" t="s">
        <v>651</v>
      </c>
      <c r="AL60" s="9" t="s">
        <v>48</v>
      </c>
      <c r="AM60" s="9">
        <v>0</v>
      </c>
      <c r="AN60" s="9">
        <v>0</v>
      </c>
      <c r="AO60" s="9">
        <v>0</v>
      </c>
      <c r="AP60" s="9">
        <v>0</v>
      </c>
      <c r="AQ60" s="9">
        <v>0</v>
      </c>
      <c r="AR60" s="9">
        <v>0</v>
      </c>
      <c r="AS60" s="9">
        <v>0</v>
      </c>
      <c r="AT60" s="9">
        <v>0</v>
      </c>
      <c r="AU60" s="9">
        <v>0</v>
      </c>
      <c r="AV60" s="9">
        <v>-491773</v>
      </c>
      <c r="AW60" s="9">
        <v>14108239</v>
      </c>
      <c r="AX60" s="9">
        <v>13834661</v>
      </c>
      <c r="AY60" s="9">
        <v>14813221</v>
      </c>
      <c r="AZ60" s="9">
        <v>673810</v>
      </c>
      <c r="BA60" s="9">
        <v>0</v>
      </c>
      <c r="BB60" s="9">
        <v>23569</v>
      </c>
      <c r="BC60" s="9">
        <v>23569</v>
      </c>
      <c r="BD60" s="9">
        <v>30</v>
      </c>
      <c r="BE60" s="9">
        <v>0</v>
      </c>
      <c r="BF60" s="9">
        <v>11918494</v>
      </c>
      <c r="BG60" s="9">
        <v>0</v>
      </c>
      <c r="BH60" s="9">
        <v>95.38900000000001</v>
      </c>
      <c r="BI60" s="9">
        <v>26232</v>
      </c>
      <c r="BJ60" s="9">
        <v>12</v>
      </c>
      <c r="BK60" s="9">
        <v>0</v>
      </c>
      <c r="BL60" s="9">
        <v>0</v>
      </c>
      <c r="BM60" s="9">
        <v>0</v>
      </c>
      <c r="BN60" s="9">
        <v>0</v>
      </c>
      <c r="BO60" s="9">
        <v>0</v>
      </c>
      <c r="BP60" s="9">
        <v>0</v>
      </c>
      <c r="BQ60" s="9">
        <v>5392</v>
      </c>
      <c r="BR60" s="9">
        <v>1</v>
      </c>
      <c r="BS60" s="9">
        <v>0</v>
      </c>
      <c r="BT60" s="9">
        <v>0</v>
      </c>
      <c r="BU60" s="9">
        <v>0</v>
      </c>
      <c r="BV60" s="9">
        <v>0</v>
      </c>
      <c r="BW60" s="9">
        <v>0</v>
      </c>
      <c r="BX60" s="9">
        <v>0</v>
      </c>
      <c r="BY60" s="9">
        <v>0</v>
      </c>
      <c r="BZ60" s="9">
        <v>0</v>
      </c>
      <c r="CA60" s="9">
        <v>0</v>
      </c>
      <c r="CB60" s="9">
        <v>0</v>
      </c>
      <c r="CC60" s="9">
        <v>0</v>
      </c>
      <c r="CD60" s="9">
        <v>0</v>
      </c>
      <c r="CE60" s="9">
        <v>0</v>
      </c>
      <c r="CF60" s="9">
        <v>0</v>
      </c>
      <c r="CG60" s="9">
        <v>0</v>
      </c>
      <c r="CH60" s="9">
        <v>247346</v>
      </c>
      <c r="CI60" s="9">
        <v>0</v>
      </c>
      <c r="CJ60" s="9">
        <v>4</v>
      </c>
      <c r="CK60" s="9">
        <v>0</v>
      </c>
      <c r="CL60" s="9">
        <v>0</v>
      </c>
      <c r="CM60" s="9">
        <v>0</v>
      </c>
      <c r="CN60" s="9">
        <v>0</v>
      </c>
      <c r="CO60" s="9">
        <v>0</v>
      </c>
      <c r="CP60" s="9">
        <v>0</v>
      </c>
      <c r="CQ60" s="9">
        <v>0</v>
      </c>
      <c r="CR60" s="9">
        <v>1271.7950000000001</v>
      </c>
      <c r="CS60" s="9">
        <v>0</v>
      </c>
      <c r="CT60" s="9">
        <v>0</v>
      </c>
      <c r="CU60" s="9">
        <v>0</v>
      </c>
      <c r="CV60" s="9">
        <v>0</v>
      </c>
      <c r="CW60" s="9">
        <v>0</v>
      </c>
      <c r="CX60" s="9">
        <v>0</v>
      </c>
      <c r="CY60" s="9">
        <v>0</v>
      </c>
      <c r="CZ60" s="9">
        <v>0</v>
      </c>
      <c r="DA60" s="9">
        <v>1</v>
      </c>
      <c r="DB60" s="9">
        <v>8827124</v>
      </c>
      <c r="DC60" s="9">
        <v>0</v>
      </c>
      <c r="DD60" s="9">
        <v>0</v>
      </c>
      <c r="DE60" s="9">
        <v>2021334</v>
      </c>
      <c r="DF60" s="9">
        <v>2021334</v>
      </c>
      <c r="DG60" s="9">
        <v>1543.71</v>
      </c>
      <c r="DH60" s="9">
        <v>0</v>
      </c>
      <c r="DI60" s="9">
        <v>0</v>
      </c>
      <c r="DJ60" s="9">
        <v>0</v>
      </c>
      <c r="DK60" s="9">
        <v>5392</v>
      </c>
      <c r="DL60" s="9">
        <v>0</v>
      </c>
      <c r="DM60" s="9">
        <v>771643</v>
      </c>
      <c r="DN60" s="9">
        <v>0</v>
      </c>
      <c r="DO60" s="9">
        <v>0</v>
      </c>
      <c r="DP60" s="9">
        <v>0</v>
      </c>
      <c r="DQ60" s="9">
        <v>0</v>
      </c>
      <c r="DR60" s="9">
        <v>0</v>
      </c>
      <c r="DS60" s="9">
        <v>0</v>
      </c>
      <c r="DT60" s="9">
        <v>0</v>
      </c>
      <c r="DU60" s="9">
        <v>0</v>
      </c>
      <c r="DV60" s="9">
        <v>0</v>
      </c>
      <c r="DW60" s="9">
        <v>0</v>
      </c>
      <c r="DX60" s="9">
        <v>0</v>
      </c>
      <c r="DY60" s="9">
        <v>0</v>
      </c>
      <c r="DZ60" s="9">
        <v>0</v>
      </c>
      <c r="EA60" s="9">
        <v>0</v>
      </c>
      <c r="EB60" s="9">
        <v>0</v>
      </c>
      <c r="EC60" s="9">
        <v>9.42</v>
      </c>
      <c r="ED60" s="9">
        <v>67840</v>
      </c>
      <c r="EE60" s="9">
        <v>0</v>
      </c>
      <c r="EF60" s="9">
        <v>0</v>
      </c>
      <c r="EG60" s="9">
        <v>0</v>
      </c>
      <c r="EH60" s="9">
        <v>703803</v>
      </c>
      <c r="EI60" s="9">
        <v>0</v>
      </c>
      <c r="EJ60" s="9">
        <v>0</v>
      </c>
      <c r="EK60" s="9">
        <v>32.051000000000002</v>
      </c>
      <c r="EL60" s="9">
        <v>0</v>
      </c>
      <c r="EM60" s="9">
        <v>1.044</v>
      </c>
      <c r="EN60" s="9">
        <v>1.643</v>
      </c>
      <c r="EO60" s="9">
        <v>0</v>
      </c>
      <c r="EP60" s="9">
        <v>0</v>
      </c>
      <c r="EQ60" s="9">
        <v>34.738</v>
      </c>
      <c r="ER60" s="9">
        <v>0</v>
      </c>
      <c r="ES60" s="9">
        <v>107.5</v>
      </c>
      <c r="ET60" s="9">
        <v>0</v>
      </c>
      <c r="EU60" s="9">
        <v>673810</v>
      </c>
      <c r="EV60" s="9">
        <v>0</v>
      </c>
      <c r="EW60" s="9">
        <v>0</v>
      </c>
      <c r="EX60" s="9">
        <v>0</v>
      </c>
      <c r="EY60" s="9">
        <v>0</v>
      </c>
      <c r="EZ60" s="9">
        <v>11598273</v>
      </c>
      <c r="FA60" s="9">
        <v>0</v>
      </c>
      <c r="FB60" s="9">
        <v>12272083</v>
      </c>
      <c r="FC60" s="9">
        <v>0.97326799999999991</v>
      </c>
      <c r="FD60" s="9">
        <v>0</v>
      </c>
      <c r="FE60" s="9">
        <v>1843760</v>
      </c>
      <c r="FF60" s="9">
        <v>392628</v>
      </c>
      <c r="FG60" s="9">
        <v>5.8088000000000001E-2</v>
      </c>
      <c r="FH60" s="9">
        <v>5.2622999999999996E-2</v>
      </c>
      <c r="FI60" s="9">
        <v>0</v>
      </c>
      <c r="FJ60" s="9">
        <v>0</v>
      </c>
      <c r="FK60" s="9">
        <v>2335.2560000000003</v>
      </c>
      <c r="FL60" s="9">
        <v>14755817</v>
      </c>
      <c r="FM60" s="9">
        <v>0</v>
      </c>
      <c r="FN60" s="9">
        <v>0</v>
      </c>
      <c r="FO60" s="9">
        <v>0</v>
      </c>
      <c r="FP60" s="9">
        <v>0</v>
      </c>
      <c r="FQ60" s="9">
        <v>0</v>
      </c>
      <c r="FR60" s="9">
        <v>0</v>
      </c>
      <c r="FS60" s="9">
        <v>0</v>
      </c>
      <c r="FT60" s="9">
        <v>0</v>
      </c>
      <c r="FU60" s="9">
        <v>0</v>
      </c>
      <c r="FV60" s="9">
        <v>0</v>
      </c>
      <c r="FW60" s="9">
        <v>0</v>
      </c>
      <c r="FX60" s="9">
        <v>0</v>
      </c>
      <c r="FY60" s="9">
        <v>0</v>
      </c>
      <c r="FZ60" s="9">
        <v>0</v>
      </c>
      <c r="GA60" s="9">
        <v>0</v>
      </c>
      <c r="GB60" s="9">
        <v>177450</v>
      </c>
      <c r="GC60" s="9">
        <v>177450</v>
      </c>
      <c r="GD60" s="9">
        <v>20.077000000000002</v>
      </c>
      <c r="GE60" s="9">
        <v>0</v>
      </c>
      <c r="GF60" s="9">
        <v>0</v>
      </c>
      <c r="GG60" s="9">
        <v>0</v>
      </c>
      <c r="GH60" s="9">
        <v>0</v>
      </c>
      <c r="GI60" s="9">
        <v>0</v>
      </c>
      <c r="GJ60" s="9">
        <v>0</v>
      </c>
      <c r="GK60" s="9">
        <v>5064</v>
      </c>
      <c r="GL60" s="9">
        <v>19509</v>
      </c>
      <c r="GM60" s="9">
        <v>0</v>
      </c>
      <c r="GN60" s="9">
        <v>0</v>
      </c>
      <c r="GO60" s="9">
        <v>0</v>
      </c>
      <c r="GP60" s="9">
        <v>14508471</v>
      </c>
      <c r="GQ60" s="9">
        <v>14508471</v>
      </c>
      <c r="GR60" s="9">
        <v>0</v>
      </c>
      <c r="GS60" s="9">
        <v>0</v>
      </c>
      <c r="GT60" s="9">
        <v>0</v>
      </c>
      <c r="GU60" s="9">
        <v>0</v>
      </c>
      <c r="GV60" s="9">
        <v>0</v>
      </c>
      <c r="GW60" s="9">
        <v>0</v>
      </c>
      <c r="GX60" s="9">
        <v>0</v>
      </c>
      <c r="GY60" s="9">
        <v>0</v>
      </c>
      <c r="GZ60" s="9">
        <v>0</v>
      </c>
      <c r="HA60" s="9">
        <v>0</v>
      </c>
      <c r="HB60" s="9">
        <v>300501363</v>
      </c>
      <c r="HC60" s="9">
        <v>4.4742999999999998E-2</v>
      </c>
      <c r="HD60" s="9">
        <v>247346</v>
      </c>
      <c r="HE60" s="9">
        <v>0</v>
      </c>
      <c r="HF60" s="9">
        <v>0</v>
      </c>
      <c r="HG60" s="9">
        <v>0</v>
      </c>
      <c r="HH60" s="9">
        <v>0</v>
      </c>
      <c r="HI60" s="9">
        <v>0</v>
      </c>
      <c r="HJ60" s="9">
        <v>0</v>
      </c>
      <c r="HK60" s="9">
        <v>0</v>
      </c>
      <c r="HL60" s="9">
        <v>0</v>
      </c>
      <c r="HM60" s="9">
        <v>0</v>
      </c>
      <c r="HN60" s="9">
        <v>0</v>
      </c>
      <c r="HO60" s="9">
        <v>0</v>
      </c>
      <c r="HP60" s="9">
        <v>0</v>
      </c>
      <c r="HQ60" s="9">
        <v>0</v>
      </c>
      <c r="HR60" s="9">
        <v>0</v>
      </c>
      <c r="HS60" s="9">
        <v>0</v>
      </c>
      <c r="HT60" s="9">
        <v>0</v>
      </c>
      <c r="HU60" s="9">
        <v>0</v>
      </c>
      <c r="HV60" s="9">
        <v>0</v>
      </c>
      <c r="HW60" s="9">
        <v>0</v>
      </c>
      <c r="HX60" s="9">
        <v>0</v>
      </c>
      <c r="HY60" s="9">
        <v>0</v>
      </c>
      <c r="HZ60" s="9">
        <v>0</v>
      </c>
      <c r="IA60" s="9">
        <v>0</v>
      </c>
      <c r="IB60" s="9">
        <v>0</v>
      </c>
      <c r="IC60" s="9">
        <v>0</v>
      </c>
      <c r="ID60" s="9">
        <v>0</v>
      </c>
      <c r="IE60" s="9">
        <v>0</v>
      </c>
      <c r="IF60" s="9">
        <v>0</v>
      </c>
      <c r="IG60" s="9">
        <v>0</v>
      </c>
      <c r="IH60" s="9">
        <v>0</v>
      </c>
      <c r="II60" s="9">
        <v>0</v>
      </c>
      <c r="IJ60" s="9">
        <v>0</v>
      </c>
      <c r="IK60" s="9">
        <v>0</v>
      </c>
      <c r="IL60" s="9">
        <v>0</v>
      </c>
      <c r="IM60" s="9">
        <v>0</v>
      </c>
      <c r="IN60" s="9">
        <v>0</v>
      </c>
      <c r="IO60" s="9">
        <v>0</v>
      </c>
      <c r="IP60" s="9">
        <v>0</v>
      </c>
      <c r="IQ60" s="9">
        <v>0</v>
      </c>
      <c r="IR60" s="9">
        <v>0</v>
      </c>
      <c r="IS60" s="9">
        <v>0</v>
      </c>
      <c r="IT60" s="9">
        <v>0</v>
      </c>
      <c r="IU60" s="9">
        <v>0</v>
      </c>
      <c r="IV60" s="9">
        <v>0</v>
      </c>
      <c r="IW60" s="9">
        <v>0</v>
      </c>
      <c r="IX60" s="9">
        <v>0</v>
      </c>
      <c r="IY60" s="9">
        <v>0</v>
      </c>
      <c r="IZ60" s="9">
        <v>0</v>
      </c>
      <c r="JA60" s="9">
        <v>0</v>
      </c>
      <c r="JB60" s="9">
        <v>0</v>
      </c>
      <c r="JC60" s="9">
        <v>0</v>
      </c>
      <c r="JD60" s="9">
        <v>0</v>
      </c>
      <c r="JE60" s="9">
        <v>0</v>
      </c>
      <c r="JF60" s="9">
        <v>0</v>
      </c>
      <c r="JG60" s="9">
        <v>0</v>
      </c>
      <c r="JH60" s="9">
        <v>0</v>
      </c>
      <c r="JI60" s="9">
        <v>0</v>
      </c>
      <c r="JJ60" s="9">
        <v>0</v>
      </c>
      <c r="JK60" s="9">
        <v>0</v>
      </c>
      <c r="JL60" s="9">
        <v>0</v>
      </c>
      <c r="JM60" s="9">
        <v>0</v>
      </c>
      <c r="JN60" s="9">
        <v>36832</v>
      </c>
      <c r="JO60" s="9">
        <v>0</v>
      </c>
      <c r="JP60" s="9">
        <v>0</v>
      </c>
      <c r="JQ60" s="9">
        <v>0</v>
      </c>
      <c r="JR60" s="9">
        <v>0</v>
      </c>
      <c r="JS60" s="9">
        <v>0</v>
      </c>
      <c r="JT60" s="9">
        <v>0</v>
      </c>
      <c r="JU60" s="9">
        <v>0</v>
      </c>
      <c r="JV60" s="9">
        <v>0</v>
      </c>
      <c r="JW60" s="9">
        <v>0</v>
      </c>
      <c r="JX60" s="9">
        <v>0</v>
      </c>
      <c r="JY60" s="9">
        <v>0</v>
      </c>
      <c r="JZ60" s="9">
        <v>0</v>
      </c>
      <c r="KA60" s="9">
        <v>0</v>
      </c>
      <c r="KB60" s="9">
        <v>0</v>
      </c>
      <c r="KC60" s="9">
        <v>0</v>
      </c>
      <c r="KD60" s="9">
        <v>0</v>
      </c>
      <c r="KE60" s="9">
        <v>0</v>
      </c>
      <c r="KF60" s="9">
        <v>0</v>
      </c>
      <c r="KG60" s="9">
        <v>0</v>
      </c>
      <c r="KH60" s="9">
        <v>0</v>
      </c>
      <c r="KI60" s="9">
        <v>0</v>
      </c>
    </row>
    <row r="61" spans="1:295" x14ac:dyDescent="0.25">
      <c r="A61" s="9">
        <v>57836</v>
      </c>
      <c r="B61" s="9">
        <v>36871</v>
      </c>
      <c r="C61" s="9">
        <v>35</v>
      </c>
      <c r="D61" s="9">
        <v>2023</v>
      </c>
      <c r="E61" s="9">
        <v>5392</v>
      </c>
      <c r="F61" s="9">
        <v>0</v>
      </c>
      <c r="G61" s="9">
        <v>0</v>
      </c>
      <c r="H61" s="9">
        <v>302.28300000000002</v>
      </c>
      <c r="I61" s="9">
        <v>302.28300000000002</v>
      </c>
      <c r="J61" s="9">
        <v>310.70699999999999</v>
      </c>
      <c r="K61" s="9">
        <v>0</v>
      </c>
      <c r="L61" s="9">
        <v>6547</v>
      </c>
      <c r="M61" s="9">
        <v>0</v>
      </c>
      <c r="N61" s="9">
        <v>0</v>
      </c>
      <c r="O61" s="9">
        <v>0</v>
      </c>
      <c r="P61" s="9">
        <v>296.44499999999999</v>
      </c>
      <c r="Q61" s="9">
        <v>0</v>
      </c>
      <c r="R61" s="9">
        <v>144346</v>
      </c>
      <c r="S61" s="9">
        <v>486.92200000000003</v>
      </c>
      <c r="T61" s="9">
        <v>0</v>
      </c>
      <c r="U61" s="9">
        <v>144346</v>
      </c>
      <c r="V61" s="9">
        <v>0</v>
      </c>
      <c r="W61" s="9">
        <v>0</v>
      </c>
      <c r="X61" s="9">
        <v>0</v>
      </c>
      <c r="Y61" s="9">
        <v>0</v>
      </c>
      <c r="Z61" s="9">
        <v>0</v>
      </c>
      <c r="AA61" s="9">
        <v>1</v>
      </c>
      <c r="AB61" s="9">
        <v>1</v>
      </c>
      <c r="AC61" s="9">
        <v>0</v>
      </c>
      <c r="AD61" s="9" t="s">
        <v>314</v>
      </c>
      <c r="AE61" s="9">
        <v>0</v>
      </c>
      <c r="AF61" s="9">
        <v>0</v>
      </c>
      <c r="AG61" s="9">
        <v>0</v>
      </c>
      <c r="AH61" s="9">
        <v>0</v>
      </c>
      <c r="AI61" s="9">
        <v>0</v>
      </c>
      <c r="AJ61" s="9">
        <v>5104</v>
      </c>
      <c r="AK61" s="9" t="s">
        <v>651</v>
      </c>
      <c r="AL61" s="9" t="s">
        <v>24</v>
      </c>
      <c r="AM61" s="9">
        <v>0</v>
      </c>
      <c r="AN61" s="9">
        <v>0</v>
      </c>
      <c r="AO61" s="9">
        <v>0</v>
      </c>
      <c r="AP61" s="9">
        <v>0</v>
      </c>
      <c r="AQ61" s="9">
        <v>0</v>
      </c>
      <c r="AR61" s="9">
        <v>0</v>
      </c>
      <c r="AS61" s="9">
        <v>0</v>
      </c>
      <c r="AT61" s="9">
        <v>0</v>
      </c>
      <c r="AU61" s="9">
        <v>0</v>
      </c>
      <c r="AV61" s="9">
        <v>-62952</v>
      </c>
      <c r="AW61" s="9">
        <v>2969244</v>
      </c>
      <c r="AX61" s="9">
        <v>2907428</v>
      </c>
      <c r="AY61" s="9">
        <v>3212544</v>
      </c>
      <c r="AZ61" s="9">
        <v>144346</v>
      </c>
      <c r="BA61" s="9">
        <v>14.083</v>
      </c>
      <c r="BB61" s="9">
        <v>12205</v>
      </c>
      <c r="BC61" s="9">
        <v>12205</v>
      </c>
      <c r="BD61" s="9">
        <v>15.535</v>
      </c>
      <c r="BE61" s="9">
        <v>0</v>
      </c>
      <c r="BF61" s="9">
        <v>2511529</v>
      </c>
      <c r="BG61" s="9">
        <v>0</v>
      </c>
      <c r="BH61" s="9">
        <v>0</v>
      </c>
      <c r="BI61" s="9">
        <v>0</v>
      </c>
      <c r="BJ61" s="9">
        <v>12</v>
      </c>
      <c r="BK61" s="9">
        <v>0</v>
      </c>
      <c r="BL61" s="9">
        <v>0</v>
      </c>
      <c r="BM61" s="9">
        <v>0</v>
      </c>
      <c r="BN61" s="9">
        <v>0</v>
      </c>
      <c r="BO61" s="9">
        <v>0</v>
      </c>
      <c r="BP61" s="9">
        <v>0</v>
      </c>
      <c r="BQ61" s="9">
        <v>5392</v>
      </c>
      <c r="BR61" s="9">
        <v>1</v>
      </c>
      <c r="BS61" s="9">
        <v>0</v>
      </c>
      <c r="BT61" s="9">
        <v>0</v>
      </c>
      <c r="BU61" s="9">
        <v>0</v>
      </c>
      <c r="BV61" s="9">
        <v>0</v>
      </c>
      <c r="BW61" s="9">
        <v>0</v>
      </c>
      <c r="BX61" s="9">
        <v>0</v>
      </c>
      <c r="BY61" s="9">
        <v>0</v>
      </c>
      <c r="BZ61" s="9">
        <v>0</v>
      </c>
      <c r="CA61" s="9">
        <v>0</v>
      </c>
      <c r="CB61" s="9">
        <v>0</v>
      </c>
      <c r="CC61" s="9">
        <v>0</v>
      </c>
      <c r="CD61" s="9">
        <v>0</v>
      </c>
      <c r="CE61" s="9">
        <v>0</v>
      </c>
      <c r="CF61" s="9">
        <v>0</v>
      </c>
      <c r="CG61" s="9">
        <v>0</v>
      </c>
      <c r="CH61" s="9">
        <v>61816</v>
      </c>
      <c r="CI61" s="9">
        <v>0</v>
      </c>
      <c r="CJ61" s="9">
        <v>4</v>
      </c>
      <c r="CK61" s="9">
        <v>0</v>
      </c>
      <c r="CL61" s="9">
        <v>0</v>
      </c>
      <c r="CM61" s="9">
        <v>0</v>
      </c>
      <c r="CN61" s="9">
        <v>0</v>
      </c>
      <c r="CO61" s="9">
        <v>0</v>
      </c>
      <c r="CP61" s="9">
        <v>0</v>
      </c>
      <c r="CQ61" s="9">
        <v>0</v>
      </c>
      <c r="CR61" s="9">
        <v>283.38499999999999</v>
      </c>
      <c r="CS61" s="9">
        <v>0</v>
      </c>
      <c r="CT61" s="9">
        <v>0</v>
      </c>
      <c r="CU61" s="9">
        <v>0</v>
      </c>
      <c r="CV61" s="9">
        <v>0</v>
      </c>
      <c r="CW61" s="9">
        <v>0</v>
      </c>
      <c r="CX61" s="9">
        <v>0</v>
      </c>
      <c r="CY61" s="9">
        <v>0</v>
      </c>
      <c r="CZ61" s="9">
        <v>0</v>
      </c>
      <c r="DA61" s="9">
        <v>1</v>
      </c>
      <c r="DB61" s="9">
        <v>1979047</v>
      </c>
      <c r="DC61" s="9">
        <v>0</v>
      </c>
      <c r="DD61" s="9">
        <v>0</v>
      </c>
      <c r="DE61" s="9">
        <v>292651</v>
      </c>
      <c r="DF61" s="9">
        <v>292651</v>
      </c>
      <c r="DG61" s="9">
        <v>223.5</v>
      </c>
      <c r="DH61" s="9">
        <v>0</v>
      </c>
      <c r="DI61" s="9">
        <v>0</v>
      </c>
      <c r="DJ61" s="9">
        <v>0</v>
      </c>
      <c r="DK61" s="9">
        <v>5392</v>
      </c>
      <c r="DL61" s="9">
        <v>0</v>
      </c>
      <c r="DM61" s="9">
        <v>296608</v>
      </c>
      <c r="DN61" s="9">
        <v>0</v>
      </c>
      <c r="DO61" s="9">
        <v>0</v>
      </c>
      <c r="DP61" s="9">
        <v>0</v>
      </c>
      <c r="DQ61" s="9">
        <v>0</v>
      </c>
      <c r="DR61" s="9">
        <v>0</v>
      </c>
      <c r="DS61" s="9">
        <v>0</v>
      </c>
      <c r="DT61" s="9">
        <v>0</v>
      </c>
      <c r="DU61" s="9">
        <v>0</v>
      </c>
      <c r="DV61" s="9">
        <v>0</v>
      </c>
      <c r="DW61" s="9">
        <v>0</v>
      </c>
      <c r="DX61" s="9">
        <v>0</v>
      </c>
      <c r="DY61" s="9">
        <v>0</v>
      </c>
      <c r="DZ61" s="9">
        <v>0</v>
      </c>
      <c r="EA61" s="9">
        <v>0</v>
      </c>
      <c r="EB61" s="9">
        <v>0</v>
      </c>
      <c r="EC61" s="9">
        <v>17.914999999999999</v>
      </c>
      <c r="ED61" s="9">
        <v>129018</v>
      </c>
      <c r="EE61" s="9">
        <v>0</v>
      </c>
      <c r="EF61" s="9">
        <v>0</v>
      </c>
      <c r="EG61" s="9">
        <v>0</v>
      </c>
      <c r="EH61" s="9">
        <v>167590</v>
      </c>
      <c r="EI61" s="9">
        <v>0</v>
      </c>
      <c r="EJ61" s="9">
        <v>0</v>
      </c>
      <c r="EK61" s="9">
        <v>7.5470000000000006</v>
      </c>
      <c r="EL61" s="9">
        <v>0</v>
      </c>
      <c r="EM61" s="9">
        <v>0.71400000000000008</v>
      </c>
      <c r="EN61" s="9">
        <v>0.16300000000000001</v>
      </c>
      <c r="EO61" s="9">
        <v>0</v>
      </c>
      <c r="EP61" s="9">
        <v>0</v>
      </c>
      <c r="EQ61" s="9">
        <v>8.4240000000000013</v>
      </c>
      <c r="ER61" s="9">
        <v>0</v>
      </c>
      <c r="ES61" s="9">
        <v>25.598000000000003</v>
      </c>
      <c r="ET61" s="9">
        <v>7042</v>
      </c>
      <c r="EU61" s="9">
        <v>144346</v>
      </c>
      <c r="EV61" s="9">
        <v>0</v>
      </c>
      <c r="EW61" s="9">
        <v>0</v>
      </c>
      <c r="EX61" s="9">
        <v>0</v>
      </c>
      <c r="EY61" s="9">
        <v>0</v>
      </c>
      <c r="EZ61" s="9">
        <v>2436165</v>
      </c>
      <c r="FA61" s="9">
        <v>0</v>
      </c>
      <c r="FB61" s="9">
        <v>2580511</v>
      </c>
      <c r="FC61" s="9">
        <v>0.97326799999999991</v>
      </c>
      <c r="FD61" s="9">
        <v>0</v>
      </c>
      <c r="FE61" s="9">
        <v>388526</v>
      </c>
      <c r="FF61" s="9">
        <v>82737</v>
      </c>
      <c r="FG61" s="9">
        <v>5.8088000000000001E-2</v>
      </c>
      <c r="FH61" s="9">
        <v>5.2622999999999996E-2</v>
      </c>
      <c r="FI61" s="9">
        <v>0</v>
      </c>
      <c r="FJ61" s="9">
        <v>0</v>
      </c>
      <c r="FK61" s="9">
        <v>492.09700000000004</v>
      </c>
      <c r="FL61" s="9">
        <v>3113590</v>
      </c>
      <c r="FM61" s="9">
        <v>0</v>
      </c>
      <c r="FN61" s="9">
        <v>0</v>
      </c>
      <c r="FO61" s="9">
        <v>0</v>
      </c>
      <c r="FP61" s="9">
        <v>0</v>
      </c>
      <c r="FQ61" s="9">
        <v>0</v>
      </c>
      <c r="FR61" s="9">
        <v>0</v>
      </c>
      <c r="FS61" s="9">
        <v>0</v>
      </c>
      <c r="FT61" s="9">
        <v>0</v>
      </c>
      <c r="FU61" s="9">
        <v>0</v>
      </c>
      <c r="FV61" s="9">
        <v>0</v>
      </c>
      <c r="FW61" s="9">
        <v>0</v>
      </c>
      <c r="FX61" s="9">
        <v>0</v>
      </c>
      <c r="FY61" s="9">
        <v>0</v>
      </c>
      <c r="FZ61" s="9">
        <v>0</v>
      </c>
      <c r="GA61" s="9">
        <v>0</v>
      </c>
      <c r="GB61" s="9">
        <v>0</v>
      </c>
      <c r="GC61" s="9">
        <v>0</v>
      </c>
      <c r="GD61" s="9">
        <v>0</v>
      </c>
      <c r="GE61" s="9">
        <v>0</v>
      </c>
      <c r="GF61" s="9">
        <v>0</v>
      </c>
      <c r="GG61" s="9">
        <v>0</v>
      </c>
      <c r="GH61" s="9">
        <v>0</v>
      </c>
      <c r="GI61" s="9">
        <v>0</v>
      </c>
      <c r="GJ61" s="9">
        <v>0</v>
      </c>
      <c r="GK61" s="9">
        <v>5091</v>
      </c>
      <c r="GL61" s="9">
        <v>7894</v>
      </c>
      <c r="GM61" s="9">
        <v>0</v>
      </c>
      <c r="GN61" s="9">
        <v>0</v>
      </c>
      <c r="GO61" s="9">
        <v>0</v>
      </c>
      <c r="GP61" s="9">
        <v>3051774</v>
      </c>
      <c r="GQ61" s="9">
        <v>3051774</v>
      </c>
      <c r="GR61" s="9">
        <v>0</v>
      </c>
      <c r="GS61" s="9">
        <v>0</v>
      </c>
      <c r="GT61" s="9">
        <v>0</v>
      </c>
      <c r="GU61" s="9">
        <v>0</v>
      </c>
      <c r="GV61" s="9">
        <v>0</v>
      </c>
      <c r="GW61" s="9">
        <v>0</v>
      </c>
      <c r="GX61" s="9">
        <v>0</v>
      </c>
      <c r="GY61" s="9">
        <v>0</v>
      </c>
      <c r="GZ61" s="9">
        <v>0</v>
      </c>
      <c r="HA61" s="9">
        <v>0</v>
      </c>
      <c r="HB61" s="9">
        <v>300501363</v>
      </c>
      <c r="HC61" s="9">
        <v>4.4742999999999998E-2</v>
      </c>
      <c r="HD61" s="9">
        <v>54774</v>
      </c>
      <c r="HE61" s="9">
        <v>0</v>
      </c>
      <c r="HF61" s="9">
        <v>0</v>
      </c>
      <c r="HG61" s="9">
        <v>0</v>
      </c>
      <c r="HH61" s="9">
        <v>0</v>
      </c>
      <c r="HI61" s="9">
        <v>0</v>
      </c>
      <c r="HJ61" s="9">
        <v>0</v>
      </c>
      <c r="HK61" s="9">
        <v>0</v>
      </c>
      <c r="HL61" s="9">
        <v>0</v>
      </c>
      <c r="HM61" s="9">
        <v>0</v>
      </c>
      <c r="HN61" s="9">
        <v>0</v>
      </c>
      <c r="HO61" s="9">
        <v>0</v>
      </c>
      <c r="HP61" s="9">
        <v>0</v>
      </c>
      <c r="HQ61" s="9">
        <v>0</v>
      </c>
      <c r="HR61" s="9">
        <v>0</v>
      </c>
      <c r="HS61" s="9">
        <v>0</v>
      </c>
      <c r="HT61" s="9">
        <v>0</v>
      </c>
      <c r="HU61" s="9">
        <v>0</v>
      </c>
      <c r="HV61" s="9">
        <v>0</v>
      </c>
      <c r="HW61" s="9">
        <v>0</v>
      </c>
      <c r="HX61" s="9">
        <v>0</v>
      </c>
      <c r="HY61" s="9">
        <v>0</v>
      </c>
      <c r="HZ61" s="9">
        <v>0</v>
      </c>
      <c r="IA61" s="9">
        <v>0</v>
      </c>
      <c r="IB61" s="9">
        <v>0</v>
      </c>
      <c r="IC61" s="9">
        <v>0</v>
      </c>
      <c r="ID61" s="9">
        <v>0</v>
      </c>
      <c r="IE61" s="9">
        <v>0</v>
      </c>
      <c r="IF61" s="9">
        <v>0</v>
      </c>
      <c r="IG61" s="9">
        <v>0</v>
      </c>
      <c r="IH61" s="9">
        <v>0</v>
      </c>
      <c r="II61" s="9">
        <v>0</v>
      </c>
      <c r="IJ61" s="9">
        <v>0</v>
      </c>
      <c r="IK61" s="9">
        <v>0</v>
      </c>
      <c r="IL61" s="9">
        <v>0</v>
      </c>
      <c r="IM61" s="9">
        <v>0</v>
      </c>
      <c r="IN61" s="9">
        <v>0</v>
      </c>
      <c r="IO61" s="9">
        <v>0</v>
      </c>
      <c r="IP61" s="9">
        <v>0</v>
      </c>
      <c r="IQ61" s="9">
        <v>0</v>
      </c>
      <c r="IR61" s="9">
        <v>0</v>
      </c>
      <c r="IS61" s="9">
        <v>0</v>
      </c>
      <c r="IT61" s="9">
        <v>0</v>
      </c>
      <c r="IU61" s="9">
        <v>0</v>
      </c>
      <c r="IV61" s="9">
        <v>0</v>
      </c>
      <c r="IW61" s="9">
        <v>0</v>
      </c>
      <c r="IX61" s="9">
        <v>0</v>
      </c>
      <c r="IY61" s="9">
        <v>0</v>
      </c>
      <c r="IZ61" s="9">
        <v>0</v>
      </c>
      <c r="JA61" s="9">
        <v>0</v>
      </c>
      <c r="JB61" s="9">
        <v>0</v>
      </c>
      <c r="JC61" s="9">
        <v>0</v>
      </c>
      <c r="JD61" s="9">
        <v>0</v>
      </c>
      <c r="JE61" s="9">
        <v>0</v>
      </c>
      <c r="JF61" s="9">
        <v>0</v>
      </c>
      <c r="JG61" s="9">
        <v>0</v>
      </c>
      <c r="JH61" s="9">
        <v>0</v>
      </c>
      <c r="JI61" s="9">
        <v>0</v>
      </c>
      <c r="JJ61" s="9">
        <v>0</v>
      </c>
      <c r="JK61" s="9">
        <v>0</v>
      </c>
      <c r="JL61" s="9">
        <v>0</v>
      </c>
      <c r="JM61" s="9">
        <v>0</v>
      </c>
      <c r="JN61" s="9">
        <v>36832</v>
      </c>
      <c r="JO61" s="9">
        <v>0</v>
      </c>
      <c r="JP61" s="9">
        <v>0</v>
      </c>
      <c r="JQ61" s="9">
        <v>0</v>
      </c>
      <c r="JR61" s="9">
        <v>0</v>
      </c>
      <c r="JS61" s="9">
        <v>0</v>
      </c>
      <c r="JT61" s="9">
        <v>0</v>
      </c>
      <c r="JU61" s="9">
        <v>0</v>
      </c>
      <c r="JV61" s="9">
        <v>0</v>
      </c>
      <c r="JW61" s="9">
        <v>0</v>
      </c>
      <c r="JX61" s="9">
        <v>0</v>
      </c>
      <c r="JY61" s="9">
        <v>0</v>
      </c>
      <c r="JZ61" s="9">
        <v>0</v>
      </c>
      <c r="KA61" s="9">
        <v>0</v>
      </c>
      <c r="KB61" s="9">
        <v>0</v>
      </c>
      <c r="KC61" s="9">
        <v>0</v>
      </c>
      <c r="KD61" s="9">
        <v>0</v>
      </c>
      <c r="KE61" s="9">
        <v>0</v>
      </c>
      <c r="KF61" s="9">
        <v>0</v>
      </c>
      <c r="KG61" s="9">
        <v>0</v>
      </c>
      <c r="KH61" s="9">
        <v>0</v>
      </c>
      <c r="KI61" s="9">
        <v>0</v>
      </c>
    </row>
    <row r="62" spans="1:295" x14ac:dyDescent="0.25">
      <c r="A62" s="9">
        <v>57839</v>
      </c>
      <c r="B62" s="9">
        <v>36871</v>
      </c>
      <c r="C62" s="9">
        <v>35</v>
      </c>
      <c r="D62" s="9">
        <v>2023</v>
      </c>
      <c r="E62" s="9">
        <v>5392</v>
      </c>
      <c r="F62" s="9">
        <v>0</v>
      </c>
      <c r="G62" s="9">
        <v>0</v>
      </c>
      <c r="H62" s="9">
        <v>936.13800000000003</v>
      </c>
      <c r="I62" s="9">
        <v>936.13800000000003</v>
      </c>
      <c r="J62" s="9">
        <v>940.35800000000006</v>
      </c>
      <c r="K62" s="9">
        <v>0</v>
      </c>
      <c r="L62" s="9">
        <v>6547</v>
      </c>
      <c r="M62" s="9">
        <v>0</v>
      </c>
      <c r="N62" s="9">
        <v>0</v>
      </c>
      <c r="O62" s="9">
        <v>0</v>
      </c>
      <c r="P62" s="9">
        <v>934.45500000000004</v>
      </c>
      <c r="Q62" s="9">
        <v>0</v>
      </c>
      <c r="R62" s="9">
        <v>455007</v>
      </c>
      <c r="S62" s="9">
        <v>486.92200000000003</v>
      </c>
      <c r="T62" s="9">
        <v>0</v>
      </c>
      <c r="U62" s="9">
        <v>455007</v>
      </c>
      <c r="V62" s="9">
        <v>589.01600000000008</v>
      </c>
      <c r="W62" s="9">
        <v>385629</v>
      </c>
      <c r="X62" s="9">
        <v>385629</v>
      </c>
      <c r="Y62" s="9">
        <v>0</v>
      </c>
      <c r="Z62" s="9">
        <v>0</v>
      </c>
      <c r="AA62" s="9">
        <v>1</v>
      </c>
      <c r="AB62" s="9">
        <v>1</v>
      </c>
      <c r="AC62" s="9">
        <v>0</v>
      </c>
      <c r="AD62" s="9" t="s">
        <v>314</v>
      </c>
      <c r="AE62" s="9">
        <v>0</v>
      </c>
      <c r="AF62" s="9">
        <v>0</v>
      </c>
      <c r="AG62" s="9">
        <v>0</v>
      </c>
      <c r="AH62" s="9">
        <v>0</v>
      </c>
      <c r="AI62" s="9">
        <v>0</v>
      </c>
      <c r="AJ62" s="9">
        <v>5104</v>
      </c>
      <c r="AK62" s="9" t="s">
        <v>651</v>
      </c>
      <c r="AL62" s="9" t="s">
        <v>58</v>
      </c>
      <c r="AM62" s="9">
        <v>0</v>
      </c>
      <c r="AN62" s="9">
        <v>0</v>
      </c>
      <c r="AO62" s="9">
        <v>0</v>
      </c>
      <c r="AP62" s="9">
        <v>0</v>
      </c>
      <c r="AQ62" s="9">
        <v>0</v>
      </c>
      <c r="AR62" s="9">
        <v>0</v>
      </c>
      <c r="AS62" s="9">
        <v>0</v>
      </c>
      <c r="AT62" s="9">
        <v>0</v>
      </c>
      <c r="AU62" s="9">
        <v>0</v>
      </c>
      <c r="AV62" s="9">
        <v>-190806</v>
      </c>
      <c r="AW62" s="9">
        <v>9918180</v>
      </c>
      <c r="AX62" s="9">
        <v>9752407</v>
      </c>
      <c r="AY62" s="9">
        <v>10041622</v>
      </c>
      <c r="AZ62" s="9">
        <v>455007</v>
      </c>
      <c r="BA62" s="9">
        <v>0</v>
      </c>
      <c r="BB62" s="9">
        <v>21212</v>
      </c>
      <c r="BC62" s="9">
        <v>21212</v>
      </c>
      <c r="BD62" s="9">
        <v>27</v>
      </c>
      <c r="BE62" s="9">
        <v>0</v>
      </c>
      <c r="BF62" s="9">
        <v>8400429</v>
      </c>
      <c r="BG62" s="9">
        <v>0</v>
      </c>
      <c r="BH62" s="9">
        <v>0</v>
      </c>
      <c r="BI62" s="9">
        <v>0</v>
      </c>
      <c r="BJ62" s="9">
        <v>12</v>
      </c>
      <c r="BK62" s="9">
        <v>0</v>
      </c>
      <c r="BL62" s="9">
        <v>0</v>
      </c>
      <c r="BM62" s="9">
        <v>0</v>
      </c>
      <c r="BN62" s="9">
        <v>0</v>
      </c>
      <c r="BO62" s="9">
        <v>0</v>
      </c>
      <c r="BP62" s="9">
        <v>0</v>
      </c>
      <c r="BQ62" s="9">
        <v>5392</v>
      </c>
      <c r="BR62" s="9">
        <v>1</v>
      </c>
      <c r="BS62" s="9">
        <v>0</v>
      </c>
      <c r="BT62" s="9">
        <v>0</v>
      </c>
      <c r="BU62" s="9">
        <v>0</v>
      </c>
      <c r="BV62" s="9">
        <v>0</v>
      </c>
      <c r="BW62" s="9">
        <v>0</v>
      </c>
      <c r="BX62" s="9">
        <v>0</v>
      </c>
      <c r="BY62" s="9">
        <v>0</v>
      </c>
      <c r="BZ62" s="9">
        <v>0</v>
      </c>
      <c r="CA62" s="9">
        <v>0</v>
      </c>
      <c r="CB62" s="9">
        <v>0</v>
      </c>
      <c r="CC62" s="9">
        <v>0</v>
      </c>
      <c r="CD62" s="9">
        <v>0</v>
      </c>
      <c r="CE62" s="9">
        <v>0</v>
      </c>
      <c r="CF62" s="9">
        <v>0</v>
      </c>
      <c r="CG62" s="9">
        <v>0</v>
      </c>
      <c r="CH62" s="9">
        <v>165773</v>
      </c>
      <c r="CI62" s="9">
        <v>0</v>
      </c>
      <c r="CJ62" s="9">
        <v>4</v>
      </c>
      <c r="CK62" s="9">
        <v>0</v>
      </c>
      <c r="CL62" s="9">
        <v>0</v>
      </c>
      <c r="CM62" s="9">
        <v>0</v>
      </c>
      <c r="CN62" s="9">
        <v>0</v>
      </c>
      <c r="CO62" s="9">
        <v>0</v>
      </c>
      <c r="CP62" s="9">
        <v>0</v>
      </c>
      <c r="CQ62" s="9">
        <v>0</v>
      </c>
      <c r="CR62" s="9">
        <v>890.78700000000003</v>
      </c>
      <c r="CS62" s="9">
        <v>0</v>
      </c>
      <c r="CT62" s="9">
        <v>0</v>
      </c>
      <c r="CU62" s="9">
        <v>0</v>
      </c>
      <c r="CV62" s="9">
        <v>0</v>
      </c>
      <c r="CW62" s="9">
        <v>0</v>
      </c>
      <c r="CX62" s="9">
        <v>0</v>
      </c>
      <c r="CY62" s="9">
        <v>0</v>
      </c>
      <c r="CZ62" s="9">
        <v>0</v>
      </c>
      <c r="DA62" s="9">
        <v>1</v>
      </c>
      <c r="DB62" s="9">
        <v>6128895</v>
      </c>
      <c r="DC62" s="9">
        <v>0</v>
      </c>
      <c r="DD62" s="9">
        <v>0</v>
      </c>
      <c r="DE62" s="9">
        <v>1442959</v>
      </c>
      <c r="DF62" s="9">
        <v>1442959</v>
      </c>
      <c r="DG62" s="9">
        <v>1102</v>
      </c>
      <c r="DH62" s="9">
        <v>0</v>
      </c>
      <c r="DI62" s="9">
        <v>0</v>
      </c>
      <c r="DJ62" s="9">
        <v>0</v>
      </c>
      <c r="DK62" s="9">
        <v>5392</v>
      </c>
      <c r="DL62" s="9">
        <v>0</v>
      </c>
      <c r="DM62" s="9">
        <v>652462</v>
      </c>
      <c r="DN62" s="9">
        <v>0</v>
      </c>
      <c r="DO62" s="9">
        <v>0</v>
      </c>
      <c r="DP62" s="9">
        <v>0</v>
      </c>
      <c r="DQ62" s="9">
        <v>0</v>
      </c>
      <c r="DR62" s="9">
        <v>0</v>
      </c>
      <c r="DS62" s="9">
        <v>0</v>
      </c>
      <c r="DT62" s="9">
        <v>0</v>
      </c>
      <c r="DU62" s="9">
        <v>0</v>
      </c>
      <c r="DV62" s="9">
        <v>0</v>
      </c>
      <c r="DW62" s="9">
        <v>0</v>
      </c>
      <c r="DX62" s="9">
        <v>0</v>
      </c>
      <c r="DY62" s="9">
        <v>0</v>
      </c>
      <c r="DZ62" s="9">
        <v>0</v>
      </c>
      <c r="EA62" s="9">
        <v>0</v>
      </c>
      <c r="EB62" s="9">
        <v>0</v>
      </c>
      <c r="EC62" s="9">
        <v>73.271000000000001</v>
      </c>
      <c r="ED62" s="9">
        <v>527676</v>
      </c>
      <c r="EE62" s="9">
        <v>0</v>
      </c>
      <c r="EF62" s="9">
        <v>0</v>
      </c>
      <c r="EG62" s="9">
        <v>0</v>
      </c>
      <c r="EH62" s="9">
        <v>124786</v>
      </c>
      <c r="EI62" s="9">
        <v>0</v>
      </c>
      <c r="EJ62" s="9">
        <v>0</v>
      </c>
      <c r="EK62" s="9">
        <v>1.02</v>
      </c>
      <c r="EL62" s="9">
        <v>0</v>
      </c>
      <c r="EM62" s="9">
        <v>0</v>
      </c>
      <c r="EN62" s="9">
        <v>3.2</v>
      </c>
      <c r="EO62" s="9">
        <v>0</v>
      </c>
      <c r="EP62" s="9">
        <v>0</v>
      </c>
      <c r="EQ62" s="9">
        <v>4.22</v>
      </c>
      <c r="ER62" s="9">
        <v>0</v>
      </c>
      <c r="ES62" s="9">
        <v>19.059999999999999</v>
      </c>
      <c r="ET62" s="9">
        <v>0</v>
      </c>
      <c r="EU62" s="9">
        <v>455007</v>
      </c>
      <c r="EV62" s="9">
        <v>0</v>
      </c>
      <c r="EW62" s="9">
        <v>0</v>
      </c>
      <c r="EX62" s="9">
        <v>0</v>
      </c>
      <c r="EY62" s="9">
        <v>0</v>
      </c>
      <c r="EZ62" s="9">
        <v>8176150</v>
      </c>
      <c r="FA62" s="9">
        <v>0</v>
      </c>
      <c r="FB62" s="9">
        <v>8631157</v>
      </c>
      <c r="FC62" s="9">
        <v>0.97326799999999991</v>
      </c>
      <c r="FD62" s="9">
        <v>0</v>
      </c>
      <c r="FE62" s="9">
        <v>1299524</v>
      </c>
      <c r="FF62" s="9">
        <v>276733</v>
      </c>
      <c r="FG62" s="9">
        <v>5.8088000000000001E-2</v>
      </c>
      <c r="FH62" s="9">
        <v>5.2622999999999996E-2</v>
      </c>
      <c r="FI62" s="9">
        <v>0</v>
      </c>
      <c r="FJ62" s="9">
        <v>0</v>
      </c>
      <c r="FK62" s="9">
        <v>1645.942</v>
      </c>
      <c r="FL62" s="9">
        <v>10373187</v>
      </c>
      <c r="FM62" s="9">
        <v>0</v>
      </c>
      <c r="FN62" s="9">
        <v>0</v>
      </c>
      <c r="FO62" s="9">
        <v>0</v>
      </c>
      <c r="FP62" s="9">
        <v>0</v>
      </c>
      <c r="FQ62" s="9">
        <v>0</v>
      </c>
      <c r="FR62" s="9">
        <v>0</v>
      </c>
      <c r="FS62" s="9">
        <v>0</v>
      </c>
      <c r="FT62" s="9">
        <v>0</v>
      </c>
      <c r="FU62" s="9">
        <v>0</v>
      </c>
      <c r="FV62" s="9">
        <v>0</v>
      </c>
      <c r="FW62" s="9">
        <v>0</v>
      </c>
      <c r="FX62" s="9">
        <v>0</v>
      </c>
      <c r="FY62" s="9">
        <v>0</v>
      </c>
      <c r="FZ62" s="9">
        <v>0</v>
      </c>
      <c r="GA62" s="9">
        <v>0</v>
      </c>
      <c r="GB62" s="9">
        <v>0</v>
      </c>
      <c r="GC62" s="9">
        <v>0</v>
      </c>
      <c r="GD62" s="9">
        <v>0</v>
      </c>
      <c r="GE62" s="9">
        <v>0</v>
      </c>
      <c r="GF62" s="9">
        <v>0</v>
      </c>
      <c r="GG62" s="9">
        <v>0</v>
      </c>
      <c r="GH62" s="9">
        <v>0</v>
      </c>
      <c r="GI62" s="9">
        <v>0</v>
      </c>
      <c r="GJ62" s="9">
        <v>0</v>
      </c>
      <c r="GK62" s="9">
        <v>4971</v>
      </c>
      <c r="GL62" s="9">
        <v>12424</v>
      </c>
      <c r="GM62" s="9">
        <v>0</v>
      </c>
      <c r="GN62" s="9">
        <v>0</v>
      </c>
      <c r="GO62" s="9">
        <v>0</v>
      </c>
      <c r="GP62" s="9">
        <v>10207414</v>
      </c>
      <c r="GQ62" s="9">
        <v>10207414</v>
      </c>
      <c r="GR62" s="9">
        <v>0</v>
      </c>
      <c r="GS62" s="9">
        <v>0</v>
      </c>
      <c r="GT62" s="9">
        <v>0</v>
      </c>
      <c r="GU62" s="9">
        <v>0</v>
      </c>
      <c r="GV62" s="9">
        <v>0</v>
      </c>
      <c r="GW62" s="9">
        <v>0</v>
      </c>
      <c r="GX62" s="9">
        <v>0</v>
      </c>
      <c r="GY62" s="9">
        <v>0</v>
      </c>
      <c r="GZ62" s="9">
        <v>0</v>
      </c>
      <c r="HA62" s="9">
        <v>0</v>
      </c>
      <c r="HB62" s="9">
        <v>300501363</v>
      </c>
      <c r="HC62" s="9">
        <v>4.4742999999999998E-2</v>
      </c>
      <c r="HD62" s="9">
        <v>165773</v>
      </c>
      <c r="HE62" s="9">
        <v>0</v>
      </c>
      <c r="HF62" s="9">
        <v>0</v>
      </c>
      <c r="HG62" s="9">
        <v>0</v>
      </c>
      <c r="HH62" s="9">
        <v>0</v>
      </c>
      <c r="HI62" s="9">
        <v>0</v>
      </c>
      <c r="HJ62" s="9">
        <v>0</v>
      </c>
      <c r="HK62" s="9">
        <v>0</v>
      </c>
      <c r="HL62" s="9">
        <v>0</v>
      </c>
      <c r="HM62" s="9">
        <v>0</v>
      </c>
      <c r="HN62" s="9">
        <v>0</v>
      </c>
      <c r="HO62" s="9">
        <v>0</v>
      </c>
      <c r="HP62" s="9">
        <v>0</v>
      </c>
      <c r="HQ62" s="9">
        <v>0</v>
      </c>
      <c r="HR62" s="9">
        <v>0</v>
      </c>
      <c r="HS62" s="9">
        <v>0</v>
      </c>
      <c r="HT62" s="9">
        <v>0</v>
      </c>
      <c r="HU62" s="9">
        <v>0</v>
      </c>
      <c r="HV62" s="9">
        <v>0</v>
      </c>
      <c r="HW62" s="9">
        <v>0</v>
      </c>
      <c r="HX62" s="9">
        <v>0</v>
      </c>
      <c r="HY62" s="9">
        <v>0</v>
      </c>
      <c r="HZ62" s="9">
        <v>0</v>
      </c>
      <c r="IA62" s="9">
        <v>0</v>
      </c>
      <c r="IB62" s="9">
        <v>0</v>
      </c>
      <c r="IC62" s="9">
        <v>0</v>
      </c>
      <c r="ID62" s="9">
        <v>0</v>
      </c>
      <c r="IE62" s="9">
        <v>0</v>
      </c>
      <c r="IF62" s="9">
        <v>0</v>
      </c>
      <c r="IG62" s="9">
        <v>0</v>
      </c>
      <c r="IH62" s="9">
        <v>0</v>
      </c>
      <c r="II62" s="9">
        <v>0</v>
      </c>
      <c r="IJ62" s="9">
        <v>0</v>
      </c>
      <c r="IK62" s="9">
        <v>0</v>
      </c>
      <c r="IL62" s="9">
        <v>0</v>
      </c>
      <c r="IM62" s="9">
        <v>0</v>
      </c>
      <c r="IN62" s="9">
        <v>0</v>
      </c>
      <c r="IO62" s="9">
        <v>0</v>
      </c>
      <c r="IP62" s="9">
        <v>0</v>
      </c>
      <c r="IQ62" s="9">
        <v>0</v>
      </c>
      <c r="IR62" s="9">
        <v>0</v>
      </c>
      <c r="IS62" s="9">
        <v>0</v>
      </c>
      <c r="IT62" s="9">
        <v>0</v>
      </c>
      <c r="IU62" s="9">
        <v>0</v>
      </c>
      <c r="IV62" s="9">
        <v>0</v>
      </c>
      <c r="IW62" s="9">
        <v>0</v>
      </c>
      <c r="IX62" s="9">
        <v>0</v>
      </c>
      <c r="IY62" s="9">
        <v>0</v>
      </c>
      <c r="IZ62" s="9">
        <v>0</v>
      </c>
      <c r="JA62" s="9">
        <v>0</v>
      </c>
      <c r="JB62" s="9">
        <v>0</v>
      </c>
      <c r="JC62" s="9">
        <v>0</v>
      </c>
      <c r="JD62" s="9">
        <v>0</v>
      </c>
      <c r="JE62" s="9">
        <v>0</v>
      </c>
      <c r="JF62" s="9">
        <v>0</v>
      </c>
      <c r="JG62" s="9">
        <v>0</v>
      </c>
      <c r="JH62" s="9">
        <v>0</v>
      </c>
      <c r="JI62" s="9">
        <v>0</v>
      </c>
      <c r="JJ62" s="9">
        <v>0</v>
      </c>
      <c r="JK62" s="9">
        <v>0</v>
      </c>
      <c r="JL62" s="9">
        <v>0</v>
      </c>
      <c r="JM62" s="9">
        <v>0</v>
      </c>
      <c r="JN62" s="9">
        <v>36832</v>
      </c>
      <c r="JO62" s="9">
        <v>0</v>
      </c>
      <c r="JP62" s="9">
        <v>0</v>
      </c>
      <c r="JQ62" s="9">
        <v>0</v>
      </c>
      <c r="JR62" s="9">
        <v>0</v>
      </c>
      <c r="JS62" s="9">
        <v>0</v>
      </c>
      <c r="JT62" s="9">
        <v>0</v>
      </c>
      <c r="JU62" s="9">
        <v>0</v>
      </c>
      <c r="JV62" s="9">
        <v>0</v>
      </c>
      <c r="JW62" s="9">
        <v>0</v>
      </c>
      <c r="JX62" s="9">
        <v>0</v>
      </c>
      <c r="JY62" s="9">
        <v>0</v>
      </c>
      <c r="JZ62" s="9">
        <v>0</v>
      </c>
      <c r="KA62" s="9">
        <v>0</v>
      </c>
      <c r="KB62" s="9">
        <v>0</v>
      </c>
      <c r="KC62" s="9">
        <v>0</v>
      </c>
      <c r="KD62" s="9">
        <v>0</v>
      </c>
      <c r="KE62" s="9">
        <v>0</v>
      </c>
      <c r="KF62" s="9">
        <v>0</v>
      </c>
      <c r="KG62" s="9">
        <v>0</v>
      </c>
      <c r="KH62" s="9">
        <v>0</v>
      </c>
      <c r="KI62" s="9">
        <v>0</v>
      </c>
    </row>
    <row r="63" spans="1:295" ht="13" x14ac:dyDescent="0.3">
      <c r="A63" s="9">
        <v>57840</v>
      </c>
      <c r="B63" s="9">
        <v>36871</v>
      </c>
      <c r="C63" s="9">
        <v>35</v>
      </c>
      <c r="D63" s="9">
        <v>2023</v>
      </c>
      <c r="E63" s="9">
        <v>5392</v>
      </c>
      <c r="F63" s="9">
        <v>0</v>
      </c>
      <c r="G63" s="9">
        <v>0</v>
      </c>
      <c r="H63" s="9">
        <v>350.04300000000001</v>
      </c>
      <c r="I63" s="9">
        <v>350.04300000000001</v>
      </c>
      <c r="J63" s="9">
        <v>468.82800000000003</v>
      </c>
      <c r="K63" s="9">
        <v>0</v>
      </c>
      <c r="L63" s="9">
        <v>6547</v>
      </c>
      <c r="M63" s="9">
        <v>0</v>
      </c>
      <c r="N63" s="9">
        <v>0</v>
      </c>
      <c r="O63" s="9">
        <v>0</v>
      </c>
      <c r="P63" s="9">
        <v>507.887</v>
      </c>
      <c r="Q63" s="9">
        <v>0</v>
      </c>
      <c r="R63" s="10">
        <v>247301</v>
      </c>
      <c r="S63" s="9">
        <v>486.92200000000003</v>
      </c>
      <c r="T63" s="9">
        <v>0</v>
      </c>
      <c r="U63" s="10">
        <v>247301</v>
      </c>
      <c r="V63" s="10">
        <v>32.812000000000005</v>
      </c>
      <c r="W63" s="10">
        <v>21482</v>
      </c>
      <c r="X63" s="10">
        <v>21482</v>
      </c>
      <c r="Y63" s="9">
        <v>0</v>
      </c>
      <c r="Z63" s="9">
        <v>0</v>
      </c>
      <c r="AA63" s="9">
        <v>1</v>
      </c>
      <c r="AB63" s="9">
        <v>1</v>
      </c>
      <c r="AC63" s="9">
        <v>0</v>
      </c>
      <c r="AD63" s="9" t="s">
        <v>314</v>
      </c>
      <c r="AE63" s="9">
        <v>0</v>
      </c>
      <c r="AF63" s="9">
        <v>0</v>
      </c>
      <c r="AG63" s="9">
        <v>0</v>
      </c>
      <c r="AH63" s="9">
        <v>0</v>
      </c>
      <c r="AI63" s="9">
        <v>0</v>
      </c>
      <c r="AJ63" s="9">
        <v>5104</v>
      </c>
      <c r="AK63" s="9" t="s">
        <v>651</v>
      </c>
      <c r="AL63" s="9" t="s">
        <v>328</v>
      </c>
      <c r="AM63" s="9">
        <v>0</v>
      </c>
      <c r="AN63" s="9">
        <v>0</v>
      </c>
      <c r="AO63" s="9">
        <v>0</v>
      </c>
      <c r="AP63" s="9">
        <v>0</v>
      </c>
      <c r="AQ63" s="9">
        <v>0</v>
      </c>
      <c r="AR63" s="9">
        <v>0</v>
      </c>
      <c r="AS63" s="9">
        <v>0</v>
      </c>
      <c r="AT63" s="9">
        <v>0</v>
      </c>
      <c r="AU63" s="9">
        <v>0</v>
      </c>
      <c r="AV63" s="9">
        <v>18693</v>
      </c>
      <c r="AW63" s="9">
        <v>3945985</v>
      </c>
      <c r="AX63" s="9">
        <v>3737864</v>
      </c>
      <c r="AY63" s="9">
        <v>4702204</v>
      </c>
      <c r="AZ63" s="9">
        <v>372774</v>
      </c>
      <c r="BA63" s="10">
        <v>0</v>
      </c>
      <c r="BB63" s="9">
        <v>0</v>
      </c>
      <c r="BC63" s="9">
        <v>0</v>
      </c>
      <c r="BD63" s="9">
        <v>0</v>
      </c>
      <c r="BE63" s="9">
        <v>0</v>
      </c>
      <c r="BF63" s="9">
        <v>3279684</v>
      </c>
      <c r="BG63" s="9">
        <v>0</v>
      </c>
      <c r="BH63" s="10">
        <v>456.267</v>
      </c>
      <c r="BI63" s="10">
        <v>125473</v>
      </c>
      <c r="BJ63" s="9">
        <v>12</v>
      </c>
      <c r="BK63" s="9">
        <v>0</v>
      </c>
      <c r="BL63" s="9">
        <v>0</v>
      </c>
      <c r="BM63" s="9">
        <v>0</v>
      </c>
      <c r="BN63" s="9">
        <v>0</v>
      </c>
      <c r="BO63" s="9">
        <v>0</v>
      </c>
      <c r="BP63" s="9">
        <v>0</v>
      </c>
      <c r="BQ63" s="9">
        <v>5392</v>
      </c>
      <c r="BR63" s="9">
        <v>1</v>
      </c>
      <c r="BS63" s="9">
        <v>0</v>
      </c>
      <c r="BT63" s="9">
        <v>0</v>
      </c>
      <c r="BU63" s="9">
        <v>0</v>
      </c>
      <c r="BV63" s="9">
        <v>0</v>
      </c>
      <c r="BW63" s="9">
        <v>0</v>
      </c>
      <c r="BX63" s="9">
        <v>0</v>
      </c>
      <c r="BY63" s="9">
        <v>0</v>
      </c>
      <c r="BZ63" s="9">
        <v>0</v>
      </c>
      <c r="CA63" s="9">
        <v>0</v>
      </c>
      <c r="CB63" s="9">
        <v>0</v>
      </c>
      <c r="CC63" s="9">
        <v>0</v>
      </c>
      <c r="CD63" s="9">
        <v>0</v>
      </c>
      <c r="CE63" s="9">
        <v>0</v>
      </c>
      <c r="CF63" s="9">
        <v>0</v>
      </c>
      <c r="CG63" s="9">
        <v>0</v>
      </c>
      <c r="CH63" s="10">
        <v>82648</v>
      </c>
      <c r="CI63" s="9">
        <v>0</v>
      </c>
      <c r="CJ63" s="9">
        <v>4</v>
      </c>
      <c r="CK63" s="9">
        <v>0</v>
      </c>
      <c r="CL63" s="9">
        <v>0</v>
      </c>
      <c r="CM63" s="9">
        <v>0</v>
      </c>
      <c r="CN63" s="9">
        <v>0</v>
      </c>
      <c r="CO63" s="9">
        <v>0</v>
      </c>
      <c r="CP63" s="9">
        <v>0</v>
      </c>
      <c r="CQ63" s="9">
        <v>0</v>
      </c>
      <c r="CR63" s="9">
        <v>507.887</v>
      </c>
      <c r="CS63" s="9">
        <v>0</v>
      </c>
      <c r="CT63" s="9">
        <v>0</v>
      </c>
      <c r="CU63" s="9">
        <v>0</v>
      </c>
      <c r="CV63" s="9">
        <v>0</v>
      </c>
      <c r="CW63" s="9">
        <v>0</v>
      </c>
      <c r="CX63" s="9">
        <v>0</v>
      </c>
      <c r="CY63" s="9">
        <v>0</v>
      </c>
      <c r="CZ63" s="9">
        <v>0</v>
      </c>
      <c r="DA63" s="9">
        <v>1</v>
      </c>
      <c r="DB63" s="9">
        <v>2291732</v>
      </c>
      <c r="DC63" s="9">
        <v>0</v>
      </c>
      <c r="DD63" s="9">
        <v>0</v>
      </c>
      <c r="DE63" s="9">
        <v>0</v>
      </c>
      <c r="DF63" s="9">
        <v>0</v>
      </c>
      <c r="DG63" s="9">
        <v>0</v>
      </c>
      <c r="DH63" s="9">
        <v>0</v>
      </c>
      <c r="DI63" s="9">
        <v>0</v>
      </c>
      <c r="DJ63" s="9">
        <v>0</v>
      </c>
      <c r="DK63" s="9">
        <v>5392</v>
      </c>
      <c r="DL63" s="9">
        <v>0</v>
      </c>
      <c r="DM63" s="9">
        <v>6676</v>
      </c>
      <c r="DN63" s="9">
        <v>0</v>
      </c>
      <c r="DO63" s="9">
        <v>0</v>
      </c>
      <c r="DP63" s="9">
        <v>0</v>
      </c>
      <c r="DQ63" s="9">
        <v>0</v>
      </c>
      <c r="DR63" s="9">
        <v>0</v>
      </c>
      <c r="DS63" s="9">
        <v>0</v>
      </c>
      <c r="DT63" s="9">
        <v>0</v>
      </c>
      <c r="DU63" s="9">
        <v>0</v>
      </c>
      <c r="DV63" s="9">
        <v>0</v>
      </c>
      <c r="DW63" s="9">
        <v>0</v>
      </c>
      <c r="DX63" s="9">
        <v>0</v>
      </c>
      <c r="DY63" s="9">
        <v>0</v>
      </c>
      <c r="DZ63" s="9">
        <v>0</v>
      </c>
      <c r="EA63" s="9">
        <v>0</v>
      </c>
      <c r="EB63" s="9">
        <v>0</v>
      </c>
      <c r="EC63" s="9">
        <v>0.92700000000000005</v>
      </c>
      <c r="ED63" s="9">
        <v>6676</v>
      </c>
      <c r="EE63" s="9">
        <v>0</v>
      </c>
      <c r="EF63" s="9">
        <v>0</v>
      </c>
      <c r="EG63" s="9">
        <v>0</v>
      </c>
      <c r="EH63" s="9">
        <v>0</v>
      </c>
      <c r="EI63" s="9">
        <v>0</v>
      </c>
      <c r="EJ63" s="9">
        <v>0</v>
      </c>
      <c r="EK63" s="9">
        <v>0</v>
      </c>
      <c r="EL63" s="9">
        <v>0</v>
      </c>
      <c r="EM63" s="9">
        <v>0</v>
      </c>
      <c r="EN63" s="9">
        <v>0</v>
      </c>
      <c r="EO63" s="9">
        <v>0</v>
      </c>
      <c r="EP63" s="9">
        <v>0</v>
      </c>
      <c r="EQ63" s="9">
        <v>0</v>
      </c>
      <c r="ER63" s="9">
        <v>0</v>
      </c>
      <c r="ES63" s="9">
        <v>0</v>
      </c>
      <c r="ET63" s="10">
        <v>0</v>
      </c>
      <c r="EU63" s="9">
        <v>372774</v>
      </c>
      <c r="EV63" s="9">
        <v>0</v>
      </c>
      <c r="EW63" s="9">
        <v>0</v>
      </c>
      <c r="EX63" s="9">
        <v>0</v>
      </c>
      <c r="EY63" s="9">
        <v>0</v>
      </c>
      <c r="EZ63" s="9">
        <v>3122464</v>
      </c>
      <c r="FA63" s="9">
        <v>0</v>
      </c>
      <c r="FB63" s="10">
        <v>3495238</v>
      </c>
      <c r="FC63" s="9">
        <v>0.97326799999999991</v>
      </c>
      <c r="FD63" s="9">
        <v>0</v>
      </c>
      <c r="FE63" s="9">
        <v>507358</v>
      </c>
      <c r="FF63" s="9">
        <v>108042</v>
      </c>
      <c r="FG63" s="9">
        <v>5.8088000000000001E-2</v>
      </c>
      <c r="FH63" s="9">
        <v>5.2622999999999996E-2</v>
      </c>
      <c r="FI63" s="9">
        <v>0</v>
      </c>
      <c r="FJ63" s="9">
        <v>0</v>
      </c>
      <c r="FK63" s="9">
        <v>642.60599999999999</v>
      </c>
      <c r="FL63" s="9">
        <v>4193286</v>
      </c>
      <c r="FM63" s="9">
        <v>0</v>
      </c>
      <c r="FN63" s="9">
        <v>0</v>
      </c>
      <c r="FO63" s="9">
        <v>0</v>
      </c>
      <c r="FP63" s="9">
        <v>0</v>
      </c>
      <c r="FQ63" s="9">
        <v>0</v>
      </c>
      <c r="FR63" s="9">
        <v>0</v>
      </c>
      <c r="FS63" s="9">
        <v>0</v>
      </c>
      <c r="FT63" s="9">
        <v>0</v>
      </c>
      <c r="FU63" s="9">
        <v>0</v>
      </c>
      <c r="FV63" s="9">
        <v>0</v>
      </c>
      <c r="FW63" s="9">
        <v>0</v>
      </c>
      <c r="FX63" s="9">
        <v>0</v>
      </c>
      <c r="FY63" s="9">
        <v>0</v>
      </c>
      <c r="FZ63" s="9">
        <v>0</v>
      </c>
      <c r="GA63" s="9">
        <v>0</v>
      </c>
      <c r="GB63" s="10">
        <v>1049875</v>
      </c>
      <c r="GC63" s="10">
        <v>1049875</v>
      </c>
      <c r="GD63" s="10">
        <v>118.78500000000001</v>
      </c>
      <c r="GE63" s="9">
        <v>0</v>
      </c>
      <c r="GF63" s="9">
        <v>0</v>
      </c>
      <c r="GG63" s="9">
        <v>0</v>
      </c>
      <c r="GH63" s="9">
        <v>0</v>
      </c>
      <c r="GI63" s="9">
        <v>0</v>
      </c>
      <c r="GJ63" s="9">
        <v>0</v>
      </c>
      <c r="GK63" s="9">
        <v>5202</v>
      </c>
      <c r="GL63" s="9">
        <v>9629</v>
      </c>
      <c r="GM63" s="9">
        <v>0</v>
      </c>
      <c r="GN63" s="9">
        <v>11762</v>
      </c>
      <c r="GO63" s="9">
        <v>0</v>
      </c>
      <c r="GP63" s="9">
        <v>4110638</v>
      </c>
      <c r="GQ63" s="9">
        <v>4110638</v>
      </c>
      <c r="GR63" s="9">
        <v>0</v>
      </c>
      <c r="GS63" s="9">
        <v>0</v>
      </c>
      <c r="GT63" s="9">
        <v>0</v>
      </c>
      <c r="GU63" s="9">
        <v>0</v>
      </c>
      <c r="GV63" s="9">
        <v>0</v>
      </c>
      <c r="GW63" s="9">
        <v>0</v>
      </c>
      <c r="GX63" s="9">
        <v>0</v>
      </c>
      <c r="GY63" s="9">
        <v>0</v>
      </c>
      <c r="GZ63" s="9">
        <v>0</v>
      </c>
      <c r="HA63" s="9">
        <v>0</v>
      </c>
      <c r="HB63" s="9">
        <v>300501363</v>
      </c>
      <c r="HC63" s="9">
        <v>4.4742999999999998E-2</v>
      </c>
      <c r="HD63" s="10">
        <v>82648</v>
      </c>
      <c r="HE63" s="9">
        <v>0</v>
      </c>
      <c r="HF63" s="9">
        <v>0</v>
      </c>
      <c r="HG63" s="9">
        <v>0</v>
      </c>
      <c r="HH63" s="9">
        <v>0</v>
      </c>
      <c r="HI63" s="9">
        <v>0</v>
      </c>
      <c r="HJ63" s="9">
        <v>0</v>
      </c>
      <c r="HK63" s="9">
        <v>0</v>
      </c>
      <c r="HL63" s="9">
        <v>0</v>
      </c>
      <c r="HM63" s="9">
        <v>0</v>
      </c>
      <c r="HN63" s="9">
        <v>0</v>
      </c>
      <c r="HO63" s="9">
        <v>0</v>
      </c>
      <c r="HP63" s="9">
        <v>0</v>
      </c>
      <c r="HQ63" s="9">
        <v>0</v>
      </c>
      <c r="HR63" s="9">
        <v>0</v>
      </c>
      <c r="HS63" s="9">
        <v>0</v>
      </c>
      <c r="HT63" s="9">
        <v>0</v>
      </c>
      <c r="HU63" s="9">
        <v>0</v>
      </c>
      <c r="HV63" s="9">
        <v>0</v>
      </c>
      <c r="HW63" s="9">
        <v>0</v>
      </c>
      <c r="HX63" s="9">
        <v>0</v>
      </c>
      <c r="HY63" s="9">
        <v>0</v>
      </c>
      <c r="HZ63" s="9">
        <v>0</v>
      </c>
      <c r="IA63" s="9">
        <v>0</v>
      </c>
      <c r="IB63" s="9">
        <v>0</v>
      </c>
      <c r="IC63" s="9">
        <v>0</v>
      </c>
      <c r="ID63" s="9">
        <v>0</v>
      </c>
      <c r="IE63" s="9">
        <v>0</v>
      </c>
      <c r="IF63" s="9">
        <v>0</v>
      </c>
      <c r="IG63" s="9">
        <v>0</v>
      </c>
      <c r="IH63" s="9">
        <v>0</v>
      </c>
      <c r="II63" s="9">
        <v>0</v>
      </c>
      <c r="IJ63" s="9">
        <v>0</v>
      </c>
      <c r="IK63" s="9">
        <v>0</v>
      </c>
      <c r="IL63" s="9">
        <v>0</v>
      </c>
      <c r="IM63" s="9">
        <v>0</v>
      </c>
      <c r="IN63" s="9">
        <v>0</v>
      </c>
      <c r="IO63" s="9">
        <v>0</v>
      </c>
      <c r="IP63" s="9">
        <v>0</v>
      </c>
      <c r="IQ63" s="9">
        <v>0</v>
      </c>
      <c r="IR63" s="9">
        <v>0</v>
      </c>
      <c r="IS63" s="9">
        <v>0</v>
      </c>
      <c r="IT63" s="9">
        <v>0</v>
      </c>
      <c r="IU63" s="9">
        <v>0</v>
      </c>
      <c r="IV63" s="9">
        <v>0</v>
      </c>
      <c r="IW63" s="9">
        <v>0</v>
      </c>
      <c r="IX63" s="9">
        <v>0</v>
      </c>
      <c r="IY63" s="9">
        <v>0</v>
      </c>
      <c r="IZ63" s="9">
        <v>0</v>
      </c>
      <c r="JA63" s="9">
        <v>0</v>
      </c>
      <c r="JB63" s="9">
        <v>0</v>
      </c>
      <c r="JC63" s="9">
        <v>0</v>
      </c>
      <c r="JD63" s="9">
        <v>0</v>
      </c>
      <c r="JE63" s="9">
        <v>0</v>
      </c>
      <c r="JF63" s="9">
        <v>0</v>
      </c>
      <c r="JG63" s="9">
        <v>0</v>
      </c>
      <c r="JH63" s="9">
        <v>0</v>
      </c>
      <c r="JI63" s="9">
        <v>0</v>
      </c>
      <c r="JJ63" s="9">
        <v>0</v>
      </c>
      <c r="JK63" s="9">
        <v>0</v>
      </c>
      <c r="JL63" s="9">
        <v>0</v>
      </c>
      <c r="JM63" s="9">
        <v>0</v>
      </c>
      <c r="JN63" s="9">
        <v>36832</v>
      </c>
      <c r="JO63" s="9">
        <v>0</v>
      </c>
      <c r="JP63" s="9">
        <v>0</v>
      </c>
      <c r="JQ63" s="9">
        <v>0</v>
      </c>
      <c r="JR63" s="9">
        <v>0</v>
      </c>
      <c r="JS63" s="9">
        <v>0</v>
      </c>
      <c r="JT63" s="9">
        <v>0</v>
      </c>
      <c r="JU63" s="9">
        <v>0</v>
      </c>
      <c r="JV63" s="9">
        <v>0</v>
      </c>
      <c r="JW63" s="9">
        <v>0</v>
      </c>
      <c r="JX63" s="9">
        <v>0</v>
      </c>
      <c r="JY63" s="9">
        <v>0</v>
      </c>
      <c r="JZ63" s="9">
        <v>0</v>
      </c>
      <c r="KA63" s="9">
        <v>0</v>
      </c>
      <c r="KB63" s="9">
        <v>0</v>
      </c>
      <c r="KC63" s="9">
        <v>0</v>
      </c>
      <c r="KD63" s="9">
        <v>0</v>
      </c>
      <c r="KE63" s="9">
        <v>0</v>
      </c>
      <c r="KF63" s="9">
        <v>0</v>
      </c>
      <c r="KG63" s="9">
        <v>0</v>
      </c>
      <c r="KH63" s="9">
        <v>0</v>
      </c>
      <c r="KI63" s="9">
        <v>0</v>
      </c>
    </row>
    <row r="64" spans="1:295" x14ac:dyDescent="0.25">
      <c r="A64" s="9">
        <v>57841</v>
      </c>
      <c r="B64" s="9">
        <v>36871</v>
      </c>
      <c r="C64" s="9">
        <v>35</v>
      </c>
      <c r="D64" s="9">
        <v>2023</v>
      </c>
      <c r="E64" s="9">
        <v>5392</v>
      </c>
      <c r="F64" s="9">
        <v>0</v>
      </c>
      <c r="G64" s="9">
        <v>0</v>
      </c>
      <c r="H64" s="9">
        <v>1135.1770000000001</v>
      </c>
      <c r="I64" s="9">
        <v>1135.1770000000001</v>
      </c>
      <c r="J64" s="9">
        <v>1144.5830000000001</v>
      </c>
      <c r="K64" s="9">
        <v>0</v>
      </c>
      <c r="L64" s="9">
        <v>6547</v>
      </c>
      <c r="M64" s="9">
        <v>0</v>
      </c>
      <c r="N64" s="9">
        <v>0</v>
      </c>
      <c r="O64" s="9">
        <v>0</v>
      </c>
      <c r="P64" s="9">
        <v>931.17700000000002</v>
      </c>
      <c r="Q64" s="9">
        <v>0</v>
      </c>
      <c r="R64" s="9">
        <v>453411</v>
      </c>
      <c r="S64" s="9">
        <v>486.92200000000003</v>
      </c>
      <c r="T64" s="9">
        <v>0</v>
      </c>
      <c r="U64" s="9">
        <v>453411</v>
      </c>
      <c r="V64" s="9">
        <v>426.58300000000003</v>
      </c>
      <c r="W64" s="9">
        <v>279284</v>
      </c>
      <c r="X64" s="9">
        <v>279284</v>
      </c>
      <c r="Y64" s="9">
        <v>0</v>
      </c>
      <c r="Z64" s="9">
        <v>0</v>
      </c>
      <c r="AA64" s="9">
        <v>1</v>
      </c>
      <c r="AB64" s="9">
        <v>1</v>
      </c>
      <c r="AC64" s="9">
        <v>0</v>
      </c>
      <c r="AD64" s="9" t="s">
        <v>314</v>
      </c>
      <c r="AE64" s="9">
        <v>0</v>
      </c>
      <c r="AF64" s="9">
        <v>0</v>
      </c>
      <c r="AG64" s="9">
        <v>0</v>
      </c>
      <c r="AH64" s="9">
        <v>0</v>
      </c>
      <c r="AI64" s="9">
        <v>0</v>
      </c>
      <c r="AJ64" s="9">
        <v>5104</v>
      </c>
      <c r="AK64" s="9" t="s">
        <v>651</v>
      </c>
      <c r="AL64" s="9" t="s">
        <v>329</v>
      </c>
      <c r="AM64" s="9">
        <v>0</v>
      </c>
      <c r="AN64" s="9">
        <v>0</v>
      </c>
      <c r="AO64" s="9">
        <v>0</v>
      </c>
      <c r="AP64" s="9">
        <v>0</v>
      </c>
      <c r="AQ64" s="9">
        <v>0</v>
      </c>
      <c r="AR64" s="9">
        <v>0</v>
      </c>
      <c r="AS64" s="9">
        <v>0</v>
      </c>
      <c r="AT64" s="9">
        <v>0</v>
      </c>
      <c r="AU64" s="9">
        <v>0</v>
      </c>
      <c r="AV64" s="9">
        <v>-209288</v>
      </c>
      <c r="AW64" s="9">
        <v>11193368</v>
      </c>
      <c r="AX64" s="9">
        <v>10951368</v>
      </c>
      <c r="AY64" s="9">
        <v>11274805</v>
      </c>
      <c r="AZ64" s="9">
        <v>493636</v>
      </c>
      <c r="BA64" s="9">
        <v>0</v>
      </c>
      <c r="BB64" s="9">
        <v>4714</v>
      </c>
      <c r="BC64" s="9">
        <v>4714</v>
      </c>
      <c r="BD64" s="9">
        <v>6</v>
      </c>
      <c r="BE64" s="9">
        <v>0</v>
      </c>
      <c r="BF64" s="9">
        <v>9385828</v>
      </c>
      <c r="BG64" s="9">
        <v>0</v>
      </c>
      <c r="BH64" s="9">
        <v>0</v>
      </c>
      <c r="BI64" s="9">
        <v>0</v>
      </c>
      <c r="BJ64" s="9">
        <v>12</v>
      </c>
      <c r="BK64" s="9">
        <v>0</v>
      </c>
      <c r="BL64" s="9">
        <v>0</v>
      </c>
      <c r="BM64" s="9">
        <v>0</v>
      </c>
      <c r="BN64" s="9">
        <v>0</v>
      </c>
      <c r="BO64" s="9">
        <v>0</v>
      </c>
      <c r="BP64" s="9">
        <v>0</v>
      </c>
      <c r="BQ64" s="9">
        <v>5392</v>
      </c>
      <c r="BR64" s="9">
        <v>1</v>
      </c>
      <c r="BS64" s="9">
        <v>0</v>
      </c>
      <c r="BT64" s="9">
        <v>0</v>
      </c>
      <c r="BU64" s="9">
        <v>0</v>
      </c>
      <c r="BV64" s="9">
        <v>0</v>
      </c>
      <c r="BW64" s="9">
        <v>0</v>
      </c>
      <c r="BX64" s="9">
        <v>0</v>
      </c>
      <c r="BY64" s="9">
        <v>0</v>
      </c>
      <c r="BZ64" s="9">
        <v>0</v>
      </c>
      <c r="CA64" s="9">
        <v>40.225000000000001</v>
      </c>
      <c r="CB64" s="9">
        <v>40225</v>
      </c>
      <c r="CC64" s="9">
        <v>0</v>
      </c>
      <c r="CD64" s="9">
        <v>0</v>
      </c>
      <c r="CE64" s="9">
        <v>0</v>
      </c>
      <c r="CF64" s="9">
        <v>0</v>
      </c>
      <c r="CG64" s="9">
        <v>0</v>
      </c>
      <c r="CH64" s="9">
        <v>201775</v>
      </c>
      <c r="CI64" s="9">
        <v>0</v>
      </c>
      <c r="CJ64" s="9">
        <v>5</v>
      </c>
      <c r="CK64" s="9">
        <v>0</v>
      </c>
      <c r="CL64" s="9">
        <v>0</v>
      </c>
      <c r="CM64" s="9">
        <v>0</v>
      </c>
      <c r="CN64" s="9">
        <v>0</v>
      </c>
      <c r="CO64" s="9">
        <v>0</v>
      </c>
      <c r="CP64" s="9">
        <v>0</v>
      </c>
      <c r="CQ64" s="9">
        <v>0</v>
      </c>
      <c r="CR64" s="9">
        <v>903.702</v>
      </c>
      <c r="CS64" s="9">
        <v>0</v>
      </c>
      <c r="CT64" s="9">
        <v>0</v>
      </c>
      <c r="CU64" s="9">
        <v>0</v>
      </c>
      <c r="CV64" s="9">
        <v>0</v>
      </c>
      <c r="CW64" s="9">
        <v>0</v>
      </c>
      <c r="CX64" s="9">
        <v>0</v>
      </c>
      <c r="CY64" s="9">
        <v>0</v>
      </c>
      <c r="CZ64" s="9">
        <v>0</v>
      </c>
      <c r="DA64" s="9">
        <v>1</v>
      </c>
      <c r="DB64" s="9">
        <v>7432004</v>
      </c>
      <c r="DC64" s="9">
        <v>0</v>
      </c>
      <c r="DD64" s="9">
        <v>0</v>
      </c>
      <c r="DE64" s="9">
        <v>1477880</v>
      </c>
      <c r="DF64" s="9">
        <v>1477880</v>
      </c>
      <c r="DG64" s="9">
        <v>1128.67</v>
      </c>
      <c r="DH64" s="9">
        <v>0</v>
      </c>
      <c r="DI64" s="9">
        <v>0</v>
      </c>
      <c r="DJ64" s="9">
        <v>0</v>
      </c>
      <c r="DK64" s="9">
        <v>5392</v>
      </c>
      <c r="DL64" s="9">
        <v>0</v>
      </c>
      <c r="DM64" s="9">
        <v>449740</v>
      </c>
      <c r="DN64" s="9">
        <v>0</v>
      </c>
      <c r="DO64" s="9">
        <v>0</v>
      </c>
      <c r="DP64" s="9">
        <v>0</v>
      </c>
      <c r="DQ64" s="9">
        <v>0</v>
      </c>
      <c r="DR64" s="9">
        <v>0</v>
      </c>
      <c r="DS64" s="9">
        <v>0</v>
      </c>
      <c r="DT64" s="9">
        <v>0</v>
      </c>
      <c r="DU64" s="9">
        <v>0</v>
      </c>
      <c r="DV64" s="9">
        <v>0</v>
      </c>
      <c r="DW64" s="9">
        <v>0</v>
      </c>
      <c r="DX64" s="9">
        <v>0</v>
      </c>
      <c r="DY64" s="9">
        <v>0</v>
      </c>
      <c r="DZ64" s="9">
        <v>0</v>
      </c>
      <c r="EA64" s="9">
        <v>0</v>
      </c>
      <c r="EB64" s="9">
        <v>0</v>
      </c>
      <c r="EC64" s="9">
        <v>33.520000000000003</v>
      </c>
      <c r="ED64" s="9">
        <v>241401</v>
      </c>
      <c r="EE64" s="9">
        <v>0</v>
      </c>
      <c r="EF64" s="9">
        <v>0</v>
      </c>
      <c r="EG64" s="9">
        <v>0</v>
      </c>
      <c r="EH64" s="9">
        <v>208339</v>
      </c>
      <c r="EI64" s="9">
        <v>0</v>
      </c>
      <c r="EJ64" s="9">
        <v>0</v>
      </c>
      <c r="EK64" s="9">
        <v>7.5550000000000006</v>
      </c>
      <c r="EL64" s="9">
        <v>0</v>
      </c>
      <c r="EM64" s="9">
        <v>4.9000000000000002E-2</v>
      </c>
      <c r="EN64" s="9">
        <v>1.802</v>
      </c>
      <c r="EO64" s="9">
        <v>0</v>
      </c>
      <c r="EP64" s="9">
        <v>0</v>
      </c>
      <c r="EQ64" s="9">
        <v>9.4060000000000006</v>
      </c>
      <c r="ER64" s="9">
        <v>0</v>
      </c>
      <c r="ES64" s="9">
        <v>31.822000000000003</v>
      </c>
      <c r="ET64" s="9">
        <v>0</v>
      </c>
      <c r="EU64" s="9">
        <v>493636</v>
      </c>
      <c r="EV64" s="9">
        <v>0</v>
      </c>
      <c r="EW64" s="9">
        <v>0</v>
      </c>
      <c r="EX64" s="9">
        <v>0</v>
      </c>
      <c r="EY64" s="9">
        <v>0</v>
      </c>
      <c r="EZ64" s="9">
        <v>9190211</v>
      </c>
      <c r="FA64" s="9">
        <v>0</v>
      </c>
      <c r="FB64" s="9">
        <v>9683847</v>
      </c>
      <c r="FC64" s="9">
        <v>0.97326799999999991</v>
      </c>
      <c r="FD64" s="9">
        <v>0</v>
      </c>
      <c r="FE64" s="9">
        <v>1451962</v>
      </c>
      <c r="FF64" s="9">
        <v>309195</v>
      </c>
      <c r="FG64" s="9">
        <v>5.8088000000000001E-2</v>
      </c>
      <c r="FH64" s="9">
        <v>5.2622999999999996E-2</v>
      </c>
      <c r="FI64" s="9">
        <v>0</v>
      </c>
      <c r="FJ64" s="9">
        <v>0</v>
      </c>
      <c r="FK64" s="9">
        <v>1839.0160000000001</v>
      </c>
      <c r="FL64" s="9">
        <v>11646779</v>
      </c>
      <c r="FM64" s="9">
        <v>0</v>
      </c>
      <c r="FN64" s="9">
        <v>0</v>
      </c>
      <c r="FO64" s="9">
        <v>0</v>
      </c>
      <c r="FP64" s="9">
        <v>0</v>
      </c>
      <c r="FQ64" s="9">
        <v>0</v>
      </c>
      <c r="FR64" s="9">
        <v>0</v>
      </c>
      <c r="FS64" s="9">
        <v>0</v>
      </c>
      <c r="FT64" s="9">
        <v>0</v>
      </c>
      <c r="FU64" s="9">
        <v>0</v>
      </c>
      <c r="FV64" s="9">
        <v>0</v>
      </c>
      <c r="FW64" s="9">
        <v>0</v>
      </c>
      <c r="FX64" s="9">
        <v>0</v>
      </c>
      <c r="FY64" s="9">
        <v>0</v>
      </c>
      <c r="FZ64" s="9">
        <v>0</v>
      </c>
      <c r="GA64" s="9">
        <v>0</v>
      </c>
      <c r="GB64" s="9">
        <v>0</v>
      </c>
      <c r="GC64" s="9">
        <v>0</v>
      </c>
      <c r="GD64" s="9">
        <v>0</v>
      </c>
      <c r="GE64" s="9">
        <v>0</v>
      </c>
      <c r="GF64" s="9">
        <v>0</v>
      </c>
      <c r="GG64" s="9">
        <v>0</v>
      </c>
      <c r="GH64" s="9">
        <v>0</v>
      </c>
      <c r="GI64" s="9">
        <v>0</v>
      </c>
      <c r="GJ64" s="9">
        <v>0</v>
      </c>
      <c r="GK64" s="9">
        <v>4971</v>
      </c>
      <c r="GL64" s="9">
        <v>2890</v>
      </c>
      <c r="GM64" s="9">
        <v>0</v>
      </c>
      <c r="GN64" s="9">
        <v>0</v>
      </c>
      <c r="GO64" s="9">
        <v>0</v>
      </c>
      <c r="GP64" s="9">
        <v>11445004</v>
      </c>
      <c r="GQ64" s="9">
        <v>11445004</v>
      </c>
      <c r="GR64" s="9">
        <v>0</v>
      </c>
      <c r="GS64" s="9">
        <v>0</v>
      </c>
      <c r="GT64" s="9">
        <v>0</v>
      </c>
      <c r="GU64" s="9">
        <v>0</v>
      </c>
      <c r="GV64" s="9">
        <v>0</v>
      </c>
      <c r="GW64" s="9">
        <v>0</v>
      </c>
      <c r="GX64" s="9">
        <v>0</v>
      </c>
      <c r="GY64" s="9">
        <v>0</v>
      </c>
      <c r="GZ64" s="9">
        <v>0</v>
      </c>
      <c r="HA64" s="9">
        <v>0</v>
      </c>
      <c r="HB64" s="9">
        <v>300501363</v>
      </c>
      <c r="HC64" s="9">
        <v>4.4742999999999998E-2</v>
      </c>
      <c r="HD64" s="9">
        <v>201775</v>
      </c>
      <c r="HE64" s="9">
        <v>0</v>
      </c>
      <c r="HF64" s="9">
        <v>0</v>
      </c>
      <c r="HG64" s="9">
        <v>0</v>
      </c>
      <c r="HH64" s="9">
        <v>0</v>
      </c>
      <c r="HI64" s="9">
        <v>0</v>
      </c>
      <c r="HJ64" s="9">
        <v>0</v>
      </c>
      <c r="HK64" s="9">
        <v>0</v>
      </c>
      <c r="HL64" s="9">
        <v>0</v>
      </c>
      <c r="HM64" s="9">
        <v>0</v>
      </c>
      <c r="HN64" s="9">
        <v>0</v>
      </c>
      <c r="HO64" s="9">
        <v>0</v>
      </c>
      <c r="HP64" s="9">
        <v>0</v>
      </c>
      <c r="HQ64" s="9">
        <v>0</v>
      </c>
      <c r="HR64" s="9">
        <v>0</v>
      </c>
      <c r="HS64" s="9">
        <v>0</v>
      </c>
      <c r="HT64" s="9">
        <v>0</v>
      </c>
      <c r="HU64" s="9">
        <v>0</v>
      </c>
      <c r="HV64" s="9">
        <v>0</v>
      </c>
      <c r="HW64" s="9">
        <v>0</v>
      </c>
      <c r="HX64" s="9">
        <v>0</v>
      </c>
      <c r="HY64" s="9">
        <v>0</v>
      </c>
      <c r="HZ64" s="9">
        <v>0</v>
      </c>
      <c r="IA64" s="9">
        <v>0</v>
      </c>
      <c r="IB64" s="9">
        <v>0</v>
      </c>
      <c r="IC64" s="9">
        <v>0</v>
      </c>
      <c r="ID64" s="9">
        <v>0</v>
      </c>
      <c r="IE64" s="9">
        <v>0</v>
      </c>
      <c r="IF64" s="9">
        <v>0</v>
      </c>
      <c r="IG64" s="9">
        <v>0</v>
      </c>
      <c r="IH64" s="9">
        <v>0</v>
      </c>
      <c r="II64" s="9">
        <v>0</v>
      </c>
      <c r="IJ64" s="9">
        <v>0</v>
      </c>
      <c r="IK64" s="9">
        <v>0</v>
      </c>
      <c r="IL64" s="9">
        <v>0</v>
      </c>
      <c r="IM64" s="9">
        <v>0</v>
      </c>
      <c r="IN64" s="9">
        <v>0</v>
      </c>
      <c r="IO64" s="9">
        <v>0</v>
      </c>
      <c r="IP64" s="9">
        <v>0</v>
      </c>
      <c r="IQ64" s="9">
        <v>0</v>
      </c>
      <c r="IR64" s="9">
        <v>0</v>
      </c>
      <c r="IS64" s="9">
        <v>0</v>
      </c>
      <c r="IT64" s="9">
        <v>0</v>
      </c>
      <c r="IU64" s="9">
        <v>0</v>
      </c>
      <c r="IV64" s="9">
        <v>0</v>
      </c>
      <c r="IW64" s="9">
        <v>0</v>
      </c>
      <c r="IX64" s="9">
        <v>0</v>
      </c>
      <c r="IY64" s="9">
        <v>0</v>
      </c>
      <c r="IZ64" s="9">
        <v>0</v>
      </c>
      <c r="JA64" s="9">
        <v>0</v>
      </c>
      <c r="JB64" s="9">
        <v>0</v>
      </c>
      <c r="JC64" s="9">
        <v>0</v>
      </c>
      <c r="JD64" s="9">
        <v>0</v>
      </c>
      <c r="JE64" s="9">
        <v>0</v>
      </c>
      <c r="JF64" s="9">
        <v>0</v>
      </c>
      <c r="JG64" s="9">
        <v>0</v>
      </c>
      <c r="JH64" s="9">
        <v>0</v>
      </c>
      <c r="JI64" s="9">
        <v>0</v>
      </c>
      <c r="JJ64" s="9">
        <v>0</v>
      </c>
      <c r="JK64" s="9">
        <v>0</v>
      </c>
      <c r="JL64" s="9">
        <v>0</v>
      </c>
      <c r="JM64" s="9">
        <v>0</v>
      </c>
      <c r="JN64" s="9">
        <v>36832</v>
      </c>
      <c r="JO64" s="9">
        <v>0</v>
      </c>
      <c r="JP64" s="9">
        <v>0</v>
      </c>
      <c r="JQ64" s="9">
        <v>0</v>
      </c>
      <c r="JR64" s="9">
        <v>0</v>
      </c>
      <c r="JS64" s="9">
        <v>0</v>
      </c>
      <c r="JT64" s="9">
        <v>0</v>
      </c>
      <c r="JU64" s="9">
        <v>0</v>
      </c>
      <c r="JV64" s="9">
        <v>0</v>
      </c>
      <c r="JW64" s="9">
        <v>0</v>
      </c>
      <c r="JX64" s="9">
        <v>0</v>
      </c>
      <c r="JY64" s="9">
        <v>0</v>
      </c>
      <c r="JZ64" s="9">
        <v>0</v>
      </c>
      <c r="KA64" s="9">
        <v>0</v>
      </c>
      <c r="KB64" s="9">
        <v>0</v>
      </c>
      <c r="KC64" s="9">
        <v>0</v>
      </c>
      <c r="KD64" s="9">
        <v>0</v>
      </c>
      <c r="KE64" s="9">
        <v>0</v>
      </c>
      <c r="KF64" s="9">
        <v>0</v>
      </c>
      <c r="KG64" s="9">
        <v>0</v>
      </c>
      <c r="KH64" s="9">
        <v>0</v>
      </c>
      <c r="KI64" s="9">
        <v>0</v>
      </c>
    </row>
    <row r="65" spans="1:295" ht="13" x14ac:dyDescent="0.3">
      <c r="A65" s="9">
        <v>57844</v>
      </c>
      <c r="B65" s="9">
        <v>36871</v>
      </c>
      <c r="C65" s="9">
        <v>35</v>
      </c>
      <c r="D65" s="9">
        <v>2023</v>
      </c>
      <c r="E65" s="9">
        <v>5392</v>
      </c>
      <c r="F65" s="9">
        <v>0</v>
      </c>
      <c r="G65" s="9">
        <v>0</v>
      </c>
      <c r="H65" s="9">
        <v>593.17200000000003</v>
      </c>
      <c r="I65" s="9">
        <v>593.17200000000003</v>
      </c>
      <c r="J65" s="9">
        <v>620.42200000000003</v>
      </c>
      <c r="K65" s="9">
        <v>0</v>
      </c>
      <c r="L65" s="9">
        <v>6547</v>
      </c>
      <c r="M65" s="9">
        <v>0</v>
      </c>
      <c r="N65" s="9">
        <v>0</v>
      </c>
      <c r="O65" s="9">
        <v>0</v>
      </c>
      <c r="P65" s="9">
        <v>683.89300000000003</v>
      </c>
      <c r="Q65" s="9">
        <v>0</v>
      </c>
      <c r="R65" s="10">
        <v>333003</v>
      </c>
      <c r="S65" s="9">
        <v>486.92200000000003</v>
      </c>
      <c r="T65" s="9">
        <v>0</v>
      </c>
      <c r="U65" s="10">
        <v>333003</v>
      </c>
      <c r="V65" s="10">
        <v>221.90200000000002</v>
      </c>
      <c r="W65" s="10">
        <v>145279</v>
      </c>
      <c r="X65" s="10">
        <v>145279</v>
      </c>
      <c r="Y65" s="9">
        <v>0</v>
      </c>
      <c r="Z65" s="9">
        <v>0</v>
      </c>
      <c r="AA65" s="9">
        <v>1</v>
      </c>
      <c r="AB65" s="9">
        <v>1</v>
      </c>
      <c r="AC65" s="9">
        <v>0</v>
      </c>
      <c r="AD65" s="9" t="s">
        <v>314</v>
      </c>
      <c r="AE65" s="9">
        <v>0</v>
      </c>
      <c r="AF65" s="9">
        <v>0</v>
      </c>
      <c r="AG65" s="9">
        <v>0</v>
      </c>
      <c r="AH65" s="9">
        <v>0</v>
      </c>
      <c r="AI65" s="9">
        <v>0</v>
      </c>
      <c r="AJ65" s="9">
        <v>5104</v>
      </c>
      <c r="AK65" s="9" t="s">
        <v>651</v>
      </c>
      <c r="AL65" s="9" t="s">
        <v>330</v>
      </c>
      <c r="AM65" s="9">
        <v>0</v>
      </c>
      <c r="AN65" s="9">
        <v>0</v>
      </c>
      <c r="AO65" s="9">
        <v>0</v>
      </c>
      <c r="AP65" s="9">
        <v>0</v>
      </c>
      <c r="AQ65" s="9">
        <v>0</v>
      </c>
      <c r="AR65" s="9">
        <v>0</v>
      </c>
      <c r="AS65" s="9">
        <v>0</v>
      </c>
      <c r="AT65" s="9">
        <v>0</v>
      </c>
      <c r="AU65" s="9">
        <v>0</v>
      </c>
      <c r="AV65" s="9">
        <v>-169310</v>
      </c>
      <c r="AW65" s="9">
        <v>6087453</v>
      </c>
      <c r="AX65" s="9">
        <v>5954610</v>
      </c>
      <c r="AY65" s="9">
        <v>5920579</v>
      </c>
      <c r="AZ65" s="9">
        <v>356474</v>
      </c>
      <c r="BA65" s="10">
        <v>0</v>
      </c>
      <c r="BB65" s="9">
        <v>0</v>
      </c>
      <c r="BC65" s="9">
        <v>0</v>
      </c>
      <c r="BD65" s="9">
        <v>0</v>
      </c>
      <c r="BE65" s="9">
        <v>0</v>
      </c>
      <c r="BF65" s="9">
        <v>5146518</v>
      </c>
      <c r="BG65" s="9">
        <v>0</v>
      </c>
      <c r="BH65" s="10">
        <v>85.349000000000004</v>
      </c>
      <c r="BI65" s="10">
        <v>23471</v>
      </c>
      <c r="BJ65" s="9">
        <v>12</v>
      </c>
      <c r="BK65" s="9">
        <v>0</v>
      </c>
      <c r="BL65" s="9">
        <v>0</v>
      </c>
      <c r="BM65" s="9">
        <v>0</v>
      </c>
      <c r="BN65" s="9">
        <v>0</v>
      </c>
      <c r="BO65" s="9">
        <v>0</v>
      </c>
      <c r="BP65" s="9">
        <v>0</v>
      </c>
      <c r="BQ65" s="9">
        <v>5392</v>
      </c>
      <c r="BR65" s="9">
        <v>1</v>
      </c>
      <c r="BS65" s="9">
        <v>0</v>
      </c>
      <c r="BT65" s="9">
        <v>0</v>
      </c>
      <c r="BU65" s="9">
        <v>0</v>
      </c>
      <c r="BV65" s="9">
        <v>0</v>
      </c>
      <c r="BW65" s="9">
        <v>0</v>
      </c>
      <c r="BX65" s="9">
        <v>0</v>
      </c>
      <c r="BY65" s="9">
        <v>0</v>
      </c>
      <c r="BZ65" s="9">
        <v>0</v>
      </c>
      <c r="CA65" s="9">
        <v>0</v>
      </c>
      <c r="CB65" s="9">
        <v>0</v>
      </c>
      <c r="CC65" s="9">
        <v>0</v>
      </c>
      <c r="CD65" s="9">
        <v>0</v>
      </c>
      <c r="CE65" s="9">
        <v>0</v>
      </c>
      <c r="CF65" s="9">
        <v>0</v>
      </c>
      <c r="CG65" s="9">
        <v>0</v>
      </c>
      <c r="CH65" s="10">
        <v>109372</v>
      </c>
      <c r="CI65" s="9">
        <v>0</v>
      </c>
      <c r="CJ65" s="9">
        <v>4</v>
      </c>
      <c r="CK65" s="9">
        <v>0</v>
      </c>
      <c r="CL65" s="9">
        <v>0</v>
      </c>
      <c r="CM65" s="9">
        <v>0</v>
      </c>
      <c r="CN65" s="9">
        <v>0</v>
      </c>
      <c r="CO65" s="9">
        <v>0</v>
      </c>
      <c r="CP65" s="9">
        <v>0</v>
      </c>
      <c r="CQ65" s="9">
        <v>0</v>
      </c>
      <c r="CR65" s="9">
        <v>671.726</v>
      </c>
      <c r="CS65" s="9">
        <v>0</v>
      </c>
      <c r="CT65" s="9">
        <v>0</v>
      </c>
      <c r="CU65" s="9">
        <v>0</v>
      </c>
      <c r="CV65" s="9">
        <v>0</v>
      </c>
      <c r="CW65" s="9">
        <v>0</v>
      </c>
      <c r="CX65" s="9">
        <v>0</v>
      </c>
      <c r="CY65" s="9">
        <v>0</v>
      </c>
      <c r="CZ65" s="9">
        <v>0</v>
      </c>
      <c r="DA65" s="9">
        <v>1</v>
      </c>
      <c r="DB65" s="9">
        <v>3883497</v>
      </c>
      <c r="DC65" s="9">
        <v>0</v>
      </c>
      <c r="DD65" s="9">
        <v>0</v>
      </c>
      <c r="DE65" s="9">
        <v>797425</v>
      </c>
      <c r="DF65" s="9">
        <v>797425</v>
      </c>
      <c r="DG65" s="9">
        <v>609</v>
      </c>
      <c r="DH65" s="9">
        <v>0</v>
      </c>
      <c r="DI65" s="9">
        <v>0</v>
      </c>
      <c r="DJ65" s="9">
        <v>0</v>
      </c>
      <c r="DK65" s="9">
        <v>5392</v>
      </c>
      <c r="DL65" s="9">
        <v>0</v>
      </c>
      <c r="DM65" s="9">
        <v>382401</v>
      </c>
      <c r="DN65" s="9">
        <v>0</v>
      </c>
      <c r="DO65" s="9">
        <v>0</v>
      </c>
      <c r="DP65" s="9">
        <v>0</v>
      </c>
      <c r="DQ65" s="9">
        <v>0</v>
      </c>
      <c r="DR65" s="9">
        <v>0</v>
      </c>
      <c r="DS65" s="9">
        <v>0</v>
      </c>
      <c r="DT65" s="9">
        <v>0</v>
      </c>
      <c r="DU65" s="9">
        <v>0</v>
      </c>
      <c r="DV65" s="9">
        <v>0</v>
      </c>
      <c r="DW65" s="9">
        <v>0</v>
      </c>
      <c r="DX65" s="9">
        <v>0</v>
      </c>
      <c r="DY65" s="9">
        <v>0</v>
      </c>
      <c r="DZ65" s="9">
        <v>0</v>
      </c>
      <c r="EA65" s="9">
        <v>0</v>
      </c>
      <c r="EB65" s="9">
        <v>0</v>
      </c>
      <c r="EC65" s="9">
        <v>1.7870000000000001</v>
      </c>
      <c r="ED65" s="9">
        <v>12869</v>
      </c>
      <c r="EE65" s="9">
        <v>0</v>
      </c>
      <c r="EF65" s="9">
        <v>0</v>
      </c>
      <c r="EG65" s="9">
        <v>0</v>
      </c>
      <c r="EH65" s="9">
        <v>369532</v>
      </c>
      <c r="EI65" s="9">
        <v>0</v>
      </c>
      <c r="EJ65" s="9">
        <v>0</v>
      </c>
      <c r="EK65" s="9">
        <v>13.804</v>
      </c>
      <c r="EL65" s="9">
        <v>0</v>
      </c>
      <c r="EM65" s="9">
        <v>3.677</v>
      </c>
      <c r="EN65" s="9">
        <v>0.8</v>
      </c>
      <c r="EO65" s="9">
        <v>0</v>
      </c>
      <c r="EP65" s="9">
        <v>0</v>
      </c>
      <c r="EQ65" s="9">
        <v>18.281000000000002</v>
      </c>
      <c r="ER65" s="9">
        <v>0</v>
      </c>
      <c r="ES65" s="9">
        <v>56.443000000000005</v>
      </c>
      <c r="ET65" s="10">
        <v>0</v>
      </c>
      <c r="EU65" s="9">
        <v>356474</v>
      </c>
      <c r="EV65" s="9">
        <v>0</v>
      </c>
      <c r="EW65" s="9">
        <v>0</v>
      </c>
      <c r="EX65" s="9">
        <v>0</v>
      </c>
      <c r="EY65" s="9">
        <v>0</v>
      </c>
      <c r="EZ65" s="9">
        <v>4988918</v>
      </c>
      <c r="FA65" s="9">
        <v>0</v>
      </c>
      <c r="FB65" s="10">
        <v>5345392</v>
      </c>
      <c r="FC65" s="9">
        <v>0.97326799999999991</v>
      </c>
      <c r="FD65" s="9">
        <v>0</v>
      </c>
      <c r="FE65" s="9">
        <v>796152</v>
      </c>
      <c r="FF65" s="9">
        <v>169540</v>
      </c>
      <c r="FG65" s="9">
        <v>5.8088000000000001E-2</v>
      </c>
      <c r="FH65" s="9">
        <v>5.2622999999999996E-2</v>
      </c>
      <c r="FI65" s="9">
        <v>0</v>
      </c>
      <c r="FJ65" s="9">
        <v>0</v>
      </c>
      <c r="FK65" s="9">
        <v>1008.3850000000001</v>
      </c>
      <c r="FL65" s="9">
        <v>6420456</v>
      </c>
      <c r="FM65" s="9">
        <v>0</v>
      </c>
      <c r="FN65" s="9">
        <v>0</v>
      </c>
      <c r="FO65" s="9">
        <v>34047</v>
      </c>
      <c r="FP65" s="9">
        <v>0</v>
      </c>
      <c r="FQ65" s="9">
        <v>34047</v>
      </c>
      <c r="FR65" s="9">
        <v>34047</v>
      </c>
      <c r="FS65" s="9">
        <v>0</v>
      </c>
      <c r="FT65" s="9">
        <v>0</v>
      </c>
      <c r="FU65" s="9">
        <v>0</v>
      </c>
      <c r="FV65" s="9">
        <v>0</v>
      </c>
      <c r="FW65" s="9">
        <v>0</v>
      </c>
      <c r="FX65" s="9">
        <v>0</v>
      </c>
      <c r="FY65" s="9">
        <v>0</v>
      </c>
      <c r="FZ65" s="9">
        <v>0</v>
      </c>
      <c r="GA65" s="9">
        <v>0</v>
      </c>
      <c r="GB65" s="10">
        <v>79272</v>
      </c>
      <c r="GC65" s="10">
        <v>79272</v>
      </c>
      <c r="GD65" s="10">
        <v>8.9690000000000012</v>
      </c>
      <c r="GE65" s="9">
        <v>0</v>
      </c>
      <c r="GF65" s="9">
        <v>0</v>
      </c>
      <c r="GG65" s="9">
        <v>0</v>
      </c>
      <c r="GH65" s="9">
        <v>0</v>
      </c>
      <c r="GI65" s="9">
        <v>0</v>
      </c>
      <c r="GJ65" s="9">
        <v>0</v>
      </c>
      <c r="GK65" s="9">
        <v>5073</v>
      </c>
      <c r="GL65" s="9">
        <v>0</v>
      </c>
      <c r="GM65" s="9">
        <v>0</v>
      </c>
      <c r="GN65" s="9">
        <v>34641</v>
      </c>
      <c r="GO65" s="9">
        <v>0</v>
      </c>
      <c r="GP65" s="9">
        <v>6311084</v>
      </c>
      <c r="GQ65" s="9">
        <v>6311084</v>
      </c>
      <c r="GR65" s="9">
        <v>0</v>
      </c>
      <c r="GS65" s="9">
        <v>0</v>
      </c>
      <c r="GT65" s="9">
        <v>0</v>
      </c>
      <c r="GU65" s="9">
        <v>0</v>
      </c>
      <c r="GV65" s="9">
        <v>0</v>
      </c>
      <c r="GW65" s="9">
        <v>0</v>
      </c>
      <c r="GX65" s="9">
        <v>0</v>
      </c>
      <c r="GY65" s="9">
        <v>0</v>
      </c>
      <c r="GZ65" s="9">
        <v>0</v>
      </c>
      <c r="HA65" s="9">
        <v>0</v>
      </c>
      <c r="HB65" s="9">
        <v>300501363</v>
      </c>
      <c r="HC65" s="9">
        <v>4.4742999999999998E-2</v>
      </c>
      <c r="HD65" s="10">
        <v>109372</v>
      </c>
      <c r="HE65" s="9">
        <v>0</v>
      </c>
      <c r="HF65" s="9">
        <v>0</v>
      </c>
      <c r="HG65" s="9">
        <v>0</v>
      </c>
      <c r="HH65" s="9">
        <v>0</v>
      </c>
      <c r="HI65" s="9">
        <v>0</v>
      </c>
      <c r="HJ65" s="9">
        <v>0</v>
      </c>
      <c r="HK65" s="9">
        <v>0</v>
      </c>
      <c r="HL65" s="9">
        <v>0</v>
      </c>
      <c r="HM65" s="9">
        <v>0</v>
      </c>
      <c r="HN65" s="9">
        <v>0</v>
      </c>
      <c r="HO65" s="9">
        <v>0</v>
      </c>
      <c r="HP65" s="9">
        <v>0</v>
      </c>
      <c r="HQ65" s="9">
        <v>0</v>
      </c>
      <c r="HR65" s="9">
        <v>0</v>
      </c>
      <c r="HS65" s="9">
        <v>0</v>
      </c>
      <c r="HT65" s="9">
        <v>0</v>
      </c>
      <c r="HU65" s="9">
        <v>0</v>
      </c>
      <c r="HV65" s="9">
        <v>0</v>
      </c>
      <c r="HW65" s="9">
        <v>0</v>
      </c>
      <c r="HX65" s="9">
        <v>0</v>
      </c>
      <c r="HY65" s="9">
        <v>0</v>
      </c>
      <c r="HZ65" s="9">
        <v>0</v>
      </c>
      <c r="IA65" s="9">
        <v>0</v>
      </c>
      <c r="IB65" s="9">
        <v>0</v>
      </c>
      <c r="IC65" s="9">
        <v>0</v>
      </c>
      <c r="ID65" s="9">
        <v>0</v>
      </c>
      <c r="IE65" s="9">
        <v>0</v>
      </c>
      <c r="IF65" s="9">
        <v>0</v>
      </c>
      <c r="IG65" s="9">
        <v>0</v>
      </c>
      <c r="IH65" s="9">
        <v>0</v>
      </c>
      <c r="II65" s="9">
        <v>0</v>
      </c>
      <c r="IJ65" s="9">
        <v>0</v>
      </c>
      <c r="IK65" s="9">
        <v>0</v>
      </c>
      <c r="IL65" s="9">
        <v>0</v>
      </c>
      <c r="IM65" s="9">
        <v>0</v>
      </c>
      <c r="IN65" s="9">
        <v>0</v>
      </c>
      <c r="IO65" s="9">
        <v>0</v>
      </c>
      <c r="IP65" s="9">
        <v>0</v>
      </c>
      <c r="IQ65" s="9">
        <v>0</v>
      </c>
      <c r="IR65" s="9">
        <v>0</v>
      </c>
      <c r="IS65" s="9">
        <v>0</v>
      </c>
      <c r="IT65" s="9">
        <v>0</v>
      </c>
      <c r="IU65" s="9">
        <v>0</v>
      </c>
      <c r="IV65" s="9">
        <v>0</v>
      </c>
      <c r="IW65" s="9">
        <v>0</v>
      </c>
      <c r="IX65" s="9">
        <v>0</v>
      </c>
      <c r="IY65" s="9">
        <v>0</v>
      </c>
      <c r="IZ65" s="9">
        <v>0</v>
      </c>
      <c r="JA65" s="9">
        <v>0</v>
      </c>
      <c r="JB65" s="9">
        <v>0</v>
      </c>
      <c r="JC65" s="9">
        <v>0</v>
      </c>
      <c r="JD65" s="9">
        <v>0</v>
      </c>
      <c r="JE65" s="9">
        <v>0</v>
      </c>
      <c r="JF65" s="9">
        <v>0</v>
      </c>
      <c r="JG65" s="9">
        <v>0</v>
      </c>
      <c r="JH65" s="9">
        <v>0</v>
      </c>
      <c r="JI65" s="9">
        <v>0</v>
      </c>
      <c r="JJ65" s="9">
        <v>0</v>
      </c>
      <c r="JK65" s="9">
        <v>0</v>
      </c>
      <c r="JL65" s="9">
        <v>0</v>
      </c>
      <c r="JM65" s="9">
        <v>0</v>
      </c>
      <c r="JN65" s="9">
        <v>36832</v>
      </c>
      <c r="JO65" s="9">
        <v>0</v>
      </c>
      <c r="JP65" s="9">
        <v>0</v>
      </c>
      <c r="JQ65" s="9">
        <v>0</v>
      </c>
      <c r="JR65" s="9">
        <v>0</v>
      </c>
      <c r="JS65" s="9">
        <v>0</v>
      </c>
      <c r="JT65" s="9">
        <v>0</v>
      </c>
      <c r="JU65" s="9">
        <v>0</v>
      </c>
      <c r="JV65" s="9">
        <v>0</v>
      </c>
      <c r="JW65" s="9">
        <v>0</v>
      </c>
      <c r="JX65" s="9">
        <v>0</v>
      </c>
      <c r="JY65" s="9">
        <v>0</v>
      </c>
      <c r="JZ65" s="9">
        <v>0</v>
      </c>
      <c r="KA65" s="9">
        <v>0</v>
      </c>
      <c r="KB65" s="9">
        <v>0</v>
      </c>
      <c r="KC65" s="9">
        <v>0</v>
      </c>
      <c r="KD65" s="9">
        <v>0</v>
      </c>
      <c r="KE65" s="9">
        <v>0</v>
      </c>
      <c r="KF65" s="9">
        <v>0</v>
      </c>
      <c r="KG65" s="9">
        <v>0</v>
      </c>
      <c r="KH65" s="9">
        <v>0</v>
      </c>
      <c r="KI65" s="9">
        <v>0</v>
      </c>
    </row>
    <row r="66" spans="1:295" x14ac:dyDescent="0.25">
      <c r="A66" s="9">
        <v>57845</v>
      </c>
      <c r="B66" s="9">
        <v>36871</v>
      </c>
      <c r="C66" s="9">
        <v>35</v>
      </c>
      <c r="D66" s="9">
        <v>2023</v>
      </c>
      <c r="E66" s="9">
        <v>5392</v>
      </c>
      <c r="F66" s="9">
        <v>0</v>
      </c>
      <c r="G66" s="9">
        <v>0</v>
      </c>
      <c r="H66" s="9">
        <v>1391.2920000000001</v>
      </c>
      <c r="I66" s="9">
        <v>1391.2920000000001</v>
      </c>
      <c r="J66" s="9">
        <v>1432.433</v>
      </c>
      <c r="K66" s="9">
        <v>0</v>
      </c>
      <c r="L66" s="9">
        <v>6547</v>
      </c>
      <c r="M66" s="9">
        <v>0</v>
      </c>
      <c r="N66" s="9">
        <v>0</v>
      </c>
      <c r="O66" s="9">
        <v>0</v>
      </c>
      <c r="P66" s="9">
        <v>1147.979</v>
      </c>
      <c r="Q66" s="9">
        <v>0</v>
      </c>
      <c r="R66" s="9">
        <v>558976</v>
      </c>
      <c r="S66" s="9">
        <v>486.92200000000003</v>
      </c>
      <c r="T66" s="9">
        <v>0</v>
      </c>
      <c r="U66" s="9">
        <v>558976</v>
      </c>
      <c r="V66" s="9">
        <v>110.25</v>
      </c>
      <c r="W66" s="9">
        <v>72181</v>
      </c>
      <c r="X66" s="9">
        <v>72181</v>
      </c>
      <c r="Y66" s="9">
        <v>0</v>
      </c>
      <c r="Z66" s="9">
        <v>0</v>
      </c>
      <c r="AA66" s="9">
        <v>1</v>
      </c>
      <c r="AB66" s="9">
        <v>1</v>
      </c>
      <c r="AC66" s="9">
        <v>0</v>
      </c>
      <c r="AD66" s="9" t="s">
        <v>314</v>
      </c>
      <c r="AE66" s="9">
        <v>0</v>
      </c>
      <c r="AF66" s="9">
        <v>0</v>
      </c>
      <c r="AG66" s="9">
        <v>0</v>
      </c>
      <c r="AH66" s="9">
        <v>0</v>
      </c>
      <c r="AI66" s="9">
        <v>0</v>
      </c>
      <c r="AJ66" s="9">
        <v>5104</v>
      </c>
      <c r="AK66" s="9" t="s">
        <v>651</v>
      </c>
      <c r="AL66" s="9" t="s">
        <v>114</v>
      </c>
      <c r="AM66" s="9">
        <v>0</v>
      </c>
      <c r="AN66" s="9">
        <v>0</v>
      </c>
      <c r="AO66" s="9">
        <v>0</v>
      </c>
      <c r="AP66" s="9">
        <v>0</v>
      </c>
      <c r="AQ66" s="9">
        <v>0</v>
      </c>
      <c r="AR66" s="9">
        <v>0</v>
      </c>
      <c r="AS66" s="9">
        <v>0</v>
      </c>
      <c r="AT66" s="9">
        <v>0</v>
      </c>
      <c r="AU66" s="9">
        <v>0</v>
      </c>
      <c r="AV66" s="9">
        <v>-294</v>
      </c>
      <c r="AW66" s="9">
        <v>12071468</v>
      </c>
      <c r="AX66" s="9">
        <v>11734241</v>
      </c>
      <c r="AY66" s="9">
        <v>12306885</v>
      </c>
      <c r="AZ66" s="9">
        <v>643684</v>
      </c>
      <c r="BA66" s="9">
        <v>0</v>
      </c>
      <c r="BB66" s="9">
        <v>0</v>
      </c>
      <c r="BC66" s="9">
        <v>0</v>
      </c>
      <c r="BD66" s="9">
        <v>0</v>
      </c>
      <c r="BE66" s="9">
        <v>0</v>
      </c>
      <c r="BF66" s="9">
        <v>10116989</v>
      </c>
      <c r="BG66" s="9">
        <v>0</v>
      </c>
      <c r="BH66" s="9">
        <v>308.02800000000002</v>
      </c>
      <c r="BI66" s="9">
        <v>84708</v>
      </c>
      <c r="BJ66" s="9">
        <v>12</v>
      </c>
      <c r="BK66" s="9">
        <v>0</v>
      </c>
      <c r="BL66" s="9">
        <v>0</v>
      </c>
      <c r="BM66" s="9">
        <v>0</v>
      </c>
      <c r="BN66" s="9">
        <v>0</v>
      </c>
      <c r="BO66" s="9">
        <v>0</v>
      </c>
      <c r="BP66" s="9">
        <v>0</v>
      </c>
      <c r="BQ66" s="9">
        <v>5392</v>
      </c>
      <c r="BR66" s="9">
        <v>1</v>
      </c>
      <c r="BS66" s="9">
        <v>0</v>
      </c>
      <c r="BT66" s="9">
        <v>0</v>
      </c>
      <c r="BU66" s="9">
        <v>0</v>
      </c>
      <c r="BV66" s="9">
        <v>0</v>
      </c>
      <c r="BW66" s="9">
        <v>0</v>
      </c>
      <c r="BX66" s="9">
        <v>0</v>
      </c>
      <c r="BY66" s="9">
        <v>0</v>
      </c>
      <c r="BZ66" s="9">
        <v>0</v>
      </c>
      <c r="CA66" s="9">
        <v>0</v>
      </c>
      <c r="CB66" s="9">
        <v>0</v>
      </c>
      <c r="CC66" s="9">
        <v>0</v>
      </c>
      <c r="CD66" s="9">
        <v>0</v>
      </c>
      <c r="CE66" s="9">
        <v>0</v>
      </c>
      <c r="CF66" s="9">
        <v>0</v>
      </c>
      <c r="CG66" s="9">
        <v>0</v>
      </c>
      <c r="CH66" s="9">
        <v>252519</v>
      </c>
      <c r="CI66" s="9">
        <v>0</v>
      </c>
      <c r="CJ66" s="9">
        <v>5</v>
      </c>
      <c r="CK66" s="9">
        <v>0</v>
      </c>
      <c r="CL66" s="9">
        <v>0</v>
      </c>
      <c r="CM66" s="9">
        <v>0</v>
      </c>
      <c r="CN66" s="9">
        <v>0</v>
      </c>
      <c r="CO66" s="9">
        <v>0</v>
      </c>
      <c r="CP66" s="9">
        <v>0</v>
      </c>
      <c r="CQ66" s="9">
        <v>0</v>
      </c>
      <c r="CR66" s="9">
        <v>1140.4270000000001</v>
      </c>
      <c r="CS66" s="9">
        <v>0</v>
      </c>
      <c r="CT66" s="9">
        <v>0</v>
      </c>
      <c r="CU66" s="9">
        <v>0</v>
      </c>
      <c r="CV66" s="9">
        <v>0</v>
      </c>
      <c r="CW66" s="9">
        <v>0</v>
      </c>
      <c r="CX66" s="9">
        <v>0</v>
      </c>
      <c r="CY66" s="9">
        <v>0</v>
      </c>
      <c r="CZ66" s="9">
        <v>0</v>
      </c>
      <c r="DA66" s="9">
        <v>1</v>
      </c>
      <c r="DB66" s="9">
        <v>9108789</v>
      </c>
      <c r="DC66" s="9">
        <v>0</v>
      </c>
      <c r="DD66" s="9">
        <v>0</v>
      </c>
      <c r="DE66" s="9">
        <v>626770</v>
      </c>
      <c r="DF66" s="9">
        <v>626770</v>
      </c>
      <c r="DG66" s="9">
        <v>478.67</v>
      </c>
      <c r="DH66" s="9">
        <v>0</v>
      </c>
      <c r="DI66" s="9">
        <v>0</v>
      </c>
      <c r="DJ66" s="9">
        <v>0</v>
      </c>
      <c r="DK66" s="9">
        <v>5392</v>
      </c>
      <c r="DL66" s="9">
        <v>0</v>
      </c>
      <c r="DM66" s="9">
        <v>372386</v>
      </c>
      <c r="DN66" s="9">
        <v>0</v>
      </c>
      <c r="DO66" s="9">
        <v>0</v>
      </c>
      <c r="DP66" s="9">
        <v>0</v>
      </c>
      <c r="DQ66" s="9">
        <v>0</v>
      </c>
      <c r="DR66" s="9">
        <v>0</v>
      </c>
      <c r="DS66" s="9">
        <v>0</v>
      </c>
      <c r="DT66" s="9">
        <v>0</v>
      </c>
      <c r="DU66" s="9">
        <v>0</v>
      </c>
      <c r="DV66" s="9">
        <v>0</v>
      </c>
      <c r="DW66" s="9">
        <v>0</v>
      </c>
      <c r="DX66" s="9">
        <v>0</v>
      </c>
      <c r="DY66" s="9">
        <v>0</v>
      </c>
      <c r="DZ66" s="9">
        <v>0</v>
      </c>
      <c r="EA66" s="9">
        <v>0</v>
      </c>
      <c r="EB66" s="9">
        <v>0</v>
      </c>
      <c r="EC66" s="9">
        <v>2.3580000000000001</v>
      </c>
      <c r="ED66" s="9">
        <v>16982</v>
      </c>
      <c r="EE66" s="9">
        <v>0</v>
      </c>
      <c r="EF66" s="9">
        <v>0</v>
      </c>
      <c r="EG66" s="9">
        <v>0</v>
      </c>
      <c r="EH66" s="9">
        <v>355404</v>
      </c>
      <c r="EI66" s="9">
        <v>0</v>
      </c>
      <c r="EJ66" s="9">
        <v>0</v>
      </c>
      <c r="EK66" s="9">
        <v>14.97</v>
      </c>
      <c r="EL66" s="9">
        <v>0</v>
      </c>
      <c r="EM66" s="9">
        <v>0</v>
      </c>
      <c r="EN66" s="9">
        <v>1.875</v>
      </c>
      <c r="EO66" s="9">
        <v>0</v>
      </c>
      <c r="EP66" s="9">
        <v>0</v>
      </c>
      <c r="EQ66" s="9">
        <v>16.845000000000002</v>
      </c>
      <c r="ER66" s="9">
        <v>0</v>
      </c>
      <c r="ES66" s="9">
        <v>54.285000000000004</v>
      </c>
      <c r="ET66" s="9">
        <v>0</v>
      </c>
      <c r="EU66" s="9">
        <v>643684</v>
      </c>
      <c r="EV66" s="9">
        <v>0</v>
      </c>
      <c r="EW66" s="9">
        <v>0</v>
      </c>
      <c r="EX66" s="9">
        <v>0</v>
      </c>
      <c r="EY66" s="9">
        <v>0</v>
      </c>
      <c r="EZ66" s="9">
        <v>9835889</v>
      </c>
      <c r="FA66" s="9">
        <v>0</v>
      </c>
      <c r="FB66" s="9">
        <v>10479573</v>
      </c>
      <c r="FC66" s="9">
        <v>0.97326799999999991</v>
      </c>
      <c r="FD66" s="9">
        <v>0</v>
      </c>
      <c r="FE66" s="9">
        <v>1565071</v>
      </c>
      <c r="FF66" s="9">
        <v>333281</v>
      </c>
      <c r="FG66" s="9">
        <v>5.8088000000000001E-2</v>
      </c>
      <c r="FH66" s="9">
        <v>5.2622999999999996E-2</v>
      </c>
      <c r="FI66" s="9">
        <v>0</v>
      </c>
      <c r="FJ66" s="9">
        <v>0</v>
      </c>
      <c r="FK66" s="9">
        <v>1982.277</v>
      </c>
      <c r="FL66" s="9">
        <v>12630444</v>
      </c>
      <c r="FM66" s="9">
        <v>0</v>
      </c>
      <c r="FN66" s="9">
        <v>0</v>
      </c>
      <c r="FO66" s="9">
        <v>0</v>
      </c>
      <c r="FP66" s="9">
        <v>0</v>
      </c>
      <c r="FQ66" s="9">
        <v>0</v>
      </c>
      <c r="FR66" s="9">
        <v>0</v>
      </c>
      <c r="FS66" s="9">
        <v>0</v>
      </c>
      <c r="FT66" s="9">
        <v>0</v>
      </c>
      <c r="FU66" s="9">
        <v>0</v>
      </c>
      <c r="FV66" s="9">
        <v>0</v>
      </c>
      <c r="FW66" s="9">
        <v>0</v>
      </c>
      <c r="FX66" s="9">
        <v>0</v>
      </c>
      <c r="FY66" s="9">
        <v>0</v>
      </c>
      <c r="FZ66" s="9">
        <v>0</v>
      </c>
      <c r="GA66" s="9">
        <v>0</v>
      </c>
      <c r="GB66" s="9">
        <v>214739</v>
      </c>
      <c r="GC66" s="9">
        <v>214739</v>
      </c>
      <c r="GD66" s="9">
        <v>24.296000000000003</v>
      </c>
      <c r="GE66" s="9">
        <v>0</v>
      </c>
      <c r="GF66" s="9">
        <v>0</v>
      </c>
      <c r="GG66" s="9">
        <v>0</v>
      </c>
      <c r="GH66" s="9">
        <v>0</v>
      </c>
      <c r="GI66" s="9">
        <v>0</v>
      </c>
      <c r="GJ66" s="9">
        <v>0</v>
      </c>
      <c r="GK66" s="9">
        <v>4971</v>
      </c>
      <c r="GL66" s="9">
        <v>0</v>
      </c>
      <c r="GM66" s="9">
        <v>0</v>
      </c>
      <c r="GN66" s="9">
        <v>0</v>
      </c>
      <c r="GO66" s="9">
        <v>0</v>
      </c>
      <c r="GP66" s="9">
        <v>12377925</v>
      </c>
      <c r="GQ66" s="9">
        <v>12377925</v>
      </c>
      <c r="GR66" s="9">
        <v>0</v>
      </c>
      <c r="GS66" s="9">
        <v>0</v>
      </c>
      <c r="GT66" s="9">
        <v>0</v>
      </c>
      <c r="GU66" s="9">
        <v>0</v>
      </c>
      <c r="GV66" s="9">
        <v>0</v>
      </c>
      <c r="GW66" s="9">
        <v>0</v>
      </c>
      <c r="GX66" s="9">
        <v>0</v>
      </c>
      <c r="GY66" s="9">
        <v>0</v>
      </c>
      <c r="GZ66" s="9">
        <v>0</v>
      </c>
      <c r="HA66" s="9">
        <v>0</v>
      </c>
      <c r="HB66" s="9">
        <v>300501363</v>
      </c>
      <c r="HC66" s="9">
        <v>4.4742999999999998E-2</v>
      </c>
      <c r="HD66" s="9">
        <v>252519</v>
      </c>
      <c r="HE66" s="9">
        <v>0</v>
      </c>
      <c r="HF66" s="9">
        <v>0</v>
      </c>
      <c r="HG66" s="9">
        <v>0</v>
      </c>
      <c r="HH66" s="9">
        <v>0</v>
      </c>
      <c r="HI66" s="9">
        <v>0</v>
      </c>
      <c r="HJ66" s="9">
        <v>0</v>
      </c>
      <c r="HK66" s="9">
        <v>0</v>
      </c>
      <c r="HL66" s="9">
        <v>0</v>
      </c>
      <c r="HM66" s="9">
        <v>0</v>
      </c>
      <c r="HN66" s="9">
        <v>0</v>
      </c>
      <c r="HO66" s="9">
        <v>0</v>
      </c>
      <c r="HP66" s="9">
        <v>0</v>
      </c>
      <c r="HQ66" s="9">
        <v>0</v>
      </c>
      <c r="HR66" s="9">
        <v>0</v>
      </c>
      <c r="HS66" s="9">
        <v>0</v>
      </c>
      <c r="HT66" s="9">
        <v>0</v>
      </c>
      <c r="HU66" s="9">
        <v>0</v>
      </c>
      <c r="HV66" s="9">
        <v>0</v>
      </c>
      <c r="HW66" s="9">
        <v>0</v>
      </c>
      <c r="HX66" s="9">
        <v>0</v>
      </c>
      <c r="HY66" s="9">
        <v>0</v>
      </c>
      <c r="HZ66" s="9">
        <v>0</v>
      </c>
      <c r="IA66" s="9">
        <v>0</v>
      </c>
      <c r="IB66" s="9">
        <v>0</v>
      </c>
      <c r="IC66" s="9">
        <v>0</v>
      </c>
      <c r="ID66" s="9">
        <v>0</v>
      </c>
      <c r="IE66" s="9">
        <v>0</v>
      </c>
      <c r="IF66" s="9">
        <v>0</v>
      </c>
      <c r="IG66" s="9">
        <v>0</v>
      </c>
      <c r="IH66" s="9">
        <v>0</v>
      </c>
      <c r="II66" s="9">
        <v>0</v>
      </c>
      <c r="IJ66" s="9">
        <v>0</v>
      </c>
      <c r="IK66" s="9">
        <v>0</v>
      </c>
      <c r="IL66" s="9">
        <v>0</v>
      </c>
      <c r="IM66" s="9">
        <v>0</v>
      </c>
      <c r="IN66" s="9">
        <v>0</v>
      </c>
      <c r="IO66" s="9">
        <v>0</v>
      </c>
      <c r="IP66" s="9">
        <v>0</v>
      </c>
      <c r="IQ66" s="9">
        <v>0</v>
      </c>
      <c r="IR66" s="9">
        <v>0</v>
      </c>
      <c r="IS66" s="9">
        <v>0</v>
      </c>
      <c r="IT66" s="9">
        <v>0</v>
      </c>
      <c r="IU66" s="9">
        <v>0</v>
      </c>
      <c r="IV66" s="9">
        <v>0</v>
      </c>
      <c r="IW66" s="9">
        <v>0</v>
      </c>
      <c r="IX66" s="9">
        <v>0</v>
      </c>
      <c r="IY66" s="9">
        <v>0</v>
      </c>
      <c r="IZ66" s="9">
        <v>0</v>
      </c>
      <c r="JA66" s="9">
        <v>0</v>
      </c>
      <c r="JB66" s="9">
        <v>0</v>
      </c>
      <c r="JC66" s="9">
        <v>0</v>
      </c>
      <c r="JD66" s="9">
        <v>0</v>
      </c>
      <c r="JE66" s="9">
        <v>0</v>
      </c>
      <c r="JF66" s="9">
        <v>0</v>
      </c>
      <c r="JG66" s="9">
        <v>0</v>
      </c>
      <c r="JH66" s="9">
        <v>0</v>
      </c>
      <c r="JI66" s="9">
        <v>0</v>
      </c>
      <c r="JJ66" s="9">
        <v>0</v>
      </c>
      <c r="JK66" s="9">
        <v>0</v>
      </c>
      <c r="JL66" s="9">
        <v>0</v>
      </c>
      <c r="JM66" s="9">
        <v>0</v>
      </c>
      <c r="JN66" s="9">
        <v>36832</v>
      </c>
      <c r="JO66" s="9">
        <v>0</v>
      </c>
      <c r="JP66" s="9">
        <v>0</v>
      </c>
      <c r="JQ66" s="9">
        <v>0</v>
      </c>
      <c r="JR66" s="9">
        <v>0</v>
      </c>
      <c r="JS66" s="9">
        <v>0</v>
      </c>
      <c r="JT66" s="9">
        <v>0</v>
      </c>
      <c r="JU66" s="9">
        <v>0</v>
      </c>
      <c r="JV66" s="9">
        <v>0</v>
      </c>
      <c r="JW66" s="9">
        <v>0</v>
      </c>
      <c r="JX66" s="9">
        <v>0</v>
      </c>
      <c r="JY66" s="9">
        <v>0</v>
      </c>
      <c r="JZ66" s="9">
        <v>0</v>
      </c>
      <c r="KA66" s="9">
        <v>0</v>
      </c>
      <c r="KB66" s="9">
        <v>0</v>
      </c>
      <c r="KC66" s="9">
        <v>0</v>
      </c>
      <c r="KD66" s="9">
        <v>0</v>
      </c>
      <c r="KE66" s="9">
        <v>0</v>
      </c>
      <c r="KF66" s="9">
        <v>0</v>
      </c>
      <c r="KG66" s="9">
        <v>0</v>
      </c>
      <c r="KH66" s="9">
        <v>0</v>
      </c>
      <c r="KI66" s="9">
        <v>0</v>
      </c>
    </row>
    <row r="67" spans="1:295" x14ac:dyDescent="0.25">
      <c r="A67" s="9">
        <v>57846</v>
      </c>
      <c r="B67" s="9">
        <v>36871</v>
      </c>
      <c r="C67" s="9">
        <v>35</v>
      </c>
      <c r="D67" s="9">
        <v>2023</v>
      </c>
      <c r="E67" s="9">
        <v>5392</v>
      </c>
      <c r="F67" s="9">
        <v>0</v>
      </c>
      <c r="G67" s="9">
        <v>0</v>
      </c>
      <c r="H67" s="9">
        <v>1402.7280000000001</v>
      </c>
      <c r="I67" s="9">
        <v>1402.7280000000001</v>
      </c>
      <c r="J67" s="9">
        <v>1513.9950000000001</v>
      </c>
      <c r="K67" s="9">
        <v>0</v>
      </c>
      <c r="L67" s="9">
        <v>6547</v>
      </c>
      <c r="M67" s="9">
        <v>0</v>
      </c>
      <c r="N67" s="9">
        <v>0</v>
      </c>
      <c r="O67" s="9">
        <v>0</v>
      </c>
      <c r="P67" s="9">
        <v>1501.7760000000001</v>
      </c>
      <c r="Q67" s="9">
        <v>0</v>
      </c>
      <c r="R67" s="9">
        <v>731248</v>
      </c>
      <c r="S67" s="9">
        <v>486.92200000000003</v>
      </c>
      <c r="T67" s="9">
        <v>0</v>
      </c>
      <c r="U67" s="9">
        <v>731248</v>
      </c>
      <c r="V67" s="9">
        <v>586.255</v>
      </c>
      <c r="W67" s="9">
        <v>383821</v>
      </c>
      <c r="X67" s="9">
        <v>383821</v>
      </c>
      <c r="Y67" s="9">
        <v>0</v>
      </c>
      <c r="Z67" s="9">
        <v>0</v>
      </c>
      <c r="AA67" s="9">
        <v>1</v>
      </c>
      <c r="AB67" s="9">
        <v>1</v>
      </c>
      <c r="AC67" s="9">
        <v>0</v>
      </c>
      <c r="AD67" s="9" t="s">
        <v>314</v>
      </c>
      <c r="AE67" s="9">
        <v>0</v>
      </c>
      <c r="AF67" s="9">
        <v>0</v>
      </c>
      <c r="AG67" s="9">
        <v>0</v>
      </c>
      <c r="AH67" s="9">
        <v>0</v>
      </c>
      <c r="AI67" s="9">
        <v>0</v>
      </c>
      <c r="AJ67" s="9">
        <v>5104</v>
      </c>
      <c r="AK67" s="9" t="s">
        <v>651</v>
      </c>
      <c r="AL67" s="9" t="s">
        <v>115</v>
      </c>
      <c r="AM67" s="9">
        <v>0</v>
      </c>
      <c r="AN67" s="9">
        <v>0</v>
      </c>
      <c r="AO67" s="9">
        <v>0</v>
      </c>
      <c r="AP67" s="9">
        <v>0</v>
      </c>
      <c r="AQ67" s="9">
        <v>0</v>
      </c>
      <c r="AR67" s="9">
        <v>0</v>
      </c>
      <c r="AS67" s="9">
        <v>0</v>
      </c>
      <c r="AT67" s="9">
        <v>0</v>
      </c>
      <c r="AU67" s="9">
        <v>0</v>
      </c>
      <c r="AV67" s="9">
        <v>-181379</v>
      </c>
      <c r="AW67" s="9">
        <v>14809096</v>
      </c>
      <c r="AX67" s="9">
        <v>14445565</v>
      </c>
      <c r="AY67" s="9">
        <v>15311147</v>
      </c>
      <c r="AZ67" s="9">
        <v>827881</v>
      </c>
      <c r="BA67" s="9">
        <v>0</v>
      </c>
      <c r="BB67" s="9">
        <v>59473</v>
      </c>
      <c r="BC67" s="9">
        <v>59473</v>
      </c>
      <c r="BD67" s="9">
        <v>75.7</v>
      </c>
      <c r="BE67" s="9">
        <v>0</v>
      </c>
      <c r="BF67" s="9">
        <v>12490111</v>
      </c>
      <c r="BG67" s="9">
        <v>0</v>
      </c>
      <c r="BH67" s="9">
        <v>351.39400000000001</v>
      </c>
      <c r="BI67" s="9">
        <v>96633</v>
      </c>
      <c r="BJ67" s="9">
        <v>12</v>
      </c>
      <c r="BK67" s="9">
        <v>0</v>
      </c>
      <c r="BL67" s="9">
        <v>0</v>
      </c>
      <c r="BM67" s="9">
        <v>0</v>
      </c>
      <c r="BN67" s="9">
        <v>0</v>
      </c>
      <c r="BO67" s="9">
        <v>0</v>
      </c>
      <c r="BP67" s="9">
        <v>0</v>
      </c>
      <c r="BQ67" s="9">
        <v>5392</v>
      </c>
      <c r="BR67" s="9">
        <v>1</v>
      </c>
      <c r="BS67" s="9">
        <v>0</v>
      </c>
      <c r="BT67" s="9">
        <v>0</v>
      </c>
      <c r="BU67" s="9">
        <v>0</v>
      </c>
      <c r="BV67" s="9">
        <v>0</v>
      </c>
      <c r="BW67" s="9">
        <v>0</v>
      </c>
      <c r="BX67" s="9">
        <v>0</v>
      </c>
      <c r="BY67" s="9">
        <v>0</v>
      </c>
      <c r="BZ67" s="9">
        <v>0</v>
      </c>
      <c r="CA67" s="9">
        <v>0</v>
      </c>
      <c r="CB67" s="9">
        <v>0</v>
      </c>
      <c r="CC67" s="9">
        <v>0</v>
      </c>
      <c r="CD67" s="9">
        <v>0</v>
      </c>
      <c r="CE67" s="9">
        <v>0</v>
      </c>
      <c r="CF67" s="9">
        <v>0</v>
      </c>
      <c r="CG67" s="9">
        <v>0</v>
      </c>
      <c r="CH67" s="9">
        <v>266898</v>
      </c>
      <c r="CI67" s="9">
        <v>0</v>
      </c>
      <c r="CJ67" s="9">
        <v>4</v>
      </c>
      <c r="CK67" s="9">
        <v>0</v>
      </c>
      <c r="CL67" s="9">
        <v>0</v>
      </c>
      <c r="CM67" s="9">
        <v>0</v>
      </c>
      <c r="CN67" s="9">
        <v>0</v>
      </c>
      <c r="CO67" s="9">
        <v>0</v>
      </c>
      <c r="CP67" s="9">
        <v>1.1000000000000001E-2</v>
      </c>
      <c r="CQ67" s="9">
        <v>0</v>
      </c>
      <c r="CR67" s="9">
        <v>1452.8</v>
      </c>
      <c r="CS67" s="9">
        <v>0</v>
      </c>
      <c r="CT67" s="9">
        <v>0</v>
      </c>
      <c r="CU67" s="9">
        <v>0</v>
      </c>
      <c r="CV67" s="9">
        <v>0</v>
      </c>
      <c r="CW67" s="9">
        <v>0</v>
      </c>
      <c r="CX67" s="9">
        <v>0</v>
      </c>
      <c r="CY67" s="9">
        <v>0</v>
      </c>
      <c r="CZ67" s="9">
        <v>0</v>
      </c>
      <c r="DA67" s="9">
        <v>1</v>
      </c>
      <c r="DB67" s="9">
        <v>9183660</v>
      </c>
      <c r="DC67" s="9">
        <v>0</v>
      </c>
      <c r="DD67" s="9">
        <v>0</v>
      </c>
      <c r="DE67" s="9">
        <v>1506242</v>
      </c>
      <c r="DF67" s="9">
        <v>1506416</v>
      </c>
      <c r="DG67" s="9">
        <v>1150.33</v>
      </c>
      <c r="DH67" s="9">
        <v>0</v>
      </c>
      <c r="DI67" s="9">
        <v>174</v>
      </c>
      <c r="DJ67" s="9">
        <v>0</v>
      </c>
      <c r="DK67" s="9">
        <v>5392</v>
      </c>
      <c r="DL67" s="9">
        <v>0</v>
      </c>
      <c r="DM67" s="9">
        <v>928078</v>
      </c>
      <c r="DN67" s="9">
        <v>0</v>
      </c>
      <c r="DO67" s="9">
        <v>0</v>
      </c>
      <c r="DP67" s="9">
        <v>0</v>
      </c>
      <c r="DQ67" s="9">
        <v>0</v>
      </c>
      <c r="DR67" s="9">
        <v>0</v>
      </c>
      <c r="DS67" s="9">
        <v>0</v>
      </c>
      <c r="DT67" s="9">
        <v>0</v>
      </c>
      <c r="DU67" s="9">
        <v>0</v>
      </c>
      <c r="DV67" s="9">
        <v>0</v>
      </c>
      <c r="DW67" s="9">
        <v>0</v>
      </c>
      <c r="DX67" s="9">
        <v>0</v>
      </c>
      <c r="DY67" s="9">
        <v>0</v>
      </c>
      <c r="DZ67" s="9">
        <v>0</v>
      </c>
      <c r="EA67" s="9">
        <v>0</v>
      </c>
      <c r="EB67" s="9">
        <v>0</v>
      </c>
      <c r="EC67" s="9">
        <v>60.463000000000001</v>
      </c>
      <c r="ED67" s="9">
        <v>435436</v>
      </c>
      <c r="EE67" s="9">
        <v>0</v>
      </c>
      <c r="EF67" s="9">
        <v>0</v>
      </c>
      <c r="EG67" s="9">
        <v>0</v>
      </c>
      <c r="EH67" s="9">
        <v>492642</v>
      </c>
      <c r="EI67" s="9">
        <v>0</v>
      </c>
      <c r="EJ67" s="9">
        <v>0</v>
      </c>
      <c r="EK67" s="9">
        <v>21.802</v>
      </c>
      <c r="EL67" s="9">
        <v>0</v>
      </c>
      <c r="EM67" s="9">
        <v>0.45700000000000002</v>
      </c>
      <c r="EN67" s="9">
        <v>1.6940000000000002</v>
      </c>
      <c r="EO67" s="9">
        <v>0</v>
      </c>
      <c r="EP67" s="9">
        <v>0</v>
      </c>
      <c r="EQ67" s="9">
        <v>23.952999999999999</v>
      </c>
      <c r="ER67" s="9">
        <v>0</v>
      </c>
      <c r="ES67" s="9">
        <v>75.247</v>
      </c>
      <c r="ET67" s="9">
        <v>0</v>
      </c>
      <c r="EU67" s="9">
        <v>827881</v>
      </c>
      <c r="EV67" s="9">
        <v>0</v>
      </c>
      <c r="EW67" s="9">
        <v>0</v>
      </c>
      <c r="EX67" s="9">
        <v>0</v>
      </c>
      <c r="EY67" s="9">
        <v>0</v>
      </c>
      <c r="EZ67" s="9">
        <v>12101920</v>
      </c>
      <c r="FA67" s="9">
        <v>0</v>
      </c>
      <c r="FB67" s="9">
        <v>12929801</v>
      </c>
      <c r="FC67" s="9">
        <v>0.97326799999999991</v>
      </c>
      <c r="FD67" s="9">
        <v>0</v>
      </c>
      <c r="FE67" s="9">
        <v>1932187</v>
      </c>
      <c r="FF67" s="9">
        <v>411458</v>
      </c>
      <c r="FG67" s="9">
        <v>5.8088000000000001E-2</v>
      </c>
      <c r="FH67" s="9">
        <v>5.2622999999999996E-2</v>
      </c>
      <c r="FI67" s="9">
        <v>0</v>
      </c>
      <c r="FJ67" s="9">
        <v>0</v>
      </c>
      <c r="FK67" s="9">
        <v>2447.2560000000003</v>
      </c>
      <c r="FL67" s="9">
        <v>15540344</v>
      </c>
      <c r="FM67" s="9">
        <v>0</v>
      </c>
      <c r="FN67" s="9">
        <v>0</v>
      </c>
      <c r="FO67" s="9">
        <v>0</v>
      </c>
      <c r="FP67" s="9">
        <v>0</v>
      </c>
      <c r="FQ67" s="9">
        <v>0</v>
      </c>
      <c r="FR67" s="9">
        <v>0</v>
      </c>
      <c r="FS67" s="9">
        <v>0</v>
      </c>
      <c r="FT67" s="9">
        <v>0</v>
      </c>
      <c r="FU67" s="9">
        <v>0</v>
      </c>
      <c r="FV67" s="9">
        <v>0</v>
      </c>
      <c r="FW67" s="9">
        <v>0</v>
      </c>
      <c r="FX67" s="9">
        <v>0</v>
      </c>
      <c r="FY67" s="9">
        <v>0</v>
      </c>
      <c r="FZ67" s="9">
        <v>0</v>
      </c>
      <c r="GA67" s="9">
        <v>0</v>
      </c>
      <c r="GB67" s="9">
        <v>771720</v>
      </c>
      <c r="GC67" s="9">
        <v>771720</v>
      </c>
      <c r="GD67" s="9">
        <v>87.314000000000007</v>
      </c>
      <c r="GE67" s="9">
        <v>0</v>
      </c>
      <c r="GF67" s="9">
        <v>0</v>
      </c>
      <c r="GG67" s="9">
        <v>0</v>
      </c>
      <c r="GH67" s="9">
        <v>0</v>
      </c>
      <c r="GI67" s="9">
        <v>0</v>
      </c>
      <c r="GJ67" s="9">
        <v>0</v>
      </c>
      <c r="GK67" s="9">
        <v>4971</v>
      </c>
      <c r="GL67" s="9">
        <v>0</v>
      </c>
      <c r="GM67" s="9">
        <v>0</v>
      </c>
      <c r="GN67" s="9">
        <v>0</v>
      </c>
      <c r="GO67" s="9">
        <v>0</v>
      </c>
      <c r="GP67" s="9">
        <v>15273446</v>
      </c>
      <c r="GQ67" s="9">
        <v>15273446</v>
      </c>
      <c r="GR67" s="9">
        <v>0</v>
      </c>
      <c r="GS67" s="9">
        <v>0</v>
      </c>
      <c r="GT67" s="9">
        <v>0</v>
      </c>
      <c r="GU67" s="9">
        <v>0</v>
      </c>
      <c r="GV67" s="9">
        <v>0</v>
      </c>
      <c r="GW67" s="9">
        <v>0</v>
      </c>
      <c r="GX67" s="9">
        <v>0</v>
      </c>
      <c r="GY67" s="9">
        <v>0</v>
      </c>
      <c r="GZ67" s="9">
        <v>0</v>
      </c>
      <c r="HA67" s="9">
        <v>0</v>
      </c>
      <c r="HB67" s="9">
        <v>300501363</v>
      </c>
      <c r="HC67" s="9">
        <v>4.4742999999999998E-2</v>
      </c>
      <c r="HD67" s="9">
        <v>266898</v>
      </c>
      <c r="HE67" s="9">
        <v>0</v>
      </c>
      <c r="HF67" s="9">
        <v>0</v>
      </c>
      <c r="HG67" s="9">
        <v>0</v>
      </c>
      <c r="HH67" s="9">
        <v>0</v>
      </c>
      <c r="HI67" s="9">
        <v>0</v>
      </c>
      <c r="HJ67" s="9">
        <v>0</v>
      </c>
      <c r="HK67" s="9">
        <v>0</v>
      </c>
      <c r="HL67" s="9">
        <v>0</v>
      </c>
      <c r="HM67" s="9">
        <v>0</v>
      </c>
      <c r="HN67" s="9">
        <v>0</v>
      </c>
      <c r="HO67" s="9">
        <v>0</v>
      </c>
      <c r="HP67" s="9">
        <v>0</v>
      </c>
      <c r="HQ67" s="9">
        <v>0</v>
      </c>
      <c r="HR67" s="9">
        <v>0</v>
      </c>
      <c r="HS67" s="9">
        <v>0</v>
      </c>
      <c r="HT67" s="9">
        <v>0</v>
      </c>
      <c r="HU67" s="9">
        <v>0</v>
      </c>
      <c r="HV67" s="9">
        <v>0</v>
      </c>
      <c r="HW67" s="9">
        <v>0</v>
      </c>
      <c r="HX67" s="9">
        <v>0</v>
      </c>
      <c r="HY67" s="9">
        <v>0</v>
      </c>
      <c r="HZ67" s="9">
        <v>0</v>
      </c>
      <c r="IA67" s="9">
        <v>0</v>
      </c>
      <c r="IB67" s="9">
        <v>0</v>
      </c>
      <c r="IC67" s="9">
        <v>0</v>
      </c>
      <c r="ID67" s="9">
        <v>0</v>
      </c>
      <c r="IE67" s="9">
        <v>26.555</v>
      </c>
      <c r="IF67" s="9">
        <v>0</v>
      </c>
      <c r="IG67" s="9">
        <v>0</v>
      </c>
      <c r="IH67" s="9">
        <v>0</v>
      </c>
      <c r="II67" s="9">
        <v>0</v>
      </c>
      <c r="IJ67" s="9">
        <v>0</v>
      </c>
      <c r="IK67" s="9">
        <v>0</v>
      </c>
      <c r="IL67" s="9">
        <v>0</v>
      </c>
      <c r="IM67" s="9">
        <v>0</v>
      </c>
      <c r="IN67" s="9">
        <v>0</v>
      </c>
      <c r="IO67" s="9">
        <v>0</v>
      </c>
      <c r="IP67" s="9">
        <v>0</v>
      </c>
      <c r="IQ67" s="9">
        <v>0</v>
      </c>
      <c r="IR67" s="9">
        <v>0</v>
      </c>
      <c r="IS67" s="9">
        <v>0</v>
      </c>
      <c r="IT67" s="9">
        <v>0</v>
      </c>
      <c r="IU67" s="9">
        <v>0</v>
      </c>
      <c r="IV67" s="9">
        <v>0</v>
      </c>
      <c r="IW67" s="9">
        <v>0</v>
      </c>
      <c r="IX67" s="9">
        <v>0</v>
      </c>
      <c r="IY67" s="9">
        <v>0</v>
      </c>
      <c r="IZ67" s="9">
        <v>0</v>
      </c>
      <c r="JA67" s="9">
        <v>0</v>
      </c>
      <c r="JB67" s="9">
        <v>0</v>
      </c>
      <c r="JC67" s="9">
        <v>0</v>
      </c>
      <c r="JD67" s="9">
        <v>0</v>
      </c>
      <c r="JE67" s="9">
        <v>0</v>
      </c>
      <c r="JF67" s="9">
        <v>0</v>
      </c>
      <c r="JG67" s="9">
        <v>0</v>
      </c>
      <c r="JH67" s="9">
        <v>0</v>
      </c>
      <c r="JI67" s="9">
        <v>0</v>
      </c>
      <c r="JJ67" s="9">
        <v>0</v>
      </c>
      <c r="JK67" s="9">
        <v>0</v>
      </c>
      <c r="JL67" s="9">
        <v>0</v>
      </c>
      <c r="JM67" s="9">
        <v>0</v>
      </c>
      <c r="JN67" s="9">
        <v>36832</v>
      </c>
      <c r="JO67" s="9">
        <v>0</v>
      </c>
      <c r="JP67" s="9">
        <v>0</v>
      </c>
      <c r="JQ67" s="9">
        <v>0</v>
      </c>
      <c r="JR67" s="9">
        <v>0</v>
      </c>
      <c r="JS67" s="9">
        <v>0</v>
      </c>
      <c r="JT67" s="9">
        <v>0</v>
      </c>
      <c r="JU67" s="9">
        <v>0</v>
      </c>
      <c r="JV67" s="9">
        <v>0</v>
      </c>
      <c r="JW67" s="9">
        <v>0</v>
      </c>
      <c r="JX67" s="9">
        <v>0</v>
      </c>
      <c r="JY67" s="9">
        <v>0</v>
      </c>
      <c r="JZ67" s="9">
        <v>0</v>
      </c>
      <c r="KA67" s="9">
        <v>0</v>
      </c>
      <c r="KB67" s="9">
        <v>0</v>
      </c>
      <c r="KC67" s="9">
        <v>0</v>
      </c>
      <c r="KD67" s="9">
        <v>0</v>
      </c>
      <c r="KE67" s="9">
        <v>0</v>
      </c>
      <c r="KF67" s="9">
        <v>0</v>
      </c>
      <c r="KG67" s="9">
        <v>0</v>
      </c>
      <c r="KH67" s="9">
        <v>0</v>
      </c>
      <c r="KI67" s="9">
        <v>0</v>
      </c>
    </row>
    <row r="68" spans="1:295" x14ac:dyDescent="0.25">
      <c r="A68" s="9">
        <v>57847</v>
      </c>
      <c r="B68" s="9">
        <v>36871</v>
      </c>
      <c r="C68" s="9">
        <v>35</v>
      </c>
      <c r="D68" s="9">
        <v>2023</v>
      </c>
      <c r="E68" s="9">
        <v>5392</v>
      </c>
      <c r="F68" s="9">
        <v>0</v>
      </c>
      <c r="G68" s="9">
        <v>0</v>
      </c>
      <c r="H68" s="9">
        <v>1076.1100000000001</v>
      </c>
      <c r="I68" s="9">
        <v>1076.1100000000001</v>
      </c>
      <c r="J68" s="9">
        <v>1257.4750000000001</v>
      </c>
      <c r="K68" s="9">
        <v>0</v>
      </c>
      <c r="L68" s="9">
        <v>6547</v>
      </c>
      <c r="M68" s="9">
        <v>0</v>
      </c>
      <c r="N68" s="9">
        <v>0</v>
      </c>
      <c r="O68" s="9">
        <v>0</v>
      </c>
      <c r="P68" s="9">
        <v>1097.4180000000001</v>
      </c>
      <c r="Q68" s="9">
        <v>0</v>
      </c>
      <c r="R68" s="9">
        <v>534357</v>
      </c>
      <c r="S68" s="9">
        <v>486.92200000000003</v>
      </c>
      <c r="T68" s="9">
        <v>0</v>
      </c>
      <c r="U68" s="9">
        <v>534357</v>
      </c>
      <c r="V68" s="9">
        <v>31.95</v>
      </c>
      <c r="W68" s="9">
        <v>20918</v>
      </c>
      <c r="X68" s="9">
        <v>20918</v>
      </c>
      <c r="Y68" s="9">
        <v>0</v>
      </c>
      <c r="Z68" s="9">
        <v>0</v>
      </c>
      <c r="AA68" s="9">
        <v>1</v>
      </c>
      <c r="AB68" s="9">
        <v>1</v>
      </c>
      <c r="AC68" s="9">
        <v>0</v>
      </c>
      <c r="AD68" s="9" t="s">
        <v>314</v>
      </c>
      <c r="AE68" s="9">
        <v>0</v>
      </c>
      <c r="AF68" s="9">
        <v>0</v>
      </c>
      <c r="AG68" s="9">
        <v>0</v>
      </c>
      <c r="AH68" s="9">
        <v>0</v>
      </c>
      <c r="AI68" s="9">
        <v>0</v>
      </c>
      <c r="AJ68" s="9">
        <v>5104</v>
      </c>
      <c r="AK68" s="9" t="s">
        <v>651</v>
      </c>
      <c r="AL68" s="9" t="s">
        <v>331</v>
      </c>
      <c r="AM68" s="9">
        <v>0</v>
      </c>
      <c r="AN68" s="9">
        <v>0</v>
      </c>
      <c r="AO68" s="9">
        <v>0</v>
      </c>
      <c r="AP68" s="9">
        <v>0</v>
      </c>
      <c r="AQ68" s="9">
        <v>0</v>
      </c>
      <c r="AR68" s="9">
        <v>0</v>
      </c>
      <c r="AS68" s="9">
        <v>0</v>
      </c>
      <c r="AT68" s="9">
        <v>0</v>
      </c>
      <c r="AU68" s="9">
        <v>0</v>
      </c>
      <c r="AV68" s="9">
        <v>-497</v>
      </c>
      <c r="AW68" s="9">
        <v>11254184</v>
      </c>
      <c r="AX68" s="9">
        <v>10959212</v>
      </c>
      <c r="AY68" s="9">
        <v>11172099</v>
      </c>
      <c r="AZ68" s="9">
        <v>607652</v>
      </c>
      <c r="BA68" s="9">
        <v>0</v>
      </c>
      <c r="BB68" s="9">
        <v>0</v>
      </c>
      <c r="BC68" s="9">
        <v>0</v>
      </c>
      <c r="BD68" s="9">
        <v>0</v>
      </c>
      <c r="BE68" s="9">
        <v>0</v>
      </c>
      <c r="BF68" s="9">
        <v>9458899</v>
      </c>
      <c r="BG68" s="9">
        <v>0</v>
      </c>
      <c r="BH68" s="9">
        <v>266.529</v>
      </c>
      <c r="BI68" s="9">
        <v>73295</v>
      </c>
      <c r="BJ68" s="9">
        <v>12</v>
      </c>
      <c r="BK68" s="9">
        <v>0</v>
      </c>
      <c r="BL68" s="9">
        <v>0</v>
      </c>
      <c r="BM68" s="9">
        <v>0</v>
      </c>
      <c r="BN68" s="9">
        <v>0</v>
      </c>
      <c r="BO68" s="9">
        <v>0</v>
      </c>
      <c r="BP68" s="9">
        <v>0</v>
      </c>
      <c r="BQ68" s="9">
        <v>5392</v>
      </c>
      <c r="BR68" s="9">
        <v>1</v>
      </c>
      <c r="BS68" s="9">
        <v>0</v>
      </c>
      <c r="BT68" s="9">
        <v>0</v>
      </c>
      <c r="BU68" s="9">
        <v>0</v>
      </c>
      <c r="BV68" s="9">
        <v>0</v>
      </c>
      <c r="BW68" s="9">
        <v>0</v>
      </c>
      <c r="BX68" s="9">
        <v>0</v>
      </c>
      <c r="BY68" s="9">
        <v>0</v>
      </c>
      <c r="BZ68" s="9">
        <v>0</v>
      </c>
      <c r="CA68" s="9">
        <v>0</v>
      </c>
      <c r="CB68" s="9">
        <v>0</v>
      </c>
      <c r="CC68" s="9">
        <v>0</v>
      </c>
      <c r="CD68" s="9">
        <v>0</v>
      </c>
      <c r="CE68" s="9">
        <v>0</v>
      </c>
      <c r="CF68" s="9">
        <v>0</v>
      </c>
      <c r="CG68" s="9">
        <v>0</v>
      </c>
      <c r="CH68" s="9">
        <v>221677</v>
      </c>
      <c r="CI68" s="9">
        <v>0</v>
      </c>
      <c r="CJ68" s="9">
        <v>5</v>
      </c>
      <c r="CK68" s="9">
        <v>0</v>
      </c>
      <c r="CL68" s="9">
        <v>0</v>
      </c>
      <c r="CM68" s="9">
        <v>0</v>
      </c>
      <c r="CN68" s="9">
        <v>0</v>
      </c>
      <c r="CO68" s="9">
        <v>0</v>
      </c>
      <c r="CP68" s="9">
        <v>0</v>
      </c>
      <c r="CQ68" s="9">
        <v>0</v>
      </c>
      <c r="CR68" s="9">
        <v>1088.3110000000001</v>
      </c>
      <c r="CS68" s="9">
        <v>0</v>
      </c>
      <c r="CT68" s="9">
        <v>0</v>
      </c>
      <c r="CU68" s="9">
        <v>0</v>
      </c>
      <c r="CV68" s="9">
        <v>0</v>
      </c>
      <c r="CW68" s="9">
        <v>0</v>
      </c>
      <c r="CX68" s="9">
        <v>0</v>
      </c>
      <c r="CY68" s="9">
        <v>0</v>
      </c>
      <c r="CZ68" s="9">
        <v>0</v>
      </c>
      <c r="DA68" s="9">
        <v>1</v>
      </c>
      <c r="DB68" s="9">
        <v>7045292</v>
      </c>
      <c r="DC68" s="9">
        <v>0</v>
      </c>
      <c r="DD68" s="9">
        <v>0</v>
      </c>
      <c r="DE68" s="9">
        <v>728249</v>
      </c>
      <c r="DF68" s="9">
        <v>728249</v>
      </c>
      <c r="DG68" s="9">
        <v>556.16999999999996</v>
      </c>
      <c r="DH68" s="9">
        <v>0</v>
      </c>
      <c r="DI68" s="9">
        <v>0</v>
      </c>
      <c r="DJ68" s="9">
        <v>0</v>
      </c>
      <c r="DK68" s="9">
        <v>5392</v>
      </c>
      <c r="DL68" s="9">
        <v>0</v>
      </c>
      <c r="DM68" s="9">
        <v>440274</v>
      </c>
      <c r="DN68" s="9">
        <v>0</v>
      </c>
      <c r="DO68" s="9">
        <v>0</v>
      </c>
      <c r="DP68" s="9">
        <v>0</v>
      </c>
      <c r="DQ68" s="9">
        <v>0</v>
      </c>
      <c r="DR68" s="9">
        <v>0</v>
      </c>
      <c r="DS68" s="9">
        <v>0</v>
      </c>
      <c r="DT68" s="9">
        <v>0</v>
      </c>
      <c r="DU68" s="9">
        <v>0</v>
      </c>
      <c r="DV68" s="9">
        <v>0</v>
      </c>
      <c r="DW68" s="9">
        <v>0</v>
      </c>
      <c r="DX68" s="9">
        <v>0</v>
      </c>
      <c r="DY68" s="9">
        <v>0</v>
      </c>
      <c r="DZ68" s="9">
        <v>0</v>
      </c>
      <c r="EA68" s="9">
        <v>0</v>
      </c>
      <c r="EB68" s="9">
        <v>0</v>
      </c>
      <c r="EC68" s="9">
        <v>22.141999999999999</v>
      </c>
      <c r="ED68" s="9">
        <v>159460</v>
      </c>
      <c r="EE68" s="9">
        <v>0</v>
      </c>
      <c r="EF68" s="9">
        <v>0</v>
      </c>
      <c r="EG68" s="9">
        <v>0</v>
      </c>
      <c r="EH68" s="9">
        <v>280814</v>
      </c>
      <c r="EI68" s="9">
        <v>0</v>
      </c>
      <c r="EJ68" s="9">
        <v>0</v>
      </c>
      <c r="EK68" s="9">
        <v>11.906000000000001</v>
      </c>
      <c r="EL68" s="9">
        <v>0</v>
      </c>
      <c r="EM68" s="9">
        <v>0.313</v>
      </c>
      <c r="EN68" s="9">
        <v>1.2470000000000001</v>
      </c>
      <c r="EO68" s="9">
        <v>0</v>
      </c>
      <c r="EP68" s="9">
        <v>0</v>
      </c>
      <c r="EQ68" s="9">
        <v>13.466000000000001</v>
      </c>
      <c r="ER68" s="9">
        <v>0</v>
      </c>
      <c r="ES68" s="9">
        <v>42.892000000000003</v>
      </c>
      <c r="ET68" s="9">
        <v>0</v>
      </c>
      <c r="EU68" s="9">
        <v>607652</v>
      </c>
      <c r="EV68" s="9">
        <v>0</v>
      </c>
      <c r="EW68" s="9">
        <v>0</v>
      </c>
      <c r="EX68" s="9">
        <v>0</v>
      </c>
      <c r="EY68" s="9">
        <v>0</v>
      </c>
      <c r="EZ68" s="9">
        <v>9184343</v>
      </c>
      <c r="FA68" s="9">
        <v>0</v>
      </c>
      <c r="FB68" s="9">
        <v>9791995</v>
      </c>
      <c r="FC68" s="9">
        <v>0.97326799999999991</v>
      </c>
      <c r="FD68" s="9">
        <v>0</v>
      </c>
      <c r="FE68" s="9">
        <v>1463267</v>
      </c>
      <c r="FF68" s="9">
        <v>311602</v>
      </c>
      <c r="FG68" s="9">
        <v>5.8088000000000001E-2</v>
      </c>
      <c r="FH68" s="9">
        <v>5.2622999999999996E-2</v>
      </c>
      <c r="FI68" s="9">
        <v>0</v>
      </c>
      <c r="FJ68" s="9">
        <v>0</v>
      </c>
      <c r="FK68" s="9">
        <v>1853.3340000000001</v>
      </c>
      <c r="FL68" s="9">
        <v>11788541</v>
      </c>
      <c r="FM68" s="9">
        <v>0</v>
      </c>
      <c r="FN68" s="9">
        <v>0</v>
      </c>
      <c r="FO68" s="9">
        <v>0</v>
      </c>
      <c r="FP68" s="9">
        <v>0</v>
      </c>
      <c r="FQ68" s="9">
        <v>0</v>
      </c>
      <c r="FR68" s="9">
        <v>0</v>
      </c>
      <c r="FS68" s="9">
        <v>0</v>
      </c>
      <c r="FT68" s="9">
        <v>0</v>
      </c>
      <c r="FU68" s="9">
        <v>0</v>
      </c>
      <c r="FV68" s="9">
        <v>0</v>
      </c>
      <c r="FW68" s="9">
        <v>0</v>
      </c>
      <c r="FX68" s="9">
        <v>0</v>
      </c>
      <c r="FY68" s="9">
        <v>0</v>
      </c>
      <c r="FZ68" s="9">
        <v>0</v>
      </c>
      <c r="GA68" s="9">
        <v>0</v>
      </c>
      <c r="GB68" s="9">
        <v>1483967</v>
      </c>
      <c r="GC68" s="9">
        <v>1483967</v>
      </c>
      <c r="GD68" s="9">
        <v>167.899</v>
      </c>
      <c r="GE68" s="9">
        <v>0</v>
      </c>
      <c r="GF68" s="9">
        <v>0</v>
      </c>
      <c r="GG68" s="9">
        <v>0</v>
      </c>
      <c r="GH68" s="9">
        <v>0</v>
      </c>
      <c r="GI68" s="9">
        <v>0</v>
      </c>
      <c r="GJ68" s="9">
        <v>0</v>
      </c>
      <c r="GK68" s="9">
        <v>4971</v>
      </c>
      <c r="GL68" s="9">
        <v>0</v>
      </c>
      <c r="GM68" s="9">
        <v>0</v>
      </c>
      <c r="GN68" s="9">
        <v>0</v>
      </c>
      <c r="GO68" s="9">
        <v>0</v>
      </c>
      <c r="GP68" s="9">
        <v>11566864</v>
      </c>
      <c r="GQ68" s="9">
        <v>11566864</v>
      </c>
      <c r="GR68" s="9">
        <v>0</v>
      </c>
      <c r="GS68" s="9">
        <v>0</v>
      </c>
      <c r="GT68" s="9">
        <v>0</v>
      </c>
      <c r="GU68" s="9">
        <v>0</v>
      </c>
      <c r="GV68" s="9">
        <v>0</v>
      </c>
      <c r="GW68" s="9">
        <v>0</v>
      </c>
      <c r="GX68" s="9">
        <v>0</v>
      </c>
      <c r="GY68" s="9">
        <v>0</v>
      </c>
      <c r="GZ68" s="9">
        <v>0</v>
      </c>
      <c r="HA68" s="9">
        <v>0</v>
      </c>
      <c r="HB68" s="9">
        <v>300501363</v>
      </c>
      <c r="HC68" s="9">
        <v>4.4742999999999998E-2</v>
      </c>
      <c r="HD68" s="9">
        <v>221677</v>
      </c>
      <c r="HE68" s="9">
        <v>0</v>
      </c>
      <c r="HF68" s="9">
        <v>0</v>
      </c>
      <c r="HG68" s="9">
        <v>0</v>
      </c>
      <c r="HH68" s="9">
        <v>0</v>
      </c>
      <c r="HI68" s="9">
        <v>0</v>
      </c>
      <c r="HJ68" s="9">
        <v>0</v>
      </c>
      <c r="HK68" s="9">
        <v>0</v>
      </c>
      <c r="HL68" s="9">
        <v>0</v>
      </c>
      <c r="HM68" s="9">
        <v>0</v>
      </c>
      <c r="HN68" s="9">
        <v>0</v>
      </c>
      <c r="HO68" s="9">
        <v>0</v>
      </c>
      <c r="HP68" s="9">
        <v>0</v>
      </c>
      <c r="HQ68" s="9">
        <v>0</v>
      </c>
      <c r="HR68" s="9">
        <v>0</v>
      </c>
      <c r="HS68" s="9">
        <v>0</v>
      </c>
      <c r="HT68" s="9">
        <v>0</v>
      </c>
      <c r="HU68" s="9">
        <v>0</v>
      </c>
      <c r="HV68" s="9">
        <v>0</v>
      </c>
      <c r="HW68" s="9">
        <v>0</v>
      </c>
      <c r="HX68" s="9">
        <v>0</v>
      </c>
      <c r="HY68" s="9">
        <v>0</v>
      </c>
      <c r="HZ68" s="9">
        <v>0</v>
      </c>
      <c r="IA68" s="9">
        <v>0</v>
      </c>
      <c r="IB68" s="9">
        <v>0</v>
      </c>
      <c r="IC68" s="9">
        <v>0</v>
      </c>
      <c r="ID68" s="9">
        <v>0</v>
      </c>
      <c r="IE68" s="9">
        <v>0</v>
      </c>
      <c r="IF68" s="9">
        <v>0</v>
      </c>
      <c r="IG68" s="9">
        <v>0</v>
      </c>
      <c r="IH68" s="9">
        <v>0</v>
      </c>
      <c r="II68" s="9">
        <v>0</v>
      </c>
      <c r="IJ68" s="9">
        <v>0</v>
      </c>
      <c r="IK68" s="9">
        <v>0</v>
      </c>
      <c r="IL68" s="9">
        <v>0</v>
      </c>
      <c r="IM68" s="9">
        <v>0</v>
      </c>
      <c r="IN68" s="9">
        <v>0</v>
      </c>
      <c r="IO68" s="9">
        <v>0</v>
      </c>
      <c r="IP68" s="9">
        <v>0</v>
      </c>
      <c r="IQ68" s="9">
        <v>0</v>
      </c>
      <c r="IR68" s="9">
        <v>0</v>
      </c>
      <c r="IS68" s="9">
        <v>0</v>
      </c>
      <c r="IT68" s="9">
        <v>0</v>
      </c>
      <c r="IU68" s="9">
        <v>0</v>
      </c>
      <c r="IV68" s="9">
        <v>0</v>
      </c>
      <c r="IW68" s="9">
        <v>0</v>
      </c>
      <c r="IX68" s="9">
        <v>0</v>
      </c>
      <c r="IY68" s="9">
        <v>0</v>
      </c>
      <c r="IZ68" s="9">
        <v>0</v>
      </c>
      <c r="JA68" s="9">
        <v>0</v>
      </c>
      <c r="JB68" s="9">
        <v>0</v>
      </c>
      <c r="JC68" s="9">
        <v>0</v>
      </c>
      <c r="JD68" s="9">
        <v>0</v>
      </c>
      <c r="JE68" s="9">
        <v>0</v>
      </c>
      <c r="JF68" s="9">
        <v>0</v>
      </c>
      <c r="JG68" s="9">
        <v>0</v>
      </c>
      <c r="JH68" s="9">
        <v>0</v>
      </c>
      <c r="JI68" s="9">
        <v>0</v>
      </c>
      <c r="JJ68" s="9">
        <v>0</v>
      </c>
      <c r="JK68" s="9">
        <v>0</v>
      </c>
      <c r="JL68" s="9">
        <v>0</v>
      </c>
      <c r="JM68" s="9">
        <v>0</v>
      </c>
      <c r="JN68" s="9">
        <v>36832</v>
      </c>
      <c r="JO68" s="9">
        <v>0</v>
      </c>
      <c r="JP68" s="9">
        <v>0</v>
      </c>
      <c r="JQ68" s="9">
        <v>0</v>
      </c>
      <c r="JR68" s="9">
        <v>0</v>
      </c>
      <c r="JS68" s="9">
        <v>0</v>
      </c>
      <c r="JT68" s="9">
        <v>0</v>
      </c>
      <c r="JU68" s="9">
        <v>0</v>
      </c>
      <c r="JV68" s="9">
        <v>0</v>
      </c>
      <c r="JW68" s="9">
        <v>0</v>
      </c>
      <c r="JX68" s="9">
        <v>0</v>
      </c>
      <c r="JY68" s="9">
        <v>0</v>
      </c>
      <c r="JZ68" s="9">
        <v>0</v>
      </c>
      <c r="KA68" s="9">
        <v>0</v>
      </c>
      <c r="KB68" s="9">
        <v>0</v>
      </c>
      <c r="KC68" s="9">
        <v>0</v>
      </c>
      <c r="KD68" s="9">
        <v>0</v>
      </c>
      <c r="KE68" s="9">
        <v>0</v>
      </c>
      <c r="KF68" s="9">
        <v>0</v>
      </c>
      <c r="KG68" s="9">
        <v>0</v>
      </c>
      <c r="KH68" s="9">
        <v>0</v>
      </c>
      <c r="KI68" s="9">
        <v>0</v>
      </c>
    </row>
    <row r="69" spans="1:295" x14ac:dyDescent="0.25">
      <c r="A69" s="9">
        <v>57848</v>
      </c>
      <c r="B69" s="9">
        <v>36871</v>
      </c>
      <c r="C69" s="9">
        <v>35</v>
      </c>
      <c r="D69" s="9">
        <v>2023</v>
      </c>
      <c r="E69" s="9">
        <v>5392</v>
      </c>
      <c r="F69" s="9">
        <v>0</v>
      </c>
      <c r="G69" s="9">
        <v>0</v>
      </c>
      <c r="H69" s="9">
        <v>19153.993000000002</v>
      </c>
      <c r="I69" s="9">
        <v>19153.993000000002</v>
      </c>
      <c r="J69" s="9">
        <v>20212.772000000001</v>
      </c>
      <c r="K69" s="9">
        <v>0</v>
      </c>
      <c r="L69" s="9">
        <v>6547</v>
      </c>
      <c r="M69" s="9">
        <v>0</v>
      </c>
      <c r="N69" s="9">
        <v>0</v>
      </c>
      <c r="O69" s="9">
        <v>0</v>
      </c>
      <c r="P69" s="9">
        <v>18337.43</v>
      </c>
      <c r="Q69" s="9">
        <v>0</v>
      </c>
      <c r="R69" s="9">
        <v>8928898</v>
      </c>
      <c r="S69" s="9">
        <v>486.92200000000003</v>
      </c>
      <c r="T69" s="9">
        <v>0</v>
      </c>
      <c r="U69" s="9">
        <v>8928898</v>
      </c>
      <c r="V69" s="9">
        <v>7491.4000000000005</v>
      </c>
      <c r="W69" s="9">
        <v>4904620</v>
      </c>
      <c r="X69" s="9">
        <v>4904620</v>
      </c>
      <c r="Y69" s="9">
        <v>0</v>
      </c>
      <c r="Z69" s="9">
        <v>0</v>
      </c>
      <c r="AA69" s="9">
        <v>1</v>
      </c>
      <c r="AB69" s="9">
        <v>1</v>
      </c>
      <c r="AC69" s="9">
        <v>0</v>
      </c>
      <c r="AD69" s="9" t="s">
        <v>314</v>
      </c>
      <c r="AE69" s="9">
        <v>0</v>
      </c>
      <c r="AF69" s="9">
        <v>0</v>
      </c>
      <c r="AG69" s="9">
        <v>0</v>
      </c>
      <c r="AH69" s="9">
        <v>0</v>
      </c>
      <c r="AI69" s="9">
        <v>0</v>
      </c>
      <c r="AJ69" s="9">
        <v>5104</v>
      </c>
      <c r="AK69" s="9" t="s">
        <v>651</v>
      </c>
      <c r="AL69" s="9" t="s">
        <v>457</v>
      </c>
      <c r="AM69" s="9">
        <v>0</v>
      </c>
      <c r="AN69" s="9">
        <v>0</v>
      </c>
      <c r="AO69" s="9">
        <v>0</v>
      </c>
      <c r="AP69" s="9">
        <v>0</v>
      </c>
      <c r="AQ69" s="9">
        <v>0</v>
      </c>
      <c r="AR69" s="9">
        <v>0</v>
      </c>
      <c r="AS69" s="9">
        <v>0</v>
      </c>
      <c r="AT69" s="9">
        <v>0</v>
      </c>
      <c r="AU69" s="9">
        <v>0</v>
      </c>
      <c r="AV69" s="9">
        <v>-2940885</v>
      </c>
      <c r="AW69" s="9">
        <v>189685333</v>
      </c>
      <c r="AX69" s="9">
        <v>185266956</v>
      </c>
      <c r="AY69" s="9">
        <v>195337169</v>
      </c>
      <c r="AZ69" s="9">
        <v>9784026</v>
      </c>
      <c r="BA69" s="9">
        <v>0</v>
      </c>
      <c r="BB69" s="9">
        <v>793998</v>
      </c>
      <c r="BC69" s="9">
        <v>793998</v>
      </c>
      <c r="BD69" s="9">
        <v>1010.639</v>
      </c>
      <c r="BE69" s="9">
        <v>0</v>
      </c>
      <c r="BF69" s="9">
        <v>159813528</v>
      </c>
      <c r="BG69" s="9">
        <v>0</v>
      </c>
      <c r="BH69" s="9">
        <v>3109.558</v>
      </c>
      <c r="BI69" s="9">
        <v>855128</v>
      </c>
      <c r="BJ69" s="9">
        <v>12</v>
      </c>
      <c r="BK69" s="9">
        <v>0</v>
      </c>
      <c r="BL69" s="9">
        <v>0</v>
      </c>
      <c r="BM69" s="9">
        <v>0</v>
      </c>
      <c r="BN69" s="9">
        <v>0</v>
      </c>
      <c r="BO69" s="9">
        <v>0</v>
      </c>
      <c r="BP69" s="9">
        <v>0</v>
      </c>
      <c r="BQ69" s="9">
        <v>5392</v>
      </c>
      <c r="BR69" s="9">
        <v>1</v>
      </c>
      <c r="BS69" s="9">
        <v>0</v>
      </c>
      <c r="BT69" s="9">
        <v>0</v>
      </c>
      <c r="BU69" s="9">
        <v>0</v>
      </c>
      <c r="BV69" s="9">
        <v>0</v>
      </c>
      <c r="BW69" s="9">
        <v>0</v>
      </c>
      <c r="BX69" s="9">
        <v>0</v>
      </c>
      <c r="BY69" s="9">
        <v>0</v>
      </c>
      <c r="BZ69" s="9">
        <v>0</v>
      </c>
      <c r="CA69" s="9">
        <v>0</v>
      </c>
      <c r="CB69" s="9">
        <v>0</v>
      </c>
      <c r="CC69" s="9">
        <v>0</v>
      </c>
      <c r="CD69" s="9">
        <v>0</v>
      </c>
      <c r="CE69" s="9">
        <v>0</v>
      </c>
      <c r="CF69" s="9">
        <v>0</v>
      </c>
      <c r="CG69" s="9">
        <v>0</v>
      </c>
      <c r="CH69" s="9">
        <v>3563249</v>
      </c>
      <c r="CI69" s="9">
        <v>0</v>
      </c>
      <c r="CJ69" s="9">
        <v>5</v>
      </c>
      <c r="CK69" s="9">
        <v>0</v>
      </c>
      <c r="CL69" s="9">
        <v>0</v>
      </c>
      <c r="CM69" s="9">
        <v>0</v>
      </c>
      <c r="CN69" s="9">
        <v>0</v>
      </c>
      <c r="CO69" s="9">
        <v>0</v>
      </c>
      <c r="CP69" s="9">
        <v>0.27400000000000002</v>
      </c>
      <c r="CQ69" s="9">
        <v>0</v>
      </c>
      <c r="CR69" s="9">
        <v>17900.476000000002</v>
      </c>
      <c r="CS69" s="9">
        <v>0</v>
      </c>
      <c r="CT69" s="9">
        <v>0</v>
      </c>
      <c r="CU69" s="9">
        <v>0</v>
      </c>
      <c r="CV69" s="9">
        <v>0</v>
      </c>
      <c r="CW69" s="9">
        <v>0</v>
      </c>
      <c r="CX69" s="9">
        <v>0</v>
      </c>
      <c r="CY69" s="9">
        <v>0</v>
      </c>
      <c r="CZ69" s="9">
        <v>0</v>
      </c>
      <c r="DA69" s="9">
        <v>1</v>
      </c>
      <c r="DB69" s="9">
        <v>125401192</v>
      </c>
      <c r="DC69" s="9">
        <v>0</v>
      </c>
      <c r="DD69" s="9">
        <v>0</v>
      </c>
      <c r="DE69" s="9">
        <v>18179277</v>
      </c>
      <c r="DF69" s="9">
        <v>18183600</v>
      </c>
      <c r="DG69" s="9">
        <v>13883.67</v>
      </c>
      <c r="DH69" s="9">
        <v>0</v>
      </c>
      <c r="DI69" s="9">
        <v>4323</v>
      </c>
      <c r="DJ69" s="9">
        <v>0</v>
      </c>
      <c r="DK69" s="9">
        <v>5392</v>
      </c>
      <c r="DL69" s="9">
        <v>0</v>
      </c>
      <c r="DM69" s="9">
        <v>8528321</v>
      </c>
      <c r="DN69" s="9">
        <v>0</v>
      </c>
      <c r="DO69" s="9">
        <v>0</v>
      </c>
      <c r="DP69" s="9">
        <v>0</v>
      </c>
      <c r="DQ69" s="9">
        <v>0</v>
      </c>
      <c r="DR69" s="9">
        <v>0</v>
      </c>
      <c r="DS69" s="9">
        <v>0</v>
      </c>
      <c r="DT69" s="9">
        <v>0</v>
      </c>
      <c r="DU69" s="9">
        <v>0</v>
      </c>
      <c r="DV69" s="9">
        <v>0</v>
      </c>
      <c r="DW69" s="9">
        <v>0</v>
      </c>
      <c r="DX69" s="9">
        <v>0</v>
      </c>
      <c r="DY69" s="9">
        <v>0</v>
      </c>
      <c r="DZ69" s="9">
        <v>0</v>
      </c>
      <c r="EA69" s="9">
        <v>3.7999999999999999E-2</v>
      </c>
      <c r="EB69" s="9">
        <v>0</v>
      </c>
      <c r="EC69" s="9">
        <v>223.16300000000001</v>
      </c>
      <c r="ED69" s="9">
        <v>1607153</v>
      </c>
      <c r="EE69" s="9">
        <v>0</v>
      </c>
      <c r="EF69" s="9">
        <v>0</v>
      </c>
      <c r="EG69" s="9">
        <v>0</v>
      </c>
      <c r="EH69" s="9">
        <v>6921168</v>
      </c>
      <c r="EI69" s="9">
        <v>0</v>
      </c>
      <c r="EJ69" s="9">
        <v>0</v>
      </c>
      <c r="EK69" s="9">
        <v>270.20400000000001</v>
      </c>
      <c r="EL69" s="9">
        <v>0</v>
      </c>
      <c r="EM69" s="9">
        <v>40.363</v>
      </c>
      <c r="EN69" s="9">
        <v>25.052</v>
      </c>
      <c r="EO69" s="9">
        <v>0</v>
      </c>
      <c r="EP69" s="9">
        <v>0</v>
      </c>
      <c r="EQ69" s="9">
        <v>335.65700000000004</v>
      </c>
      <c r="ER69" s="9">
        <v>0</v>
      </c>
      <c r="ES69" s="9">
        <v>1057.1510000000001</v>
      </c>
      <c r="ET69" s="9">
        <v>0</v>
      </c>
      <c r="EU69" s="9">
        <v>9784026</v>
      </c>
      <c r="EV69" s="9">
        <v>0</v>
      </c>
      <c r="EW69" s="9">
        <v>0</v>
      </c>
      <c r="EX69" s="9">
        <v>0</v>
      </c>
      <c r="EY69" s="9">
        <v>0</v>
      </c>
      <c r="EZ69" s="9">
        <v>155279538</v>
      </c>
      <c r="FA69" s="9">
        <v>0</v>
      </c>
      <c r="FB69" s="9">
        <v>165063564</v>
      </c>
      <c r="FC69" s="9">
        <v>0.97326799999999991</v>
      </c>
      <c r="FD69" s="9">
        <v>0</v>
      </c>
      <c r="FE69" s="9">
        <v>24722725</v>
      </c>
      <c r="FF69" s="9">
        <v>5264693</v>
      </c>
      <c r="FG69" s="9">
        <v>5.8088000000000001E-2</v>
      </c>
      <c r="FH69" s="9">
        <v>5.2622999999999996E-2</v>
      </c>
      <c r="FI69" s="9">
        <v>0</v>
      </c>
      <c r="FJ69" s="9">
        <v>0</v>
      </c>
      <c r="FK69" s="9">
        <v>31313.134999999998</v>
      </c>
      <c r="FL69" s="9">
        <v>198614231</v>
      </c>
      <c r="FM69" s="9">
        <v>0</v>
      </c>
      <c r="FN69" s="9">
        <v>0</v>
      </c>
      <c r="FO69" s="9">
        <v>5427</v>
      </c>
      <c r="FP69" s="9">
        <v>0</v>
      </c>
      <c r="FQ69" s="9">
        <v>5427</v>
      </c>
      <c r="FR69" s="9">
        <v>5427</v>
      </c>
      <c r="FS69" s="9">
        <v>0</v>
      </c>
      <c r="FT69" s="9">
        <v>0</v>
      </c>
      <c r="FU69" s="9">
        <v>0.4</v>
      </c>
      <c r="FV69" s="9">
        <v>0</v>
      </c>
      <c r="FW69" s="9">
        <v>0</v>
      </c>
      <c r="FX69" s="9">
        <v>0</v>
      </c>
      <c r="FY69" s="9">
        <v>0</v>
      </c>
      <c r="FZ69" s="9">
        <v>0</v>
      </c>
      <c r="GA69" s="9">
        <v>0</v>
      </c>
      <c r="GB69" s="9">
        <v>6391278</v>
      </c>
      <c r="GC69" s="9">
        <v>6391278</v>
      </c>
      <c r="GD69" s="9">
        <v>723.12200000000007</v>
      </c>
      <c r="GE69" s="9">
        <v>0</v>
      </c>
      <c r="GF69" s="9">
        <v>0</v>
      </c>
      <c r="GG69" s="9">
        <v>0</v>
      </c>
      <c r="GH69" s="9">
        <v>0</v>
      </c>
      <c r="GI69" s="9">
        <v>0</v>
      </c>
      <c r="GJ69" s="9">
        <v>0</v>
      </c>
      <c r="GK69" s="9">
        <v>4971</v>
      </c>
      <c r="GL69" s="9">
        <v>0</v>
      </c>
      <c r="GM69" s="9">
        <v>0</v>
      </c>
      <c r="GN69" s="9">
        <v>0</v>
      </c>
      <c r="GO69" s="9">
        <v>0</v>
      </c>
      <c r="GP69" s="9">
        <v>195050982</v>
      </c>
      <c r="GQ69" s="9">
        <v>195050982</v>
      </c>
      <c r="GR69" s="9">
        <v>0</v>
      </c>
      <c r="GS69" s="9">
        <v>0</v>
      </c>
      <c r="GT69" s="9">
        <v>0</v>
      </c>
      <c r="GU69" s="9">
        <v>0</v>
      </c>
      <c r="GV69" s="9">
        <v>0</v>
      </c>
      <c r="GW69" s="9">
        <v>0</v>
      </c>
      <c r="GX69" s="9">
        <v>0</v>
      </c>
      <c r="GY69" s="9">
        <v>0</v>
      </c>
      <c r="GZ69" s="9">
        <v>0</v>
      </c>
      <c r="HA69" s="9">
        <v>0</v>
      </c>
      <c r="HB69" s="9">
        <v>300501363</v>
      </c>
      <c r="HC69" s="9">
        <v>4.4742999999999998E-2</v>
      </c>
      <c r="HD69" s="9">
        <v>3563249</v>
      </c>
      <c r="HE69" s="9">
        <v>0</v>
      </c>
      <c r="HF69" s="9">
        <v>0</v>
      </c>
      <c r="HG69" s="9">
        <v>0</v>
      </c>
      <c r="HH69" s="9">
        <v>0</v>
      </c>
      <c r="HI69" s="9">
        <v>0</v>
      </c>
      <c r="HJ69" s="9">
        <v>0</v>
      </c>
      <c r="HK69" s="9">
        <v>0</v>
      </c>
      <c r="HL69" s="9">
        <v>0</v>
      </c>
      <c r="HM69" s="9">
        <v>0</v>
      </c>
      <c r="HN69" s="9">
        <v>0</v>
      </c>
      <c r="HO69" s="9">
        <v>0</v>
      </c>
      <c r="HP69" s="9">
        <v>0</v>
      </c>
      <c r="HQ69" s="9">
        <v>0</v>
      </c>
      <c r="HR69" s="9">
        <v>0</v>
      </c>
      <c r="HS69" s="9">
        <v>0</v>
      </c>
      <c r="HT69" s="9">
        <v>0</v>
      </c>
      <c r="HU69" s="9">
        <v>0</v>
      </c>
      <c r="HV69" s="9">
        <v>0</v>
      </c>
      <c r="HW69" s="9">
        <v>0</v>
      </c>
      <c r="HX69" s="9">
        <v>0</v>
      </c>
      <c r="HY69" s="9">
        <v>0</v>
      </c>
      <c r="HZ69" s="9">
        <v>0</v>
      </c>
      <c r="IA69" s="9">
        <v>0</v>
      </c>
      <c r="IB69" s="9">
        <v>0</v>
      </c>
      <c r="IC69" s="9">
        <v>0</v>
      </c>
      <c r="ID69" s="9">
        <v>0</v>
      </c>
      <c r="IE69" s="9">
        <v>0</v>
      </c>
      <c r="IF69" s="9">
        <v>0</v>
      </c>
      <c r="IG69" s="9">
        <v>0</v>
      </c>
      <c r="IH69" s="9">
        <v>0</v>
      </c>
      <c r="II69" s="9">
        <v>0</v>
      </c>
      <c r="IJ69" s="9">
        <v>0</v>
      </c>
      <c r="IK69" s="9">
        <v>0</v>
      </c>
      <c r="IL69" s="9">
        <v>0</v>
      </c>
      <c r="IM69" s="9">
        <v>0</v>
      </c>
      <c r="IN69" s="9">
        <v>0</v>
      </c>
      <c r="IO69" s="9">
        <v>0</v>
      </c>
      <c r="IP69" s="9">
        <v>0</v>
      </c>
      <c r="IQ69" s="9">
        <v>0</v>
      </c>
      <c r="IR69" s="9">
        <v>0</v>
      </c>
      <c r="IS69" s="9">
        <v>0</v>
      </c>
      <c r="IT69" s="9">
        <v>0</v>
      </c>
      <c r="IU69" s="9">
        <v>0</v>
      </c>
      <c r="IV69" s="9">
        <v>0</v>
      </c>
      <c r="IW69" s="9">
        <v>0</v>
      </c>
      <c r="IX69" s="9">
        <v>0</v>
      </c>
      <c r="IY69" s="9">
        <v>0</v>
      </c>
      <c r="IZ69" s="9">
        <v>0</v>
      </c>
      <c r="JA69" s="9">
        <v>0</v>
      </c>
      <c r="JB69" s="9">
        <v>0</v>
      </c>
      <c r="JC69" s="9">
        <v>0</v>
      </c>
      <c r="JD69" s="9">
        <v>0</v>
      </c>
      <c r="JE69" s="9">
        <v>0</v>
      </c>
      <c r="JF69" s="9">
        <v>0</v>
      </c>
      <c r="JG69" s="9">
        <v>0</v>
      </c>
      <c r="JH69" s="9">
        <v>0</v>
      </c>
      <c r="JI69" s="9">
        <v>0</v>
      </c>
      <c r="JJ69" s="9">
        <v>0</v>
      </c>
      <c r="JK69" s="9">
        <v>0</v>
      </c>
      <c r="JL69" s="9">
        <v>0</v>
      </c>
      <c r="JM69" s="9">
        <v>0</v>
      </c>
      <c r="JN69" s="9">
        <v>36832</v>
      </c>
      <c r="JO69" s="9">
        <v>0</v>
      </c>
      <c r="JP69" s="9">
        <v>0</v>
      </c>
      <c r="JQ69" s="9">
        <v>0</v>
      </c>
      <c r="JR69" s="9">
        <v>0</v>
      </c>
      <c r="JS69" s="9">
        <v>0</v>
      </c>
      <c r="JT69" s="9">
        <v>0</v>
      </c>
      <c r="JU69" s="9">
        <v>0</v>
      </c>
      <c r="JV69" s="9">
        <v>0</v>
      </c>
      <c r="JW69" s="9">
        <v>0</v>
      </c>
      <c r="JX69" s="9">
        <v>0</v>
      </c>
      <c r="JY69" s="9">
        <v>0</v>
      </c>
      <c r="JZ69" s="9">
        <v>0</v>
      </c>
      <c r="KA69" s="9">
        <v>0</v>
      </c>
      <c r="KB69" s="9">
        <v>0</v>
      </c>
      <c r="KC69" s="9">
        <v>0</v>
      </c>
      <c r="KD69" s="9">
        <v>0</v>
      </c>
      <c r="KE69" s="9">
        <v>0</v>
      </c>
      <c r="KF69" s="9">
        <v>0</v>
      </c>
      <c r="KG69" s="9">
        <v>0</v>
      </c>
      <c r="KH69" s="9">
        <v>0</v>
      </c>
      <c r="KI69" s="9">
        <v>0</v>
      </c>
    </row>
    <row r="70" spans="1:295" ht="13" x14ac:dyDescent="0.3">
      <c r="A70" s="9">
        <v>57850</v>
      </c>
      <c r="B70" s="9">
        <v>36871</v>
      </c>
      <c r="C70" s="9">
        <v>35</v>
      </c>
      <c r="D70" s="9">
        <v>2023</v>
      </c>
      <c r="E70" s="9">
        <v>5392</v>
      </c>
      <c r="F70" s="9">
        <v>0</v>
      </c>
      <c r="G70" s="9">
        <v>0</v>
      </c>
      <c r="H70" s="9">
        <v>1520.2660000000001</v>
      </c>
      <c r="I70" s="9">
        <v>1520.2660000000001</v>
      </c>
      <c r="J70" s="9">
        <v>1642.2850000000001</v>
      </c>
      <c r="K70" s="9">
        <v>0</v>
      </c>
      <c r="L70" s="9">
        <v>6547</v>
      </c>
      <c r="M70" s="9">
        <v>0</v>
      </c>
      <c r="N70" s="9">
        <v>0</v>
      </c>
      <c r="O70" s="9">
        <v>0</v>
      </c>
      <c r="P70" s="9">
        <v>1184.0320000000002</v>
      </c>
      <c r="Q70" s="9">
        <v>0</v>
      </c>
      <c r="R70" s="10">
        <v>576531</v>
      </c>
      <c r="S70" s="9">
        <v>486.92200000000003</v>
      </c>
      <c r="T70" s="9">
        <v>0</v>
      </c>
      <c r="U70" s="10">
        <v>576531</v>
      </c>
      <c r="V70" s="10">
        <v>326.60000000000002</v>
      </c>
      <c r="W70" s="10">
        <v>213825</v>
      </c>
      <c r="X70" s="10">
        <v>213825</v>
      </c>
      <c r="Y70" s="9">
        <v>0</v>
      </c>
      <c r="Z70" s="9">
        <v>0</v>
      </c>
      <c r="AA70" s="9">
        <v>1</v>
      </c>
      <c r="AB70" s="9">
        <v>1</v>
      </c>
      <c r="AC70" s="9">
        <v>0</v>
      </c>
      <c r="AD70" s="9" t="s">
        <v>314</v>
      </c>
      <c r="AE70" s="9">
        <v>0</v>
      </c>
      <c r="AF70" s="9">
        <v>0</v>
      </c>
      <c r="AG70" s="9">
        <v>0</v>
      </c>
      <c r="AH70" s="9">
        <v>0</v>
      </c>
      <c r="AI70" s="9">
        <v>0</v>
      </c>
      <c r="AJ70" s="9">
        <v>5104</v>
      </c>
      <c r="AK70" s="9" t="s">
        <v>651</v>
      </c>
      <c r="AL70" s="9" t="s">
        <v>383</v>
      </c>
      <c r="AM70" s="9">
        <v>0</v>
      </c>
      <c r="AN70" s="9">
        <v>0</v>
      </c>
      <c r="AO70" s="9">
        <v>0</v>
      </c>
      <c r="AP70" s="9">
        <v>0</v>
      </c>
      <c r="AQ70" s="9">
        <v>0</v>
      </c>
      <c r="AR70" s="9">
        <v>0</v>
      </c>
      <c r="AS70" s="9">
        <v>0</v>
      </c>
      <c r="AT70" s="9">
        <v>0</v>
      </c>
      <c r="AU70" s="9">
        <v>0</v>
      </c>
      <c r="AV70" s="9">
        <v>-72593</v>
      </c>
      <c r="AW70" s="9">
        <v>14833315</v>
      </c>
      <c r="AX70" s="9">
        <v>14374586</v>
      </c>
      <c r="AY70" s="9">
        <v>15505758</v>
      </c>
      <c r="AZ70" s="9">
        <v>745746</v>
      </c>
      <c r="BA70" s="10">
        <v>0</v>
      </c>
      <c r="BB70" s="9">
        <v>64512</v>
      </c>
      <c r="BC70" s="9">
        <v>64512</v>
      </c>
      <c r="BD70" s="9">
        <v>82.114000000000004</v>
      </c>
      <c r="BE70" s="9">
        <v>0</v>
      </c>
      <c r="BF70" s="9">
        <v>12304370</v>
      </c>
      <c r="BG70" s="9">
        <v>0</v>
      </c>
      <c r="BH70" s="10">
        <v>308.149</v>
      </c>
      <c r="BI70" s="10">
        <v>84741</v>
      </c>
      <c r="BJ70" s="9">
        <v>12</v>
      </c>
      <c r="BK70" s="9">
        <v>0</v>
      </c>
      <c r="BL70" s="9">
        <v>0</v>
      </c>
      <c r="BM70" s="9">
        <v>0</v>
      </c>
      <c r="BN70" s="9">
        <v>0</v>
      </c>
      <c r="BO70" s="9">
        <v>0</v>
      </c>
      <c r="BP70" s="9">
        <v>0</v>
      </c>
      <c r="BQ70" s="9">
        <v>5392</v>
      </c>
      <c r="BR70" s="9">
        <v>1</v>
      </c>
      <c r="BS70" s="9">
        <v>0</v>
      </c>
      <c r="BT70" s="9">
        <v>0</v>
      </c>
      <c r="BU70" s="9">
        <v>0</v>
      </c>
      <c r="BV70" s="9">
        <v>0</v>
      </c>
      <c r="BW70" s="9">
        <v>0</v>
      </c>
      <c r="BX70" s="9">
        <v>0</v>
      </c>
      <c r="BY70" s="9">
        <v>0</v>
      </c>
      <c r="BZ70" s="9">
        <v>0</v>
      </c>
      <c r="CA70" s="9">
        <v>84.474000000000004</v>
      </c>
      <c r="CB70" s="9">
        <v>84474</v>
      </c>
      <c r="CC70" s="9">
        <v>0</v>
      </c>
      <c r="CD70" s="9">
        <v>0</v>
      </c>
      <c r="CE70" s="9">
        <v>0</v>
      </c>
      <c r="CF70" s="9">
        <v>0</v>
      </c>
      <c r="CG70" s="9">
        <v>0</v>
      </c>
      <c r="CH70" s="10">
        <v>289514</v>
      </c>
      <c r="CI70" s="9">
        <v>0</v>
      </c>
      <c r="CJ70" s="9">
        <v>4</v>
      </c>
      <c r="CK70" s="9">
        <v>0</v>
      </c>
      <c r="CL70" s="9">
        <v>0</v>
      </c>
      <c r="CM70" s="9">
        <v>0</v>
      </c>
      <c r="CN70" s="9">
        <v>0</v>
      </c>
      <c r="CO70" s="9">
        <v>0</v>
      </c>
      <c r="CP70" s="9">
        <v>0</v>
      </c>
      <c r="CQ70" s="9">
        <v>0</v>
      </c>
      <c r="CR70" s="9">
        <v>1175.751</v>
      </c>
      <c r="CS70" s="9">
        <v>0</v>
      </c>
      <c r="CT70" s="9">
        <v>0</v>
      </c>
      <c r="CU70" s="9">
        <v>0</v>
      </c>
      <c r="CV70" s="9">
        <v>0</v>
      </c>
      <c r="CW70" s="9">
        <v>0</v>
      </c>
      <c r="CX70" s="9">
        <v>0</v>
      </c>
      <c r="CY70" s="9">
        <v>0</v>
      </c>
      <c r="CZ70" s="9">
        <v>0</v>
      </c>
      <c r="DA70" s="9">
        <v>1</v>
      </c>
      <c r="DB70" s="9">
        <v>9953182</v>
      </c>
      <c r="DC70" s="9">
        <v>0</v>
      </c>
      <c r="DD70" s="9">
        <v>0</v>
      </c>
      <c r="DE70" s="9">
        <v>781489</v>
      </c>
      <c r="DF70" s="9">
        <v>781489</v>
      </c>
      <c r="DG70" s="9">
        <v>596.83000000000004</v>
      </c>
      <c r="DH70" s="9">
        <v>0</v>
      </c>
      <c r="DI70" s="9">
        <v>0</v>
      </c>
      <c r="DJ70" s="9">
        <v>0</v>
      </c>
      <c r="DK70" s="9">
        <v>5392</v>
      </c>
      <c r="DL70" s="9">
        <v>0</v>
      </c>
      <c r="DM70" s="9">
        <v>595828</v>
      </c>
      <c r="DN70" s="9">
        <v>0</v>
      </c>
      <c r="DO70" s="9">
        <v>0</v>
      </c>
      <c r="DP70" s="9">
        <v>0</v>
      </c>
      <c r="DQ70" s="9">
        <v>0</v>
      </c>
      <c r="DR70" s="9">
        <v>0</v>
      </c>
      <c r="DS70" s="9">
        <v>0</v>
      </c>
      <c r="DT70" s="9">
        <v>0</v>
      </c>
      <c r="DU70" s="9">
        <v>0</v>
      </c>
      <c r="DV70" s="9">
        <v>0</v>
      </c>
      <c r="DW70" s="9">
        <v>0</v>
      </c>
      <c r="DX70" s="9">
        <v>0</v>
      </c>
      <c r="DY70" s="9">
        <v>0</v>
      </c>
      <c r="DZ70" s="9">
        <v>0</v>
      </c>
      <c r="EA70" s="9">
        <v>0</v>
      </c>
      <c r="EB70" s="9">
        <v>0</v>
      </c>
      <c r="EC70" s="9">
        <v>65.798000000000002</v>
      </c>
      <c r="ED70" s="9">
        <v>473857</v>
      </c>
      <c r="EE70" s="9">
        <v>0</v>
      </c>
      <c r="EF70" s="9">
        <v>0</v>
      </c>
      <c r="EG70" s="9">
        <v>0</v>
      </c>
      <c r="EH70" s="9">
        <v>121971</v>
      </c>
      <c r="EI70" s="9">
        <v>0</v>
      </c>
      <c r="EJ70" s="9">
        <v>0</v>
      </c>
      <c r="EK70" s="9">
        <v>2.79</v>
      </c>
      <c r="EL70" s="9">
        <v>0</v>
      </c>
      <c r="EM70" s="9">
        <v>0.61499999999999999</v>
      </c>
      <c r="EN70" s="9">
        <v>1.6830000000000001</v>
      </c>
      <c r="EO70" s="9">
        <v>0</v>
      </c>
      <c r="EP70" s="9">
        <v>0</v>
      </c>
      <c r="EQ70" s="9">
        <v>5.0880000000000001</v>
      </c>
      <c r="ER70" s="9">
        <v>0</v>
      </c>
      <c r="ES70" s="9">
        <v>18.63</v>
      </c>
      <c r="ET70" s="10">
        <v>0</v>
      </c>
      <c r="EU70" s="9">
        <v>745746</v>
      </c>
      <c r="EV70" s="9">
        <v>0</v>
      </c>
      <c r="EW70" s="9">
        <v>0</v>
      </c>
      <c r="EX70" s="9">
        <v>0</v>
      </c>
      <c r="EY70" s="9">
        <v>0</v>
      </c>
      <c r="EZ70" s="9">
        <v>12065794</v>
      </c>
      <c r="FA70" s="9">
        <v>0</v>
      </c>
      <c r="FB70" s="10">
        <v>12811540</v>
      </c>
      <c r="FC70" s="9">
        <v>0.97326799999999991</v>
      </c>
      <c r="FD70" s="9">
        <v>0</v>
      </c>
      <c r="FE70" s="9">
        <v>1903453</v>
      </c>
      <c r="FF70" s="9">
        <v>405339</v>
      </c>
      <c r="FG70" s="9">
        <v>5.8088000000000001E-2</v>
      </c>
      <c r="FH70" s="9">
        <v>5.2622999999999996E-2</v>
      </c>
      <c r="FI70" s="9">
        <v>0</v>
      </c>
      <c r="FJ70" s="9">
        <v>0</v>
      </c>
      <c r="FK70" s="9">
        <v>2410.8620000000001</v>
      </c>
      <c r="FL70" s="9">
        <v>15409846</v>
      </c>
      <c r="FM70" s="9">
        <v>0</v>
      </c>
      <c r="FN70" s="9">
        <v>0</v>
      </c>
      <c r="FO70" s="9">
        <v>0</v>
      </c>
      <c r="FP70" s="9">
        <v>0</v>
      </c>
      <c r="FQ70" s="9">
        <v>0</v>
      </c>
      <c r="FR70" s="9">
        <v>0</v>
      </c>
      <c r="FS70" s="9">
        <v>0</v>
      </c>
      <c r="FT70" s="9">
        <v>0</v>
      </c>
      <c r="FU70" s="9">
        <v>0</v>
      </c>
      <c r="FV70" s="9">
        <v>0</v>
      </c>
      <c r="FW70" s="9">
        <v>0</v>
      </c>
      <c r="FX70" s="9">
        <v>0</v>
      </c>
      <c r="FY70" s="9">
        <v>0</v>
      </c>
      <c r="FZ70" s="9">
        <v>0</v>
      </c>
      <c r="GA70" s="9">
        <v>0</v>
      </c>
      <c r="GB70" s="10">
        <v>1033489</v>
      </c>
      <c r="GC70" s="10">
        <v>1033489</v>
      </c>
      <c r="GD70" s="10">
        <v>116.93100000000001</v>
      </c>
      <c r="GE70" s="9">
        <v>0</v>
      </c>
      <c r="GF70" s="9">
        <v>0</v>
      </c>
      <c r="GG70" s="9">
        <v>0</v>
      </c>
      <c r="GH70" s="9">
        <v>0</v>
      </c>
      <c r="GI70" s="9">
        <v>0</v>
      </c>
      <c r="GJ70" s="9">
        <v>0</v>
      </c>
      <c r="GK70" s="9">
        <v>0</v>
      </c>
      <c r="GL70" s="9">
        <v>0</v>
      </c>
      <c r="GM70" s="9">
        <v>0</v>
      </c>
      <c r="GN70" s="9">
        <v>0</v>
      </c>
      <c r="GO70" s="9">
        <v>0</v>
      </c>
      <c r="GP70" s="9">
        <v>15120332</v>
      </c>
      <c r="GQ70" s="9">
        <v>15120332</v>
      </c>
      <c r="GR70" s="9">
        <v>0</v>
      </c>
      <c r="GS70" s="9">
        <v>0</v>
      </c>
      <c r="GT70" s="9">
        <v>0</v>
      </c>
      <c r="GU70" s="9">
        <v>0</v>
      </c>
      <c r="GV70" s="9">
        <v>0</v>
      </c>
      <c r="GW70" s="9">
        <v>0</v>
      </c>
      <c r="GX70" s="9">
        <v>0</v>
      </c>
      <c r="GY70" s="9">
        <v>0</v>
      </c>
      <c r="GZ70" s="9">
        <v>0</v>
      </c>
      <c r="HA70" s="9">
        <v>0</v>
      </c>
      <c r="HB70" s="9">
        <v>300501363</v>
      </c>
      <c r="HC70" s="9">
        <v>4.4742999999999998E-2</v>
      </c>
      <c r="HD70" s="10">
        <v>289514</v>
      </c>
      <c r="HE70" s="9">
        <v>0</v>
      </c>
      <c r="HF70" s="9">
        <v>0</v>
      </c>
      <c r="HG70" s="9">
        <v>0</v>
      </c>
      <c r="HH70" s="9">
        <v>0</v>
      </c>
      <c r="HI70" s="9">
        <v>0</v>
      </c>
      <c r="HJ70" s="9">
        <v>0</v>
      </c>
      <c r="HK70" s="9">
        <v>0</v>
      </c>
      <c r="HL70" s="9">
        <v>0</v>
      </c>
      <c r="HM70" s="9">
        <v>0</v>
      </c>
      <c r="HN70" s="9">
        <v>0</v>
      </c>
      <c r="HO70" s="9">
        <v>0</v>
      </c>
      <c r="HP70" s="9">
        <v>0</v>
      </c>
      <c r="HQ70" s="9">
        <v>0</v>
      </c>
      <c r="HR70" s="9">
        <v>0</v>
      </c>
      <c r="HS70" s="9">
        <v>0</v>
      </c>
      <c r="HT70" s="9">
        <v>0</v>
      </c>
      <c r="HU70" s="9">
        <v>0</v>
      </c>
      <c r="HV70" s="9">
        <v>0</v>
      </c>
      <c r="HW70" s="9">
        <v>0</v>
      </c>
      <c r="HX70" s="9">
        <v>0</v>
      </c>
      <c r="HY70" s="9">
        <v>0</v>
      </c>
      <c r="HZ70" s="9">
        <v>0</v>
      </c>
      <c r="IA70" s="9">
        <v>0</v>
      </c>
      <c r="IB70" s="9">
        <v>0</v>
      </c>
      <c r="IC70" s="9">
        <v>0</v>
      </c>
      <c r="ID70" s="9">
        <v>0</v>
      </c>
      <c r="IE70" s="9">
        <v>0</v>
      </c>
      <c r="IF70" s="9">
        <v>0</v>
      </c>
      <c r="IG70" s="9">
        <v>0</v>
      </c>
      <c r="IH70" s="9">
        <v>0</v>
      </c>
      <c r="II70" s="9">
        <v>0</v>
      </c>
      <c r="IJ70" s="9">
        <v>0</v>
      </c>
      <c r="IK70" s="9">
        <v>0</v>
      </c>
      <c r="IL70" s="9">
        <v>0</v>
      </c>
      <c r="IM70" s="9">
        <v>0</v>
      </c>
      <c r="IN70" s="9">
        <v>0</v>
      </c>
      <c r="IO70" s="9">
        <v>0</v>
      </c>
      <c r="IP70" s="9">
        <v>0</v>
      </c>
      <c r="IQ70" s="9">
        <v>0</v>
      </c>
      <c r="IR70" s="9">
        <v>0</v>
      </c>
      <c r="IS70" s="9">
        <v>0</v>
      </c>
      <c r="IT70" s="9">
        <v>0</v>
      </c>
      <c r="IU70" s="9">
        <v>0</v>
      </c>
      <c r="IV70" s="9">
        <v>0</v>
      </c>
      <c r="IW70" s="9">
        <v>0</v>
      </c>
      <c r="IX70" s="9">
        <v>0</v>
      </c>
      <c r="IY70" s="9">
        <v>0</v>
      </c>
      <c r="IZ70" s="9">
        <v>0</v>
      </c>
      <c r="JA70" s="9">
        <v>0</v>
      </c>
      <c r="JB70" s="9">
        <v>0</v>
      </c>
      <c r="JC70" s="9">
        <v>0</v>
      </c>
      <c r="JD70" s="9">
        <v>0</v>
      </c>
      <c r="JE70" s="9">
        <v>0</v>
      </c>
      <c r="JF70" s="9">
        <v>0</v>
      </c>
      <c r="JG70" s="9">
        <v>0</v>
      </c>
      <c r="JH70" s="9">
        <v>0</v>
      </c>
      <c r="JI70" s="9">
        <v>0</v>
      </c>
      <c r="JJ70" s="9">
        <v>0</v>
      </c>
      <c r="JK70" s="9">
        <v>0</v>
      </c>
      <c r="JL70" s="9">
        <v>0</v>
      </c>
      <c r="JM70" s="9">
        <v>0</v>
      </c>
      <c r="JN70" s="9">
        <v>36832</v>
      </c>
      <c r="JO70" s="9">
        <v>0</v>
      </c>
      <c r="JP70" s="9">
        <v>0</v>
      </c>
      <c r="JQ70" s="9">
        <v>0</v>
      </c>
      <c r="JR70" s="9">
        <v>0</v>
      </c>
      <c r="JS70" s="9">
        <v>0</v>
      </c>
      <c r="JT70" s="9">
        <v>0</v>
      </c>
      <c r="JU70" s="9">
        <v>0</v>
      </c>
      <c r="JV70" s="9">
        <v>0</v>
      </c>
      <c r="JW70" s="9">
        <v>0</v>
      </c>
      <c r="JX70" s="9">
        <v>0</v>
      </c>
      <c r="JY70" s="9">
        <v>0</v>
      </c>
      <c r="JZ70" s="9">
        <v>0</v>
      </c>
      <c r="KA70" s="9">
        <v>0</v>
      </c>
      <c r="KB70" s="9">
        <v>0</v>
      </c>
      <c r="KC70" s="9">
        <v>0</v>
      </c>
      <c r="KD70" s="9">
        <v>0</v>
      </c>
      <c r="KE70" s="9">
        <v>0</v>
      </c>
      <c r="KF70" s="9">
        <v>0</v>
      </c>
      <c r="KG70" s="9">
        <v>0</v>
      </c>
      <c r="KH70" s="9">
        <v>0</v>
      </c>
      <c r="KI70" s="9">
        <v>0</v>
      </c>
    </row>
    <row r="71" spans="1:295" ht="13" x14ac:dyDescent="0.3">
      <c r="A71" s="9">
        <v>57851</v>
      </c>
      <c r="B71" s="9">
        <v>36871</v>
      </c>
      <c r="C71" s="9">
        <v>35</v>
      </c>
      <c r="D71" s="9">
        <v>2023</v>
      </c>
      <c r="E71" s="9">
        <v>5392</v>
      </c>
      <c r="F71" s="9">
        <v>0</v>
      </c>
      <c r="G71" s="9">
        <v>0</v>
      </c>
      <c r="H71" s="9">
        <v>65.192999999999998</v>
      </c>
      <c r="I71" s="9">
        <v>65.192999999999998</v>
      </c>
      <c r="J71" s="9">
        <v>71.481999999999999</v>
      </c>
      <c r="K71" s="9">
        <v>0</v>
      </c>
      <c r="L71" s="9">
        <v>6547</v>
      </c>
      <c r="M71" s="9">
        <v>0</v>
      </c>
      <c r="N71" s="9">
        <v>0</v>
      </c>
      <c r="O71" s="9">
        <v>0</v>
      </c>
      <c r="P71" s="9">
        <v>52.789000000000001</v>
      </c>
      <c r="Q71" s="9">
        <v>0</v>
      </c>
      <c r="R71" s="10">
        <v>25704</v>
      </c>
      <c r="S71" s="9">
        <v>486.92200000000003</v>
      </c>
      <c r="T71" s="9">
        <v>0</v>
      </c>
      <c r="U71" s="10">
        <v>25704</v>
      </c>
      <c r="V71" s="10">
        <v>18.102</v>
      </c>
      <c r="W71" s="10">
        <v>11851</v>
      </c>
      <c r="X71" s="10">
        <v>11851</v>
      </c>
      <c r="Y71" s="9">
        <v>0</v>
      </c>
      <c r="Z71" s="9">
        <v>0</v>
      </c>
      <c r="AA71" s="9">
        <v>1</v>
      </c>
      <c r="AB71" s="9">
        <v>1</v>
      </c>
      <c r="AC71" s="9">
        <v>0</v>
      </c>
      <c r="AD71" s="9" t="s">
        <v>314</v>
      </c>
      <c r="AE71" s="9">
        <v>0</v>
      </c>
      <c r="AF71" s="9">
        <v>0</v>
      </c>
      <c r="AG71" s="9">
        <v>0</v>
      </c>
      <c r="AH71" s="9">
        <v>0</v>
      </c>
      <c r="AI71" s="9">
        <v>0</v>
      </c>
      <c r="AJ71" s="9">
        <v>5104</v>
      </c>
      <c r="AK71" s="9" t="s">
        <v>651</v>
      </c>
      <c r="AL71" s="9" t="s">
        <v>436</v>
      </c>
      <c r="AM71" s="9">
        <v>0</v>
      </c>
      <c r="AN71" s="9">
        <v>0</v>
      </c>
      <c r="AO71" s="9">
        <v>0</v>
      </c>
      <c r="AP71" s="9">
        <v>0</v>
      </c>
      <c r="AQ71" s="9">
        <v>0</v>
      </c>
      <c r="AR71" s="9">
        <v>0</v>
      </c>
      <c r="AS71" s="9">
        <v>0</v>
      </c>
      <c r="AT71" s="9">
        <v>0</v>
      </c>
      <c r="AU71" s="9">
        <v>0</v>
      </c>
      <c r="AV71" s="9">
        <v>1837</v>
      </c>
      <c r="AW71" s="9">
        <v>654835</v>
      </c>
      <c r="AX71" s="9">
        <v>654835</v>
      </c>
      <c r="AY71" s="9">
        <v>819424</v>
      </c>
      <c r="AZ71" s="9">
        <v>25704</v>
      </c>
      <c r="BA71" s="10">
        <v>0</v>
      </c>
      <c r="BB71" s="9">
        <v>0</v>
      </c>
      <c r="BC71" s="9">
        <v>0</v>
      </c>
      <c r="BD71" s="9">
        <v>0</v>
      </c>
      <c r="BE71" s="9">
        <v>0</v>
      </c>
      <c r="BF71" s="9">
        <v>560065</v>
      </c>
      <c r="BG71" s="9">
        <v>0</v>
      </c>
      <c r="BH71" s="10">
        <v>0</v>
      </c>
      <c r="BI71" s="10">
        <v>0</v>
      </c>
      <c r="BJ71" s="9">
        <v>12</v>
      </c>
      <c r="BK71" s="9">
        <v>0</v>
      </c>
      <c r="BL71" s="9">
        <v>0</v>
      </c>
      <c r="BM71" s="9">
        <v>0</v>
      </c>
      <c r="BN71" s="9">
        <v>0</v>
      </c>
      <c r="BO71" s="9">
        <v>0</v>
      </c>
      <c r="BP71" s="9">
        <v>0</v>
      </c>
      <c r="BQ71" s="9">
        <v>5392</v>
      </c>
      <c r="BR71" s="9">
        <v>1</v>
      </c>
      <c r="BS71" s="9">
        <v>0</v>
      </c>
      <c r="BT71" s="9">
        <v>0</v>
      </c>
      <c r="BU71" s="9">
        <v>0</v>
      </c>
      <c r="BV71" s="9">
        <v>0</v>
      </c>
      <c r="BW71" s="9">
        <v>0</v>
      </c>
      <c r="BX71" s="9">
        <v>0</v>
      </c>
      <c r="BY71" s="9">
        <v>0</v>
      </c>
      <c r="BZ71" s="9">
        <v>0</v>
      </c>
      <c r="CA71" s="9">
        <v>0</v>
      </c>
      <c r="CB71" s="9">
        <v>0</v>
      </c>
      <c r="CC71" s="9">
        <v>0</v>
      </c>
      <c r="CD71" s="9">
        <v>0</v>
      </c>
      <c r="CE71" s="9">
        <v>0</v>
      </c>
      <c r="CF71" s="9">
        <v>0</v>
      </c>
      <c r="CG71" s="9">
        <v>0</v>
      </c>
      <c r="CH71" s="10">
        <v>0</v>
      </c>
      <c r="CI71" s="9">
        <v>0</v>
      </c>
      <c r="CJ71" s="9">
        <v>4</v>
      </c>
      <c r="CK71" s="9">
        <v>0</v>
      </c>
      <c r="CL71" s="9">
        <v>0</v>
      </c>
      <c r="CM71" s="9">
        <v>0</v>
      </c>
      <c r="CN71" s="9">
        <v>0</v>
      </c>
      <c r="CO71" s="9">
        <v>0</v>
      </c>
      <c r="CP71" s="9">
        <v>0</v>
      </c>
      <c r="CQ71" s="9">
        <v>0</v>
      </c>
      <c r="CR71" s="9">
        <v>52.789000000000001</v>
      </c>
      <c r="CS71" s="9">
        <v>0</v>
      </c>
      <c r="CT71" s="9">
        <v>0</v>
      </c>
      <c r="CU71" s="9">
        <v>0</v>
      </c>
      <c r="CV71" s="9">
        <v>0</v>
      </c>
      <c r="CW71" s="9">
        <v>0</v>
      </c>
      <c r="CX71" s="9">
        <v>0</v>
      </c>
      <c r="CY71" s="9">
        <v>0</v>
      </c>
      <c r="CZ71" s="9">
        <v>0</v>
      </c>
      <c r="DA71" s="9">
        <v>1</v>
      </c>
      <c r="DB71" s="9">
        <v>426819</v>
      </c>
      <c r="DC71" s="9">
        <v>0</v>
      </c>
      <c r="DD71" s="9">
        <v>0</v>
      </c>
      <c r="DE71" s="9">
        <v>0</v>
      </c>
      <c r="DF71" s="9">
        <v>0</v>
      </c>
      <c r="DG71" s="9">
        <v>0</v>
      </c>
      <c r="DH71" s="9">
        <v>0</v>
      </c>
      <c r="DI71" s="9">
        <v>0</v>
      </c>
      <c r="DJ71" s="9">
        <v>0</v>
      </c>
      <c r="DK71" s="9">
        <v>5392</v>
      </c>
      <c r="DL71" s="9">
        <v>0</v>
      </c>
      <c r="DM71" s="9">
        <v>136778</v>
      </c>
      <c r="DN71" s="9">
        <v>0</v>
      </c>
      <c r="DO71" s="9">
        <v>0</v>
      </c>
      <c r="DP71" s="9">
        <v>0</v>
      </c>
      <c r="DQ71" s="9">
        <v>0</v>
      </c>
      <c r="DR71" s="9">
        <v>0</v>
      </c>
      <c r="DS71" s="9">
        <v>0</v>
      </c>
      <c r="DT71" s="9">
        <v>0</v>
      </c>
      <c r="DU71" s="9">
        <v>0</v>
      </c>
      <c r="DV71" s="9">
        <v>0</v>
      </c>
      <c r="DW71" s="9">
        <v>0</v>
      </c>
      <c r="DX71" s="9">
        <v>0</v>
      </c>
      <c r="DY71" s="9">
        <v>0</v>
      </c>
      <c r="DZ71" s="9">
        <v>0</v>
      </c>
      <c r="EA71" s="9">
        <v>0</v>
      </c>
      <c r="EB71" s="9">
        <v>0</v>
      </c>
      <c r="EC71" s="9">
        <v>0.96800000000000008</v>
      </c>
      <c r="ED71" s="9">
        <v>6971</v>
      </c>
      <c r="EE71" s="9">
        <v>0</v>
      </c>
      <c r="EF71" s="9">
        <v>0</v>
      </c>
      <c r="EG71" s="9">
        <v>0</v>
      </c>
      <c r="EH71" s="9">
        <v>129807</v>
      </c>
      <c r="EI71" s="9">
        <v>0</v>
      </c>
      <c r="EJ71" s="9">
        <v>0</v>
      </c>
      <c r="EK71" s="9">
        <v>5.8090000000000002</v>
      </c>
      <c r="EL71" s="9">
        <v>0</v>
      </c>
      <c r="EM71" s="9">
        <v>0</v>
      </c>
      <c r="EN71" s="9">
        <v>0.48</v>
      </c>
      <c r="EO71" s="9">
        <v>0</v>
      </c>
      <c r="EP71" s="9">
        <v>0</v>
      </c>
      <c r="EQ71" s="9">
        <v>6.2890000000000006</v>
      </c>
      <c r="ER71" s="9">
        <v>0</v>
      </c>
      <c r="ES71" s="9">
        <v>19.827000000000002</v>
      </c>
      <c r="ET71" s="10">
        <v>0</v>
      </c>
      <c r="EU71" s="9">
        <v>25704</v>
      </c>
      <c r="EV71" s="9">
        <v>0</v>
      </c>
      <c r="EW71" s="9">
        <v>0</v>
      </c>
      <c r="EX71" s="9">
        <v>0</v>
      </c>
      <c r="EY71" s="9">
        <v>0</v>
      </c>
      <c r="EZ71" s="9">
        <v>549744</v>
      </c>
      <c r="FA71" s="9">
        <v>0</v>
      </c>
      <c r="FB71" s="10">
        <v>575448</v>
      </c>
      <c r="FC71" s="9">
        <v>0.97326799999999991</v>
      </c>
      <c r="FD71" s="9">
        <v>0</v>
      </c>
      <c r="FE71" s="9">
        <v>86641</v>
      </c>
      <c r="FF71" s="9">
        <v>18450</v>
      </c>
      <c r="FG71" s="9">
        <v>5.8088000000000001E-2</v>
      </c>
      <c r="FH71" s="9">
        <v>5.2622999999999996E-2</v>
      </c>
      <c r="FI71" s="9">
        <v>0</v>
      </c>
      <c r="FJ71" s="9">
        <v>0</v>
      </c>
      <c r="FK71" s="9">
        <v>109.73700000000001</v>
      </c>
      <c r="FL71" s="9">
        <v>680539</v>
      </c>
      <c r="FM71" s="9">
        <v>0</v>
      </c>
      <c r="FN71" s="9">
        <v>0</v>
      </c>
      <c r="FO71" s="9">
        <v>0</v>
      </c>
      <c r="FP71" s="9">
        <v>0</v>
      </c>
      <c r="FQ71" s="9">
        <v>0</v>
      </c>
      <c r="FR71" s="9">
        <v>0</v>
      </c>
      <c r="FS71" s="9">
        <v>0</v>
      </c>
      <c r="FT71" s="9">
        <v>0</v>
      </c>
      <c r="FU71" s="9">
        <v>0</v>
      </c>
      <c r="FV71" s="9">
        <v>0</v>
      </c>
      <c r="FW71" s="9">
        <v>0</v>
      </c>
      <c r="FX71" s="9">
        <v>0</v>
      </c>
      <c r="FY71" s="9">
        <v>0</v>
      </c>
      <c r="FZ71" s="9">
        <v>0</v>
      </c>
      <c r="GA71" s="9">
        <v>0</v>
      </c>
      <c r="GB71" s="10">
        <v>0</v>
      </c>
      <c r="GC71" s="10">
        <v>0</v>
      </c>
      <c r="GD71" s="10">
        <v>0</v>
      </c>
      <c r="GE71" s="9">
        <v>0</v>
      </c>
      <c r="GF71" s="9">
        <v>0</v>
      </c>
      <c r="GG71" s="9">
        <v>0</v>
      </c>
      <c r="GH71" s="9">
        <v>0</v>
      </c>
      <c r="GI71" s="9">
        <v>0</v>
      </c>
      <c r="GJ71" s="9">
        <v>0</v>
      </c>
      <c r="GK71" s="9">
        <v>0</v>
      </c>
      <c r="GL71" s="9">
        <v>0</v>
      </c>
      <c r="GM71" s="9">
        <v>0</v>
      </c>
      <c r="GN71" s="9">
        <v>0</v>
      </c>
      <c r="GO71" s="9">
        <v>0</v>
      </c>
      <c r="GP71" s="9">
        <v>680539</v>
      </c>
      <c r="GQ71" s="9">
        <v>680539</v>
      </c>
      <c r="GR71" s="9">
        <v>0</v>
      </c>
      <c r="GS71" s="9">
        <v>0</v>
      </c>
      <c r="GT71" s="9">
        <v>0</v>
      </c>
      <c r="GU71" s="9">
        <v>0</v>
      </c>
      <c r="GV71" s="9">
        <v>0</v>
      </c>
      <c r="GW71" s="9">
        <v>0</v>
      </c>
      <c r="GX71" s="9">
        <v>0</v>
      </c>
      <c r="GY71" s="9">
        <v>0</v>
      </c>
      <c r="GZ71" s="9">
        <v>0</v>
      </c>
      <c r="HA71" s="9">
        <v>0</v>
      </c>
      <c r="HB71" s="9">
        <v>0</v>
      </c>
      <c r="HC71" s="9">
        <v>0</v>
      </c>
      <c r="HD71" s="10">
        <v>0</v>
      </c>
      <c r="HE71" s="9">
        <v>0</v>
      </c>
      <c r="HF71" s="9">
        <v>0</v>
      </c>
      <c r="HG71" s="9">
        <v>0</v>
      </c>
      <c r="HH71" s="9">
        <v>0</v>
      </c>
      <c r="HI71" s="9">
        <v>0</v>
      </c>
      <c r="HJ71" s="9">
        <v>0</v>
      </c>
      <c r="HK71" s="9">
        <v>0</v>
      </c>
      <c r="HL71" s="9">
        <v>0</v>
      </c>
      <c r="HM71" s="9">
        <v>0</v>
      </c>
      <c r="HN71" s="9">
        <v>0</v>
      </c>
      <c r="HO71" s="9">
        <v>0</v>
      </c>
      <c r="HP71" s="9">
        <v>0</v>
      </c>
      <c r="HQ71" s="9">
        <v>0</v>
      </c>
      <c r="HR71" s="9">
        <v>0</v>
      </c>
      <c r="HS71" s="9">
        <v>0</v>
      </c>
      <c r="HT71" s="9">
        <v>0</v>
      </c>
      <c r="HU71" s="9">
        <v>0</v>
      </c>
      <c r="HV71" s="9">
        <v>0</v>
      </c>
      <c r="HW71" s="9">
        <v>0</v>
      </c>
      <c r="HX71" s="9">
        <v>0</v>
      </c>
      <c r="HY71" s="9">
        <v>0</v>
      </c>
      <c r="HZ71" s="9">
        <v>0</v>
      </c>
      <c r="IA71" s="9">
        <v>0</v>
      </c>
      <c r="IB71" s="9">
        <v>0</v>
      </c>
      <c r="IC71" s="9">
        <v>0</v>
      </c>
      <c r="ID71" s="9">
        <v>0</v>
      </c>
      <c r="IE71" s="9">
        <v>0</v>
      </c>
      <c r="IF71" s="9">
        <v>0</v>
      </c>
      <c r="IG71" s="9">
        <v>0</v>
      </c>
      <c r="IH71" s="9">
        <v>0</v>
      </c>
      <c r="II71" s="9">
        <v>0</v>
      </c>
      <c r="IJ71" s="9">
        <v>0</v>
      </c>
      <c r="IK71" s="9">
        <v>0</v>
      </c>
      <c r="IL71" s="9">
        <v>0</v>
      </c>
      <c r="IM71" s="9">
        <v>0</v>
      </c>
      <c r="IN71" s="9">
        <v>0</v>
      </c>
      <c r="IO71" s="9">
        <v>0</v>
      </c>
      <c r="IP71" s="9">
        <v>0</v>
      </c>
      <c r="IQ71" s="9">
        <v>0</v>
      </c>
      <c r="IR71" s="9">
        <v>0</v>
      </c>
      <c r="IS71" s="9">
        <v>0</v>
      </c>
      <c r="IT71" s="9">
        <v>0</v>
      </c>
      <c r="IU71" s="9">
        <v>0</v>
      </c>
      <c r="IV71" s="9">
        <v>0</v>
      </c>
      <c r="IW71" s="9">
        <v>0</v>
      </c>
      <c r="IX71" s="9">
        <v>0</v>
      </c>
      <c r="IY71" s="9">
        <v>0</v>
      </c>
      <c r="IZ71" s="9">
        <v>0</v>
      </c>
      <c r="JA71" s="9">
        <v>0</v>
      </c>
      <c r="JB71" s="9">
        <v>0</v>
      </c>
      <c r="JC71" s="9">
        <v>0</v>
      </c>
      <c r="JD71" s="9">
        <v>0</v>
      </c>
      <c r="JE71" s="9">
        <v>0</v>
      </c>
      <c r="JF71" s="9">
        <v>0</v>
      </c>
      <c r="JG71" s="9">
        <v>0</v>
      </c>
      <c r="JH71" s="9">
        <v>0</v>
      </c>
      <c r="JI71" s="9">
        <v>0</v>
      </c>
      <c r="JJ71" s="9">
        <v>0</v>
      </c>
      <c r="JK71" s="9">
        <v>0</v>
      </c>
      <c r="JL71" s="9">
        <v>0</v>
      </c>
      <c r="JM71" s="9">
        <v>0</v>
      </c>
      <c r="JN71" s="9">
        <v>36832</v>
      </c>
      <c r="JO71" s="9">
        <v>0</v>
      </c>
      <c r="JP71" s="9">
        <v>0</v>
      </c>
      <c r="JQ71" s="9">
        <v>0</v>
      </c>
      <c r="JR71" s="9">
        <v>0</v>
      </c>
      <c r="JS71" s="9">
        <v>0</v>
      </c>
      <c r="JT71" s="9">
        <v>0</v>
      </c>
      <c r="JU71" s="9">
        <v>0</v>
      </c>
      <c r="JV71" s="9">
        <v>0</v>
      </c>
      <c r="JW71" s="9">
        <v>0</v>
      </c>
      <c r="JX71" s="9">
        <v>0</v>
      </c>
      <c r="JY71" s="9">
        <v>0</v>
      </c>
      <c r="JZ71" s="9">
        <v>0</v>
      </c>
      <c r="KA71" s="9">
        <v>0</v>
      </c>
      <c r="KB71" s="9">
        <v>0</v>
      </c>
      <c r="KC71" s="9">
        <v>0</v>
      </c>
      <c r="KD71" s="9">
        <v>0</v>
      </c>
      <c r="KE71" s="9">
        <v>0</v>
      </c>
      <c r="KF71" s="9">
        <v>0</v>
      </c>
      <c r="KG71" s="9">
        <v>0</v>
      </c>
      <c r="KH71" s="9">
        <v>0</v>
      </c>
      <c r="KI71" s="9">
        <v>0</v>
      </c>
    </row>
    <row r="72" spans="1:295" ht="13" x14ac:dyDescent="0.3">
      <c r="A72" s="9">
        <v>61802</v>
      </c>
      <c r="B72" s="9">
        <v>36871</v>
      </c>
      <c r="C72" s="9">
        <v>35</v>
      </c>
      <c r="D72" s="9">
        <v>2023</v>
      </c>
      <c r="E72" s="9">
        <v>5392</v>
      </c>
      <c r="F72" s="9">
        <v>0</v>
      </c>
      <c r="G72" s="9">
        <v>0</v>
      </c>
      <c r="H72" s="9">
        <v>529.31400000000008</v>
      </c>
      <c r="I72" s="9">
        <v>529.31400000000008</v>
      </c>
      <c r="J72" s="9">
        <v>547.85800000000006</v>
      </c>
      <c r="K72" s="9">
        <v>0</v>
      </c>
      <c r="L72" s="9">
        <v>6547</v>
      </c>
      <c r="M72" s="9">
        <v>0</v>
      </c>
      <c r="N72" s="9">
        <v>0</v>
      </c>
      <c r="O72" s="9">
        <v>0</v>
      </c>
      <c r="P72" s="9">
        <v>548.35500000000002</v>
      </c>
      <c r="Q72" s="9">
        <v>0</v>
      </c>
      <c r="R72" s="10">
        <v>267006</v>
      </c>
      <c r="S72" s="9">
        <v>486.92200000000003</v>
      </c>
      <c r="T72" s="9">
        <v>0</v>
      </c>
      <c r="U72" s="10">
        <v>267006</v>
      </c>
      <c r="V72" s="10">
        <v>219.65300000000002</v>
      </c>
      <c r="W72" s="10">
        <v>143807</v>
      </c>
      <c r="X72" s="10">
        <v>143807</v>
      </c>
      <c r="Y72" s="9">
        <v>0</v>
      </c>
      <c r="Z72" s="9">
        <v>0</v>
      </c>
      <c r="AA72" s="9">
        <v>1</v>
      </c>
      <c r="AB72" s="9">
        <v>1</v>
      </c>
      <c r="AC72" s="9">
        <v>0</v>
      </c>
      <c r="AD72" s="9" t="s">
        <v>314</v>
      </c>
      <c r="AE72" s="9">
        <v>0</v>
      </c>
      <c r="AF72" s="9">
        <v>0</v>
      </c>
      <c r="AG72" s="9">
        <v>0</v>
      </c>
      <c r="AH72" s="9">
        <v>0</v>
      </c>
      <c r="AI72" s="9">
        <v>0</v>
      </c>
      <c r="AJ72" s="9">
        <v>5104</v>
      </c>
      <c r="AK72" s="9" t="s">
        <v>651</v>
      </c>
      <c r="AL72" s="9" t="s">
        <v>333</v>
      </c>
      <c r="AM72" s="9">
        <v>0</v>
      </c>
      <c r="AN72" s="9">
        <v>0</v>
      </c>
      <c r="AO72" s="9">
        <v>0</v>
      </c>
      <c r="AP72" s="9">
        <v>0</v>
      </c>
      <c r="AQ72" s="9">
        <v>0</v>
      </c>
      <c r="AR72" s="9">
        <v>0</v>
      </c>
      <c r="AS72" s="9">
        <v>0</v>
      </c>
      <c r="AT72" s="9">
        <v>0</v>
      </c>
      <c r="AU72" s="9">
        <v>0</v>
      </c>
      <c r="AV72" s="9">
        <v>-90</v>
      </c>
      <c r="AW72" s="9">
        <v>5694572</v>
      </c>
      <c r="AX72" s="9">
        <v>5591950</v>
      </c>
      <c r="AY72" s="9">
        <v>6072917</v>
      </c>
      <c r="AZ72" s="9">
        <v>267006</v>
      </c>
      <c r="BA72" s="10">
        <v>11.333</v>
      </c>
      <c r="BB72" s="9">
        <v>0</v>
      </c>
      <c r="BC72" s="9">
        <v>0</v>
      </c>
      <c r="BD72" s="9">
        <v>0</v>
      </c>
      <c r="BE72" s="9">
        <v>0</v>
      </c>
      <c r="BF72" s="9">
        <v>4762214</v>
      </c>
      <c r="BG72" s="9">
        <v>0</v>
      </c>
      <c r="BH72" s="10">
        <v>0</v>
      </c>
      <c r="BI72" s="10">
        <v>0</v>
      </c>
      <c r="BJ72" s="9">
        <v>12</v>
      </c>
      <c r="BK72" s="9">
        <v>0</v>
      </c>
      <c r="BL72" s="9">
        <v>0</v>
      </c>
      <c r="BM72" s="9">
        <v>0</v>
      </c>
      <c r="BN72" s="9">
        <v>0</v>
      </c>
      <c r="BO72" s="9">
        <v>0</v>
      </c>
      <c r="BP72" s="9">
        <v>0</v>
      </c>
      <c r="BQ72" s="9">
        <v>5392</v>
      </c>
      <c r="BR72" s="9">
        <v>1</v>
      </c>
      <c r="BS72" s="9">
        <v>0</v>
      </c>
      <c r="BT72" s="9">
        <v>0</v>
      </c>
      <c r="BU72" s="9">
        <v>0</v>
      </c>
      <c r="BV72" s="9">
        <v>0</v>
      </c>
      <c r="BW72" s="9">
        <v>0</v>
      </c>
      <c r="BX72" s="9">
        <v>0</v>
      </c>
      <c r="BY72" s="9">
        <v>0</v>
      </c>
      <c r="BZ72" s="9">
        <v>0</v>
      </c>
      <c r="CA72" s="9">
        <v>0</v>
      </c>
      <c r="CB72" s="9">
        <v>0</v>
      </c>
      <c r="CC72" s="9">
        <v>0</v>
      </c>
      <c r="CD72" s="9">
        <v>0</v>
      </c>
      <c r="CE72" s="9">
        <v>0</v>
      </c>
      <c r="CF72" s="9">
        <v>0</v>
      </c>
      <c r="CG72" s="9">
        <v>0</v>
      </c>
      <c r="CH72" s="10">
        <v>102622</v>
      </c>
      <c r="CI72" s="9">
        <v>0</v>
      </c>
      <c r="CJ72" s="9">
        <v>4</v>
      </c>
      <c r="CK72" s="9">
        <v>0</v>
      </c>
      <c r="CL72" s="9">
        <v>0</v>
      </c>
      <c r="CM72" s="9">
        <v>0</v>
      </c>
      <c r="CN72" s="9">
        <v>0</v>
      </c>
      <c r="CO72" s="9">
        <v>0</v>
      </c>
      <c r="CP72" s="9">
        <v>0</v>
      </c>
      <c r="CQ72" s="9">
        <v>1.5</v>
      </c>
      <c r="CR72" s="9">
        <v>538.79</v>
      </c>
      <c r="CS72" s="9">
        <v>0</v>
      </c>
      <c r="CT72" s="9">
        <v>0</v>
      </c>
      <c r="CU72" s="9">
        <v>0</v>
      </c>
      <c r="CV72" s="9">
        <v>0</v>
      </c>
      <c r="CW72" s="9">
        <v>0</v>
      </c>
      <c r="CX72" s="9">
        <v>0</v>
      </c>
      <c r="CY72" s="9">
        <v>0</v>
      </c>
      <c r="CZ72" s="9">
        <v>0</v>
      </c>
      <c r="DA72" s="9">
        <v>1</v>
      </c>
      <c r="DB72" s="9">
        <v>3465419</v>
      </c>
      <c r="DC72" s="9">
        <v>0</v>
      </c>
      <c r="DD72" s="9">
        <v>0</v>
      </c>
      <c r="DE72" s="9">
        <v>848059</v>
      </c>
      <c r="DF72" s="9">
        <v>848059</v>
      </c>
      <c r="DG72" s="9">
        <v>647.66999999999996</v>
      </c>
      <c r="DH72" s="9">
        <v>0</v>
      </c>
      <c r="DI72" s="9">
        <v>0</v>
      </c>
      <c r="DJ72" s="9">
        <v>0</v>
      </c>
      <c r="DK72" s="9">
        <v>5392</v>
      </c>
      <c r="DL72" s="9">
        <v>0</v>
      </c>
      <c r="DM72" s="9">
        <v>435729</v>
      </c>
      <c r="DN72" s="9">
        <v>0</v>
      </c>
      <c r="DO72" s="9">
        <v>0</v>
      </c>
      <c r="DP72" s="9">
        <v>0</v>
      </c>
      <c r="DQ72" s="9">
        <v>0</v>
      </c>
      <c r="DR72" s="9">
        <v>0</v>
      </c>
      <c r="DS72" s="9">
        <v>0</v>
      </c>
      <c r="DT72" s="9">
        <v>0</v>
      </c>
      <c r="DU72" s="9">
        <v>0</v>
      </c>
      <c r="DV72" s="9">
        <v>0</v>
      </c>
      <c r="DW72" s="9">
        <v>0</v>
      </c>
      <c r="DX72" s="9">
        <v>0</v>
      </c>
      <c r="DY72" s="9">
        <v>0</v>
      </c>
      <c r="DZ72" s="9">
        <v>0</v>
      </c>
      <c r="EA72" s="9">
        <v>0</v>
      </c>
      <c r="EB72" s="9">
        <v>0</v>
      </c>
      <c r="EC72" s="9">
        <v>7.04</v>
      </c>
      <c r="ED72" s="9">
        <v>50700</v>
      </c>
      <c r="EE72" s="9">
        <v>0</v>
      </c>
      <c r="EF72" s="9">
        <v>0</v>
      </c>
      <c r="EG72" s="9">
        <v>0</v>
      </c>
      <c r="EH72" s="9">
        <v>385029</v>
      </c>
      <c r="EI72" s="9">
        <v>0</v>
      </c>
      <c r="EJ72" s="9">
        <v>0</v>
      </c>
      <c r="EK72" s="9">
        <v>16.629000000000001</v>
      </c>
      <c r="EL72" s="9">
        <v>0</v>
      </c>
      <c r="EM72" s="9">
        <v>0.32600000000000001</v>
      </c>
      <c r="EN72" s="9">
        <v>1.589</v>
      </c>
      <c r="EO72" s="9">
        <v>0</v>
      </c>
      <c r="EP72" s="9">
        <v>0</v>
      </c>
      <c r="EQ72" s="9">
        <v>18.544</v>
      </c>
      <c r="ER72" s="9">
        <v>0</v>
      </c>
      <c r="ES72" s="9">
        <v>58.81</v>
      </c>
      <c r="ET72" s="10">
        <v>6042</v>
      </c>
      <c r="EU72" s="9">
        <v>267006</v>
      </c>
      <c r="EV72" s="9">
        <v>0</v>
      </c>
      <c r="EW72" s="9">
        <v>0</v>
      </c>
      <c r="EX72" s="9">
        <v>0</v>
      </c>
      <c r="EY72" s="9">
        <v>0</v>
      </c>
      <c r="EZ72" s="9">
        <v>4698369</v>
      </c>
      <c r="FA72" s="9">
        <v>0</v>
      </c>
      <c r="FB72" s="10">
        <v>4965375</v>
      </c>
      <c r="FC72" s="9">
        <v>0.97326799999999991</v>
      </c>
      <c r="FD72" s="9">
        <v>0</v>
      </c>
      <c r="FE72" s="9">
        <v>736701</v>
      </c>
      <c r="FF72" s="9">
        <v>156880</v>
      </c>
      <c r="FG72" s="9">
        <v>5.8088000000000001E-2</v>
      </c>
      <c r="FH72" s="9">
        <v>5.2622999999999996E-2</v>
      </c>
      <c r="FI72" s="9">
        <v>0</v>
      </c>
      <c r="FJ72" s="9">
        <v>0</v>
      </c>
      <c r="FK72" s="9">
        <v>933.08600000000001</v>
      </c>
      <c r="FL72" s="9">
        <v>5961578</v>
      </c>
      <c r="FM72" s="9">
        <v>0</v>
      </c>
      <c r="FN72" s="9">
        <v>0</v>
      </c>
      <c r="FO72" s="9">
        <v>72361</v>
      </c>
      <c r="FP72" s="9">
        <v>0</v>
      </c>
      <c r="FQ72" s="9">
        <v>72361</v>
      </c>
      <c r="FR72" s="9">
        <v>72361</v>
      </c>
      <c r="FS72" s="9">
        <v>0</v>
      </c>
      <c r="FT72" s="9">
        <v>0</v>
      </c>
      <c r="FU72" s="9">
        <v>0</v>
      </c>
      <c r="FV72" s="9">
        <v>0</v>
      </c>
      <c r="FW72" s="9">
        <v>0</v>
      </c>
      <c r="FX72" s="9">
        <v>0</v>
      </c>
      <c r="FY72" s="9">
        <v>0</v>
      </c>
      <c r="FZ72" s="9">
        <v>0</v>
      </c>
      <c r="GA72" s="9">
        <v>0</v>
      </c>
      <c r="GB72" s="10">
        <v>0</v>
      </c>
      <c r="GC72" s="10">
        <v>0</v>
      </c>
      <c r="GD72" s="10">
        <v>0</v>
      </c>
      <c r="GE72" s="9">
        <v>0</v>
      </c>
      <c r="GF72" s="9">
        <v>0</v>
      </c>
      <c r="GG72" s="9">
        <v>0</v>
      </c>
      <c r="GH72" s="9">
        <v>0</v>
      </c>
      <c r="GI72" s="9">
        <v>0</v>
      </c>
      <c r="GJ72" s="9">
        <v>0</v>
      </c>
      <c r="GK72" s="9">
        <v>5284</v>
      </c>
      <c r="GL72" s="9">
        <v>23597</v>
      </c>
      <c r="GM72" s="9">
        <v>0</v>
      </c>
      <c r="GN72" s="9">
        <v>63454</v>
      </c>
      <c r="GO72" s="9">
        <v>0</v>
      </c>
      <c r="GP72" s="9">
        <v>5858956</v>
      </c>
      <c r="GQ72" s="9">
        <v>5858956</v>
      </c>
      <c r="GR72" s="9">
        <v>0</v>
      </c>
      <c r="GS72" s="9">
        <v>0</v>
      </c>
      <c r="GT72" s="9">
        <v>0</v>
      </c>
      <c r="GU72" s="9">
        <v>0</v>
      </c>
      <c r="GV72" s="9">
        <v>0</v>
      </c>
      <c r="GW72" s="9">
        <v>0</v>
      </c>
      <c r="GX72" s="9">
        <v>0</v>
      </c>
      <c r="GY72" s="9">
        <v>0</v>
      </c>
      <c r="GZ72" s="9">
        <v>0</v>
      </c>
      <c r="HA72" s="9">
        <v>0</v>
      </c>
      <c r="HB72" s="9">
        <v>300501363</v>
      </c>
      <c r="HC72" s="9">
        <v>4.4742999999999998E-2</v>
      </c>
      <c r="HD72" s="10">
        <v>96580</v>
      </c>
      <c r="HE72" s="9">
        <v>0</v>
      </c>
      <c r="HF72" s="9">
        <v>0</v>
      </c>
      <c r="HG72" s="9">
        <v>0</v>
      </c>
      <c r="HH72" s="9">
        <v>0</v>
      </c>
      <c r="HI72" s="9">
        <v>0</v>
      </c>
      <c r="HJ72" s="9">
        <v>0</v>
      </c>
      <c r="HK72" s="9">
        <v>0</v>
      </c>
      <c r="HL72" s="9">
        <v>0</v>
      </c>
      <c r="HM72" s="9">
        <v>0</v>
      </c>
      <c r="HN72" s="9">
        <v>0</v>
      </c>
      <c r="HO72" s="9">
        <v>0</v>
      </c>
      <c r="HP72" s="9">
        <v>0</v>
      </c>
      <c r="HQ72" s="9">
        <v>0</v>
      </c>
      <c r="HR72" s="9">
        <v>0</v>
      </c>
      <c r="HS72" s="9">
        <v>0</v>
      </c>
      <c r="HT72" s="9">
        <v>0</v>
      </c>
      <c r="HU72" s="9">
        <v>0</v>
      </c>
      <c r="HV72" s="9">
        <v>0</v>
      </c>
      <c r="HW72" s="9">
        <v>0</v>
      </c>
      <c r="HX72" s="9">
        <v>0</v>
      </c>
      <c r="HY72" s="9">
        <v>0</v>
      </c>
      <c r="HZ72" s="9">
        <v>0</v>
      </c>
      <c r="IA72" s="9">
        <v>0</v>
      </c>
      <c r="IB72" s="9">
        <v>0</v>
      </c>
      <c r="IC72" s="9">
        <v>0</v>
      </c>
      <c r="ID72" s="9">
        <v>0</v>
      </c>
      <c r="IE72" s="9">
        <v>0</v>
      </c>
      <c r="IF72" s="9">
        <v>0</v>
      </c>
      <c r="IG72" s="9">
        <v>0</v>
      </c>
      <c r="IH72" s="9">
        <v>0</v>
      </c>
      <c r="II72" s="9">
        <v>0</v>
      </c>
      <c r="IJ72" s="9">
        <v>0</v>
      </c>
      <c r="IK72" s="9">
        <v>0</v>
      </c>
      <c r="IL72" s="9">
        <v>0</v>
      </c>
      <c r="IM72" s="9">
        <v>0</v>
      </c>
      <c r="IN72" s="9">
        <v>0</v>
      </c>
      <c r="IO72" s="9">
        <v>0</v>
      </c>
      <c r="IP72" s="9">
        <v>0</v>
      </c>
      <c r="IQ72" s="9">
        <v>0</v>
      </c>
      <c r="IR72" s="9">
        <v>0</v>
      </c>
      <c r="IS72" s="9">
        <v>0</v>
      </c>
      <c r="IT72" s="9">
        <v>0</v>
      </c>
      <c r="IU72" s="9">
        <v>0</v>
      </c>
      <c r="IV72" s="9">
        <v>0</v>
      </c>
      <c r="IW72" s="9">
        <v>0</v>
      </c>
      <c r="IX72" s="9">
        <v>0</v>
      </c>
      <c r="IY72" s="9">
        <v>0</v>
      </c>
      <c r="IZ72" s="9">
        <v>0</v>
      </c>
      <c r="JA72" s="9">
        <v>0</v>
      </c>
      <c r="JB72" s="9">
        <v>0</v>
      </c>
      <c r="JC72" s="9">
        <v>0</v>
      </c>
      <c r="JD72" s="9">
        <v>0</v>
      </c>
      <c r="JE72" s="9">
        <v>0</v>
      </c>
      <c r="JF72" s="9">
        <v>0</v>
      </c>
      <c r="JG72" s="9">
        <v>0</v>
      </c>
      <c r="JH72" s="9">
        <v>0</v>
      </c>
      <c r="JI72" s="9">
        <v>0</v>
      </c>
      <c r="JJ72" s="9">
        <v>0</v>
      </c>
      <c r="JK72" s="9">
        <v>0</v>
      </c>
      <c r="JL72" s="9">
        <v>0</v>
      </c>
      <c r="JM72" s="9">
        <v>0</v>
      </c>
      <c r="JN72" s="9">
        <v>36832</v>
      </c>
      <c r="JO72" s="9">
        <v>0</v>
      </c>
      <c r="JP72" s="9">
        <v>0</v>
      </c>
      <c r="JQ72" s="9">
        <v>0</v>
      </c>
      <c r="JR72" s="9">
        <v>0</v>
      </c>
      <c r="JS72" s="9">
        <v>0</v>
      </c>
      <c r="JT72" s="9">
        <v>0</v>
      </c>
      <c r="JU72" s="9">
        <v>0</v>
      </c>
      <c r="JV72" s="9">
        <v>0</v>
      </c>
      <c r="JW72" s="9">
        <v>0</v>
      </c>
      <c r="JX72" s="9">
        <v>0</v>
      </c>
      <c r="JY72" s="9">
        <v>0</v>
      </c>
      <c r="JZ72" s="9">
        <v>0</v>
      </c>
      <c r="KA72" s="9">
        <v>0</v>
      </c>
      <c r="KB72" s="9">
        <v>0</v>
      </c>
      <c r="KC72" s="9">
        <v>0</v>
      </c>
      <c r="KD72" s="9">
        <v>0</v>
      </c>
      <c r="KE72" s="9">
        <v>0</v>
      </c>
      <c r="KF72" s="9">
        <v>0</v>
      </c>
      <c r="KG72" s="9">
        <v>0</v>
      </c>
      <c r="KH72" s="9">
        <v>0</v>
      </c>
      <c r="KI72" s="9">
        <v>0</v>
      </c>
    </row>
    <row r="73" spans="1:295" x14ac:dyDescent="0.25">
      <c r="A73" s="9">
        <v>61804</v>
      </c>
      <c r="B73" s="9">
        <v>36871</v>
      </c>
      <c r="C73" s="9">
        <v>35</v>
      </c>
      <c r="D73" s="9">
        <v>2023</v>
      </c>
      <c r="E73" s="9">
        <v>5392</v>
      </c>
      <c r="F73" s="9">
        <v>0</v>
      </c>
      <c r="G73" s="9">
        <v>0</v>
      </c>
      <c r="H73" s="9">
        <v>1235.106</v>
      </c>
      <c r="I73" s="9">
        <v>1235.106</v>
      </c>
      <c r="J73" s="9">
        <v>1320.694</v>
      </c>
      <c r="K73" s="9">
        <v>0</v>
      </c>
      <c r="L73" s="9">
        <v>6547</v>
      </c>
      <c r="M73" s="9">
        <v>0</v>
      </c>
      <c r="N73" s="9">
        <v>0</v>
      </c>
      <c r="O73" s="9">
        <v>0</v>
      </c>
      <c r="P73" s="9">
        <v>1222.163</v>
      </c>
      <c r="Q73" s="9">
        <v>0</v>
      </c>
      <c r="R73" s="9">
        <v>595098</v>
      </c>
      <c r="S73" s="9">
        <v>486.92200000000003</v>
      </c>
      <c r="T73" s="9">
        <v>0</v>
      </c>
      <c r="U73" s="9">
        <v>595098</v>
      </c>
      <c r="V73" s="9">
        <v>64.218000000000004</v>
      </c>
      <c r="W73" s="9">
        <v>42044</v>
      </c>
      <c r="X73" s="9">
        <v>42044</v>
      </c>
      <c r="Y73" s="9">
        <v>0</v>
      </c>
      <c r="Z73" s="9">
        <v>0</v>
      </c>
      <c r="AA73" s="9">
        <v>1</v>
      </c>
      <c r="AB73" s="9">
        <v>1</v>
      </c>
      <c r="AC73" s="9">
        <v>0</v>
      </c>
      <c r="AD73" s="9" t="s">
        <v>314</v>
      </c>
      <c r="AE73" s="9">
        <v>0</v>
      </c>
      <c r="AF73" s="9">
        <v>0</v>
      </c>
      <c r="AG73" s="9">
        <v>0</v>
      </c>
      <c r="AH73" s="9">
        <v>0</v>
      </c>
      <c r="AI73" s="9">
        <v>0</v>
      </c>
      <c r="AJ73" s="9">
        <v>5104</v>
      </c>
      <c r="AK73" s="9" t="s">
        <v>651</v>
      </c>
      <c r="AL73" s="9" t="s">
        <v>334</v>
      </c>
      <c r="AM73" s="9">
        <v>0</v>
      </c>
      <c r="AN73" s="9">
        <v>0</v>
      </c>
      <c r="AO73" s="9">
        <v>0</v>
      </c>
      <c r="AP73" s="9">
        <v>0</v>
      </c>
      <c r="AQ73" s="9">
        <v>0</v>
      </c>
      <c r="AR73" s="9">
        <v>0</v>
      </c>
      <c r="AS73" s="9">
        <v>0</v>
      </c>
      <c r="AT73" s="9">
        <v>0</v>
      </c>
      <c r="AU73" s="9">
        <v>0</v>
      </c>
      <c r="AV73" s="9">
        <v>-2016</v>
      </c>
      <c r="AW73" s="9">
        <v>10921698</v>
      </c>
      <c r="AX73" s="9">
        <v>10599930</v>
      </c>
      <c r="AY73" s="9">
        <v>11264974</v>
      </c>
      <c r="AZ73" s="9">
        <v>684045</v>
      </c>
      <c r="BA73" s="9">
        <v>0</v>
      </c>
      <c r="BB73" s="9">
        <v>51880</v>
      </c>
      <c r="BC73" s="9">
        <v>51880</v>
      </c>
      <c r="BD73" s="9">
        <v>66.034999999999997</v>
      </c>
      <c r="BE73" s="9">
        <v>0</v>
      </c>
      <c r="BF73" s="9">
        <v>9213209</v>
      </c>
      <c r="BG73" s="9">
        <v>0</v>
      </c>
      <c r="BH73" s="9">
        <v>323.44200000000001</v>
      </c>
      <c r="BI73" s="9">
        <v>88947</v>
      </c>
      <c r="BJ73" s="9">
        <v>12</v>
      </c>
      <c r="BK73" s="9">
        <v>0</v>
      </c>
      <c r="BL73" s="9">
        <v>0</v>
      </c>
      <c r="BM73" s="9">
        <v>0</v>
      </c>
      <c r="BN73" s="9">
        <v>0</v>
      </c>
      <c r="BO73" s="9">
        <v>0</v>
      </c>
      <c r="BP73" s="9">
        <v>0</v>
      </c>
      <c r="BQ73" s="9">
        <v>5392</v>
      </c>
      <c r="BR73" s="9">
        <v>1</v>
      </c>
      <c r="BS73" s="9">
        <v>0</v>
      </c>
      <c r="BT73" s="9">
        <v>0</v>
      </c>
      <c r="BU73" s="9">
        <v>0</v>
      </c>
      <c r="BV73" s="9">
        <v>0</v>
      </c>
      <c r="BW73" s="9">
        <v>0</v>
      </c>
      <c r="BX73" s="9">
        <v>0</v>
      </c>
      <c r="BY73" s="9">
        <v>0</v>
      </c>
      <c r="BZ73" s="9">
        <v>0</v>
      </c>
      <c r="CA73" s="9">
        <v>0</v>
      </c>
      <c r="CB73" s="9">
        <v>0</v>
      </c>
      <c r="CC73" s="9">
        <v>0</v>
      </c>
      <c r="CD73" s="9">
        <v>0</v>
      </c>
      <c r="CE73" s="9">
        <v>0</v>
      </c>
      <c r="CF73" s="9">
        <v>0</v>
      </c>
      <c r="CG73" s="9">
        <v>0</v>
      </c>
      <c r="CH73" s="9">
        <v>232821</v>
      </c>
      <c r="CI73" s="9">
        <v>0</v>
      </c>
      <c r="CJ73" s="9">
        <v>5</v>
      </c>
      <c r="CK73" s="9">
        <v>0</v>
      </c>
      <c r="CL73" s="9">
        <v>0</v>
      </c>
      <c r="CM73" s="9">
        <v>0</v>
      </c>
      <c r="CN73" s="9">
        <v>0</v>
      </c>
      <c r="CO73" s="9">
        <v>0</v>
      </c>
      <c r="CP73" s="9">
        <v>0</v>
      </c>
      <c r="CQ73" s="9">
        <v>0</v>
      </c>
      <c r="CR73" s="9">
        <v>1222.163</v>
      </c>
      <c r="CS73" s="9">
        <v>0</v>
      </c>
      <c r="CT73" s="9">
        <v>0</v>
      </c>
      <c r="CU73" s="9">
        <v>0</v>
      </c>
      <c r="CV73" s="9">
        <v>0</v>
      </c>
      <c r="CW73" s="9">
        <v>0</v>
      </c>
      <c r="CX73" s="9">
        <v>0</v>
      </c>
      <c r="CY73" s="9">
        <v>0</v>
      </c>
      <c r="CZ73" s="9">
        <v>0</v>
      </c>
      <c r="DA73" s="9">
        <v>1</v>
      </c>
      <c r="DB73" s="9">
        <v>8086239</v>
      </c>
      <c r="DC73" s="9">
        <v>0</v>
      </c>
      <c r="DD73" s="9">
        <v>0</v>
      </c>
      <c r="DE73" s="9">
        <v>77255</v>
      </c>
      <c r="DF73" s="9">
        <v>77255</v>
      </c>
      <c r="DG73" s="9">
        <v>59</v>
      </c>
      <c r="DH73" s="9">
        <v>0</v>
      </c>
      <c r="DI73" s="9">
        <v>0</v>
      </c>
      <c r="DJ73" s="9">
        <v>0</v>
      </c>
      <c r="DK73" s="9">
        <v>5392</v>
      </c>
      <c r="DL73" s="9">
        <v>0</v>
      </c>
      <c r="DM73" s="9">
        <v>556450</v>
      </c>
      <c r="DN73" s="9">
        <v>0</v>
      </c>
      <c r="DO73" s="9">
        <v>0</v>
      </c>
      <c r="DP73" s="9">
        <v>0</v>
      </c>
      <c r="DQ73" s="9">
        <v>0</v>
      </c>
      <c r="DR73" s="9">
        <v>0</v>
      </c>
      <c r="DS73" s="9">
        <v>0</v>
      </c>
      <c r="DT73" s="9">
        <v>0</v>
      </c>
      <c r="DU73" s="9">
        <v>0</v>
      </c>
      <c r="DV73" s="9">
        <v>0</v>
      </c>
      <c r="DW73" s="9">
        <v>0</v>
      </c>
      <c r="DX73" s="9">
        <v>0</v>
      </c>
      <c r="DY73" s="9">
        <v>0</v>
      </c>
      <c r="DZ73" s="9">
        <v>0</v>
      </c>
      <c r="EA73" s="9">
        <v>0</v>
      </c>
      <c r="EB73" s="9">
        <v>0</v>
      </c>
      <c r="EC73" s="9">
        <v>40.471000000000004</v>
      </c>
      <c r="ED73" s="9">
        <v>291460</v>
      </c>
      <c r="EE73" s="9">
        <v>0</v>
      </c>
      <c r="EF73" s="9">
        <v>0</v>
      </c>
      <c r="EG73" s="9">
        <v>0</v>
      </c>
      <c r="EH73" s="9">
        <v>264990</v>
      </c>
      <c r="EI73" s="9">
        <v>0</v>
      </c>
      <c r="EJ73" s="9">
        <v>0</v>
      </c>
      <c r="EK73" s="9">
        <v>6.3070000000000004</v>
      </c>
      <c r="EL73" s="9">
        <v>0</v>
      </c>
      <c r="EM73" s="9">
        <v>2.8930000000000002</v>
      </c>
      <c r="EN73" s="9">
        <v>2.5750000000000002</v>
      </c>
      <c r="EO73" s="9">
        <v>0</v>
      </c>
      <c r="EP73" s="9">
        <v>0</v>
      </c>
      <c r="EQ73" s="9">
        <v>11.775</v>
      </c>
      <c r="ER73" s="9">
        <v>0</v>
      </c>
      <c r="ES73" s="9">
        <v>40.475000000000001</v>
      </c>
      <c r="ET73" s="9">
        <v>0</v>
      </c>
      <c r="EU73" s="9">
        <v>684045</v>
      </c>
      <c r="EV73" s="9">
        <v>0</v>
      </c>
      <c r="EW73" s="9">
        <v>0</v>
      </c>
      <c r="EX73" s="9">
        <v>0</v>
      </c>
      <c r="EY73" s="9">
        <v>0</v>
      </c>
      <c r="EZ73" s="9">
        <v>8871163</v>
      </c>
      <c r="FA73" s="9">
        <v>0</v>
      </c>
      <c r="FB73" s="9">
        <v>9555208</v>
      </c>
      <c r="FC73" s="9">
        <v>0.97326799999999991</v>
      </c>
      <c r="FD73" s="9">
        <v>0</v>
      </c>
      <c r="FE73" s="9">
        <v>1425259</v>
      </c>
      <c r="FF73" s="9">
        <v>303508</v>
      </c>
      <c r="FG73" s="9">
        <v>5.8088000000000001E-2</v>
      </c>
      <c r="FH73" s="9">
        <v>5.2622999999999996E-2</v>
      </c>
      <c r="FI73" s="9">
        <v>0</v>
      </c>
      <c r="FJ73" s="9">
        <v>0</v>
      </c>
      <c r="FK73" s="9">
        <v>1805.1940000000002</v>
      </c>
      <c r="FL73" s="9">
        <v>11516796</v>
      </c>
      <c r="FM73" s="9">
        <v>0</v>
      </c>
      <c r="FN73" s="9">
        <v>0</v>
      </c>
      <c r="FO73" s="9">
        <v>0</v>
      </c>
      <c r="FP73" s="9">
        <v>0</v>
      </c>
      <c r="FQ73" s="9">
        <v>0</v>
      </c>
      <c r="FR73" s="9">
        <v>0</v>
      </c>
      <c r="FS73" s="9">
        <v>0</v>
      </c>
      <c r="FT73" s="9">
        <v>0</v>
      </c>
      <c r="FU73" s="9">
        <v>0</v>
      </c>
      <c r="FV73" s="9">
        <v>0</v>
      </c>
      <c r="FW73" s="9">
        <v>0</v>
      </c>
      <c r="FX73" s="9">
        <v>0</v>
      </c>
      <c r="FY73" s="9">
        <v>0</v>
      </c>
      <c r="FZ73" s="9">
        <v>0</v>
      </c>
      <c r="GA73" s="9">
        <v>0</v>
      </c>
      <c r="GB73" s="9">
        <v>652393</v>
      </c>
      <c r="GC73" s="9">
        <v>652393</v>
      </c>
      <c r="GD73" s="9">
        <v>73.813000000000002</v>
      </c>
      <c r="GE73" s="9">
        <v>0</v>
      </c>
      <c r="GF73" s="9">
        <v>0</v>
      </c>
      <c r="GG73" s="9">
        <v>0</v>
      </c>
      <c r="GH73" s="9">
        <v>0</v>
      </c>
      <c r="GI73" s="9">
        <v>0</v>
      </c>
      <c r="GJ73" s="9">
        <v>0</v>
      </c>
      <c r="GK73" s="9">
        <v>4971</v>
      </c>
      <c r="GL73" s="9">
        <v>0</v>
      </c>
      <c r="GM73" s="9">
        <v>0</v>
      </c>
      <c r="GN73" s="9">
        <v>0</v>
      </c>
      <c r="GO73" s="9">
        <v>0</v>
      </c>
      <c r="GP73" s="9">
        <v>11283975</v>
      </c>
      <c r="GQ73" s="9">
        <v>11283975</v>
      </c>
      <c r="GR73" s="9">
        <v>0</v>
      </c>
      <c r="GS73" s="9">
        <v>0</v>
      </c>
      <c r="GT73" s="9">
        <v>0</v>
      </c>
      <c r="GU73" s="9">
        <v>0</v>
      </c>
      <c r="GV73" s="9">
        <v>0</v>
      </c>
      <c r="GW73" s="9">
        <v>0</v>
      </c>
      <c r="GX73" s="9">
        <v>0</v>
      </c>
      <c r="GY73" s="9">
        <v>0</v>
      </c>
      <c r="GZ73" s="9">
        <v>0</v>
      </c>
      <c r="HA73" s="9">
        <v>0</v>
      </c>
      <c r="HB73" s="9">
        <v>300501363</v>
      </c>
      <c r="HC73" s="9">
        <v>4.4742999999999998E-2</v>
      </c>
      <c r="HD73" s="9">
        <v>232821</v>
      </c>
      <c r="HE73" s="9">
        <v>0</v>
      </c>
      <c r="HF73" s="9">
        <v>0</v>
      </c>
      <c r="HG73" s="9">
        <v>0</v>
      </c>
      <c r="HH73" s="9">
        <v>0</v>
      </c>
      <c r="HI73" s="9">
        <v>0</v>
      </c>
      <c r="HJ73" s="9">
        <v>0</v>
      </c>
      <c r="HK73" s="9">
        <v>0</v>
      </c>
      <c r="HL73" s="9">
        <v>0</v>
      </c>
      <c r="HM73" s="9">
        <v>0</v>
      </c>
      <c r="HN73" s="9">
        <v>0</v>
      </c>
      <c r="HO73" s="9">
        <v>0</v>
      </c>
      <c r="HP73" s="9">
        <v>0</v>
      </c>
      <c r="HQ73" s="9">
        <v>0</v>
      </c>
      <c r="HR73" s="9">
        <v>0</v>
      </c>
      <c r="HS73" s="9">
        <v>0</v>
      </c>
      <c r="HT73" s="9">
        <v>0</v>
      </c>
      <c r="HU73" s="9">
        <v>0</v>
      </c>
      <c r="HV73" s="9">
        <v>0</v>
      </c>
      <c r="HW73" s="9">
        <v>0</v>
      </c>
      <c r="HX73" s="9">
        <v>0</v>
      </c>
      <c r="HY73" s="9">
        <v>0</v>
      </c>
      <c r="HZ73" s="9">
        <v>0</v>
      </c>
      <c r="IA73" s="9">
        <v>0</v>
      </c>
      <c r="IB73" s="9">
        <v>0</v>
      </c>
      <c r="IC73" s="9">
        <v>0</v>
      </c>
      <c r="ID73" s="9">
        <v>0</v>
      </c>
      <c r="IE73" s="9">
        <v>0</v>
      </c>
      <c r="IF73" s="9">
        <v>0</v>
      </c>
      <c r="IG73" s="9">
        <v>0</v>
      </c>
      <c r="IH73" s="9">
        <v>0</v>
      </c>
      <c r="II73" s="9">
        <v>0</v>
      </c>
      <c r="IJ73" s="9">
        <v>0</v>
      </c>
      <c r="IK73" s="9">
        <v>0</v>
      </c>
      <c r="IL73" s="9">
        <v>0</v>
      </c>
      <c r="IM73" s="9">
        <v>0</v>
      </c>
      <c r="IN73" s="9">
        <v>0</v>
      </c>
      <c r="IO73" s="9">
        <v>0</v>
      </c>
      <c r="IP73" s="9">
        <v>0</v>
      </c>
      <c r="IQ73" s="9">
        <v>0</v>
      </c>
      <c r="IR73" s="9">
        <v>0</v>
      </c>
      <c r="IS73" s="9">
        <v>0</v>
      </c>
      <c r="IT73" s="9">
        <v>0</v>
      </c>
      <c r="IU73" s="9">
        <v>0</v>
      </c>
      <c r="IV73" s="9">
        <v>0</v>
      </c>
      <c r="IW73" s="9">
        <v>0</v>
      </c>
      <c r="IX73" s="9">
        <v>0</v>
      </c>
      <c r="IY73" s="9">
        <v>0</v>
      </c>
      <c r="IZ73" s="9">
        <v>0</v>
      </c>
      <c r="JA73" s="9">
        <v>0</v>
      </c>
      <c r="JB73" s="9">
        <v>0</v>
      </c>
      <c r="JC73" s="9">
        <v>0</v>
      </c>
      <c r="JD73" s="9">
        <v>0</v>
      </c>
      <c r="JE73" s="9">
        <v>0</v>
      </c>
      <c r="JF73" s="9">
        <v>0</v>
      </c>
      <c r="JG73" s="9">
        <v>0</v>
      </c>
      <c r="JH73" s="9">
        <v>0</v>
      </c>
      <c r="JI73" s="9">
        <v>0</v>
      </c>
      <c r="JJ73" s="9">
        <v>0</v>
      </c>
      <c r="JK73" s="9">
        <v>0</v>
      </c>
      <c r="JL73" s="9">
        <v>0</v>
      </c>
      <c r="JM73" s="9">
        <v>0</v>
      </c>
      <c r="JN73" s="9">
        <v>36832</v>
      </c>
      <c r="JO73" s="9">
        <v>0</v>
      </c>
      <c r="JP73" s="9">
        <v>0</v>
      </c>
      <c r="JQ73" s="9">
        <v>0</v>
      </c>
      <c r="JR73" s="9">
        <v>0</v>
      </c>
      <c r="JS73" s="9">
        <v>0</v>
      </c>
      <c r="JT73" s="9">
        <v>0</v>
      </c>
      <c r="JU73" s="9">
        <v>0</v>
      </c>
      <c r="JV73" s="9">
        <v>0</v>
      </c>
      <c r="JW73" s="9">
        <v>0</v>
      </c>
      <c r="JX73" s="9">
        <v>0</v>
      </c>
      <c r="JY73" s="9">
        <v>0</v>
      </c>
      <c r="JZ73" s="9">
        <v>0</v>
      </c>
      <c r="KA73" s="9">
        <v>0</v>
      </c>
      <c r="KB73" s="9">
        <v>0</v>
      </c>
      <c r="KC73" s="9">
        <v>0</v>
      </c>
      <c r="KD73" s="9">
        <v>0</v>
      </c>
      <c r="KE73" s="9">
        <v>0</v>
      </c>
      <c r="KF73" s="9">
        <v>0</v>
      </c>
      <c r="KG73" s="9">
        <v>0</v>
      </c>
      <c r="KH73" s="9">
        <v>0</v>
      </c>
      <c r="KI73" s="9">
        <v>0</v>
      </c>
    </row>
    <row r="74" spans="1:295" ht="13" x14ac:dyDescent="0.3">
      <c r="A74" s="9">
        <v>61805</v>
      </c>
      <c r="B74" s="9">
        <v>36871</v>
      </c>
      <c r="C74" s="9">
        <v>35</v>
      </c>
      <c r="D74" s="9">
        <v>2023</v>
      </c>
      <c r="E74" s="9">
        <v>5392</v>
      </c>
      <c r="F74" s="9">
        <v>0</v>
      </c>
      <c r="G74" s="10">
        <v>0</v>
      </c>
      <c r="H74" s="10">
        <v>578.10699999999997</v>
      </c>
      <c r="I74" s="9">
        <v>578.10699999999997</v>
      </c>
      <c r="J74" s="9">
        <v>596.952</v>
      </c>
      <c r="K74" s="9">
        <v>0</v>
      </c>
      <c r="L74" s="9">
        <v>6547</v>
      </c>
      <c r="M74" s="9">
        <v>0</v>
      </c>
      <c r="N74" s="9">
        <v>0</v>
      </c>
      <c r="O74" s="9">
        <v>0</v>
      </c>
      <c r="P74" s="10">
        <v>571.09500000000003</v>
      </c>
      <c r="Q74" s="9">
        <v>0</v>
      </c>
      <c r="R74" s="10">
        <v>278079</v>
      </c>
      <c r="S74" s="10">
        <v>486.92200000000003</v>
      </c>
      <c r="T74" s="9">
        <v>0</v>
      </c>
      <c r="U74" s="9">
        <v>278079</v>
      </c>
      <c r="V74" s="10">
        <v>29.557000000000002</v>
      </c>
      <c r="W74" s="10">
        <v>19351</v>
      </c>
      <c r="X74" s="10">
        <v>19351</v>
      </c>
      <c r="Y74" s="9">
        <v>0</v>
      </c>
      <c r="Z74" s="9">
        <v>0</v>
      </c>
      <c r="AA74" s="9">
        <v>1</v>
      </c>
      <c r="AB74" s="9">
        <v>1</v>
      </c>
      <c r="AC74" s="9">
        <v>0</v>
      </c>
      <c r="AD74" s="9" t="s">
        <v>314</v>
      </c>
      <c r="AE74" s="9">
        <v>0</v>
      </c>
      <c r="AF74" s="9">
        <v>0</v>
      </c>
      <c r="AG74" s="9">
        <v>0</v>
      </c>
      <c r="AH74" s="9">
        <v>0</v>
      </c>
      <c r="AI74" s="9">
        <v>0</v>
      </c>
      <c r="AJ74" s="9">
        <v>5104</v>
      </c>
      <c r="AK74" s="9" t="s">
        <v>651</v>
      </c>
      <c r="AL74" s="9" t="s">
        <v>384</v>
      </c>
      <c r="AM74" s="9">
        <v>0</v>
      </c>
      <c r="AN74" s="9">
        <v>0</v>
      </c>
      <c r="AO74" s="9">
        <v>0</v>
      </c>
      <c r="AP74" s="9">
        <v>0</v>
      </c>
      <c r="AQ74" s="9">
        <v>0</v>
      </c>
      <c r="AR74" s="9">
        <v>0</v>
      </c>
      <c r="AS74" s="9">
        <v>0</v>
      </c>
      <c r="AT74" s="9">
        <v>0</v>
      </c>
      <c r="AU74" s="9">
        <v>0</v>
      </c>
      <c r="AV74" s="9">
        <v>-102</v>
      </c>
      <c r="AW74" s="9">
        <v>4890477</v>
      </c>
      <c r="AX74" s="9">
        <v>4775465</v>
      </c>
      <c r="AY74" s="9">
        <v>5107582</v>
      </c>
      <c r="AZ74" s="9">
        <v>287856</v>
      </c>
      <c r="BA74" s="10">
        <v>0</v>
      </c>
      <c r="BB74" s="9">
        <v>23449</v>
      </c>
      <c r="BC74" s="9">
        <v>23449</v>
      </c>
      <c r="BD74" s="9">
        <v>29.848000000000003</v>
      </c>
      <c r="BE74" s="9">
        <v>0</v>
      </c>
      <c r="BF74" s="9">
        <v>4158932</v>
      </c>
      <c r="BG74" s="9">
        <v>0</v>
      </c>
      <c r="BH74" s="10">
        <v>35.551000000000002</v>
      </c>
      <c r="BI74" s="10">
        <v>9777</v>
      </c>
      <c r="BJ74" s="9">
        <v>12</v>
      </c>
      <c r="BK74" s="9">
        <v>0</v>
      </c>
      <c r="BL74" s="9">
        <v>0</v>
      </c>
      <c r="BM74" s="9">
        <v>0</v>
      </c>
      <c r="BN74" s="9">
        <v>0</v>
      </c>
      <c r="BO74" s="9">
        <v>0</v>
      </c>
      <c r="BP74" s="9">
        <v>0</v>
      </c>
      <c r="BQ74" s="10">
        <v>5392</v>
      </c>
      <c r="BR74" s="9">
        <v>1</v>
      </c>
      <c r="BS74" s="9">
        <v>0</v>
      </c>
      <c r="BT74" s="9">
        <v>0</v>
      </c>
      <c r="BU74" s="9">
        <v>0</v>
      </c>
      <c r="BV74" s="9">
        <v>0</v>
      </c>
      <c r="BW74" s="9">
        <v>0</v>
      </c>
      <c r="BX74" s="9">
        <v>0</v>
      </c>
      <c r="BY74" s="9">
        <v>0</v>
      </c>
      <c r="BZ74" s="9">
        <v>0</v>
      </c>
      <c r="CA74" s="9">
        <v>0</v>
      </c>
      <c r="CB74" s="9">
        <v>0</v>
      </c>
      <c r="CC74" s="9">
        <v>0</v>
      </c>
      <c r="CD74" s="9">
        <v>0</v>
      </c>
      <c r="CE74" s="9">
        <v>0</v>
      </c>
      <c r="CF74" s="9">
        <v>0</v>
      </c>
      <c r="CG74" s="9">
        <v>0</v>
      </c>
      <c r="CH74" s="9">
        <v>105235</v>
      </c>
      <c r="CI74" s="9">
        <v>0</v>
      </c>
      <c r="CJ74" s="9">
        <v>4</v>
      </c>
      <c r="CK74" s="9">
        <v>0</v>
      </c>
      <c r="CL74" s="9">
        <v>0</v>
      </c>
      <c r="CM74" s="9">
        <v>0</v>
      </c>
      <c r="CN74" s="9">
        <v>0</v>
      </c>
      <c r="CO74" s="9">
        <v>0</v>
      </c>
      <c r="CP74" s="9">
        <v>0</v>
      </c>
      <c r="CQ74" s="9">
        <v>0</v>
      </c>
      <c r="CR74" s="9">
        <v>571.09500000000003</v>
      </c>
      <c r="CS74" s="9">
        <v>0</v>
      </c>
      <c r="CT74" s="9">
        <v>0</v>
      </c>
      <c r="CU74" s="9">
        <v>0</v>
      </c>
      <c r="CV74" s="9">
        <v>0</v>
      </c>
      <c r="CW74" s="9">
        <v>0</v>
      </c>
      <c r="CX74" s="9">
        <v>0</v>
      </c>
      <c r="CY74" s="9">
        <v>0</v>
      </c>
      <c r="CZ74" s="9">
        <v>0</v>
      </c>
      <c r="DA74" s="9">
        <v>1</v>
      </c>
      <c r="DB74" s="9">
        <v>3784867</v>
      </c>
      <c r="DC74" s="9">
        <v>0</v>
      </c>
      <c r="DD74" s="9">
        <v>0</v>
      </c>
      <c r="DE74" s="9">
        <v>0</v>
      </c>
      <c r="DF74" s="9">
        <v>0</v>
      </c>
      <c r="DG74" s="9">
        <v>0</v>
      </c>
      <c r="DH74" s="9">
        <v>0</v>
      </c>
      <c r="DI74" s="9">
        <v>0</v>
      </c>
      <c r="DJ74" s="9">
        <v>0</v>
      </c>
      <c r="DK74" s="9">
        <v>5392</v>
      </c>
      <c r="DL74" s="9">
        <v>0</v>
      </c>
      <c r="DM74" s="9">
        <v>418997</v>
      </c>
      <c r="DN74" s="9">
        <v>0</v>
      </c>
      <c r="DO74" s="9">
        <v>0</v>
      </c>
      <c r="DP74" s="9">
        <v>0</v>
      </c>
      <c r="DQ74" s="9">
        <v>0</v>
      </c>
      <c r="DR74" s="9">
        <v>0</v>
      </c>
      <c r="DS74" s="9">
        <v>0</v>
      </c>
      <c r="DT74" s="9">
        <v>0</v>
      </c>
      <c r="DU74" s="9">
        <v>0</v>
      </c>
      <c r="DV74" s="9">
        <v>0</v>
      </c>
      <c r="DW74" s="9">
        <v>0</v>
      </c>
      <c r="DX74" s="9">
        <v>0</v>
      </c>
      <c r="DY74" s="9">
        <v>0</v>
      </c>
      <c r="DZ74" s="9">
        <v>0</v>
      </c>
      <c r="EA74" s="9">
        <v>0</v>
      </c>
      <c r="EB74" s="9">
        <v>0</v>
      </c>
      <c r="EC74" s="9">
        <v>13.794</v>
      </c>
      <c r="ED74" s="9">
        <v>99340</v>
      </c>
      <c r="EE74" s="9">
        <v>0</v>
      </c>
      <c r="EF74" s="9">
        <v>0</v>
      </c>
      <c r="EG74" s="9">
        <v>0</v>
      </c>
      <c r="EH74" s="9">
        <v>319657</v>
      </c>
      <c r="EI74" s="9">
        <v>0</v>
      </c>
      <c r="EJ74" s="9">
        <v>0</v>
      </c>
      <c r="EK74" s="9">
        <v>15.205</v>
      </c>
      <c r="EL74" s="9">
        <v>0</v>
      </c>
      <c r="EM74" s="9">
        <v>0</v>
      </c>
      <c r="EN74" s="9">
        <v>0.64200000000000002</v>
      </c>
      <c r="EO74" s="9">
        <v>0</v>
      </c>
      <c r="EP74" s="9">
        <v>0</v>
      </c>
      <c r="EQ74" s="9">
        <v>15.847000000000001</v>
      </c>
      <c r="ER74" s="9">
        <v>0</v>
      </c>
      <c r="ES74" s="9">
        <v>48.825000000000003</v>
      </c>
      <c r="ET74" s="9">
        <v>0</v>
      </c>
      <c r="EU74" s="9">
        <v>287856</v>
      </c>
      <c r="EV74" s="9">
        <v>0</v>
      </c>
      <c r="EW74" s="9">
        <v>0</v>
      </c>
      <c r="EX74" s="9">
        <v>0</v>
      </c>
      <c r="EY74" s="9">
        <v>0</v>
      </c>
      <c r="EZ74" s="9">
        <v>3995083</v>
      </c>
      <c r="FA74" s="9">
        <v>0</v>
      </c>
      <c r="FB74" s="10">
        <v>4282939</v>
      </c>
      <c r="FC74" s="9">
        <v>0.97326799999999991</v>
      </c>
      <c r="FD74" s="9">
        <v>0</v>
      </c>
      <c r="FE74" s="10">
        <v>643375</v>
      </c>
      <c r="FF74" s="10">
        <v>137007</v>
      </c>
      <c r="FG74" s="9">
        <v>5.8088000000000001E-2</v>
      </c>
      <c r="FH74" s="9">
        <v>5.2622999999999996E-2</v>
      </c>
      <c r="FI74" s="9">
        <v>0</v>
      </c>
      <c r="FJ74" s="9">
        <v>0</v>
      </c>
      <c r="FK74" s="9">
        <v>814.88200000000006</v>
      </c>
      <c r="FL74" s="9">
        <v>5168556</v>
      </c>
      <c r="FM74" s="9">
        <v>0</v>
      </c>
      <c r="FN74" s="9">
        <v>0</v>
      </c>
      <c r="FO74" s="9">
        <v>0</v>
      </c>
      <c r="FP74" s="9">
        <v>0</v>
      </c>
      <c r="FQ74" s="9">
        <v>0</v>
      </c>
      <c r="FR74" s="9">
        <v>0</v>
      </c>
      <c r="FS74" s="9">
        <v>0</v>
      </c>
      <c r="FT74" s="9">
        <v>0</v>
      </c>
      <c r="FU74" s="9">
        <v>0</v>
      </c>
      <c r="FV74" s="9">
        <v>0</v>
      </c>
      <c r="FW74" s="9">
        <v>0</v>
      </c>
      <c r="FX74" s="9">
        <v>0</v>
      </c>
      <c r="FY74" s="9">
        <v>0</v>
      </c>
      <c r="FZ74" s="9">
        <v>0</v>
      </c>
      <c r="GA74" s="9">
        <v>0</v>
      </c>
      <c r="GB74" s="9">
        <v>26498</v>
      </c>
      <c r="GC74" s="9">
        <v>26498</v>
      </c>
      <c r="GD74" s="9">
        <v>2.9980000000000002</v>
      </c>
      <c r="GE74" s="9">
        <v>0</v>
      </c>
      <c r="GF74" s="9">
        <v>0</v>
      </c>
      <c r="GG74" s="9">
        <v>0</v>
      </c>
      <c r="GH74" s="9">
        <v>0</v>
      </c>
      <c r="GI74" s="9">
        <v>0</v>
      </c>
      <c r="GJ74" s="9">
        <v>0</v>
      </c>
      <c r="GK74" s="9">
        <v>0</v>
      </c>
      <c r="GL74" s="9">
        <v>0</v>
      </c>
      <c r="GM74" s="9">
        <v>0</v>
      </c>
      <c r="GN74" s="9">
        <v>0</v>
      </c>
      <c r="GO74" s="9">
        <v>0</v>
      </c>
      <c r="GP74" s="9">
        <v>5063321</v>
      </c>
      <c r="GQ74" s="9">
        <v>5063321</v>
      </c>
      <c r="GR74" s="9">
        <v>0</v>
      </c>
      <c r="GS74" s="9">
        <v>0</v>
      </c>
      <c r="GT74" s="9">
        <v>0</v>
      </c>
      <c r="GU74" s="9">
        <v>0</v>
      </c>
      <c r="GV74" s="9">
        <v>0</v>
      </c>
      <c r="GW74" s="9">
        <v>0</v>
      </c>
      <c r="GX74" s="9">
        <v>0</v>
      </c>
      <c r="GY74" s="9">
        <v>0</v>
      </c>
      <c r="GZ74" s="9">
        <v>0</v>
      </c>
      <c r="HA74" s="9">
        <v>0</v>
      </c>
      <c r="HB74" s="9">
        <v>300501363</v>
      </c>
      <c r="HC74" s="9">
        <v>4.4742999999999998E-2</v>
      </c>
      <c r="HD74" s="10">
        <v>105235</v>
      </c>
      <c r="HE74" s="9">
        <v>0</v>
      </c>
      <c r="HF74" s="9">
        <v>0</v>
      </c>
      <c r="HG74" s="9">
        <v>0</v>
      </c>
      <c r="HH74" s="9">
        <v>0</v>
      </c>
      <c r="HI74" s="9">
        <v>0</v>
      </c>
      <c r="HJ74" s="9">
        <v>0</v>
      </c>
      <c r="HK74" s="9">
        <v>0</v>
      </c>
      <c r="HL74" s="9">
        <v>0</v>
      </c>
      <c r="HM74" s="9">
        <v>0</v>
      </c>
      <c r="HN74" s="9">
        <v>0</v>
      </c>
      <c r="HO74" s="9">
        <v>0</v>
      </c>
      <c r="HP74" s="9">
        <v>0</v>
      </c>
      <c r="HQ74" s="9">
        <v>0</v>
      </c>
      <c r="HR74" s="9">
        <v>0</v>
      </c>
      <c r="HS74" s="9">
        <v>0</v>
      </c>
      <c r="HT74" s="9">
        <v>0</v>
      </c>
      <c r="HU74" s="9">
        <v>0</v>
      </c>
      <c r="HV74" s="9">
        <v>0</v>
      </c>
      <c r="HW74" s="9">
        <v>0</v>
      </c>
      <c r="HX74" s="9">
        <v>0</v>
      </c>
      <c r="HY74" s="9">
        <v>0</v>
      </c>
      <c r="HZ74" s="9">
        <v>0</v>
      </c>
      <c r="IA74" s="9">
        <v>0</v>
      </c>
      <c r="IB74" s="9">
        <v>0</v>
      </c>
      <c r="IC74" s="9">
        <v>0</v>
      </c>
      <c r="ID74" s="9">
        <v>0</v>
      </c>
      <c r="IE74" s="9">
        <v>0</v>
      </c>
      <c r="IF74" s="9">
        <v>0</v>
      </c>
      <c r="IG74" s="9">
        <v>0</v>
      </c>
      <c r="IH74" s="9">
        <v>0</v>
      </c>
      <c r="II74" s="9">
        <v>0</v>
      </c>
      <c r="IJ74" s="9">
        <v>0</v>
      </c>
      <c r="IK74" s="9">
        <v>0</v>
      </c>
      <c r="IL74" s="9">
        <v>0</v>
      </c>
      <c r="IM74" s="9">
        <v>0</v>
      </c>
      <c r="IN74" s="9">
        <v>0</v>
      </c>
      <c r="IO74" s="9">
        <v>0</v>
      </c>
      <c r="IP74" s="9">
        <v>0</v>
      </c>
      <c r="IQ74" s="9">
        <v>0</v>
      </c>
      <c r="IR74" s="9">
        <v>0</v>
      </c>
      <c r="IS74" s="9">
        <v>0</v>
      </c>
      <c r="IT74" s="9">
        <v>0</v>
      </c>
      <c r="IU74" s="9">
        <v>0</v>
      </c>
      <c r="IV74" s="9">
        <v>0</v>
      </c>
      <c r="IW74" s="9">
        <v>0</v>
      </c>
      <c r="IX74" s="9">
        <v>0</v>
      </c>
      <c r="IY74" s="9">
        <v>0</v>
      </c>
      <c r="IZ74" s="9">
        <v>0</v>
      </c>
      <c r="JA74" s="9">
        <v>0</v>
      </c>
      <c r="JB74" s="9">
        <v>0</v>
      </c>
      <c r="JC74" s="9">
        <v>0</v>
      </c>
      <c r="JD74" s="9">
        <v>0</v>
      </c>
      <c r="JE74" s="9">
        <v>0</v>
      </c>
      <c r="JF74" s="9">
        <v>0</v>
      </c>
      <c r="JG74" s="9">
        <v>0</v>
      </c>
      <c r="JH74" s="9">
        <v>0</v>
      </c>
      <c r="JI74" s="9">
        <v>0</v>
      </c>
      <c r="JJ74" s="9">
        <v>0</v>
      </c>
      <c r="JK74" s="9">
        <v>0</v>
      </c>
      <c r="JL74" s="9">
        <v>0</v>
      </c>
      <c r="JM74" s="9">
        <v>0</v>
      </c>
      <c r="JN74" s="9">
        <v>36832</v>
      </c>
      <c r="JO74" s="9">
        <v>0</v>
      </c>
      <c r="JP74" s="9">
        <v>0</v>
      </c>
      <c r="JQ74" s="9">
        <v>0</v>
      </c>
      <c r="JR74" s="9">
        <v>0</v>
      </c>
      <c r="JS74" s="9">
        <v>0</v>
      </c>
      <c r="JT74" s="9">
        <v>0</v>
      </c>
      <c r="JU74" s="9">
        <v>0</v>
      </c>
      <c r="JV74" s="9">
        <v>0</v>
      </c>
      <c r="JW74" s="9">
        <v>0</v>
      </c>
      <c r="JX74" s="9">
        <v>0</v>
      </c>
      <c r="JY74" s="9">
        <v>0</v>
      </c>
      <c r="JZ74" s="9">
        <v>0</v>
      </c>
      <c r="KA74" s="9">
        <v>0</v>
      </c>
      <c r="KB74" s="9">
        <v>0</v>
      </c>
      <c r="KC74" s="9">
        <v>0</v>
      </c>
      <c r="KD74" s="9">
        <v>0</v>
      </c>
      <c r="KE74" s="9">
        <v>0</v>
      </c>
      <c r="KF74" s="9">
        <v>0</v>
      </c>
      <c r="KG74" s="9">
        <v>0</v>
      </c>
      <c r="KH74" s="9">
        <v>0</v>
      </c>
      <c r="KI74" s="9">
        <v>0</v>
      </c>
    </row>
    <row r="75" spans="1:295" ht="13" x14ac:dyDescent="0.3">
      <c r="A75" s="9">
        <v>68802</v>
      </c>
      <c r="B75" s="9">
        <v>36871</v>
      </c>
      <c r="C75" s="9">
        <v>35</v>
      </c>
      <c r="D75" s="9">
        <v>2023</v>
      </c>
      <c r="E75" s="9">
        <v>5392</v>
      </c>
      <c r="F75" s="9">
        <v>0</v>
      </c>
      <c r="G75" s="9">
        <v>0</v>
      </c>
      <c r="H75" s="9">
        <v>1270.2670000000001</v>
      </c>
      <c r="I75" s="9">
        <v>1270.2670000000001</v>
      </c>
      <c r="J75" s="9">
        <v>1289.606</v>
      </c>
      <c r="K75" s="9">
        <v>0</v>
      </c>
      <c r="L75" s="9">
        <v>6547</v>
      </c>
      <c r="M75" s="9">
        <v>0</v>
      </c>
      <c r="N75" s="9">
        <v>0</v>
      </c>
      <c r="O75" s="9">
        <v>0</v>
      </c>
      <c r="P75" s="9">
        <v>1182.3579999999999</v>
      </c>
      <c r="Q75" s="9">
        <v>0</v>
      </c>
      <c r="R75" s="10">
        <v>575716</v>
      </c>
      <c r="S75" s="9">
        <v>486.92200000000003</v>
      </c>
      <c r="T75" s="9">
        <v>0</v>
      </c>
      <c r="U75" s="10">
        <v>575716</v>
      </c>
      <c r="V75" s="10">
        <v>3.0790000000000002</v>
      </c>
      <c r="W75" s="10">
        <v>2016</v>
      </c>
      <c r="X75" s="10">
        <v>2016</v>
      </c>
      <c r="Y75" s="9">
        <v>0</v>
      </c>
      <c r="Z75" s="9">
        <v>0</v>
      </c>
      <c r="AA75" s="9">
        <v>1</v>
      </c>
      <c r="AB75" s="9">
        <v>1</v>
      </c>
      <c r="AC75" s="9">
        <v>0</v>
      </c>
      <c r="AD75" s="9" t="s">
        <v>314</v>
      </c>
      <c r="AE75" s="9">
        <v>0</v>
      </c>
      <c r="AF75" s="9">
        <v>0</v>
      </c>
      <c r="AG75" s="9">
        <v>0</v>
      </c>
      <c r="AH75" s="9">
        <v>0</v>
      </c>
      <c r="AI75" s="9">
        <v>0</v>
      </c>
      <c r="AJ75" s="9">
        <v>5104</v>
      </c>
      <c r="AK75" s="9" t="s">
        <v>651</v>
      </c>
      <c r="AL75" s="9" t="s">
        <v>335</v>
      </c>
      <c r="AM75" s="9">
        <v>0</v>
      </c>
      <c r="AN75" s="9">
        <v>0</v>
      </c>
      <c r="AO75" s="9">
        <v>0</v>
      </c>
      <c r="AP75" s="9">
        <v>0</v>
      </c>
      <c r="AQ75" s="9">
        <v>0</v>
      </c>
      <c r="AR75" s="9">
        <v>0</v>
      </c>
      <c r="AS75" s="9">
        <v>0</v>
      </c>
      <c r="AT75" s="9">
        <v>0</v>
      </c>
      <c r="AU75" s="9">
        <v>0</v>
      </c>
      <c r="AV75" s="9">
        <v>-223</v>
      </c>
      <c r="AW75" s="9">
        <v>10687562</v>
      </c>
      <c r="AX75" s="9">
        <v>10396955</v>
      </c>
      <c r="AY75" s="9">
        <v>11091900</v>
      </c>
      <c r="AZ75" s="9">
        <v>638982</v>
      </c>
      <c r="BA75" s="10">
        <v>0</v>
      </c>
      <c r="BB75" s="9">
        <v>8642</v>
      </c>
      <c r="BC75" s="9">
        <v>8642</v>
      </c>
      <c r="BD75" s="9">
        <v>11</v>
      </c>
      <c r="BE75" s="9">
        <v>0</v>
      </c>
      <c r="BF75" s="9">
        <v>9030215</v>
      </c>
      <c r="BG75" s="9">
        <v>0</v>
      </c>
      <c r="BH75" s="10">
        <v>230.059</v>
      </c>
      <c r="BI75" s="10">
        <v>63266</v>
      </c>
      <c r="BJ75" s="9">
        <v>12</v>
      </c>
      <c r="BK75" s="9">
        <v>0</v>
      </c>
      <c r="BL75" s="9">
        <v>0</v>
      </c>
      <c r="BM75" s="9">
        <v>0</v>
      </c>
      <c r="BN75" s="9">
        <v>0</v>
      </c>
      <c r="BO75" s="9">
        <v>0</v>
      </c>
      <c r="BP75" s="9">
        <v>0</v>
      </c>
      <c r="BQ75" s="9">
        <v>5392</v>
      </c>
      <c r="BR75" s="9">
        <v>1</v>
      </c>
      <c r="BS75" s="9">
        <v>0</v>
      </c>
      <c r="BT75" s="9">
        <v>0</v>
      </c>
      <c r="BU75" s="9">
        <v>0</v>
      </c>
      <c r="BV75" s="9">
        <v>0</v>
      </c>
      <c r="BW75" s="9">
        <v>0</v>
      </c>
      <c r="BX75" s="9">
        <v>0</v>
      </c>
      <c r="BY75" s="9">
        <v>0</v>
      </c>
      <c r="BZ75" s="9">
        <v>0</v>
      </c>
      <c r="CA75" s="9">
        <v>0</v>
      </c>
      <c r="CB75" s="9">
        <v>0</v>
      </c>
      <c r="CC75" s="9">
        <v>0</v>
      </c>
      <c r="CD75" s="9">
        <v>0</v>
      </c>
      <c r="CE75" s="9">
        <v>0</v>
      </c>
      <c r="CF75" s="9">
        <v>0</v>
      </c>
      <c r="CG75" s="9">
        <v>0</v>
      </c>
      <c r="CH75" s="10">
        <v>227341</v>
      </c>
      <c r="CI75" s="9">
        <v>0</v>
      </c>
      <c r="CJ75" s="9">
        <v>5</v>
      </c>
      <c r="CK75" s="9">
        <v>0</v>
      </c>
      <c r="CL75" s="9">
        <v>0</v>
      </c>
      <c r="CM75" s="9">
        <v>0</v>
      </c>
      <c r="CN75" s="9">
        <v>0</v>
      </c>
      <c r="CO75" s="9">
        <v>0</v>
      </c>
      <c r="CP75" s="9">
        <v>0</v>
      </c>
      <c r="CQ75" s="9">
        <v>0</v>
      </c>
      <c r="CR75" s="9">
        <v>1180.0340000000001</v>
      </c>
      <c r="CS75" s="9">
        <v>0</v>
      </c>
      <c r="CT75" s="9">
        <v>0</v>
      </c>
      <c r="CU75" s="9">
        <v>0</v>
      </c>
      <c r="CV75" s="9">
        <v>0</v>
      </c>
      <c r="CW75" s="9">
        <v>0</v>
      </c>
      <c r="CX75" s="9">
        <v>0</v>
      </c>
      <c r="CY75" s="9">
        <v>0</v>
      </c>
      <c r="CZ75" s="9">
        <v>0</v>
      </c>
      <c r="DA75" s="9">
        <v>1</v>
      </c>
      <c r="DB75" s="9">
        <v>8316438</v>
      </c>
      <c r="DC75" s="9">
        <v>0</v>
      </c>
      <c r="DD75" s="9">
        <v>0</v>
      </c>
      <c r="DE75" s="9">
        <v>196410</v>
      </c>
      <c r="DF75" s="9">
        <v>196410</v>
      </c>
      <c r="DG75" s="9">
        <v>150</v>
      </c>
      <c r="DH75" s="9">
        <v>0</v>
      </c>
      <c r="DI75" s="9">
        <v>0</v>
      </c>
      <c r="DJ75" s="9">
        <v>0</v>
      </c>
      <c r="DK75" s="9">
        <v>5392</v>
      </c>
      <c r="DL75" s="9">
        <v>0</v>
      </c>
      <c r="DM75" s="9">
        <v>754735</v>
      </c>
      <c r="DN75" s="9">
        <v>0</v>
      </c>
      <c r="DO75" s="9">
        <v>0</v>
      </c>
      <c r="DP75" s="9">
        <v>0</v>
      </c>
      <c r="DQ75" s="9">
        <v>0</v>
      </c>
      <c r="DR75" s="9">
        <v>0</v>
      </c>
      <c r="DS75" s="9">
        <v>0</v>
      </c>
      <c r="DT75" s="9">
        <v>0</v>
      </c>
      <c r="DU75" s="9">
        <v>0</v>
      </c>
      <c r="DV75" s="9">
        <v>0</v>
      </c>
      <c r="DW75" s="9">
        <v>0</v>
      </c>
      <c r="DX75" s="9">
        <v>0</v>
      </c>
      <c r="DY75" s="9">
        <v>0</v>
      </c>
      <c r="DZ75" s="9">
        <v>0</v>
      </c>
      <c r="EA75" s="9">
        <v>0</v>
      </c>
      <c r="EB75" s="9">
        <v>0</v>
      </c>
      <c r="EC75" s="9">
        <v>48.695</v>
      </c>
      <c r="ED75" s="9">
        <v>350687</v>
      </c>
      <c r="EE75" s="9">
        <v>0</v>
      </c>
      <c r="EF75" s="9">
        <v>0</v>
      </c>
      <c r="EG75" s="9">
        <v>0</v>
      </c>
      <c r="EH75" s="9">
        <v>404048</v>
      </c>
      <c r="EI75" s="9">
        <v>0</v>
      </c>
      <c r="EJ75" s="9">
        <v>0</v>
      </c>
      <c r="EK75" s="9">
        <v>17.490000000000002</v>
      </c>
      <c r="EL75" s="9">
        <v>0</v>
      </c>
      <c r="EM75" s="9">
        <v>0</v>
      </c>
      <c r="EN75" s="9">
        <v>1.8490000000000002</v>
      </c>
      <c r="EO75" s="9">
        <v>0</v>
      </c>
      <c r="EP75" s="9">
        <v>0</v>
      </c>
      <c r="EQ75" s="9">
        <v>19.339000000000002</v>
      </c>
      <c r="ER75" s="9">
        <v>0</v>
      </c>
      <c r="ES75" s="9">
        <v>61.715000000000003</v>
      </c>
      <c r="ET75" s="10">
        <v>0</v>
      </c>
      <c r="EU75" s="9">
        <v>638982</v>
      </c>
      <c r="EV75" s="9">
        <v>0</v>
      </c>
      <c r="EW75" s="9">
        <v>0</v>
      </c>
      <c r="EX75" s="9">
        <v>0</v>
      </c>
      <c r="EY75" s="9">
        <v>0</v>
      </c>
      <c r="EZ75" s="9">
        <v>8702525</v>
      </c>
      <c r="FA75" s="9">
        <v>0</v>
      </c>
      <c r="FB75" s="10">
        <v>9341507</v>
      </c>
      <c r="FC75" s="9">
        <v>0.97326799999999991</v>
      </c>
      <c r="FD75" s="9">
        <v>0</v>
      </c>
      <c r="FE75" s="9">
        <v>1396950</v>
      </c>
      <c r="FF75" s="9">
        <v>297480</v>
      </c>
      <c r="FG75" s="9">
        <v>5.8088000000000001E-2</v>
      </c>
      <c r="FH75" s="9">
        <v>5.2622999999999996E-2</v>
      </c>
      <c r="FI75" s="9">
        <v>0</v>
      </c>
      <c r="FJ75" s="9">
        <v>0</v>
      </c>
      <c r="FK75" s="9">
        <v>1769.3390000000002</v>
      </c>
      <c r="FL75" s="9">
        <v>11263278</v>
      </c>
      <c r="FM75" s="9">
        <v>0</v>
      </c>
      <c r="FN75" s="9">
        <v>0</v>
      </c>
      <c r="FO75" s="9">
        <v>0</v>
      </c>
      <c r="FP75" s="9">
        <v>0</v>
      </c>
      <c r="FQ75" s="9">
        <v>0</v>
      </c>
      <c r="FR75" s="9">
        <v>0</v>
      </c>
      <c r="FS75" s="9">
        <v>0</v>
      </c>
      <c r="FT75" s="9">
        <v>0</v>
      </c>
      <c r="FU75" s="9">
        <v>0</v>
      </c>
      <c r="FV75" s="9">
        <v>0</v>
      </c>
      <c r="FW75" s="9">
        <v>0</v>
      </c>
      <c r="FX75" s="9">
        <v>0</v>
      </c>
      <c r="FY75" s="9">
        <v>0</v>
      </c>
      <c r="FZ75" s="9">
        <v>0</v>
      </c>
      <c r="GA75" s="9">
        <v>0</v>
      </c>
      <c r="GB75" s="10">
        <v>0</v>
      </c>
      <c r="GC75" s="10">
        <v>0</v>
      </c>
      <c r="GD75" s="10">
        <v>0</v>
      </c>
      <c r="GE75" s="9">
        <v>0</v>
      </c>
      <c r="GF75" s="9">
        <v>0</v>
      </c>
      <c r="GG75" s="9">
        <v>0</v>
      </c>
      <c r="GH75" s="9">
        <v>0</v>
      </c>
      <c r="GI75" s="9">
        <v>0</v>
      </c>
      <c r="GJ75" s="9">
        <v>0</v>
      </c>
      <c r="GK75" s="9">
        <v>4971</v>
      </c>
      <c r="GL75" s="9">
        <v>0</v>
      </c>
      <c r="GM75" s="9">
        <v>0</v>
      </c>
      <c r="GN75" s="9">
        <v>0</v>
      </c>
      <c r="GO75" s="9">
        <v>0</v>
      </c>
      <c r="GP75" s="9">
        <v>11035937</v>
      </c>
      <c r="GQ75" s="9">
        <v>11035937</v>
      </c>
      <c r="GR75" s="9">
        <v>0</v>
      </c>
      <c r="GS75" s="9">
        <v>0</v>
      </c>
      <c r="GT75" s="9">
        <v>0</v>
      </c>
      <c r="GU75" s="9">
        <v>0</v>
      </c>
      <c r="GV75" s="9">
        <v>0</v>
      </c>
      <c r="GW75" s="9">
        <v>0</v>
      </c>
      <c r="GX75" s="9">
        <v>0</v>
      </c>
      <c r="GY75" s="9">
        <v>0</v>
      </c>
      <c r="GZ75" s="9">
        <v>0</v>
      </c>
      <c r="HA75" s="9">
        <v>0</v>
      </c>
      <c r="HB75" s="9">
        <v>300501363</v>
      </c>
      <c r="HC75" s="9">
        <v>4.4742999999999998E-2</v>
      </c>
      <c r="HD75" s="10">
        <v>227341</v>
      </c>
      <c r="HE75" s="9">
        <v>0</v>
      </c>
      <c r="HF75" s="9">
        <v>0</v>
      </c>
      <c r="HG75" s="9">
        <v>0</v>
      </c>
      <c r="HH75" s="9">
        <v>0</v>
      </c>
      <c r="HI75" s="9">
        <v>0</v>
      </c>
      <c r="HJ75" s="9">
        <v>0</v>
      </c>
      <c r="HK75" s="9">
        <v>0</v>
      </c>
      <c r="HL75" s="9">
        <v>0</v>
      </c>
      <c r="HM75" s="9">
        <v>0</v>
      </c>
      <c r="HN75" s="9">
        <v>0</v>
      </c>
      <c r="HO75" s="9">
        <v>0</v>
      </c>
      <c r="HP75" s="9">
        <v>0</v>
      </c>
      <c r="HQ75" s="9">
        <v>0</v>
      </c>
      <c r="HR75" s="9">
        <v>0</v>
      </c>
      <c r="HS75" s="9">
        <v>0</v>
      </c>
      <c r="HT75" s="9">
        <v>0</v>
      </c>
      <c r="HU75" s="9">
        <v>0</v>
      </c>
      <c r="HV75" s="9">
        <v>0</v>
      </c>
      <c r="HW75" s="9">
        <v>0</v>
      </c>
      <c r="HX75" s="9">
        <v>0</v>
      </c>
      <c r="HY75" s="9">
        <v>0</v>
      </c>
      <c r="HZ75" s="9">
        <v>0</v>
      </c>
      <c r="IA75" s="9">
        <v>0</v>
      </c>
      <c r="IB75" s="9">
        <v>0</v>
      </c>
      <c r="IC75" s="9">
        <v>0</v>
      </c>
      <c r="ID75" s="9">
        <v>0</v>
      </c>
      <c r="IE75" s="9">
        <v>0</v>
      </c>
      <c r="IF75" s="9">
        <v>0</v>
      </c>
      <c r="IG75" s="9">
        <v>0</v>
      </c>
      <c r="IH75" s="9">
        <v>0</v>
      </c>
      <c r="II75" s="9">
        <v>0</v>
      </c>
      <c r="IJ75" s="9">
        <v>0</v>
      </c>
      <c r="IK75" s="9">
        <v>0</v>
      </c>
      <c r="IL75" s="9">
        <v>0</v>
      </c>
      <c r="IM75" s="9">
        <v>0</v>
      </c>
      <c r="IN75" s="9">
        <v>0</v>
      </c>
      <c r="IO75" s="9">
        <v>0</v>
      </c>
      <c r="IP75" s="9">
        <v>0</v>
      </c>
      <c r="IQ75" s="9">
        <v>0</v>
      </c>
      <c r="IR75" s="9">
        <v>0</v>
      </c>
      <c r="IS75" s="9">
        <v>0</v>
      </c>
      <c r="IT75" s="9">
        <v>0</v>
      </c>
      <c r="IU75" s="9">
        <v>0</v>
      </c>
      <c r="IV75" s="9">
        <v>0</v>
      </c>
      <c r="IW75" s="9">
        <v>0</v>
      </c>
      <c r="IX75" s="9">
        <v>0</v>
      </c>
      <c r="IY75" s="9">
        <v>0</v>
      </c>
      <c r="IZ75" s="9">
        <v>0</v>
      </c>
      <c r="JA75" s="9">
        <v>0</v>
      </c>
      <c r="JB75" s="9">
        <v>0</v>
      </c>
      <c r="JC75" s="9">
        <v>0</v>
      </c>
      <c r="JD75" s="9">
        <v>0</v>
      </c>
      <c r="JE75" s="9">
        <v>0</v>
      </c>
      <c r="JF75" s="9">
        <v>0</v>
      </c>
      <c r="JG75" s="9">
        <v>0</v>
      </c>
      <c r="JH75" s="9">
        <v>0</v>
      </c>
      <c r="JI75" s="9">
        <v>0</v>
      </c>
      <c r="JJ75" s="9">
        <v>0</v>
      </c>
      <c r="JK75" s="9">
        <v>0</v>
      </c>
      <c r="JL75" s="9">
        <v>0</v>
      </c>
      <c r="JM75" s="9">
        <v>0</v>
      </c>
      <c r="JN75" s="9">
        <v>36832</v>
      </c>
      <c r="JO75" s="9">
        <v>0</v>
      </c>
      <c r="JP75" s="9">
        <v>0</v>
      </c>
      <c r="JQ75" s="9">
        <v>0</v>
      </c>
      <c r="JR75" s="9">
        <v>0</v>
      </c>
      <c r="JS75" s="9">
        <v>0</v>
      </c>
      <c r="JT75" s="9">
        <v>0</v>
      </c>
      <c r="JU75" s="9">
        <v>0</v>
      </c>
      <c r="JV75" s="9">
        <v>0</v>
      </c>
      <c r="JW75" s="9">
        <v>0</v>
      </c>
      <c r="JX75" s="9">
        <v>0</v>
      </c>
      <c r="JY75" s="9">
        <v>0</v>
      </c>
      <c r="JZ75" s="9">
        <v>0</v>
      </c>
      <c r="KA75" s="9">
        <v>0</v>
      </c>
      <c r="KB75" s="9">
        <v>0</v>
      </c>
      <c r="KC75" s="9">
        <v>0</v>
      </c>
      <c r="KD75" s="9">
        <v>0</v>
      </c>
      <c r="KE75" s="9">
        <v>0</v>
      </c>
      <c r="KF75" s="9">
        <v>0</v>
      </c>
      <c r="KG75" s="9">
        <v>0</v>
      </c>
      <c r="KH75" s="9">
        <v>0</v>
      </c>
      <c r="KI75" s="9">
        <v>0</v>
      </c>
    </row>
    <row r="76" spans="1:295" x14ac:dyDescent="0.25">
      <c r="A76" s="9">
        <v>68803</v>
      </c>
      <c r="B76" s="9">
        <v>36871</v>
      </c>
      <c r="C76" s="9">
        <v>35</v>
      </c>
      <c r="D76" s="9">
        <v>2023</v>
      </c>
      <c r="E76" s="9">
        <v>5392</v>
      </c>
      <c r="F76" s="9">
        <v>0</v>
      </c>
      <c r="G76" s="9">
        <v>0</v>
      </c>
      <c r="H76" s="9">
        <v>744.81600000000003</v>
      </c>
      <c r="I76" s="9">
        <v>744.81600000000003</v>
      </c>
      <c r="J76" s="9">
        <v>790.62400000000002</v>
      </c>
      <c r="K76" s="9">
        <v>0</v>
      </c>
      <c r="L76" s="9">
        <v>6547</v>
      </c>
      <c r="M76" s="9">
        <v>0</v>
      </c>
      <c r="N76" s="9">
        <v>0</v>
      </c>
      <c r="O76" s="9">
        <v>0</v>
      </c>
      <c r="P76" s="9">
        <v>725.88499999999999</v>
      </c>
      <c r="Q76" s="9">
        <v>0</v>
      </c>
      <c r="R76" s="9">
        <v>353449</v>
      </c>
      <c r="S76" s="9">
        <v>486.92200000000003</v>
      </c>
      <c r="T76" s="9">
        <v>0</v>
      </c>
      <c r="U76" s="9">
        <v>353449</v>
      </c>
      <c r="V76" s="9">
        <v>13.902000000000001</v>
      </c>
      <c r="W76" s="9">
        <v>9102</v>
      </c>
      <c r="X76" s="9">
        <v>9102</v>
      </c>
      <c r="Y76" s="9">
        <v>0</v>
      </c>
      <c r="Z76" s="9">
        <v>0</v>
      </c>
      <c r="AA76" s="9">
        <v>1</v>
      </c>
      <c r="AB76" s="9">
        <v>1</v>
      </c>
      <c r="AC76" s="9">
        <v>0</v>
      </c>
      <c r="AD76" s="9" t="s">
        <v>314</v>
      </c>
      <c r="AE76" s="9">
        <v>0</v>
      </c>
      <c r="AF76" s="9">
        <v>0</v>
      </c>
      <c r="AG76" s="9">
        <v>0</v>
      </c>
      <c r="AH76" s="9">
        <v>0</v>
      </c>
      <c r="AI76" s="9">
        <v>0</v>
      </c>
      <c r="AJ76" s="9">
        <v>5104</v>
      </c>
      <c r="AK76" s="9" t="s">
        <v>651</v>
      </c>
      <c r="AL76" s="9" t="s">
        <v>336</v>
      </c>
      <c r="AM76" s="9">
        <v>0</v>
      </c>
      <c r="AN76" s="9">
        <v>0</v>
      </c>
      <c r="AO76" s="9">
        <v>0</v>
      </c>
      <c r="AP76" s="9">
        <v>0</v>
      </c>
      <c r="AQ76" s="9">
        <v>0</v>
      </c>
      <c r="AR76" s="9">
        <v>0</v>
      </c>
      <c r="AS76" s="9">
        <v>0</v>
      </c>
      <c r="AT76" s="9">
        <v>0</v>
      </c>
      <c r="AU76" s="9">
        <v>0</v>
      </c>
      <c r="AV76" s="9">
        <v>-53645</v>
      </c>
      <c r="AW76" s="9">
        <v>6534511</v>
      </c>
      <c r="AX76" s="9">
        <v>6345499</v>
      </c>
      <c r="AY76" s="9">
        <v>6758390</v>
      </c>
      <c r="AZ76" s="9">
        <v>403084</v>
      </c>
      <c r="BA76" s="9">
        <v>0</v>
      </c>
      <c r="BB76" s="9">
        <v>31057</v>
      </c>
      <c r="BC76" s="9">
        <v>31057</v>
      </c>
      <c r="BD76" s="9">
        <v>39.530999999999999</v>
      </c>
      <c r="BE76" s="9">
        <v>0</v>
      </c>
      <c r="BF76" s="9">
        <v>5513055</v>
      </c>
      <c r="BG76" s="9">
        <v>0</v>
      </c>
      <c r="BH76" s="9">
        <v>180.49</v>
      </c>
      <c r="BI76" s="9">
        <v>49635</v>
      </c>
      <c r="BJ76" s="9">
        <v>12</v>
      </c>
      <c r="BK76" s="9">
        <v>0</v>
      </c>
      <c r="BL76" s="9">
        <v>0</v>
      </c>
      <c r="BM76" s="9">
        <v>0</v>
      </c>
      <c r="BN76" s="9">
        <v>0</v>
      </c>
      <c r="BO76" s="9">
        <v>0</v>
      </c>
      <c r="BP76" s="9">
        <v>0</v>
      </c>
      <c r="BQ76" s="9">
        <v>5392</v>
      </c>
      <c r="BR76" s="9">
        <v>1</v>
      </c>
      <c r="BS76" s="9">
        <v>0</v>
      </c>
      <c r="BT76" s="9">
        <v>0</v>
      </c>
      <c r="BU76" s="9">
        <v>0</v>
      </c>
      <c r="BV76" s="9">
        <v>0</v>
      </c>
      <c r="BW76" s="9">
        <v>0</v>
      </c>
      <c r="BX76" s="9">
        <v>0</v>
      </c>
      <c r="BY76" s="9">
        <v>0</v>
      </c>
      <c r="BZ76" s="9">
        <v>0</v>
      </c>
      <c r="CA76" s="9">
        <v>0</v>
      </c>
      <c r="CB76" s="9">
        <v>0</v>
      </c>
      <c r="CC76" s="9">
        <v>0</v>
      </c>
      <c r="CD76" s="9">
        <v>0</v>
      </c>
      <c r="CE76" s="9">
        <v>0</v>
      </c>
      <c r="CF76" s="9">
        <v>0</v>
      </c>
      <c r="CG76" s="9">
        <v>0</v>
      </c>
      <c r="CH76" s="9">
        <v>139377</v>
      </c>
      <c r="CI76" s="9">
        <v>0</v>
      </c>
      <c r="CJ76" s="9">
        <v>4</v>
      </c>
      <c r="CK76" s="9">
        <v>0</v>
      </c>
      <c r="CL76" s="9">
        <v>0</v>
      </c>
      <c r="CM76" s="9">
        <v>0</v>
      </c>
      <c r="CN76" s="9">
        <v>0</v>
      </c>
      <c r="CO76" s="9">
        <v>0</v>
      </c>
      <c r="CP76" s="9">
        <v>0</v>
      </c>
      <c r="CQ76" s="9">
        <v>0</v>
      </c>
      <c r="CR76" s="9">
        <v>721.59500000000003</v>
      </c>
      <c r="CS76" s="9">
        <v>0</v>
      </c>
      <c r="CT76" s="9">
        <v>0</v>
      </c>
      <c r="CU76" s="9">
        <v>0</v>
      </c>
      <c r="CV76" s="9">
        <v>0</v>
      </c>
      <c r="CW76" s="9">
        <v>0</v>
      </c>
      <c r="CX76" s="9">
        <v>0</v>
      </c>
      <c r="CY76" s="9">
        <v>0</v>
      </c>
      <c r="CZ76" s="9">
        <v>0</v>
      </c>
      <c r="DA76" s="9">
        <v>1</v>
      </c>
      <c r="DB76" s="9">
        <v>4876310</v>
      </c>
      <c r="DC76" s="9">
        <v>0</v>
      </c>
      <c r="DD76" s="9">
        <v>0</v>
      </c>
      <c r="DE76" s="9">
        <v>133781</v>
      </c>
      <c r="DF76" s="9">
        <v>133781</v>
      </c>
      <c r="DG76" s="9">
        <v>102.17</v>
      </c>
      <c r="DH76" s="9">
        <v>0</v>
      </c>
      <c r="DI76" s="9">
        <v>0</v>
      </c>
      <c r="DJ76" s="9">
        <v>0</v>
      </c>
      <c r="DK76" s="9">
        <v>5392</v>
      </c>
      <c r="DL76" s="9">
        <v>0</v>
      </c>
      <c r="DM76" s="9">
        <v>217311</v>
      </c>
      <c r="DN76" s="9">
        <v>0</v>
      </c>
      <c r="DO76" s="9">
        <v>0</v>
      </c>
      <c r="DP76" s="9">
        <v>0</v>
      </c>
      <c r="DQ76" s="9">
        <v>0</v>
      </c>
      <c r="DR76" s="9">
        <v>0</v>
      </c>
      <c r="DS76" s="9">
        <v>0</v>
      </c>
      <c r="DT76" s="9">
        <v>0</v>
      </c>
      <c r="DU76" s="9">
        <v>0</v>
      </c>
      <c r="DV76" s="9">
        <v>0</v>
      </c>
      <c r="DW76" s="9">
        <v>0</v>
      </c>
      <c r="DX76" s="9">
        <v>0</v>
      </c>
      <c r="DY76" s="9">
        <v>0</v>
      </c>
      <c r="DZ76" s="9">
        <v>0</v>
      </c>
      <c r="EA76" s="9">
        <v>0</v>
      </c>
      <c r="EB76" s="9">
        <v>0</v>
      </c>
      <c r="EC76" s="9">
        <v>26.084</v>
      </c>
      <c r="ED76" s="9">
        <v>187849</v>
      </c>
      <c r="EE76" s="9">
        <v>0</v>
      </c>
      <c r="EF76" s="9">
        <v>0</v>
      </c>
      <c r="EG76" s="9">
        <v>0</v>
      </c>
      <c r="EH76" s="9">
        <v>29462</v>
      </c>
      <c r="EI76" s="9">
        <v>0</v>
      </c>
      <c r="EJ76" s="9">
        <v>0</v>
      </c>
      <c r="EK76" s="9">
        <v>0</v>
      </c>
      <c r="EL76" s="9">
        <v>0</v>
      </c>
      <c r="EM76" s="9">
        <v>0</v>
      </c>
      <c r="EN76" s="9">
        <v>0.9</v>
      </c>
      <c r="EO76" s="9">
        <v>0</v>
      </c>
      <c r="EP76" s="9">
        <v>0</v>
      </c>
      <c r="EQ76" s="9">
        <v>0.9</v>
      </c>
      <c r="ER76" s="9">
        <v>0</v>
      </c>
      <c r="ES76" s="9">
        <v>4.5</v>
      </c>
      <c r="ET76" s="9">
        <v>0</v>
      </c>
      <c r="EU76" s="9">
        <v>403084</v>
      </c>
      <c r="EV76" s="9">
        <v>0</v>
      </c>
      <c r="EW76" s="9">
        <v>0</v>
      </c>
      <c r="EX76" s="9">
        <v>0</v>
      </c>
      <c r="EY76" s="9">
        <v>0</v>
      </c>
      <c r="EZ76" s="9">
        <v>5311029</v>
      </c>
      <c r="FA76" s="9">
        <v>0</v>
      </c>
      <c r="FB76" s="9">
        <v>5714113</v>
      </c>
      <c r="FC76" s="9">
        <v>0.97326799999999991</v>
      </c>
      <c r="FD76" s="9">
        <v>0</v>
      </c>
      <c r="FE76" s="9">
        <v>852855</v>
      </c>
      <c r="FF76" s="9">
        <v>181615</v>
      </c>
      <c r="FG76" s="9">
        <v>5.8088000000000001E-2</v>
      </c>
      <c r="FH76" s="9">
        <v>5.2622999999999996E-2</v>
      </c>
      <c r="FI76" s="9">
        <v>0</v>
      </c>
      <c r="FJ76" s="9">
        <v>0</v>
      </c>
      <c r="FK76" s="9">
        <v>1080.203</v>
      </c>
      <c r="FL76" s="9">
        <v>6887960</v>
      </c>
      <c r="FM76" s="9">
        <v>0</v>
      </c>
      <c r="FN76" s="9">
        <v>0</v>
      </c>
      <c r="FO76" s="9">
        <v>0</v>
      </c>
      <c r="FP76" s="9">
        <v>0</v>
      </c>
      <c r="FQ76" s="9">
        <v>0</v>
      </c>
      <c r="FR76" s="9">
        <v>0</v>
      </c>
      <c r="FS76" s="9">
        <v>0</v>
      </c>
      <c r="FT76" s="9">
        <v>0</v>
      </c>
      <c r="FU76" s="9">
        <v>0</v>
      </c>
      <c r="FV76" s="9">
        <v>0</v>
      </c>
      <c r="FW76" s="9">
        <v>0</v>
      </c>
      <c r="FX76" s="9">
        <v>0</v>
      </c>
      <c r="FY76" s="9">
        <v>0</v>
      </c>
      <c r="FZ76" s="9">
        <v>0</v>
      </c>
      <c r="GA76" s="9">
        <v>0</v>
      </c>
      <c r="GB76" s="9">
        <v>396917</v>
      </c>
      <c r="GC76" s="9">
        <v>396917</v>
      </c>
      <c r="GD76" s="9">
        <v>44.908000000000001</v>
      </c>
      <c r="GE76" s="9">
        <v>0</v>
      </c>
      <c r="GF76" s="9">
        <v>0</v>
      </c>
      <c r="GG76" s="9">
        <v>0</v>
      </c>
      <c r="GH76" s="9">
        <v>0</v>
      </c>
      <c r="GI76" s="9">
        <v>0</v>
      </c>
      <c r="GJ76" s="9">
        <v>0</v>
      </c>
      <c r="GK76" s="9">
        <v>0</v>
      </c>
      <c r="GL76" s="9">
        <v>0</v>
      </c>
      <c r="GM76" s="9">
        <v>0</v>
      </c>
      <c r="GN76" s="9">
        <v>0</v>
      </c>
      <c r="GO76" s="9">
        <v>0</v>
      </c>
      <c r="GP76" s="9">
        <v>6748583</v>
      </c>
      <c r="GQ76" s="9">
        <v>6748583</v>
      </c>
      <c r="GR76" s="9">
        <v>0</v>
      </c>
      <c r="GS76" s="9">
        <v>0</v>
      </c>
      <c r="GT76" s="9">
        <v>0</v>
      </c>
      <c r="GU76" s="9">
        <v>0</v>
      </c>
      <c r="GV76" s="9">
        <v>0</v>
      </c>
      <c r="GW76" s="9">
        <v>0</v>
      </c>
      <c r="GX76" s="9">
        <v>0</v>
      </c>
      <c r="GY76" s="9">
        <v>0</v>
      </c>
      <c r="GZ76" s="9">
        <v>0</v>
      </c>
      <c r="HA76" s="9">
        <v>0</v>
      </c>
      <c r="HB76" s="9">
        <v>300501363</v>
      </c>
      <c r="HC76" s="9">
        <v>4.4742999999999998E-2</v>
      </c>
      <c r="HD76" s="9">
        <v>139377</v>
      </c>
      <c r="HE76" s="9">
        <v>0</v>
      </c>
      <c r="HF76" s="9">
        <v>0</v>
      </c>
      <c r="HG76" s="9">
        <v>0</v>
      </c>
      <c r="HH76" s="9">
        <v>0</v>
      </c>
      <c r="HI76" s="9">
        <v>0</v>
      </c>
      <c r="HJ76" s="9">
        <v>0</v>
      </c>
      <c r="HK76" s="9">
        <v>0</v>
      </c>
      <c r="HL76" s="9">
        <v>0</v>
      </c>
      <c r="HM76" s="9">
        <v>0</v>
      </c>
      <c r="HN76" s="9">
        <v>0</v>
      </c>
      <c r="HO76" s="9">
        <v>0</v>
      </c>
      <c r="HP76" s="9">
        <v>0</v>
      </c>
      <c r="HQ76" s="9">
        <v>0</v>
      </c>
      <c r="HR76" s="9">
        <v>0</v>
      </c>
      <c r="HS76" s="9">
        <v>0</v>
      </c>
      <c r="HT76" s="9">
        <v>0</v>
      </c>
      <c r="HU76" s="9">
        <v>0</v>
      </c>
      <c r="HV76" s="9">
        <v>0</v>
      </c>
      <c r="HW76" s="9">
        <v>0</v>
      </c>
      <c r="HX76" s="9">
        <v>0</v>
      </c>
      <c r="HY76" s="9">
        <v>0</v>
      </c>
      <c r="HZ76" s="9">
        <v>0</v>
      </c>
      <c r="IA76" s="9">
        <v>0</v>
      </c>
      <c r="IB76" s="9">
        <v>0</v>
      </c>
      <c r="IC76" s="9">
        <v>0</v>
      </c>
      <c r="ID76" s="9">
        <v>0</v>
      </c>
      <c r="IE76" s="9">
        <v>0</v>
      </c>
      <c r="IF76" s="9">
        <v>0</v>
      </c>
      <c r="IG76" s="9">
        <v>0</v>
      </c>
      <c r="IH76" s="9">
        <v>0</v>
      </c>
      <c r="II76" s="9">
        <v>0</v>
      </c>
      <c r="IJ76" s="9">
        <v>0</v>
      </c>
      <c r="IK76" s="9">
        <v>0</v>
      </c>
      <c r="IL76" s="9">
        <v>0</v>
      </c>
      <c r="IM76" s="9">
        <v>0</v>
      </c>
      <c r="IN76" s="9">
        <v>0</v>
      </c>
      <c r="IO76" s="9">
        <v>0</v>
      </c>
      <c r="IP76" s="9">
        <v>0</v>
      </c>
      <c r="IQ76" s="9">
        <v>0</v>
      </c>
      <c r="IR76" s="9">
        <v>0</v>
      </c>
      <c r="IS76" s="9">
        <v>0</v>
      </c>
      <c r="IT76" s="9">
        <v>0</v>
      </c>
      <c r="IU76" s="9">
        <v>0</v>
      </c>
      <c r="IV76" s="9">
        <v>0</v>
      </c>
      <c r="IW76" s="9">
        <v>0</v>
      </c>
      <c r="IX76" s="9">
        <v>0</v>
      </c>
      <c r="IY76" s="9">
        <v>0</v>
      </c>
      <c r="IZ76" s="9">
        <v>0</v>
      </c>
      <c r="JA76" s="9">
        <v>0</v>
      </c>
      <c r="JB76" s="9">
        <v>0</v>
      </c>
      <c r="JC76" s="9">
        <v>0</v>
      </c>
      <c r="JD76" s="9">
        <v>0</v>
      </c>
      <c r="JE76" s="9">
        <v>0</v>
      </c>
      <c r="JF76" s="9">
        <v>0</v>
      </c>
      <c r="JG76" s="9">
        <v>0</v>
      </c>
      <c r="JH76" s="9">
        <v>0</v>
      </c>
      <c r="JI76" s="9">
        <v>0</v>
      </c>
      <c r="JJ76" s="9">
        <v>0</v>
      </c>
      <c r="JK76" s="9">
        <v>0</v>
      </c>
      <c r="JL76" s="9">
        <v>0</v>
      </c>
      <c r="JM76" s="9">
        <v>0</v>
      </c>
      <c r="JN76" s="9">
        <v>36832</v>
      </c>
      <c r="JO76" s="9">
        <v>0</v>
      </c>
      <c r="JP76" s="9">
        <v>0</v>
      </c>
      <c r="JQ76" s="9">
        <v>0</v>
      </c>
      <c r="JR76" s="9">
        <v>0</v>
      </c>
      <c r="JS76" s="9">
        <v>0</v>
      </c>
      <c r="JT76" s="9">
        <v>0</v>
      </c>
      <c r="JU76" s="9">
        <v>0</v>
      </c>
      <c r="JV76" s="9">
        <v>0</v>
      </c>
      <c r="JW76" s="9">
        <v>0</v>
      </c>
      <c r="JX76" s="9">
        <v>0</v>
      </c>
      <c r="JY76" s="9">
        <v>0</v>
      </c>
      <c r="JZ76" s="9">
        <v>0</v>
      </c>
      <c r="KA76" s="9">
        <v>0</v>
      </c>
      <c r="KB76" s="9">
        <v>0</v>
      </c>
      <c r="KC76" s="9">
        <v>0</v>
      </c>
      <c r="KD76" s="9">
        <v>0</v>
      </c>
      <c r="KE76" s="9">
        <v>0</v>
      </c>
      <c r="KF76" s="9">
        <v>0</v>
      </c>
      <c r="KG76" s="9">
        <v>0</v>
      </c>
      <c r="KH76" s="9">
        <v>0</v>
      </c>
      <c r="KI76" s="9">
        <v>0</v>
      </c>
    </row>
    <row r="77" spans="1:295" ht="13" x14ac:dyDescent="0.3">
      <c r="A77" s="9">
        <v>70801</v>
      </c>
      <c r="B77" s="9">
        <v>36871</v>
      </c>
      <c r="C77" s="9">
        <v>35</v>
      </c>
      <c r="D77" s="9">
        <v>2023</v>
      </c>
      <c r="E77" s="9">
        <v>5392</v>
      </c>
      <c r="F77" s="9">
        <v>0</v>
      </c>
      <c r="G77" s="9">
        <v>0</v>
      </c>
      <c r="H77" s="9">
        <v>2276.6680000000001</v>
      </c>
      <c r="I77" s="9">
        <v>2276.6680000000001</v>
      </c>
      <c r="J77" s="9">
        <v>2415.4259999999999</v>
      </c>
      <c r="K77" s="9">
        <v>0</v>
      </c>
      <c r="L77" s="9">
        <v>6547</v>
      </c>
      <c r="M77" s="9">
        <v>0</v>
      </c>
      <c r="N77" s="9">
        <v>0</v>
      </c>
      <c r="O77" s="9">
        <v>0</v>
      </c>
      <c r="P77" s="9">
        <v>2376.0170000000003</v>
      </c>
      <c r="Q77" s="9">
        <v>0</v>
      </c>
      <c r="R77" s="10">
        <v>1156935</v>
      </c>
      <c r="S77" s="9">
        <v>486.92200000000003</v>
      </c>
      <c r="T77" s="9">
        <v>0</v>
      </c>
      <c r="U77" s="10">
        <v>1156935</v>
      </c>
      <c r="V77" s="10">
        <v>1286.0309999999999</v>
      </c>
      <c r="W77" s="10">
        <v>841964</v>
      </c>
      <c r="X77" s="10">
        <v>841964</v>
      </c>
      <c r="Y77" s="9">
        <v>0</v>
      </c>
      <c r="Z77" s="9">
        <v>0</v>
      </c>
      <c r="AA77" s="9">
        <v>1</v>
      </c>
      <c r="AB77" s="9">
        <v>1</v>
      </c>
      <c r="AC77" s="9">
        <v>0</v>
      </c>
      <c r="AD77" s="9" t="s">
        <v>314</v>
      </c>
      <c r="AE77" s="9">
        <v>0</v>
      </c>
      <c r="AF77" s="9">
        <v>0</v>
      </c>
      <c r="AG77" s="9">
        <v>0</v>
      </c>
      <c r="AH77" s="9">
        <v>0</v>
      </c>
      <c r="AI77" s="9">
        <v>0</v>
      </c>
      <c r="AJ77" s="9">
        <v>5104</v>
      </c>
      <c r="AK77" s="9" t="s">
        <v>651</v>
      </c>
      <c r="AL77" s="9" t="s">
        <v>49</v>
      </c>
      <c r="AM77" s="9">
        <v>0</v>
      </c>
      <c r="AN77" s="9">
        <v>0</v>
      </c>
      <c r="AO77" s="9">
        <v>0</v>
      </c>
      <c r="AP77" s="9">
        <v>0</v>
      </c>
      <c r="AQ77" s="9">
        <v>0</v>
      </c>
      <c r="AR77" s="9">
        <v>0</v>
      </c>
      <c r="AS77" s="9">
        <v>0</v>
      </c>
      <c r="AT77" s="9">
        <v>0</v>
      </c>
      <c r="AU77" s="9">
        <v>0</v>
      </c>
      <c r="AV77" s="9">
        <v>-1237092</v>
      </c>
      <c r="AW77" s="9">
        <v>25156169</v>
      </c>
      <c r="AX77" s="9">
        <v>24487196</v>
      </c>
      <c r="AY77" s="9">
        <v>26302317</v>
      </c>
      <c r="AZ77" s="9">
        <v>1323704</v>
      </c>
      <c r="BA77" s="10">
        <v>150.083</v>
      </c>
      <c r="BB77" s="9">
        <v>68351</v>
      </c>
      <c r="BC77" s="9">
        <v>68351</v>
      </c>
      <c r="BD77" s="9">
        <v>87</v>
      </c>
      <c r="BE77" s="9">
        <v>0</v>
      </c>
      <c r="BF77" s="9">
        <v>21104433</v>
      </c>
      <c r="BG77" s="9">
        <v>0</v>
      </c>
      <c r="BH77" s="10">
        <v>606.43400000000008</v>
      </c>
      <c r="BI77" s="10">
        <v>166769</v>
      </c>
      <c r="BJ77" s="9">
        <v>12</v>
      </c>
      <c r="BK77" s="9">
        <v>0</v>
      </c>
      <c r="BL77" s="9">
        <v>0</v>
      </c>
      <c r="BM77" s="9">
        <v>0</v>
      </c>
      <c r="BN77" s="9">
        <v>0</v>
      </c>
      <c r="BO77" s="9">
        <v>0</v>
      </c>
      <c r="BP77" s="9">
        <v>0</v>
      </c>
      <c r="BQ77" s="9">
        <v>5392</v>
      </c>
      <c r="BR77" s="9">
        <v>1</v>
      </c>
      <c r="BS77" s="9">
        <v>0</v>
      </c>
      <c r="BT77" s="9">
        <v>0</v>
      </c>
      <c r="BU77" s="9">
        <v>0</v>
      </c>
      <c r="BV77" s="9">
        <v>0</v>
      </c>
      <c r="BW77" s="9">
        <v>0</v>
      </c>
      <c r="BX77" s="9">
        <v>0</v>
      </c>
      <c r="BY77" s="9">
        <v>0</v>
      </c>
      <c r="BZ77" s="9">
        <v>0</v>
      </c>
      <c r="CA77" s="9">
        <v>0</v>
      </c>
      <c r="CB77" s="9">
        <v>0</v>
      </c>
      <c r="CC77" s="9">
        <v>0</v>
      </c>
      <c r="CD77" s="9">
        <v>0</v>
      </c>
      <c r="CE77" s="9">
        <v>0</v>
      </c>
      <c r="CF77" s="9">
        <v>0</v>
      </c>
      <c r="CG77" s="9">
        <v>0</v>
      </c>
      <c r="CH77" s="10">
        <v>502204</v>
      </c>
      <c r="CI77" s="9">
        <v>0</v>
      </c>
      <c r="CJ77" s="9">
        <v>4</v>
      </c>
      <c r="CK77" s="9">
        <v>0</v>
      </c>
      <c r="CL77" s="9">
        <v>0</v>
      </c>
      <c r="CM77" s="9">
        <v>0</v>
      </c>
      <c r="CN77" s="9">
        <v>0</v>
      </c>
      <c r="CO77" s="9">
        <v>0</v>
      </c>
      <c r="CP77" s="9">
        <v>0</v>
      </c>
      <c r="CQ77" s="9">
        <v>5.4170000000000007</v>
      </c>
      <c r="CR77" s="9">
        <v>2254.2380000000003</v>
      </c>
      <c r="CS77" s="9">
        <v>0</v>
      </c>
      <c r="CT77" s="9">
        <v>0</v>
      </c>
      <c r="CU77" s="9">
        <v>0</v>
      </c>
      <c r="CV77" s="9">
        <v>0</v>
      </c>
      <c r="CW77" s="9">
        <v>0</v>
      </c>
      <c r="CX77" s="9">
        <v>0</v>
      </c>
      <c r="CY77" s="9">
        <v>0</v>
      </c>
      <c r="CZ77" s="9">
        <v>0</v>
      </c>
      <c r="DA77" s="9">
        <v>1</v>
      </c>
      <c r="DB77" s="9">
        <v>14905345</v>
      </c>
      <c r="DC77" s="9">
        <v>0</v>
      </c>
      <c r="DD77" s="9">
        <v>0</v>
      </c>
      <c r="DE77" s="9">
        <v>3419276</v>
      </c>
      <c r="DF77" s="9">
        <v>3419276</v>
      </c>
      <c r="DG77" s="9">
        <v>2611.33</v>
      </c>
      <c r="DH77" s="9">
        <v>0</v>
      </c>
      <c r="DI77" s="9">
        <v>0</v>
      </c>
      <c r="DJ77" s="9">
        <v>0</v>
      </c>
      <c r="DK77" s="9">
        <v>5392</v>
      </c>
      <c r="DL77" s="9">
        <v>0</v>
      </c>
      <c r="DM77" s="9">
        <v>1790560</v>
      </c>
      <c r="DN77" s="9">
        <v>0</v>
      </c>
      <c r="DO77" s="9">
        <v>0</v>
      </c>
      <c r="DP77" s="9">
        <v>0</v>
      </c>
      <c r="DQ77" s="9">
        <v>0</v>
      </c>
      <c r="DR77" s="9">
        <v>0</v>
      </c>
      <c r="DS77" s="9">
        <v>0</v>
      </c>
      <c r="DT77" s="9">
        <v>0</v>
      </c>
      <c r="DU77" s="9">
        <v>0</v>
      </c>
      <c r="DV77" s="9">
        <v>0</v>
      </c>
      <c r="DW77" s="9">
        <v>0</v>
      </c>
      <c r="DX77" s="9">
        <v>0</v>
      </c>
      <c r="DY77" s="9">
        <v>0</v>
      </c>
      <c r="DZ77" s="9">
        <v>0</v>
      </c>
      <c r="EA77" s="9">
        <v>0</v>
      </c>
      <c r="EB77" s="9">
        <v>0</v>
      </c>
      <c r="EC77" s="9">
        <v>67.972999999999999</v>
      </c>
      <c r="ED77" s="9">
        <v>489521</v>
      </c>
      <c r="EE77" s="9">
        <v>0</v>
      </c>
      <c r="EF77" s="9">
        <v>0</v>
      </c>
      <c r="EG77" s="9">
        <v>0</v>
      </c>
      <c r="EH77" s="9">
        <v>1301039</v>
      </c>
      <c r="EI77" s="9">
        <v>0</v>
      </c>
      <c r="EJ77" s="9">
        <v>0</v>
      </c>
      <c r="EK77" s="9">
        <v>60.844000000000001</v>
      </c>
      <c r="EL77" s="9">
        <v>0</v>
      </c>
      <c r="EM77" s="9">
        <v>0.40200000000000002</v>
      </c>
      <c r="EN77" s="9">
        <v>2.9970000000000003</v>
      </c>
      <c r="EO77" s="9">
        <v>0</v>
      </c>
      <c r="EP77" s="9">
        <v>0</v>
      </c>
      <c r="EQ77" s="9">
        <v>64.243000000000009</v>
      </c>
      <c r="ER77" s="9">
        <v>0</v>
      </c>
      <c r="ES77" s="9">
        <v>198.72300000000001</v>
      </c>
      <c r="ET77" s="10">
        <v>76396</v>
      </c>
      <c r="EU77" s="9">
        <v>1323704</v>
      </c>
      <c r="EV77" s="9">
        <v>0</v>
      </c>
      <c r="EW77" s="9">
        <v>0</v>
      </c>
      <c r="EX77" s="9">
        <v>0</v>
      </c>
      <c r="EY77" s="9">
        <v>0</v>
      </c>
      <c r="EZ77" s="9">
        <v>20527158</v>
      </c>
      <c r="FA77" s="9">
        <v>0</v>
      </c>
      <c r="FB77" s="10">
        <v>21850862</v>
      </c>
      <c r="FC77" s="9">
        <v>0.97326799999999991</v>
      </c>
      <c r="FD77" s="9">
        <v>0</v>
      </c>
      <c r="FE77" s="9">
        <v>3264800</v>
      </c>
      <c r="FF77" s="9">
        <v>695238</v>
      </c>
      <c r="FG77" s="9">
        <v>5.8088000000000001E-2</v>
      </c>
      <c r="FH77" s="9">
        <v>5.2622999999999996E-2</v>
      </c>
      <c r="FI77" s="9">
        <v>0</v>
      </c>
      <c r="FJ77" s="9">
        <v>0</v>
      </c>
      <c r="FK77" s="9">
        <v>4135.107</v>
      </c>
      <c r="FL77" s="9">
        <v>26313104</v>
      </c>
      <c r="FM77" s="9">
        <v>0</v>
      </c>
      <c r="FN77" s="9">
        <v>0</v>
      </c>
      <c r="FO77" s="9">
        <v>0</v>
      </c>
      <c r="FP77" s="9">
        <v>0</v>
      </c>
      <c r="FQ77" s="9">
        <v>0</v>
      </c>
      <c r="FR77" s="9">
        <v>0</v>
      </c>
      <c r="FS77" s="9">
        <v>0</v>
      </c>
      <c r="FT77" s="9">
        <v>0</v>
      </c>
      <c r="FU77" s="9">
        <v>0</v>
      </c>
      <c r="FV77" s="9">
        <v>0</v>
      </c>
      <c r="FW77" s="9">
        <v>0</v>
      </c>
      <c r="FX77" s="9">
        <v>0</v>
      </c>
      <c r="FY77" s="9">
        <v>0</v>
      </c>
      <c r="FZ77" s="9">
        <v>0</v>
      </c>
      <c r="GA77" s="9">
        <v>0</v>
      </c>
      <c r="GB77" s="10">
        <v>658597</v>
      </c>
      <c r="GC77" s="10">
        <v>658597</v>
      </c>
      <c r="GD77" s="10">
        <v>74.515000000000001</v>
      </c>
      <c r="GE77" s="9">
        <v>0</v>
      </c>
      <c r="GF77" s="9">
        <v>0</v>
      </c>
      <c r="GG77" s="9">
        <v>0</v>
      </c>
      <c r="GH77" s="9">
        <v>0</v>
      </c>
      <c r="GI77" s="9">
        <v>0</v>
      </c>
      <c r="GJ77" s="9">
        <v>0</v>
      </c>
      <c r="GK77" s="9">
        <v>5151</v>
      </c>
      <c r="GL77" s="9">
        <v>7938</v>
      </c>
      <c r="GM77" s="9">
        <v>0</v>
      </c>
      <c r="GN77" s="9">
        <v>0</v>
      </c>
      <c r="GO77" s="9">
        <v>0</v>
      </c>
      <c r="GP77" s="9">
        <v>25810900</v>
      </c>
      <c r="GQ77" s="9">
        <v>25810900</v>
      </c>
      <c r="GR77" s="9">
        <v>0</v>
      </c>
      <c r="GS77" s="9">
        <v>0</v>
      </c>
      <c r="GT77" s="9">
        <v>0</v>
      </c>
      <c r="GU77" s="9">
        <v>0</v>
      </c>
      <c r="GV77" s="9">
        <v>0</v>
      </c>
      <c r="GW77" s="9">
        <v>0</v>
      </c>
      <c r="GX77" s="9">
        <v>0</v>
      </c>
      <c r="GY77" s="9">
        <v>0</v>
      </c>
      <c r="GZ77" s="9">
        <v>0</v>
      </c>
      <c r="HA77" s="9">
        <v>0</v>
      </c>
      <c r="HB77" s="9">
        <v>300501363</v>
      </c>
      <c r="HC77" s="9">
        <v>4.4742999999999998E-2</v>
      </c>
      <c r="HD77" s="10">
        <v>425808</v>
      </c>
      <c r="HE77" s="9">
        <v>0</v>
      </c>
      <c r="HF77" s="9">
        <v>0</v>
      </c>
      <c r="HG77" s="9">
        <v>0</v>
      </c>
      <c r="HH77" s="9">
        <v>0</v>
      </c>
      <c r="HI77" s="9">
        <v>0</v>
      </c>
      <c r="HJ77" s="9">
        <v>0</v>
      </c>
      <c r="HK77" s="9">
        <v>0</v>
      </c>
      <c r="HL77" s="9">
        <v>0</v>
      </c>
      <c r="HM77" s="9">
        <v>0</v>
      </c>
      <c r="HN77" s="9">
        <v>0</v>
      </c>
      <c r="HO77" s="9">
        <v>0</v>
      </c>
      <c r="HP77" s="9">
        <v>0</v>
      </c>
      <c r="HQ77" s="9">
        <v>0</v>
      </c>
      <c r="HR77" s="9">
        <v>0</v>
      </c>
      <c r="HS77" s="9">
        <v>0</v>
      </c>
      <c r="HT77" s="9">
        <v>0</v>
      </c>
      <c r="HU77" s="9">
        <v>0</v>
      </c>
      <c r="HV77" s="9">
        <v>0</v>
      </c>
      <c r="HW77" s="9">
        <v>0</v>
      </c>
      <c r="HX77" s="9">
        <v>0</v>
      </c>
      <c r="HY77" s="9">
        <v>0</v>
      </c>
      <c r="HZ77" s="9">
        <v>0</v>
      </c>
      <c r="IA77" s="9">
        <v>0</v>
      </c>
      <c r="IB77" s="9">
        <v>0</v>
      </c>
      <c r="IC77" s="9">
        <v>0</v>
      </c>
      <c r="ID77" s="9">
        <v>0</v>
      </c>
      <c r="IE77" s="9">
        <v>546.80900000000008</v>
      </c>
      <c r="IF77" s="9">
        <v>0</v>
      </c>
      <c r="IG77" s="9">
        <v>0</v>
      </c>
      <c r="IH77" s="9">
        <v>0</v>
      </c>
      <c r="II77" s="9">
        <v>0</v>
      </c>
      <c r="IJ77" s="9">
        <v>0</v>
      </c>
      <c r="IK77" s="9">
        <v>0</v>
      </c>
      <c r="IL77" s="9">
        <v>0</v>
      </c>
      <c r="IM77" s="9">
        <v>0</v>
      </c>
      <c r="IN77" s="9">
        <v>0</v>
      </c>
      <c r="IO77" s="9">
        <v>0</v>
      </c>
      <c r="IP77" s="9">
        <v>0</v>
      </c>
      <c r="IQ77" s="9">
        <v>0</v>
      </c>
      <c r="IR77" s="9">
        <v>0</v>
      </c>
      <c r="IS77" s="9">
        <v>0</v>
      </c>
      <c r="IT77" s="9">
        <v>0</v>
      </c>
      <c r="IU77" s="9">
        <v>0</v>
      </c>
      <c r="IV77" s="9">
        <v>0</v>
      </c>
      <c r="IW77" s="9">
        <v>0</v>
      </c>
      <c r="IX77" s="9">
        <v>0</v>
      </c>
      <c r="IY77" s="9">
        <v>0</v>
      </c>
      <c r="IZ77" s="9">
        <v>0</v>
      </c>
      <c r="JA77" s="9">
        <v>0</v>
      </c>
      <c r="JB77" s="9">
        <v>0</v>
      </c>
      <c r="JC77" s="9">
        <v>0</v>
      </c>
      <c r="JD77" s="9">
        <v>0</v>
      </c>
      <c r="JE77" s="9">
        <v>0</v>
      </c>
      <c r="JF77" s="9">
        <v>0</v>
      </c>
      <c r="JG77" s="9">
        <v>0</v>
      </c>
      <c r="JH77" s="9">
        <v>0</v>
      </c>
      <c r="JI77" s="9">
        <v>0</v>
      </c>
      <c r="JJ77" s="9">
        <v>0</v>
      </c>
      <c r="JK77" s="9">
        <v>0</v>
      </c>
      <c r="JL77" s="9">
        <v>0</v>
      </c>
      <c r="JM77" s="9">
        <v>0</v>
      </c>
      <c r="JN77" s="9">
        <v>36832</v>
      </c>
      <c r="JO77" s="9">
        <v>0</v>
      </c>
      <c r="JP77" s="9">
        <v>0</v>
      </c>
      <c r="JQ77" s="9">
        <v>0</v>
      </c>
      <c r="JR77" s="9">
        <v>0</v>
      </c>
      <c r="JS77" s="9">
        <v>0</v>
      </c>
      <c r="JT77" s="9">
        <v>0</v>
      </c>
      <c r="JU77" s="9">
        <v>0</v>
      </c>
      <c r="JV77" s="9">
        <v>0</v>
      </c>
      <c r="JW77" s="9">
        <v>0</v>
      </c>
      <c r="JX77" s="9">
        <v>0</v>
      </c>
      <c r="JY77" s="9">
        <v>0</v>
      </c>
      <c r="JZ77" s="9">
        <v>0</v>
      </c>
      <c r="KA77" s="9">
        <v>0</v>
      </c>
      <c r="KB77" s="9">
        <v>0</v>
      </c>
      <c r="KC77" s="9">
        <v>0</v>
      </c>
      <c r="KD77" s="9">
        <v>0</v>
      </c>
      <c r="KE77" s="9">
        <v>0</v>
      </c>
      <c r="KF77" s="9">
        <v>0</v>
      </c>
      <c r="KG77" s="9">
        <v>0</v>
      </c>
      <c r="KH77" s="9">
        <v>0</v>
      </c>
      <c r="KI77" s="9">
        <v>0</v>
      </c>
    </row>
    <row r="78" spans="1:295" ht="13" x14ac:dyDescent="0.3">
      <c r="A78" s="9">
        <v>71801</v>
      </c>
      <c r="B78" s="9">
        <v>36871</v>
      </c>
      <c r="C78" s="9">
        <v>35</v>
      </c>
      <c r="D78" s="9">
        <v>2023</v>
      </c>
      <c r="E78" s="9">
        <v>5392</v>
      </c>
      <c r="F78" s="9">
        <v>0</v>
      </c>
      <c r="G78" s="9">
        <v>0</v>
      </c>
      <c r="H78" s="9">
        <v>1080.213</v>
      </c>
      <c r="I78" s="9">
        <v>1080.213</v>
      </c>
      <c r="J78" s="9">
        <v>1130.2740000000001</v>
      </c>
      <c r="K78" s="9">
        <v>0</v>
      </c>
      <c r="L78" s="9">
        <v>6547</v>
      </c>
      <c r="M78" s="9">
        <v>0</v>
      </c>
      <c r="N78" s="9">
        <v>0</v>
      </c>
      <c r="O78" s="9">
        <v>0</v>
      </c>
      <c r="P78" s="9">
        <v>986.88300000000004</v>
      </c>
      <c r="Q78" s="9">
        <v>0</v>
      </c>
      <c r="R78" s="10">
        <v>480535</v>
      </c>
      <c r="S78" s="9">
        <v>486.92200000000003</v>
      </c>
      <c r="T78" s="9">
        <v>0</v>
      </c>
      <c r="U78" s="10">
        <v>480535</v>
      </c>
      <c r="V78" s="10">
        <v>362.00600000000003</v>
      </c>
      <c r="W78" s="10">
        <v>237005</v>
      </c>
      <c r="X78" s="10">
        <v>237005</v>
      </c>
      <c r="Y78" s="9">
        <v>0</v>
      </c>
      <c r="Z78" s="9">
        <v>0</v>
      </c>
      <c r="AA78" s="9">
        <v>1</v>
      </c>
      <c r="AB78" s="9">
        <v>1</v>
      </c>
      <c r="AC78" s="9">
        <v>0</v>
      </c>
      <c r="AD78" s="9" t="s">
        <v>314</v>
      </c>
      <c r="AE78" s="9">
        <v>0</v>
      </c>
      <c r="AF78" s="9">
        <v>0</v>
      </c>
      <c r="AG78" s="9">
        <v>0</v>
      </c>
      <c r="AH78" s="9">
        <v>0</v>
      </c>
      <c r="AI78" s="9">
        <v>0</v>
      </c>
      <c r="AJ78" s="9">
        <v>5104</v>
      </c>
      <c r="AK78" s="9" t="s">
        <v>651</v>
      </c>
      <c r="AL78" s="9" t="s">
        <v>84</v>
      </c>
      <c r="AM78" s="9">
        <v>0</v>
      </c>
      <c r="AN78" s="9">
        <v>0</v>
      </c>
      <c r="AO78" s="9">
        <v>0</v>
      </c>
      <c r="AP78" s="9">
        <v>0</v>
      </c>
      <c r="AQ78" s="9">
        <v>0</v>
      </c>
      <c r="AR78" s="9">
        <v>0</v>
      </c>
      <c r="AS78" s="9">
        <v>0</v>
      </c>
      <c r="AT78" s="9">
        <v>0</v>
      </c>
      <c r="AU78" s="9">
        <v>0</v>
      </c>
      <c r="AV78" s="9">
        <v>-20430</v>
      </c>
      <c r="AW78" s="9">
        <v>10343613</v>
      </c>
      <c r="AX78" s="9">
        <v>9994048</v>
      </c>
      <c r="AY78" s="9">
        <v>10879121</v>
      </c>
      <c r="AZ78" s="9">
        <v>620097</v>
      </c>
      <c r="BA78" s="10">
        <v>21.5</v>
      </c>
      <c r="BB78" s="9">
        <v>0</v>
      </c>
      <c r="BC78" s="9">
        <v>0</v>
      </c>
      <c r="BD78" s="9">
        <v>0</v>
      </c>
      <c r="BE78" s="9">
        <v>0</v>
      </c>
      <c r="BF78" s="9">
        <v>8620302</v>
      </c>
      <c r="BG78" s="9">
        <v>0</v>
      </c>
      <c r="BH78" s="10">
        <v>275.721</v>
      </c>
      <c r="BI78" s="10">
        <v>75823</v>
      </c>
      <c r="BJ78" s="9">
        <v>12</v>
      </c>
      <c r="BK78" s="9">
        <v>0</v>
      </c>
      <c r="BL78" s="9">
        <v>0</v>
      </c>
      <c r="BM78" s="9">
        <v>0</v>
      </c>
      <c r="BN78" s="9">
        <v>0</v>
      </c>
      <c r="BO78" s="9">
        <v>0</v>
      </c>
      <c r="BP78" s="9">
        <v>0</v>
      </c>
      <c r="BQ78" s="9">
        <v>5392</v>
      </c>
      <c r="BR78" s="9">
        <v>1</v>
      </c>
      <c r="BS78" s="9">
        <v>0</v>
      </c>
      <c r="BT78" s="9">
        <v>0</v>
      </c>
      <c r="BU78" s="9">
        <v>0</v>
      </c>
      <c r="BV78" s="9">
        <v>0</v>
      </c>
      <c r="BW78" s="9">
        <v>0</v>
      </c>
      <c r="BX78" s="9">
        <v>0</v>
      </c>
      <c r="BY78" s="9">
        <v>0</v>
      </c>
      <c r="BZ78" s="9">
        <v>0</v>
      </c>
      <c r="CA78" s="9">
        <v>63.739000000000004</v>
      </c>
      <c r="CB78" s="9">
        <v>63739</v>
      </c>
      <c r="CC78" s="9">
        <v>0</v>
      </c>
      <c r="CD78" s="9">
        <v>0</v>
      </c>
      <c r="CE78" s="9">
        <v>0</v>
      </c>
      <c r="CF78" s="9">
        <v>0</v>
      </c>
      <c r="CG78" s="9">
        <v>0</v>
      </c>
      <c r="CH78" s="10">
        <v>210003</v>
      </c>
      <c r="CI78" s="9">
        <v>0</v>
      </c>
      <c r="CJ78" s="9">
        <v>4</v>
      </c>
      <c r="CK78" s="9">
        <v>0</v>
      </c>
      <c r="CL78" s="9">
        <v>0</v>
      </c>
      <c r="CM78" s="9">
        <v>0</v>
      </c>
      <c r="CN78" s="9">
        <v>0</v>
      </c>
      <c r="CO78" s="9">
        <v>0</v>
      </c>
      <c r="CP78" s="9">
        <v>0</v>
      </c>
      <c r="CQ78" s="9">
        <v>0</v>
      </c>
      <c r="CR78" s="9">
        <v>960.904</v>
      </c>
      <c r="CS78" s="9">
        <v>0</v>
      </c>
      <c r="CT78" s="9">
        <v>0</v>
      </c>
      <c r="CU78" s="9">
        <v>0</v>
      </c>
      <c r="CV78" s="9">
        <v>0</v>
      </c>
      <c r="CW78" s="9">
        <v>0</v>
      </c>
      <c r="CX78" s="9">
        <v>0</v>
      </c>
      <c r="CY78" s="9">
        <v>0</v>
      </c>
      <c r="CZ78" s="9">
        <v>0</v>
      </c>
      <c r="DA78" s="9">
        <v>1</v>
      </c>
      <c r="DB78" s="9">
        <v>7072155</v>
      </c>
      <c r="DC78" s="9">
        <v>0</v>
      </c>
      <c r="DD78" s="9">
        <v>0</v>
      </c>
      <c r="DE78" s="9">
        <v>834310</v>
      </c>
      <c r="DF78" s="9">
        <v>834310</v>
      </c>
      <c r="DG78" s="9">
        <v>637.16999999999996</v>
      </c>
      <c r="DH78" s="9">
        <v>0</v>
      </c>
      <c r="DI78" s="9">
        <v>0</v>
      </c>
      <c r="DJ78" s="9">
        <v>0</v>
      </c>
      <c r="DK78" s="9">
        <v>5392</v>
      </c>
      <c r="DL78" s="9">
        <v>0</v>
      </c>
      <c r="DM78" s="9">
        <v>291590</v>
      </c>
      <c r="DN78" s="9">
        <v>0</v>
      </c>
      <c r="DO78" s="9">
        <v>0</v>
      </c>
      <c r="DP78" s="9">
        <v>0</v>
      </c>
      <c r="DQ78" s="9">
        <v>0</v>
      </c>
      <c r="DR78" s="9">
        <v>0</v>
      </c>
      <c r="DS78" s="9">
        <v>0</v>
      </c>
      <c r="DT78" s="9">
        <v>0</v>
      </c>
      <c r="DU78" s="9">
        <v>0</v>
      </c>
      <c r="DV78" s="9">
        <v>0</v>
      </c>
      <c r="DW78" s="9">
        <v>0</v>
      </c>
      <c r="DX78" s="9">
        <v>0</v>
      </c>
      <c r="DY78" s="9">
        <v>0</v>
      </c>
      <c r="DZ78" s="9">
        <v>0</v>
      </c>
      <c r="EA78" s="9">
        <v>0</v>
      </c>
      <c r="EB78" s="9">
        <v>0</v>
      </c>
      <c r="EC78" s="9">
        <v>32.511000000000003</v>
      </c>
      <c r="ED78" s="9">
        <v>234134</v>
      </c>
      <c r="EE78" s="9">
        <v>0</v>
      </c>
      <c r="EF78" s="9">
        <v>0</v>
      </c>
      <c r="EG78" s="9">
        <v>0</v>
      </c>
      <c r="EH78" s="9">
        <v>57456</v>
      </c>
      <c r="EI78" s="9">
        <v>0</v>
      </c>
      <c r="EJ78" s="9">
        <v>0</v>
      </c>
      <c r="EK78" s="9">
        <v>1.397</v>
      </c>
      <c r="EL78" s="9">
        <v>0</v>
      </c>
      <c r="EM78" s="9">
        <v>0</v>
      </c>
      <c r="EN78" s="9">
        <v>0.91700000000000004</v>
      </c>
      <c r="EO78" s="9">
        <v>0</v>
      </c>
      <c r="EP78" s="9">
        <v>0</v>
      </c>
      <c r="EQ78" s="9">
        <v>2.3140000000000001</v>
      </c>
      <c r="ER78" s="9">
        <v>0</v>
      </c>
      <c r="ES78" s="9">
        <v>8.7759999999999998</v>
      </c>
      <c r="ET78" s="10">
        <v>10750</v>
      </c>
      <c r="EU78" s="9">
        <v>620097</v>
      </c>
      <c r="EV78" s="9">
        <v>0</v>
      </c>
      <c r="EW78" s="9">
        <v>0</v>
      </c>
      <c r="EX78" s="9">
        <v>0</v>
      </c>
      <c r="EY78" s="9">
        <v>0</v>
      </c>
      <c r="EZ78" s="9">
        <v>8376534</v>
      </c>
      <c r="FA78" s="9">
        <v>0</v>
      </c>
      <c r="FB78" s="10">
        <v>8996631</v>
      </c>
      <c r="FC78" s="9">
        <v>0.97326799999999991</v>
      </c>
      <c r="FD78" s="9">
        <v>0</v>
      </c>
      <c r="FE78" s="9">
        <v>1333538</v>
      </c>
      <c r="FF78" s="9">
        <v>283976</v>
      </c>
      <c r="FG78" s="9">
        <v>5.8088000000000001E-2</v>
      </c>
      <c r="FH78" s="9">
        <v>5.2622999999999996E-2</v>
      </c>
      <c r="FI78" s="9">
        <v>0</v>
      </c>
      <c r="FJ78" s="9">
        <v>0</v>
      </c>
      <c r="FK78" s="9">
        <v>1689.0230000000001</v>
      </c>
      <c r="FL78" s="9">
        <v>10824148</v>
      </c>
      <c r="FM78" s="9">
        <v>0</v>
      </c>
      <c r="FN78" s="9">
        <v>0</v>
      </c>
      <c r="FO78" s="9">
        <v>0</v>
      </c>
      <c r="FP78" s="9">
        <v>0</v>
      </c>
      <c r="FQ78" s="9">
        <v>0</v>
      </c>
      <c r="FR78" s="9">
        <v>0</v>
      </c>
      <c r="FS78" s="9">
        <v>0</v>
      </c>
      <c r="FT78" s="9">
        <v>0</v>
      </c>
      <c r="FU78" s="9">
        <v>0</v>
      </c>
      <c r="FV78" s="9">
        <v>0</v>
      </c>
      <c r="FW78" s="9">
        <v>0</v>
      </c>
      <c r="FX78" s="9">
        <v>0</v>
      </c>
      <c r="FY78" s="9">
        <v>0</v>
      </c>
      <c r="FZ78" s="9">
        <v>0</v>
      </c>
      <c r="GA78" s="9">
        <v>0</v>
      </c>
      <c r="GB78" s="10">
        <v>422009</v>
      </c>
      <c r="GC78" s="10">
        <v>422009</v>
      </c>
      <c r="GD78" s="10">
        <v>47.747</v>
      </c>
      <c r="GE78" s="9">
        <v>0</v>
      </c>
      <c r="GF78" s="9">
        <v>0</v>
      </c>
      <c r="GG78" s="9">
        <v>0</v>
      </c>
      <c r="GH78" s="9">
        <v>0</v>
      </c>
      <c r="GI78" s="9">
        <v>0</v>
      </c>
      <c r="GJ78" s="9">
        <v>0</v>
      </c>
      <c r="GK78" s="9">
        <v>5032</v>
      </c>
      <c r="GL78" s="9">
        <v>19953</v>
      </c>
      <c r="GM78" s="9">
        <v>0</v>
      </c>
      <c r="GN78" s="9">
        <v>0</v>
      </c>
      <c r="GO78" s="9">
        <v>0</v>
      </c>
      <c r="GP78" s="9">
        <v>10614145</v>
      </c>
      <c r="GQ78" s="9">
        <v>10614145</v>
      </c>
      <c r="GR78" s="9">
        <v>0</v>
      </c>
      <c r="GS78" s="9">
        <v>0</v>
      </c>
      <c r="GT78" s="9">
        <v>0</v>
      </c>
      <c r="GU78" s="9">
        <v>0</v>
      </c>
      <c r="GV78" s="9">
        <v>0</v>
      </c>
      <c r="GW78" s="9">
        <v>0</v>
      </c>
      <c r="GX78" s="9">
        <v>0</v>
      </c>
      <c r="GY78" s="9">
        <v>0</v>
      </c>
      <c r="GZ78" s="9">
        <v>0</v>
      </c>
      <c r="HA78" s="9">
        <v>0</v>
      </c>
      <c r="HB78" s="9">
        <v>300501363</v>
      </c>
      <c r="HC78" s="9">
        <v>4.4742999999999998E-2</v>
      </c>
      <c r="HD78" s="10">
        <v>199253</v>
      </c>
      <c r="HE78" s="9">
        <v>0</v>
      </c>
      <c r="HF78" s="9">
        <v>0</v>
      </c>
      <c r="HG78" s="9">
        <v>0</v>
      </c>
      <c r="HH78" s="9">
        <v>0</v>
      </c>
      <c r="HI78" s="9">
        <v>0</v>
      </c>
      <c r="HJ78" s="9">
        <v>0</v>
      </c>
      <c r="HK78" s="9">
        <v>0</v>
      </c>
      <c r="HL78" s="9">
        <v>0</v>
      </c>
      <c r="HM78" s="9">
        <v>0</v>
      </c>
      <c r="HN78" s="9">
        <v>0</v>
      </c>
      <c r="HO78" s="9">
        <v>0</v>
      </c>
      <c r="HP78" s="9">
        <v>0</v>
      </c>
      <c r="HQ78" s="9">
        <v>0</v>
      </c>
      <c r="HR78" s="9">
        <v>0</v>
      </c>
      <c r="HS78" s="9">
        <v>0</v>
      </c>
      <c r="HT78" s="9">
        <v>0</v>
      </c>
      <c r="HU78" s="9">
        <v>0</v>
      </c>
      <c r="HV78" s="9">
        <v>0</v>
      </c>
      <c r="HW78" s="9">
        <v>0</v>
      </c>
      <c r="HX78" s="9">
        <v>0</v>
      </c>
      <c r="HY78" s="9">
        <v>0</v>
      </c>
      <c r="HZ78" s="9">
        <v>0</v>
      </c>
      <c r="IA78" s="9">
        <v>0</v>
      </c>
      <c r="IB78" s="9">
        <v>0</v>
      </c>
      <c r="IC78" s="9">
        <v>0</v>
      </c>
      <c r="ID78" s="9">
        <v>0</v>
      </c>
      <c r="IE78" s="9">
        <v>0.21300000000000002</v>
      </c>
      <c r="IF78" s="9">
        <v>0</v>
      </c>
      <c r="IG78" s="9">
        <v>0</v>
      </c>
      <c r="IH78" s="9">
        <v>0</v>
      </c>
      <c r="II78" s="9">
        <v>0</v>
      </c>
      <c r="IJ78" s="9">
        <v>0</v>
      </c>
      <c r="IK78" s="9">
        <v>0</v>
      </c>
      <c r="IL78" s="9">
        <v>0</v>
      </c>
      <c r="IM78" s="9">
        <v>0</v>
      </c>
      <c r="IN78" s="9">
        <v>0</v>
      </c>
      <c r="IO78" s="9">
        <v>0</v>
      </c>
      <c r="IP78" s="9">
        <v>0</v>
      </c>
      <c r="IQ78" s="9">
        <v>0</v>
      </c>
      <c r="IR78" s="9">
        <v>0</v>
      </c>
      <c r="IS78" s="9">
        <v>0</v>
      </c>
      <c r="IT78" s="9">
        <v>0</v>
      </c>
      <c r="IU78" s="9">
        <v>0</v>
      </c>
      <c r="IV78" s="9">
        <v>0</v>
      </c>
      <c r="IW78" s="9">
        <v>0</v>
      </c>
      <c r="IX78" s="9">
        <v>0</v>
      </c>
      <c r="IY78" s="9">
        <v>0</v>
      </c>
      <c r="IZ78" s="9">
        <v>0</v>
      </c>
      <c r="JA78" s="9">
        <v>0</v>
      </c>
      <c r="JB78" s="9">
        <v>0</v>
      </c>
      <c r="JC78" s="9">
        <v>0</v>
      </c>
      <c r="JD78" s="9">
        <v>0</v>
      </c>
      <c r="JE78" s="9">
        <v>0</v>
      </c>
      <c r="JF78" s="9">
        <v>0</v>
      </c>
      <c r="JG78" s="9">
        <v>0</v>
      </c>
      <c r="JH78" s="9">
        <v>0</v>
      </c>
      <c r="JI78" s="9">
        <v>0</v>
      </c>
      <c r="JJ78" s="9">
        <v>0</v>
      </c>
      <c r="JK78" s="9">
        <v>0</v>
      </c>
      <c r="JL78" s="9">
        <v>0</v>
      </c>
      <c r="JM78" s="9">
        <v>0</v>
      </c>
      <c r="JN78" s="9">
        <v>36832</v>
      </c>
      <c r="JO78" s="9">
        <v>0</v>
      </c>
      <c r="JP78" s="9">
        <v>0</v>
      </c>
      <c r="JQ78" s="9">
        <v>0</v>
      </c>
      <c r="JR78" s="9">
        <v>0</v>
      </c>
      <c r="JS78" s="9">
        <v>0</v>
      </c>
      <c r="JT78" s="9">
        <v>0</v>
      </c>
      <c r="JU78" s="9">
        <v>0</v>
      </c>
      <c r="JV78" s="9">
        <v>0</v>
      </c>
      <c r="JW78" s="9">
        <v>0</v>
      </c>
      <c r="JX78" s="9">
        <v>0</v>
      </c>
      <c r="JY78" s="9">
        <v>0</v>
      </c>
      <c r="JZ78" s="9">
        <v>0</v>
      </c>
      <c r="KA78" s="9">
        <v>0</v>
      </c>
      <c r="KB78" s="9">
        <v>0</v>
      </c>
      <c r="KC78" s="9">
        <v>0</v>
      </c>
      <c r="KD78" s="9">
        <v>0</v>
      </c>
      <c r="KE78" s="9">
        <v>0</v>
      </c>
      <c r="KF78" s="9">
        <v>0</v>
      </c>
      <c r="KG78" s="9">
        <v>0</v>
      </c>
      <c r="KH78" s="9">
        <v>0</v>
      </c>
      <c r="KI78" s="9">
        <v>0</v>
      </c>
    </row>
    <row r="79" spans="1:295" x14ac:dyDescent="0.25">
      <c r="A79" s="9">
        <v>71803</v>
      </c>
      <c r="B79" s="9">
        <v>36871</v>
      </c>
      <c r="C79" s="9">
        <v>35</v>
      </c>
      <c r="D79" s="9">
        <v>2023</v>
      </c>
      <c r="E79" s="9">
        <v>5392</v>
      </c>
      <c r="F79" s="9">
        <v>0</v>
      </c>
      <c r="G79" s="9">
        <v>0</v>
      </c>
      <c r="H79" s="9">
        <v>169.86500000000001</v>
      </c>
      <c r="I79" s="9">
        <v>169.86500000000001</v>
      </c>
      <c r="J79" s="9">
        <v>176.232</v>
      </c>
      <c r="K79" s="9">
        <v>0</v>
      </c>
      <c r="L79" s="9">
        <v>6547</v>
      </c>
      <c r="M79" s="9">
        <v>0</v>
      </c>
      <c r="N79" s="9">
        <v>0</v>
      </c>
      <c r="O79" s="9">
        <v>0</v>
      </c>
      <c r="P79" s="9">
        <v>180.13500000000002</v>
      </c>
      <c r="Q79" s="9">
        <v>0</v>
      </c>
      <c r="R79" s="9">
        <v>87712</v>
      </c>
      <c r="S79" s="9">
        <v>486.92200000000003</v>
      </c>
      <c r="T79" s="9">
        <v>0</v>
      </c>
      <c r="U79" s="9">
        <v>87712</v>
      </c>
      <c r="V79" s="9">
        <v>37.392000000000003</v>
      </c>
      <c r="W79" s="9">
        <v>24481</v>
      </c>
      <c r="X79" s="9">
        <v>24481</v>
      </c>
      <c r="Y79" s="9">
        <v>0</v>
      </c>
      <c r="Z79" s="9">
        <v>0</v>
      </c>
      <c r="AA79" s="9">
        <v>1</v>
      </c>
      <c r="AB79" s="9">
        <v>1</v>
      </c>
      <c r="AC79" s="9">
        <v>0</v>
      </c>
      <c r="AD79" s="9" t="s">
        <v>314</v>
      </c>
      <c r="AE79" s="9">
        <v>0</v>
      </c>
      <c r="AF79" s="9">
        <v>0</v>
      </c>
      <c r="AG79" s="9">
        <v>0</v>
      </c>
      <c r="AH79" s="9">
        <v>0</v>
      </c>
      <c r="AI79" s="9">
        <v>0</v>
      </c>
      <c r="AJ79" s="9">
        <v>5104</v>
      </c>
      <c r="AK79" s="9" t="s">
        <v>651</v>
      </c>
      <c r="AL79" s="9" t="s">
        <v>465</v>
      </c>
      <c r="AM79" s="9">
        <v>0</v>
      </c>
      <c r="AN79" s="9">
        <v>0</v>
      </c>
      <c r="AO79" s="9">
        <v>0</v>
      </c>
      <c r="AP79" s="9">
        <v>0</v>
      </c>
      <c r="AQ79" s="9">
        <v>0</v>
      </c>
      <c r="AR79" s="9">
        <v>0</v>
      </c>
      <c r="AS79" s="9">
        <v>0</v>
      </c>
      <c r="AT79" s="9">
        <v>0</v>
      </c>
      <c r="AU79" s="9">
        <v>0</v>
      </c>
      <c r="AV79" s="9">
        <v>-56385</v>
      </c>
      <c r="AW79" s="9">
        <v>1841252</v>
      </c>
      <c r="AX79" s="9">
        <v>1757811</v>
      </c>
      <c r="AY79" s="9">
        <v>1770855</v>
      </c>
      <c r="AZ79" s="9">
        <v>133294</v>
      </c>
      <c r="BA79" s="9">
        <v>7.75</v>
      </c>
      <c r="BB79" s="9">
        <v>0</v>
      </c>
      <c r="BC79" s="9">
        <v>0</v>
      </c>
      <c r="BD79" s="9">
        <v>0</v>
      </c>
      <c r="BE79" s="9">
        <v>0</v>
      </c>
      <c r="BF79" s="9">
        <v>1518816</v>
      </c>
      <c r="BG79" s="9">
        <v>0</v>
      </c>
      <c r="BH79" s="9">
        <v>165.75300000000001</v>
      </c>
      <c r="BI79" s="9">
        <v>45582</v>
      </c>
      <c r="BJ79" s="9">
        <v>12</v>
      </c>
      <c r="BK79" s="9">
        <v>0</v>
      </c>
      <c r="BL79" s="9">
        <v>0</v>
      </c>
      <c r="BM79" s="9">
        <v>0</v>
      </c>
      <c r="BN79" s="9">
        <v>0</v>
      </c>
      <c r="BO79" s="9">
        <v>0</v>
      </c>
      <c r="BP79" s="9">
        <v>0</v>
      </c>
      <c r="BQ79" s="9">
        <v>5392</v>
      </c>
      <c r="BR79" s="9">
        <v>1</v>
      </c>
      <c r="BS79" s="9">
        <v>0</v>
      </c>
      <c r="BT79" s="9">
        <v>0</v>
      </c>
      <c r="BU79" s="9">
        <v>0</v>
      </c>
      <c r="BV79" s="9">
        <v>0</v>
      </c>
      <c r="BW79" s="9">
        <v>0</v>
      </c>
      <c r="BX79" s="9">
        <v>0</v>
      </c>
      <c r="BY79" s="9">
        <v>0</v>
      </c>
      <c r="BZ79" s="9">
        <v>0</v>
      </c>
      <c r="CA79" s="9">
        <v>0</v>
      </c>
      <c r="CB79" s="9">
        <v>0</v>
      </c>
      <c r="CC79" s="9">
        <v>0</v>
      </c>
      <c r="CD79" s="9">
        <v>0</v>
      </c>
      <c r="CE79" s="9">
        <v>0</v>
      </c>
      <c r="CF79" s="9">
        <v>0</v>
      </c>
      <c r="CG79" s="9">
        <v>0</v>
      </c>
      <c r="CH79" s="9">
        <v>37859</v>
      </c>
      <c r="CI79" s="9">
        <v>0</v>
      </c>
      <c r="CJ79" s="9">
        <v>4</v>
      </c>
      <c r="CK79" s="9">
        <v>0</v>
      </c>
      <c r="CL79" s="9">
        <v>0</v>
      </c>
      <c r="CM79" s="9">
        <v>0</v>
      </c>
      <c r="CN79" s="9">
        <v>0</v>
      </c>
      <c r="CO79" s="9">
        <v>0</v>
      </c>
      <c r="CP79" s="9">
        <v>1.252</v>
      </c>
      <c r="CQ79" s="9">
        <v>11.667</v>
      </c>
      <c r="CR79" s="9">
        <v>173.90800000000002</v>
      </c>
      <c r="CS79" s="9">
        <v>0</v>
      </c>
      <c r="CT79" s="9">
        <v>0</v>
      </c>
      <c r="CU79" s="9">
        <v>0</v>
      </c>
      <c r="CV79" s="9">
        <v>0</v>
      </c>
      <c r="CW79" s="9">
        <v>0</v>
      </c>
      <c r="CX79" s="9">
        <v>0</v>
      </c>
      <c r="CY79" s="9">
        <v>0</v>
      </c>
      <c r="CZ79" s="9">
        <v>0</v>
      </c>
      <c r="DA79" s="9">
        <v>1</v>
      </c>
      <c r="DB79" s="9">
        <v>1112106</v>
      </c>
      <c r="DC79" s="9">
        <v>0</v>
      </c>
      <c r="DD79" s="9">
        <v>0</v>
      </c>
      <c r="DE79" s="9">
        <v>233296</v>
      </c>
      <c r="DF79" s="9">
        <v>253050</v>
      </c>
      <c r="DG79" s="9">
        <v>178.17000000000002</v>
      </c>
      <c r="DH79" s="9">
        <v>0</v>
      </c>
      <c r="DI79" s="9">
        <v>19754</v>
      </c>
      <c r="DJ79" s="9">
        <v>0</v>
      </c>
      <c r="DK79" s="9">
        <v>5392</v>
      </c>
      <c r="DL79" s="9">
        <v>0</v>
      </c>
      <c r="DM79" s="9">
        <v>114674</v>
      </c>
      <c r="DN79" s="9">
        <v>0</v>
      </c>
      <c r="DO79" s="9">
        <v>0</v>
      </c>
      <c r="DP79" s="9">
        <v>0</v>
      </c>
      <c r="DQ79" s="9">
        <v>0</v>
      </c>
      <c r="DR79" s="9">
        <v>0</v>
      </c>
      <c r="DS79" s="9">
        <v>0</v>
      </c>
      <c r="DT79" s="9">
        <v>0</v>
      </c>
      <c r="DU79" s="9">
        <v>0</v>
      </c>
      <c r="DV79" s="9">
        <v>0</v>
      </c>
      <c r="DW79" s="9">
        <v>0</v>
      </c>
      <c r="DX79" s="9">
        <v>0</v>
      </c>
      <c r="DY79" s="9">
        <v>0</v>
      </c>
      <c r="DZ79" s="9">
        <v>0</v>
      </c>
      <c r="EA79" s="9">
        <v>0</v>
      </c>
      <c r="EB79" s="9">
        <v>0</v>
      </c>
      <c r="EC79" s="9">
        <v>15.896000000000001</v>
      </c>
      <c r="ED79" s="9">
        <v>114478</v>
      </c>
      <c r="EE79" s="9">
        <v>0</v>
      </c>
      <c r="EF79" s="9">
        <v>0</v>
      </c>
      <c r="EG79" s="9">
        <v>0</v>
      </c>
      <c r="EH79" s="9">
        <v>196</v>
      </c>
      <c r="EI79" s="9">
        <v>0</v>
      </c>
      <c r="EJ79" s="9">
        <v>0</v>
      </c>
      <c r="EK79" s="9">
        <v>0</v>
      </c>
      <c r="EL79" s="9">
        <v>0</v>
      </c>
      <c r="EM79" s="9">
        <v>0</v>
      </c>
      <c r="EN79" s="9">
        <v>6.0000000000000001E-3</v>
      </c>
      <c r="EO79" s="9">
        <v>0</v>
      </c>
      <c r="EP79" s="9">
        <v>0</v>
      </c>
      <c r="EQ79" s="9">
        <v>6.0000000000000001E-3</v>
      </c>
      <c r="ER79" s="9">
        <v>0</v>
      </c>
      <c r="ES79" s="9">
        <v>0.03</v>
      </c>
      <c r="ET79" s="9">
        <v>6792</v>
      </c>
      <c r="EU79" s="9">
        <v>133294</v>
      </c>
      <c r="EV79" s="9">
        <v>0</v>
      </c>
      <c r="EW79" s="9">
        <v>0</v>
      </c>
      <c r="EX79" s="9">
        <v>0</v>
      </c>
      <c r="EY79" s="9">
        <v>0</v>
      </c>
      <c r="EZ79" s="9">
        <v>1472820</v>
      </c>
      <c r="FA79" s="9">
        <v>0</v>
      </c>
      <c r="FB79" s="9">
        <v>1606114</v>
      </c>
      <c r="FC79" s="9">
        <v>0.97326799999999991</v>
      </c>
      <c r="FD79" s="9">
        <v>0</v>
      </c>
      <c r="FE79" s="9">
        <v>234957</v>
      </c>
      <c r="FF79" s="9">
        <v>50034</v>
      </c>
      <c r="FG79" s="9">
        <v>5.8088000000000001E-2</v>
      </c>
      <c r="FH79" s="9">
        <v>5.2622999999999996E-2</v>
      </c>
      <c r="FI79" s="9">
        <v>0</v>
      </c>
      <c r="FJ79" s="9">
        <v>0</v>
      </c>
      <c r="FK79" s="9">
        <v>297.59000000000003</v>
      </c>
      <c r="FL79" s="9">
        <v>1928964</v>
      </c>
      <c r="FM79" s="9">
        <v>0</v>
      </c>
      <c r="FN79" s="9">
        <v>0</v>
      </c>
      <c r="FO79" s="9">
        <v>0</v>
      </c>
      <c r="FP79" s="9">
        <v>0</v>
      </c>
      <c r="FQ79" s="9">
        <v>0</v>
      </c>
      <c r="FR79" s="9">
        <v>0</v>
      </c>
      <c r="FS79" s="9">
        <v>0</v>
      </c>
      <c r="FT79" s="9">
        <v>0</v>
      </c>
      <c r="FU79" s="9">
        <v>0</v>
      </c>
      <c r="FV79" s="9">
        <v>0</v>
      </c>
      <c r="FW79" s="9">
        <v>0</v>
      </c>
      <c r="FX79" s="9">
        <v>0</v>
      </c>
      <c r="FY79" s="9">
        <v>0</v>
      </c>
      <c r="FZ79" s="9">
        <v>0</v>
      </c>
      <c r="GA79" s="9">
        <v>0</v>
      </c>
      <c r="GB79" s="9">
        <v>56221</v>
      </c>
      <c r="GC79" s="9">
        <v>56221</v>
      </c>
      <c r="GD79" s="9">
        <v>6.3610000000000007</v>
      </c>
      <c r="GE79" s="9">
        <v>0</v>
      </c>
      <c r="GF79" s="9">
        <v>0</v>
      </c>
      <c r="GG79" s="9">
        <v>0</v>
      </c>
      <c r="GH79" s="9">
        <v>0</v>
      </c>
      <c r="GI79" s="9">
        <v>0</v>
      </c>
      <c r="GJ79" s="9">
        <v>0</v>
      </c>
      <c r="GK79" s="9">
        <v>5113</v>
      </c>
      <c r="GL79" s="9">
        <v>7493</v>
      </c>
      <c r="GM79" s="9">
        <v>0</v>
      </c>
      <c r="GN79" s="9">
        <v>0</v>
      </c>
      <c r="GO79" s="9">
        <v>0</v>
      </c>
      <c r="GP79" s="9">
        <v>1891105</v>
      </c>
      <c r="GQ79" s="9">
        <v>1891105</v>
      </c>
      <c r="GR79" s="9">
        <v>0</v>
      </c>
      <c r="GS79" s="9">
        <v>0</v>
      </c>
      <c r="GT79" s="9">
        <v>0</v>
      </c>
      <c r="GU79" s="9">
        <v>0</v>
      </c>
      <c r="GV79" s="9">
        <v>0</v>
      </c>
      <c r="GW79" s="9">
        <v>0</v>
      </c>
      <c r="GX79" s="9">
        <v>0</v>
      </c>
      <c r="GY79" s="9">
        <v>0</v>
      </c>
      <c r="GZ79" s="9">
        <v>0</v>
      </c>
      <c r="HA79" s="9">
        <v>0</v>
      </c>
      <c r="HB79" s="9">
        <v>300501363</v>
      </c>
      <c r="HC79" s="9">
        <v>4.4742999999999998E-2</v>
      </c>
      <c r="HD79" s="9">
        <v>31067</v>
      </c>
      <c r="HE79" s="9">
        <v>0</v>
      </c>
      <c r="HF79" s="9">
        <v>0</v>
      </c>
      <c r="HG79" s="9">
        <v>0</v>
      </c>
      <c r="HH79" s="9">
        <v>0</v>
      </c>
      <c r="HI79" s="9">
        <v>0</v>
      </c>
      <c r="HJ79" s="9">
        <v>0</v>
      </c>
      <c r="HK79" s="9">
        <v>0</v>
      </c>
      <c r="HL79" s="9">
        <v>0</v>
      </c>
      <c r="HM79" s="9">
        <v>0</v>
      </c>
      <c r="HN79" s="9">
        <v>0</v>
      </c>
      <c r="HO79" s="9">
        <v>0</v>
      </c>
      <c r="HP79" s="9">
        <v>0</v>
      </c>
      <c r="HQ79" s="9">
        <v>0</v>
      </c>
      <c r="HR79" s="9">
        <v>0</v>
      </c>
      <c r="HS79" s="9">
        <v>0</v>
      </c>
      <c r="HT79" s="9">
        <v>0</v>
      </c>
      <c r="HU79" s="9">
        <v>0</v>
      </c>
      <c r="HV79" s="9">
        <v>0</v>
      </c>
      <c r="HW79" s="9">
        <v>0</v>
      </c>
      <c r="HX79" s="9">
        <v>0</v>
      </c>
      <c r="HY79" s="9">
        <v>0</v>
      </c>
      <c r="HZ79" s="9">
        <v>0</v>
      </c>
      <c r="IA79" s="9">
        <v>0</v>
      </c>
      <c r="IB79" s="9">
        <v>0</v>
      </c>
      <c r="IC79" s="9">
        <v>0</v>
      </c>
      <c r="ID79" s="9">
        <v>0</v>
      </c>
      <c r="IE79" s="9">
        <v>0</v>
      </c>
      <c r="IF79" s="9">
        <v>0</v>
      </c>
      <c r="IG79" s="9">
        <v>0</v>
      </c>
      <c r="IH79" s="9">
        <v>0</v>
      </c>
      <c r="II79" s="9">
        <v>0</v>
      </c>
      <c r="IJ79" s="9">
        <v>0</v>
      </c>
      <c r="IK79" s="9">
        <v>0</v>
      </c>
      <c r="IL79" s="9">
        <v>0</v>
      </c>
      <c r="IM79" s="9">
        <v>0</v>
      </c>
      <c r="IN79" s="9">
        <v>0</v>
      </c>
      <c r="IO79" s="9">
        <v>0</v>
      </c>
      <c r="IP79" s="9">
        <v>0</v>
      </c>
      <c r="IQ79" s="9">
        <v>0</v>
      </c>
      <c r="IR79" s="9">
        <v>0</v>
      </c>
      <c r="IS79" s="9">
        <v>0</v>
      </c>
      <c r="IT79" s="9">
        <v>0</v>
      </c>
      <c r="IU79" s="9">
        <v>0</v>
      </c>
      <c r="IV79" s="9">
        <v>0</v>
      </c>
      <c r="IW79" s="9">
        <v>0</v>
      </c>
      <c r="IX79" s="9">
        <v>0</v>
      </c>
      <c r="IY79" s="9">
        <v>0</v>
      </c>
      <c r="IZ79" s="9">
        <v>0</v>
      </c>
      <c r="JA79" s="9">
        <v>0</v>
      </c>
      <c r="JB79" s="9">
        <v>0</v>
      </c>
      <c r="JC79" s="9">
        <v>0</v>
      </c>
      <c r="JD79" s="9">
        <v>0</v>
      </c>
      <c r="JE79" s="9">
        <v>0</v>
      </c>
      <c r="JF79" s="9">
        <v>0</v>
      </c>
      <c r="JG79" s="9">
        <v>0</v>
      </c>
      <c r="JH79" s="9">
        <v>0</v>
      </c>
      <c r="JI79" s="9">
        <v>0</v>
      </c>
      <c r="JJ79" s="9">
        <v>0</v>
      </c>
      <c r="JK79" s="9">
        <v>0</v>
      </c>
      <c r="JL79" s="9">
        <v>0</v>
      </c>
      <c r="JM79" s="9">
        <v>0</v>
      </c>
      <c r="JN79" s="9">
        <v>36832</v>
      </c>
      <c r="JO79" s="9">
        <v>0</v>
      </c>
      <c r="JP79" s="9">
        <v>0</v>
      </c>
      <c r="JQ79" s="9">
        <v>0</v>
      </c>
      <c r="JR79" s="9">
        <v>0</v>
      </c>
      <c r="JS79" s="9">
        <v>0</v>
      </c>
      <c r="JT79" s="9">
        <v>0</v>
      </c>
      <c r="JU79" s="9">
        <v>0</v>
      </c>
      <c r="JV79" s="9">
        <v>0</v>
      </c>
      <c r="JW79" s="9">
        <v>0</v>
      </c>
      <c r="JX79" s="9">
        <v>0</v>
      </c>
      <c r="JY79" s="9">
        <v>0</v>
      </c>
      <c r="JZ79" s="9">
        <v>0</v>
      </c>
      <c r="KA79" s="9">
        <v>0</v>
      </c>
      <c r="KB79" s="9">
        <v>0</v>
      </c>
      <c r="KC79" s="9">
        <v>0</v>
      </c>
      <c r="KD79" s="9">
        <v>0</v>
      </c>
      <c r="KE79" s="9">
        <v>0</v>
      </c>
      <c r="KF79" s="9">
        <v>0</v>
      </c>
      <c r="KG79" s="9">
        <v>0</v>
      </c>
      <c r="KH79" s="9">
        <v>0</v>
      </c>
      <c r="KI79" s="9">
        <v>0</v>
      </c>
    </row>
    <row r="80" spans="1:295" x14ac:dyDescent="0.25">
      <c r="A80" s="9">
        <v>71804</v>
      </c>
      <c r="B80" s="9">
        <v>36871</v>
      </c>
      <c r="C80" s="9">
        <v>35</v>
      </c>
      <c r="D80" s="9">
        <v>2023</v>
      </c>
      <c r="E80" s="9">
        <v>5392</v>
      </c>
      <c r="F80" s="9">
        <v>0</v>
      </c>
      <c r="G80" s="9">
        <v>0</v>
      </c>
      <c r="H80" s="9">
        <v>241.06700000000001</v>
      </c>
      <c r="I80" s="9">
        <v>241.06700000000001</v>
      </c>
      <c r="J80" s="9">
        <v>251.126</v>
      </c>
      <c r="K80" s="9">
        <v>0</v>
      </c>
      <c r="L80" s="9">
        <v>6547</v>
      </c>
      <c r="M80" s="9">
        <v>0</v>
      </c>
      <c r="N80" s="9">
        <v>0</v>
      </c>
      <c r="O80" s="9">
        <v>0</v>
      </c>
      <c r="P80" s="9">
        <v>273.97200000000004</v>
      </c>
      <c r="Q80" s="9">
        <v>0</v>
      </c>
      <c r="R80" s="9">
        <v>133403</v>
      </c>
      <c r="S80" s="9">
        <v>486.92200000000003</v>
      </c>
      <c r="T80" s="9">
        <v>0</v>
      </c>
      <c r="U80" s="9">
        <v>133403</v>
      </c>
      <c r="V80" s="9">
        <v>26.333000000000002</v>
      </c>
      <c r="W80" s="9">
        <v>17240</v>
      </c>
      <c r="X80" s="9">
        <v>17240</v>
      </c>
      <c r="Y80" s="9">
        <v>0</v>
      </c>
      <c r="Z80" s="9">
        <v>0</v>
      </c>
      <c r="AA80" s="9">
        <v>1</v>
      </c>
      <c r="AB80" s="9">
        <v>1</v>
      </c>
      <c r="AC80" s="9">
        <v>0</v>
      </c>
      <c r="AD80" s="9" t="s">
        <v>314</v>
      </c>
      <c r="AE80" s="9">
        <v>0</v>
      </c>
      <c r="AF80" s="9">
        <v>0</v>
      </c>
      <c r="AG80" s="9">
        <v>0</v>
      </c>
      <c r="AH80" s="9">
        <v>0</v>
      </c>
      <c r="AI80" s="9">
        <v>0</v>
      </c>
      <c r="AJ80" s="9">
        <v>5104</v>
      </c>
      <c r="AK80" s="9" t="s">
        <v>651</v>
      </c>
      <c r="AL80" s="9" t="s">
        <v>25</v>
      </c>
      <c r="AM80" s="9">
        <v>0</v>
      </c>
      <c r="AN80" s="9">
        <v>0</v>
      </c>
      <c r="AO80" s="9">
        <v>0</v>
      </c>
      <c r="AP80" s="9">
        <v>0</v>
      </c>
      <c r="AQ80" s="9">
        <v>0</v>
      </c>
      <c r="AR80" s="9">
        <v>0</v>
      </c>
      <c r="AS80" s="9">
        <v>0</v>
      </c>
      <c r="AT80" s="9">
        <v>0</v>
      </c>
      <c r="AU80" s="9">
        <v>0</v>
      </c>
      <c r="AV80" s="9">
        <v>-63698</v>
      </c>
      <c r="AW80" s="9">
        <v>2600336</v>
      </c>
      <c r="AX80" s="9">
        <v>2482740</v>
      </c>
      <c r="AY80" s="9">
        <v>2638288</v>
      </c>
      <c r="AZ80" s="9">
        <v>200854</v>
      </c>
      <c r="BA80" s="9">
        <v>11.75</v>
      </c>
      <c r="BB80" s="9">
        <v>0</v>
      </c>
      <c r="BC80" s="9">
        <v>0</v>
      </c>
      <c r="BD80" s="9">
        <v>0</v>
      </c>
      <c r="BE80" s="9">
        <v>0</v>
      </c>
      <c r="BF80" s="9">
        <v>2153016</v>
      </c>
      <c r="BG80" s="9">
        <v>0</v>
      </c>
      <c r="BH80" s="9">
        <v>245.27500000000001</v>
      </c>
      <c r="BI80" s="9">
        <v>67451</v>
      </c>
      <c r="BJ80" s="9">
        <v>12</v>
      </c>
      <c r="BK80" s="9">
        <v>0</v>
      </c>
      <c r="BL80" s="9">
        <v>0</v>
      </c>
      <c r="BM80" s="9">
        <v>0</v>
      </c>
      <c r="BN80" s="9">
        <v>0</v>
      </c>
      <c r="BO80" s="9">
        <v>0</v>
      </c>
      <c r="BP80" s="9">
        <v>0</v>
      </c>
      <c r="BQ80" s="9">
        <v>5392</v>
      </c>
      <c r="BR80" s="9">
        <v>1</v>
      </c>
      <c r="BS80" s="9">
        <v>0</v>
      </c>
      <c r="BT80" s="9">
        <v>0</v>
      </c>
      <c r="BU80" s="9">
        <v>0</v>
      </c>
      <c r="BV80" s="9">
        <v>0</v>
      </c>
      <c r="BW80" s="9">
        <v>0</v>
      </c>
      <c r="BX80" s="9">
        <v>0</v>
      </c>
      <c r="BY80" s="9">
        <v>0</v>
      </c>
      <c r="BZ80" s="9">
        <v>0</v>
      </c>
      <c r="CA80" s="9">
        <v>0</v>
      </c>
      <c r="CB80" s="9">
        <v>0</v>
      </c>
      <c r="CC80" s="9">
        <v>0</v>
      </c>
      <c r="CD80" s="9">
        <v>0</v>
      </c>
      <c r="CE80" s="9">
        <v>0</v>
      </c>
      <c r="CF80" s="9">
        <v>0</v>
      </c>
      <c r="CG80" s="9">
        <v>0</v>
      </c>
      <c r="CH80" s="9">
        <v>50145</v>
      </c>
      <c r="CI80" s="9">
        <v>0</v>
      </c>
      <c r="CJ80" s="9">
        <v>4</v>
      </c>
      <c r="CK80" s="9">
        <v>0</v>
      </c>
      <c r="CL80" s="9">
        <v>0</v>
      </c>
      <c r="CM80" s="9">
        <v>0</v>
      </c>
      <c r="CN80" s="9">
        <v>0</v>
      </c>
      <c r="CO80" s="9">
        <v>0</v>
      </c>
      <c r="CP80" s="9">
        <v>1.141</v>
      </c>
      <c r="CQ80" s="9">
        <v>0</v>
      </c>
      <c r="CR80" s="9">
        <v>263.42099999999999</v>
      </c>
      <c r="CS80" s="9">
        <v>0</v>
      </c>
      <c r="CT80" s="9">
        <v>0</v>
      </c>
      <c r="CU80" s="9">
        <v>0</v>
      </c>
      <c r="CV80" s="9">
        <v>0</v>
      </c>
      <c r="CW80" s="9">
        <v>0</v>
      </c>
      <c r="CX80" s="9">
        <v>0</v>
      </c>
      <c r="CY80" s="9">
        <v>0</v>
      </c>
      <c r="CZ80" s="9">
        <v>0</v>
      </c>
      <c r="DA80" s="9">
        <v>1</v>
      </c>
      <c r="DB80" s="9">
        <v>1578266</v>
      </c>
      <c r="DC80" s="9">
        <v>0</v>
      </c>
      <c r="DD80" s="9">
        <v>0</v>
      </c>
      <c r="DE80" s="9">
        <v>341099</v>
      </c>
      <c r="DF80" s="9">
        <v>359102</v>
      </c>
      <c r="DG80" s="9">
        <v>260.5</v>
      </c>
      <c r="DH80" s="9">
        <v>0</v>
      </c>
      <c r="DI80" s="9">
        <v>18003</v>
      </c>
      <c r="DJ80" s="9">
        <v>0</v>
      </c>
      <c r="DK80" s="9">
        <v>5392</v>
      </c>
      <c r="DL80" s="9">
        <v>0</v>
      </c>
      <c r="DM80" s="9">
        <v>186579</v>
      </c>
      <c r="DN80" s="9">
        <v>0</v>
      </c>
      <c r="DO80" s="9">
        <v>0</v>
      </c>
      <c r="DP80" s="9">
        <v>0</v>
      </c>
      <c r="DQ80" s="9">
        <v>0</v>
      </c>
      <c r="DR80" s="9">
        <v>0</v>
      </c>
      <c r="DS80" s="9">
        <v>0</v>
      </c>
      <c r="DT80" s="9">
        <v>0</v>
      </c>
      <c r="DU80" s="9">
        <v>0</v>
      </c>
      <c r="DV80" s="9">
        <v>0</v>
      </c>
      <c r="DW80" s="9">
        <v>0</v>
      </c>
      <c r="DX80" s="9">
        <v>0</v>
      </c>
      <c r="DY80" s="9">
        <v>0</v>
      </c>
      <c r="DZ80" s="9">
        <v>0</v>
      </c>
      <c r="EA80" s="9">
        <v>0.14300000000000002</v>
      </c>
      <c r="EB80" s="9">
        <v>0</v>
      </c>
      <c r="EC80" s="9">
        <v>20.024000000000001</v>
      </c>
      <c r="ED80" s="9">
        <v>144207</v>
      </c>
      <c r="EE80" s="9">
        <v>0</v>
      </c>
      <c r="EF80" s="9">
        <v>0</v>
      </c>
      <c r="EG80" s="9">
        <v>0</v>
      </c>
      <c r="EH80" s="9">
        <v>42372</v>
      </c>
      <c r="EI80" s="9">
        <v>0</v>
      </c>
      <c r="EJ80" s="9">
        <v>0</v>
      </c>
      <c r="EK80" s="9">
        <v>1.8390000000000002</v>
      </c>
      <c r="EL80" s="9">
        <v>0</v>
      </c>
      <c r="EM80" s="9">
        <v>0</v>
      </c>
      <c r="EN80" s="9">
        <v>4.8000000000000001E-2</v>
      </c>
      <c r="EO80" s="9">
        <v>0</v>
      </c>
      <c r="EP80" s="9">
        <v>0</v>
      </c>
      <c r="EQ80" s="9">
        <v>2.0300000000000002</v>
      </c>
      <c r="ER80" s="9">
        <v>0</v>
      </c>
      <c r="ES80" s="9">
        <v>6.4720000000000004</v>
      </c>
      <c r="ET80" s="9">
        <v>5875</v>
      </c>
      <c r="EU80" s="9">
        <v>200854</v>
      </c>
      <c r="EV80" s="9">
        <v>0</v>
      </c>
      <c r="EW80" s="9">
        <v>0</v>
      </c>
      <c r="EX80" s="9">
        <v>0</v>
      </c>
      <c r="EY80" s="9">
        <v>0</v>
      </c>
      <c r="EZ80" s="9">
        <v>2078748</v>
      </c>
      <c r="FA80" s="9">
        <v>0</v>
      </c>
      <c r="FB80" s="9">
        <v>2279602</v>
      </c>
      <c r="FC80" s="9">
        <v>0.97326799999999991</v>
      </c>
      <c r="FD80" s="9">
        <v>0</v>
      </c>
      <c r="FE80" s="9">
        <v>333066</v>
      </c>
      <c r="FF80" s="9">
        <v>70926</v>
      </c>
      <c r="FG80" s="9">
        <v>5.8088000000000001E-2</v>
      </c>
      <c r="FH80" s="9">
        <v>5.2622999999999996E-2</v>
      </c>
      <c r="FI80" s="9">
        <v>0</v>
      </c>
      <c r="FJ80" s="9">
        <v>0</v>
      </c>
      <c r="FK80" s="9">
        <v>421.85200000000003</v>
      </c>
      <c r="FL80" s="9">
        <v>2733739</v>
      </c>
      <c r="FM80" s="9">
        <v>0</v>
      </c>
      <c r="FN80" s="9">
        <v>0</v>
      </c>
      <c r="FO80" s="9">
        <v>0</v>
      </c>
      <c r="FP80" s="9">
        <v>0</v>
      </c>
      <c r="FQ80" s="9">
        <v>0</v>
      </c>
      <c r="FR80" s="9">
        <v>0</v>
      </c>
      <c r="FS80" s="9">
        <v>0</v>
      </c>
      <c r="FT80" s="9">
        <v>0</v>
      </c>
      <c r="FU80" s="9">
        <v>0</v>
      </c>
      <c r="FV80" s="9">
        <v>0</v>
      </c>
      <c r="FW80" s="9">
        <v>0</v>
      </c>
      <c r="FX80" s="9">
        <v>0</v>
      </c>
      <c r="FY80" s="9">
        <v>0</v>
      </c>
      <c r="FZ80" s="9">
        <v>0</v>
      </c>
      <c r="GA80" s="9">
        <v>0</v>
      </c>
      <c r="GB80" s="9">
        <v>70964</v>
      </c>
      <c r="GC80" s="9">
        <v>70964</v>
      </c>
      <c r="GD80" s="9">
        <v>8.0289999999999999</v>
      </c>
      <c r="GE80" s="9">
        <v>0</v>
      </c>
      <c r="GF80" s="9">
        <v>0</v>
      </c>
      <c r="GG80" s="9">
        <v>0</v>
      </c>
      <c r="GH80" s="9">
        <v>0</v>
      </c>
      <c r="GI80" s="9">
        <v>0</v>
      </c>
      <c r="GJ80" s="9">
        <v>0</v>
      </c>
      <c r="GK80" s="9">
        <v>5157</v>
      </c>
      <c r="GL80" s="9">
        <v>14655</v>
      </c>
      <c r="GM80" s="9">
        <v>0</v>
      </c>
      <c r="GN80" s="9">
        <v>0</v>
      </c>
      <c r="GO80" s="9">
        <v>0</v>
      </c>
      <c r="GP80" s="9">
        <v>2683594</v>
      </c>
      <c r="GQ80" s="9">
        <v>2683594</v>
      </c>
      <c r="GR80" s="9">
        <v>0</v>
      </c>
      <c r="GS80" s="9">
        <v>0</v>
      </c>
      <c r="GT80" s="9">
        <v>0</v>
      </c>
      <c r="GU80" s="9">
        <v>0</v>
      </c>
      <c r="GV80" s="9">
        <v>0</v>
      </c>
      <c r="GW80" s="9">
        <v>0</v>
      </c>
      <c r="GX80" s="9">
        <v>0</v>
      </c>
      <c r="GY80" s="9">
        <v>0</v>
      </c>
      <c r="GZ80" s="9">
        <v>0</v>
      </c>
      <c r="HA80" s="9">
        <v>0</v>
      </c>
      <c r="HB80" s="9">
        <v>300501363</v>
      </c>
      <c r="HC80" s="9">
        <v>4.4742999999999998E-2</v>
      </c>
      <c r="HD80" s="9">
        <v>44270</v>
      </c>
      <c r="HE80" s="9">
        <v>0</v>
      </c>
      <c r="HF80" s="9">
        <v>0</v>
      </c>
      <c r="HG80" s="9">
        <v>0</v>
      </c>
      <c r="HH80" s="9">
        <v>0</v>
      </c>
      <c r="HI80" s="9">
        <v>0</v>
      </c>
      <c r="HJ80" s="9">
        <v>0</v>
      </c>
      <c r="HK80" s="9">
        <v>0</v>
      </c>
      <c r="HL80" s="9">
        <v>0</v>
      </c>
      <c r="HM80" s="9">
        <v>0</v>
      </c>
      <c r="HN80" s="9">
        <v>0</v>
      </c>
      <c r="HO80" s="9">
        <v>0</v>
      </c>
      <c r="HP80" s="9">
        <v>0</v>
      </c>
      <c r="HQ80" s="9">
        <v>0</v>
      </c>
      <c r="HR80" s="9">
        <v>0</v>
      </c>
      <c r="HS80" s="9">
        <v>0</v>
      </c>
      <c r="HT80" s="9">
        <v>0</v>
      </c>
      <c r="HU80" s="9">
        <v>0</v>
      </c>
      <c r="HV80" s="9">
        <v>0</v>
      </c>
      <c r="HW80" s="9">
        <v>0</v>
      </c>
      <c r="HX80" s="9">
        <v>0</v>
      </c>
      <c r="HY80" s="9">
        <v>0</v>
      </c>
      <c r="HZ80" s="9">
        <v>0</v>
      </c>
      <c r="IA80" s="9">
        <v>0</v>
      </c>
      <c r="IB80" s="9">
        <v>0</v>
      </c>
      <c r="IC80" s="9">
        <v>0</v>
      </c>
      <c r="ID80" s="9">
        <v>0</v>
      </c>
      <c r="IE80" s="9">
        <v>0</v>
      </c>
      <c r="IF80" s="9">
        <v>0</v>
      </c>
      <c r="IG80" s="9">
        <v>0</v>
      </c>
      <c r="IH80" s="9">
        <v>0</v>
      </c>
      <c r="II80" s="9">
        <v>0</v>
      </c>
      <c r="IJ80" s="9">
        <v>0</v>
      </c>
      <c r="IK80" s="9">
        <v>0</v>
      </c>
      <c r="IL80" s="9">
        <v>0</v>
      </c>
      <c r="IM80" s="9">
        <v>0</v>
      </c>
      <c r="IN80" s="9">
        <v>0</v>
      </c>
      <c r="IO80" s="9">
        <v>0</v>
      </c>
      <c r="IP80" s="9">
        <v>0</v>
      </c>
      <c r="IQ80" s="9">
        <v>0</v>
      </c>
      <c r="IR80" s="9">
        <v>0</v>
      </c>
      <c r="IS80" s="9">
        <v>0</v>
      </c>
      <c r="IT80" s="9">
        <v>0</v>
      </c>
      <c r="IU80" s="9">
        <v>0</v>
      </c>
      <c r="IV80" s="9">
        <v>0</v>
      </c>
      <c r="IW80" s="9">
        <v>0</v>
      </c>
      <c r="IX80" s="9">
        <v>0</v>
      </c>
      <c r="IY80" s="9">
        <v>0</v>
      </c>
      <c r="IZ80" s="9">
        <v>0</v>
      </c>
      <c r="JA80" s="9">
        <v>0</v>
      </c>
      <c r="JB80" s="9">
        <v>0</v>
      </c>
      <c r="JC80" s="9">
        <v>0</v>
      </c>
      <c r="JD80" s="9">
        <v>0</v>
      </c>
      <c r="JE80" s="9">
        <v>0</v>
      </c>
      <c r="JF80" s="9">
        <v>0</v>
      </c>
      <c r="JG80" s="9">
        <v>0</v>
      </c>
      <c r="JH80" s="9">
        <v>0</v>
      </c>
      <c r="JI80" s="9">
        <v>0</v>
      </c>
      <c r="JJ80" s="9">
        <v>0</v>
      </c>
      <c r="JK80" s="9">
        <v>0</v>
      </c>
      <c r="JL80" s="9">
        <v>0</v>
      </c>
      <c r="JM80" s="9">
        <v>0</v>
      </c>
      <c r="JN80" s="9">
        <v>36832</v>
      </c>
      <c r="JO80" s="9">
        <v>0</v>
      </c>
      <c r="JP80" s="9">
        <v>0</v>
      </c>
      <c r="JQ80" s="9">
        <v>0</v>
      </c>
      <c r="JR80" s="9">
        <v>0</v>
      </c>
      <c r="JS80" s="9">
        <v>0</v>
      </c>
      <c r="JT80" s="9">
        <v>0</v>
      </c>
      <c r="JU80" s="9">
        <v>0</v>
      </c>
      <c r="JV80" s="9">
        <v>0</v>
      </c>
      <c r="JW80" s="9">
        <v>0</v>
      </c>
      <c r="JX80" s="9">
        <v>0</v>
      </c>
      <c r="JY80" s="9">
        <v>0</v>
      </c>
      <c r="JZ80" s="9">
        <v>0</v>
      </c>
      <c r="KA80" s="9">
        <v>0</v>
      </c>
      <c r="KB80" s="9">
        <v>0</v>
      </c>
      <c r="KC80" s="9">
        <v>0</v>
      </c>
      <c r="KD80" s="9">
        <v>0</v>
      </c>
      <c r="KE80" s="9">
        <v>0</v>
      </c>
      <c r="KF80" s="9">
        <v>0</v>
      </c>
      <c r="KG80" s="9">
        <v>0</v>
      </c>
      <c r="KH80" s="9">
        <v>0</v>
      </c>
      <c r="KI80" s="9">
        <v>0</v>
      </c>
    </row>
    <row r="81" spans="1:295" ht="13" x14ac:dyDescent="0.3">
      <c r="A81" s="9">
        <v>71806</v>
      </c>
      <c r="B81" s="9">
        <v>36871</v>
      </c>
      <c r="C81" s="9">
        <v>35</v>
      </c>
      <c r="D81" s="9">
        <v>2023</v>
      </c>
      <c r="E81" s="9">
        <v>5392</v>
      </c>
      <c r="F81" s="9">
        <v>0</v>
      </c>
      <c r="G81" s="9">
        <v>0</v>
      </c>
      <c r="H81" s="9">
        <v>3674.4560000000001</v>
      </c>
      <c r="I81" s="9">
        <v>3674.4560000000001</v>
      </c>
      <c r="J81" s="9">
        <v>3905.0910000000003</v>
      </c>
      <c r="K81" s="9">
        <v>0</v>
      </c>
      <c r="L81" s="9">
        <v>6547</v>
      </c>
      <c r="M81" s="9">
        <v>0</v>
      </c>
      <c r="N81" s="9">
        <v>0</v>
      </c>
      <c r="O81" s="9">
        <v>0</v>
      </c>
      <c r="P81" s="9">
        <v>3430.721</v>
      </c>
      <c r="Q81" s="9">
        <v>0</v>
      </c>
      <c r="R81" s="10">
        <v>1670494</v>
      </c>
      <c r="S81" s="9">
        <v>486.92200000000003</v>
      </c>
      <c r="T81" s="9">
        <v>0</v>
      </c>
      <c r="U81" s="10">
        <v>1670494</v>
      </c>
      <c r="V81" s="10">
        <v>965.54300000000001</v>
      </c>
      <c r="W81" s="10">
        <v>632141</v>
      </c>
      <c r="X81" s="10">
        <v>632141</v>
      </c>
      <c r="Y81" s="9">
        <v>0</v>
      </c>
      <c r="Z81" s="9">
        <v>0</v>
      </c>
      <c r="AA81" s="9">
        <v>1</v>
      </c>
      <c r="AB81" s="9">
        <v>1</v>
      </c>
      <c r="AC81" s="9">
        <v>0</v>
      </c>
      <c r="AD81" s="9" t="s">
        <v>314</v>
      </c>
      <c r="AE81" s="9">
        <v>0</v>
      </c>
      <c r="AF81" s="9">
        <v>0</v>
      </c>
      <c r="AG81" s="9">
        <v>0</v>
      </c>
      <c r="AH81" s="9">
        <v>0</v>
      </c>
      <c r="AI81" s="9">
        <v>0</v>
      </c>
      <c r="AJ81" s="9">
        <v>5104</v>
      </c>
      <c r="AK81" s="9" t="s">
        <v>651</v>
      </c>
      <c r="AL81" s="9" t="s">
        <v>26</v>
      </c>
      <c r="AM81" s="9">
        <v>0</v>
      </c>
      <c r="AN81" s="9">
        <v>0</v>
      </c>
      <c r="AO81" s="9">
        <v>0</v>
      </c>
      <c r="AP81" s="9">
        <v>0</v>
      </c>
      <c r="AQ81" s="9">
        <v>0</v>
      </c>
      <c r="AR81" s="9">
        <v>0</v>
      </c>
      <c r="AS81" s="9">
        <v>0</v>
      </c>
      <c r="AT81" s="9">
        <v>0</v>
      </c>
      <c r="AU81" s="9">
        <v>0</v>
      </c>
      <c r="AV81" s="9">
        <v>-828045</v>
      </c>
      <c r="AW81" s="9">
        <v>37331714</v>
      </c>
      <c r="AX81" s="9">
        <v>36405833</v>
      </c>
      <c r="AY81" s="9">
        <v>39724346</v>
      </c>
      <c r="AZ81" s="9">
        <v>1865124</v>
      </c>
      <c r="BA81" s="10">
        <v>85.667000000000002</v>
      </c>
      <c r="BB81" s="9">
        <v>153400</v>
      </c>
      <c r="BC81" s="9">
        <v>153400</v>
      </c>
      <c r="BD81" s="9">
        <v>195.255</v>
      </c>
      <c r="BE81" s="9">
        <v>0</v>
      </c>
      <c r="BF81" s="9">
        <v>31335799</v>
      </c>
      <c r="BG81" s="9">
        <v>0</v>
      </c>
      <c r="BH81" s="10">
        <v>707.74599999999998</v>
      </c>
      <c r="BI81" s="10">
        <v>194630</v>
      </c>
      <c r="BJ81" s="9">
        <v>12</v>
      </c>
      <c r="BK81" s="9">
        <v>0</v>
      </c>
      <c r="BL81" s="9">
        <v>0</v>
      </c>
      <c r="BM81" s="9">
        <v>0</v>
      </c>
      <c r="BN81" s="9">
        <v>0</v>
      </c>
      <c r="BO81" s="9">
        <v>0</v>
      </c>
      <c r="BP81" s="9">
        <v>0</v>
      </c>
      <c r="BQ81" s="9">
        <v>5392</v>
      </c>
      <c r="BR81" s="9">
        <v>1</v>
      </c>
      <c r="BS81" s="9">
        <v>0</v>
      </c>
      <c r="BT81" s="9">
        <v>0</v>
      </c>
      <c r="BU81" s="9">
        <v>0</v>
      </c>
      <c r="BV81" s="9">
        <v>0</v>
      </c>
      <c r="BW81" s="9">
        <v>0</v>
      </c>
      <c r="BX81" s="9">
        <v>0</v>
      </c>
      <c r="BY81" s="9">
        <v>0</v>
      </c>
      <c r="BZ81" s="9">
        <v>0</v>
      </c>
      <c r="CA81" s="9">
        <v>0</v>
      </c>
      <c r="CB81" s="9">
        <v>0</v>
      </c>
      <c r="CC81" s="9">
        <v>0</v>
      </c>
      <c r="CD81" s="9">
        <v>0</v>
      </c>
      <c r="CE81" s="9">
        <v>0</v>
      </c>
      <c r="CF81" s="9">
        <v>0</v>
      </c>
      <c r="CG81" s="9">
        <v>0</v>
      </c>
      <c r="CH81" s="10">
        <v>731251</v>
      </c>
      <c r="CI81" s="9">
        <v>0</v>
      </c>
      <c r="CJ81" s="9">
        <v>4</v>
      </c>
      <c r="CK81" s="9">
        <v>0</v>
      </c>
      <c r="CL81" s="9">
        <v>0</v>
      </c>
      <c r="CM81" s="9">
        <v>0</v>
      </c>
      <c r="CN81" s="9">
        <v>0</v>
      </c>
      <c r="CO81" s="9">
        <v>0</v>
      </c>
      <c r="CP81" s="9">
        <v>0</v>
      </c>
      <c r="CQ81" s="9">
        <v>0</v>
      </c>
      <c r="CR81" s="9">
        <v>3313.7660000000001</v>
      </c>
      <c r="CS81" s="9">
        <v>0</v>
      </c>
      <c r="CT81" s="9">
        <v>0</v>
      </c>
      <c r="CU81" s="9">
        <v>0</v>
      </c>
      <c r="CV81" s="9">
        <v>0</v>
      </c>
      <c r="CW81" s="9">
        <v>0</v>
      </c>
      <c r="CX81" s="9">
        <v>0</v>
      </c>
      <c r="CY81" s="9">
        <v>0</v>
      </c>
      <c r="CZ81" s="9">
        <v>0</v>
      </c>
      <c r="DA81" s="9">
        <v>1</v>
      </c>
      <c r="DB81" s="9">
        <v>24056663</v>
      </c>
      <c r="DC81" s="9">
        <v>0</v>
      </c>
      <c r="DD81" s="9">
        <v>0</v>
      </c>
      <c r="DE81" s="9">
        <v>3589065</v>
      </c>
      <c r="DF81" s="9">
        <v>3589065</v>
      </c>
      <c r="DG81" s="9">
        <v>2741</v>
      </c>
      <c r="DH81" s="9">
        <v>0</v>
      </c>
      <c r="DI81" s="9">
        <v>0</v>
      </c>
      <c r="DJ81" s="9">
        <v>0</v>
      </c>
      <c r="DK81" s="9">
        <v>5392</v>
      </c>
      <c r="DL81" s="9">
        <v>0</v>
      </c>
      <c r="DM81" s="9">
        <v>2592345</v>
      </c>
      <c r="DN81" s="9">
        <v>0</v>
      </c>
      <c r="DO81" s="9">
        <v>0</v>
      </c>
      <c r="DP81" s="9">
        <v>0</v>
      </c>
      <c r="DQ81" s="9">
        <v>0</v>
      </c>
      <c r="DR81" s="9">
        <v>0</v>
      </c>
      <c r="DS81" s="9">
        <v>0</v>
      </c>
      <c r="DT81" s="9">
        <v>0</v>
      </c>
      <c r="DU81" s="9">
        <v>0</v>
      </c>
      <c r="DV81" s="9">
        <v>0</v>
      </c>
      <c r="DW81" s="9">
        <v>0</v>
      </c>
      <c r="DX81" s="9">
        <v>0</v>
      </c>
      <c r="DY81" s="9">
        <v>0</v>
      </c>
      <c r="DZ81" s="9">
        <v>0</v>
      </c>
      <c r="EA81" s="9">
        <v>0</v>
      </c>
      <c r="EB81" s="9">
        <v>0</v>
      </c>
      <c r="EC81" s="9">
        <v>79.016000000000005</v>
      </c>
      <c r="ED81" s="9">
        <v>569050</v>
      </c>
      <c r="EE81" s="9">
        <v>0</v>
      </c>
      <c r="EF81" s="9">
        <v>0</v>
      </c>
      <c r="EG81" s="9">
        <v>0</v>
      </c>
      <c r="EH81" s="9">
        <v>2023295</v>
      </c>
      <c r="EI81" s="9">
        <v>0</v>
      </c>
      <c r="EJ81" s="9">
        <v>0</v>
      </c>
      <c r="EK81" s="9">
        <v>74.069000000000003</v>
      </c>
      <c r="EL81" s="9">
        <v>0</v>
      </c>
      <c r="EM81" s="9">
        <v>15.728000000000002</v>
      </c>
      <c r="EN81" s="9">
        <v>7.7530000000000001</v>
      </c>
      <c r="EO81" s="9">
        <v>0</v>
      </c>
      <c r="EP81" s="9">
        <v>0</v>
      </c>
      <c r="EQ81" s="9">
        <v>97.935000000000002</v>
      </c>
      <c r="ER81" s="9">
        <v>0.38500000000000001</v>
      </c>
      <c r="ES81" s="9">
        <v>309.04200000000003</v>
      </c>
      <c r="ET81" s="10">
        <v>42834</v>
      </c>
      <c r="EU81" s="9">
        <v>1865124</v>
      </c>
      <c r="EV81" s="9">
        <v>0</v>
      </c>
      <c r="EW81" s="9">
        <v>0</v>
      </c>
      <c r="EX81" s="9">
        <v>0</v>
      </c>
      <c r="EY81" s="9">
        <v>0</v>
      </c>
      <c r="EZ81" s="9">
        <v>30525982</v>
      </c>
      <c r="FA81" s="9">
        <v>0</v>
      </c>
      <c r="FB81" s="10">
        <v>32391106</v>
      </c>
      <c r="FC81" s="9">
        <v>0.97326799999999991</v>
      </c>
      <c r="FD81" s="9">
        <v>0</v>
      </c>
      <c r="FE81" s="9">
        <v>4847564</v>
      </c>
      <c r="FF81" s="9">
        <v>1032287</v>
      </c>
      <c r="FG81" s="9">
        <v>5.8088000000000001E-2</v>
      </c>
      <c r="FH81" s="9">
        <v>5.2622999999999996E-2</v>
      </c>
      <c r="FI81" s="9">
        <v>0</v>
      </c>
      <c r="FJ81" s="9">
        <v>0</v>
      </c>
      <c r="FK81" s="9">
        <v>6139.7939999999999</v>
      </c>
      <c r="FL81" s="9">
        <v>39002208</v>
      </c>
      <c r="FM81" s="9">
        <v>0</v>
      </c>
      <c r="FN81" s="9">
        <v>0</v>
      </c>
      <c r="FO81" s="9">
        <v>0</v>
      </c>
      <c r="FP81" s="9">
        <v>0</v>
      </c>
      <c r="FQ81" s="9">
        <v>0</v>
      </c>
      <c r="FR81" s="9">
        <v>0</v>
      </c>
      <c r="FS81" s="9">
        <v>0</v>
      </c>
      <c r="FT81" s="9">
        <v>0</v>
      </c>
      <c r="FU81" s="9">
        <v>0</v>
      </c>
      <c r="FV81" s="9">
        <v>0</v>
      </c>
      <c r="FW81" s="9">
        <v>0</v>
      </c>
      <c r="FX81" s="9">
        <v>0</v>
      </c>
      <c r="FY81" s="9">
        <v>0</v>
      </c>
      <c r="FZ81" s="9">
        <v>0</v>
      </c>
      <c r="GA81" s="9">
        <v>0</v>
      </c>
      <c r="GB81" s="10">
        <v>1172862</v>
      </c>
      <c r="GC81" s="10">
        <v>1172862</v>
      </c>
      <c r="GD81" s="10">
        <v>132.69999999999999</v>
      </c>
      <c r="GE81" s="9">
        <v>0</v>
      </c>
      <c r="GF81" s="9">
        <v>0</v>
      </c>
      <c r="GG81" s="9">
        <v>0</v>
      </c>
      <c r="GH81" s="9">
        <v>0</v>
      </c>
      <c r="GI81" s="9">
        <v>0</v>
      </c>
      <c r="GJ81" s="9">
        <v>0</v>
      </c>
      <c r="GK81" s="9">
        <v>5101</v>
      </c>
      <c r="GL81" s="9">
        <v>19021</v>
      </c>
      <c r="GM81" s="9">
        <v>0</v>
      </c>
      <c r="GN81" s="9">
        <v>0</v>
      </c>
      <c r="GO81" s="9">
        <v>0</v>
      </c>
      <c r="GP81" s="9">
        <v>38270957</v>
      </c>
      <c r="GQ81" s="9">
        <v>38270957</v>
      </c>
      <c r="GR81" s="9">
        <v>0</v>
      </c>
      <c r="GS81" s="9">
        <v>0</v>
      </c>
      <c r="GT81" s="9">
        <v>0</v>
      </c>
      <c r="GU81" s="9">
        <v>0</v>
      </c>
      <c r="GV81" s="9">
        <v>0</v>
      </c>
      <c r="GW81" s="9">
        <v>0</v>
      </c>
      <c r="GX81" s="9">
        <v>0</v>
      </c>
      <c r="GY81" s="9">
        <v>0</v>
      </c>
      <c r="GZ81" s="9">
        <v>0</v>
      </c>
      <c r="HA81" s="9">
        <v>0</v>
      </c>
      <c r="HB81" s="9">
        <v>300501363</v>
      </c>
      <c r="HC81" s="9">
        <v>4.4742999999999998E-2</v>
      </c>
      <c r="HD81" s="10">
        <v>688417</v>
      </c>
      <c r="HE81" s="9">
        <v>0</v>
      </c>
      <c r="HF81" s="9">
        <v>0</v>
      </c>
      <c r="HG81" s="9">
        <v>0</v>
      </c>
      <c r="HH81" s="9">
        <v>0</v>
      </c>
      <c r="HI81" s="9">
        <v>0</v>
      </c>
      <c r="HJ81" s="9">
        <v>0</v>
      </c>
      <c r="HK81" s="9">
        <v>0</v>
      </c>
      <c r="HL81" s="9">
        <v>0</v>
      </c>
      <c r="HM81" s="9">
        <v>0</v>
      </c>
      <c r="HN81" s="9">
        <v>0</v>
      </c>
      <c r="HO81" s="9">
        <v>0</v>
      </c>
      <c r="HP81" s="9">
        <v>0</v>
      </c>
      <c r="HQ81" s="9">
        <v>0</v>
      </c>
      <c r="HR81" s="9">
        <v>0</v>
      </c>
      <c r="HS81" s="9">
        <v>0</v>
      </c>
      <c r="HT81" s="9">
        <v>0</v>
      </c>
      <c r="HU81" s="9">
        <v>0</v>
      </c>
      <c r="HV81" s="9">
        <v>0</v>
      </c>
      <c r="HW81" s="9">
        <v>0</v>
      </c>
      <c r="HX81" s="9">
        <v>0</v>
      </c>
      <c r="HY81" s="9">
        <v>0</v>
      </c>
      <c r="HZ81" s="9">
        <v>0</v>
      </c>
      <c r="IA81" s="9">
        <v>0</v>
      </c>
      <c r="IB81" s="9">
        <v>0</v>
      </c>
      <c r="IC81" s="9">
        <v>0</v>
      </c>
      <c r="ID81" s="9">
        <v>0</v>
      </c>
      <c r="IE81" s="9">
        <v>0</v>
      </c>
      <c r="IF81" s="9">
        <v>0</v>
      </c>
      <c r="IG81" s="9">
        <v>0</v>
      </c>
      <c r="IH81" s="9">
        <v>0</v>
      </c>
      <c r="II81" s="9">
        <v>0</v>
      </c>
      <c r="IJ81" s="9">
        <v>0</v>
      </c>
      <c r="IK81" s="9">
        <v>0</v>
      </c>
      <c r="IL81" s="9">
        <v>0</v>
      </c>
      <c r="IM81" s="9">
        <v>0</v>
      </c>
      <c r="IN81" s="9">
        <v>0</v>
      </c>
      <c r="IO81" s="9">
        <v>0</v>
      </c>
      <c r="IP81" s="9">
        <v>0</v>
      </c>
      <c r="IQ81" s="9">
        <v>0</v>
      </c>
      <c r="IR81" s="9">
        <v>0</v>
      </c>
      <c r="IS81" s="9">
        <v>0</v>
      </c>
      <c r="IT81" s="9">
        <v>0</v>
      </c>
      <c r="IU81" s="9">
        <v>0</v>
      </c>
      <c r="IV81" s="9">
        <v>0</v>
      </c>
      <c r="IW81" s="9">
        <v>0</v>
      </c>
      <c r="IX81" s="9">
        <v>0</v>
      </c>
      <c r="IY81" s="9">
        <v>0</v>
      </c>
      <c r="IZ81" s="9">
        <v>0</v>
      </c>
      <c r="JA81" s="9">
        <v>0</v>
      </c>
      <c r="JB81" s="9">
        <v>0</v>
      </c>
      <c r="JC81" s="9">
        <v>0</v>
      </c>
      <c r="JD81" s="9">
        <v>0</v>
      </c>
      <c r="JE81" s="9">
        <v>0</v>
      </c>
      <c r="JF81" s="9">
        <v>0</v>
      </c>
      <c r="JG81" s="9">
        <v>0</v>
      </c>
      <c r="JH81" s="9">
        <v>0</v>
      </c>
      <c r="JI81" s="9">
        <v>0</v>
      </c>
      <c r="JJ81" s="9">
        <v>0</v>
      </c>
      <c r="JK81" s="9">
        <v>0</v>
      </c>
      <c r="JL81" s="9">
        <v>0</v>
      </c>
      <c r="JM81" s="9">
        <v>0</v>
      </c>
      <c r="JN81" s="9">
        <v>36832</v>
      </c>
      <c r="JO81" s="9">
        <v>0</v>
      </c>
      <c r="JP81" s="9">
        <v>0</v>
      </c>
      <c r="JQ81" s="9">
        <v>0</v>
      </c>
      <c r="JR81" s="9">
        <v>0</v>
      </c>
      <c r="JS81" s="9">
        <v>0</v>
      </c>
      <c r="JT81" s="9">
        <v>0</v>
      </c>
      <c r="JU81" s="9">
        <v>0</v>
      </c>
      <c r="JV81" s="9">
        <v>0</v>
      </c>
      <c r="JW81" s="9">
        <v>0</v>
      </c>
      <c r="JX81" s="9">
        <v>0</v>
      </c>
      <c r="JY81" s="9">
        <v>0</v>
      </c>
      <c r="JZ81" s="9">
        <v>0</v>
      </c>
      <c r="KA81" s="9">
        <v>0</v>
      </c>
      <c r="KB81" s="9">
        <v>0</v>
      </c>
      <c r="KC81" s="9">
        <v>0</v>
      </c>
      <c r="KD81" s="9">
        <v>0</v>
      </c>
      <c r="KE81" s="9">
        <v>0</v>
      </c>
      <c r="KF81" s="9">
        <v>0</v>
      </c>
      <c r="KG81" s="9">
        <v>0</v>
      </c>
      <c r="KH81" s="9">
        <v>0</v>
      </c>
      <c r="KI81" s="9">
        <v>0</v>
      </c>
    </row>
    <row r="82" spans="1:295" x14ac:dyDescent="0.25">
      <c r="A82" s="9">
        <v>71807</v>
      </c>
      <c r="B82" s="9">
        <v>36871</v>
      </c>
      <c r="C82" s="9">
        <v>35</v>
      </c>
      <c r="D82" s="9">
        <v>2023</v>
      </c>
      <c r="E82" s="9">
        <v>5392</v>
      </c>
      <c r="F82" s="9">
        <v>0</v>
      </c>
      <c r="G82" s="9">
        <v>0</v>
      </c>
      <c r="H82" s="9">
        <v>177.50800000000001</v>
      </c>
      <c r="I82" s="9">
        <v>177.50800000000001</v>
      </c>
      <c r="J82" s="9">
        <v>178.489</v>
      </c>
      <c r="K82" s="9">
        <v>0</v>
      </c>
      <c r="L82" s="9">
        <v>6547</v>
      </c>
      <c r="M82" s="9">
        <v>0</v>
      </c>
      <c r="N82" s="9">
        <v>0</v>
      </c>
      <c r="O82" s="9">
        <v>0</v>
      </c>
      <c r="P82" s="9">
        <v>190.178</v>
      </c>
      <c r="Q82" s="9">
        <v>0</v>
      </c>
      <c r="R82" s="9">
        <v>92602</v>
      </c>
      <c r="S82" s="9">
        <v>486.92200000000003</v>
      </c>
      <c r="T82" s="9">
        <v>0</v>
      </c>
      <c r="U82" s="9">
        <v>92602</v>
      </c>
      <c r="V82" s="9">
        <v>127.10300000000001</v>
      </c>
      <c r="W82" s="9">
        <v>83214</v>
      </c>
      <c r="X82" s="9">
        <v>83214</v>
      </c>
      <c r="Y82" s="9">
        <v>0</v>
      </c>
      <c r="Z82" s="9">
        <v>0</v>
      </c>
      <c r="AA82" s="9">
        <v>1</v>
      </c>
      <c r="AB82" s="9">
        <v>1</v>
      </c>
      <c r="AC82" s="9">
        <v>0</v>
      </c>
      <c r="AD82" s="9" t="s">
        <v>314</v>
      </c>
      <c r="AE82" s="9">
        <v>0</v>
      </c>
      <c r="AF82" s="9">
        <v>0</v>
      </c>
      <c r="AG82" s="9">
        <v>0</v>
      </c>
      <c r="AH82" s="9">
        <v>0</v>
      </c>
      <c r="AI82" s="9">
        <v>0</v>
      </c>
      <c r="AJ82" s="9">
        <v>5104</v>
      </c>
      <c r="AK82" s="9" t="s">
        <v>651</v>
      </c>
      <c r="AL82" s="9" t="s">
        <v>63</v>
      </c>
      <c r="AM82" s="9">
        <v>0</v>
      </c>
      <c r="AN82" s="9">
        <v>0</v>
      </c>
      <c r="AO82" s="9">
        <v>0</v>
      </c>
      <c r="AP82" s="9">
        <v>0</v>
      </c>
      <c r="AQ82" s="9">
        <v>0</v>
      </c>
      <c r="AR82" s="9">
        <v>0</v>
      </c>
      <c r="AS82" s="9">
        <v>0</v>
      </c>
      <c r="AT82" s="9">
        <v>0</v>
      </c>
      <c r="AU82" s="9">
        <v>0</v>
      </c>
      <c r="AV82" s="9">
        <v>-217665</v>
      </c>
      <c r="AW82" s="9">
        <v>1733107</v>
      </c>
      <c r="AX82" s="9">
        <v>1733107</v>
      </c>
      <c r="AY82" s="9">
        <v>1718157</v>
      </c>
      <c r="AZ82" s="9">
        <v>92602</v>
      </c>
      <c r="BA82" s="9">
        <v>0</v>
      </c>
      <c r="BB82" s="9">
        <v>0</v>
      </c>
      <c r="BC82" s="9">
        <v>0</v>
      </c>
      <c r="BD82" s="9">
        <v>0</v>
      </c>
      <c r="BE82" s="9">
        <v>0</v>
      </c>
      <c r="BF82" s="9">
        <v>1502510</v>
      </c>
      <c r="BG82" s="9">
        <v>0</v>
      </c>
      <c r="BH82" s="9">
        <v>0</v>
      </c>
      <c r="BI82" s="9">
        <v>0</v>
      </c>
      <c r="BJ82" s="9">
        <v>12</v>
      </c>
      <c r="BK82" s="9">
        <v>0</v>
      </c>
      <c r="BL82" s="9">
        <v>0</v>
      </c>
      <c r="BM82" s="9">
        <v>0</v>
      </c>
      <c r="BN82" s="9">
        <v>0</v>
      </c>
      <c r="BO82" s="9">
        <v>0</v>
      </c>
      <c r="BP82" s="9">
        <v>0</v>
      </c>
      <c r="BQ82" s="9">
        <v>5392</v>
      </c>
      <c r="BR82" s="9">
        <v>1</v>
      </c>
      <c r="BS82" s="9">
        <v>0</v>
      </c>
      <c r="BT82" s="9">
        <v>0</v>
      </c>
      <c r="BU82" s="9">
        <v>0</v>
      </c>
      <c r="BV82" s="9">
        <v>0</v>
      </c>
      <c r="BW82" s="9">
        <v>0</v>
      </c>
      <c r="BX82" s="9">
        <v>0</v>
      </c>
      <c r="BY82" s="9">
        <v>0</v>
      </c>
      <c r="BZ82" s="9">
        <v>0</v>
      </c>
      <c r="CA82" s="9">
        <v>0</v>
      </c>
      <c r="CB82" s="9">
        <v>0</v>
      </c>
      <c r="CC82" s="9">
        <v>0</v>
      </c>
      <c r="CD82" s="9">
        <v>0</v>
      </c>
      <c r="CE82" s="9">
        <v>0</v>
      </c>
      <c r="CF82" s="9">
        <v>0</v>
      </c>
      <c r="CG82" s="9">
        <v>0</v>
      </c>
      <c r="CH82" s="9">
        <v>0</v>
      </c>
      <c r="CI82" s="9">
        <v>0</v>
      </c>
      <c r="CJ82" s="9">
        <v>4</v>
      </c>
      <c r="CK82" s="9">
        <v>0</v>
      </c>
      <c r="CL82" s="9">
        <v>0</v>
      </c>
      <c r="CM82" s="9">
        <v>0</v>
      </c>
      <c r="CN82" s="9">
        <v>0</v>
      </c>
      <c r="CO82" s="9">
        <v>0</v>
      </c>
      <c r="CP82" s="9">
        <v>0</v>
      </c>
      <c r="CQ82" s="9">
        <v>0</v>
      </c>
      <c r="CR82" s="9">
        <v>177.47900000000001</v>
      </c>
      <c r="CS82" s="9">
        <v>0</v>
      </c>
      <c r="CT82" s="9">
        <v>0</v>
      </c>
      <c r="CU82" s="9">
        <v>0</v>
      </c>
      <c r="CV82" s="9">
        <v>0</v>
      </c>
      <c r="CW82" s="9">
        <v>0</v>
      </c>
      <c r="CX82" s="9">
        <v>0</v>
      </c>
      <c r="CY82" s="9">
        <v>0</v>
      </c>
      <c r="CZ82" s="9">
        <v>0</v>
      </c>
      <c r="DA82" s="9">
        <v>1</v>
      </c>
      <c r="DB82" s="9">
        <v>1162145</v>
      </c>
      <c r="DC82" s="9">
        <v>0</v>
      </c>
      <c r="DD82" s="9">
        <v>0</v>
      </c>
      <c r="DE82" s="9">
        <v>276938</v>
      </c>
      <c r="DF82" s="9">
        <v>276938</v>
      </c>
      <c r="DG82" s="9">
        <v>211.5</v>
      </c>
      <c r="DH82" s="9">
        <v>0</v>
      </c>
      <c r="DI82" s="9">
        <v>0</v>
      </c>
      <c r="DJ82" s="9">
        <v>0</v>
      </c>
      <c r="DK82" s="9">
        <v>5392</v>
      </c>
      <c r="DL82" s="9">
        <v>0</v>
      </c>
      <c r="DM82" s="9">
        <v>21481</v>
      </c>
      <c r="DN82" s="9">
        <v>0</v>
      </c>
      <c r="DO82" s="9">
        <v>0</v>
      </c>
      <c r="DP82" s="9">
        <v>0</v>
      </c>
      <c r="DQ82" s="9">
        <v>0</v>
      </c>
      <c r="DR82" s="9">
        <v>0</v>
      </c>
      <c r="DS82" s="9">
        <v>0</v>
      </c>
      <c r="DT82" s="9">
        <v>0</v>
      </c>
      <c r="DU82" s="9">
        <v>0</v>
      </c>
      <c r="DV82" s="9">
        <v>0</v>
      </c>
      <c r="DW82" s="9">
        <v>0</v>
      </c>
      <c r="DX82" s="9">
        <v>0</v>
      </c>
      <c r="DY82" s="9">
        <v>0</v>
      </c>
      <c r="DZ82" s="9">
        <v>0</v>
      </c>
      <c r="EA82" s="9">
        <v>0</v>
      </c>
      <c r="EB82" s="9">
        <v>0</v>
      </c>
      <c r="EC82" s="9">
        <v>0</v>
      </c>
      <c r="ED82" s="9">
        <v>0</v>
      </c>
      <c r="EE82" s="9">
        <v>0</v>
      </c>
      <c r="EF82" s="9">
        <v>0</v>
      </c>
      <c r="EG82" s="9">
        <v>0</v>
      </c>
      <c r="EH82" s="9">
        <v>21481</v>
      </c>
      <c r="EI82" s="9">
        <v>0</v>
      </c>
      <c r="EJ82" s="9">
        <v>0</v>
      </c>
      <c r="EK82" s="9">
        <v>0.81200000000000006</v>
      </c>
      <c r="EL82" s="9">
        <v>0</v>
      </c>
      <c r="EM82" s="9">
        <v>0</v>
      </c>
      <c r="EN82" s="9">
        <v>0.16900000000000001</v>
      </c>
      <c r="EO82" s="9">
        <v>0</v>
      </c>
      <c r="EP82" s="9">
        <v>0</v>
      </c>
      <c r="EQ82" s="9">
        <v>0.98100000000000009</v>
      </c>
      <c r="ER82" s="9">
        <v>0</v>
      </c>
      <c r="ES82" s="9">
        <v>3.2810000000000001</v>
      </c>
      <c r="ET82" s="9">
        <v>0</v>
      </c>
      <c r="EU82" s="9">
        <v>92602</v>
      </c>
      <c r="EV82" s="9">
        <v>0</v>
      </c>
      <c r="EW82" s="9">
        <v>0</v>
      </c>
      <c r="EX82" s="9">
        <v>0</v>
      </c>
      <c r="EY82" s="9">
        <v>0</v>
      </c>
      <c r="EZ82" s="9">
        <v>1451176</v>
      </c>
      <c r="FA82" s="9">
        <v>0</v>
      </c>
      <c r="FB82" s="9">
        <v>1543778</v>
      </c>
      <c r="FC82" s="9">
        <v>0.97326799999999991</v>
      </c>
      <c r="FD82" s="9">
        <v>0</v>
      </c>
      <c r="FE82" s="9">
        <v>232434</v>
      </c>
      <c r="FF82" s="9">
        <v>49497</v>
      </c>
      <c r="FG82" s="9">
        <v>5.8088000000000001E-2</v>
      </c>
      <c r="FH82" s="9">
        <v>5.2622999999999996E-2</v>
      </c>
      <c r="FI82" s="9">
        <v>0</v>
      </c>
      <c r="FJ82" s="9">
        <v>0</v>
      </c>
      <c r="FK82" s="9">
        <v>294.39500000000004</v>
      </c>
      <c r="FL82" s="9">
        <v>1825709</v>
      </c>
      <c r="FM82" s="9">
        <v>0</v>
      </c>
      <c r="FN82" s="9">
        <v>0</v>
      </c>
      <c r="FO82" s="9">
        <v>0</v>
      </c>
      <c r="FP82" s="9">
        <v>0</v>
      </c>
      <c r="FQ82" s="9">
        <v>0</v>
      </c>
      <c r="FR82" s="9">
        <v>0</v>
      </c>
      <c r="FS82" s="9">
        <v>0</v>
      </c>
      <c r="FT82" s="9">
        <v>0</v>
      </c>
      <c r="FU82" s="9">
        <v>0</v>
      </c>
      <c r="FV82" s="9">
        <v>0</v>
      </c>
      <c r="FW82" s="9">
        <v>0</v>
      </c>
      <c r="FX82" s="9">
        <v>0</v>
      </c>
      <c r="FY82" s="9">
        <v>0</v>
      </c>
      <c r="FZ82" s="9">
        <v>0</v>
      </c>
      <c r="GA82" s="9">
        <v>0</v>
      </c>
      <c r="GB82" s="9">
        <v>0</v>
      </c>
      <c r="GC82" s="9">
        <v>0</v>
      </c>
      <c r="GD82" s="9">
        <v>0</v>
      </c>
      <c r="GE82" s="9">
        <v>0</v>
      </c>
      <c r="GF82" s="9">
        <v>0</v>
      </c>
      <c r="GG82" s="9">
        <v>0</v>
      </c>
      <c r="GH82" s="9">
        <v>0</v>
      </c>
      <c r="GI82" s="9">
        <v>0</v>
      </c>
      <c r="GJ82" s="9">
        <v>0</v>
      </c>
      <c r="GK82" s="9">
        <v>4971</v>
      </c>
      <c r="GL82" s="9">
        <v>3806</v>
      </c>
      <c r="GM82" s="9">
        <v>0</v>
      </c>
      <c r="GN82" s="9">
        <v>0</v>
      </c>
      <c r="GO82" s="9">
        <v>0</v>
      </c>
      <c r="GP82" s="9">
        <v>1825709</v>
      </c>
      <c r="GQ82" s="9">
        <v>1825709</v>
      </c>
      <c r="GR82" s="9">
        <v>0</v>
      </c>
      <c r="GS82" s="9">
        <v>0</v>
      </c>
      <c r="GT82" s="9">
        <v>0</v>
      </c>
      <c r="GU82" s="9">
        <v>0</v>
      </c>
      <c r="GV82" s="9">
        <v>0</v>
      </c>
      <c r="GW82" s="9">
        <v>0</v>
      </c>
      <c r="GX82" s="9">
        <v>0</v>
      </c>
      <c r="GY82" s="9">
        <v>0</v>
      </c>
      <c r="GZ82" s="9">
        <v>0</v>
      </c>
      <c r="HA82" s="9">
        <v>0</v>
      </c>
      <c r="HB82" s="9">
        <v>0</v>
      </c>
      <c r="HC82" s="9">
        <v>0</v>
      </c>
      <c r="HD82" s="9">
        <v>0</v>
      </c>
      <c r="HE82" s="9">
        <v>0</v>
      </c>
      <c r="HF82" s="9">
        <v>0</v>
      </c>
      <c r="HG82" s="9">
        <v>0</v>
      </c>
      <c r="HH82" s="9">
        <v>0</v>
      </c>
      <c r="HI82" s="9">
        <v>0</v>
      </c>
      <c r="HJ82" s="9">
        <v>0</v>
      </c>
      <c r="HK82" s="9">
        <v>0</v>
      </c>
      <c r="HL82" s="9">
        <v>0</v>
      </c>
      <c r="HM82" s="9">
        <v>0</v>
      </c>
      <c r="HN82" s="9">
        <v>0</v>
      </c>
      <c r="HO82" s="9">
        <v>0</v>
      </c>
      <c r="HP82" s="9">
        <v>0</v>
      </c>
      <c r="HQ82" s="9">
        <v>0</v>
      </c>
      <c r="HR82" s="9">
        <v>0</v>
      </c>
      <c r="HS82" s="9">
        <v>0</v>
      </c>
      <c r="HT82" s="9">
        <v>0</v>
      </c>
      <c r="HU82" s="9">
        <v>0</v>
      </c>
      <c r="HV82" s="9">
        <v>0</v>
      </c>
      <c r="HW82" s="9">
        <v>0</v>
      </c>
      <c r="HX82" s="9">
        <v>0</v>
      </c>
      <c r="HY82" s="9">
        <v>0</v>
      </c>
      <c r="HZ82" s="9">
        <v>0</v>
      </c>
      <c r="IA82" s="9">
        <v>0</v>
      </c>
      <c r="IB82" s="9">
        <v>0</v>
      </c>
      <c r="IC82" s="9">
        <v>0</v>
      </c>
      <c r="ID82" s="9">
        <v>0</v>
      </c>
      <c r="IE82" s="9">
        <v>0</v>
      </c>
      <c r="IF82" s="9">
        <v>0</v>
      </c>
      <c r="IG82" s="9">
        <v>0</v>
      </c>
      <c r="IH82" s="9">
        <v>0</v>
      </c>
      <c r="II82" s="9">
        <v>0</v>
      </c>
      <c r="IJ82" s="9">
        <v>0</v>
      </c>
      <c r="IK82" s="9">
        <v>0</v>
      </c>
      <c r="IL82" s="9">
        <v>0</v>
      </c>
      <c r="IM82" s="9">
        <v>0</v>
      </c>
      <c r="IN82" s="9">
        <v>0</v>
      </c>
      <c r="IO82" s="9">
        <v>0</v>
      </c>
      <c r="IP82" s="9">
        <v>0</v>
      </c>
      <c r="IQ82" s="9">
        <v>0</v>
      </c>
      <c r="IR82" s="9">
        <v>0</v>
      </c>
      <c r="IS82" s="9">
        <v>0</v>
      </c>
      <c r="IT82" s="9">
        <v>0</v>
      </c>
      <c r="IU82" s="9">
        <v>0</v>
      </c>
      <c r="IV82" s="9">
        <v>0</v>
      </c>
      <c r="IW82" s="9">
        <v>0</v>
      </c>
      <c r="IX82" s="9">
        <v>0</v>
      </c>
      <c r="IY82" s="9">
        <v>0</v>
      </c>
      <c r="IZ82" s="9">
        <v>0</v>
      </c>
      <c r="JA82" s="9">
        <v>0</v>
      </c>
      <c r="JB82" s="9">
        <v>0</v>
      </c>
      <c r="JC82" s="9">
        <v>0</v>
      </c>
      <c r="JD82" s="9">
        <v>0</v>
      </c>
      <c r="JE82" s="9">
        <v>0</v>
      </c>
      <c r="JF82" s="9">
        <v>0</v>
      </c>
      <c r="JG82" s="9">
        <v>0</v>
      </c>
      <c r="JH82" s="9">
        <v>0</v>
      </c>
      <c r="JI82" s="9">
        <v>0</v>
      </c>
      <c r="JJ82" s="9">
        <v>0</v>
      </c>
      <c r="JK82" s="9">
        <v>0</v>
      </c>
      <c r="JL82" s="9">
        <v>0</v>
      </c>
      <c r="JM82" s="9">
        <v>0</v>
      </c>
      <c r="JN82" s="9">
        <v>36832</v>
      </c>
      <c r="JO82" s="9">
        <v>0</v>
      </c>
      <c r="JP82" s="9">
        <v>0</v>
      </c>
      <c r="JQ82" s="9">
        <v>0</v>
      </c>
      <c r="JR82" s="9">
        <v>0</v>
      </c>
      <c r="JS82" s="9">
        <v>0</v>
      </c>
      <c r="JT82" s="9">
        <v>0</v>
      </c>
      <c r="JU82" s="9">
        <v>0</v>
      </c>
      <c r="JV82" s="9">
        <v>0</v>
      </c>
      <c r="JW82" s="9">
        <v>0</v>
      </c>
      <c r="JX82" s="9">
        <v>0</v>
      </c>
      <c r="JY82" s="9">
        <v>0</v>
      </c>
      <c r="JZ82" s="9">
        <v>0</v>
      </c>
      <c r="KA82" s="9">
        <v>0</v>
      </c>
      <c r="KB82" s="9">
        <v>0</v>
      </c>
      <c r="KC82" s="9">
        <v>0</v>
      </c>
      <c r="KD82" s="9">
        <v>0</v>
      </c>
      <c r="KE82" s="9">
        <v>0</v>
      </c>
      <c r="KF82" s="9">
        <v>0</v>
      </c>
      <c r="KG82" s="9">
        <v>0</v>
      </c>
      <c r="KH82" s="9">
        <v>0</v>
      </c>
      <c r="KI82" s="9">
        <v>0</v>
      </c>
    </row>
    <row r="83" spans="1:295" x14ac:dyDescent="0.25">
      <c r="A83" s="9">
        <v>71809</v>
      </c>
      <c r="B83" s="9">
        <v>36871</v>
      </c>
      <c r="C83" s="9">
        <v>35</v>
      </c>
      <c r="D83" s="9">
        <v>2023</v>
      </c>
      <c r="E83" s="9">
        <v>5392</v>
      </c>
      <c r="F83" s="9">
        <v>0</v>
      </c>
      <c r="G83" s="9">
        <v>0</v>
      </c>
      <c r="H83" s="9">
        <v>257.346</v>
      </c>
      <c r="I83" s="9">
        <v>257.346</v>
      </c>
      <c r="J83" s="9">
        <v>257.76499999999999</v>
      </c>
      <c r="K83" s="9">
        <v>0</v>
      </c>
      <c r="L83" s="9">
        <v>6547</v>
      </c>
      <c r="M83" s="9">
        <v>0</v>
      </c>
      <c r="N83" s="9">
        <v>0</v>
      </c>
      <c r="O83" s="9">
        <v>0</v>
      </c>
      <c r="P83" s="9">
        <v>277.44499999999999</v>
      </c>
      <c r="Q83" s="9">
        <v>0</v>
      </c>
      <c r="R83" s="9">
        <v>135094</v>
      </c>
      <c r="S83" s="9">
        <v>486.92200000000003</v>
      </c>
      <c r="T83" s="9">
        <v>0</v>
      </c>
      <c r="U83" s="9">
        <v>135094</v>
      </c>
      <c r="V83" s="9">
        <v>76.66</v>
      </c>
      <c r="W83" s="9">
        <v>50189</v>
      </c>
      <c r="X83" s="9">
        <v>50189</v>
      </c>
      <c r="Y83" s="9">
        <v>0</v>
      </c>
      <c r="Z83" s="9">
        <v>0</v>
      </c>
      <c r="AA83" s="9">
        <v>1</v>
      </c>
      <c r="AB83" s="9">
        <v>1</v>
      </c>
      <c r="AC83" s="9">
        <v>0</v>
      </c>
      <c r="AD83" s="9" t="s">
        <v>314</v>
      </c>
      <c r="AE83" s="9">
        <v>0</v>
      </c>
      <c r="AF83" s="9">
        <v>0</v>
      </c>
      <c r="AG83" s="9">
        <v>0</v>
      </c>
      <c r="AH83" s="9">
        <v>0</v>
      </c>
      <c r="AI83" s="9">
        <v>0</v>
      </c>
      <c r="AJ83" s="9">
        <v>5104</v>
      </c>
      <c r="AK83" s="9" t="s">
        <v>651</v>
      </c>
      <c r="AL83" s="9" t="s">
        <v>338</v>
      </c>
      <c r="AM83" s="9">
        <v>0</v>
      </c>
      <c r="AN83" s="9">
        <v>0</v>
      </c>
      <c r="AO83" s="9">
        <v>0</v>
      </c>
      <c r="AP83" s="9">
        <v>0</v>
      </c>
      <c r="AQ83" s="9">
        <v>0</v>
      </c>
      <c r="AR83" s="9">
        <v>0</v>
      </c>
      <c r="AS83" s="9">
        <v>0</v>
      </c>
      <c r="AT83" s="9">
        <v>0</v>
      </c>
      <c r="AU83" s="9">
        <v>0</v>
      </c>
      <c r="AV83" s="9">
        <v>-5635</v>
      </c>
      <c r="AW83" s="9">
        <v>2346230</v>
      </c>
      <c r="AX83" s="9">
        <v>2295539</v>
      </c>
      <c r="AY83" s="9">
        <v>2361925</v>
      </c>
      <c r="AZ83" s="9">
        <v>135094</v>
      </c>
      <c r="BA83" s="9">
        <v>10.5</v>
      </c>
      <c r="BB83" s="9">
        <v>0</v>
      </c>
      <c r="BC83" s="9">
        <v>0</v>
      </c>
      <c r="BD83" s="9">
        <v>0</v>
      </c>
      <c r="BE83" s="9">
        <v>0</v>
      </c>
      <c r="BF83" s="9">
        <v>2000346</v>
      </c>
      <c r="BG83" s="9">
        <v>0</v>
      </c>
      <c r="BH83" s="9">
        <v>0</v>
      </c>
      <c r="BI83" s="9">
        <v>0</v>
      </c>
      <c r="BJ83" s="9">
        <v>12</v>
      </c>
      <c r="BK83" s="9">
        <v>0</v>
      </c>
      <c r="BL83" s="9">
        <v>0</v>
      </c>
      <c r="BM83" s="9">
        <v>0</v>
      </c>
      <c r="BN83" s="9">
        <v>0</v>
      </c>
      <c r="BO83" s="9">
        <v>0</v>
      </c>
      <c r="BP83" s="9">
        <v>0</v>
      </c>
      <c r="BQ83" s="9">
        <v>5392</v>
      </c>
      <c r="BR83" s="9">
        <v>1</v>
      </c>
      <c r="BS83" s="9">
        <v>0</v>
      </c>
      <c r="BT83" s="9">
        <v>0</v>
      </c>
      <c r="BU83" s="9">
        <v>0</v>
      </c>
      <c r="BV83" s="9">
        <v>0</v>
      </c>
      <c r="BW83" s="9">
        <v>0</v>
      </c>
      <c r="BX83" s="9">
        <v>0</v>
      </c>
      <c r="BY83" s="9">
        <v>0</v>
      </c>
      <c r="BZ83" s="9">
        <v>0</v>
      </c>
      <c r="CA83" s="9">
        <v>0</v>
      </c>
      <c r="CB83" s="9">
        <v>0</v>
      </c>
      <c r="CC83" s="9">
        <v>0</v>
      </c>
      <c r="CD83" s="9">
        <v>0</v>
      </c>
      <c r="CE83" s="9">
        <v>0</v>
      </c>
      <c r="CF83" s="9">
        <v>0</v>
      </c>
      <c r="CG83" s="9">
        <v>0</v>
      </c>
      <c r="CH83" s="9">
        <v>50691</v>
      </c>
      <c r="CI83" s="9">
        <v>0</v>
      </c>
      <c r="CJ83" s="9">
        <v>4</v>
      </c>
      <c r="CK83" s="9">
        <v>0</v>
      </c>
      <c r="CL83" s="9">
        <v>0</v>
      </c>
      <c r="CM83" s="9">
        <v>0</v>
      </c>
      <c r="CN83" s="9">
        <v>0</v>
      </c>
      <c r="CO83" s="9">
        <v>0</v>
      </c>
      <c r="CP83" s="9">
        <v>0</v>
      </c>
      <c r="CQ83" s="9">
        <v>0</v>
      </c>
      <c r="CR83" s="9">
        <v>270.38200000000001</v>
      </c>
      <c r="CS83" s="9">
        <v>0</v>
      </c>
      <c r="CT83" s="9">
        <v>0</v>
      </c>
      <c r="CU83" s="9">
        <v>0</v>
      </c>
      <c r="CV83" s="9">
        <v>0</v>
      </c>
      <c r="CW83" s="9">
        <v>0</v>
      </c>
      <c r="CX83" s="9">
        <v>0</v>
      </c>
      <c r="CY83" s="9">
        <v>0</v>
      </c>
      <c r="CZ83" s="9">
        <v>0</v>
      </c>
      <c r="DA83" s="9">
        <v>1</v>
      </c>
      <c r="DB83" s="9">
        <v>1684844</v>
      </c>
      <c r="DC83" s="9">
        <v>0</v>
      </c>
      <c r="DD83" s="9">
        <v>0</v>
      </c>
      <c r="DE83" s="9">
        <v>253369</v>
      </c>
      <c r="DF83" s="9">
        <v>253369</v>
      </c>
      <c r="DG83" s="9">
        <v>193.5</v>
      </c>
      <c r="DH83" s="9">
        <v>0</v>
      </c>
      <c r="DI83" s="9">
        <v>0</v>
      </c>
      <c r="DJ83" s="9">
        <v>0</v>
      </c>
      <c r="DK83" s="9">
        <v>5392</v>
      </c>
      <c r="DL83" s="9">
        <v>0</v>
      </c>
      <c r="DM83" s="9">
        <v>66886</v>
      </c>
      <c r="DN83" s="9">
        <v>0</v>
      </c>
      <c r="DO83" s="9">
        <v>0</v>
      </c>
      <c r="DP83" s="9">
        <v>0</v>
      </c>
      <c r="DQ83" s="9">
        <v>0</v>
      </c>
      <c r="DR83" s="9">
        <v>0</v>
      </c>
      <c r="DS83" s="9">
        <v>0</v>
      </c>
      <c r="DT83" s="9">
        <v>0</v>
      </c>
      <c r="DU83" s="9">
        <v>0</v>
      </c>
      <c r="DV83" s="9">
        <v>0</v>
      </c>
      <c r="DW83" s="9">
        <v>0</v>
      </c>
      <c r="DX83" s="9">
        <v>0</v>
      </c>
      <c r="DY83" s="9">
        <v>0</v>
      </c>
      <c r="DZ83" s="9">
        <v>0</v>
      </c>
      <c r="EA83" s="9">
        <v>0</v>
      </c>
      <c r="EB83" s="9">
        <v>0</v>
      </c>
      <c r="EC83" s="9">
        <v>7.383</v>
      </c>
      <c r="ED83" s="9">
        <v>53170</v>
      </c>
      <c r="EE83" s="9">
        <v>0</v>
      </c>
      <c r="EF83" s="9">
        <v>0</v>
      </c>
      <c r="EG83" s="9">
        <v>0</v>
      </c>
      <c r="EH83" s="9">
        <v>13716</v>
      </c>
      <c r="EI83" s="9">
        <v>0</v>
      </c>
      <c r="EJ83" s="9">
        <v>0</v>
      </c>
      <c r="EK83" s="9">
        <v>0</v>
      </c>
      <c r="EL83" s="9">
        <v>0</v>
      </c>
      <c r="EM83" s="9">
        <v>0</v>
      </c>
      <c r="EN83" s="9">
        <v>0.41900000000000004</v>
      </c>
      <c r="EO83" s="9">
        <v>0</v>
      </c>
      <c r="EP83" s="9">
        <v>0</v>
      </c>
      <c r="EQ83" s="9">
        <v>0.41900000000000004</v>
      </c>
      <c r="ER83" s="9">
        <v>0</v>
      </c>
      <c r="ES83" s="9">
        <v>2.0950000000000002</v>
      </c>
      <c r="ET83" s="9">
        <v>5250</v>
      </c>
      <c r="EU83" s="9">
        <v>135094</v>
      </c>
      <c r="EV83" s="9">
        <v>0</v>
      </c>
      <c r="EW83" s="9">
        <v>0</v>
      </c>
      <c r="EX83" s="9">
        <v>0</v>
      </c>
      <c r="EY83" s="9">
        <v>0</v>
      </c>
      <c r="EZ83" s="9">
        <v>1920194</v>
      </c>
      <c r="FA83" s="9">
        <v>0</v>
      </c>
      <c r="FB83" s="9">
        <v>2055288</v>
      </c>
      <c r="FC83" s="9">
        <v>0.97326799999999991</v>
      </c>
      <c r="FD83" s="9">
        <v>0</v>
      </c>
      <c r="FE83" s="9">
        <v>309448</v>
      </c>
      <c r="FF83" s="9">
        <v>65897</v>
      </c>
      <c r="FG83" s="9">
        <v>5.8088000000000001E-2</v>
      </c>
      <c r="FH83" s="9">
        <v>5.2622999999999996E-2</v>
      </c>
      <c r="FI83" s="9">
        <v>0</v>
      </c>
      <c r="FJ83" s="9">
        <v>0</v>
      </c>
      <c r="FK83" s="9">
        <v>391.93900000000002</v>
      </c>
      <c r="FL83" s="9">
        <v>2481324</v>
      </c>
      <c r="FM83" s="9">
        <v>0</v>
      </c>
      <c r="FN83" s="9">
        <v>0</v>
      </c>
      <c r="FO83" s="9">
        <v>0</v>
      </c>
      <c r="FP83" s="9">
        <v>0</v>
      </c>
      <c r="FQ83" s="9">
        <v>0</v>
      </c>
      <c r="FR83" s="9">
        <v>0</v>
      </c>
      <c r="FS83" s="9">
        <v>0</v>
      </c>
      <c r="FT83" s="9">
        <v>0</v>
      </c>
      <c r="FU83" s="9">
        <v>0</v>
      </c>
      <c r="FV83" s="9">
        <v>0</v>
      </c>
      <c r="FW83" s="9">
        <v>0</v>
      </c>
      <c r="FX83" s="9">
        <v>0</v>
      </c>
      <c r="FY83" s="9">
        <v>0</v>
      </c>
      <c r="FZ83" s="9">
        <v>0</v>
      </c>
      <c r="GA83" s="9">
        <v>0</v>
      </c>
      <c r="GB83" s="9">
        <v>0</v>
      </c>
      <c r="GC83" s="9">
        <v>0</v>
      </c>
      <c r="GD83" s="9">
        <v>0</v>
      </c>
      <c r="GE83" s="9">
        <v>0</v>
      </c>
      <c r="GF83" s="9">
        <v>0</v>
      </c>
      <c r="GG83" s="9">
        <v>0</v>
      </c>
      <c r="GH83" s="9">
        <v>0</v>
      </c>
      <c r="GI83" s="9">
        <v>0</v>
      </c>
      <c r="GJ83" s="9">
        <v>0</v>
      </c>
      <c r="GK83" s="9">
        <v>4971</v>
      </c>
      <c r="GL83" s="9">
        <v>0</v>
      </c>
      <c r="GM83" s="9">
        <v>0</v>
      </c>
      <c r="GN83" s="9">
        <v>0</v>
      </c>
      <c r="GO83" s="9">
        <v>0</v>
      </c>
      <c r="GP83" s="9">
        <v>2430633</v>
      </c>
      <c r="GQ83" s="9">
        <v>2430633</v>
      </c>
      <c r="GR83" s="9">
        <v>0</v>
      </c>
      <c r="GS83" s="9">
        <v>0</v>
      </c>
      <c r="GT83" s="9">
        <v>0</v>
      </c>
      <c r="GU83" s="9">
        <v>0</v>
      </c>
      <c r="GV83" s="9">
        <v>0</v>
      </c>
      <c r="GW83" s="9">
        <v>0</v>
      </c>
      <c r="GX83" s="9">
        <v>0</v>
      </c>
      <c r="GY83" s="9">
        <v>0</v>
      </c>
      <c r="GZ83" s="9">
        <v>0</v>
      </c>
      <c r="HA83" s="9">
        <v>0</v>
      </c>
      <c r="HB83" s="9">
        <v>300501363</v>
      </c>
      <c r="HC83" s="9">
        <v>4.4742999999999998E-2</v>
      </c>
      <c r="HD83" s="9">
        <v>45441</v>
      </c>
      <c r="HE83" s="9">
        <v>0</v>
      </c>
      <c r="HF83" s="9">
        <v>0</v>
      </c>
      <c r="HG83" s="9">
        <v>0</v>
      </c>
      <c r="HH83" s="9">
        <v>0</v>
      </c>
      <c r="HI83" s="9">
        <v>0</v>
      </c>
      <c r="HJ83" s="9">
        <v>0</v>
      </c>
      <c r="HK83" s="9">
        <v>0</v>
      </c>
      <c r="HL83" s="9">
        <v>0</v>
      </c>
      <c r="HM83" s="9">
        <v>0</v>
      </c>
      <c r="HN83" s="9">
        <v>0</v>
      </c>
      <c r="HO83" s="9">
        <v>0</v>
      </c>
      <c r="HP83" s="9">
        <v>0</v>
      </c>
      <c r="HQ83" s="9">
        <v>0</v>
      </c>
      <c r="HR83" s="9">
        <v>0</v>
      </c>
      <c r="HS83" s="9">
        <v>0</v>
      </c>
      <c r="HT83" s="9">
        <v>0</v>
      </c>
      <c r="HU83" s="9">
        <v>0</v>
      </c>
      <c r="HV83" s="9">
        <v>0</v>
      </c>
      <c r="HW83" s="9">
        <v>0</v>
      </c>
      <c r="HX83" s="9">
        <v>0</v>
      </c>
      <c r="HY83" s="9">
        <v>0</v>
      </c>
      <c r="HZ83" s="9">
        <v>0</v>
      </c>
      <c r="IA83" s="9">
        <v>0</v>
      </c>
      <c r="IB83" s="9">
        <v>0</v>
      </c>
      <c r="IC83" s="9">
        <v>0</v>
      </c>
      <c r="ID83" s="9">
        <v>0</v>
      </c>
      <c r="IE83" s="9">
        <v>0</v>
      </c>
      <c r="IF83" s="9">
        <v>0</v>
      </c>
      <c r="IG83" s="9">
        <v>0</v>
      </c>
      <c r="IH83" s="9">
        <v>0</v>
      </c>
      <c r="II83" s="9">
        <v>0</v>
      </c>
      <c r="IJ83" s="9">
        <v>0</v>
      </c>
      <c r="IK83" s="9">
        <v>0</v>
      </c>
      <c r="IL83" s="9">
        <v>0</v>
      </c>
      <c r="IM83" s="9">
        <v>0</v>
      </c>
      <c r="IN83" s="9">
        <v>0</v>
      </c>
      <c r="IO83" s="9">
        <v>0</v>
      </c>
      <c r="IP83" s="9">
        <v>0</v>
      </c>
      <c r="IQ83" s="9">
        <v>0</v>
      </c>
      <c r="IR83" s="9">
        <v>0</v>
      </c>
      <c r="IS83" s="9">
        <v>0</v>
      </c>
      <c r="IT83" s="9">
        <v>0</v>
      </c>
      <c r="IU83" s="9">
        <v>0</v>
      </c>
      <c r="IV83" s="9">
        <v>0</v>
      </c>
      <c r="IW83" s="9">
        <v>0</v>
      </c>
      <c r="IX83" s="9">
        <v>0</v>
      </c>
      <c r="IY83" s="9">
        <v>0</v>
      </c>
      <c r="IZ83" s="9">
        <v>0</v>
      </c>
      <c r="JA83" s="9">
        <v>0</v>
      </c>
      <c r="JB83" s="9">
        <v>0</v>
      </c>
      <c r="JC83" s="9">
        <v>0</v>
      </c>
      <c r="JD83" s="9">
        <v>0</v>
      </c>
      <c r="JE83" s="9">
        <v>0</v>
      </c>
      <c r="JF83" s="9">
        <v>0</v>
      </c>
      <c r="JG83" s="9">
        <v>0</v>
      </c>
      <c r="JH83" s="9">
        <v>0</v>
      </c>
      <c r="JI83" s="9">
        <v>0</v>
      </c>
      <c r="JJ83" s="9">
        <v>0</v>
      </c>
      <c r="JK83" s="9">
        <v>0</v>
      </c>
      <c r="JL83" s="9">
        <v>0</v>
      </c>
      <c r="JM83" s="9">
        <v>0</v>
      </c>
      <c r="JN83" s="9">
        <v>36832</v>
      </c>
      <c r="JO83" s="9">
        <v>0</v>
      </c>
      <c r="JP83" s="9">
        <v>0</v>
      </c>
      <c r="JQ83" s="9">
        <v>0</v>
      </c>
      <c r="JR83" s="9">
        <v>0</v>
      </c>
      <c r="JS83" s="9">
        <v>0</v>
      </c>
      <c r="JT83" s="9">
        <v>0</v>
      </c>
      <c r="JU83" s="9">
        <v>0</v>
      </c>
      <c r="JV83" s="9">
        <v>0</v>
      </c>
      <c r="JW83" s="9">
        <v>0</v>
      </c>
      <c r="JX83" s="9">
        <v>0</v>
      </c>
      <c r="JY83" s="9">
        <v>0</v>
      </c>
      <c r="JZ83" s="9">
        <v>0</v>
      </c>
      <c r="KA83" s="9">
        <v>0</v>
      </c>
      <c r="KB83" s="9">
        <v>0</v>
      </c>
      <c r="KC83" s="9">
        <v>0</v>
      </c>
      <c r="KD83" s="9">
        <v>0</v>
      </c>
      <c r="KE83" s="9">
        <v>0</v>
      </c>
      <c r="KF83" s="9">
        <v>0</v>
      </c>
      <c r="KG83" s="9">
        <v>0</v>
      </c>
      <c r="KH83" s="9">
        <v>0</v>
      </c>
      <c r="KI83" s="9">
        <v>0</v>
      </c>
    </row>
    <row r="84" spans="1:295" x14ac:dyDescent="0.25">
      <c r="A84" s="9">
        <v>71810</v>
      </c>
      <c r="B84" s="9">
        <v>36871</v>
      </c>
      <c r="C84" s="9">
        <v>35</v>
      </c>
      <c r="D84" s="9">
        <v>2023</v>
      </c>
      <c r="E84" s="9">
        <v>5392</v>
      </c>
      <c r="F84" s="9">
        <v>0</v>
      </c>
      <c r="G84" s="9">
        <v>0</v>
      </c>
      <c r="H84" s="9">
        <v>219.834</v>
      </c>
      <c r="I84" s="9">
        <v>219.834</v>
      </c>
      <c r="J84" s="9">
        <v>221.01500000000001</v>
      </c>
      <c r="K84" s="9">
        <v>0</v>
      </c>
      <c r="L84" s="9">
        <v>6547</v>
      </c>
      <c r="M84" s="9">
        <v>0</v>
      </c>
      <c r="N84" s="9">
        <v>0</v>
      </c>
      <c r="O84" s="9">
        <v>0</v>
      </c>
      <c r="P84" s="9">
        <v>205.79300000000001</v>
      </c>
      <c r="Q84" s="9">
        <v>0</v>
      </c>
      <c r="R84" s="9">
        <v>100205</v>
      </c>
      <c r="S84" s="9">
        <v>486.92200000000003</v>
      </c>
      <c r="T84" s="9">
        <v>0</v>
      </c>
      <c r="U84" s="9">
        <v>100205</v>
      </c>
      <c r="V84" s="9">
        <v>115.21300000000001</v>
      </c>
      <c r="W84" s="9">
        <v>75430</v>
      </c>
      <c r="X84" s="9">
        <v>75430</v>
      </c>
      <c r="Y84" s="9">
        <v>0</v>
      </c>
      <c r="Z84" s="9">
        <v>0</v>
      </c>
      <c r="AA84" s="9">
        <v>1</v>
      </c>
      <c r="AB84" s="9">
        <v>1</v>
      </c>
      <c r="AC84" s="9">
        <v>0</v>
      </c>
      <c r="AD84" s="9" t="s">
        <v>314</v>
      </c>
      <c r="AE84" s="9">
        <v>0</v>
      </c>
      <c r="AF84" s="9">
        <v>0</v>
      </c>
      <c r="AG84" s="9">
        <v>0</v>
      </c>
      <c r="AH84" s="9">
        <v>0</v>
      </c>
      <c r="AI84" s="9">
        <v>0</v>
      </c>
      <c r="AJ84" s="9">
        <v>5104</v>
      </c>
      <c r="AK84" s="9" t="s">
        <v>651</v>
      </c>
      <c r="AL84" s="9" t="s">
        <v>339</v>
      </c>
      <c r="AM84" s="9">
        <v>0</v>
      </c>
      <c r="AN84" s="9">
        <v>0</v>
      </c>
      <c r="AO84" s="9">
        <v>0</v>
      </c>
      <c r="AP84" s="9">
        <v>0</v>
      </c>
      <c r="AQ84" s="9">
        <v>0</v>
      </c>
      <c r="AR84" s="9">
        <v>0</v>
      </c>
      <c r="AS84" s="9">
        <v>0</v>
      </c>
      <c r="AT84" s="9">
        <v>0</v>
      </c>
      <c r="AU84" s="9">
        <v>0</v>
      </c>
      <c r="AV84" s="9">
        <v>-84691</v>
      </c>
      <c r="AW84" s="9">
        <v>2230197</v>
      </c>
      <c r="AX84" s="9">
        <v>2191235</v>
      </c>
      <c r="AY84" s="9">
        <v>2050577</v>
      </c>
      <c r="AZ84" s="9">
        <v>100205</v>
      </c>
      <c r="BA84" s="9">
        <v>0</v>
      </c>
      <c r="BB84" s="9">
        <v>4714</v>
      </c>
      <c r="BC84" s="9">
        <v>4714</v>
      </c>
      <c r="BD84" s="9">
        <v>6</v>
      </c>
      <c r="BE84" s="9">
        <v>0</v>
      </c>
      <c r="BF84" s="9">
        <v>1884559</v>
      </c>
      <c r="BG84" s="9">
        <v>0</v>
      </c>
      <c r="BH84" s="9">
        <v>0</v>
      </c>
      <c r="BI84" s="9">
        <v>0</v>
      </c>
      <c r="BJ84" s="9">
        <v>12</v>
      </c>
      <c r="BK84" s="9">
        <v>0</v>
      </c>
      <c r="BL84" s="9">
        <v>0</v>
      </c>
      <c r="BM84" s="9">
        <v>0</v>
      </c>
      <c r="BN84" s="9">
        <v>0</v>
      </c>
      <c r="BO84" s="9">
        <v>0</v>
      </c>
      <c r="BP84" s="9">
        <v>0</v>
      </c>
      <c r="BQ84" s="9">
        <v>5392</v>
      </c>
      <c r="BR84" s="9">
        <v>1</v>
      </c>
      <c r="BS84" s="9">
        <v>0</v>
      </c>
      <c r="BT84" s="9">
        <v>0</v>
      </c>
      <c r="BU84" s="9">
        <v>0</v>
      </c>
      <c r="BV84" s="9">
        <v>0</v>
      </c>
      <c r="BW84" s="9">
        <v>0</v>
      </c>
      <c r="BX84" s="9">
        <v>0</v>
      </c>
      <c r="BY84" s="9">
        <v>0</v>
      </c>
      <c r="BZ84" s="9">
        <v>0</v>
      </c>
      <c r="CA84" s="9">
        <v>0</v>
      </c>
      <c r="CB84" s="9">
        <v>0</v>
      </c>
      <c r="CC84" s="9">
        <v>0</v>
      </c>
      <c r="CD84" s="9">
        <v>0</v>
      </c>
      <c r="CE84" s="9">
        <v>0</v>
      </c>
      <c r="CF84" s="9">
        <v>0</v>
      </c>
      <c r="CG84" s="9">
        <v>0</v>
      </c>
      <c r="CH84" s="9">
        <v>38962</v>
      </c>
      <c r="CI84" s="9">
        <v>0</v>
      </c>
      <c r="CJ84" s="9">
        <v>4</v>
      </c>
      <c r="CK84" s="9">
        <v>0</v>
      </c>
      <c r="CL84" s="9">
        <v>0</v>
      </c>
      <c r="CM84" s="9">
        <v>0</v>
      </c>
      <c r="CN84" s="9">
        <v>0</v>
      </c>
      <c r="CO84" s="9">
        <v>0</v>
      </c>
      <c r="CP84" s="9">
        <v>0</v>
      </c>
      <c r="CQ84" s="9">
        <v>0</v>
      </c>
      <c r="CR84" s="9">
        <v>195.922</v>
      </c>
      <c r="CS84" s="9">
        <v>0</v>
      </c>
      <c r="CT84" s="9">
        <v>0</v>
      </c>
      <c r="CU84" s="9">
        <v>0</v>
      </c>
      <c r="CV84" s="9">
        <v>0</v>
      </c>
      <c r="CW84" s="9">
        <v>0</v>
      </c>
      <c r="CX84" s="9">
        <v>0</v>
      </c>
      <c r="CY84" s="9">
        <v>0</v>
      </c>
      <c r="CZ84" s="9">
        <v>0</v>
      </c>
      <c r="DA84" s="9">
        <v>1</v>
      </c>
      <c r="DB84" s="9">
        <v>1439253</v>
      </c>
      <c r="DC84" s="9">
        <v>0</v>
      </c>
      <c r="DD84" s="9">
        <v>0</v>
      </c>
      <c r="DE84" s="9">
        <v>285672</v>
      </c>
      <c r="DF84" s="9">
        <v>285672</v>
      </c>
      <c r="DG84" s="9">
        <v>218.17000000000002</v>
      </c>
      <c r="DH84" s="9">
        <v>0</v>
      </c>
      <c r="DI84" s="9">
        <v>0</v>
      </c>
      <c r="DJ84" s="9">
        <v>0</v>
      </c>
      <c r="DK84" s="9">
        <v>5392</v>
      </c>
      <c r="DL84" s="9">
        <v>0</v>
      </c>
      <c r="DM84" s="9">
        <v>131252</v>
      </c>
      <c r="DN84" s="9">
        <v>0</v>
      </c>
      <c r="DO84" s="9">
        <v>0</v>
      </c>
      <c r="DP84" s="9">
        <v>0</v>
      </c>
      <c r="DQ84" s="9">
        <v>0</v>
      </c>
      <c r="DR84" s="9">
        <v>0</v>
      </c>
      <c r="DS84" s="9">
        <v>0</v>
      </c>
      <c r="DT84" s="9">
        <v>0</v>
      </c>
      <c r="DU84" s="9">
        <v>0</v>
      </c>
      <c r="DV84" s="9">
        <v>0</v>
      </c>
      <c r="DW84" s="9">
        <v>0</v>
      </c>
      <c r="DX84" s="9">
        <v>0</v>
      </c>
      <c r="DY84" s="9">
        <v>0</v>
      </c>
      <c r="DZ84" s="9">
        <v>0</v>
      </c>
      <c r="EA84" s="9">
        <v>0</v>
      </c>
      <c r="EB84" s="9">
        <v>0</v>
      </c>
      <c r="EC84" s="9">
        <v>14.417</v>
      </c>
      <c r="ED84" s="9">
        <v>103827</v>
      </c>
      <c r="EE84" s="9">
        <v>0</v>
      </c>
      <c r="EF84" s="9">
        <v>0</v>
      </c>
      <c r="EG84" s="9">
        <v>0</v>
      </c>
      <c r="EH84" s="9">
        <v>27425</v>
      </c>
      <c r="EI84" s="9">
        <v>0</v>
      </c>
      <c r="EJ84" s="9">
        <v>0</v>
      </c>
      <c r="EK84" s="9">
        <v>0</v>
      </c>
      <c r="EL84" s="9">
        <v>0</v>
      </c>
      <c r="EM84" s="9">
        <v>0.8580000000000001</v>
      </c>
      <c r="EN84" s="9">
        <v>0.32300000000000001</v>
      </c>
      <c r="EO84" s="9">
        <v>0</v>
      </c>
      <c r="EP84" s="9">
        <v>0</v>
      </c>
      <c r="EQ84" s="9">
        <v>1.181</v>
      </c>
      <c r="ER84" s="9">
        <v>0</v>
      </c>
      <c r="ES84" s="9">
        <v>4.1890000000000001</v>
      </c>
      <c r="ET84" s="9">
        <v>0</v>
      </c>
      <c r="EU84" s="9">
        <v>100205</v>
      </c>
      <c r="EV84" s="9">
        <v>0</v>
      </c>
      <c r="EW84" s="9">
        <v>0</v>
      </c>
      <c r="EX84" s="9">
        <v>0</v>
      </c>
      <c r="EY84" s="9">
        <v>0</v>
      </c>
      <c r="EZ84" s="9">
        <v>1837616</v>
      </c>
      <c r="FA84" s="9">
        <v>0</v>
      </c>
      <c r="FB84" s="9">
        <v>1937821</v>
      </c>
      <c r="FC84" s="9">
        <v>0.97326799999999991</v>
      </c>
      <c r="FD84" s="9">
        <v>0</v>
      </c>
      <c r="FE84" s="9">
        <v>291536</v>
      </c>
      <c r="FF84" s="9">
        <v>62083</v>
      </c>
      <c r="FG84" s="9">
        <v>5.8088000000000001E-2</v>
      </c>
      <c r="FH84" s="9">
        <v>5.2622999999999996E-2</v>
      </c>
      <c r="FI84" s="9">
        <v>0</v>
      </c>
      <c r="FJ84" s="9">
        <v>0</v>
      </c>
      <c r="FK84" s="9">
        <v>369.25200000000001</v>
      </c>
      <c r="FL84" s="9">
        <v>2330402</v>
      </c>
      <c r="FM84" s="9">
        <v>0</v>
      </c>
      <c r="FN84" s="9">
        <v>0</v>
      </c>
      <c r="FO84" s="9">
        <v>1500</v>
      </c>
      <c r="FP84" s="9">
        <v>0</v>
      </c>
      <c r="FQ84" s="9">
        <v>1500</v>
      </c>
      <c r="FR84" s="9">
        <v>1500</v>
      </c>
      <c r="FS84" s="9">
        <v>0</v>
      </c>
      <c r="FT84" s="9">
        <v>0</v>
      </c>
      <c r="FU84" s="9">
        <v>0</v>
      </c>
      <c r="FV84" s="9">
        <v>0</v>
      </c>
      <c r="FW84" s="9">
        <v>0</v>
      </c>
      <c r="FX84" s="9">
        <v>0</v>
      </c>
      <c r="FY84" s="9">
        <v>0</v>
      </c>
      <c r="FZ84" s="9">
        <v>0</v>
      </c>
      <c r="GA84" s="9">
        <v>0</v>
      </c>
      <c r="GB84" s="9">
        <v>0</v>
      </c>
      <c r="GC84" s="9">
        <v>0</v>
      </c>
      <c r="GD84" s="9">
        <v>0</v>
      </c>
      <c r="GE84" s="9">
        <v>0</v>
      </c>
      <c r="GF84" s="9">
        <v>0</v>
      </c>
      <c r="GG84" s="9">
        <v>0</v>
      </c>
      <c r="GH84" s="9">
        <v>0</v>
      </c>
      <c r="GI84" s="9">
        <v>0</v>
      </c>
      <c r="GJ84" s="9">
        <v>0</v>
      </c>
      <c r="GK84" s="9">
        <v>0</v>
      </c>
      <c r="GL84" s="9">
        <v>0</v>
      </c>
      <c r="GM84" s="9">
        <v>0</v>
      </c>
      <c r="GN84" s="9">
        <v>0</v>
      </c>
      <c r="GO84" s="9">
        <v>0</v>
      </c>
      <c r="GP84" s="9">
        <v>2291440</v>
      </c>
      <c r="GQ84" s="9">
        <v>2291440</v>
      </c>
      <c r="GR84" s="9">
        <v>0</v>
      </c>
      <c r="GS84" s="9">
        <v>0</v>
      </c>
      <c r="GT84" s="9">
        <v>0</v>
      </c>
      <c r="GU84" s="9">
        <v>0</v>
      </c>
      <c r="GV84" s="9">
        <v>0</v>
      </c>
      <c r="GW84" s="9">
        <v>0</v>
      </c>
      <c r="GX84" s="9">
        <v>0</v>
      </c>
      <c r="GY84" s="9">
        <v>0</v>
      </c>
      <c r="GZ84" s="9">
        <v>0</v>
      </c>
      <c r="HA84" s="9">
        <v>0</v>
      </c>
      <c r="HB84" s="9">
        <v>300501363</v>
      </c>
      <c r="HC84" s="9">
        <v>4.4742999999999998E-2</v>
      </c>
      <c r="HD84" s="9">
        <v>38962</v>
      </c>
      <c r="HE84" s="9">
        <v>0</v>
      </c>
      <c r="HF84" s="9">
        <v>0</v>
      </c>
      <c r="HG84" s="9">
        <v>0</v>
      </c>
      <c r="HH84" s="9">
        <v>0</v>
      </c>
      <c r="HI84" s="9">
        <v>0</v>
      </c>
      <c r="HJ84" s="9">
        <v>0</v>
      </c>
      <c r="HK84" s="9">
        <v>0</v>
      </c>
      <c r="HL84" s="9">
        <v>0</v>
      </c>
      <c r="HM84" s="9">
        <v>0</v>
      </c>
      <c r="HN84" s="9">
        <v>0</v>
      </c>
      <c r="HO84" s="9">
        <v>0</v>
      </c>
      <c r="HP84" s="9">
        <v>0</v>
      </c>
      <c r="HQ84" s="9">
        <v>0</v>
      </c>
      <c r="HR84" s="9">
        <v>0</v>
      </c>
      <c r="HS84" s="9">
        <v>0</v>
      </c>
      <c r="HT84" s="9">
        <v>0</v>
      </c>
      <c r="HU84" s="9">
        <v>0</v>
      </c>
      <c r="HV84" s="9">
        <v>0</v>
      </c>
      <c r="HW84" s="9">
        <v>0</v>
      </c>
      <c r="HX84" s="9">
        <v>0</v>
      </c>
      <c r="HY84" s="9">
        <v>0</v>
      </c>
      <c r="HZ84" s="9">
        <v>0</v>
      </c>
      <c r="IA84" s="9">
        <v>0</v>
      </c>
      <c r="IB84" s="9">
        <v>0</v>
      </c>
      <c r="IC84" s="9">
        <v>0</v>
      </c>
      <c r="ID84" s="9">
        <v>0</v>
      </c>
      <c r="IE84" s="9">
        <v>0</v>
      </c>
      <c r="IF84" s="9">
        <v>0</v>
      </c>
      <c r="IG84" s="9">
        <v>0</v>
      </c>
      <c r="IH84" s="9">
        <v>0</v>
      </c>
      <c r="II84" s="9">
        <v>0</v>
      </c>
      <c r="IJ84" s="9">
        <v>0</v>
      </c>
      <c r="IK84" s="9">
        <v>0</v>
      </c>
      <c r="IL84" s="9">
        <v>0</v>
      </c>
      <c r="IM84" s="9">
        <v>0</v>
      </c>
      <c r="IN84" s="9">
        <v>0</v>
      </c>
      <c r="IO84" s="9">
        <v>0</v>
      </c>
      <c r="IP84" s="9">
        <v>0</v>
      </c>
      <c r="IQ84" s="9">
        <v>0</v>
      </c>
      <c r="IR84" s="9">
        <v>0</v>
      </c>
      <c r="IS84" s="9">
        <v>0</v>
      </c>
      <c r="IT84" s="9">
        <v>0</v>
      </c>
      <c r="IU84" s="9">
        <v>0</v>
      </c>
      <c r="IV84" s="9">
        <v>0</v>
      </c>
      <c r="IW84" s="9">
        <v>0</v>
      </c>
      <c r="IX84" s="9">
        <v>0</v>
      </c>
      <c r="IY84" s="9">
        <v>0</v>
      </c>
      <c r="IZ84" s="9">
        <v>0</v>
      </c>
      <c r="JA84" s="9">
        <v>0</v>
      </c>
      <c r="JB84" s="9">
        <v>0</v>
      </c>
      <c r="JC84" s="9">
        <v>0</v>
      </c>
      <c r="JD84" s="9">
        <v>0</v>
      </c>
      <c r="JE84" s="9">
        <v>0</v>
      </c>
      <c r="JF84" s="9">
        <v>0</v>
      </c>
      <c r="JG84" s="9">
        <v>0</v>
      </c>
      <c r="JH84" s="9">
        <v>0</v>
      </c>
      <c r="JI84" s="9">
        <v>0</v>
      </c>
      <c r="JJ84" s="9">
        <v>0</v>
      </c>
      <c r="JK84" s="9">
        <v>0</v>
      </c>
      <c r="JL84" s="9">
        <v>0</v>
      </c>
      <c r="JM84" s="9">
        <v>0</v>
      </c>
      <c r="JN84" s="9">
        <v>36832</v>
      </c>
      <c r="JO84" s="9">
        <v>0</v>
      </c>
      <c r="JP84" s="9">
        <v>0</v>
      </c>
      <c r="JQ84" s="9">
        <v>0</v>
      </c>
      <c r="JR84" s="9">
        <v>0</v>
      </c>
      <c r="JS84" s="9">
        <v>0</v>
      </c>
      <c r="JT84" s="9">
        <v>0</v>
      </c>
      <c r="JU84" s="9">
        <v>0</v>
      </c>
      <c r="JV84" s="9">
        <v>0</v>
      </c>
      <c r="JW84" s="9">
        <v>0</v>
      </c>
      <c r="JX84" s="9">
        <v>0</v>
      </c>
      <c r="JY84" s="9">
        <v>0</v>
      </c>
      <c r="JZ84" s="9">
        <v>0</v>
      </c>
      <c r="KA84" s="9">
        <v>0</v>
      </c>
      <c r="KB84" s="9">
        <v>0</v>
      </c>
      <c r="KC84" s="9">
        <v>0</v>
      </c>
      <c r="KD84" s="9">
        <v>0</v>
      </c>
      <c r="KE84" s="9">
        <v>0</v>
      </c>
      <c r="KF84" s="9">
        <v>0</v>
      </c>
      <c r="KG84" s="9">
        <v>0</v>
      </c>
      <c r="KH84" s="9">
        <v>0</v>
      </c>
      <c r="KI84" s="9">
        <v>0</v>
      </c>
    </row>
    <row r="85" spans="1:295" x14ac:dyDescent="0.25">
      <c r="A85" s="9">
        <v>72801</v>
      </c>
      <c r="B85" s="9">
        <v>36871</v>
      </c>
      <c r="C85" s="9">
        <v>35</v>
      </c>
      <c r="D85" s="9">
        <v>2023</v>
      </c>
      <c r="E85" s="9">
        <v>5392</v>
      </c>
      <c r="F85" s="9">
        <v>0</v>
      </c>
      <c r="G85" s="9">
        <v>0</v>
      </c>
      <c r="H85" s="9">
        <v>5151.9059999999999</v>
      </c>
      <c r="I85" s="9">
        <v>5151.9059999999999</v>
      </c>
      <c r="J85" s="9">
        <v>5565.5540000000001</v>
      </c>
      <c r="K85" s="9">
        <v>0</v>
      </c>
      <c r="L85" s="9">
        <v>6547</v>
      </c>
      <c r="M85" s="9">
        <v>0</v>
      </c>
      <c r="N85" s="9">
        <v>0</v>
      </c>
      <c r="O85" s="9">
        <v>0</v>
      </c>
      <c r="P85" s="9">
        <v>4706.9270000000006</v>
      </c>
      <c r="Q85" s="9">
        <v>0</v>
      </c>
      <c r="R85" s="9">
        <v>2291906</v>
      </c>
      <c r="S85" s="9">
        <v>486.92200000000003</v>
      </c>
      <c r="T85" s="9">
        <v>0</v>
      </c>
      <c r="U85" s="9">
        <v>2291906</v>
      </c>
      <c r="V85" s="9">
        <v>540.51700000000005</v>
      </c>
      <c r="W85" s="9">
        <v>353876</v>
      </c>
      <c r="X85" s="9">
        <v>353876</v>
      </c>
      <c r="Y85" s="9">
        <v>0</v>
      </c>
      <c r="Z85" s="9">
        <v>0</v>
      </c>
      <c r="AA85" s="9">
        <v>1</v>
      </c>
      <c r="AB85" s="9">
        <v>1</v>
      </c>
      <c r="AC85" s="9">
        <v>0</v>
      </c>
      <c r="AD85" s="9" t="s">
        <v>314</v>
      </c>
      <c r="AE85" s="9">
        <v>0</v>
      </c>
      <c r="AF85" s="9">
        <v>0</v>
      </c>
      <c r="AG85" s="9">
        <v>0</v>
      </c>
      <c r="AH85" s="9">
        <v>0</v>
      </c>
      <c r="AI85" s="9">
        <v>0</v>
      </c>
      <c r="AJ85" s="9">
        <v>5104</v>
      </c>
      <c r="AK85" s="9" t="s">
        <v>651</v>
      </c>
      <c r="AL85" s="9" t="s">
        <v>97</v>
      </c>
      <c r="AM85" s="9">
        <v>0</v>
      </c>
      <c r="AN85" s="9">
        <v>0</v>
      </c>
      <c r="AO85" s="9">
        <v>0</v>
      </c>
      <c r="AP85" s="9">
        <v>0</v>
      </c>
      <c r="AQ85" s="9">
        <v>0</v>
      </c>
      <c r="AR85" s="9">
        <v>0</v>
      </c>
      <c r="AS85" s="9">
        <v>0</v>
      </c>
      <c r="AT85" s="9">
        <v>0</v>
      </c>
      <c r="AU85" s="9">
        <v>0</v>
      </c>
      <c r="AV85" s="9">
        <v>4386244</v>
      </c>
      <c r="AW85" s="9">
        <v>55224034</v>
      </c>
      <c r="AX85" s="9">
        <v>52450043</v>
      </c>
      <c r="AY85" s="9">
        <v>58087200</v>
      </c>
      <c r="AZ85" s="9">
        <v>4018449</v>
      </c>
      <c r="BA85" s="9">
        <v>124.167</v>
      </c>
      <c r="BB85" s="9">
        <v>0</v>
      </c>
      <c r="BC85" s="9">
        <v>0</v>
      </c>
      <c r="BD85" s="9">
        <v>0</v>
      </c>
      <c r="BE85" s="9">
        <v>0</v>
      </c>
      <c r="BF85" s="9">
        <v>45046152</v>
      </c>
      <c r="BG85" s="9">
        <v>0</v>
      </c>
      <c r="BH85" s="9">
        <v>5528.68</v>
      </c>
      <c r="BI85" s="9">
        <v>1520387</v>
      </c>
      <c r="BJ85" s="9">
        <v>12</v>
      </c>
      <c r="BK85" s="9">
        <v>0</v>
      </c>
      <c r="BL85" s="9">
        <v>0</v>
      </c>
      <c r="BM85" s="9">
        <v>0</v>
      </c>
      <c r="BN85" s="9">
        <v>0</v>
      </c>
      <c r="BO85" s="9">
        <v>0</v>
      </c>
      <c r="BP85" s="9">
        <v>0</v>
      </c>
      <c r="BQ85" s="9">
        <v>5392</v>
      </c>
      <c r="BR85" s="9">
        <v>1</v>
      </c>
      <c r="BS85" s="9">
        <v>0</v>
      </c>
      <c r="BT85" s="9">
        <v>0</v>
      </c>
      <c r="BU85" s="9">
        <v>0</v>
      </c>
      <c r="BV85" s="9">
        <v>0</v>
      </c>
      <c r="BW85" s="9">
        <v>0</v>
      </c>
      <c r="BX85" s="9">
        <v>0</v>
      </c>
      <c r="BY85" s="9">
        <v>0</v>
      </c>
      <c r="BZ85" s="9">
        <v>0</v>
      </c>
      <c r="CA85" s="9">
        <v>206.15600000000001</v>
      </c>
      <c r="CB85" s="9">
        <v>206156</v>
      </c>
      <c r="CC85" s="9">
        <v>0</v>
      </c>
      <c r="CD85" s="9">
        <v>0</v>
      </c>
      <c r="CE85" s="9">
        <v>0</v>
      </c>
      <c r="CF85" s="9">
        <v>0</v>
      </c>
      <c r="CG85" s="9">
        <v>0</v>
      </c>
      <c r="CH85" s="9">
        <v>1047448</v>
      </c>
      <c r="CI85" s="9">
        <v>0</v>
      </c>
      <c r="CJ85" s="9">
        <v>4</v>
      </c>
      <c r="CK85" s="9">
        <v>0</v>
      </c>
      <c r="CL85" s="9">
        <v>0</v>
      </c>
      <c r="CM85" s="9">
        <v>0</v>
      </c>
      <c r="CN85" s="9">
        <v>0</v>
      </c>
      <c r="CO85" s="9">
        <v>0</v>
      </c>
      <c r="CP85" s="9">
        <v>0</v>
      </c>
      <c r="CQ85" s="9">
        <v>16.917000000000002</v>
      </c>
      <c r="CR85" s="9">
        <v>4510.9800000000005</v>
      </c>
      <c r="CS85" s="9">
        <v>0</v>
      </c>
      <c r="CT85" s="9">
        <v>0</v>
      </c>
      <c r="CU85" s="9">
        <v>0</v>
      </c>
      <c r="CV85" s="9">
        <v>0</v>
      </c>
      <c r="CW85" s="9">
        <v>0</v>
      </c>
      <c r="CX85" s="9">
        <v>0</v>
      </c>
      <c r="CY85" s="9">
        <v>0</v>
      </c>
      <c r="CZ85" s="9">
        <v>0</v>
      </c>
      <c r="DA85" s="9">
        <v>1</v>
      </c>
      <c r="DB85" s="9">
        <v>33729529</v>
      </c>
      <c r="DC85" s="9">
        <v>0</v>
      </c>
      <c r="DD85" s="9">
        <v>0</v>
      </c>
      <c r="DE85" s="9">
        <v>3670903</v>
      </c>
      <c r="DF85" s="9">
        <v>3670903</v>
      </c>
      <c r="DG85" s="9">
        <v>2803.5</v>
      </c>
      <c r="DH85" s="9">
        <v>0</v>
      </c>
      <c r="DI85" s="9">
        <v>0</v>
      </c>
      <c r="DJ85" s="9">
        <v>0</v>
      </c>
      <c r="DK85" s="9">
        <v>5392</v>
      </c>
      <c r="DL85" s="9">
        <v>0</v>
      </c>
      <c r="DM85" s="9">
        <v>6523155</v>
      </c>
      <c r="DN85" s="9">
        <v>0</v>
      </c>
      <c r="DO85" s="9">
        <v>2445</v>
      </c>
      <c r="DP85" s="9">
        <v>0</v>
      </c>
      <c r="DQ85" s="9">
        <v>0</v>
      </c>
      <c r="DR85" s="9">
        <v>0</v>
      </c>
      <c r="DS85" s="9">
        <v>0</v>
      </c>
      <c r="DT85" s="9">
        <v>0</v>
      </c>
      <c r="DU85" s="9">
        <v>0</v>
      </c>
      <c r="DV85" s="9">
        <v>0.16600000000000001</v>
      </c>
      <c r="DW85" s="9">
        <v>0</v>
      </c>
      <c r="DX85" s="9">
        <v>0</v>
      </c>
      <c r="DY85" s="9">
        <v>0</v>
      </c>
      <c r="DZ85" s="9">
        <v>0.498</v>
      </c>
      <c r="EA85" s="9">
        <v>0</v>
      </c>
      <c r="EB85" s="9">
        <v>1.4610000000000001</v>
      </c>
      <c r="EC85" s="9">
        <v>394.62400000000002</v>
      </c>
      <c r="ED85" s="9">
        <v>2841964</v>
      </c>
      <c r="EE85" s="9">
        <v>0</v>
      </c>
      <c r="EF85" s="9">
        <v>0</v>
      </c>
      <c r="EG85" s="9">
        <v>0</v>
      </c>
      <c r="EH85" s="9">
        <v>3636217</v>
      </c>
      <c r="EI85" s="9">
        <v>42529</v>
      </c>
      <c r="EJ85" s="9">
        <v>1.6240000000000001</v>
      </c>
      <c r="EK85" s="9">
        <v>151.679</v>
      </c>
      <c r="EL85" s="9">
        <v>7.58</v>
      </c>
      <c r="EM85" s="9">
        <v>31.829000000000001</v>
      </c>
      <c r="EN85" s="9">
        <v>9.9000000000000005E-2</v>
      </c>
      <c r="EO85" s="9">
        <v>0</v>
      </c>
      <c r="EP85" s="9">
        <v>0</v>
      </c>
      <c r="EQ85" s="9">
        <v>186.69200000000001</v>
      </c>
      <c r="ER85" s="9">
        <v>0</v>
      </c>
      <c r="ES85" s="9">
        <v>555.40200000000004</v>
      </c>
      <c r="ET85" s="9">
        <v>66313</v>
      </c>
      <c r="EU85" s="9">
        <v>4018449</v>
      </c>
      <c r="EV85" s="9">
        <v>0</v>
      </c>
      <c r="EW85" s="9">
        <v>0</v>
      </c>
      <c r="EX85" s="9">
        <v>0</v>
      </c>
      <c r="EY85" s="9">
        <v>0</v>
      </c>
      <c r="EZ85" s="9">
        <v>43997581</v>
      </c>
      <c r="FA85" s="9">
        <v>0</v>
      </c>
      <c r="FB85" s="9">
        <v>48016030</v>
      </c>
      <c r="FC85" s="9">
        <v>0.97326799999999991</v>
      </c>
      <c r="FD85" s="9">
        <v>0</v>
      </c>
      <c r="FE85" s="9">
        <v>6968519</v>
      </c>
      <c r="FF85" s="9">
        <v>1483943</v>
      </c>
      <c r="FG85" s="9">
        <v>5.8088000000000001E-2</v>
      </c>
      <c r="FH85" s="9">
        <v>5.2622999999999996E-2</v>
      </c>
      <c r="FI85" s="9">
        <v>0</v>
      </c>
      <c r="FJ85" s="9">
        <v>0</v>
      </c>
      <c r="FK85" s="9">
        <v>8826.1380000000008</v>
      </c>
      <c r="FL85" s="9">
        <v>57515940</v>
      </c>
      <c r="FM85" s="9">
        <v>0</v>
      </c>
      <c r="FN85" s="9">
        <v>0</v>
      </c>
      <c r="FO85" s="9">
        <v>6085</v>
      </c>
      <c r="FP85" s="9">
        <v>0</v>
      </c>
      <c r="FQ85" s="9">
        <v>6085</v>
      </c>
      <c r="FR85" s="9">
        <v>6085</v>
      </c>
      <c r="FS85" s="9">
        <v>0</v>
      </c>
      <c r="FT85" s="9">
        <v>0</v>
      </c>
      <c r="FU85" s="9">
        <v>0</v>
      </c>
      <c r="FV85" s="9">
        <v>0</v>
      </c>
      <c r="FW85" s="9">
        <v>0</v>
      </c>
      <c r="FX85" s="9">
        <v>0</v>
      </c>
      <c r="FY85" s="9">
        <v>0</v>
      </c>
      <c r="FZ85" s="9">
        <v>0</v>
      </c>
      <c r="GA85" s="9">
        <v>0</v>
      </c>
      <c r="GB85" s="9">
        <v>2005939</v>
      </c>
      <c r="GC85" s="9">
        <v>2005939</v>
      </c>
      <c r="GD85" s="9">
        <v>226.95600000000002</v>
      </c>
      <c r="GE85" s="9">
        <v>0</v>
      </c>
      <c r="GF85" s="9">
        <v>0</v>
      </c>
      <c r="GG85" s="9">
        <v>0</v>
      </c>
      <c r="GH85" s="9">
        <v>0</v>
      </c>
      <c r="GI85" s="9">
        <v>0</v>
      </c>
      <c r="GJ85" s="9">
        <v>0</v>
      </c>
      <c r="GK85" s="9">
        <v>5147</v>
      </c>
      <c r="GL85" s="9">
        <v>8036</v>
      </c>
      <c r="GM85" s="9">
        <v>0</v>
      </c>
      <c r="GN85" s="9">
        <v>0</v>
      </c>
      <c r="GO85" s="9">
        <v>0</v>
      </c>
      <c r="GP85" s="9">
        <v>56468492</v>
      </c>
      <c r="GQ85" s="9">
        <v>56468492</v>
      </c>
      <c r="GR85" s="9">
        <v>0</v>
      </c>
      <c r="GS85" s="9">
        <v>0</v>
      </c>
      <c r="GT85" s="9">
        <v>0</v>
      </c>
      <c r="GU85" s="9">
        <v>0</v>
      </c>
      <c r="GV85" s="9">
        <v>0</v>
      </c>
      <c r="GW85" s="9">
        <v>0</v>
      </c>
      <c r="GX85" s="9">
        <v>0</v>
      </c>
      <c r="GY85" s="9">
        <v>0</v>
      </c>
      <c r="GZ85" s="9">
        <v>0</v>
      </c>
      <c r="HA85" s="9">
        <v>0</v>
      </c>
      <c r="HB85" s="9">
        <v>300501363</v>
      </c>
      <c r="HC85" s="9">
        <v>4.4742999999999998E-2</v>
      </c>
      <c r="HD85" s="9">
        <v>981135</v>
      </c>
      <c r="HE85" s="9">
        <v>0</v>
      </c>
      <c r="HF85" s="9">
        <v>0</v>
      </c>
      <c r="HG85" s="9">
        <v>0</v>
      </c>
      <c r="HH85" s="9">
        <v>0</v>
      </c>
      <c r="HI85" s="9">
        <v>0</v>
      </c>
      <c r="HJ85" s="9">
        <v>0</v>
      </c>
      <c r="HK85" s="9">
        <v>0</v>
      </c>
      <c r="HL85" s="9">
        <v>0</v>
      </c>
      <c r="HM85" s="9">
        <v>0</v>
      </c>
      <c r="HN85" s="9">
        <v>0</v>
      </c>
      <c r="HO85" s="9">
        <v>0</v>
      </c>
      <c r="HP85" s="9">
        <v>0</v>
      </c>
      <c r="HQ85" s="9">
        <v>0</v>
      </c>
      <c r="HR85" s="9">
        <v>0</v>
      </c>
      <c r="HS85" s="9">
        <v>0</v>
      </c>
      <c r="HT85" s="9">
        <v>0</v>
      </c>
      <c r="HU85" s="9">
        <v>0</v>
      </c>
      <c r="HV85" s="9">
        <v>0</v>
      </c>
      <c r="HW85" s="9">
        <v>0</v>
      </c>
      <c r="HX85" s="9">
        <v>0</v>
      </c>
      <c r="HY85" s="9">
        <v>0</v>
      </c>
      <c r="HZ85" s="9">
        <v>0</v>
      </c>
      <c r="IA85" s="9">
        <v>0</v>
      </c>
      <c r="IB85" s="9">
        <v>0</v>
      </c>
      <c r="IC85" s="9">
        <v>0</v>
      </c>
      <c r="ID85" s="9">
        <v>0</v>
      </c>
      <c r="IE85" s="9">
        <v>0</v>
      </c>
      <c r="IF85" s="9">
        <v>0</v>
      </c>
      <c r="IG85" s="9">
        <v>0</v>
      </c>
      <c r="IH85" s="9">
        <v>0</v>
      </c>
      <c r="II85" s="9">
        <v>0</v>
      </c>
      <c r="IJ85" s="9">
        <v>0</v>
      </c>
      <c r="IK85" s="9">
        <v>0</v>
      </c>
      <c r="IL85" s="9">
        <v>0</v>
      </c>
      <c r="IM85" s="9">
        <v>0</v>
      </c>
      <c r="IN85" s="9">
        <v>0</v>
      </c>
      <c r="IO85" s="9">
        <v>0</v>
      </c>
      <c r="IP85" s="9">
        <v>0</v>
      </c>
      <c r="IQ85" s="9">
        <v>0</v>
      </c>
      <c r="IR85" s="9">
        <v>0</v>
      </c>
      <c r="IS85" s="9">
        <v>0</v>
      </c>
      <c r="IT85" s="9">
        <v>0</v>
      </c>
      <c r="IU85" s="9">
        <v>0</v>
      </c>
      <c r="IV85" s="9">
        <v>0</v>
      </c>
      <c r="IW85" s="9">
        <v>0</v>
      </c>
      <c r="IX85" s="9">
        <v>0</v>
      </c>
      <c r="IY85" s="9">
        <v>0</v>
      </c>
      <c r="IZ85" s="9">
        <v>0</v>
      </c>
      <c r="JA85" s="9">
        <v>0</v>
      </c>
      <c r="JB85" s="9">
        <v>0</v>
      </c>
      <c r="JC85" s="9">
        <v>0</v>
      </c>
      <c r="JD85" s="9">
        <v>0</v>
      </c>
      <c r="JE85" s="9">
        <v>0</v>
      </c>
      <c r="JF85" s="9">
        <v>0</v>
      </c>
      <c r="JG85" s="9">
        <v>0</v>
      </c>
      <c r="JH85" s="9">
        <v>0</v>
      </c>
      <c r="JI85" s="9">
        <v>0</v>
      </c>
      <c r="JJ85" s="9">
        <v>0</v>
      </c>
      <c r="JK85" s="9">
        <v>0</v>
      </c>
      <c r="JL85" s="9">
        <v>0</v>
      </c>
      <c r="JM85" s="9">
        <v>0</v>
      </c>
      <c r="JN85" s="9">
        <v>36832</v>
      </c>
      <c r="JO85" s="9">
        <v>0</v>
      </c>
      <c r="JP85" s="9">
        <v>0</v>
      </c>
      <c r="JQ85" s="9">
        <v>0</v>
      </c>
      <c r="JR85" s="9">
        <v>0</v>
      </c>
      <c r="JS85" s="9">
        <v>0</v>
      </c>
      <c r="JT85" s="9">
        <v>0</v>
      </c>
      <c r="JU85" s="9">
        <v>0</v>
      </c>
      <c r="JV85" s="9">
        <v>0</v>
      </c>
      <c r="JW85" s="9">
        <v>0</v>
      </c>
      <c r="JX85" s="9">
        <v>0</v>
      </c>
      <c r="JY85" s="9">
        <v>0</v>
      </c>
      <c r="JZ85" s="9">
        <v>0</v>
      </c>
      <c r="KA85" s="9">
        <v>0</v>
      </c>
      <c r="KB85" s="9">
        <v>0</v>
      </c>
      <c r="KC85" s="9">
        <v>0</v>
      </c>
      <c r="KD85" s="9">
        <v>0</v>
      </c>
      <c r="KE85" s="9">
        <v>0</v>
      </c>
      <c r="KF85" s="9">
        <v>0</v>
      </c>
      <c r="KG85" s="9">
        <v>0</v>
      </c>
      <c r="KH85" s="9">
        <v>0</v>
      </c>
      <c r="KI85" s="9">
        <v>0</v>
      </c>
    </row>
    <row r="86" spans="1:295" ht="13" x14ac:dyDescent="0.3">
      <c r="A86" s="9">
        <v>72802</v>
      </c>
      <c r="B86" s="9">
        <v>36871</v>
      </c>
      <c r="C86" s="9">
        <v>35</v>
      </c>
      <c r="D86" s="9">
        <v>2023</v>
      </c>
      <c r="E86" s="9">
        <v>5392</v>
      </c>
      <c r="F86" s="9">
        <v>0</v>
      </c>
      <c r="G86" s="9">
        <v>0</v>
      </c>
      <c r="H86" s="9">
        <v>94.384</v>
      </c>
      <c r="I86" s="9">
        <v>94.384</v>
      </c>
      <c r="J86" s="9">
        <v>108.608</v>
      </c>
      <c r="K86" s="9">
        <v>0</v>
      </c>
      <c r="L86" s="9">
        <v>6547</v>
      </c>
      <c r="M86" s="9">
        <v>0</v>
      </c>
      <c r="N86" s="9">
        <v>0</v>
      </c>
      <c r="O86" s="9">
        <v>0</v>
      </c>
      <c r="P86" s="9">
        <v>97.731000000000009</v>
      </c>
      <c r="Q86" s="9">
        <v>0</v>
      </c>
      <c r="R86" s="10">
        <v>47587</v>
      </c>
      <c r="S86" s="9">
        <v>486.92200000000003</v>
      </c>
      <c r="T86" s="9">
        <v>0</v>
      </c>
      <c r="U86" s="10">
        <v>47587</v>
      </c>
      <c r="V86" s="10">
        <v>3.5</v>
      </c>
      <c r="W86" s="10">
        <v>2291</v>
      </c>
      <c r="X86" s="10">
        <v>2291</v>
      </c>
      <c r="Y86" s="9">
        <v>0</v>
      </c>
      <c r="Z86" s="9">
        <v>0</v>
      </c>
      <c r="AA86" s="9">
        <v>1</v>
      </c>
      <c r="AB86" s="9">
        <v>1</v>
      </c>
      <c r="AC86" s="9">
        <v>0</v>
      </c>
      <c r="AD86" s="9" t="s">
        <v>314</v>
      </c>
      <c r="AE86" s="9">
        <v>0</v>
      </c>
      <c r="AF86" s="9">
        <v>0</v>
      </c>
      <c r="AG86" s="9">
        <v>0</v>
      </c>
      <c r="AH86" s="9">
        <v>0</v>
      </c>
      <c r="AI86" s="9">
        <v>0</v>
      </c>
      <c r="AJ86" s="9">
        <v>5104</v>
      </c>
      <c r="AK86" s="9" t="s">
        <v>651</v>
      </c>
      <c r="AL86" s="9" t="s">
        <v>340</v>
      </c>
      <c r="AM86" s="9">
        <v>0</v>
      </c>
      <c r="AN86" s="9">
        <v>0</v>
      </c>
      <c r="AO86" s="9">
        <v>0</v>
      </c>
      <c r="AP86" s="9">
        <v>0</v>
      </c>
      <c r="AQ86" s="9">
        <v>0</v>
      </c>
      <c r="AR86" s="9">
        <v>0</v>
      </c>
      <c r="AS86" s="9">
        <v>0</v>
      </c>
      <c r="AT86" s="9">
        <v>0</v>
      </c>
      <c r="AU86" s="9">
        <v>0</v>
      </c>
      <c r="AV86" s="9">
        <v>-39348</v>
      </c>
      <c r="AW86" s="9">
        <v>1045849</v>
      </c>
      <c r="AX86" s="9">
        <v>997818</v>
      </c>
      <c r="AY86" s="9">
        <v>1147613</v>
      </c>
      <c r="AZ86" s="9">
        <v>75472</v>
      </c>
      <c r="BA86" s="10">
        <v>2</v>
      </c>
      <c r="BB86" s="9">
        <v>0</v>
      </c>
      <c r="BC86" s="9">
        <v>0</v>
      </c>
      <c r="BD86" s="9">
        <v>0</v>
      </c>
      <c r="BE86" s="9">
        <v>0</v>
      </c>
      <c r="BF86" s="9">
        <v>860341</v>
      </c>
      <c r="BG86" s="9">
        <v>0</v>
      </c>
      <c r="BH86" s="10">
        <v>101.40100000000001</v>
      </c>
      <c r="BI86" s="10">
        <v>27885</v>
      </c>
      <c r="BJ86" s="9">
        <v>12</v>
      </c>
      <c r="BK86" s="9">
        <v>0</v>
      </c>
      <c r="BL86" s="9">
        <v>0</v>
      </c>
      <c r="BM86" s="9">
        <v>0</v>
      </c>
      <c r="BN86" s="9">
        <v>0</v>
      </c>
      <c r="BO86" s="9">
        <v>0</v>
      </c>
      <c r="BP86" s="9">
        <v>0</v>
      </c>
      <c r="BQ86" s="9">
        <v>5392</v>
      </c>
      <c r="BR86" s="9">
        <v>1</v>
      </c>
      <c r="BS86" s="9">
        <v>0</v>
      </c>
      <c r="BT86" s="9">
        <v>0</v>
      </c>
      <c r="BU86" s="9">
        <v>0</v>
      </c>
      <c r="BV86" s="9">
        <v>0</v>
      </c>
      <c r="BW86" s="9">
        <v>0</v>
      </c>
      <c r="BX86" s="9">
        <v>0</v>
      </c>
      <c r="BY86" s="9">
        <v>0</v>
      </c>
      <c r="BZ86" s="9">
        <v>0</v>
      </c>
      <c r="CA86" s="9">
        <v>0</v>
      </c>
      <c r="CB86" s="9">
        <v>0</v>
      </c>
      <c r="CC86" s="9">
        <v>0</v>
      </c>
      <c r="CD86" s="9">
        <v>0</v>
      </c>
      <c r="CE86" s="9">
        <v>0</v>
      </c>
      <c r="CF86" s="9">
        <v>0</v>
      </c>
      <c r="CG86" s="9">
        <v>0</v>
      </c>
      <c r="CH86" s="10">
        <v>20146</v>
      </c>
      <c r="CI86" s="9">
        <v>0</v>
      </c>
      <c r="CJ86" s="9">
        <v>4</v>
      </c>
      <c r="CK86" s="9">
        <v>0</v>
      </c>
      <c r="CL86" s="9">
        <v>0</v>
      </c>
      <c r="CM86" s="9">
        <v>0</v>
      </c>
      <c r="CN86" s="9">
        <v>0</v>
      </c>
      <c r="CO86" s="9">
        <v>0</v>
      </c>
      <c r="CP86" s="9">
        <v>0.37</v>
      </c>
      <c r="CQ86" s="9">
        <v>0</v>
      </c>
      <c r="CR86" s="9">
        <v>92.478999999999999</v>
      </c>
      <c r="CS86" s="9">
        <v>0</v>
      </c>
      <c r="CT86" s="9">
        <v>0</v>
      </c>
      <c r="CU86" s="9">
        <v>0</v>
      </c>
      <c r="CV86" s="9">
        <v>0</v>
      </c>
      <c r="CW86" s="9">
        <v>0</v>
      </c>
      <c r="CX86" s="9">
        <v>0</v>
      </c>
      <c r="CY86" s="9">
        <v>0</v>
      </c>
      <c r="CZ86" s="9">
        <v>0</v>
      </c>
      <c r="DA86" s="9">
        <v>1</v>
      </c>
      <c r="DB86" s="9">
        <v>617932</v>
      </c>
      <c r="DC86" s="9">
        <v>0</v>
      </c>
      <c r="DD86" s="9">
        <v>0</v>
      </c>
      <c r="DE86" s="9">
        <v>66125</v>
      </c>
      <c r="DF86" s="9">
        <v>71963</v>
      </c>
      <c r="DG86" s="9">
        <v>50.5</v>
      </c>
      <c r="DH86" s="9">
        <v>0</v>
      </c>
      <c r="DI86" s="9">
        <v>5838</v>
      </c>
      <c r="DJ86" s="9">
        <v>0</v>
      </c>
      <c r="DK86" s="9">
        <v>5392</v>
      </c>
      <c r="DL86" s="9">
        <v>0</v>
      </c>
      <c r="DM86" s="9">
        <v>102119</v>
      </c>
      <c r="DN86" s="9">
        <v>0</v>
      </c>
      <c r="DO86" s="9">
        <v>0</v>
      </c>
      <c r="DP86" s="9">
        <v>0</v>
      </c>
      <c r="DQ86" s="9">
        <v>0</v>
      </c>
      <c r="DR86" s="9">
        <v>0</v>
      </c>
      <c r="DS86" s="9">
        <v>0</v>
      </c>
      <c r="DT86" s="9">
        <v>0</v>
      </c>
      <c r="DU86" s="9">
        <v>0</v>
      </c>
      <c r="DV86" s="9">
        <v>0</v>
      </c>
      <c r="DW86" s="9">
        <v>0</v>
      </c>
      <c r="DX86" s="9">
        <v>0</v>
      </c>
      <c r="DY86" s="9">
        <v>0</v>
      </c>
      <c r="DZ86" s="9">
        <v>0</v>
      </c>
      <c r="EA86" s="9">
        <v>0</v>
      </c>
      <c r="EB86" s="9">
        <v>0</v>
      </c>
      <c r="EC86" s="9">
        <v>0.67900000000000005</v>
      </c>
      <c r="ED86" s="9">
        <v>4890</v>
      </c>
      <c r="EE86" s="9">
        <v>0</v>
      </c>
      <c r="EF86" s="9">
        <v>0</v>
      </c>
      <c r="EG86" s="9">
        <v>0</v>
      </c>
      <c r="EH86" s="9">
        <v>28774</v>
      </c>
      <c r="EI86" s="9">
        <v>68455</v>
      </c>
      <c r="EJ86" s="9">
        <v>2.6140000000000003</v>
      </c>
      <c r="EK86" s="9">
        <v>1.224</v>
      </c>
      <c r="EL86" s="9">
        <v>0</v>
      </c>
      <c r="EM86" s="9">
        <v>0.24100000000000002</v>
      </c>
      <c r="EN86" s="9">
        <v>0</v>
      </c>
      <c r="EO86" s="9">
        <v>0</v>
      </c>
      <c r="EP86" s="9">
        <v>0</v>
      </c>
      <c r="EQ86" s="9">
        <v>4.0790000000000006</v>
      </c>
      <c r="ER86" s="9">
        <v>0</v>
      </c>
      <c r="ES86" s="9">
        <v>4.3950000000000005</v>
      </c>
      <c r="ET86" s="10">
        <v>1000</v>
      </c>
      <c r="EU86" s="9">
        <v>75472</v>
      </c>
      <c r="EV86" s="9">
        <v>0</v>
      </c>
      <c r="EW86" s="9">
        <v>0</v>
      </c>
      <c r="EX86" s="9">
        <v>0</v>
      </c>
      <c r="EY86" s="9">
        <v>0</v>
      </c>
      <c r="EZ86" s="9">
        <v>836384</v>
      </c>
      <c r="FA86" s="9">
        <v>0</v>
      </c>
      <c r="FB86" s="10">
        <v>911856</v>
      </c>
      <c r="FC86" s="9">
        <v>0.97326799999999991</v>
      </c>
      <c r="FD86" s="9">
        <v>0</v>
      </c>
      <c r="FE86" s="9">
        <v>133092</v>
      </c>
      <c r="FF86" s="9">
        <v>28342</v>
      </c>
      <c r="FG86" s="9">
        <v>5.8088000000000001E-2</v>
      </c>
      <c r="FH86" s="9">
        <v>5.2622999999999996E-2</v>
      </c>
      <c r="FI86" s="9">
        <v>0</v>
      </c>
      <c r="FJ86" s="9">
        <v>0</v>
      </c>
      <c r="FK86" s="9">
        <v>168.571</v>
      </c>
      <c r="FL86" s="9">
        <v>1093436</v>
      </c>
      <c r="FM86" s="9">
        <v>0</v>
      </c>
      <c r="FN86" s="9">
        <v>0</v>
      </c>
      <c r="FO86" s="9">
        <v>0</v>
      </c>
      <c r="FP86" s="9">
        <v>0</v>
      </c>
      <c r="FQ86" s="9">
        <v>0</v>
      </c>
      <c r="FR86" s="9">
        <v>0</v>
      </c>
      <c r="FS86" s="9">
        <v>0</v>
      </c>
      <c r="FT86" s="9">
        <v>0</v>
      </c>
      <c r="FU86" s="9">
        <v>0</v>
      </c>
      <c r="FV86" s="9">
        <v>0</v>
      </c>
      <c r="FW86" s="9">
        <v>0</v>
      </c>
      <c r="FX86" s="9">
        <v>0</v>
      </c>
      <c r="FY86" s="9">
        <v>0</v>
      </c>
      <c r="FZ86" s="9">
        <v>0</v>
      </c>
      <c r="GA86" s="9">
        <v>0</v>
      </c>
      <c r="GB86" s="10">
        <v>89666</v>
      </c>
      <c r="GC86" s="10">
        <v>89666</v>
      </c>
      <c r="GD86" s="10">
        <v>10.145000000000001</v>
      </c>
      <c r="GE86" s="9">
        <v>0</v>
      </c>
      <c r="GF86" s="9">
        <v>0</v>
      </c>
      <c r="GG86" s="9">
        <v>0</v>
      </c>
      <c r="GH86" s="9">
        <v>0</v>
      </c>
      <c r="GI86" s="9">
        <v>0</v>
      </c>
      <c r="GJ86" s="9">
        <v>0</v>
      </c>
      <c r="GK86" s="9">
        <v>5179</v>
      </c>
      <c r="GL86" s="9">
        <v>6316</v>
      </c>
      <c r="GM86" s="9">
        <v>0</v>
      </c>
      <c r="GN86" s="9">
        <v>0</v>
      </c>
      <c r="GO86" s="9">
        <v>0</v>
      </c>
      <c r="GP86" s="9">
        <v>1073290</v>
      </c>
      <c r="GQ86" s="9">
        <v>1073290</v>
      </c>
      <c r="GR86" s="9">
        <v>0</v>
      </c>
      <c r="GS86" s="9">
        <v>0</v>
      </c>
      <c r="GT86" s="9">
        <v>0</v>
      </c>
      <c r="GU86" s="9">
        <v>0</v>
      </c>
      <c r="GV86" s="9">
        <v>0</v>
      </c>
      <c r="GW86" s="9">
        <v>0</v>
      </c>
      <c r="GX86" s="9">
        <v>0</v>
      </c>
      <c r="GY86" s="9">
        <v>0</v>
      </c>
      <c r="GZ86" s="9">
        <v>0</v>
      </c>
      <c r="HA86" s="9">
        <v>0</v>
      </c>
      <c r="HB86" s="9">
        <v>300501363</v>
      </c>
      <c r="HC86" s="9">
        <v>4.4742999999999998E-2</v>
      </c>
      <c r="HD86" s="10">
        <v>19146</v>
      </c>
      <c r="HE86" s="9">
        <v>0</v>
      </c>
      <c r="HF86" s="9">
        <v>0</v>
      </c>
      <c r="HG86" s="9">
        <v>0</v>
      </c>
      <c r="HH86" s="9">
        <v>0</v>
      </c>
      <c r="HI86" s="9">
        <v>0</v>
      </c>
      <c r="HJ86" s="9">
        <v>0</v>
      </c>
      <c r="HK86" s="9">
        <v>0</v>
      </c>
      <c r="HL86" s="9">
        <v>0</v>
      </c>
      <c r="HM86" s="9">
        <v>0</v>
      </c>
      <c r="HN86" s="9">
        <v>0</v>
      </c>
      <c r="HO86" s="9">
        <v>0</v>
      </c>
      <c r="HP86" s="9">
        <v>0</v>
      </c>
      <c r="HQ86" s="9">
        <v>0</v>
      </c>
      <c r="HR86" s="9">
        <v>0</v>
      </c>
      <c r="HS86" s="9">
        <v>0</v>
      </c>
      <c r="HT86" s="9">
        <v>0</v>
      </c>
      <c r="HU86" s="9">
        <v>0</v>
      </c>
      <c r="HV86" s="9">
        <v>0</v>
      </c>
      <c r="HW86" s="9">
        <v>0</v>
      </c>
      <c r="HX86" s="9">
        <v>0</v>
      </c>
      <c r="HY86" s="9">
        <v>0</v>
      </c>
      <c r="HZ86" s="9">
        <v>0</v>
      </c>
      <c r="IA86" s="9">
        <v>0</v>
      </c>
      <c r="IB86" s="9">
        <v>0</v>
      </c>
      <c r="IC86" s="9">
        <v>0</v>
      </c>
      <c r="ID86" s="9">
        <v>0</v>
      </c>
      <c r="IE86" s="9">
        <v>0</v>
      </c>
      <c r="IF86" s="9">
        <v>0</v>
      </c>
      <c r="IG86" s="9">
        <v>0</v>
      </c>
      <c r="IH86" s="9">
        <v>0</v>
      </c>
      <c r="II86" s="9">
        <v>0</v>
      </c>
      <c r="IJ86" s="9">
        <v>0</v>
      </c>
      <c r="IK86" s="9">
        <v>0</v>
      </c>
      <c r="IL86" s="9">
        <v>0</v>
      </c>
      <c r="IM86" s="9">
        <v>0</v>
      </c>
      <c r="IN86" s="9">
        <v>0</v>
      </c>
      <c r="IO86" s="9">
        <v>0</v>
      </c>
      <c r="IP86" s="9">
        <v>0</v>
      </c>
      <c r="IQ86" s="9">
        <v>0</v>
      </c>
      <c r="IR86" s="9">
        <v>0</v>
      </c>
      <c r="IS86" s="9">
        <v>0</v>
      </c>
      <c r="IT86" s="9">
        <v>0</v>
      </c>
      <c r="IU86" s="9">
        <v>0</v>
      </c>
      <c r="IV86" s="9">
        <v>0</v>
      </c>
      <c r="IW86" s="9">
        <v>0</v>
      </c>
      <c r="IX86" s="9">
        <v>0</v>
      </c>
      <c r="IY86" s="9">
        <v>0</v>
      </c>
      <c r="IZ86" s="9">
        <v>0</v>
      </c>
      <c r="JA86" s="9">
        <v>0</v>
      </c>
      <c r="JB86" s="9">
        <v>0</v>
      </c>
      <c r="JC86" s="9">
        <v>0</v>
      </c>
      <c r="JD86" s="9">
        <v>0</v>
      </c>
      <c r="JE86" s="9">
        <v>0</v>
      </c>
      <c r="JF86" s="9">
        <v>0</v>
      </c>
      <c r="JG86" s="9">
        <v>0</v>
      </c>
      <c r="JH86" s="9">
        <v>0</v>
      </c>
      <c r="JI86" s="9">
        <v>0</v>
      </c>
      <c r="JJ86" s="9">
        <v>0</v>
      </c>
      <c r="JK86" s="9">
        <v>0</v>
      </c>
      <c r="JL86" s="9">
        <v>0</v>
      </c>
      <c r="JM86" s="9">
        <v>0</v>
      </c>
      <c r="JN86" s="9">
        <v>36832</v>
      </c>
      <c r="JO86" s="9">
        <v>0</v>
      </c>
      <c r="JP86" s="9">
        <v>0</v>
      </c>
      <c r="JQ86" s="9">
        <v>0</v>
      </c>
      <c r="JR86" s="9">
        <v>0</v>
      </c>
      <c r="JS86" s="9">
        <v>0</v>
      </c>
      <c r="JT86" s="9">
        <v>0</v>
      </c>
      <c r="JU86" s="9">
        <v>0</v>
      </c>
      <c r="JV86" s="9">
        <v>0</v>
      </c>
      <c r="JW86" s="9">
        <v>0</v>
      </c>
      <c r="JX86" s="9">
        <v>0</v>
      </c>
      <c r="JY86" s="9">
        <v>0</v>
      </c>
      <c r="JZ86" s="9">
        <v>0</v>
      </c>
      <c r="KA86" s="9">
        <v>0</v>
      </c>
      <c r="KB86" s="9">
        <v>0</v>
      </c>
      <c r="KC86" s="9">
        <v>0</v>
      </c>
      <c r="KD86" s="9">
        <v>0</v>
      </c>
      <c r="KE86" s="9">
        <v>0</v>
      </c>
      <c r="KF86" s="9">
        <v>0</v>
      </c>
      <c r="KG86" s="9">
        <v>0</v>
      </c>
      <c r="KH86" s="9">
        <v>0</v>
      </c>
      <c r="KI86" s="9">
        <v>0</v>
      </c>
    </row>
    <row r="87" spans="1:295" x14ac:dyDescent="0.25">
      <c r="A87" s="9">
        <v>84802</v>
      </c>
      <c r="B87" s="9">
        <v>36871</v>
      </c>
      <c r="C87" s="9">
        <v>35</v>
      </c>
      <c r="D87" s="9">
        <v>2023</v>
      </c>
      <c r="E87" s="9">
        <v>5392</v>
      </c>
      <c r="F87" s="9">
        <v>0</v>
      </c>
      <c r="G87" s="9">
        <v>0</v>
      </c>
      <c r="H87" s="9">
        <v>1154.7630000000001</v>
      </c>
      <c r="I87" s="9">
        <v>1154.7630000000001</v>
      </c>
      <c r="J87" s="9">
        <v>1207.569</v>
      </c>
      <c r="K87" s="9">
        <v>0</v>
      </c>
      <c r="L87" s="9">
        <v>6547</v>
      </c>
      <c r="M87" s="9">
        <v>0</v>
      </c>
      <c r="N87" s="9">
        <v>0</v>
      </c>
      <c r="O87" s="9">
        <v>0</v>
      </c>
      <c r="P87" s="9">
        <v>1018.984</v>
      </c>
      <c r="Q87" s="9">
        <v>0</v>
      </c>
      <c r="R87" s="9">
        <v>496166</v>
      </c>
      <c r="S87" s="9">
        <v>486.92200000000003</v>
      </c>
      <c r="T87" s="9">
        <v>0</v>
      </c>
      <c r="U87" s="9">
        <v>496166</v>
      </c>
      <c r="V87" s="9">
        <v>217.38200000000001</v>
      </c>
      <c r="W87" s="9">
        <v>142320</v>
      </c>
      <c r="X87" s="9">
        <v>142320</v>
      </c>
      <c r="Y87" s="9">
        <v>0</v>
      </c>
      <c r="Z87" s="9">
        <v>0</v>
      </c>
      <c r="AA87" s="9">
        <v>1</v>
      </c>
      <c r="AB87" s="9">
        <v>1</v>
      </c>
      <c r="AC87" s="9">
        <v>0</v>
      </c>
      <c r="AD87" s="9" t="s">
        <v>314</v>
      </c>
      <c r="AE87" s="9">
        <v>0</v>
      </c>
      <c r="AF87" s="9">
        <v>0</v>
      </c>
      <c r="AG87" s="9">
        <v>0</v>
      </c>
      <c r="AH87" s="9">
        <v>0</v>
      </c>
      <c r="AI87" s="9">
        <v>0</v>
      </c>
      <c r="AJ87" s="9">
        <v>5104</v>
      </c>
      <c r="AK87" s="9" t="s">
        <v>651</v>
      </c>
      <c r="AL87" s="9" t="s">
        <v>341</v>
      </c>
      <c r="AM87" s="9">
        <v>0</v>
      </c>
      <c r="AN87" s="9">
        <v>0</v>
      </c>
      <c r="AO87" s="9">
        <v>0</v>
      </c>
      <c r="AP87" s="9">
        <v>0</v>
      </c>
      <c r="AQ87" s="9">
        <v>0</v>
      </c>
      <c r="AR87" s="9">
        <v>0</v>
      </c>
      <c r="AS87" s="9">
        <v>0</v>
      </c>
      <c r="AT87" s="9">
        <v>0</v>
      </c>
      <c r="AU87" s="9">
        <v>0</v>
      </c>
      <c r="AV87" s="9">
        <v>-258874</v>
      </c>
      <c r="AW87" s="9">
        <v>11834325</v>
      </c>
      <c r="AX87" s="9">
        <v>11560314</v>
      </c>
      <c r="AY87" s="9">
        <v>12586069</v>
      </c>
      <c r="AZ87" s="9">
        <v>532339</v>
      </c>
      <c r="BA87" s="9">
        <v>49.917000000000002</v>
      </c>
      <c r="BB87" s="9">
        <v>47436</v>
      </c>
      <c r="BC87" s="9">
        <v>47436</v>
      </c>
      <c r="BD87" s="9">
        <v>60.378</v>
      </c>
      <c r="BE87" s="9">
        <v>0</v>
      </c>
      <c r="BF87" s="9">
        <v>9922160</v>
      </c>
      <c r="BG87" s="9">
        <v>0</v>
      </c>
      <c r="BH87" s="9">
        <v>131.53800000000001</v>
      </c>
      <c r="BI87" s="9">
        <v>36173</v>
      </c>
      <c r="BJ87" s="9">
        <v>12</v>
      </c>
      <c r="BK87" s="9">
        <v>0</v>
      </c>
      <c r="BL87" s="9">
        <v>0</v>
      </c>
      <c r="BM87" s="9">
        <v>0</v>
      </c>
      <c r="BN87" s="9">
        <v>0</v>
      </c>
      <c r="BO87" s="9">
        <v>0</v>
      </c>
      <c r="BP87" s="9">
        <v>0</v>
      </c>
      <c r="BQ87" s="9">
        <v>5392</v>
      </c>
      <c r="BR87" s="9">
        <v>1</v>
      </c>
      <c r="BS87" s="9">
        <v>0</v>
      </c>
      <c r="BT87" s="9">
        <v>0</v>
      </c>
      <c r="BU87" s="9">
        <v>0</v>
      </c>
      <c r="BV87" s="9">
        <v>0</v>
      </c>
      <c r="BW87" s="9">
        <v>0</v>
      </c>
      <c r="BX87" s="9">
        <v>0</v>
      </c>
      <c r="BY87" s="9">
        <v>0</v>
      </c>
      <c r="BZ87" s="9">
        <v>0</v>
      </c>
      <c r="CA87" s="9">
        <v>0</v>
      </c>
      <c r="CB87" s="9">
        <v>0</v>
      </c>
      <c r="CC87" s="9">
        <v>0</v>
      </c>
      <c r="CD87" s="9">
        <v>0</v>
      </c>
      <c r="CE87" s="9">
        <v>0</v>
      </c>
      <c r="CF87" s="9">
        <v>0</v>
      </c>
      <c r="CG87" s="9">
        <v>0</v>
      </c>
      <c r="CH87" s="9">
        <v>237838</v>
      </c>
      <c r="CI87" s="9">
        <v>0</v>
      </c>
      <c r="CJ87" s="9">
        <v>4</v>
      </c>
      <c r="CK87" s="9">
        <v>0</v>
      </c>
      <c r="CL87" s="9">
        <v>0</v>
      </c>
      <c r="CM87" s="9">
        <v>0</v>
      </c>
      <c r="CN87" s="9">
        <v>0</v>
      </c>
      <c r="CO87" s="9">
        <v>0</v>
      </c>
      <c r="CP87" s="9">
        <v>0</v>
      </c>
      <c r="CQ87" s="9">
        <v>0</v>
      </c>
      <c r="CR87" s="9">
        <v>989.69900000000007</v>
      </c>
      <c r="CS87" s="9">
        <v>0</v>
      </c>
      <c r="CT87" s="9">
        <v>0</v>
      </c>
      <c r="CU87" s="9">
        <v>0</v>
      </c>
      <c r="CV87" s="9">
        <v>0</v>
      </c>
      <c r="CW87" s="9">
        <v>0</v>
      </c>
      <c r="CX87" s="9">
        <v>0</v>
      </c>
      <c r="CY87" s="9">
        <v>0</v>
      </c>
      <c r="CZ87" s="9">
        <v>0</v>
      </c>
      <c r="DA87" s="9">
        <v>1</v>
      </c>
      <c r="DB87" s="9">
        <v>7560233</v>
      </c>
      <c r="DC87" s="9">
        <v>0</v>
      </c>
      <c r="DD87" s="9">
        <v>0</v>
      </c>
      <c r="DE87" s="9">
        <v>1268376</v>
      </c>
      <c r="DF87" s="9">
        <v>1268376</v>
      </c>
      <c r="DG87" s="9">
        <v>968.67000000000007</v>
      </c>
      <c r="DH87" s="9">
        <v>0</v>
      </c>
      <c r="DI87" s="9">
        <v>0</v>
      </c>
      <c r="DJ87" s="9">
        <v>0</v>
      </c>
      <c r="DK87" s="9">
        <v>5392</v>
      </c>
      <c r="DL87" s="9">
        <v>0</v>
      </c>
      <c r="DM87" s="9">
        <v>937558</v>
      </c>
      <c r="DN87" s="9">
        <v>0</v>
      </c>
      <c r="DO87" s="9">
        <v>246</v>
      </c>
      <c r="DP87" s="9">
        <v>0</v>
      </c>
      <c r="DQ87" s="9">
        <v>0</v>
      </c>
      <c r="DR87" s="9">
        <v>0</v>
      </c>
      <c r="DS87" s="9">
        <v>0</v>
      </c>
      <c r="DT87" s="9">
        <v>1.5000000000000001E-2</v>
      </c>
      <c r="DU87" s="9">
        <v>0</v>
      </c>
      <c r="DV87" s="9">
        <v>0</v>
      </c>
      <c r="DW87" s="9">
        <v>1E-3</v>
      </c>
      <c r="DX87" s="9">
        <v>0</v>
      </c>
      <c r="DY87" s="9">
        <v>0</v>
      </c>
      <c r="DZ87" s="9">
        <v>0.05</v>
      </c>
      <c r="EA87" s="9">
        <v>0</v>
      </c>
      <c r="EB87" s="9">
        <v>0</v>
      </c>
      <c r="EC87" s="9">
        <v>57.037000000000006</v>
      </c>
      <c r="ED87" s="9">
        <v>410763</v>
      </c>
      <c r="EE87" s="9">
        <v>0</v>
      </c>
      <c r="EF87" s="9">
        <v>0</v>
      </c>
      <c r="EG87" s="9">
        <v>0</v>
      </c>
      <c r="EH87" s="9">
        <v>526549</v>
      </c>
      <c r="EI87" s="9">
        <v>0</v>
      </c>
      <c r="EJ87" s="9">
        <v>0</v>
      </c>
      <c r="EK87" s="9">
        <v>24.266999999999999</v>
      </c>
      <c r="EL87" s="9">
        <v>0</v>
      </c>
      <c r="EM87" s="9">
        <v>0</v>
      </c>
      <c r="EN87" s="9">
        <v>1.5250000000000001</v>
      </c>
      <c r="EO87" s="9">
        <v>0</v>
      </c>
      <c r="EP87" s="9">
        <v>0</v>
      </c>
      <c r="EQ87" s="9">
        <v>25.792000000000002</v>
      </c>
      <c r="ER87" s="9">
        <v>0</v>
      </c>
      <c r="ES87" s="9">
        <v>80.426000000000002</v>
      </c>
      <c r="ET87" s="9">
        <v>24959</v>
      </c>
      <c r="EU87" s="9">
        <v>532339</v>
      </c>
      <c r="EV87" s="9">
        <v>0</v>
      </c>
      <c r="EW87" s="9">
        <v>0</v>
      </c>
      <c r="EX87" s="9">
        <v>0</v>
      </c>
      <c r="EY87" s="9">
        <v>0</v>
      </c>
      <c r="EZ87" s="9">
        <v>9698519</v>
      </c>
      <c r="FA87" s="9">
        <v>0</v>
      </c>
      <c r="FB87" s="9">
        <v>10230858</v>
      </c>
      <c r="FC87" s="9">
        <v>0.97326799999999991</v>
      </c>
      <c r="FD87" s="9">
        <v>0</v>
      </c>
      <c r="FE87" s="9">
        <v>1534932</v>
      </c>
      <c r="FF87" s="9">
        <v>326863</v>
      </c>
      <c r="FG87" s="9">
        <v>5.8088000000000001E-2</v>
      </c>
      <c r="FH87" s="9">
        <v>5.2622999999999996E-2</v>
      </c>
      <c r="FI87" s="9">
        <v>0</v>
      </c>
      <c r="FJ87" s="9">
        <v>0</v>
      </c>
      <c r="FK87" s="9">
        <v>1944.1030000000001</v>
      </c>
      <c r="FL87" s="9">
        <v>12330491</v>
      </c>
      <c r="FM87" s="9">
        <v>0</v>
      </c>
      <c r="FN87" s="9">
        <v>0</v>
      </c>
      <c r="FO87" s="9">
        <v>0</v>
      </c>
      <c r="FP87" s="9">
        <v>0</v>
      </c>
      <c r="FQ87" s="9">
        <v>0</v>
      </c>
      <c r="FR87" s="9">
        <v>0</v>
      </c>
      <c r="FS87" s="9">
        <v>0</v>
      </c>
      <c r="FT87" s="9">
        <v>0</v>
      </c>
      <c r="FU87" s="9">
        <v>0</v>
      </c>
      <c r="FV87" s="9">
        <v>0</v>
      </c>
      <c r="FW87" s="9">
        <v>0</v>
      </c>
      <c r="FX87" s="9">
        <v>0</v>
      </c>
      <c r="FY87" s="9">
        <v>0</v>
      </c>
      <c r="FZ87" s="9">
        <v>0</v>
      </c>
      <c r="GA87" s="9">
        <v>0</v>
      </c>
      <c r="GB87" s="9">
        <v>238762</v>
      </c>
      <c r="GC87" s="9">
        <v>238762</v>
      </c>
      <c r="GD87" s="9">
        <v>27.014000000000003</v>
      </c>
      <c r="GE87" s="9">
        <v>0</v>
      </c>
      <c r="GF87" s="9">
        <v>0</v>
      </c>
      <c r="GG87" s="9">
        <v>0</v>
      </c>
      <c r="GH87" s="9">
        <v>0</v>
      </c>
      <c r="GI87" s="9">
        <v>0</v>
      </c>
      <c r="GJ87" s="9">
        <v>0</v>
      </c>
      <c r="GK87" s="9">
        <v>5316</v>
      </c>
      <c r="GL87" s="9">
        <v>11477</v>
      </c>
      <c r="GM87" s="9">
        <v>0</v>
      </c>
      <c r="GN87" s="9">
        <v>0</v>
      </c>
      <c r="GO87" s="9">
        <v>0</v>
      </c>
      <c r="GP87" s="9">
        <v>12092653</v>
      </c>
      <c r="GQ87" s="9">
        <v>12092653</v>
      </c>
      <c r="GR87" s="9">
        <v>0</v>
      </c>
      <c r="GS87" s="9">
        <v>0</v>
      </c>
      <c r="GT87" s="9">
        <v>0</v>
      </c>
      <c r="GU87" s="9">
        <v>0</v>
      </c>
      <c r="GV87" s="9">
        <v>0</v>
      </c>
      <c r="GW87" s="9">
        <v>0</v>
      </c>
      <c r="GX87" s="9">
        <v>0</v>
      </c>
      <c r="GY87" s="9">
        <v>0</v>
      </c>
      <c r="GZ87" s="9">
        <v>0</v>
      </c>
      <c r="HA87" s="9">
        <v>0</v>
      </c>
      <c r="HB87" s="9">
        <v>300501363</v>
      </c>
      <c r="HC87" s="9">
        <v>4.4742999999999998E-2</v>
      </c>
      <c r="HD87" s="9">
        <v>212879</v>
      </c>
      <c r="HE87" s="9">
        <v>0</v>
      </c>
      <c r="HF87" s="9">
        <v>0</v>
      </c>
      <c r="HG87" s="9">
        <v>0</v>
      </c>
      <c r="HH87" s="9">
        <v>0</v>
      </c>
      <c r="HI87" s="9">
        <v>0</v>
      </c>
      <c r="HJ87" s="9">
        <v>0</v>
      </c>
      <c r="HK87" s="9">
        <v>0</v>
      </c>
      <c r="HL87" s="9">
        <v>0</v>
      </c>
      <c r="HM87" s="9">
        <v>0</v>
      </c>
      <c r="HN87" s="9">
        <v>0</v>
      </c>
      <c r="HO87" s="9">
        <v>0</v>
      </c>
      <c r="HP87" s="9">
        <v>0</v>
      </c>
      <c r="HQ87" s="9">
        <v>0</v>
      </c>
      <c r="HR87" s="9">
        <v>0</v>
      </c>
      <c r="HS87" s="9">
        <v>0</v>
      </c>
      <c r="HT87" s="9">
        <v>0</v>
      </c>
      <c r="HU87" s="9">
        <v>0</v>
      </c>
      <c r="HV87" s="9">
        <v>0</v>
      </c>
      <c r="HW87" s="9">
        <v>0</v>
      </c>
      <c r="HX87" s="9">
        <v>0</v>
      </c>
      <c r="HY87" s="9">
        <v>0</v>
      </c>
      <c r="HZ87" s="9">
        <v>0</v>
      </c>
      <c r="IA87" s="9">
        <v>0</v>
      </c>
      <c r="IB87" s="9">
        <v>0</v>
      </c>
      <c r="IC87" s="9">
        <v>0</v>
      </c>
      <c r="ID87" s="9">
        <v>0</v>
      </c>
      <c r="IE87" s="9">
        <v>0</v>
      </c>
      <c r="IF87" s="9">
        <v>0</v>
      </c>
      <c r="IG87" s="9">
        <v>0</v>
      </c>
      <c r="IH87" s="9">
        <v>0</v>
      </c>
      <c r="II87" s="9">
        <v>0</v>
      </c>
      <c r="IJ87" s="9">
        <v>0</v>
      </c>
      <c r="IK87" s="9">
        <v>0</v>
      </c>
      <c r="IL87" s="9">
        <v>0</v>
      </c>
      <c r="IM87" s="9">
        <v>0</v>
      </c>
      <c r="IN87" s="9">
        <v>0</v>
      </c>
      <c r="IO87" s="9">
        <v>0</v>
      </c>
      <c r="IP87" s="9">
        <v>0</v>
      </c>
      <c r="IQ87" s="9">
        <v>0</v>
      </c>
      <c r="IR87" s="9">
        <v>0</v>
      </c>
      <c r="IS87" s="9">
        <v>0</v>
      </c>
      <c r="IT87" s="9">
        <v>0</v>
      </c>
      <c r="IU87" s="9">
        <v>0</v>
      </c>
      <c r="IV87" s="9">
        <v>0</v>
      </c>
      <c r="IW87" s="9">
        <v>0</v>
      </c>
      <c r="IX87" s="9">
        <v>0</v>
      </c>
      <c r="IY87" s="9">
        <v>0</v>
      </c>
      <c r="IZ87" s="9">
        <v>0</v>
      </c>
      <c r="JA87" s="9">
        <v>0</v>
      </c>
      <c r="JB87" s="9">
        <v>0</v>
      </c>
      <c r="JC87" s="9">
        <v>0</v>
      </c>
      <c r="JD87" s="9">
        <v>0</v>
      </c>
      <c r="JE87" s="9">
        <v>0</v>
      </c>
      <c r="JF87" s="9">
        <v>0</v>
      </c>
      <c r="JG87" s="9">
        <v>0</v>
      </c>
      <c r="JH87" s="9">
        <v>0</v>
      </c>
      <c r="JI87" s="9">
        <v>0</v>
      </c>
      <c r="JJ87" s="9">
        <v>0</v>
      </c>
      <c r="JK87" s="9">
        <v>0</v>
      </c>
      <c r="JL87" s="9">
        <v>0</v>
      </c>
      <c r="JM87" s="9">
        <v>0</v>
      </c>
      <c r="JN87" s="9">
        <v>36832</v>
      </c>
      <c r="JO87" s="9">
        <v>0</v>
      </c>
      <c r="JP87" s="9">
        <v>0</v>
      </c>
      <c r="JQ87" s="9">
        <v>0</v>
      </c>
      <c r="JR87" s="9">
        <v>0</v>
      </c>
      <c r="JS87" s="9">
        <v>0</v>
      </c>
      <c r="JT87" s="9">
        <v>0</v>
      </c>
      <c r="JU87" s="9">
        <v>0</v>
      </c>
      <c r="JV87" s="9">
        <v>0</v>
      </c>
      <c r="JW87" s="9">
        <v>0</v>
      </c>
      <c r="JX87" s="9">
        <v>0</v>
      </c>
      <c r="JY87" s="9">
        <v>0</v>
      </c>
      <c r="JZ87" s="9">
        <v>0</v>
      </c>
      <c r="KA87" s="9">
        <v>0</v>
      </c>
      <c r="KB87" s="9">
        <v>0</v>
      </c>
      <c r="KC87" s="9">
        <v>0</v>
      </c>
      <c r="KD87" s="9">
        <v>0</v>
      </c>
      <c r="KE87" s="9">
        <v>0</v>
      </c>
      <c r="KF87" s="9">
        <v>0</v>
      </c>
      <c r="KG87" s="9">
        <v>0</v>
      </c>
      <c r="KH87" s="9">
        <v>0</v>
      </c>
      <c r="KI87" s="9">
        <v>0</v>
      </c>
    </row>
    <row r="88" spans="1:295" x14ac:dyDescent="0.25">
      <c r="A88" s="9">
        <v>84804</v>
      </c>
      <c r="B88" s="9">
        <v>36871</v>
      </c>
      <c r="C88" s="9">
        <v>35</v>
      </c>
      <c r="D88" s="9">
        <v>2023</v>
      </c>
      <c r="E88" s="9">
        <v>5392</v>
      </c>
      <c r="F88" s="9">
        <v>0</v>
      </c>
      <c r="G88" s="9">
        <v>0</v>
      </c>
      <c r="H88" s="9">
        <v>223.66800000000001</v>
      </c>
      <c r="I88" s="9">
        <v>223.66800000000001</v>
      </c>
      <c r="J88" s="9">
        <v>226.16500000000002</v>
      </c>
      <c r="K88" s="9">
        <v>0</v>
      </c>
      <c r="L88" s="9">
        <v>6547</v>
      </c>
      <c r="M88" s="9">
        <v>0</v>
      </c>
      <c r="N88" s="9">
        <v>0</v>
      </c>
      <c r="O88" s="9">
        <v>0</v>
      </c>
      <c r="P88" s="9">
        <v>233.18900000000002</v>
      </c>
      <c r="Q88" s="9">
        <v>0</v>
      </c>
      <c r="R88" s="9">
        <v>113545</v>
      </c>
      <c r="S88" s="9">
        <v>486.92200000000003</v>
      </c>
      <c r="T88" s="9">
        <v>0</v>
      </c>
      <c r="U88" s="9">
        <v>113545</v>
      </c>
      <c r="V88" s="9">
        <v>0</v>
      </c>
      <c r="W88" s="9">
        <v>0</v>
      </c>
      <c r="X88" s="9">
        <v>0</v>
      </c>
      <c r="Y88" s="9">
        <v>0</v>
      </c>
      <c r="Z88" s="9">
        <v>0</v>
      </c>
      <c r="AA88" s="9">
        <v>1</v>
      </c>
      <c r="AB88" s="9">
        <v>1</v>
      </c>
      <c r="AC88" s="9">
        <v>0</v>
      </c>
      <c r="AD88" s="9" t="s">
        <v>314</v>
      </c>
      <c r="AE88" s="9">
        <v>0</v>
      </c>
      <c r="AF88" s="9">
        <v>0</v>
      </c>
      <c r="AG88" s="9">
        <v>0</v>
      </c>
      <c r="AH88" s="9">
        <v>0</v>
      </c>
      <c r="AI88" s="9">
        <v>0</v>
      </c>
      <c r="AJ88" s="9">
        <v>5104</v>
      </c>
      <c r="AK88" s="9" t="s">
        <v>651</v>
      </c>
      <c r="AL88" s="9" t="s">
        <v>64</v>
      </c>
      <c r="AM88" s="9">
        <v>0</v>
      </c>
      <c r="AN88" s="9">
        <v>0</v>
      </c>
      <c r="AO88" s="9">
        <v>0</v>
      </c>
      <c r="AP88" s="9">
        <v>0</v>
      </c>
      <c r="AQ88" s="9">
        <v>0</v>
      </c>
      <c r="AR88" s="9">
        <v>0</v>
      </c>
      <c r="AS88" s="9">
        <v>0</v>
      </c>
      <c r="AT88" s="9">
        <v>0</v>
      </c>
      <c r="AU88" s="9">
        <v>0</v>
      </c>
      <c r="AV88" s="9">
        <v>9946</v>
      </c>
      <c r="AW88" s="9">
        <v>2069348</v>
      </c>
      <c r="AX88" s="9">
        <v>2029478</v>
      </c>
      <c r="AY88" s="9">
        <v>2202542</v>
      </c>
      <c r="AZ88" s="9">
        <v>113545</v>
      </c>
      <c r="BA88" s="9">
        <v>0</v>
      </c>
      <c r="BB88" s="9">
        <v>8884</v>
      </c>
      <c r="BC88" s="9">
        <v>8884</v>
      </c>
      <c r="BD88" s="9">
        <v>11.308</v>
      </c>
      <c r="BE88" s="9">
        <v>0</v>
      </c>
      <c r="BF88" s="9">
        <v>1763650</v>
      </c>
      <c r="BG88" s="9">
        <v>0</v>
      </c>
      <c r="BH88" s="9">
        <v>0</v>
      </c>
      <c r="BI88" s="9">
        <v>0</v>
      </c>
      <c r="BJ88" s="9">
        <v>12</v>
      </c>
      <c r="BK88" s="9">
        <v>0</v>
      </c>
      <c r="BL88" s="9">
        <v>0</v>
      </c>
      <c r="BM88" s="9">
        <v>0</v>
      </c>
      <c r="BN88" s="9">
        <v>0</v>
      </c>
      <c r="BO88" s="9">
        <v>0</v>
      </c>
      <c r="BP88" s="9">
        <v>0</v>
      </c>
      <c r="BQ88" s="9">
        <v>5392</v>
      </c>
      <c r="BR88" s="9">
        <v>1</v>
      </c>
      <c r="BS88" s="9">
        <v>0</v>
      </c>
      <c r="BT88" s="9">
        <v>0</v>
      </c>
      <c r="BU88" s="9">
        <v>0</v>
      </c>
      <c r="BV88" s="9">
        <v>0</v>
      </c>
      <c r="BW88" s="9">
        <v>0</v>
      </c>
      <c r="BX88" s="9">
        <v>0</v>
      </c>
      <c r="BY88" s="9">
        <v>0</v>
      </c>
      <c r="BZ88" s="9">
        <v>0</v>
      </c>
      <c r="CA88" s="9">
        <v>0</v>
      </c>
      <c r="CB88" s="9">
        <v>0</v>
      </c>
      <c r="CC88" s="9">
        <v>0</v>
      </c>
      <c r="CD88" s="9">
        <v>0</v>
      </c>
      <c r="CE88" s="9">
        <v>0</v>
      </c>
      <c r="CF88" s="9">
        <v>0</v>
      </c>
      <c r="CG88" s="9">
        <v>0</v>
      </c>
      <c r="CH88" s="9">
        <v>39870</v>
      </c>
      <c r="CI88" s="9">
        <v>0</v>
      </c>
      <c r="CJ88" s="9">
        <v>4</v>
      </c>
      <c r="CK88" s="9">
        <v>0</v>
      </c>
      <c r="CL88" s="9">
        <v>0</v>
      </c>
      <c r="CM88" s="9">
        <v>0</v>
      </c>
      <c r="CN88" s="9">
        <v>0</v>
      </c>
      <c r="CO88" s="9">
        <v>0</v>
      </c>
      <c r="CP88" s="9">
        <v>0</v>
      </c>
      <c r="CQ88" s="9">
        <v>0</v>
      </c>
      <c r="CR88" s="9">
        <v>223.726</v>
      </c>
      <c r="CS88" s="9">
        <v>0</v>
      </c>
      <c r="CT88" s="9">
        <v>0</v>
      </c>
      <c r="CU88" s="9">
        <v>0</v>
      </c>
      <c r="CV88" s="9">
        <v>0</v>
      </c>
      <c r="CW88" s="9">
        <v>0</v>
      </c>
      <c r="CX88" s="9">
        <v>0</v>
      </c>
      <c r="CY88" s="9">
        <v>0</v>
      </c>
      <c r="CZ88" s="9">
        <v>0</v>
      </c>
      <c r="DA88" s="9">
        <v>1</v>
      </c>
      <c r="DB88" s="9">
        <v>1464354</v>
      </c>
      <c r="DC88" s="9">
        <v>0</v>
      </c>
      <c r="DD88" s="9">
        <v>0</v>
      </c>
      <c r="DE88" s="9">
        <v>287191</v>
      </c>
      <c r="DF88" s="9">
        <v>287191</v>
      </c>
      <c r="DG88" s="9">
        <v>219.33</v>
      </c>
      <c r="DH88" s="9">
        <v>0</v>
      </c>
      <c r="DI88" s="9">
        <v>0</v>
      </c>
      <c r="DJ88" s="9">
        <v>0</v>
      </c>
      <c r="DK88" s="9">
        <v>5392</v>
      </c>
      <c r="DL88" s="9">
        <v>0</v>
      </c>
      <c r="DM88" s="9">
        <v>51662</v>
      </c>
      <c r="DN88" s="9">
        <v>0</v>
      </c>
      <c r="DO88" s="9">
        <v>0</v>
      </c>
      <c r="DP88" s="9">
        <v>0</v>
      </c>
      <c r="DQ88" s="9">
        <v>0</v>
      </c>
      <c r="DR88" s="9">
        <v>0</v>
      </c>
      <c r="DS88" s="9">
        <v>0</v>
      </c>
      <c r="DT88" s="9">
        <v>0</v>
      </c>
      <c r="DU88" s="9">
        <v>0</v>
      </c>
      <c r="DV88" s="9">
        <v>0</v>
      </c>
      <c r="DW88" s="9">
        <v>0</v>
      </c>
      <c r="DX88" s="9">
        <v>0</v>
      </c>
      <c r="DY88" s="9">
        <v>0</v>
      </c>
      <c r="DZ88" s="9">
        <v>0</v>
      </c>
      <c r="EA88" s="9">
        <v>0</v>
      </c>
      <c r="EB88" s="9">
        <v>0</v>
      </c>
      <c r="EC88" s="9">
        <v>0</v>
      </c>
      <c r="ED88" s="9">
        <v>0</v>
      </c>
      <c r="EE88" s="9">
        <v>0</v>
      </c>
      <c r="EF88" s="9">
        <v>0</v>
      </c>
      <c r="EG88" s="9">
        <v>0</v>
      </c>
      <c r="EH88" s="9">
        <v>51662</v>
      </c>
      <c r="EI88" s="9">
        <v>0</v>
      </c>
      <c r="EJ88" s="9">
        <v>0</v>
      </c>
      <c r="EK88" s="9">
        <v>2.2970000000000002</v>
      </c>
      <c r="EL88" s="9">
        <v>0</v>
      </c>
      <c r="EM88" s="9">
        <v>0</v>
      </c>
      <c r="EN88" s="9">
        <v>0.2</v>
      </c>
      <c r="EO88" s="9">
        <v>0</v>
      </c>
      <c r="EP88" s="9">
        <v>0</v>
      </c>
      <c r="EQ88" s="9">
        <v>2.4970000000000003</v>
      </c>
      <c r="ER88" s="9">
        <v>0</v>
      </c>
      <c r="ES88" s="9">
        <v>7.891</v>
      </c>
      <c r="ET88" s="9">
        <v>0</v>
      </c>
      <c r="EU88" s="9">
        <v>113545</v>
      </c>
      <c r="EV88" s="9">
        <v>0</v>
      </c>
      <c r="EW88" s="9">
        <v>0</v>
      </c>
      <c r="EX88" s="9">
        <v>0</v>
      </c>
      <c r="EY88" s="9">
        <v>0</v>
      </c>
      <c r="EZ88" s="9">
        <v>1698546</v>
      </c>
      <c r="FA88" s="9">
        <v>0</v>
      </c>
      <c r="FB88" s="9">
        <v>1812091</v>
      </c>
      <c r="FC88" s="9">
        <v>0.97326799999999991</v>
      </c>
      <c r="FD88" s="9">
        <v>0</v>
      </c>
      <c r="FE88" s="9">
        <v>272832</v>
      </c>
      <c r="FF88" s="9">
        <v>58100</v>
      </c>
      <c r="FG88" s="9">
        <v>5.8088000000000001E-2</v>
      </c>
      <c r="FH88" s="9">
        <v>5.2622999999999996E-2</v>
      </c>
      <c r="FI88" s="9">
        <v>0</v>
      </c>
      <c r="FJ88" s="9">
        <v>0</v>
      </c>
      <c r="FK88" s="9">
        <v>345.56200000000001</v>
      </c>
      <c r="FL88" s="9">
        <v>2182893</v>
      </c>
      <c r="FM88" s="9">
        <v>0</v>
      </c>
      <c r="FN88" s="9">
        <v>0</v>
      </c>
      <c r="FO88" s="9">
        <v>0</v>
      </c>
      <c r="FP88" s="9">
        <v>0</v>
      </c>
      <c r="FQ88" s="9">
        <v>0</v>
      </c>
      <c r="FR88" s="9">
        <v>0</v>
      </c>
      <c r="FS88" s="9">
        <v>0</v>
      </c>
      <c r="FT88" s="9">
        <v>0</v>
      </c>
      <c r="FU88" s="9">
        <v>0</v>
      </c>
      <c r="FV88" s="9">
        <v>0</v>
      </c>
      <c r="FW88" s="9">
        <v>0</v>
      </c>
      <c r="FX88" s="9">
        <v>0</v>
      </c>
      <c r="FY88" s="9">
        <v>0</v>
      </c>
      <c r="FZ88" s="9">
        <v>0</v>
      </c>
      <c r="GA88" s="9">
        <v>0</v>
      </c>
      <c r="GB88" s="9">
        <v>0</v>
      </c>
      <c r="GC88" s="9">
        <v>0</v>
      </c>
      <c r="GD88" s="9">
        <v>0</v>
      </c>
      <c r="GE88" s="9">
        <v>0</v>
      </c>
      <c r="GF88" s="9">
        <v>0</v>
      </c>
      <c r="GG88" s="9">
        <v>0</v>
      </c>
      <c r="GH88" s="9">
        <v>0</v>
      </c>
      <c r="GI88" s="9">
        <v>0</v>
      </c>
      <c r="GJ88" s="9">
        <v>0</v>
      </c>
      <c r="GK88" s="9">
        <v>4971</v>
      </c>
      <c r="GL88" s="9">
        <v>4559</v>
      </c>
      <c r="GM88" s="9">
        <v>0</v>
      </c>
      <c r="GN88" s="9">
        <v>0</v>
      </c>
      <c r="GO88" s="9">
        <v>0</v>
      </c>
      <c r="GP88" s="9">
        <v>2143023</v>
      </c>
      <c r="GQ88" s="9">
        <v>2143023</v>
      </c>
      <c r="GR88" s="9">
        <v>0</v>
      </c>
      <c r="GS88" s="9">
        <v>0</v>
      </c>
      <c r="GT88" s="9">
        <v>0</v>
      </c>
      <c r="GU88" s="9">
        <v>0</v>
      </c>
      <c r="GV88" s="9">
        <v>0</v>
      </c>
      <c r="GW88" s="9">
        <v>0</v>
      </c>
      <c r="GX88" s="9">
        <v>0</v>
      </c>
      <c r="GY88" s="9">
        <v>0</v>
      </c>
      <c r="GZ88" s="9">
        <v>0</v>
      </c>
      <c r="HA88" s="9">
        <v>0</v>
      </c>
      <c r="HB88" s="9">
        <v>300501363</v>
      </c>
      <c r="HC88" s="9">
        <v>4.4742999999999998E-2</v>
      </c>
      <c r="HD88" s="9">
        <v>39870</v>
      </c>
      <c r="HE88" s="9">
        <v>0</v>
      </c>
      <c r="HF88" s="9">
        <v>0</v>
      </c>
      <c r="HG88" s="9">
        <v>0</v>
      </c>
      <c r="HH88" s="9">
        <v>0</v>
      </c>
      <c r="HI88" s="9">
        <v>0</v>
      </c>
      <c r="HJ88" s="9">
        <v>0</v>
      </c>
      <c r="HK88" s="9">
        <v>0</v>
      </c>
      <c r="HL88" s="9">
        <v>0</v>
      </c>
      <c r="HM88" s="9">
        <v>0</v>
      </c>
      <c r="HN88" s="9">
        <v>0</v>
      </c>
      <c r="HO88" s="9">
        <v>0</v>
      </c>
      <c r="HP88" s="9">
        <v>0</v>
      </c>
      <c r="HQ88" s="9">
        <v>0</v>
      </c>
      <c r="HR88" s="9">
        <v>0</v>
      </c>
      <c r="HS88" s="9">
        <v>0</v>
      </c>
      <c r="HT88" s="9">
        <v>0</v>
      </c>
      <c r="HU88" s="9">
        <v>0</v>
      </c>
      <c r="HV88" s="9">
        <v>0</v>
      </c>
      <c r="HW88" s="9">
        <v>0</v>
      </c>
      <c r="HX88" s="9">
        <v>0</v>
      </c>
      <c r="HY88" s="9">
        <v>0</v>
      </c>
      <c r="HZ88" s="9">
        <v>0</v>
      </c>
      <c r="IA88" s="9">
        <v>0</v>
      </c>
      <c r="IB88" s="9">
        <v>0</v>
      </c>
      <c r="IC88" s="9">
        <v>0</v>
      </c>
      <c r="ID88" s="9">
        <v>0</v>
      </c>
      <c r="IE88" s="9">
        <v>0</v>
      </c>
      <c r="IF88" s="9">
        <v>0</v>
      </c>
      <c r="IG88" s="9">
        <v>0</v>
      </c>
      <c r="IH88" s="9">
        <v>0</v>
      </c>
      <c r="II88" s="9">
        <v>0</v>
      </c>
      <c r="IJ88" s="9">
        <v>0</v>
      </c>
      <c r="IK88" s="9">
        <v>0</v>
      </c>
      <c r="IL88" s="9">
        <v>0</v>
      </c>
      <c r="IM88" s="9">
        <v>0</v>
      </c>
      <c r="IN88" s="9">
        <v>0</v>
      </c>
      <c r="IO88" s="9">
        <v>0</v>
      </c>
      <c r="IP88" s="9">
        <v>0</v>
      </c>
      <c r="IQ88" s="9">
        <v>0</v>
      </c>
      <c r="IR88" s="9">
        <v>0</v>
      </c>
      <c r="IS88" s="9">
        <v>0</v>
      </c>
      <c r="IT88" s="9">
        <v>0</v>
      </c>
      <c r="IU88" s="9">
        <v>0</v>
      </c>
      <c r="IV88" s="9">
        <v>0</v>
      </c>
      <c r="IW88" s="9">
        <v>0</v>
      </c>
      <c r="IX88" s="9">
        <v>0</v>
      </c>
      <c r="IY88" s="9">
        <v>0</v>
      </c>
      <c r="IZ88" s="9">
        <v>0</v>
      </c>
      <c r="JA88" s="9">
        <v>0</v>
      </c>
      <c r="JB88" s="9">
        <v>0</v>
      </c>
      <c r="JC88" s="9">
        <v>0</v>
      </c>
      <c r="JD88" s="9">
        <v>0</v>
      </c>
      <c r="JE88" s="9">
        <v>0</v>
      </c>
      <c r="JF88" s="9">
        <v>0</v>
      </c>
      <c r="JG88" s="9">
        <v>0</v>
      </c>
      <c r="JH88" s="9">
        <v>0</v>
      </c>
      <c r="JI88" s="9">
        <v>0</v>
      </c>
      <c r="JJ88" s="9">
        <v>0</v>
      </c>
      <c r="JK88" s="9">
        <v>0</v>
      </c>
      <c r="JL88" s="9">
        <v>0</v>
      </c>
      <c r="JM88" s="9">
        <v>0</v>
      </c>
      <c r="JN88" s="9">
        <v>36832</v>
      </c>
      <c r="JO88" s="9">
        <v>0</v>
      </c>
      <c r="JP88" s="9">
        <v>0</v>
      </c>
      <c r="JQ88" s="9">
        <v>0</v>
      </c>
      <c r="JR88" s="9">
        <v>0</v>
      </c>
      <c r="JS88" s="9">
        <v>0</v>
      </c>
      <c r="JT88" s="9">
        <v>0</v>
      </c>
      <c r="JU88" s="9">
        <v>0</v>
      </c>
      <c r="JV88" s="9">
        <v>0</v>
      </c>
      <c r="JW88" s="9">
        <v>0</v>
      </c>
      <c r="JX88" s="9">
        <v>0</v>
      </c>
      <c r="JY88" s="9">
        <v>0</v>
      </c>
      <c r="JZ88" s="9">
        <v>0</v>
      </c>
      <c r="KA88" s="9">
        <v>0</v>
      </c>
      <c r="KB88" s="9">
        <v>0</v>
      </c>
      <c r="KC88" s="9">
        <v>0</v>
      </c>
      <c r="KD88" s="9">
        <v>0</v>
      </c>
      <c r="KE88" s="9">
        <v>0</v>
      </c>
      <c r="KF88" s="9">
        <v>0</v>
      </c>
      <c r="KG88" s="9">
        <v>0</v>
      </c>
      <c r="KH88" s="9">
        <v>0</v>
      </c>
      <c r="KI88" s="9">
        <v>0</v>
      </c>
    </row>
    <row r="89" spans="1:295" x14ac:dyDescent="0.25">
      <c r="A89" s="9">
        <v>92801</v>
      </c>
      <c r="B89" s="9">
        <v>36871</v>
      </c>
      <c r="C89" s="9">
        <v>35</v>
      </c>
      <c r="D89" s="9">
        <v>2023</v>
      </c>
      <c r="E89" s="9">
        <v>5392</v>
      </c>
      <c r="F89" s="9">
        <v>0</v>
      </c>
      <c r="G89" s="9">
        <v>0</v>
      </c>
      <c r="H89" s="9">
        <v>100.24900000000001</v>
      </c>
      <c r="I89" s="9">
        <v>100.24900000000001</v>
      </c>
      <c r="J89" s="9">
        <v>131.12900000000002</v>
      </c>
      <c r="K89" s="9">
        <v>0</v>
      </c>
      <c r="L89" s="9">
        <v>6547</v>
      </c>
      <c r="M89" s="9">
        <v>0</v>
      </c>
      <c r="N89" s="9">
        <v>0</v>
      </c>
      <c r="O89" s="9">
        <v>0</v>
      </c>
      <c r="P89" s="9">
        <v>133.22900000000001</v>
      </c>
      <c r="Q89" s="9">
        <v>0</v>
      </c>
      <c r="R89" s="9">
        <v>64872</v>
      </c>
      <c r="S89" s="9">
        <v>486.92200000000003</v>
      </c>
      <c r="T89" s="9">
        <v>0</v>
      </c>
      <c r="U89" s="9">
        <v>64872</v>
      </c>
      <c r="V89" s="9">
        <v>0</v>
      </c>
      <c r="W89" s="9">
        <v>0</v>
      </c>
      <c r="X89" s="9">
        <v>0</v>
      </c>
      <c r="Y89" s="9">
        <v>0</v>
      </c>
      <c r="Z89" s="9">
        <v>0</v>
      </c>
      <c r="AA89" s="9">
        <v>1</v>
      </c>
      <c r="AB89" s="9">
        <v>1</v>
      </c>
      <c r="AC89" s="9">
        <v>0</v>
      </c>
      <c r="AD89" s="9" t="s">
        <v>314</v>
      </c>
      <c r="AE89" s="9">
        <v>0</v>
      </c>
      <c r="AF89" s="9">
        <v>0</v>
      </c>
      <c r="AG89" s="9">
        <v>0</v>
      </c>
      <c r="AH89" s="9">
        <v>0</v>
      </c>
      <c r="AI89" s="9">
        <v>0</v>
      </c>
      <c r="AJ89" s="9">
        <v>5104</v>
      </c>
      <c r="AK89" s="9" t="s">
        <v>651</v>
      </c>
      <c r="AL89" s="9" t="s">
        <v>28</v>
      </c>
      <c r="AM89" s="9">
        <v>0</v>
      </c>
      <c r="AN89" s="9">
        <v>0</v>
      </c>
      <c r="AO89" s="9">
        <v>0</v>
      </c>
      <c r="AP89" s="9">
        <v>0</v>
      </c>
      <c r="AQ89" s="9">
        <v>0</v>
      </c>
      <c r="AR89" s="9">
        <v>0</v>
      </c>
      <c r="AS89" s="9">
        <v>0</v>
      </c>
      <c r="AT89" s="9">
        <v>0</v>
      </c>
      <c r="AU89" s="9">
        <v>0</v>
      </c>
      <c r="AV89" s="9">
        <v>-2255</v>
      </c>
      <c r="AW89" s="9">
        <v>1252436</v>
      </c>
      <c r="AX89" s="9">
        <v>1193059</v>
      </c>
      <c r="AY89" s="9">
        <v>1313530</v>
      </c>
      <c r="AZ89" s="9">
        <v>100133</v>
      </c>
      <c r="BA89" s="9">
        <v>2</v>
      </c>
      <c r="BB89" s="9">
        <v>0</v>
      </c>
      <c r="BC89" s="9">
        <v>0</v>
      </c>
      <c r="BD89" s="9">
        <v>0</v>
      </c>
      <c r="BE89" s="9">
        <v>0</v>
      </c>
      <c r="BF89" s="9">
        <v>1035244</v>
      </c>
      <c r="BG89" s="9">
        <v>0</v>
      </c>
      <c r="BH89" s="9">
        <v>128.22200000000001</v>
      </c>
      <c r="BI89" s="9">
        <v>35261</v>
      </c>
      <c r="BJ89" s="9">
        <v>12</v>
      </c>
      <c r="BK89" s="9">
        <v>0</v>
      </c>
      <c r="BL89" s="9">
        <v>0</v>
      </c>
      <c r="BM89" s="9">
        <v>0</v>
      </c>
      <c r="BN89" s="9">
        <v>0</v>
      </c>
      <c r="BO89" s="9">
        <v>0</v>
      </c>
      <c r="BP89" s="9">
        <v>0</v>
      </c>
      <c r="BQ89" s="9">
        <v>5392</v>
      </c>
      <c r="BR89" s="9">
        <v>1</v>
      </c>
      <c r="BS89" s="9">
        <v>0</v>
      </c>
      <c r="BT89" s="9">
        <v>0</v>
      </c>
      <c r="BU89" s="9">
        <v>0</v>
      </c>
      <c r="BV89" s="9">
        <v>0</v>
      </c>
      <c r="BW89" s="9">
        <v>0</v>
      </c>
      <c r="BX89" s="9">
        <v>0</v>
      </c>
      <c r="BY89" s="9">
        <v>0</v>
      </c>
      <c r="BZ89" s="9">
        <v>0</v>
      </c>
      <c r="CA89" s="9">
        <v>0</v>
      </c>
      <c r="CB89" s="9">
        <v>0</v>
      </c>
      <c r="CC89" s="9">
        <v>0</v>
      </c>
      <c r="CD89" s="9">
        <v>0</v>
      </c>
      <c r="CE89" s="9">
        <v>0</v>
      </c>
      <c r="CF89" s="9">
        <v>0</v>
      </c>
      <c r="CG89" s="9">
        <v>0</v>
      </c>
      <c r="CH89" s="9">
        <v>24116</v>
      </c>
      <c r="CI89" s="9">
        <v>0</v>
      </c>
      <c r="CJ89" s="9">
        <v>4</v>
      </c>
      <c r="CK89" s="9">
        <v>0</v>
      </c>
      <c r="CL89" s="9">
        <v>0</v>
      </c>
      <c r="CM89" s="9">
        <v>0</v>
      </c>
      <c r="CN89" s="9">
        <v>0</v>
      </c>
      <c r="CO89" s="9">
        <v>0</v>
      </c>
      <c r="CP89" s="9">
        <v>0</v>
      </c>
      <c r="CQ89" s="9">
        <v>0</v>
      </c>
      <c r="CR89" s="9">
        <v>133.22900000000001</v>
      </c>
      <c r="CS89" s="9">
        <v>0</v>
      </c>
      <c r="CT89" s="9">
        <v>0</v>
      </c>
      <c r="CU89" s="9">
        <v>0</v>
      </c>
      <c r="CV89" s="9">
        <v>0</v>
      </c>
      <c r="CW89" s="9">
        <v>0</v>
      </c>
      <c r="CX89" s="9">
        <v>0</v>
      </c>
      <c r="CY89" s="9">
        <v>0</v>
      </c>
      <c r="CZ89" s="9">
        <v>0</v>
      </c>
      <c r="DA89" s="9">
        <v>1</v>
      </c>
      <c r="DB89" s="9">
        <v>656330</v>
      </c>
      <c r="DC89" s="9">
        <v>0</v>
      </c>
      <c r="DD89" s="9">
        <v>0</v>
      </c>
      <c r="DE89" s="9">
        <v>58268</v>
      </c>
      <c r="DF89" s="9">
        <v>58268</v>
      </c>
      <c r="DG89" s="9">
        <v>44.5</v>
      </c>
      <c r="DH89" s="9">
        <v>0</v>
      </c>
      <c r="DI89" s="9">
        <v>0</v>
      </c>
      <c r="DJ89" s="9">
        <v>0</v>
      </c>
      <c r="DK89" s="9">
        <v>5392</v>
      </c>
      <c r="DL89" s="9">
        <v>0</v>
      </c>
      <c r="DM89" s="9">
        <v>76334</v>
      </c>
      <c r="DN89" s="9">
        <v>0</v>
      </c>
      <c r="DO89" s="9">
        <v>0</v>
      </c>
      <c r="DP89" s="9">
        <v>0</v>
      </c>
      <c r="DQ89" s="9">
        <v>0</v>
      </c>
      <c r="DR89" s="9">
        <v>0</v>
      </c>
      <c r="DS89" s="9">
        <v>0</v>
      </c>
      <c r="DT89" s="9">
        <v>0</v>
      </c>
      <c r="DU89" s="9">
        <v>0</v>
      </c>
      <c r="DV89" s="9">
        <v>0</v>
      </c>
      <c r="DW89" s="9">
        <v>0</v>
      </c>
      <c r="DX89" s="9">
        <v>0</v>
      </c>
      <c r="DY89" s="9">
        <v>0</v>
      </c>
      <c r="DZ89" s="9">
        <v>0</v>
      </c>
      <c r="EA89" s="9">
        <v>0</v>
      </c>
      <c r="EB89" s="9">
        <v>0</v>
      </c>
      <c r="EC89" s="9">
        <v>10.504000000000001</v>
      </c>
      <c r="ED89" s="9">
        <v>75647</v>
      </c>
      <c r="EE89" s="9">
        <v>0</v>
      </c>
      <c r="EF89" s="9">
        <v>0</v>
      </c>
      <c r="EG89" s="9">
        <v>0</v>
      </c>
      <c r="EH89" s="9">
        <v>687</v>
      </c>
      <c r="EI89" s="9">
        <v>0</v>
      </c>
      <c r="EJ89" s="9">
        <v>0</v>
      </c>
      <c r="EK89" s="9">
        <v>0</v>
      </c>
      <c r="EL89" s="9">
        <v>0</v>
      </c>
      <c r="EM89" s="9">
        <v>0</v>
      </c>
      <c r="EN89" s="9">
        <v>2.1000000000000001E-2</v>
      </c>
      <c r="EO89" s="9">
        <v>0</v>
      </c>
      <c r="EP89" s="9">
        <v>0</v>
      </c>
      <c r="EQ89" s="9">
        <v>2.1000000000000001E-2</v>
      </c>
      <c r="ER89" s="9">
        <v>0</v>
      </c>
      <c r="ES89" s="9">
        <v>0.10500000000000001</v>
      </c>
      <c r="ET89" s="9">
        <v>1000</v>
      </c>
      <c r="EU89" s="9">
        <v>100133</v>
      </c>
      <c r="EV89" s="9">
        <v>0</v>
      </c>
      <c r="EW89" s="9">
        <v>0</v>
      </c>
      <c r="EX89" s="9">
        <v>0</v>
      </c>
      <c r="EY89" s="9">
        <v>0</v>
      </c>
      <c r="EZ89" s="9">
        <v>998806</v>
      </c>
      <c r="FA89" s="9">
        <v>0</v>
      </c>
      <c r="FB89" s="9">
        <v>1098939</v>
      </c>
      <c r="FC89" s="9">
        <v>0.97326799999999991</v>
      </c>
      <c r="FD89" s="9">
        <v>0</v>
      </c>
      <c r="FE89" s="9">
        <v>160149</v>
      </c>
      <c r="FF89" s="9">
        <v>34104</v>
      </c>
      <c r="FG89" s="9">
        <v>5.8088000000000001E-2</v>
      </c>
      <c r="FH89" s="9">
        <v>5.2622999999999996E-2</v>
      </c>
      <c r="FI89" s="9">
        <v>0</v>
      </c>
      <c r="FJ89" s="9">
        <v>0</v>
      </c>
      <c r="FK89" s="9">
        <v>202.84100000000001</v>
      </c>
      <c r="FL89" s="9">
        <v>1317308</v>
      </c>
      <c r="FM89" s="9">
        <v>0</v>
      </c>
      <c r="FN89" s="9">
        <v>0</v>
      </c>
      <c r="FO89" s="9">
        <v>0</v>
      </c>
      <c r="FP89" s="9">
        <v>0</v>
      </c>
      <c r="FQ89" s="9">
        <v>0</v>
      </c>
      <c r="FR89" s="9">
        <v>0</v>
      </c>
      <c r="FS89" s="9">
        <v>0</v>
      </c>
      <c r="FT89" s="9">
        <v>0</v>
      </c>
      <c r="FU89" s="9">
        <v>0</v>
      </c>
      <c r="FV89" s="9">
        <v>0</v>
      </c>
      <c r="FW89" s="9">
        <v>0</v>
      </c>
      <c r="FX89" s="9">
        <v>0</v>
      </c>
      <c r="FY89" s="9">
        <v>0</v>
      </c>
      <c r="FZ89" s="9">
        <v>0</v>
      </c>
      <c r="GA89" s="9">
        <v>0</v>
      </c>
      <c r="GB89" s="9">
        <v>272746</v>
      </c>
      <c r="GC89" s="9">
        <v>272746</v>
      </c>
      <c r="GD89" s="9">
        <v>30.859000000000002</v>
      </c>
      <c r="GE89" s="9">
        <v>0</v>
      </c>
      <c r="GF89" s="9">
        <v>0</v>
      </c>
      <c r="GG89" s="9">
        <v>0</v>
      </c>
      <c r="GH89" s="9">
        <v>0</v>
      </c>
      <c r="GI89" s="9">
        <v>0</v>
      </c>
      <c r="GJ89" s="9">
        <v>0</v>
      </c>
      <c r="GK89" s="9">
        <v>5224</v>
      </c>
      <c r="GL89" s="9">
        <v>4981</v>
      </c>
      <c r="GM89" s="9">
        <v>0</v>
      </c>
      <c r="GN89" s="9">
        <v>0</v>
      </c>
      <c r="GO89" s="9">
        <v>0</v>
      </c>
      <c r="GP89" s="9">
        <v>1293192</v>
      </c>
      <c r="GQ89" s="9">
        <v>1293192</v>
      </c>
      <c r="GR89" s="9">
        <v>0</v>
      </c>
      <c r="GS89" s="9">
        <v>0</v>
      </c>
      <c r="GT89" s="9">
        <v>0</v>
      </c>
      <c r="GU89" s="9">
        <v>0</v>
      </c>
      <c r="GV89" s="9">
        <v>0</v>
      </c>
      <c r="GW89" s="9">
        <v>0</v>
      </c>
      <c r="GX89" s="9">
        <v>0</v>
      </c>
      <c r="GY89" s="9">
        <v>0</v>
      </c>
      <c r="GZ89" s="9">
        <v>0</v>
      </c>
      <c r="HA89" s="9">
        <v>0</v>
      </c>
      <c r="HB89" s="9">
        <v>300501363</v>
      </c>
      <c r="HC89" s="9">
        <v>4.4742999999999998E-2</v>
      </c>
      <c r="HD89" s="9">
        <v>23116</v>
      </c>
      <c r="HE89" s="9">
        <v>0</v>
      </c>
      <c r="HF89" s="9">
        <v>0</v>
      </c>
      <c r="HG89" s="9">
        <v>0</v>
      </c>
      <c r="HH89" s="9">
        <v>0</v>
      </c>
      <c r="HI89" s="9">
        <v>0</v>
      </c>
      <c r="HJ89" s="9">
        <v>0</v>
      </c>
      <c r="HK89" s="9">
        <v>0</v>
      </c>
      <c r="HL89" s="9">
        <v>0</v>
      </c>
      <c r="HM89" s="9">
        <v>0</v>
      </c>
      <c r="HN89" s="9">
        <v>0</v>
      </c>
      <c r="HO89" s="9">
        <v>0</v>
      </c>
      <c r="HP89" s="9">
        <v>0</v>
      </c>
      <c r="HQ89" s="9">
        <v>0</v>
      </c>
      <c r="HR89" s="9">
        <v>0</v>
      </c>
      <c r="HS89" s="9">
        <v>0</v>
      </c>
      <c r="HT89" s="9">
        <v>0</v>
      </c>
      <c r="HU89" s="9">
        <v>0</v>
      </c>
      <c r="HV89" s="9">
        <v>0</v>
      </c>
      <c r="HW89" s="9">
        <v>0</v>
      </c>
      <c r="HX89" s="9">
        <v>0</v>
      </c>
      <c r="HY89" s="9">
        <v>0</v>
      </c>
      <c r="HZ89" s="9">
        <v>0</v>
      </c>
      <c r="IA89" s="9">
        <v>0</v>
      </c>
      <c r="IB89" s="9">
        <v>0</v>
      </c>
      <c r="IC89" s="9">
        <v>0</v>
      </c>
      <c r="ID89" s="9">
        <v>0</v>
      </c>
      <c r="IE89" s="9">
        <v>0</v>
      </c>
      <c r="IF89" s="9">
        <v>0</v>
      </c>
      <c r="IG89" s="9">
        <v>0</v>
      </c>
      <c r="IH89" s="9">
        <v>0</v>
      </c>
      <c r="II89" s="9">
        <v>0</v>
      </c>
      <c r="IJ89" s="9">
        <v>0</v>
      </c>
      <c r="IK89" s="9">
        <v>0</v>
      </c>
      <c r="IL89" s="9">
        <v>0</v>
      </c>
      <c r="IM89" s="9">
        <v>0</v>
      </c>
      <c r="IN89" s="9">
        <v>0</v>
      </c>
      <c r="IO89" s="9">
        <v>0</v>
      </c>
      <c r="IP89" s="9">
        <v>0</v>
      </c>
      <c r="IQ89" s="9">
        <v>0</v>
      </c>
      <c r="IR89" s="9">
        <v>0</v>
      </c>
      <c r="IS89" s="9">
        <v>0</v>
      </c>
      <c r="IT89" s="9">
        <v>0</v>
      </c>
      <c r="IU89" s="9">
        <v>0</v>
      </c>
      <c r="IV89" s="9">
        <v>0</v>
      </c>
      <c r="IW89" s="9">
        <v>0</v>
      </c>
      <c r="IX89" s="9">
        <v>0</v>
      </c>
      <c r="IY89" s="9">
        <v>0</v>
      </c>
      <c r="IZ89" s="9">
        <v>0</v>
      </c>
      <c r="JA89" s="9">
        <v>0</v>
      </c>
      <c r="JB89" s="9">
        <v>0</v>
      </c>
      <c r="JC89" s="9">
        <v>0</v>
      </c>
      <c r="JD89" s="9">
        <v>0</v>
      </c>
      <c r="JE89" s="9">
        <v>0</v>
      </c>
      <c r="JF89" s="9">
        <v>0</v>
      </c>
      <c r="JG89" s="9">
        <v>0</v>
      </c>
      <c r="JH89" s="9">
        <v>0</v>
      </c>
      <c r="JI89" s="9">
        <v>0</v>
      </c>
      <c r="JJ89" s="9">
        <v>0</v>
      </c>
      <c r="JK89" s="9">
        <v>0</v>
      </c>
      <c r="JL89" s="9">
        <v>0</v>
      </c>
      <c r="JM89" s="9">
        <v>0</v>
      </c>
      <c r="JN89" s="9">
        <v>36832</v>
      </c>
      <c r="JO89" s="9">
        <v>0</v>
      </c>
      <c r="JP89" s="9">
        <v>0</v>
      </c>
      <c r="JQ89" s="9">
        <v>0</v>
      </c>
      <c r="JR89" s="9">
        <v>0</v>
      </c>
      <c r="JS89" s="9">
        <v>0</v>
      </c>
      <c r="JT89" s="9">
        <v>0</v>
      </c>
      <c r="JU89" s="9">
        <v>0</v>
      </c>
      <c r="JV89" s="9">
        <v>0</v>
      </c>
      <c r="JW89" s="9">
        <v>0</v>
      </c>
      <c r="JX89" s="9">
        <v>0</v>
      </c>
      <c r="JY89" s="9">
        <v>0</v>
      </c>
      <c r="JZ89" s="9">
        <v>0</v>
      </c>
      <c r="KA89" s="9">
        <v>0</v>
      </c>
      <c r="KB89" s="9">
        <v>0</v>
      </c>
      <c r="KC89" s="9">
        <v>0</v>
      </c>
      <c r="KD89" s="9">
        <v>0</v>
      </c>
      <c r="KE89" s="9">
        <v>0</v>
      </c>
      <c r="KF89" s="9">
        <v>0</v>
      </c>
      <c r="KG89" s="9">
        <v>0</v>
      </c>
      <c r="KH89" s="9">
        <v>0</v>
      </c>
      <c r="KI89" s="9">
        <v>0</v>
      </c>
    </row>
    <row r="90" spans="1:295" x14ac:dyDescent="0.25">
      <c r="A90" s="9">
        <v>101802</v>
      </c>
      <c r="B90" s="9">
        <v>36871</v>
      </c>
      <c r="C90" s="9">
        <v>35</v>
      </c>
      <c r="D90" s="9">
        <v>2023</v>
      </c>
      <c r="E90" s="9">
        <v>5392</v>
      </c>
      <c r="F90" s="9">
        <v>0</v>
      </c>
      <c r="G90" s="9">
        <v>0</v>
      </c>
      <c r="H90" s="9">
        <v>952.98800000000006</v>
      </c>
      <c r="I90" s="9">
        <v>952.98800000000006</v>
      </c>
      <c r="J90" s="9">
        <v>967.52200000000005</v>
      </c>
      <c r="K90" s="9">
        <v>0</v>
      </c>
      <c r="L90" s="9">
        <v>6547</v>
      </c>
      <c r="M90" s="9">
        <v>0</v>
      </c>
      <c r="N90" s="9">
        <v>0</v>
      </c>
      <c r="O90" s="9">
        <v>0</v>
      </c>
      <c r="P90" s="9">
        <v>1021.009</v>
      </c>
      <c r="Q90" s="9">
        <v>0</v>
      </c>
      <c r="R90" s="9">
        <v>497152</v>
      </c>
      <c r="S90" s="9">
        <v>486.92200000000003</v>
      </c>
      <c r="T90" s="9">
        <v>0</v>
      </c>
      <c r="U90" s="9">
        <v>497152</v>
      </c>
      <c r="V90" s="9">
        <v>1791.9770000000001</v>
      </c>
      <c r="W90" s="9">
        <v>1173207</v>
      </c>
      <c r="X90" s="9">
        <v>1173207</v>
      </c>
      <c r="Y90" s="9">
        <v>0</v>
      </c>
      <c r="Z90" s="9">
        <v>0</v>
      </c>
      <c r="AA90" s="9">
        <v>1</v>
      </c>
      <c r="AB90" s="9">
        <v>1</v>
      </c>
      <c r="AC90" s="9">
        <v>0</v>
      </c>
      <c r="AD90" s="9" t="s">
        <v>314</v>
      </c>
      <c r="AE90" s="9">
        <v>0</v>
      </c>
      <c r="AF90" s="9">
        <v>0</v>
      </c>
      <c r="AG90" s="9">
        <v>0</v>
      </c>
      <c r="AH90" s="9">
        <v>0</v>
      </c>
      <c r="AI90" s="9">
        <v>0</v>
      </c>
      <c r="AJ90" s="9">
        <v>5104</v>
      </c>
      <c r="AK90" s="9" t="s">
        <v>651</v>
      </c>
      <c r="AL90" s="9" t="s">
        <v>50</v>
      </c>
      <c r="AM90" s="9">
        <v>0</v>
      </c>
      <c r="AN90" s="9">
        <v>0</v>
      </c>
      <c r="AO90" s="9">
        <v>0</v>
      </c>
      <c r="AP90" s="9">
        <v>0</v>
      </c>
      <c r="AQ90" s="9">
        <v>0</v>
      </c>
      <c r="AR90" s="9">
        <v>0</v>
      </c>
      <c r="AS90" s="9">
        <v>0</v>
      </c>
      <c r="AT90" s="9">
        <v>0</v>
      </c>
      <c r="AU90" s="9">
        <v>0</v>
      </c>
      <c r="AV90" s="9">
        <v>-1111020</v>
      </c>
      <c r="AW90" s="9">
        <v>10612269</v>
      </c>
      <c r="AX90" s="9">
        <v>10441707</v>
      </c>
      <c r="AY90" s="9">
        <v>10877374</v>
      </c>
      <c r="AZ90" s="9">
        <v>497152</v>
      </c>
      <c r="BA90" s="9">
        <v>0</v>
      </c>
      <c r="BB90" s="9">
        <v>0</v>
      </c>
      <c r="BC90" s="9">
        <v>0</v>
      </c>
      <c r="BD90" s="9">
        <v>0</v>
      </c>
      <c r="BE90" s="9">
        <v>0</v>
      </c>
      <c r="BF90" s="9">
        <v>9002389</v>
      </c>
      <c r="BG90" s="9">
        <v>0</v>
      </c>
      <c r="BH90" s="9">
        <v>0</v>
      </c>
      <c r="BI90" s="9">
        <v>0</v>
      </c>
      <c r="BJ90" s="9">
        <v>12</v>
      </c>
      <c r="BK90" s="9">
        <v>0</v>
      </c>
      <c r="BL90" s="9">
        <v>0</v>
      </c>
      <c r="BM90" s="9">
        <v>0</v>
      </c>
      <c r="BN90" s="9">
        <v>0</v>
      </c>
      <c r="BO90" s="9">
        <v>0</v>
      </c>
      <c r="BP90" s="9">
        <v>0</v>
      </c>
      <c r="BQ90" s="9">
        <v>5392</v>
      </c>
      <c r="BR90" s="9">
        <v>1</v>
      </c>
      <c r="BS90" s="9">
        <v>0</v>
      </c>
      <c r="BT90" s="9">
        <v>0</v>
      </c>
      <c r="BU90" s="9">
        <v>0</v>
      </c>
      <c r="BV90" s="9">
        <v>0</v>
      </c>
      <c r="BW90" s="9">
        <v>0</v>
      </c>
      <c r="BX90" s="9">
        <v>0</v>
      </c>
      <c r="BY90" s="9">
        <v>0</v>
      </c>
      <c r="BZ90" s="9">
        <v>0</v>
      </c>
      <c r="CA90" s="9">
        <v>0</v>
      </c>
      <c r="CB90" s="9">
        <v>0</v>
      </c>
      <c r="CC90" s="9">
        <v>0</v>
      </c>
      <c r="CD90" s="9">
        <v>0</v>
      </c>
      <c r="CE90" s="9">
        <v>0</v>
      </c>
      <c r="CF90" s="9">
        <v>0</v>
      </c>
      <c r="CG90" s="9">
        <v>0</v>
      </c>
      <c r="CH90" s="9">
        <v>170562</v>
      </c>
      <c r="CI90" s="9">
        <v>0</v>
      </c>
      <c r="CJ90" s="9">
        <v>4</v>
      </c>
      <c r="CK90" s="9">
        <v>0</v>
      </c>
      <c r="CL90" s="9">
        <v>0</v>
      </c>
      <c r="CM90" s="9">
        <v>0</v>
      </c>
      <c r="CN90" s="9">
        <v>0</v>
      </c>
      <c r="CO90" s="9">
        <v>0</v>
      </c>
      <c r="CP90" s="9">
        <v>0</v>
      </c>
      <c r="CQ90" s="9">
        <v>0</v>
      </c>
      <c r="CR90" s="9">
        <v>963.69800000000009</v>
      </c>
      <c r="CS90" s="9">
        <v>0</v>
      </c>
      <c r="CT90" s="9">
        <v>0</v>
      </c>
      <c r="CU90" s="9">
        <v>0</v>
      </c>
      <c r="CV90" s="9">
        <v>0</v>
      </c>
      <c r="CW90" s="9">
        <v>0</v>
      </c>
      <c r="CX90" s="9">
        <v>0</v>
      </c>
      <c r="CY90" s="9">
        <v>0</v>
      </c>
      <c r="CZ90" s="9">
        <v>0</v>
      </c>
      <c r="DA90" s="9">
        <v>1</v>
      </c>
      <c r="DB90" s="9">
        <v>6239212</v>
      </c>
      <c r="DC90" s="9">
        <v>0</v>
      </c>
      <c r="DD90" s="9">
        <v>0</v>
      </c>
      <c r="DE90" s="9">
        <v>1489220</v>
      </c>
      <c r="DF90" s="9">
        <v>1489220</v>
      </c>
      <c r="DG90" s="9">
        <v>1137.33</v>
      </c>
      <c r="DH90" s="9">
        <v>0</v>
      </c>
      <c r="DI90" s="9">
        <v>0</v>
      </c>
      <c r="DJ90" s="9">
        <v>0</v>
      </c>
      <c r="DK90" s="9">
        <v>5392</v>
      </c>
      <c r="DL90" s="9">
        <v>0</v>
      </c>
      <c r="DM90" s="9">
        <v>348012</v>
      </c>
      <c r="DN90" s="9">
        <v>0</v>
      </c>
      <c r="DO90" s="9">
        <v>0</v>
      </c>
      <c r="DP90" s="9">
        <v>0</v>
      </c>
      <c r="DQ90" s="9">
        <v>0</v>
      </c>
      <c r="DR90" s="9">
        <v>0</v>
      </c>
      <c r="DS90" s="9">
        <v>0</v>
      </c>
      <c r="DT90" s="9">
        <v>0</v>
      </c>
      <c r="DU90" s="9">
        <v>0</v>
      </c>
      <c r="DV90" s="9">
        <v>0</v>
      </c>
      <c r="DW90" s="9">
        <v>0</v>
      </c>
      <c r="DX90" s="9">
        <v>0</v>
      </c>
      <c r="DY90" s="9">
        <v>0</v>
      </c>
      <c r="DZ90" s="9">
        <v>0</v>
      </c>
      <c r="EA90" s="9">
        <v>0</v>
      </c>
      <c r="EB90" s="9">
        <v>0</v>
      </c>
      <c r="EC90" s="9">
        <v>4.5890000000000004</v>
      </c>
      <c r="ED90" s="9">
        <v>33049</v>
      </c>
      <c r="EE90" s="9">
        <v>0</v>
      </c>
      <c r="EF90" s="9">
        <v>0</v>
      </c>
      <c r="EG90" s="9">
        <v>0</v>
      </c>
      <c r="EH90" s="9">
        <v>314963</v>
      </c>
      <c r="EI90" s="9">
        <v>0</v>
      </c>
      <c r="EJ90" s="9">
        <v>0</v>
      </c>
      <c r="EK90" s="9">
        <v>12.281000000000001</v>
      </c>
      <c r="EL90" s="9">
        <v>0</v>
      </c>
      <c r="EM90" s="9">
        <v>0</v>
      </c>
      <c r="EN90" s="9">
        <v>2.2530000000000001</v>
      </c>
      <c r="EO90" s="9">
        <v>0</v>
      </c>
      <c r="EP90" s="9">
        <v>0</v>
      </c>
      <c r="EQ90" s="9">
        <v>14.534000000000001</v>
      </c>
      <c r="ER90" s="9">
        <v>0</v>
      </c>
      <c r="ES90" s="9">
        <v>48.108000000000004</v>
      </c>
      <c r="ET90" s="9">
        <v>0</v>
      </c>
      <c r="EU90" s="9">
        <v>497152</v>
      </c>
      <c r="EV90" s="9">
        <v>0</v>
      </c>
      <c r="EW90" s="9">
        <v>0</v>
      </c>
      <c r="EX90" s="9">
        <v>0</v>
      </c>
      <c r="EY90" s="9">
        <v>0</v>
      </c>
      <c r="EZ90" s="9">
        <v>8752499</v>
      </c>
      <c r="FA90" s="9">
        <v>0</v>
      </c>
      <c r="FB90" s="9">
        <v>9249651</v>
      </c>
      <c r="FC90" s="9">
        <v>0.97326799999999991</v>
      </c>
      <c r="FD90" s="9">
        <v>0</v>
      </c>
      <c r="FE90" s="9">
        <v>1392645</v>
      </c>
      <c r="FF90" s="9">
        <v>296563</v>
      </c>
      <c r="FG90" s="9">
        <v>5.8088000000000001E-2</v>
      </c>
      <c r="FH90" s="9">
        <v>5.2622999999999996E-2</v>
      </c>
      <c r="FI90" s="9">
        <v>0</v>
      </c>
      <c r="FJ90" s="9">
        <v>0</v>
      </c>
      <c r="FK90" s="9">
        <v>1763.8870000000002</v>
      </c>
      <c r="FL90" s="9">
        <v>11109421</v>
      </c>
      <c r="FM90" s="9">
        <v>0</v>
      </c>
      <c r="FN90" s="9">
        <v>0</v>
      </c>
      <c r="FO90" s="9">
        <v>0</v>
      </c>
      <c r="FP90" s="9">
        <v>0</v>
      </c>
      <c r="FQ90" s="9">
        <v>0</v>
      </c>
      <c r="FR90" s="9">
        <v>0</v>
      </c>
      <c r="FS90" s="9">
        <v>0</v>
      </c>
      <c r="FT90" s="9">
        <v>0</v>
      </c>
      <c r="FU90" s="9">
        <v>0</v>
      </c>
      <c r="FV90" s="9">
        <v>0</v>
      </c>
      <c r="FW90" s="9">
        <v>0</v>
      </c>
      <c r="FX90" s="9">
        <v>0</v>
      </c>
      <c r="FY90" s="9">
        <v>0</v>
      </c>
      <c r="FZ90" s="9">
        <v>0</v>
      </c>
      <c r="GA90" s="9">
        <v>0</v>
      </c>
      <c r="GB90" s="9">
        <v>0</v>
      </c>
      <c r="GC90" s="9">
        <v>0</v>
      </c>
      <c r="GD90" s="9">
        <v>0</v>
      </c>
      <c r="GE90" s="9">
        <v>0</v>
      </c>
      <c r="GF90" s="9">
        <v>0</v>
      </c>
      <c r="GG90" s="9">
        <v>0</v>
      </c>
      <c r="GH90" s="9">
        <v>0</v>
      </c>
      <c r="GI90" s="9">
        <v>0</v>
      </c>
      <c r="GJ90" s="9">
        <v>0</v>
      </c>
      <c r="GK90" s="9">
        <v>5147</v>
      </c>
      <c r="GL90" s="9">
        <v>19678</v>
      </c>
      <c r="GM90" s="9">
        <v>0</v>
      </c>
      <c r="GN90" s="9">
        <v>0</v>
      </c>
      <c r="GO90" s="9">
        <v>0</v>
      </c>
      <c r="GP90" s="9">
        <v>10938859</v>
      </c>
      <c r="GQ90" s="9">
        <v>10938859</v>
      </c>
      <c r="GR90" s="9">
        <v>0</v>
      </c>
      <c r="GS90" s="9">
        <v>0</v>
      </c>
      <c r="GT90" s="9">
        <v>0</v>
      </c>
      <c r="GU90" s="9">
        <v>0</v>
      </c>
      <c r="GV90" s="9">
        <v>0</v>
      </c>
      <c r="GW90" s="9">
        <v>0</v>
      </c>
      <c r="GX90" s="9">
        <v>0</v>
      </c>
      <c r="GY90" s="9">
        <v>0</v>
      </c>
      <c r="GZ90" s="9">
        <v>0</v>
      </c>
      <c r="HA90" s="9">
        <v>0</v>
      </c>
      <c r="HB90" s="9">
        <v>300501363</v>
      </c>
      <c r="HC90" s="9">
        <v>4.4742999999999998E-2</v>
      </c>
      <c r="HD90" s="9">
        <v>170562</v>
      </c>
      <c r="HE90" s="9">
        <v>0</v>
      </c>
      <c r="HF90" s="9">
        <v>0</v>
      </c>
      <c r="HG90" s="9">
        <v>0</v>
      </c>
      <c r="HH90" s="9">
        <v>0</v>
      </c>
      <c r="HI90" s="9">
        <v>0</v>
      </c>
      <c r="HJ90" s="9">
        <v>0</v>
      </c>
      <c r="HK90" s="9">
        <v>0</v>
      </c>
      <c r="HL90" s="9">
        <v>0</v>
      </c>
      <c r="HM90" s="9">
        <v>0</v>
      </c>
      <c r="HN90" s="9">
        <v>0</v>
      </c>
      <c r="HO90" s="9">
        <v>0</v>
      </c>
      <c r="HP90" s="9">
        <v>0</v>
      </c>
      <c r="HQ90" s="9">
        <v>0</v>
      </c>
      <c r="HR90" s="9">
        <v>0</v>
      </c>
      <c r="HS90" s="9">
        <v>0</v>
      </c>
      <c r="HT90" s="9">
        <v>0</v>
      </c>
      <c r="HU90" s="9">
        <v>0</v>
      </c>
      <c r="HV90" s="9">
        <v>0</v>
      </c>
      <c r="HW90" s="9">
        <v>0</v>
      </c>
      <c r="HX90" s="9">
        <v>0</v>
      </c>
      <c r="HY90" s="9">
        <v>0</v>
      </c>
      <c r="HZ90" s="9">
        <v>0</v>
      </c>
      <c r="IA90" s="9">
        <v>0</v>
      </c>
      <c r="IB90" s="9">
        <v>0</v>
      </c>
      <c r="IC90" s="9">
        <v>0</v>
      </c>
      <c r="ID90" s="9">
        <v>0</v>
      </c>
      <c r="IE90" s="9">
        <v>865.40200000000004</v>
      </c>
      <c r="IF90" s="9">
        <v>0</v>
      </c>
      <c r="IG90" s="9">
        <v>0</v>
      </c>
      <c r="IH90" s="9">
        <v>0</v>
      </c>
      <c r="II90" s="9">
        <v>0</v>
      </c>
      <c r="IJ90" s="9">
        <v>0</v>
      </c>
      <c r="IK90" s="9">
        <v>0</v>
      </c>
      <c r="IL90" s="9">
        <v>0</v>
      </c>
      <c r="IM90" s="9">
        <v>0</v>
      </c>
      <c r="IN90" s="9">
        <v>0</v>
      </c>
      <c r="IO90" s="9">
        <v>0</v>
      </c>
      <c r="IP90" s="9">
        <v>0</v>
      </c>
      <c r="IQ90" s="9">
        <v>0</v>
      </c>
      <c r="IR90" s="9">
        <v>0</v>
      </c>
      <c r="IS90" s="9">
        <v>0</v>
      </c>
      <c r="IT90" s="9">
        <v>0</v>
      </c>
      <c r="IU90" s="9">
        <v>0</v>
      </c>
      <c r="IV90" s="9">
        <v>0</v>
      </c>
      <c r="IW90" s="9">
        <v>0</v>
      </c>
      <c r="IX90" s="9">
        <v>0</v>
      </c>
      <c r="IY90" s="9">
        <v>0</v>
      </c>
      <c r="IZ90" s="9">
        <v>0</v>
      </c>
      <c r="JA90" s="9">
        <v>0</v>
      </c>
      <c r="JB90" s="9">
        <v>0</v>
      </c>
      <c r="JC90" s="9">
        <v>0</v>
      </c>
      <c r="JD90" s="9">
        <v>0</v>
      </c>
      <c r="JE90" s="9">
        <v>0</v>
      </c>
      <c r="JF90" s="9">
        <v>0</v>
      </c>
      <c r="JG90" s="9">
        <v>0</v>
      </c>
      <c r="JH90" s="9">
        <v>0</v>
      </c>
      <c r="JI90" s="9">
        <v>0</v>
      </c>
      <c r="JJ90" s="9">
        <v>0</v>
      </c>
      <c r="JK90" s="9">
        <v>0</v>
      </c>
      <c r="JL90" s="9">
        <v>0</v>
      </c>
      <c r="JM90" s="9">
        <v>0</v>
      </c>
      <c r="JN90" s="9">
        <v>36832</v>
      </c>
      <c r="JO90" s="9">
        <v>0</v>
      </c>
      <c r="JP90" s="9">
        <v>0</v>
      </c>
      <c r="JQ90" s="9">
        <v>0</v>
      </c>
      <c r="JR90" s="9">
        <v>0</v>
      </c>
      <c r="JS90" s="9">
        <v>0</v>
      </c>
      <c r="JT90" s="9">
        <v>0</v>
      </c>
      <c r="JU90" s="9">
        <v>0</v>
      </c>
      <c r="JV90" s="9">
        <v>0</v>
      </c>
      <c r="JW90" s="9">
        <v>0</v>
      </c>
      <c r="JX90" s="9">
        <v>0</v>
      </c>
      <c r="JY90" s="9">
        <v>0</v>
      </c>
      <c r="JZ90" s="9">
        <v>0</v>
      </c>
      <c r="KA90" s="9">
        <v>0</v>
      </c>
      <c r="KB90" s="9">
        <v>0</v>
      </c>
      <c r="KC90" s="9">
        <v>0</v>
      </c>
      <c r="KD90" s="9">
        <v>0</v>
      </c>
      <c r="KE90" s="9">
        <v>0</v>
      </c>
      <c r="KF90" s="9">
        <v>0</v>
      </c>
      <c r="KG90" s="9">
        <v>0</v>
      </c>
      <c r="KH90" s="9">
        <v>0</v>
      </c>
      <c r="KI90" s="9">
        <v>0</v>
      </c>
    </row>
    <row r="91" spans="1:295" x14ac:dyDescent="0.25">
      <c r="A91" s="9">
        <v>101803</v>
      </c>
      <c r="B91" s="9">
        <v>36871</v>
      </c>
      <c r="C91" s="9">
        <v>35</v>
      </c>
      <c r="D91" s="9">
        <v>2023</v>
      </c>
      <c r="E91" s="9">
        <v>5392</v>
      </c>
      <c r="F91" s="9">
        <v>0</v>
      </c>
      <c r="G91" s="9">
        <v>0</v>
      </c>
      <c r="H91" s="9">
        <v>1007.3710000000001</v>
      </c>
      <c r="I91" s="9">
        <v>1007.3710000000001</v>
      </c>
      <c r="J91" s="9">
        <v>1031.915</v>
      </c>
      <c r="K91" s="9">
        <v>0</v>
      </c>
      <c r="L91" s="9">
        <v>6547</v>
      </c>
      <c r="M91" s="9">
        <v>0</v>
      </c>
      <c r="N91" s="9">
        <v>0</v>
      </c>
      <c r="O91" s="9">
        <v>0</v>
      </c>
      <c r="P91" s="9">
        <v>915.68799999999999</v>
      </c>
      <c r="Q91" s="9">
        <v>0</v>
      </c>
      <c r="R91" s="9">
        <v>445869</v>
      </c>
      <c r="S91" s="9">
        <v>486.92200000000003</v>
      </c>
      <c r="T91" s="9">
        <v>0</v>
      </c>
      <c r="U91" s="9">
        <v>445869</v>
      </c>
      <c r="V91" s="9">
        <v>14.75</v>
      </c>
      <c r="W91" s="9">
        <v>9657</v>
      </c>
      <c r="X91" s="9">
        <v>9657</v>
      </c>
      <c r="Y91" s="9">
        <v>0</v>
      </c>
      <c r="Z91" s="9">
        <v>0</v>
      </c>
      <c r="AA91" s="9">
        <v>1</v>
      </c>
      <c r="AB91" s="9">
        <v>1</v>
      </c>
      <c r="AC91" s="9">
        <v>0</v>
      </c>
      <c r="AD91" s="9" t="s">
        <v>314</v>
      </c>
      <c r="AE91" s="9">
        <v>0</v>
      </c>
      <c r="AF91" s="9">
        <v>0</v>
      </c>
      <c r="AG91" s="9">
        <v>0</v>
      </c>
      <c r="AH91" s="9">
        <v>0</v>
      </c>
      <c r="AI91" s="9">
        <v>0</v>
      </c>
      <c r="AJ91" s="9">
        <v>5104</v>
      </c>
      <c r="AK91" s="9" t="s">
        <v>651</v>
      </c>
      <c r="AL91" s="9" t="s">
        <v>91</v>
      </c>
      <c r="AM91" s="9">
        <v>0</v>
      </c>
      <c r="AN91" s="9">
        <v>0</v>
      </c>
      <c r="AO91" s="9">
        <v>0</v>
      </c>
      <c r="AP91" s="9">
        <v>0</v>
      </c>
      <c r="AQ91" s="9">
        <v>0</v>
      </c>
      <c r="AR91" s="9">
        <v>0</v>
      </c>
      <c r="AS91" s="9">
        <v>0</v>
      </c>
      <c r="AT91" s="9">
        <v>0</v>
      </c>
      <c r="AU91" s="9">
        <v>0</v>
      </c>
      <c r="AV91" s="9">
        <v>221852</v>
      </c>
      <c r="AW91" s="9">
        <v>9039251</v>
      </c>
      <c r="AX91" s="9">
        <v>8713413</v>
      </c>
      <c r="AY91" s="9">
        <v>9728503</v>
      </c>
      <c r="AZ91" s="9">
        <v>579148</v>
      </c>
      <c r="BA91" s="9">
        <v>20.917000000000002</v>
      </c>
      <c r="BB91" s="9">
        <v>0</v>
      </c>
      <c r="BC91" s="9">
        <v>0</v>
      </c>
      <c r="BD91" s="9">
        <v>0</v>
      </c>
      <c r="BE91" s="9">
        <v>0</v>
      </c>
      <c r="BF91" s="9">
        <v>7537845</v>
      </c>
      <c r="BG91" s="9">
        <v>0</v>
      </c>
      <c r="BH91" s="9">
        <v>186.11500000000001</v>
      </c>
      <c r="BI91" s="9">
        <v>51182</v>
      </c>
      <c r="BJ91" s="9">
        <v>12</v>
      </c>
      <c r="BK91" s="9">
        <v>0</v>
      </c>
      <c r="BL91" s="9">
        <v>0</v>
      </c>
      <c r="BM91" s="9">
        <v>0</v>
      </c>
      <c r="BN91" s="9">
        <v>0</v>
      </c>
      <c r="BO91" s="9">
        <v>0</v>
      </c>
      <c r="BP91" s="9">
        <v>0</v>
      </c>
      <c r="BQ91" s="9">
        <v>5392</v>
      </c>
      <c r="BR91" s="9">
        <v>1</v>
      </c>
      <c r="BS91" s="9">
        <v>0</v>
      </c>
      <c r="BT91" s="9">
        <v>0</v>
      </c>
      <c r="BU91" s="9">
        <v>0</v>
      </c>
      <c r="BV91" s="9">
        <v>0</v>
      </c>
      <c r="BW91" s="9">
        <v>0</v>
      </c>
      <c r="BX91" s="9">
        <v>0</v>
      </c>
      <c r="BY91" s="9">
        <v>0</v>
      </c>
      <c r="BZ91" s="9">
        <v>0</v>
      </c>
      <c r="CA91" s="9">
        <v>82.097000000000008</v>
      </c>
      <c r="CB91" s="9">
        <v>82097</v>
      </c>
      <c r="CC91" s="9">
        <v>0</v>
      </c>
      <c r="CD91" s="9">
        <v>0</v>
      </c>
      <c r="CE91" s="9">
        <v>0</v>
      </c>
      <c r="CF91" s="9">
        <v>0</v>
      </c>
      <c r="CG91" s="9">
        <v>0</v>
      </c>
      <c r="CH91" s="9">
        <v>192559</v>
      </c>
      <c r="CI91" s="9">
        <v>0</v>
      </c>
      <c r="CJ91" s="9">
        <v>5</v>
      </c>
      <c r="CK91" s="9">
        <v>0</v>
      </c>
      <c r="CL91" s="9">
        <v>0</v>
      </c>
      <c r="CM91" s="9">
        <v>0</v>
      </c>
      <c r="CN91" s="9">
        <v>0</v>
      </c>
      <c r="CO91" s="9">
        <v>0</v>
      </c>
      <c r="CP91" s="9">
        <v>0</v>
      </c>
      <c r="CQ91" s="9">
        <v>0.75</v>
      </c>
      <c r="CR91" s="9">
        <v>909.69500000000005</v>
      </c>
      <c r="CS91" s="9">
        <v>0</v>
      </c>
      <c r="CT91" s="9">
        <v>0</v>
      </c>
      <c r="CU91" s="9">
        <v>0</v>
      </c>
      <c r="CV91" s="9">
        <v>0</v>
      </c>
      <c r="CW91" s="9">
        <v>0</v>
      </c>
      <c r="CX91" s="9">
        <v>0</v>
      </c>
      <c r="CY91" s="9">
        <v>0</v>
      </c>
      <c r="CZ91" s="9">
        <v>0</v>
      </c>
      <c r="DA91" s="9">
        <v>1</v>
      </c>
      <c r="DB91" s="9">
        <v>6595258</v>
      </c>
      <c r="DC91" s="9">
        <v>0</v>
      </c>
      <c r="DD91" s="9">
        <v>0</v>
      </c>
      <c r="DE91" s="9">
        <v>298321</v>
      </c>
      <c r="DF91" s="9">
        <v>298321</v>
      </c>
      <c r="DG91" s="9">
        <v>227.83</v>
      </c>
      <c r="DH91" s="9">
        <v>0</v>
      </c>
      <c r="DI91" s="9">
        <v>0</v>
      </c>
      <c r="DJ91" s="9">
        <v>0</v>
      </c>
      <c r="DK91" s="9">
        <v>5392</v>
      </c>
      <c r="DL91" s="9">
        <v>0</v>
      </c>
      <c r="DM91" s="9">
        <v>789931</v>
      </c>
      <c r="DN91" s="9">
        <v>0</v>
      </c>
      <c r="DO91" s="9">
        <v>0</v>
      </c>
      <c r="DP91" s="9">
        <v>0</v>
      </c>
      <c r="DQ91" s="9">
        <v>0</v>
      </c>
      <c r="DR91" s="9">
        <v>0</v>
      </c>
      <c r="DS91" s="9">
        <v>0</v>
      </c>
      <c r="DT91" s="9">
        <v>0</v>
      </c>
      <c r="DU91" s="9">
        <v>0</v>
      </c>
      <c r="DV91" s="9">
        <v>0</v>
      </c>
      <c r="DW91" s="9">
        <v>0</v>
      </c>
      <c r="DX91" s="9">
        <v>0</v>
      </c>
      <c r="DY91" s="9">
        <v>0</v>
      </c>
      <c r="DZ91" s="9">
        <v>0</v>
      </c>
      <c r="EA91" s="9">
        <v>0</v>
      </c>
      <c r="EB91" s="9">
        <v>0</v>
      </c>
      <c r="EC91" s="9">
        <v>54.684000000000005</v>
      </c>
      <c r="ED91" s="9">
        <v>393818</v>
      </c>
      <c r="EE91" s="9">
        <v>0</v>
      </c>
      <c r="EF91" s="9">
        <v>0</v>
      </c>
      <c r="EG91" s="9">
        <v>0</v>
      </c>
      <c r="EH91" s="9">
        <v>396113</v>
      </c>
      <c r="EI91" s="9">
        <v>0</v>
      </c>
      <c r="EJ91" s="9">
        <v>0</v>
      </c>
      <c r="EK91" s="9">
        <v>15.531000000000001</v>
      </c>
      <c r="EL91" s="9">
        <v>0</v>
      </c>
      <c r="EM91" s="9">
        <v>0.95000000000000007</v>
      </c>
      <c r="EN91" s="9">
        <v>2.2120000000000002</v>
      </c>
      <c r="EO91" s="9">
        <v>0</v>
      </c>
      <c r="EP91" s="9">
        <v>0</v>
      </c>
      <c r="EQ91" s="9">
        <v>18.693000000000001</v>
      </c>
      <c r="ER91" s="9">
        <v>0</v>
      </c>
      <c r="ES91" s="9">
        <v>60.503</v>
      </c>
      <c r="ET91" s="9">
        <v>10646</v>
      </c>
      <c r="EU91" s="9">
        <v>579148</v>
      </c>
      <c r="EV91" s="9">
        <v>0</v>
      </c>
      <c r="EW91" s="9">
        <v>0</v>
      </c>
      <c r="EX91" s="9">
        <v>0</v>
      </c>
      <c r="EY91" s="9">
        <v>0</v>
      </c>
      <c r="EZ91" s="9">
        <v>7299012</v>
      </c>
      <c r="FA91" s="9">
        <v>0</v>
      </c>
      <c r="FB91" s="9">
        <v>7878160</v>
      </c>
      <c r="FC91" s="9">
        <v>0.97326799999999991</v>
      </c>
      <c r="FD91" s="9">
        <v>0</v>
      </c>
      <c r="FE91" s="9">
        <v>1166084</v>
      </c>
      <c r="FF91" s="9">
        <v>248317</v>
      </c>
      <c r="FG91" s="9">
        <v>5.8088000000000001E-2</v>
      </c>
      <c r="FH91" s="9">
        <v>5.2622999999999996E-2</v>
      </c>
      <c r="FI91" s="9">
        <v>0</v>
      </c>
      <c r="FJ91" s="9">
        <v>0</v>
      </c>
      <c r="FK91" s="9">
        <v>1476.931</v>
      </c>
      <c r="FL91" s="9">
        <v>9485120</v>
      </c>
      <c r="FM91" s="9">
        <v>0</v>
      </c>
      <c r="FN91" s="9">
        <v>0</v>
      </c>
      <c r="FO91" s="9">
        <v>0</v>
      </c>
      <c r="FP91" s="9">
        <v>0</v>
      </c>
      <c r="FQ91" s="9">
        <v>0</v>
      </c>
      <c r="FR91" s="9">
        <v>0</v>
      </c>
      <c r="FS91" s="9">
        <v>0</v>
      </c>
      <c r="FT91" s="9">
        <v>0</v>
      </c>
      <c r="FU91" s="9">
        <v>0</v>
      </c>
      <c r="FV91" s="9">
        <v>0</v>
      </c>
      <c r="FW91" s="9">
        <v>0</v>
      </c>
      <c r="FX91" s="9">
        <v>0</v>
      </c>
      <c r="FY91" s="9">
        <v>0</v>
      </c>
      <c r="FZ91" s="9">
        <v>0</v>
      </c>
      <c r="GA91" s="9">
        <v>0</v>
      </c>
      <c r="GB91" s="9">
        <v>51714</v>
      </c>
      <c r="GC91" s="9">
        <v>51714</v>
      </c>
      <c r="GD91" s="9">
        <v>5.851</v>
      </c>
      <c r="GE91" s="9">
        <v>0</v>
      </c>
      <c r="GF91" s="9">
        <v>0</v>
      </c>
      <c r="GG91" s="9">
        <v>0</v>
      </c>
      <c r="GH91" s="9">
        <v>0</v>
      </c>
      <c r="GI91" s="9">
        <v>0</v>
      </c>
      <c r="GJ91" s="9">
        <v>0</v>
      </c>
      <c r="GK91" s="9">
        <v>5081</v>
      </c>
      <c r="GL91" s="9">
        <v>8781</v>
      </c>
      <c r="GM91" s="9">
        <v>0</v>
      </c>
      <c r="GN91" s="9">
        <v>0</v>
      </c>
      <c r="GO91" s="9">
        <v>0</v>
      </c>
      <c r="GP91" s="9">
        <v>9292561</v>
      </c>
      <c r="GQ91" s="9">
        <v>9292561</v>
      </c>
      <c r="GR91" s="9">
        <v>0</v>
      </c>
      <c r="GS91" s="9">
        <v>0</v>
      </c>
      <c r="GT91" s="9">
        <v>0</v>
      </c>
      <c r="GU91" s="9">
        <v>0</v>
      </c>
      <c r="GV91" s="9">
        <v>0</v>
      </c>
      <c r="GW91" s="9">
        <v>0</v>
      </c>
      <c r="GX91" s="9">
        <v>0</v>
      </c>
      <c r="GY91" s="9">
        <v>0</v>
      </c>
      <c r="GZ91" s="9">
        <v>0</v>
      </c>
      <c r="HA91" s="9">
        <v>0</v>
      </c>
      <c r="HB91" s="9">
        <v>300501363</v>
      </c>
      <c r="HC91" s="9">
        <v>4.4742999999999998E-2</v>
      </c>
      <c r="HD91" s="9">
        <v>181913</v>
      </c>
      <c r="HE91" s="9">
        <v>0</v>
      </c>
      <c r="HF91" s="9">
        <v>0</v>
      </c>
      <c r="HG91" s="9">
        <v>0</v>
      </c>
      <c r="HH91" s="9">
        <v>0</v>
      </c>
      <c r="HI91" s="9">
        <v>0</v>
      </c>
      <c r="HJ91" s="9">
        <v>0</v>
      </c>
      <c r="HK91" s="9">
        <v>0</v>
      </c>
      <c r="HL91" s="9">
        <v>0</v>
      </c>
      <c r="HM91" s="9">
        <v>0</v>
      </c>
      <c r="HN91" s="9">
        <v>0</v>
      </c>
      <c r="HO91" s="9">
        <v>0</v>
      </c>
      <c r="HP91" s="9">
        <v>0</v>
      </c>
      <c r="HQ91" s="9">
        <v>0</v>
      </c>
      <c r="HR91" s="9">
        <v>0</v>
      </c>
      <c r="HS91" s="9">
        <v>0</v>
      </c>
      <c r="HT91" s="9">
        <v>0</v>
      </c>
      <c r="HU91" s="9">
        <v>0</v>
      </c>
      <c r="HV91" s="9">
        <v>0</v>
      </c>
      <c r="HW91" s="9">
        <v>0</v>
      </c>
      <c r="HX91" s="9">
        <v>0</v>
      </c>
      <c r="HY91" s="9">
        <v>0</v>
      </c>
      <c r="HZ91" s="9">
        <v>0</v>
      </c>
      <c r="IA91" s="9">
        <v>0</v>
      </c>
      <c r="IB91" s="9">
        <v>0</v>
      </c>
      <c r="IC91" s="9">
        <v>0</v>
      </c>
      <c r="ID91" s="9">
        <v>0</v>
      </c>
      <c r="IE91" s="9">
        <v>0</v>
      </c>
      <c r="IF91" s="9">
        <v>0</v>
      </c>
      <c r="IG91" s="9">
        <v>0</v>
      </c>
      <c r="IH91" s="9">
        <v>0</v>
      </c>
      <c r="II91" s="9">
        <v>0</v>
      </c>
      <c r="IJ91" s="9">
        <v>0</v>
      </c>
      <c r="IK91" s="9">
        <v>0</v>
      </c>
      <c r="IL91" s="9">
        <v>0</v>
      </c>
      <c r="IM91" s="9">
        <v>0</v>
      </c>
      <c r="IN91" s="9">
        <v>0</v>
      </c>
      <c r="IO91" s="9">
        <v>0</v>
      </c>
      <c r="IP91" s="9">
        <v>0</v>
      </c>
      <c r="IQ91" s="9">
        <v>0</v>
      </c>
      <c r="IR91" s="9">
        <v>0</v>
      </c>
      <c r="IS91" s="9">
        <v>0</v>
      </c>
      <c r="IT91" s="9">
        <v>0</v>
      </c>
      <c r="IU91" s="9">
        <v>0</v>
      </c>
      <c r="IV91" s="9">
        <v>0</v>
      </c>
      <c r="IW91" s="9">
        <v>0</v>
      </c>
      <c r="IX91" s="9">
        <v>0</v>
      </c>
      <c r="IY91" s="9">
        <v>0</v>
      </c>
      <c r="IZ91" s="9">
        <v>0</v>
      </c>
      <c r="JA91" s="9">
        <v>0</v>
      </c>
      <c r="JB91" s="9">
        <v>0</v>
      </c>
      <c r="JC91" s="9">
        <v>0</v>
      </c>
      <c r="JD91" s="9">
        <v>0</v>
      </c>
      <c r="JE91" s="9">
        <v>0</v>
      </c>
      <c r="JF91" s="9">
        <v>0</v>
      </c>
      <c r="JG91" s="9">
        <v>0</v>
      </c>
      <c r="JH91" s="9">
        <v>0</v>
      </c>
      <c r="JI91" s="9">
        <v>0</v>
      </c>
      <c r="JJ91" s="9">
        <v>0</v>
      </c>
      <c r="JK91" s="9">
        <v>0</v>
      </c>
      <c r="JL91" s="9">
        <v>0</v>
      </c>
      <c r="JM91" s="9">
        <v>0</v>
      </c>
      <c r="JN91" s="9">
        <v>36832</v>
      </c>
      <c r="JO91" s="9">
        <v>0</v>
      </c>
      <c r="JP91" s="9">
        <v>0</v>
      </c>
      <c r="JQ91" s="9">
        <v>0</v>
      </c>
      <c r="JR91" s="9">
        <v>0</v>
      </c>
      <c r="JS91" s="9">
        <v>0</v>
      </c>
      <c r="JT91" s="9">
        <v>0</v>
      </c>
      <c r="JU91" s="9">
        <v>0</v>
      </c>
      <c r="JV91" s="9">
        <v>0</v>
      </c>
      <c r="JW91" s="9">
        <v>0</v>
      </c>
      <c r="JX91" s="9">
        <v>0</v>
      </c>
      <c r="JY91" s="9">
        <v>0</v>
      </c>
      <c r="JZ91" s="9">
        <v>0</v>
      </c>
      <c r="KA91" s="9">
        <v>0</v>
      </c>
      <c r="KB91" s="9">
        <v>0</v>
      </c>
      <c r="KC91" s="9">
        <v>0</v>
      </c>
      <c r="KD91" s="9">
        <v>0</v>
      </c>
      <c r="KE91" s="9">
        <v>0</v>
      </c>
      <c r="KF91" s="9">
        <v>0</v>
      </c>
      <c r="KG91" s="9">
        <v>0</v>
      </c>
      <c r="KH91" s="9">
        <v>0</v>
      </c>
      <c r="KI91" s="9">
        <v>0</v>
      </c>
    </row>
    <row r="92" spans="1:295" x14ac:dyDescent="0.25">
      <c r="A92" s="9">
        <v>101804</v>
      </c>
      <c r="B92" s="9">
        <v>36871</v>
      </c>
      <c r="C92" s="9">
        <v>35</v>
      </c>
      <c r="D92" s="9">
        <v>2023</v>
      </c>
      <c r="E92" s="9">
        <v>5392</v>
      </c>
      <c r="F92" s="9">
        <v>0</v>
      </c>
      <c r="G92" s="9">
        <v>0</v>
      </c>
      <c r="H92" s="9">
        <v>768.16600000000005</v>
      </c>
      <c r="I92" s="9">
        <v>768.16600000000005</v>
      </c>
      <c r="J92" s="9">
        <v>915.37300000000005</v>
      </c>
      <c r="K92" s="9">
        <v>0</v>
      </c>
      <c r="L92" s="9">
        <v>6547</v>
      </c>
      <c r="M92" s="9">
        <v>0</v>
      </c>
      <c r="N92" s="9">
        <v>0</v>
      </c>
      <c r="O92" s="9">
        <v>0</v>
      </c>
      <c r="P92" s="9">
        <v>898.07900000000006</v>
      </c>
      <c r="Q92" s="9">
        <v>0</v>
      </c>
      <c r="R92" s="9">
        <v>437294</v>
      </c>
      <c r="S92" s="9">
        <v>486.92200000000003</v>
      </c>
      <c r="T92" s="9">
        <v>0</v>
      </c>
      <c r="U92" s="9">
        <v>437294</v>
      </c>
      <c r="V92" s="9">
        <v>415.04700000000003</v>
      </c>
      <c r="W92" s="9">
        <v>271731</v>
      </c>
      <c r="X92" s="9">
        <v>271731</v>
      </c>
      <c r="Y92" s="9">
        <v>0</v>
      </c>
      <c r="Z92" s="9">
        <v>0</v>
      </c>
      <c r="AA92" s="9">
        <v>1</v>
      </c>
      <c r="AB92" s="9">
        <v>1</v>
      </c>
      <c r="AC92" s="9">
        <v>0</v>
      </c>
      <c r="AD92" s="9" t="s">
        <v>314</v>
      </c>
      <c r="AE92" s="9">
        <v>0</v>
      </c>
      <c r="AF92" s="9">
        <v>0</v>
      </c>
      <c r="AG92" s="9">
        <v>0</v>
      </c>
      <c r="AH92" s="9">
        <v>0</v>
      </c>
      <c r="AI92" s="9">
        <v>0</v>
      </c>
      <c r="AJ92" s="9">
        <v>5104</v>
      </c>
      <c r="AK92" s="9" t="s">
        <v>651</v>
      </c>
      <c r="AL92" s="9" t="s">
        <v>7</v>
      </c>
      <c r="AM92" s="9">
        <v>0</v>
      </c>
      <c r="AN92" s="9">
        <v>0</v>
      </c>
      <c r="AO92" s="9">
        <v>0</v>
      </c>
      <c r="AP92" s="9">
        <v>0</v>
      </c>
      <c r="AQ92" s="9">
        <v>0</v>
      </c>
      <c r="AR92" s="9">
        <v>0</v>
      </c>
      <c r="AS92" s="9">
        <v>0</v>
      </c>
      <c r="AT92" s="9">
        <v>0</v>
      </c>
      <c r="AU92" s="9">
        <v>0</v>
      </c>
      <c r="AV92" s="9">
        <v>-18306</v>
      </c>
      <c r="AW92" s="9">
        <v>9780445</v>
      </c>
      <c r="AX92" s="9">
        <v>9474128</v>
      </c>
      <c r="AY92" s="9">
        <v>9872231</v>
      </c>
      <c r="AZ92" s="9">
        <v>582243</v>
      </c>
      <c r="BA92" s="9">
        <v>0</v>
      </c>
      <c r="BB92" s="9">
        <v>0</v>
      </c>
      <c r="BC92" s="9">
        <v>0</v>
      </c>
      <c r="BD92" s="9">
        <v>0</v>
      </c>
      <c r="BE92" s="9">
        <v>0</v>
      </c>
      <c r="BF92" s="9">
        <v>8126533</v>
      </c>
      <c r="BG92" s="9">
        <v>0</v>
      </c>
      <c r="BH92" s="9">
        <v>527.08900000000006</v>
      </c>
      <c r="BI92" s="9">
        <v>144949</v>
      </c>
      <c r="BJ92" s="9">
        <v>12</v>
      </c>
      <c r="BK92" s="9">
        <v>0</v>
      </c>
      <c r="BL92" s="9">
        <v>0</v>
      </c>
      <c r="BM92" s="9">
        <v>0</v>
      </c>
      <c r="BN92" s="9">
        <v>0</v>
      </c>
      <c r="BO92" s="9">
        <v>0</v>
      </c>
      <c r="BP92" s="9">
        <v>0</v>
      </c>
      <c r="BQ92" s="9">
        <v>5392</v>
      </c>
      <c r="BR92" s="9">
        <v>1</v>
      </c>
      <c r="BS92" s="9">
        <v>0</v>
      </c>
      <c r="BT92" s="9">
        <v>0</v>
      </c>
      <c r="BU92" s="9">
        <v>0</v>
      </c>
      <c r="BV92" s="9">
        <v>0</v>
      </c>
      <c r="BW92" s="9">
        <v>0</v>
      </c>
      <c r="BX92" s="9">
        <v>0</v>
      </c>
      <c r="BY92" s="9">
        <v>0</v>
      </c>
      <c r="BZ92" s="9">
        <v>0</v>
      </c>
      <c r="CA92" s="9">
        <v>0</v>
      </c>
      <c r="CB92" s="9">
        <v>0</v>
      </c>
      <c r="CC92" s="9">
        <v>0</v>
      </c>
      <c r="CD92" s="9">
        <v>0</v>
      </c>
      <c r="CE92" s="9">
        <v>0</v>
      </c>
      <c r="CF92" s="9">
        <v>0</v>
      </c>
      <c r="CG92" s="9">
        <v>0</v>
      </c>
      <c r="CH92" s="9">
        <v>161368</v>
      </c>
      <c r="CI92" s="9">
        <v>0</v>
      </c>
      <c r="CJ92" s="9">
        <v>4</v>
      </c>
      <c r="CK92" s="9">
        <v>0</v>
      </c>
      <c r="CL92" s="9">
        <v>0</v>
      </c>
      <c r="CM92" s="9">
        <v>0</v>
      </c>
      <c r="CN92" s="9">
        <v>0</v>
      </c>
      <c r="CO92" s="9">
        <v>0</v>
      </c>
      <c r="CP92" s="9">
        <v>0.998</v>
      </c>
      <c r="CQ92" s="9">
        <v>0</v>
      </c>
      <c r="CR92" s="9">
        <v>868.77100000000007</v>
      </c>
      <c r="CS92" s="9">
        <v>0</v>
      </c>
      <c r="CT92" s="9">
        <v>0</v>
      </c>
      <c r="CU92" s="9">
        <v>0</v>
      </c>
      <c r="CV92" s="9">
        <v>0</v>
      </c>
      <c r="CW92" s="9">
        <v>0</v>
      </c>
      <c r="CX92" s="9">
        <v>0</v>
      </c>
      <c r="CY92" s="9">
        <v>0</v>
      </c>
      <c r="CZ92" s="9">
        <v>0</v>
      </c>
      <c r="DA92" s="9">
        <v>1</v>
      </c>
      <c r="DB92" s="9">
        <v>5029183</v>
      </c>
      <c r="DC92" s="9">
        <v>0</v>
      </c>
      <c r="DD92" s="9">
        <v>0</v>
      </c>
      <c r="DE92" s="9">
        <v>1287140</v>
      </c>
      <c r="DF92" s="9">
        <v>1302887</v>
      </c>
      <c r="DG92" s="9">
        <v>983</v>
      </c>
      <c r="DH92" s="9">
        <v>0</v>
      </c>
      <c r="DI92" s="9">
        <v>15747</v>
      </c>
      <c r="DJ92" s="9">
        <v>0</v>
      </c>
      <c r="DK92" s="9">
        <v>5392</v>
      </c>
      <c r="DL92" s="9">
        <v>0</v>
      </c>
      <c r="DM92" s="9">
        <v>621872</v>
      </c>
      <c r="DN92" s="9">
        <v>0</v>
      </c>
      <c r="DO92" s="9">
        <v>2769</v>
      </c>
      <c r="DP92" s="9">
        <v>0</v>
      </c>
      <c r="DQ92" s="9">
        <v>0</v>
      </c>
      <c r="DR92" s="9">
        <v>0</v>
      </c>
      <c r="DS92" s="9">
        <v>0</v>
      </c>
      <c r="DT92" s="9">
        <v>0</v>
      </c>
      <c r="DU92" s="9">
        <v>0</v>
      </c>
      <c r="DV92" s="9">
        <v>0.188</v>
      </c>
      <c r="DW92" s="9">
        <v>0</v>
      </c>
      <c r="DX92" s="9">
        <v>0</v>
      </c>
      <c r="DY92" s="9">
        <v>0</v>
      </c>
      <c r="DZ92" s="9">
        <v>0.56400000000000006</v>
      </c>
      <c r="EA92" s="9">
        <v>0</v>
      </c>
      <c r="EB92" s="9">
        <v>0</v>
      </c>
      <c r="EC92" s="9">
        <v>30.639000000000003</v>
      </c>
      <c r="ED92" s="9">
        <v>220653</v>
      </c>
      <c r="EE92" s="9">
        <v>0</v>
      </c>
      <c r="EF92" s="9">
        <v>0</v>
      </c>
      <c r="EG92" s="9">
        <v>0</v>
      </c>
      <c r="EH92" s="9">
        <v>392270</v>
      </c>
      <c r="EI92" s="9">
        <v>6180</v>
      </c>
      <c r="EJ92" s="9">
        <v>0.23600000000000002</v>
      </c>
      <c r="EK92" s="9">
        <v>15.689</v>
      </c>
      <c r="EL92" s="9">
        <v>0</v>
      </c>
      <c r="EM92" s="9">
        <v>3.8330000000000002</v>
      </c>
      <c r="EN92" s="9">
        <v>0.27</v>
      </c>
      <c r="EO92" s="9">
        <v>0</v>
      </c>
      <c r="EP92" s="9">
        <v>0</v>
      </c>
      <c r="EQ92" s="9">
        <v>20.028000000000002</v>
      </c>
      <c r="ER92" s="9">
        <v>0</v>
      </c>
      <c r="ES92" s="9">
        <v>59.916000000000004</v>
      </c>
      <c r="ET92" s="9">
        <v>0</v>
      </c>
      <c r="EU92" s="9">
        <v>582243</v>
      </c>
      <c r="EV92" s="9">
        <v>0</v>
      </c>
      <c r="EW92" s="9">
        <v>0</v>
      </c>
      <c r="EX92" s="9">
        <v>0</v>
      </c>
      <c r="EY92" s="9">
        <v>0</v>
      </c>
      <c r="EZ92" s="9">
        <v>7949265</v>
      </c>
      <c r="FA92" s="9">
        <v>0</v>
      </c>
      <c r="FB92" s="9">
        <v>8531508</v>
      </c>
      <c r="FC92" s="9">
        <v>0.97326799999999991</v>
      </c>
      <c r="FD92" s="9">
        <v>0</v>
      </c>
      <c r="FE92" s="9">
        <v>1257153</v>
      </c>
      <c r="FF92" s="9">
        <v>267710</v>
      </c>
      <c r="FG92" s="9">
        <v>5.8088000000000001E-2</v>
      </c>
      <c r="FH92" s="9">
        <v>5.2622999999999996E-2</v>
      </c>
      <c r="FI92" s="9">
        <v>0</v>
      </c>
      <c r="FJ92" s="9">
        <v>0</v>
      </c>
      <c r="FK92" s="9">
        <v>1592.2760000000001</v>
      </c>
      <c r="FL92" s="9">
        <v>10217739</v>
      </c>
      <c r="FM92" s="9">
        <v>0</v>
      </c>
      <c r="FN92" s="9">
        <v>0</v>
      </c>
      <c r="FO92" s="9">
        <v>31952</v>
      </c>
      <c r="FP92" s="9">
        <v>0</v>
      </c>
      <c r="FQ92" s="9">
        <v>36821</v>
      </c>
      <c r="FR92" s="9">
        <v>31952</v>
      </c>
      <c r="FS92" s="9">
        <v>4869</v>
      </c>
      <c r="FT92" s="9">
        <v>0</v>
      </c>
      <c r="FU92" s="9">
        <v>0</v>
      </c>
      <c r="FV92" s="9">
        <v>0</v>
      </c>
      <c r="FW92" s="9">
        <v>0</v>
      </c>
      <c r="FX92" s="9">
        <v>0</v>
      </c>
      <c r="FY92" s="9">
        <v>0</v>
      </c>
      <c r="FZ92" s="9">
        <v>0</v>
      </c>
      <c r="GA92" s="9">
        <v>0</v>
      </c>
      <c r="GB92" s="9">
        <v>1124065</v>
      </c>
      <c r="GC92" s="9">
        <v>1124065</v>
      </c>
      <c r="GD92" s="9">
        <v>127.179</v>
      </c>
      <c r="GE92" s="9">
        <v>0</v>
      </c>
      <c r="GF92" s="9">
        <v>0</v>
      </c>
      <c r="GG92" s="9">
        <v>0</v>
      </c>
      <c r="GH92" s="9">
        <v>0</v>
      </c>
      <c r="GI92" s="9">
        <v>0</v>
      </c>
      <c r="GJ92" s="9">
        <v>0</v>
      </c>
      <c r="GK92" s="9">
        <v>5281</v>
      </c>
      <c r="GL92" s="9">
        <v>20194</v>
      </c>
      <c r="GM92" s="9">
        <v>0</v>
      </c>
      <c r="GN92" s="9">
        <v>18469</v>
      </c>
      <c r="GO92" s="9">
        <v>0</v>
      </c>
      <c r="GP92" s="9">
        <v>10056371</v>
      </c>
      <c r="GQ92" s="9">
        <v>10056371</v>
      </c>
      <c r="GR92" s="9">
        <v>0</v>
      </c>
      <c r="GS92" s="9">
        <v>0</v>
      </c>
      <c r="GT92" s="9">
        <v>0</v>
      </c>
      <c r="GU92" s="9">
        <v>0</v>
      </c>
      <c r="GV92" s="9">
        <v>0</v>
      </c>
      <c r="GW92" s="9">
        <v>0</v>
      </c>
      <c r="GX92" s="9">
        <v>0</v>
      </c>
      <c r="GY92" s="9">
        <v>0</v>
      </c>
      <c r="GZ92" s="9">
        <v>0</v>
      </c>
      <c r="HA92" s="9">
        <v>0</v>
      </c>
      <c r="HB92" s="9">
        <v>300501363</v>
      </c>
      <c r="HC92" s="9">
        <v>4.4742999999999998E-2</v>
      </c>
      <c r="HD92" s="9">
        <v>161368</v>
      </c>
      <c r="HE92" s="9">
        <v>0</v>
      </c>
      <c r="HF92" s="9">
        <v>0</v>
      </c>
      <c r="HG92" s="9">
        <v>0</v>
      </c>
      <c r="HH92" s="9">
        <v>0</v>
      </c>
      <c r="HI92" s="9">
        <v>0</v>
      </c>
      <c r="HJ92" s="9">
        <v>0</v>
      </c>
      <c r="HK92" s="9">
        <v>0</v>
      </c>
      <c r="HL92" s="9">
        <v>0</v>
      </c>
      <c r="HM92" s="9">
        <v>0</v>
      </c>
      <c r="HN92" s="9">
        <v>0</v>
      </c>
      <c r="HO92" s="9">
        <v>0</v>
      </c>
      <c r="HP92" s="9">
        <v>0</v>
      </c>
      <c r="HQ92" s="9">
        <v>0</v>
      </c>
      <c r="HR92" s="9">
        <v>0</v>
      </c>
      <c r="HS92" s="9">
        <v>0</v>
      </c>
      <c r="HT92" s="9">
        <v>0</v>
      </c>
      <c r="HU92" s="9">
        <v>0</v>
      </c>
      <c r="HV92" s="9">
        <v>0</v>
      </c>
      <c r="HW92" s="9">
        <v>0</v>
      </c>
      <c r="HX92" s="9">
        <v>0</v>
      </c>
      <c r="HY92" s="9">
        <v>0</v>
      </c>
      <c r="HZ92" s="9">
        <v>0</v>
      </c>
      <c r="IA92" s="9">
        <v>0</v>
      </c>
      <c r="IB92" s="9">
        <v>0</v>
      </c>
      <c r="IC92" s="9">
        <v>0</v>
      </c>
      <c r="ID92" s="9">
        <v>0</v>
      </c>
      <c r="IE92" s="9">
        <v>0</v>
      </c>
      <c r="IF92" s="9">
        <v>0</v>
      </c>
      <c r="IG92" s="9">
        <v>0</v>
      </c>
      <c r="IH92" s="9">
        <v>0</v>
      </c>
      <c r="II92" s="9">
        <v>0</v>
      </c>
      <c r="IJ92" s="9">
        <v>0</v>
      </c>
      <c r="IK92" s="9">
        <v>0</v>
      </c>
      <c r="IL92" s="9">
        <v>0</v>
      </c>
      <c r="IM92" s="9">
        <v>0</v>
      </c>
      <c r="IN92" s="9">
        <v>0</v>
      </c>
      <c r="IO92" s="9">
        <v>0</v>
      </c>
      <c r="IP92" s="9">
        <v>0</v>
      </c>
      <c r="IQ92" s="9">
        <v>0</v>
      </c>
      <c r="IR92" s="9">
        <v>0</v>
      </c>
      <c r="IS92" s="9">
        <v>0</v>
      </c>
      <c r="IT92" s="9">
        <v>0</v>
      </c>
      <c r="IU92" s="9">
        <v>0</v>
      </c>
      <c r="IV92" s="9">
        <v>0</v>
      </c>
      <c r="IW92" s="9">
        <v>0</v>
      </c>
      <c r="IX92" s="9">
        <v>0</v>
      </c>
      <c r="IY92" s="9">
        <v>0</v>
      </c>
      <c r="IZ92" s="9">
        <v>0</v>
      </c>
      <c r="JA92" s="9">
        <v>0</v>
      </c>
      <c r="JB92" s="9">
        <v>0</v>
      </c>
      <c r="JC92" s="9">
        <v>0</v>
      </c>
      <c r="JD92" s="9">
        <v>0</v>
      </c>
      <c r="JE92" s="9">
        <v>0</v>
      </c>
      <c r="JF92" s="9">
        <v>0</v>
      </c>
      <c r="JG92" s="9">
        <v>0</v>
      </c>
      <c r="JH92" s="9">
        <v>0</v>
      </c>
      <c r="JI92" s="9">
        <v>0</v>
      </c>
      <c r="JJ92" s="9">
        <v>0</v>
      </c>
      <c r="JK92" s="9">
        <v>0</v>
      </c>
      <c r="JL92" s="9">
        <v>0</v>
      </c>
      <c r="JM92" s="9">
        <v>0</v>
      </c>
      <c r="JN92" s="9">
        <v>36832</v>
      </c>
      <c r="JO92" s="9">
        <v>0</v>
      </c>
      <c r="JP92" s="9">
        <v>0</v>
      </c>
      <c r="JQ92" s="9">
        <v>0</v>
      </c>
      <c r="JR92" s="9">
        <v>0</v>
      </c>
      <c r="JS92" s="9">
        <v>0</v>
      </c>
      <c r="JT92" s="9">
        <v>0</v>
      </c>
      <c r="JU92" s="9">
        <v>0</v>
      </c>
      <c r="JV92" s="9">
        <v>0</v>
      </c>
      <c r="JW92" s="9">
        <v>0</v>
      </c>
      <c r="JX92" s="9">
        <v>0</v>
      </c>
      <c r="JY92" s="9">
        <v>0</v>
      </c>
      <c r="JZ92" s="9">
        <v>0</v>
      </c>
      <c r="KA92" s="9">
        <v>0</v>
      </c>
      <c r="KB92" s="9">
        <v>0</v>
      </c>
      <c r="KC92" s="9">
        <v>0</v>
      </c>
      <c r="KD92" s="9">
        <v>0</v>
      </c>
      <c r="KE92" s="9">
        <v>0</v>
      </c>
      <c r="KF92" s="9">
        <v>0</v>
      </c>
      <c r="KG92" s="9">
        <v>0</v>
      </c>
      <c r="KH92" s="9">
        <v>0</v>
      </c>
      <c r="KI92" s="9">
        <v>0</v>
      </c>
    </row>
    <row r="93" spans="1:295" ht="13" x14ac:dyDescent="0.3">
      <c r="A93" s="9">
        <v>101806</v>
      </c>
      <c r="B93" s="9">
        <v>36871</v>
      </c>
      <c r="C93" s="9">
        <v>35</v>
      </c>
      <c r="D93" s="9">
        <v>2023</v>
      </c>
      <c r="E93" s="9">
        <v>5392</v>
      </c>
      <c r="F93" s="9">
        <v>0</v>
      </c>
      <c r="G93" s="9">
        <v>0</v>
      </c>
      <c r="H93" s="9">
        <v>1191.5510000000002</v>
      </c>
      <c r="I93" s="9">
        <v>1191.5510000000002</v>
      </c>
      <c r="J93" s="9">
        <v>1253.94</v>
      </c>
      <c r="K93" s="9">
        <v>0</v>
      </c>
      <c r="L93" s="9">
        <v>6547</v>
      </c>
      <c r="M93" s="9">
        <v>0</v>
      </c>
      <c r="N93" s="9">
        <v>0</v>
      </c>
      <c r="O93" s="9">
        <v>0</v>
      </c>
      <c r="P93" s="9">
        <v>1254.2860000000001</v>
      </c>
      <c r="Q93" s="9">
        <v>0</v>
      </c>
      <c r="R93" s="10">
        <v>610739</v>
      </c>
      <c r="S93" s="9">
        <v>486.92200000000003</v>
      </c>
      <c r="T93" s="9">
        <v>0</v>
      </c>
      <c r="U93" s="10">
        <v>610739</v>
      </c>
      <c r="V93" s="10">
        <v>708.69299999999998</v>
      </c>
      <c r="W93" s="10">
        <v>463981</v>
      </c>
      <c r="X93" s="10">
        <v>463981</v>
      </c>
      <c r="Y93" s="9">
        <v>0</v>
      </c>
      <c r="Z93" s="9">
        <v>0</v>
      </c>
      <c r="AA93" s="9">
        <v>1</v>
      </c>
      <c r="AB93" s="9">
        <v>1</v>
      </c>
      <c r="AC93" s="9">
        <v>0</v>
      </c>
      <c r="AD93" s="9" t="s">
        <v>314</v>
      </c>
      <c r="AE93" s="9">
        <v>0</v>
      </c>
      <c r="AF93" s="9">
        <v>0</v>
      </c>
      <c r="AG93" s="9">
        <v>0</v>
      </c>
      <c r="AH93" s="9">
        <v>0</v>
      </c>
      <c r="AI93" s="9">
        <v>0</v>
      </c>
      <c r="AJ93" s="9">
        <v>5104</v>
      </c>
      <c r="AK93" s="9" t="s">
        <v>651</v>
      </c>
      <c r="AL93" s="9" t="s">
        <v>444</v>
      </c>
      <c r="AM93" s="9">
        <v>0</v>
      </c>
      <c r="AN93" s="9">
        <v>0</v>
      </c>
      <c r="AO93" s="9">
        <v>0</v>
      </c>
      <c r="AP93" s="9">
        <v>0</v>
      </c>
      <c r="AQ93" s="9">
        <v>0</v>
      </c>
      <c r="AR93" s="9">
        <v>0</v>
      </c>
      <c r="AS93" s="9">
        <v>0</v>
      </c>
      <c r="AT93" s="9">
        <v>0</v>
      </c>
      <c r="AU93" s="9">
        <v>0</v>
      </c>
      <c r="AV93" s="9">
        <v>-794328</v>
      </c>
      <c r="AW93" s="9">
        <v>13473612</v>
      </c>
      <c r="AX93" s="9">
        <v>13143533</v>
      </c>
      <c r="AY93" s="9">
        <v>13101556</v>
      </c>
      <c r="AZ93" s="9">
        <v>683390</v>
      </c>
      <c r="BA93" s="10">
        <v>68.917000000000002</v>
      </c>
      <c r="BB93" s="9">
        <v>47138</v>
      </c>
      <c r="BC93" s="9">
        <v>47138</v>
      </c>
      <c r="BD93" s="9">
        <v>60</v>
      </c>
      <c r="BE93" s="9">
        <v>0</v>
      </c>
      <c r="BF93" s="9">
        <v>11310310</v>
      </c>
      <c r="BG93" s="9">
        <v>0</v>
      </c>
      <c r="BH93" s="10">
        <v>264.185</v>
      </c>
      <c r="BI93" s="10">
        <v>72651</v>
      </c>
      <c r="BJ93" s="9">
        <v>12</v>
      </c>
      <c r="BK93" s="9">
        <v>0</v>
      </c>
      <c r="BL93" s="9">
        <v>0</v>
      </c>
      <c r="BM93" s="9">
        <v>0</v>
      </c>
      <c r="BN93" s="9">
        <v>0</v>
      </c>
      <c r="BO93" s="9">
        <v>0</v>
      </c>
      <c r="BP93" s="9">
        <v>0</v>
      </c>
      <c r="BQ93" s="9">
        <v>5392</v>
      </c>
      <c r="BR93" s="9">
        <v>1</v>
      </c>
      <c r="BS93" s="9">
        <v>0</v>
      </c>
      <c r="BT93" s="9">
        <v>0</v>
      </c>
      <c r="BU93" s="9">
        <v>0</v>
      </c>
      <c r="BV93" s="9">
        <v>0</v>
      </c>
      <c r="BW93" s="9">
        <v>0</v>
      </c>
      <c r="BX93" s="9">
        <v>0</v>
      </c>
      <c r="BY93" s="9">
        <v>0</v>
      </c>
      <c r="BZ93" s="9">
        <v>0</v>
      </c>
      <c r="CA93" s="9">
        <v>0</v>
      </c>
      <c r="CB93" s="9">
        <v>0</v>
      </c>
      <c r="CC93" s="9">
        <v>0</v>
      </c>
      <c r="CD93" s="9">
        <v>0</v>
      </c>
      <c r="CE93" s="9">
        <v>0</v>
      </c>
      <c r="CF93" s="9">
        <v>0</v>
      </c>
      <c r="CG93" s="9">
        <v>0</v>
      </c>
      <c r="CH93" s="10">
        <v>257428</v>
      </c>
      <c r="CI93" s="9">
        <v>0</v>
      </c>
      <c r="CJ93" s="9">
        <v>4</v>
      </c>
      <c r="CK93" s="9">
        <v>0</v>
      </c>
      <c r="CL93" s="9">
        <v>0</v>
      </c>
      <c r="CM93" s="9">
        <v>0</v>
      </c>
      <c r="CN93" s="9">
        <v>0</v>
      </c>
      <c r="CO93" s="9">
        <v>0</v>
      </c>
      <c r="CP93" s="9">
        <v>0</v>
      </c>
      <c r="CQ93" s="9">
        <v>7.6670000000000007</v>
      </c>
      <c r="CR93" s="9">
        <v>1165.3390000000002</v>
      </c>
      <c r="CS93" s="9">
        <v>0</v>
      </c>
      <c r="CT93" s="9">
        <v>0</v>
      </c>
      <c r="CU93" s="9">
        <v>0</v>
      </c>
      <c r="CV93" s="9">
        <v>0</v>
      </c>
      <c r="CW93" s="9">
        <v>0</v>
      </c>
      <c r="CX93" s="9">
        <v>0</v>
      </c>
      <c r="CY93" s="9">
        <v>0</v>
      </c>
      <c r="CZ93" s="9">
        <v>0</v>
      </c>
      <c r="DA93" s="9">
        <v>1</v>
      </c>
      <c r="DB93" s="9">
        <v>7801084</v>
      </c>
      <c r="DC93" s="9">
        <v>0</v>
      </c>
      <c r="DD93" s="9">
        <v>0</v>
      </c>
      <c r="DE93" s="9">
        <v>2306286</v>
      </c>
      <c r="DF93" s="9">
        <v>2306286</v>
      </c>
      <c r="DG93" s="9">
        <v>1761.33</v>
      </c>
      <c r="DH93" s="9">
        <v>0</v>
      </c>
      <c r="DI93" s="9">
        <v>0</v>
      </c>
      <c r="DJ93" s="9">
        <v>0</v>
      </c>
      <c r="DK93" s="9">
        <v>5392</v>
      </c>
      <c r="DL93" s="9">
        <v>0</v>
      </c>
      <c r="DM93" s="9">
        <v>684598</v>
      </c>
      <c r="DN93" s="9">
        <v>0</v>
      </c>
      <c r="DO93" s="9">
        <v>0</v>
      </c>
      <c r="DP93" s="9">
        <v>0</v>
      </c>
      <c r="DQ93" s="9">
        <v>0</v>
      </c>
      <c r="DR93" s="9">
        <v>0</v>
      </c>
      <c r="DS93" s="9">
        <v>0</v>
      </c>
      <c r="DT93" s="9">
        <v>0</v>
      </c>
      <c r="DU93" s="9">
        <v>0</v>
      </c>
      <c r="DV93" s="9">
        <v>0</v>
      </c>
      <c r="DW93" s="9">
        <v>0</v>
      </c>
      <c r="DX93" s="9">
        <v>0</v>
      </c>
      <c r="DY93" s="9">
        <v>0</v>
      </c>
      <c r="DZ93" s="9">
        <v>0</v>
      </c>
      <c r="EA93" s="9">
        <v>0</v>
      </c>
      <c r="EB93" s="9">
        <v>0</v>
      </c>
      <c r="EC93" s="9">
        <v>19.417000000000002</v>
      </c>
      <c r="ED93" s="9">
        <v>139835</v>
      </c>
      <c r="EE93" s="9">
        <v>0</v>
      </c>
      <c r="EF93" s="9">
        <v>0</v>
      </c>
      <c r="EG93" s="9">
        <v>0</v>
      </c>
      <c r="EH93" s="9">
        <v>544763</v>
      </c>
      <c r="EI93" s="9">
        <v>0</v>
      </c>
      <c r="EJ93" s="9">
        <v>0</v>
      </c>
      <c r="EK93" s="9">
        <v>20.094000000000001</v>
      </c>
      <c r="EL93" s="9">
        <v>0</v>
      </c>
      <c r="EM93" s="9">
        <v>4.3620000000000001</v>
      </c>
      <c r="EN93" s="9">
        <v>1.9680000000000002</v>
      </c>
      <c r="EO93" s="9">
        <v>0</v>
      </c>
      <c r="EP93" s="9">
        <v>0</v>
      </c>
      <c r="EQ93" s="9">
        <v>26.424000000000003</v>
      </c>
      <c r="ER93" s="9">
        <v>0</v>
      </c>
      <c r="ES93" s="9">
        <v>83.207999999999998</v>
      </c>
      <c r="ET93" s="10">
        <v>36375</v>
      </c>
      <c r="EU93" s="9">
        <v>683390</v>
      </c>
      <c r="EV93" s="9">
        <v>0</v>
      </c>
      <c r="EW93" s="9">
        <v>0</v>
      </c>
      <c r="EX93" s="9">
        <v>0</v>
      </c>
      <c r="EY93" s="9">
        <v>0</v>
      </c>
      <c r="EZ93" s="9">
        <v>11021266</v>
      </c>
      <c r="FA93" s="9">
        <v>0</v>
      </c>
      <c r="FB93" s="10">
        <v>11704656</v>
      </c>
      <c r="FC93" s="9">
        <v>0.97326799999999991</v>
      </c>
      <c r="FD93" s="9">
        <v>0</v>
      </c>
      <c r="FE93" s="9">
        <v>1749675</v>
      </c>
      <c r="FF93" s="9">
        <v>372592</v>
      </c>
      <c r="FG93" s="9">
        <v>5.8088000000000001E-2</v>
      </c>
      <c r="FH93" s="9">
        <v>5.2622999999999996E-2</v>
      </c>
      <c r="FI93" s="9">
        <v>0</v>
      </c>
      <c r="FJ93" s="9">
        <v>0</v>
      </c>
      <c r="FK93" s="9">
        <v>2216.0909999999999</v>
      </c>
      <c r="FL93" s="9">
        <v>14084351</v>
      </c>
      <c r="FM93" s="9">
        <v>0</v>
      </c>
      <c r="FN93" s="9">
        <v>0</v>
      </c>
      <c r="FO93" s="9">
        <v>11043</v>
      </c>
      <c r="FP93" s="9">
        <v>0</v>
      </c>
      <c r="FQ93" s="9">
        <v>11043</v>
      </c>
      <c r="FR93" s="9">
        <v>11043</v>
      </c>
      <c r="FS93" s="9">
        <v>0</v>
      </c>
      <c r="FT93" s="9">
        <v>0</v>
      </c>
      <c r="FU93" s="9">
        <v>0</v>
      </c>
      <c r="FV93" s="9">
        <v>0</v>
      </c>
      <c r="FW93" s="9">
        <v>0</v>
      </c>
      <c r="FX93" s="9">
        <v>0</v>
      </c>
      <c r="FY93" s="9">
        <v>0</v>
      </c>
      <c r="FZ93" s="9">
        <v>0</v>
      </c>
      <c r="GA93" s="9">
        <v>0</v>
      </c>
      <c r="GB93" s="10">
        <v>317875</v>
      </c>
      <c r="GC93" s="10">
        <v>317875</v>
      </c>
      <c r="GD93" s="10">
        <v>35.965000000000003</v>
      </c>
      <c r="GE93" s="9">
        <v>0</v>
      </c>
      <c r="GF93" s="9">
        <v>0</v>
      </c>
      <c r="GG93" s="9">
        <v>0</v>
      </c>
      <c r="GH93" s="9">
        <v>0</v>
      </c>
      <c r="GI93" s="9">
        <v>0</v>
      </c>
      <c r="GJ93" s="9">
        <v>0</v>
      </c>
      <c r="GK93" s="9">
        <v>5152</v>
      </c>
      <c r="GL93" s="9">
        <v>31473</v>
      </c>
      <c r="GM93" s="9">
        <v>0</v>
      </c>
      <c r="GN93" s="9">
        <v>48529</v>
      </c>
      <c r="GO93" s="9">
        <v>0</v>
      </c>
      <c r="GP93" s="9">
        <v>13826923</v>
      </c>
      <c r="GQ93" s="9">
        <v>13826923</v>
      </c>
      <c r="GR93" s="9">
        <v>0</v>
      </c>
      <c r="GS93" s="9">
        <v>0</v>
      </c>
      <c r="GT93" s="9">
        <v>0</v>
      </c>
      <c r="GU93" s="9">
        <v>0</v>
      </c>
      <c r="GV93" s="9">
        <v>0</v>
      </c>
      <c r="GW93" s="9">
        <v>0</v>
      </c>
      <c r="GX93" s="9">
        <v>0</v>
      </c>
      <c r="GY93" s="9">
        <v>0</v>
      </c>
      <c r="GZ93" s="9">
        <v>0</v>
      </c>
      <c r="HA93" s="9">
        <v>0</v>
      </c>
      <c r="HB93" s="9">
        <v>300501363</v>
      </c>
      <c r="HC93" s="9">
        <v>4.4742999999999998E-2</v>
      </c>
      <c r="HD93" s="10">
        <v>221053</v>
      </c>
      <c r="HE93" s="9">
        <v>0</v>
      </c>
      <c r="HF93" s="9">
        <v>0</v>
      </c>
      <c r="HG93" s="9">
        <v>0</v>
      </c>
      <c r="HH93" s="9">
        <v>0</v>
      </c>
      <c r="HI93" s="9">
        <v>0</v>
      </c>
      <c r="HJ93" s="9">
        <v>0</v>
      </c>
      <c r="HK93" s="9">
        <v>0</v>
      </c>
      <c r="HL93" s="9">
        <v>0</v>
      </c>
      <c r="HM93" s="9">
        <v>0</v>
      </c>
      <c r="HN93" s="9">
        <v>0</v>
      </c>
      <c r="HO93" s="9">
        <v>0</v>
      </c>
      <c r="HP93" s="9">
        <v>0</v>
      </c>
      <c r="HQ93" s="9">
        <v>0</v>
      </c>
      <c r="HR93" s="9">
        <v>0</v>
      </c>
      <c r="HS93" s="9">
        <v>0</v>
      </c>
      <c r="HT93" s="9">
        <v>0</v>
      </c>
      <c r="HU93" s="9">
        <v>0</v>
      </c>
      <c r="HV93" s="9">
        <v>0</v>
      </c>
      <c r="HW93" s="9">
        <v>0</v>
      </c>
      <c r="HX93" s="9">
        <v>0</v>
      </c>
      <c r="HY93" s="9">
        <v>0</v>
      </c>
      <c r="HZ93" s="9">
        <v>0</v>
      </c>
      <c r="IA93" s="9">
        <v>0</v>
      </c>
      <c r="IB93" s="9">
        <v>0</v>
      </c>
      <c r="IC93" s="9">
        <v>0</v>
      </c>
      <c r="ID93" s="9">
        <v>0</v>
      </c>
      <c r="IE93" s="9">
        <v>0</v>
      </c>
      <c r="IF93" s="9">
        <v>0</v>
      </c>
      <c r="IG93" s="9">
        <v>0</v>
      </c>
      <c r="IH93" s="9">
        <v>0</v>
      </c>
      <c r="II93" s="9">
        <v>0</v>
      </c>
      <c r="IJ93" s="9">
        <v>0</v>
      </c>
      <c r="IK93" s="9">
        <v>0</v>
      </c>
      <c r="IL93" s="9">
        <v>0</v>
      </c>
      <c r="IM93" s="9">
        <v>0</v>
      </c>
      <c r="IN93" s="9">
        <v>0</v>
      </c>
      <c r="IO93" s="9">
        <v>0</v>
      </c>
      <c r="IP93" s="9">
        <v>0</v>
      </c>
      <c r="IQ93" s="9">
        <v>0</v>
      </c>
      <c r="IR93" s="9">
        <v>0</v>
      </c>
      <c r="IS93" s="9">
        <v>0</v>
      </c>
      <c r="IT93" s="9">
        <v>0</v>
      </c>
      <c r="IU93" s="9">
        <v>0</v>
      </c>
      <c r="IV93" s="9">
        <v>0</v>
      </c>
      <c r="IW93" s="9">
        <v>0</v>
      </c>
      <c r="IX93" s="9">
        <v>0</v>
      </c>
      <c r="IY93" s="9">
        <v>0</v>
      </c>
      <c r="IZ93" s="9">
        <v>0</v>
      </c>
      <c r="JA93" s="9">
        <v>0</v>
      </c>
      <c r="JB93" s="9">
        <v>0</v>
      </c>
      <c r="JC93" s="9">
        <v>0</v>
      </c>
      <c r="JD93" s="9">
        <v>0</v>
      </c>
      <c r="JE93" s="9">
        <v>0</v>
      </c>
      <c r="JF93" s="9">
        <v>0</v>
      </c>
      <c r="JG93" s="9">
        <v>0</v>
      </c>
      <c r="JH93" s="9">
        <v>0</v>
      </c>
      <c r="JI93" s="9">
        <v>0</v>
      </c>
      <c r="JJ93" s="9">
        <v>0</v>
      </c>
      <c r="JK93" s="9">
        <v>0</v>
      </c>
      <c r="JL93" s="9">
        <v>0</v>
      </c>
      <c r="JM93" s="9">
        <v>0</v>
      </c>
      <c r="JN93" s="9">
        <v>36832</v>
      </c>
      <c r="JO93" s="9">
        <v>0</v>
      </c>
      <c r="JP93" s="9">
        <v>0</v>
      </c>
      <c r="JQ93" s="9">
        <v>0</v>
      </c>
      <c r="JR93" s="9">
        <v>0</v>
      </c>
      <c r="JS93" s="9">
        <v>0</v>
      </c>
      <c r="JT93" s="9">
        <v>0</v>
      </c>
      <c r="JU93" s="9">
        <v>0</v>
      </c>
      <c r="JV93" s="9">
        <v>0</v>
      </c>
      <c r="JW93" s="9">
        <v>0</v>
      </c>
      <c r="JX93" s="9">
        <v>0</v>
      </c>
      <c r="JY93" s="9">
        <v>0</v>
      </c>
      <c r="JZ93" s="9">
        <v>0</v>
      </c>
      <c r="KA93" s="9">
        <v>0</v>
      </c>
      <c r="KB93" s="9">
        <v>0</v>
      </c>
      <c r="KC93" s="9">
        <v>0</v>
      </c>
      <c r="KD93" s="9">
        <v>0</v>
      </c>
      <c r="KE93" s="9">
        <v>0</v>
      </c>
      <c r="KF93" s="9">
        <v>0</v>
      </c>
      <c r="KG93" s="9">
        <v>0</v>
      </c>
      <c r="KH93" s="9">
        <v>0</v>
      </c>
      <c r="KI93" s="9">
        <v>0</v>
      </c>
    </row>
    <row r="94" spans="1:295" x14ac:dyDescent="0.25">
      <c r="A94" s="9">
        <v>101810</v>
      </c>
      <c r="B94" s="9">
        <v>36871</v>
      </c>
      <c r="C94" s="9">
        <v>35</v>
      </c>
      <c r="D94" s="9">
        <v>2023</v>
      </c>
      <c r="E94" s="9">
        <v>5392</v>
      </c>
      <c r="F94" s="9">
        <v>0</v>
      </c>
      <c r="G94" s="9">
        <v>0</v>
      </c>
      <c r="H94" s="9">
        <v>763.32300000000009</v>
      </c>
      <c r="I94" s="9">
        <v>763.32300000000009</v>
      </c>
      <c r="J94" s="9">
        <v>764.10599999999999</v>
      </c>
      <c r="K94" s="9">
        <v>0</v>
      </c>
      <c r="L94" s="9">
        <v>6547</v>
      </c>
      <c r="M94" s="9">
        <v>0</v>
      </c>
      <c r="N94" s="9">
        <v>0</v>
      </c>
      <c r="O94" s="9">
        <v>0</v>
      </c>
      <c r="P94" s="9">
        <v>698.21600000000001</v>
      </c>
      <c r="Q94" s="9">
        <v>0</v>
      </c>
      <c r="R94" s="9">
        <v>339977</v>
      </c>
      <c r="S94" s="9">
        <v>486.92200000000003</v>
      </c>
      <c r="T94" s="9">
        <v>0</v>
      </c>
      <c r="U94" s="9">
        <v>339977</v>
      </c>
      <c r="V94" s="9">
        <v>426.83800000000002</v>
      </c>
      <c r="W94" s="9">
        <v>279451</v>
      </c>
      <c r="X94" s="9">
        <v>279451</v>
      </c>
      <c r="Y94" s="9">
        <v>0</v>
      </c>
      <c r="Z94" s="9">
        <v>0</v>
      </c>
      <c r="AA94" s="9">
        <v>1</v>
      </c>
      <c r="AB94" s="9">
        <v>1</v>
      </c>
      <c r="AC94" s="9">
        <v>0</v>
      </c>
      <c r="AD94" s="9" t="s">
        <v>314</v>
      </c>
      <c r="AE94" s="9">
        <v>0</v>
      </c>
      <c r="AF94" s="9">
        <v>0</v>
      </c>
      <c r="AG94" s="9">
        <v>0</v>
      </c>
      <c r="AH94" s="9">
        <v>0</v>
      </c>
      <c r="AI94" s="9">
        <v>0</v>
      </c>
      <c r="AJ94" s="9">
        <v>5104</v>
      </c>
      <c r="AK94" s="9" t="s">
        <v>651</v>
      </c>
      <c r="AL94" s="9" t="s">
        <v>342</v>
      </c>
      <c r="AM94" s="9">
        <v>0</v>
      </c>
      <c r="AN94" s="9">
        <v>0</v>
      </c>
      <c r="AO94" s="9">
        <v>0</v>
      </c>
      <c r="AP94" s="9">
        <v>0</v>
      </c>
      <c r="AQ94" s="9">
        <v>0</v>
      </c>
      <c r="AR94" s="9">
        <v>0</v>
      </c>
      <c r="AS94" s="9">
        <v>0</v>
      </c>
      <c r="AT94" s="9">
        <v>0</v>
      </c>
      <c r="AU94" s="9">
        <v>0</v>
      </c>
      <c r="AV94" s="9">
        <v>-221483</v>
      </c>
      <c r="AW94" s="9">
        <v>7400271</v>
      </c>
      <c r="AX94" s="9">
        <v>7260944</v>
      </c>
      <c r="AY94" s="9">
        <v>8164996</v>
      </c>
      <c r="AZ94" s="9">
        <v>339977</v>
      </c>
      <c r="BA94" s="9">
        <v>9.25</v>
      </c>
      <c r="BB94" s="9">
        <v>0</v>
      </c>
      <c r="BC94" s="9">
        <v>0</v>
      </c>
      <c r="BD94" s="9">
        <v>0</v>
      </c>
      <c r="BE94" s="9">
        <v>0</v>
      </c>
      <c r="BF94" s="9">
        <v>6255355</v>
      </c>
      <c r="BG94" s="9">
        <v>0</v>
      </c>
      <c r="BH94" s="9">
        <v>0</v>
      </c>
      <c r="BI94" s="9">
        <v>0</v>
      </c>
      <c r="BJ94" s="9">
        <v>12</v>
      </c>
      <c r="BK94" s="9">
        <v>0</v>
      </c>
      <c r="BL94" s="9">
        <v>0</v>
      </c>
      <c r="BM94" s="9">
        <v>0</v>
      </c>
      <c r="BN94" s="9">
        <v>0</v>
      </c>
      <c r="BO94" s="9">
        <v>0</v>
      </c>
      <c r="BP94" s="9">
        <v>0</v>
      </c>
      <c r="BQ94" s="9">
        <v>5392</v>
      </c>
      <c r="BR94" s="9">
        <v>1</v>
      </c>
      <c r="BS94" s="9">
        <v>0</v>
      </c>
      <c r="BT94" s="9">
        <v>0</v>
      </c>
      <c r="BU94" s="9">
        <v>0</v>
      </c>
      <c r="BV94" s="9">
        <v>0</v>
      </c>
      <c r="BW94" s="9">
        <v>0</v>
      </c>
      <c r="BX94" s="9">
        <v>0</v>
      </c>
      <c r="BY94" s="9">
        <v>0</v>
      </c>
      <c r="BZ94" s="9">
        <v>0</v>
      </c>
      <c r="CA94" s="9">
        <v>0</v>
      </c>
      <c r="CB94" s="9">
        <v>0</v>
      </c>
      <c r="CC94" s="9">
        <v>0</v>
      </c>
      <c r="CD94" s="9">
        <v>0</v>
      </c>
      <c r="CE94" s="9">
        <v>0</v>
      </c>
      <c r="CF94" s="9">
        <v>0</v>
      </c>
      <c r="CG94" s="9">
        <v>0</v>
      </c>
      <c r="CH94" s="9">
        <v>139327</v>
      </c>
      <c r="CI94" s="9">
        <v>0</v>
      </c>
      <c r="CJ94" s="9">
        <v>4</v>
      </c>
      <c r="CK94" s="9">
        <v>0</v>
      </c>
      <c r="CL94" s="9">
        <v>0</v>
      </c>
      <c r="CM94" s="9">
        <v>0</v>
      </c>
      <c r="CN94" s="9">
        <v>0</v>
      </c>
      <c r="CO94" s="9">
        <v>0</v>
      </c>
      <c r="CP94" s="9">
        <v>0</v>
      </c>
      <c r="CQ94" s="9">
        <v>0</v>
      </c>
      <c r="CR94" s="9">
        <v>661.76300000000003</v>
      </c>
      <c r="CS94" s="9">
        <v>0</v>
      </c>
      <c r="CT94" s="9">
        <v>0</v>
      </c>
      <c r="CU94" s="9">
        <v>0</v>
      </c>
      <c r="CV94" s="9">
        <v>0</v>
      </c>
      <c r="CW94" s="9">
        <v>0</v>
      </c>
      <c r="CX94" s="9">
        <v>0</v>
      </c>
      <c r="CY94" s="9">
        <v>0</v>
      </c>
      <c r="CZ94" s="9">
        <v>0</v>
      </c>
      <c r="DA94" s="9">
        <v>1</v>
      </c>
      <c r="DB94" s="9">
        <v>4997476</v>
      </c>
      <c r="DC94" s="9">
        <v>0</v>
      </c>
      <c r="DD94" s="9">
        <v>0</v>
      </c>
      <c r="DE94" s="9">
        <v>1051016</v>
      </c>
      <c r="DF94" s="9">
        <v>1051016</v>
      </c>
      <c r="DG94" s="9">
        <v>802.67000000000007</v>
      </c>
      <c r="DH94" s="9">
        <v>0</v>
      </c>
      <c r="DI94" s="9">
        <v>0</v>
      </c>
      <c r="DJ94" s="9">
        <v>0</v>
      </c>
      <c r="DK94" s="9">
        <v>5392</v>
      </c>
      <c r="DL94" s="9">
        <v>0</v>
      </c>
      <c r="DM94" s="9">
        <v>99223</v>
      </c>
      <c r="DN94" s="9">
        <v>0</v>
      </c>
      <c r="DO94" s="9">
        <v>0</v>
      </c>
      <c r="DP94" s="9">
        <v>0</v>
      </c>
      <c r="DQ94" s="9">
        <v>0</v>
      </c>
      <c r="DR94" s="9">
        <v>0</v>
      </c>
      <c r="DS94" s="9">
        <v>0</v>
      </c>
      <c r="DT94" s="9">
        <v>0</v>
      </c>
      <c r="DU94" s="9">
        <v>0</v>
      </c>
      <c r="DV94" s="9">
        <v>0</v>
      </c>
      <c r="DW94" s="9">
        <v>0</v>
      </c>
      <c r="DX94" s="9">
        <v>0</v>
      </c>
      <c r="DY94" s="9">
        <v>0</v>
      </c>
      <c r="DZ94" s="9">
        <v>0</v>
      </c>
      <c r="EA94" s="9">
        <v>0</v>
      </c>
      <c r="EB94" s="9">
        <v>0</v>
      </c>
      <c r="EC94" s="9">
        <v>11.084000000000001</v>
      </c>
      <c r="ED94" s="9">
        <v>79824</v>
      </c>
      <c r="EE94" s="9">
        <v>0</v>
      </c>
      <c r="EF94" s="9">
        <v>0</v>
      </c>
      <c r="EG94" s="9">
        <v>0</v>
      </c>
      <c r="EH94" s="9">
        <v>19399</v>
      </c>
      <c r="EI94" s="9">
        <v>0</v>
      </c>
      <c r="EJ94" s="9">
        <v>0</v>
      </c>
      <c r="EK94" s="9">
        <v>0.47600000000000003</v>
      </c>
      <c r="EL94" s="9">
        <v>0</v>
      </c>
      <c r="EM94" s="9">
        <v>0</v>
      </c>
      <c r="EN94" s="9">
        <v>0.307</v>
      </c>
      <c r="EO94" s="9">
        <v>0</v>
      </c>
      <c r="EP94" s="9">
        <v>0</v>
      </c>
      <c r="EQ94" s="9">
        <v>0.78300000000000003</v>
      </c>
      <c r="ER94" s="9">
        <v>0</v>
      </c>
      <c r="ES94" s="9">
        <v>2.9630000000000001</v>
      </c>
      <c r="ET94" s="9">
        <v>4625</v>
      </c>
      <c r="EU94" s="9">
        <v>339977</v>
      </c>
      <c r="EV94" s="9">
        <v>0</v>
      </c>
      <c r="EW94" s="9">
        <v>0</v>
      </c>
      <c r="EX94" s="9">
        <v>0</v>
      </c>
      <c r="EY94" s="9">
        <v>0</v>
      </c>
      <c r="EZ94" s="9">
        <v>6087189</v>
      </c>
      <c r="FA94" s="9">
        <v>0</v>
      </c>
      <c r="FB94" s="9">
        <v>6427166</v>
      </c>
      <c r="FC94" s="9">
        <v>0.97326799999999991</v>
      </c>
      <c r="FD94" s="9">
        <v>0</v>
      </c>
      <c r="FE94" s="9">
        <v>967687</v>
      </c>
      <c r="FF94" s="9">
        <v>206068</v>
      </c>
      <c r="FG94" s="9">
        <v>5.8088000000000001E-2</v>
      </c>
      <c r="FH94" s="9">
        <v>5.2622999999999996E-2</v>
      </c>
      <c r="FI94" s="9">
        <v>0</v>
      </c>
      <c r="FJ94" s="9">
        <v>0</v>
      </c>
      <c r="FK94" s="9">
        <v>1225.646</v>
      </c>
      <c r="FL94" s="9">
        <v>7740248</v>
      </c>
      <c r="FM94" s="9">
        <v>0</v>
      </c>
      <c r="FN94" s="9">
        <v>0</v>
      </c>
      <c r="FO94" s="9">
        <v>0</v>
      </c>
      <c r="FP94" s="9">
        <v>0</v>
      </c>
      <c r="FQ94" s="9">
        <v>0</v>
      </c>
      <c r="FR94" s="9">
        <v>0</v>
      </c>
      <c r="FS94" s="9">
        <v>0</v>
      </c>
      <c r="FT94" s="9">
        <v>0</v>
      </c>
      <c r="FU94" s="9">
        <v>0</v>
      </c>
      <c r="FV94" s="9">
        <v>0</v>
      </c>
      <c r="FW94" s="9">
        <v>0</v>
      </c>
      <c r="FX94" s="9">
        <v>0</v>
      </c>
      <c r="FY94" s="9">
        <v>0</v>
      </c>
      <c r="FZ94" s="9">
        <v>0</v>
      </c>
      <c r="GA94" s="9">
        <v>0</v>
      </c>
      <c r="GB94" s="9">
        <v>0</v>
      </c>
      <c r="GC94" s="9">
        <v>0</v>
      </c>
      <c r="GD94" s="9">
        <v>0</v>
      </c>
      <c r="GE94" s="9">
        <v>0</v>
      </c>
      <c r="GF94" s="9">
        <v>0</v>
      </c>
      <c r="GG94" s="9">
        <v>0</v>
      </c>
      <c r="GH94" s="9">
        <v>0</v>
      </c>
      <c r="GI94" s="9">
        <v>0</v>
      </c>
      <c r="GJ94" s="9">
        <v>0</v>
      </c>
      <c r="GK94" s="9">
        <v>5173</v>
      </c>
      <c r="GL94" s="9">
        <v>15800</v>
      </c>
      <c r="GM94" s="9">
        <v>0</v>
      </c>
      <c r="GN94" s="9">
        <v>0</v>
      </c>
      <c r="GO94" s="9">
        <v>0</v>
      </c>
      <c r="GP94" s="9">
        <v>7600921</v>
      </c>
      <c r="GQ94" s="9">
        <v>7600921</v>
      </c>
      <c r="GR94" s="9">
        <v>0</v>
      </c>
      <c r="GS94" s="9">
        <v>0</v>
      </c>
      <c r="GT94" s="9">
        <v>0</v>
      </c>
      <c r="GU94" s="9">
        <v>0</v>
      </c>
      <c r="GV94" s="9">
        <v>0</v>
      </c>
      <c r="GW94" s="9">
        <v>0</v>
      </c>
      <c r="GX94" s="9">
        <v>0</v>
      </c>
      <c r="GY94" s="9">
        <v>0</v>
      </c>
      <c r="GZ94" s="9">
        <v>0</v>
      </c>
      <c r="HA94" s="9">
        <v>0</v>
      </c>
      <c r="HB94" s="9">
        <v>300501363</v>
      </c>
      <c r="HC94" s="9">
        <v>4.4742999999999998E-2</v>
      </c>
      <c r="HD94" s="9">
        <v>134702</v>
      </c>
      <c r="HE94" s="9">
        <v>0</v>
      </c>
      <c r="HF94" s="9">
        <v>0</v>
      </c>
      <c r="HG94" s="9">
        <v>0</v>
      </c>
      <c r="HH94" s="9">
        <v>0</v>
      </c>
      <c r="HI94" s="9">
        <v>0</v>
      </c>
      <c r="HJ94" s="9">
        <v>0</v>
      </c>
      <c r="HK94" s="9">
        <v>0</v>
      </c>
      <c r="HL94" s="9">
        <v>0</v>
      </c>
      <c r="HM94" s="9">
        <v>0</v>
      </c>
      <c r="HN94" s="9">
        <v>0</v>
      </c>
      <c r="HO94" s="9">
        <v>0</v>
      </c>
      <c r="HP94" s="9">
        <v>0</v>
      </c>
      <c r="HQ94" s="9">
        <v>0</v>
      </c>
      <c r="HR94" s="9">
        <v>0</v>
      </c>
      <c r="HS94" s="9">
        <v>0</v>
      </c>
      <c r="HT94" s="9">
        <v>0</v>
      </c>
      <c r="HU94" s="9">
        <v>0</v>
      </c>
      <c r="HV94" s="9">
        <v>0</v>
      </c>
      <c r="HW94" s="9">
        <v>0</v>
      </c>
      <c r="HX94" s="9">
        <v>0</v>
      </c>
      <c r="HY94" s="9">
        <v>0</v>
      </c>
      <c r="HZ94" s="9">
        <v>0</v>
      </c>
      <c r="IA94" s="9">
        <v>0</v>
      </c>
      <c r="IB94" s="9">
        <v>0</v>
      </c>
      <c r="IC94" s="9">
        <v>0</v>
      </c>
      <c r="ID94" s="9">
        <v>0</v>
      </c>
      <c r="IE94" s="9">
        <v>0</v>
      </c>
      <c r="IF94" s="9">
        <v>0</v>
      </c>
      <c r="IG94" s="9">
        <v>0</v>
      </c>
      <c r="IH94" s="9">
        <v>0</v>
      </c>
      <c r="II94" s="9">
        <v>0</v>
      </c>
      <c r="IJ94" s="9">
        <v>0</v>
      </c>
      <c r="IK94" s="9">
        <v>0</v>
      </c>
      <c r="IL94" s="9">
        <v>0</v>
      </c>
      <c r="IM94" s="9">
        <v>0</v>
      </c>
      <c r="IN94" s="9">
        <v>0</v>
      </c>
      <c r="IO94" s="9">
        <v>0</v>
      </c>
      <c r="IP94" s="9">
        <v>0</v>
      </c>
      <c r="IQ94" s="9">
        <v>0</v>
      </c>
      <c r="IR94" s="9">
        <v>0</v>
      </c>
      <c r="IS94" s="9">
        <v>0</v>
      </c>
      <c r="IT94" s="9">
        <v>0</v>
      </c>
      <c r="IU94" s="9">
        <v>0</v>
      </c>
      <c r="IV94" s="9">
        <v>0</v>
      </c>
      <c r="IW94" s="9">
        <v>0</v>
      </c>
      <c r="IX94" s="9">
        <v>0</v>
      </c>
      <c r="IY94" s="9">
        <v>0</v>
      </c>
      <c r="IZ94" s="9">
        <v>0</v>
      </c>
      <c r="JA94" s="9">
        <v>0</v>
      </c>
      <c r="JB94" s="9">
        <v>0</v>
      </c>
      <c r="JC94" s="9">
        <v>0</v>
      </c>
      <c r="JD94" s="9">
        <v>0</v>
      </c>
      <c r="JE94" s="9">
        <v>0</v>
      </c>
      <c r="JF94" s="9">
        <v>0</v>
      </c>
      <c r="JG94" s="9">
        <v>0</v>
      </c>
      <c r="JH94" s="9">
        <v>0</v>
      </c>
      <c r="JI94" s="9">
        <v>0</v>
      </c>
      <c r="JJ94" s="9">
        <v>0</v>
      </c>
      <c r="JK94" s="9">
        <v>0</v>
      </c>
      <c r="JL94" s="9">
        <v>0</v>
      </c>
      <c r="JM94" s="9">
        <v>0</v>
      </c>
      <c r="JN94" s="9">
        <v>36832</v>
      </c>
      <c r="JO94" s="9">
        <v>0</v>
      </c>
      <c r="JP94" s="9">
        <v>0</v>
      </c>
      <c r="JQ94" s="9">
        <v>0</v>
      </c>
      <c r="JR94" s="9">
        <v>0</v>
      </c>
      <c r="JS94" s="9">
        <v>0</v>
      </c>
      <c r="JT94" s="9">
        <v>0</v>
      </c>
      <c r="JU94" s="9">
        <v>0</v>
      </c>
      <c r="JV94" s="9">
        <v>0</v>
      </c>
      <c r="JW94" s="9">
        <v>0</v>
      </c>
      <c r="JX94" s="9">
        <v>0</v>
      </c>
      <c r="JY94" s="9">
        <v>0</v>
      </c>
      <c r="JZ94" s="9">
        <v>0</v>
      </c>
      <c r="KA94" s="9">
        <v>0</v>
      </c>
      <c r="KB94" s="9">
        <v>0</v>
      </c>
      <c r="KC94" s="9">
        <v>0</v>
      </c>
      <c r="KD94" s="9">
        <v>0</v>
      </c>
      <c r="KE94" s="9">
        <v>0</v>
      </c>
      <c r="KF94" s="9">
        <v>0</v>
      </c>
      <c r="KG94" s="9">
        <v>0</v>
      </c>
      <c r="KH94" s="9">
        <v>0</v>
      </c>
      <c r="KI94" s="9">
        <v>0</v>
      </c>
    </row>
    <row r="95" spans="1:295" x14ac:dyDescent="0.25">
      <c r="A95" s="9">
        <v>101811</v>
      </c>
      <c r="B95" s="9">
        <v>36871</v>
      </c>
      <c r="C95" s="9">
        <v>35</v>
      </c>
      <c r="D95" s="9">
        <v>2023</v>
      </c>
      <c r="E95" s="9">
        <v>5392</v>
      </c>
      <c r="F95" s="9">
        <v>0</v>
      </c>
      <c r="G95" s="9">
        <v>0</v>
      </c>
      <c r="H95" s="9">
        <v>159.89500000000001</v>
      </c>
      <c r="I95" s="9">
        <v>159.89500000000001</v>
      </c>
      <c r="J95" s="9">
        <v>191.04900000000001</v>
      </c>
      <c r="K95" s="9">
        <v>0</v>
      </c>
      <c r="L95" s="9">
        <v>6547</v>
      </c>
      <c r="M95" s="9">
        <v>0</v>
      </c>
      <c r="N95" s="9">
        <v>0</v>
      </c>
      <c r="O95" s="9">
        <v>0</v>
      </c>
      <c r="P95" s="9">
        <v>270.839</v>
      </c>
      <c r="Q95" s="9">
        <v>0</v>
      </c>
      <c r="R95" s="9">
        <v>131877</v>
      </c>
      <c r="S95" s="9">
        <v>486.92200000000003</v>
      </c>
      <c r="T95" s="9">
        <v>0</v>
      </c>
      <c r="U95" s="9">
        <v>131877</v>
      </c>
      <c r="V95" s="9">
        <v>26.702000000000002</v>
      </c>
      <c r="W95" s="9">
        <v>17482</v>
      </c>
      <c r="X95" s="9">
        <v>17482</v>
      </c>
      <c r="Y95" s="9">
        <v>0</v>
      </c>
      <c r="Z95" s="9">
        <v>0</v>
      </c>
      <c r="AA95" s="9">
        <v>1</v>
      </c>
      <c r="AB95" s="9">
        <v>1</v>
      </c>
      <c r="AC95" s="9">
        <v>0</v>
      </c>
      <c r="AD95" s="9" t="s">
        <v>314</v>
      </c>
      <c r="AE95" s="9">
        <v>0</v>
      </c>
      <c r="AF95" s="9">
        <v>0</v>
      </c>
      <c r="AG95" s="9">
        <v>0</v>
      </c>
      <c r="AH95" s="9">
        <v>0</v>
      </c>
      <c r="AI95" s="9">
        <v>0</v>
      </c>
      <c r="AJ95" s="9">
        <v>5104</v>
      </c>
      <c r="AK95" s="9" t="s">
        <v>651</v>
      </c>
      <c r="AL95" s="9" t="s">
        <v>343</v>
      </c>
      <c r="AM95" s="9">
        <v>0</v>
      </c>
      <c r="AN95" s="9">
        <v>0</v>
      </c>
      <c r="AO95" s="9">
        <v>0</v>
      </c>
      <c r="AP95" s="9">
        <v>0</v>
      </c>
      <c r="AQ95" s="9">
        <v>0</v>
      </c>
      <c r="AR95" s="9">
        <v>0</v>
      </c>
      <c r="AS95" s="9">
        <v>0</v>
      </c>
      <c r="AT95" s="9">
        <v>0</v>
      </c>
      <c r="AU95" s="9">
        <v>0</v>
      </c>
      <c r="AV95" s="9">
        <v>-215900</v>
      </c>
      <c r="AW95" s="9">
        <v>2599120</v>
      </c>
      <c r="AX95" s="9">
        <v>2526793</v>
      </c>
      <c r="AY95" s="9">
        <v>2356663</v>
      </c>
      <c r="AZ95" s="9">
        <v>170525</v>
      </c>
      <c r="BA95" s="9">
        <v>0</v>
      </c>
      <c r="BB95" s="9">
        <v>0</v>
      </c>
      <c r="BC95" s="9">
        <v>0</v>
      </c>
      <c r="BD95" s="9">
        <v>0</v>
      </c>
      <c r="BE95" s="9">
        <v>0</v>
      </c>
      <c r="BF95" s="9">
        <v>2188014</v>
      </c>
      <c r="BG95" s="9">
        <v>0</v>
      </c>
      <c r="BH95" s="9">
        <v>140.53700000000001</v>
      </c>
      <c r="BI95" s="9">
        <v>38648</v>
      </c>
      <c r="BJ95" s="9">
        <v>12</v>
      </c>
      <c r="BK95" s="9">
        <v>0</v>
      </c>
      <c r="BL95" s="9">
        <v>0</v>
      </c>
      <c r="BM95" s="9">
        <v>0</v>
      </c>
      <c r="BN95" s="9">
        <v>0</v>
      </c>
      <c r="BO95" s="9">
        <v>0</v>
      </c>
      <c r="BP95" s="9">
        <v>0</v>
      </c>
      <c r="BQ95" s="9">
        <v>5392</v>
      </c>
      <c r="BR95" s="9">
        <v>1</v>
      </c>
      <c r="BS95" s="9">
        <v>0</v>
      </c>
      <c r="BT95" s="9">
        <v>0</v>
      </c>
      <c r="BU95" s="9">
        <v>0</v>
      </c>
      <c r="BV95" s="9">
        <v>0</v>
      </c>
      <c r="BW95" s="9">
        <v>0</v>
      </c>
      <c r="BX95" s="9">
        <v>0</v>
      </c>
      <c r="BY95" s="9">
        <v>0</v>
      </c>
      <c r="BZ95" s="9">
        <v>0</v>
      </c>
      <c r="CA95" s="9">
        <v>0</v>
      </c>
      <c r="CB95" s="9">
        <v>0</v>
      </c>
      <c r="CC95" s="9">
        <v>0</v>
      </c>
      <c r="CD95" s="9">
        <v>0</v>
      </c>
      <c r="CE95" s="9">
        <v>0</v>
      </c>
      <c r="CF95" s="9">
        <v>0</v>
      </c>
      <c r="CG95" s="9">
        <v>0</v>
      </c>
      <c r="CH95" s="9">
        <v>33679</v>
      </c>
      <c r="CI95" s="9">
        <v>0</v>
      </c>
      <c r="CJ95" s="9">
        <v>4</v>
      </c>
      <c r="CK95" s="9">
        <v>0</v>
      </c>
      <c r="CL95" s="9">
        <v>0</v>
      </c>
      <c r="CM95" s="9">
        <v>0</v>
      </c>
      <c r="CN95" s="9">
        <v>0</v>
      </c>
      <c r="CO95" s="9">
        <v>0</v>
      </c>
      <c r="CP95" s="9">
        <v>0</v>
      </c>
      <c r="CQ95" s="9">
        <v>0</v>
      </c>
      <c r="CR95" s="9">
        <v>254.45600000000002</v>
      </c>
      <c r="CS95" s="9">
        <v>0</v>
      </c>
      <c r="CT95" s="9">
        <v>0</v>
      </c>
      <c r="CU95" s="9">
        <v>0</v>
      </c>
      <c r="CV95" s="9">
        <v>0</v>
      </c>
      <c r="CW95" s="9">
        <v>0</v>
      </c>
      <c r="CX95" s="9">
        <v>0</v>
      </c>
      <c r="CY95" s="9">
        <v>0</v>
      </c>
      <c r="CZ95" s="9">
        <v>0</v>
      </c>
      <c r="DA95" s="9">
        <v>1</v>
      </c>
      <c r="DB95" s="9">
        <v>1046833</v>
      </c>
      <c r="DC95" s="9">
        <v>0</v>
      </c>
      <c r="DD95" s="9">
        <v>0</v>
      </c>
      <c r="DE95" s="9">
        <v>358121</v>
      </c>
      <c r="DF95" s="9">
        <v>358121</v>
      </c>
      <c r="DG95" s="9">
        <v>273.5</v>
      </c>
      <c r="DH95" s="9">
        <v>0</v>
      </c>
      <c r="DI95" s="9">
        <v>0</v>
      </c>
      <c r="DJ95" s="9">
        <v>0</v>
      </c>
      <c r="DK95" s="9">
        <v>5392</v>
      </c>
      <c r="DL95" s="9">
        <v>0</v>
      </c>
      <c r="DM95" s="9">
        <v>825675</v>
      </c>
      <c r="DN95" s="9">
        <v>0</v>
      </c>
      <c r="DO95" s="9">
        <v>0</v>
      </c>
      <c r="DP95" s="9">
        <v>0</v>
      </c>
      <c r="DQ95" s="9">
        <v>0</v>
      </c>
      <c r="DR95" s="9">
        <v>0</v>
      </c>
      <c r="DS95" s="9">
        <v>0</v>
      </c>
      <c r="DT95" s="9">
        <v>0</v>
      </c>
      <c r="DU95" s="9">
        <v>0</v>
      </c>
      <c r="DV95" s="9">
        <v>0</v>
      </c>
      <c r="DW95" s="9">
        <v>0</v>
      </c>
      <c r="DX95" s="9">
        <v>0</v>
      </c>
      <c r="DY95" s="9">
        <v>0</v>
      </c>
      <c r="DZ95" s="9">
        <v>0</v>
      </c>
      <c r="EA95" s="9">
        <v>0</v>
      </c>
      <c r="EB95" s="9">
        <v>6.7000000000000004E-2</v>
      </c>
      <c r="EC95" s="9">
        <v>2.6080000000000001</v>
      </c>
      <c r="ED95" s="9">
        <v>18782</v>
      </c>
      <c r="EE95" s="9">
        <v>0</v>
      </c>
      <c r="EF95" s="9">
        <v>0</v>
      </c>
      <c r="EG95" s="9">
        <v>7.5999999999999998E-2</v>
      </c>
      <c r="EH95" s="9">
        <v>26569</v>
      </c>
      <c r="EI95" s="9">
        <v>780324</v>
      </c>
      <c r="EJ95" s="9">
        <v>29.797000000000001</v>
      </c>
      <c r="EK95" s="9">
        <v>0.58600000000000008</v>
      </c>
      <c r="EL95" s="9">
        <v>0</v>
      </c>
      <c r="EM95" s="9">
        <v>0.623</v>
      </c>
      <c r="EN95" s="9">
        <v>5.0000000000000001E-3</v>
      </c>
      <c r="EO95" s="9">
        <v>0</v>
      </c>
      <c r="EP95" s="9">
        <v>0</v>
      </c>
      <c r="EQ95" s="9">
        <v>31.154</v>
      </c>
      <c r="ER95" s="9">
        <v>0</v>
      </c>
      <c r="ES95" s="9">
        <v>4.0579999999999998</v>
      </c>
      <c r="ET95" s="9">
        <v>0</v>
      </c>
      <c r="EU95" s="9">
        <v>170525</v>
      </c>
      <c r="EV95" s="9">
        <v>0</v>
      </c>
      <c r="EW95" s="9">
        <v>0</v>
      </c>
      <c r="EX95" s="9">
        <v>0</v>
      </c>
      <c r="EY95" s="9">
        <v>0</v>
      </c>
      <c r="EZ95" s="9">
        <v>2116234</v>
      </c>
      <c r="FA95" s="9">
        <v>0</v>
      </c>
      <c r="FB95" s="9">
        <v>2286759</v>
      </c>
      <c r="FC95" s="9">
        <v>0.97326799999999991</v>
      </c>
      <c r="FD95" s="9">
        <v>0</v>
      </c>
      <c r="FE95" s="9">
        <v>338480</v>
      </c>
      <c r="FF95" s="9">
        <v>72079</v>
      </c>
      <c r="FG95" s="9">
        <v>5.8088000000000001E-2</v>
      </c>
      <c r="FH95" s="9">
        <v>5.2622999999999996E-2</v>
      </c>
      <c r="FI95" s="9">
        <v>0</v>
      </c>
      <c r="FJ95" s="9">
        <v>0</v>
      </c>
      <c r="FK95" s="9">
        <v>428.71000000000004</v>
      </c>
      <c r="FL95" s="9">
        <v>2730997</v>
      </c>
      <c r="FM95" s="9">
        <v>0</v>
      </c>
      <c r="FN95" s="9">
        <v>0</v>
      </c>
      <c r="FO95" s="9">
        <v>0</v>
      </c>
      <c r="FP95" s="9">
        <v>0</v>
      </c>
      <c r="FQ95" s="9">
        <v>0</v>
      </c>
      <c r="FR95" s="9">
        <v>0</v>
      </c>
      <c r="FS95" s="9">
        <v>0</v>
      </c>
      <c r="FT95" s="9">
        <v>0</v>
      </c>
      <c r="FU95" s="9">
        <v>0</v>
      </c>
      <c r="FV95" s="9">
        <v>0</v>
      </c>
      <c r="FW95" s="9">
        <v>0</v>
      </c>
      <c r="FX95" s="9">
        <v>0</v>
      </c>
      <c r="FY95" s="9">
        <v>0</v>
      </c>
      <c r="FZ95" s="9">
        <v>0</v>
      </c>
      <c r="GA95" s="9">
        <v>0</v>
      </c>
      <c r="GB95" s="9">
        <v>0</v>
      </c>
      <c r="GC95" s="9">
        <v>0</v>
      </c>
      <c r="GD95" s="9">
        <v>0</v>
      </c>
      <c r="GE95" s="9">
        <v>0</v>
      </c>
      <c r="GF95" s="9">
        <v>0</v>
      </c>
      <c r="GG95" s="9">
        <v>0</v>
      </c>
      <c r="GH95" s="9">
        <v>0</v>
      </c>
      <c r="GI95" s="9">
        <v>0</v>
      </c>
      <c r="GJ95" s="9">
        <v>0</v>
      </c>
      <c r="GK95" s="9">
        <v>5121</v>
      </c>
      <c r="GL95" s="9">
        <v>26765</v>
      </c>
      <c r="GM95" s="9">
        <v>0</v>
      </c>
      <c r="GN95" s="9">
        <v>0</v>
      </c>
      <c r="GO95" s="9">
        <v>0</v>
      </c>
      <c r="GP95" s="9">
        <v>2697318</v>
      </c>
      <c r="GQ95" s="9">
        <v>2697318</v>
      </c>
      <c r="GR95" s="9">
        <v>0</v>
      </c>
      <c r="GS95" s="9">
        <v>0</v>
      </c>
      <c r="GT95" s="9">
        <v>0</v>
      </c>
      <c r="GU95" s="9">
        <v>0</v>
      </c>
      <c r="GV95" s="9">
        <v>0</v>
      </c>
      <c r="GW95" s="9">
        <v>0</v>
      </c>
      <c r="GX95" s="9">
        <v>0</v>
      </c>
      <c r="GY95" s="9">
        <v>0</v>
      </c>
      <c r="GZ95" s="9">
        <v>0</v>
      </c>
      <c r="HA95" s="9">
        <v>0</v>
      </c>
      <c r="HB95" s="9">
        <v>300501363</v>
      </c>
      <c r="HC95" s="9">
        <v>4.4742999999999998E-2</v>
      </c>
      <c r="HD95" s="9">
        <v>33679</v>
      </c>
      <c r="HE95" s="9">
        <v>0</v>
      </c>
      <c r="HF95" s="9">
        <v>0</v>
      </c>
      <c r="HG95" s="9">
        <v>0</v>
      </c>
      <c r="HH95" s="9">
        <v>0</v>
      </c>
      <c r="HI95" s="9">
        <v>0</v>
      </c>
      <c r="HJ95" s="9">
        <v>0</v>
      </c>
      <c r="HK95" s="9">
        <v>0</v>
      </c>
      <c r="HL95" s="9">
        <v>0</v>
      </c>
      <c r="HM95" s="9">
        <v>0</v>
      </c>
      <c r="HN95" s="9">
        <v>0</v>
      </c>
      <c r="HO95" s="9">
        <v>0</v>
      </c>
      <c r="HP95" s="9">
        <v>0</v>
      </c>
      <c r="HQ95" s="9">
        <v>0</v>
      </c>
      <c r="HR95" s="9">
        <v>0</v>
      </c>
      <c r="HS95" s="9">
        <v>0</v>
      </c>
      <c r="HT95" s="9">
        <v>0</v>
      </c>
      <c r="HU95" s="9">
        <v>0</v>
      </c>
      <c r="HV95" s="9">
        <v>0</v>
      </c>
      <c r="HW95" s="9">
        <v>0</v>
      </c>
      <c r="HX95" s="9">
        <v>0</v>
      </c>
      <c r="HY95" s="9">
        <v>0</v>
      </c>
      <c r="HZ95" s="9">
        <v>0</v>
      </c>
      <c r="IA95" s="9">
        <v>0</v>
      </c>
      <c r="IB95" s="9">
        <v>0</v>
      </c>
      <c r="IC95" s="9">
        <v>0</v>
      </c>
      <c r="ID95" s="9">
        <v>0</v>
      </c>
      <c r="IE95" s="9">
        <v>0</v>
      </c>
      <c r="IF95" s="9">
        <v>0</v>
      </c>
      <c r="IG95" s="9">
        <v>0</v>
      </c>
      <c r="IH95" s="9">
        <v>0</v>
      </c>
      <c r="II95" s="9">
        <v>0</v>
      </c>
      <c r="IJ95" s="9">
        <v>0</v>
      </c>
      <c r="IK95" s="9">
        <v>0</v>
      </c>
      <c r="IL95" s="9">
        <v>0</v>
      </c>
      <c r="IM95" s="9">
        <v>0</v>
      </c>
      <c r="IN95" s="9">
        <v>0</v>
      </c>
      <c r="IO95" s="9">
        <v>0</v>
      </c>
      <c r="IP95" s="9">
        <v>0</v>
      </c>
      <c r="IQ95" s="9">
        <v>0</v>
      </c>
      <c r="IR95" s="9">
        <v>0</v>
      </c>
      <c r="IS95" s="9">
        <v>0</v>
      </c>
      <c r="IT95" s="9">
        <v>0</v>
      </c>
      <c r="IU95" s="9">
        <v>0</v>
      </c>
      <c r="IV95" s="9">
        <v>0</v>
      </c>
      <c r="IW95" s="9">
        <v>0</v>
      </c>
      <c r="IX95" s="9">
        <v>0</v>
      </c>
      <c r="IY95" s="9">
        <v>0</v>
      </c>
      <c r="IZ95" s="9">
        <v>0</v>
      </c>
      <c r="JA95" s="9">
        <v>0</v>
      </c>
      <c r="JB95" s="9">
        <v>0</v>
      </c>
      <c r="JC95" s="9">
        <v>0</v>
      </c>
      <c r="JD95" s="9">
        <v>0</v>
      </c>
      <c r="JE95" s="9">
        <v>0</v>
      </c>
      <c r="JF95" s="9">
        <v>0</v>
      </c>
      <c r="JG95" s="9">
        <v>0</v>
      </c>
      <c r="JH95" s="9">
        <v>0</v>
      </c>
      <c r="JI95" s="9">
        <v>0</v>
      </c>
      <c r="JJ95" s="9">
        <v>0</v>
      </c>
      <c r="JK95" s="9">
        <v>0</v>
      </c>
      <c r="JL95" s="9">
        <v>0</v>
      </c>
      <c r="JM95" s="9">
        <v>0</v>
      </c>
      <c r="JN95" s="9">
        <v>36832</v>
      </c>
      <c r="JO95" s="9">
        <v>0</v>
      </c>
      <c r="JP95" s="9">
        <v>0</v>
      </c>
      <c r="JQ95" s="9">
        <v>0</v>
      </c>
      <c r="JR95" s="9">
        <v>0</v>
      </c>
      <c r="JS95" s="9">
        <v>0</v>
      </c>
      <c r="JT95" s="9">
        <v>0</v>
      </c>
      <c r="JU95" s="9">
        <v>0</v>
      </c>
      <c r="JV95" s="9">
        <v>0</v>
      </c>
      <c r="JW95" s="9">
        <v>0</v>
      </c>
      <c r="JX95" s="9">
        <v>0</v>
      </c>
      <c r="JY95" s="9">
        <v>0</v>
      </c>
      <c r="JZ95" s="9">
        <v>0</v>
      </c>
      <c r="KA95" s="9">
        <v>0</v>
      </c>
      <c r="KB95" s="9">
        <v>0</v>
      </c>
      <c r="KC95" s="9">
        <v>0</v>
      </c>
      <c r="KD95" s="9">
        <v>0</v>
      </c>
      <c r="KE95" s="9">
        <v>0</v>
      </c>
      <c r="KF95" s="9">
        <v>0</v>
      </c>
      <c r="KG95" s="9">
        <v>0</v>
      </c>
      <c r="KH95" s="9">
        <v>0</v>
      </c>
      <c r="KI95" s="9">
        <v>0</v>
      </c>
    </row>
    <row r="96" spans="1:295" x14ac:dyDescent="0.25">
      <c r="A96" s="9">
        <v>101814</v>
      </c>
      <c r="B96" s="9">
        <v>36871</v>
      </c>
      <c r="C96" s="9">
        <v>35</v>
      </c>
      <c r="D96" s="9">
        <v>2023</v>
      </c>
      <c r="E96" s="9">
        <v>5392</v>
      </c>
      <c r="F96" s="9">
        <v>0</v>
      </c>
      <c r="G96" s="9">
        <v>0</v>
      </c>
      <c r="H96" s="9">
        <v>1399.529</v>
      </c>
      <c r="I96" s="9">
        <v>1399.529</v>
      </c>
      <c r="J96" s="9">
        <v>1407.9690000000001</v>
      </c>
      <c r="K96" s="9">
        <v>0</v>
      </c>
      <c r="L96" s="9">
        <v>6547</v>
      </c>
      <c r="M96" s="9">
        <v>0</v>
      </c>
      <c r="N96" s="9">
        <v>0</v>
      </c>
      <c r="O96" s="9">
        <v>0</v>
      </c>
      <c r="P96" s="9">
        <v>1401.758</v>
      </c>
      <c r="Q96" s="9">
        <v>0</v>
      </c>
      <c r="R96" s="9">
        <v>682547</v>
      </c>
      <c r="S96" s="9">
        <v>486.92200000000003</v>
      </c>
      <c r="T96" s="9">
        <v>0</v>
      </c>
      <c r="U96" s="9">
        <v>682547</v>
      </c>
      <c r="V96" s="9">
        <v>549.58000000000004</v>
      </c>
      <c r="W96" s="9">
        <v>359810</v>
      </c>
      <c r="X96" s="9">
        <v>359810</v>
      </c>
      <c r="Y96" s="9">
        <v>0</v>
      </c>
      <c r="Z96" s="9">
        <v>0</v>
      </c>
      <c r="AA96" s="9">
        <v>1</v>
      </c>
      <c r="AB96" s="9">
        <v>1</v>
      </c>
      <c r="AC96" s="9">
        <v>0</v>
      </c>
      <c r="AD96" s="9" t="s">
        <v>314</v>
      </c>
      <c r="AE96" s="9">
        <v>0</v>
      </c>
      <c r="AF96" s="9">
        <v>0</v>
      </c>
      <c r="AG96" s="9">
        <v>0</v>
      </c>
      <c r="AH96" s="9">
        <v>0</v>
      </c>
      <c r="AI96" s="9">
        <v>0</v>
      </c>
      <c r="AJ96" s="9">
        <v>5104</v>
      </c>
      <c r="AK96" s="9" t="s">
        <v>651</v>
      </c>
      <c r="AL96" s="9" t="s">
        <v>344</v>
      </c>
      <c r="AM96" s="9">
        <v>0</v>
      </c>
      <c r="AN96" s="9">
        <v>0</v>
      </c>
      <c r="AO96" s="9">
        <v>0</v>
      </c>
      <c r="AP96" s="9">
        <v>0</v>
      </c>
      <c r="AQ96" s="9">
        <v>0</v>
      </c>
      <c r="AR96" s="9">
        <v>0</v>
      </c>
      <c r="AS96" s="9">
        <v>0</v>
      </c>
      <c r="AT96" s="9">
        <v>0</v>
      </c>
      <c r="AU96" s="9">
        <v>0</v>
      </c>
      <c r="AV96" s="9">
        <v>-543282</v>
      </c>
      <c r="AW96" s="9">
        <v>13278612</v>
      </c>
      <c r="AX96" s="9">
        <v>13244487</v>
      </c>
      <c r="AY96" s="9">
        <v>12449488</v>
      </c>
      <c r="AZ96" s="9">
        <v>682547</v>
      </c>
      <c r="BA96" s="9">
        <v>68.25</v>
      </c>
      <c r="BB96" s="9">
        <v>0</v>
      </c>
      <c r="BC96" s="9">
        <v>0</v>
      </c>
      <c r="BD96" s="9">
        <v>0</v>
      </c>
      <c r="BE96" s="9">
        <v>0</v>
      </c>
      <c r="BF96" s="9">
        <v>11405934</v>
      </c>
      <c r="BG96" s="9">
        <v>0</v>
      </c>
      <c r="BH96" s="9">
        <v>0</v>
      </c>
      <c r="BI96" s="9">
        <v>0</v>
      </c>
      <c r="BJ96" s="9">
        <v>12</v>
      </c>
      <c r="BK96" s="9">
        <v>0</v>
      </c>
      <c r="BL96" s="9">
        <v>0</v>
      </c>
      <c r="BM96" s="9">
        <v>0</v>
      </c>
      <c r="BN96" s="9">
        <v>0</v>
      </c>
      <c r="BO96" s="9">
        <v>0</v>
      </c>
      <c r="BP96" s="9">
        <v>0</v>
      </c>
      <c r="BQ96" s="9">
        <v>5392</v>
      </c>
      <c r="BR96" s="9">
        <v>1</v>
      </c>
      <c r="BS96" s="9">
        <v>0</v>
      </c>
      <c r="BT96" s="9">
        <v>0</v>
      </c>
      <c r="BU96" s="9">
        <v>0</v>
      </c>
      <c r="BV96" s="9">
        <v>0</v>
      </c>
      <c r="BW96" s="9">
        <v>0</v>
      </c>
      <c r="BX96" s="9">
        <v>0</v>
      </c>
      <c r="BY96" s="9">
        <v>0</v>
      </c>
      <c r="BZ96" s="9">
        <v>0</v>
      </c>
      <c r="CA96" s="9">
        <v>0</v>
      </c>
      <c r="CB96" s="9">
        <v>0</v>
      </c>
      <c r="CC96" s="9">
        <v>0</v>
      </c>
      <c r="CD96" s="9">
        <v>0</v>
      </c>
      <c r="CE96" s="9">
        <v>0</v>
      </c>
      <c r="CF96" s="9">
        <v>0</v>
      </c>
      <c r="CG96" s="9">
        <v>0</v>
      </c>
      <c r="CH96" s="9">
        <v>34125</v>
      </c>
      <c r="CI96" s="9">
        <v>0</v>
      </c>
      <c r="CJ96" s="9">
        <v>4</v>
      </c>
      <c r="CK96" s="9">
        <v>0</v>
      </c>
      <c r="CL96" s="9">
        <v>0</v>
      </c>
      <c r="CM96" s="9">
        <v>0</v>
      </c>
      <c r="CN96" s="9">
        <v>0</v>
      </c>
      <c r="CO96" s="9">
        <v>0</v>
      </c>
      <c r="CP96" s="9">
        <v>0</v>
      </c>
      <c r="CQ96" s="9">
        <v>0</v>
      </c>
      <c r="CR96" s="9">
        <v>1327.396</v>
      </c>
      <c r="CS96" s="9">
        <v>0</v>
      </c>
      <c r="CT96" s="9">
        <v>0</v>
      </c>
      <c r="CU96" s="9">
        <v>0</v>
      </c>
      <c r="CV96" s="9">
        <v>0</v>
      </c>
      <c r="CW96" s="9">
        <v>0</v>
      </c>
      <c r="CX96" s="9">
        <v>0</v>
      </c>
      <c r="CY96" s="9">
        <v>0</v>
      </c>
      <c r="CZ96" s="9">
        <v>0</v>
      </c>
      <c r="DA96" s="9">
        <v>1</v>
      </c>
      <c r="DB96" s="9">
        <v>9162716</v>
      </c>
      <c r="DC96" s="9">
        <v>0</v>
      </c>
      <c r="DD96" s="9">
        <v>0</v>
      </c>
      <c r="DE96" s="9">
        <v>1786676</v>
      </c>
      <c r="DF96" s="9">
        <v>1786676</v>
      </c>
      <c r="DG96" s="9">
        <v>1364.5</v>
      </c>
      <c r="DH96" s="9">
        <v>0</v>
      </c>
      <c r="DI96" s="9">
        <v>0</v>
      </c>
      <c r="DJ96" s="9">
        <v>0</v>
      </c>
      <c r="DK96" s="9">
        <v>5392</v>
      </c>
      <c r="DL96" s="9">
        <v>0</v>
      </c>
      <c r="DM96" s="9">
        <v>410010</v>
      </c>
      <c r="DN96" s="9">
        <v>0</v>
      </c>
      <c r="DO96" s="9">
        <v>0</v>
      </c>
      <c r="DP96" s="9">
        <v>0</v>
      </c>
      <c r="DQ96" s="9">
        <v>0</v>
      </c>
      <c r="DR96" s="9">
        <v>0</v>
      </c>
      <c r="DS96" s="9">
        <v>0</v>
      </c>
      <c r="DT96" s="9">
        <v>0</v>
      </c>
      <c r="DU96" s="9">
        <v>0</v>
      </c>
      <c r="DV96" s="9">
        <v>0</v>
      </c>
      <c r="DW96" s="9">
        <v>0</v>
      </c>
      <c r="DX96" s="9">
        <v>0</v>
      </c>
      <c r="DY96" s="9">
        <v>0</v>
      </c>
      <c r="DZ96" s="9">
        <v>0</v>
      </c>
      <c r="EA96" s="9">
        <v>0</v>
      </c>
      <c r="EB96" s="9">
        <v>0</v>
      </c>
      <c r="EC96" s="9">
        <v>32.145000000000003</v>
      </c>
      <c r="ED96" s="9">
        <v>231499</v>
      </c>
      <c r="EE96" s="9">
        <v>0</v>
      </c>
      <c r="EF96" s="9">
        <v>0</v>
      </c>
      <c r="EG96" s="9">
        <v>0</v>
      </c>
      <c r="EH96" s="9">
        <v>178511</v>
      </c>
      <c r="EI96" s="9">
        <v>0</v>
      </c>
      <c r="EJ96" s="9">
        <v>0</v>
      </c>
      <c r="EK96" s="9">
        <v>7.4670000000000005</v>
      </c>
      <c r="EL96" s="9">
        <v>0</v>
      </c>
      <c r="EM96" s="9">
        <v>0</v>
      </c>
      <c r="EN96" s="9">
        <v>0.97300000000000009</v>
      </c>
      <c r="EO96" s="9">
        <v>0</v>
      </c>
      <c r="EP96" s="9">
        <v>0</v>
      </c>
      <c r="EQ96" s="9">
        <v>8.44</v>
      </c>
      <c r="ER96" s="9">
        <v>0</v>
      </c>
      <c r="ES96" s="9">
        <v>27.266000000000002</v>
      </c>
      <c r="ET96" s="9">
        <v>34125</v>
      </c>
      <c r="EU96" s="9">
        <v>682547</v>
      </c>
      <c r="EV96" s="9">
        <v>0</v>
      </c>
      <c r="EW96" s="9">
        <v>0</v>
      </c>
      <c r="EX96" s="9">
        <v>0</v>
      </c>
      <c r="EY96" s="9">
        <v>0</v>
      </c>
      <c r="EZ96" s="9">
        <v>11104276</v>
      </c>
      <c r="FA96" s="9">
        <v>0</v>
      </c>
      <c r="FB96" s="9">
        <v>11786823</v>
      </c>
      <c r="FC96" s="9">
        <v>0.97326799999999991</v>
      </c>
      <c r="FD96" s="9">
        <v>0</v>
      </c>
      <c r="FE96" s="9">
        <v>1764468</v>
      </c>
      <c r="FF96" s="9">
        <v>375743</v>
      </c>
      <c r="FG96" s="9">
        <v>5.8088000000000001E-2</v>
      </c>
      <c r="FH96" s="9">
        <v>5.2622999999999996E-2</v>
      </c>
      <c r="FI96" s="9">
        <v>0</v>
      </c>
      <c r="FJ96" s="9">
        <v>0</v>
      </c>
      <c r="FK96" s="9">
        <v>2234.8270000000002</v>
      </c>
      <c r="FL96" s="9">
        <v>13961159</v>
      </c>
      <c r="FM96" s="9">
        <v>0</v>
      </c>
      <c r="FN96" s="9">
        <v>0</v>
      </c>
      <c r="FO96" s="9">
        <v>67611</v>
      </c>
      <c r="FP96" s="9">
        <v>0</v>
      </c>
      <c r="FQ96" s="9">
        <v>67611</v>
      </c>
      <c r="FR96" s="9">
        <v>67611</v>
      </c>
      <c r="FS96" s="9">
        <v>0</v>
      </c>
      <c r="FT96" s="9">
        <v>0</v>
      </c>
      <c r="FU96" s="9">
        <v>0</v>
      </c>
      <c r="FV96" s="9">
        <v>0</v>
      </c>
      <c r="FW96" s="9">
        <v>0</v>
      </c>
      <c r="FX96" s="9">
        <v>0</v>
      </c>
      <c r="FY96" s="9">
        <v>0</v>
      </c>
      <c r="FZ96" s="9">
        <v>0</v>
      </c>
      <c r="GA96" s="9">
        <v>0</v>
      </c>
      <c r="GB96" s="9">
        <v>0</v>
      </c>
      <c r="GC96" s="9">
        <v>0</v>
      </c>
      <c r="GD96" s="9">
        <v>0</v>
      </c>
      <c r="GE96" s="9">
        <v>0</v>
      </c>
      <c r="GF96" s="9">
        <v>0</v>
      </c>
      <c r="GG96" s="9">
        <v>0</v>
      </c>
      <c r="GH96" s="9">
        <v>0</v>
      </c>
      <c r="GI96" s="9">
        <v>0</v>
      </c>
      <c r="GJ96" s="9">
        <v>0</v>
      </c>
      <c r="GK96" s="9">
        <v>5107</v>
      </c>
      <c r="GL96" s="9">
        <v>43740</v>
      </c>
      <c r="GM96" s="9">
        <v>0</v>
      </c>
      <c r="GN96" s="9">
        <v>119565</v>
      </c>
      <c r="GO96" s="9">
        <v>0</v>
      </c>
      <c r="GP96" s="9">
        <v>13927034</v>
      </c>
      <c r="GQ96" s="9">
        <v>13927034</v>
      </c>
      <c r="GR96" s="9">
        <v>0</v>
      </c>
      <c r="GS96" s="9">
        <v>0</v>
      </c>
      <c r="GT96" s="9">
        <v>0</v>
      </c>
      <c r="GU96" s="9">
        <v>0</v>
      </c>
      <c r="GV96" s="9">
        <v>0</v>
      </c>
      <c r="GW96" s="9">
        <v>0</v>
      </c>
      <c r="GX96" s="9">
        <v>0</v>
      </c>
      <c r="GY96" s="9">
        <v>0</v>
      </c>
      <c r="GZ96" s="9">
        <v>0</v>
      </c>
      <c r="HA96" s="9">
        <v>0</v>
      </c>
      <c r="HB96" s="9">
        <v>0</v>
      </c>
      <c r="HC96" s="9">
        <v>0</v>
      </c>
      <c r="HD96" s="9">
        <v>0</v>
      </c>
      <c r="HE96" s="9">
        <v>0</v>
      </c>
      <c r="HF96" s="9">
        <v>0</v>
      </c>
      <c r="HG96" s="9">
        <v>0</v>
      </c>
      <c r="HH96" s="9">
        <v>0</v>
      </c>
      <c r="HI96" s="9">
        <v>0</v>
      </c>
      <c r="HJ96" s="9">
        <v>0</v>
      </c>
      <c r="HK96" s="9">
        <v>0</v>
      </c>
      <c r="HL96" s="9">
        <v>0</v>
      </c>
      <c r="HM96" s="9">
        <v>0</v>
      </c>
      <c r="HN96" s="9">
        <v>0</v>
      </c>
      <c r="HO96" s="9">
        <v>0</v>
      </c>
      <c r="HP96" s="9">
        <v>0</v>
      </c>
      <c r="HQ96" s="9">
        <v>0</v>
      </c>
      <c r="HR96" s="9">
        <v>0</v>
      </c>
      <c r="HS96" s="9">
        <v>0</v>
      </c>
      <c r="HT96" s="9">
        <v>0</v>
      </c>
      <c r="HU96" s="9">
        <v>0</v>
      </c>
      <c r="HV96" s="9">
        <v>0</v>
      </c>
      <c r="HW96" s="9">
        <v>0</v>
      </c>
      <c r="HX96" s="9">
        <v>0</v>
      </c>
      <c r="HY96" s="9">
        <v>0</v>
      </c>
      <c r="HZ96" s="9">
        <v>0</v>
      </c>
      <c r="IA96" s="9">
        <v>0</v>
      </c>
      <c r="IB96" s="9">
        <v>0</v>
      </c>
      <c r="IC96" s="9">
        <v>0</v>
      </c>
      <c r="ID96" s="9">
        <v>0</v>
      </c>
      <c r="IE96" s="9">
        <v>0</v>
      </c>
      <c r="IF96" s="9">
        <v>0</v>
      </c>
      <c r="IG96" s="9">
        <v>0</v>
      </c>
      <c r="IH96" s="9">
        <v>0</v>
      </c>
      <c r="II96" s="9">
        <v>0</v>
      </c>
      <c r="IJ96" s="9">
        <v>0</v>
      </c>
      <c r="IK96" s="9">
        <v>0</v>
      </c>
      <c r="IL96" s="9">
        <v>0</v>
      </c>
      <c r="IM96" s="9">
        <v>0</v>
      </c>
      <c r="IN96" s="9">
        <v>0</v>
      </c>
      <c r="IO96" s="9">
        <v>0</v>
      </c>
      <c r="IP96" s="9">
        <v>0</v>
      </c>
      <c r="IQ96" s="9">
        <v>0</v>
      </c>
      <c r="IR96" s="9">
        <v>0</v>
      </c>
      <c r="IS96" s="9">
        <v>0</v>
      </c>
      <c r="IT96" s="9">
        <v>0</v>
      </c>
      <c r="IU96" s="9">
        <v>0</v>
      </c>
      <c r="IV96" s="9">
        <v>0</v>
      </c>
      <c r="IW96" s="9">
        <v>0</v>
      </c>
      <c r="IX96" s="9">
        <v>0</v>
      </c>
      <c r="IY96" s="9">
        <v>0</v>
      </c>
      <c r="IZ96" s="9">
        <v>0</v>
      </c>
      <c r="JA96" s="9">
        <v>0</v>
      </c>
      <c r="JB96" s="9">
        <v>0</v>
      </c>
      <c r="JC96" s="9">
        <v>0</v>
      </c>
      <c r="JD96" s="9">
        <v>0</v>
      </c>
      <c r="JE96" s="9">
        <v>0</v>
      </c>
      <c r="JF96" s="9">
        <v>0</v>
      </c>
      <c r="JG96" s="9">
        <v>0</v>
      </c>
      <c r="JH96" s="9">
        <v>0</v>
      </c>
      <c r="JI96" s="9">
        <v>0</v>
      </c>
      <c r="JJ96" s="9">
        <v>0</v>
      </c>
      <c r="JK96" s="9">
        <v>0</v>
      </c>
      <c r="JL96" s="9">
        <v>0</v>
      </c>
      <c r="JM96" s="9">
        <v>0</v>
      </c>
      <c r="JN96" s="9">
        <v>36832</v>
      </c>
      <c r="JO96" s="9">
        <v>0</v>
      </c>
      <c r="JP96" s="9">
        <v>0</v>
      </c>
      <c r="JQ96" s="9">
        <v>0</v>
      </c>
      <c r="JR96" s="9">
        <v>0</v>
      </c>
      <c r="JS96" s="9">
        <v>0</v>
      </c>
      <c r="JT96" s="9">
        <v>0</v>
      </c>
      <c r="JU96" s="9">
        <v>0</v>
      </c>
      <c r="JV96" s="9">
        <v>0</v>
      </c>
      <c r="JW96" s="9">
        <v>0</v>
      </c>
      <c r="JX96" s="9">
        <v>0</v>
      </c>
      <c r="JY96" s="9">
        <v>0</v>
      </c>
      <c r="JZ96" s="9">
        <v>0</v>
      </c>
      <c r="KA96" s="9">
        <v>0</v>
      </c>
      <c r="KB96" s="9">
        <v>0</v>
      </c>
      <c r="KC96" s="9">
        <v>0</v>
      </c>
      <c r="KD96" s="9">
        <v>0</v>
      </c>
      <c r="KE96" s="9">
        <v>0</v>
      </c>
      <c r="KF96" s="9">
        <v>0</v>
      </c>
      <c r="KG96" s="9">
        <v>0</v>
      </c>
      <c r="KH96" s="9">
        <v>0</v>
      </c>
      <c r="KI96" s="9">
        <v>0</v>
      </c>
    </row>
    <row r="97" spans="1:295" x14ac:dyDescent="0.25">
      <c r="A97" s="9">
        <v>101815</v>
      </c>
      <c r="B97" s="9">
        <v>36871</v>
      </c>
      <c r="C97" s="9">
        <v>35</v>
      </c>
      <c r="D97" s="9">
        <v>2023</v>
      </c>
      <c r="E97" s="9">
        <v>5392</v>
      </c>
      <c r="F97" s="9">
        <v>0</v>
      </c>
      <c r="G97" s="9">
        <v>0</v>
      </c>
      <c r="H97" s="9">
        <v>299.08100000000002</v>
      </c>
      <c r="I97" s="9">
        <v>299.08100000000002</v>
      </c>
      <c r="J97" s="9">
        <v>299.59200000000004</v>
      </c>
      <c r="K97" s="9">
        <v>0</v>
      </c>
      <c r="L97" s="9">
        <v>6547</v>
      </c>
      <c r="M97" s="9">
        <v>0</v>
      </c>
      <c r="N97" s="9">
        <v>0</v>
      </c>
      <c r="O97" s="9">
        <v>0</v>
      </c>
      <c r="P97" s="9">
        <v>266.61799999999999</v>
      </c>
      <c r="Q97" s="9">
        <v>0</v>
      </c>
      <c r="R97" s="9">
        <v>129822</v>
      </c>
      <c r="S97" s="9">
        <v>486.92200000000003</v>
      </c>
      <c r="T97" s="9">
        <v>0</v>
      </c>
      <c r="U97" s="9">
        <v>129822</v>
      </c>
      <c r="V97" s="9">
        <v>186.59200000000001</v>
      </c>
      <c r="W97" s="9">
        <v>122162</v>
      </c>
      <c r="X97" s="9">
        <v>122162</v>
      </c>
      <c r="Y97" s="9">
        <v>0</v>
      </c>
      <c r="Z97" s="9">
        <v>0</v>
      </c>
      <c r="AA97" s="9">
        <v>1</v>
      </c>
      <c r="AB97" s="9">
        <v>1</v>
      </c>
      <c r="AC97" s="9">
        <v>0</v>
      </c>
      <c r="AD97" s="9" t="s">
        <v>314</v>
      </c>
      <c r="AE97" s="9">
        <v>0</v>
      </c>
      <c r="AF97" s="9">
        <v>0</v>
      </c>
      <c r="AG97" s="9">
        <v>0</v>
      </c>
      <c r="AH97" s="9">
        <v>0</v>
      </c>
      <c r="AI97" s="9">
        <v>0</v>
      </c>
      <c r="AJ97" s="9">
        <v>5104</v>
      </c>
      <c r="AK97" s="9" t="s">
        <v>651</v>
      </c>
      <c r="AL97" s="9" t="s">
        <v>52</v>
      </c>
      <c r="AM97" s="9">
        <v>0</v>
      </c>
      <c r="AN97" s="9">
        <v>0</v>
      </c>
      <c r="AO97" s="9">
        <v>0</v>
      </c>
      <c r="AP97" s="9">
        <v>0</v>
      </c>
      <c r="AQ97" s="9">
        <v>0</v>
      </c>
      <c r="AR97" s="9">
        <v>0</v>
      </c>
      <c r="AS97" s="9">
        <v>0</v>
      </c>
      <c r="AT97" s="9">
        <v>0</v>
      </c>
      <c r="AU97" s="9">
        <v>0</v>
      </c>
      <c r="AV97" s="9">
        <v>-18360</v>
      </c>
      <c r="AW97" s="9">
        <v>3001275</v>
      </c>
      <c r="AX97" s="9">
        <v>2939294</v>
      </c>
      <c r="AY97" s="9">
        <v>2888511</v>
      </c>
      <c r="AZ97" s="9">
        <v>129822</v>
      </c>
      <c r="BA97" s="9">
        <v>18.083000000000002</v>
      </c>
      <c r="BB97" s="9">
        <v>0</v>
      </c>
      <c r="BC97" s="9">
        <v>0</v>
      </c>
      <c r="BD97" s="9">
        <v>0</v>
      </c>
      <c r="BE97" s="9">
        <v>0</v>
      </c>
      <c r="BF97" s="9">
        <v>2525800</v>
      </c>
      <c r="BG97" s="9">
        <v>0</v>
      </c>
      <c r="BH97" s="9">
        <v>0</v>
      </c>
      <c r="BI97" s="9">
        <v>0</v>
      </c>
      <c r="BJ97" s="9">
        <v>12</v>
      </c>
      <c r="BK97" s="9">
        <v>0</v>
      </c>
      <c r="BL97" s="9">
        <v>0</v>
      </c>
      <c r="BM97" s="9">
        <v>0</v>
      </c>
      <c r="BN97" s="9">
        <v>0</v>
      </c>
      <c r="BO97" s="9">
        <v>0</v>
      </c>
      <c r="BP97" s="9">
        <v>0</v>
      </c>
      <c r="BQ97" s="9">
        <v>5392</v>
      </c>
      <c r="BR97" s="9">
        <v>1</v>
      </c>
      <c r="BS97" s="9">
        <v>0</v>
      </c>
      <c r="BT97" s="9">
        <v>0</v>
      </c>
      <c r="BU97" s="9">
        <v>0</v>
      </c>
      <c r="BV97" s="9">
        <v>0</v>
      </c>
      <c r="BW97" s="9">
        <v>0</v>
      </c>
      <c r="BX97" s="9">
        <v>0</v>
      </c>
      <c r="BY97" s="9">
        <v>0</v>
      </c>
      <c r="BZ97" s="9">
        <v>0</v>
      </c>
      <c r="CA97" s="9">
        <v>0</v>
      </c>
      <c r="CB97" s="9">
        <v>0</v>
      </c>
      <c r="CC97" s="9">
        <v>0</v>
      </c>
      <c r="CD97" s="9">
        <v>0</v>
      </c>
      <c r="CE97" s="9">
        <v>0</v>
      </c>
      <c r="CF97" s="9">
        <v>0</v>
      </c>
      <c r="CG97" s="9">
        <v>0</v>
      </c>
      <c r="CH97" s="9">
        <v>61981</v>
      </c>
      <c r="CI97" s="9">
        <v>0</v>
      </c>
      <c r="CJ97" s="9">
        <v>4</v>
      </c>
      <c r="CK97" s="9">
        <v>0</v>
      </c>
      <c r="CL97" s="9">
        <v>0</v>
      </c>
      <c r="CM97" s="9">
        <v>0</v>
      </c>
      <c r="CN97" s="9">
        <v>0</v>
      </c>
      <c r="CO97" s="9">
        <v>0</v>
      </c>
      <c r="CP97" s="9">
        <v>0</v>
      </c>
      <c r="CQ97" s="9">
        <v>0.5</v>
      </c>
      <c r="CR97" s="9">
        <v>260.03899999999999</v>
      </c>
      <c r="CS97" s="9">
        <v>0</v>
      </c>
      <c r="CT97" s="9">
        <v>0</v>
      </c>
      <c r="CU97" s="9">
        <v>0</v>
      </c>
      <c r="CV97" s="9">
        <v>0</v>
      </c>
      <c r="CW97" s="9">
        <v>0</v>
      </c>
      <c r="CX97" s="9">
        <v>0</v>
      </c>
      <c r="CY97" s="9">
        <v>0</v>
      </c>
      <c r="CZ97" s="9">
        <v>0</v>
      </c>
      <c r="DA97" s="9">
        <v>1</v>
      </c>
      <c r="DB97" s="9">
        <v>1958083</v>
      </c>
      <c r="DC97" s="9">
        <v>0</v>
      </c>
      <c r="DD97" s="9">
        <v>0</v>
      </c>
      <c r="DE97" s="9">
        <v>401331</v>
      </c>
      <c r="DF97" s="9">
        <v>401331</v>
      </c>
      <c r="DG97" s="9">
        <v>306.5</v>
      </c>
      <c r="DH97" s="9">
        <v>0</v>
      </c>
      <c r="DI97" s="9">
        <v>0</v>
      </c>
      <c r="DJ97" s="9">
        <v>0</v>
      </c>
      <c r="DK97" s="9">
        <v>5392</v>
      </c>
      <c r="DL97" s="9">
        <v>0</v>
      </c>
      <c r="DM97" s="9">
        <v>113598</v>
      </c>
      <c r="DN97" s="9">
        <v>0</v>
      </c>
      <c r="DO97" s="9">
        <v>0</v>
      </c>
      <c r="DP97" s="9">
        <v>0</v>
      </c>
      <c r="DQ97" s="9">
        <v>0</v>
      </c>
      <c r="DR97" s="9">
        <v>0</v>
      </c>
      <c r="DS97" s="9">
        <v>0</v>
      </c>
      <c r="DT97" s="9">
        <v>0</v>
      </c>
      <c r="DU97" s="9">
        <v>0</v>
      </c>
      <c r="DV97" s="9">
        <v>0</v>
      </c>
      <c r="DW97" s="9">
        <v>0</v>
      </c>
      <c r="DX97" s="9">
        <v>0</v>
      </c>
      <c r="DY97" s="9">
        <v>0</v>
      </c>
      <c r="DZ97" s="9">
        <v>0</v>
      </c>
      <c r="EA97" s="9">
        <v>0</v>
      </c>
      <c r="EB97" s="9">
        <v>0</v>
      </c>
      <c r="EC97" s="9">
        <v>13.451000000000001</v>
      </c>
      <c r="ED97" s="9">
        <v>96870</v>
      </c>
      <c r="EE97" s="9">
        <v>0</v>
      </c>
      <c r="EF97" s="9">
        <v>0</v>
      </c>
      <c r="EG97" s="9">
        <v>0</v>
      </c>
      <c r="EH97" s="9">
        <v>16728</v>
      </c>
      <c r="EI97" s="9">
        <v>0</v>
      </c>
      <c r="EJ97" s="9">
        <v>0</v>
      </c>
      <c r="EK97" s="9">
        <v>0</v>
      </c>
      <c r="EL97" s="9">
        <v>0</v>
      </c>
      <c r="EM97" s="9">
        <v>0</v>
      </c>
      <c r="EN97" s="9">
        <v>0.51100000000000001</v>
      </c>
      <c r="EO97" s="9">
        <v>0</v>
      </c>
      <c r="EP97" s="9">
        <v>0</v>
      </c>
      <c r="EQ97" s="9">
        <v>0.51100000000000001</v>
      </c>
      <c r="ER97" s="9">
        <v>0</v>
      </c>
      <c r="ES97" s="9">
        <v>2.5550000000000002</v>
      </c>
      <c r="ET97" s="9">
        <v>9167</v>
      </c>
      <c r="EU97" s="9">
        <v>129822</v>
      </c>
      <c r="EV97" s="9">
        <v>0</v>
      </c>
      <c r="EW97" s="9">
        <v>0</v>
      </c>
      <c r="EX97" s="9">
        <v>0</v>
      </c>
      <c r="EY97" s="9">
        <v>0</v>
      </c>
      <c r="EZ97" s="9">
        <v>2465352</v>
      </c>
      <c r="FA97" s="9">
        <v>0</v>
      </c>
      <c r="FB97" s="9">
        <v>2595174</v>
      </c>
      <c r="FC97" s="9">
        <v>0.97326799999999991</v>
      </c>
      <c r="FD97" s="9">
        <v>0</v>
      </c>
      <c r="FE97" s="9">
        <v>390735</v>
      </c>
      <c r="FF97" s="9">
        <v>83207</v>
      </c>
      <c r="FG97" s="9">
        <v>5.8088000000000001E-2</v>
      </c>
      <c r="FH97" s="9">
        <v>5.2622999999999996E-2</v>
      </c>
      <c r="FI97" s="9">
        <v>0</v>
      </c>
      <c r="FJ97" s="9">
        <v>0</v>
      </c>
      <c r="FK97" s="9">
        <v>494.89400000000001</v>
      </c>
      <c r="FL97" s="9">
        <v>3131097</v>
      </c>
      <c r="FM97" s="9">
        <v>0</v>
      </c>
      <c r="FN97" s="9">
        <v>0</v>
      </c>
      <c r="FO97" s="9">
        <v>0</v>
      </c>
      <c r="FP97" s="9">
        <v>0</v>
      </c>
      <c r="FQ97" s="9">
        <v>0</v>
      </c>
      <c r="FR97" s="9">
        <v>0</v>
      </c>
      <c r="FS97" s="9">
        <v>0</v>
      </c>
      <c r="FT97" s="9">
        <v>0</v>
      </c>
      <c r="FU97" s="9">
        <v>0</v>
      </c>
      <c r="FV97" s="9">
        <v>0</v>
      </c>
      <c r="FW97" s="9">
        <v>0</v>
      </c>
      <c r="FX97" s="9">
        <v>0</v>
      </c>
      <c r="FY97" s="9">
        <v>0</v>
      </c>
      <c r="FZ97" s="9">
        <v>0</v>
      </c>
      <c r="GA97" s="9">
        <v>0</v>
      </c>
      <c r="GB97" s="9">
        <v>0</v>
      </c>
      <c r="GC97" s="9">
        <v>0</v>
      </c>
      <c r="GD97" s="9">
        <v>0</v>
      </c>
      <c r="GE97" s="9">
        <v>0</v>
      </c>
      <c r="GF97" s="9">
        <v>0</v>
      </c>
      <c r="GG97" s="9">
        <v>0</v>
      </c>
      <c r="GH97" s="9">
        <v>0</v>
      </c>
      <c r="GI97" s="9">
        <v>0</v>
      </c>
      <c r="GJ97" s="9">
        <v>0</v>
      </c>
      <c r="GK97" s="9">
        <v>4975</v>
      </c>
      <c r="GL97" s="9">
        <v>6218</v>
      </c>
      <c r="GM97" s="9">
        <v>0</v>
      </c>
      <c r="GN97" s="9">
        <v>0</v>
      </c>
      <c r="GO97" s="9">
        <v>0</v>
      </c>
      <c r="GP97" s="9">
        <v>3069116</v>
      </c>
      <c r="GQ97" s="9">
        <v>3069116</v>
      </c>
      <c r="GR97" s="9">
        <v>0</v>
      </c>
      <c r="GS97" s="9">
        <v>0</v>
      </c>
      <c r="GT97" s="9">
        <v>0</v>
      </c>
      <c r="GU97" s="9">
        <v>0</v>
      </c>
      <c r="GV97" s="9">
        <v>0</v>
      </c>
      <c r="GW97" s="9">
        <v>0</v>
      </c>
      <c r="GX97" s="9">
        <v>0</v>
      </c>
      <c r="GY97" s="9">
        <v>0</v>
      </c>
      <c r="GZ97" s="9">
        <v>0</v>
      </c>
      <c r="HA97" s="9">
        <v>0</v>
      </c>
      <c r="HB97" s="9">
        <v>300501363</v>
      </c>
      <c r="HC97" s="9">
        <v>4.4742999999999998E-2</v>
      </c>
      <c r="HD97" s="9">
        <v>52814</v>
      </c>
      <c r="HE97" s="9">
        <v>0</v>
      </c>
      <c r="HF97" s="9">
        <v>0</v>
      </c>
      <c r="HG97" s="9">
        <v>0</v>
      </c>
      <c r="HH97" s="9">
        <v>0</v>
      </c>
      <c r="HI97" s="9">
        <v>0</v>
      </c>
      <c r="HJ97" s="9">
        <v>0</v>
      </c>
      <c r="HK97" s="9">
        <v>0</v>
      </c>
      <c r="HL97" s="9">
        <v>0</v>
      </c>
      <c r="HM97" s="9">
        <v>0</v>
      </c>
      <c r="HN97" s="9">
        <v>0</v>
      </c>
      <c r="HO97" s="9">
        <v>0</v>
      </c>
      <c r="HP97" s="9">
        <v>0</v>
      </c>
      <c r="HQ97" s="9">
        <v>0</v>
      </c>
      <c r="HR97" s="9">
        <v>0</v>
      </c>
      <c r="HS97" s="9">
        <v>0</v>
      </c>
      <c r="HT97" s="9">
        <v>0</v>
      </c>
      <c r="HU97" s="9">
        <v>0</v>
      </c>
      <c r="HV97" s="9">
        <v>0</v>
      </c>
      <c r="HW97" s="9">
        <v>0</v>
      </c>
      <c r="HX97" s="9">
        <v>0</v>
      </c>
      <c r="HY97" s="9">
        <v>0</v>
      </c>
      <c r="HZ97" s="9">
        <v>0</v>
      </c>
      <c r="IA97" s="9">
        <v>0</v>
      </c>
      <c r="IB97" s="9">
        <v>0</v>
      </c>
      <c r="IC97" s="9">
        <v>0</v>
      </c>
      <c r="ID97" s="9">
        <v>0</v>
      </c>
      <c r="IE97" s="9">
        <v>0</v>
      </c>
      <c r="IF97" s="9">
        <v>0</v>
      </c>
      <c r="IG97" s="9">
        <v>0</v>
      </c>
      <c r="IH97" s="9">
        <v>0</v>
      </c>
      <c r="II97" s="9">
        <v>0</v>
      </c>
      <c r="IJ97" s="9">
        <v>0</v>
      </c>
      <c r="IK97" s="9">
        <v>0</v>
      </c>
      <c r="IL97" s="9">
        <v>0</v>
      </c>
      <c r="IM97" s="9">
        <v>0</v>
      </c>
      <c r="IN97" s="9">
        <v>0</v>
      </c>
      <c r="IO97" s="9">
        <v>0</v>
      </c>
      <c r="IP97" s="9">
        <v>0</v>
      </c>
      <c r="IQ97" s="9">
        <v>0</v>
      </c>
      <c r="IR97" s="9">
        <v>0</v>
      </c>
      <c r="IS97" s="9">
        <v>0</v>
      </c>
      <c r="IT97" s="9">
        <v>0</v>
      </c>
      <c r="IU97" s="9">
        <v>0</v>
      </c>
      <c r="IV97" s="9">
        <v>0</v>
      </c>
      <c r="IW97" s="9">
        <v>0</v>
      </c>
      <c r="IX97" s="9">
        <v>0</v>
      </c>
      <c r="IY97" s="9">
        <v>0</v>
      </c>
      <c r="IZ97" s="9">
        <v>0</v>
      </c>
      <c r="JA97" s="9">
        <v>0</v>
      </c>
      <c r="JB97" s="9">
        <v>0</v>
      </c>
      <c r="JC97" s="9">
        <v>0</v>
      </c>
      <c r="JD97" s="9">
        <v>0</v>
      </c>
      <c r="JE97" s="9">
        <v>0</v>
      </c>
      <c r="JF97" s="9">
        <v>0</v>
      </c>
      <c r="JG97" s="9">
        <v>0</v>
      </c>
      <c r="JH97" s="9">
        <v>0</v>
      </c>
      <c r="JI97" s="9">
        <v>0</v>
      </c>
      <c r="JJ97" s="9">
        <v>0</v>
      </c>
      <c r="JK97" s="9">
        <v>0</v>
      </c>
      <c r="JL97" s="9">
        <v>0</v>
      </c>
      <c r="JM97" s="9">
        <v>0</v>
      </c>
      <c r="JN97" s="9">
        <v>36832</v>
      </c>
      <c r="JO97" s="9">
        <v>0</v>
      </c>
      <c r="JP97" s="9">
        <v>0</v>
      </c>
      <c r="JQ97" s="9">
        <v>0</v>
      </c>
      <c r="JR97" s="9">
        <v>0</v>
      </c>
      <c r="JS97" s="9">
        <v>0</v>
      </c>
      <c r="JT97" s="9">
        <v>0</v>
      </c>
      <c r="JU97" s="9">
        <v>0</v>
      </c>
      <c r="JV97" s="9">
        <v>0</v>
      </c>
      <c r="JW97" s="9">
        <v>0</v>
      </c>
      <c r="JX97" s="9">
        <v>0</v>
      </c>
      <c r="JY97" s="9">
        <v>0</v>
      </c>
      <c r="JZ97" s="9">
        <v>0</v>
      </c>
      <c r="KA97" s="9">
        <v>0</v>
      </c>
      <c r="KB97" s="9">
        <v>0</v>
      </c>
      <c r="KC97" s="9">
        <v>0</v>
      </c>
      <c r="KD97" s="9">
        <v>0</v>
      </c>
      <c r="KE97" s="9">
        <v>0</v>
      </c>
      <c r="KF97" s="9">
        <v>0</v>
      </c>
      <c r="KG97" s="9">
        <v>0</v>
      </c>
      <c r="KH97" s="9">
        <v>0</v>
      </c>
      <c r="KI97" s="9">
        <v>0</v>
      </c>
    </row>
    <row r="98" spans="1:295" x14ac:dyDescent="0.25">
      <c r="A98" s="9">
        <v>101819</v>
      </c>
      <c r="B98" s="9">
        <v>36871</v>
      </c>
      <c r="C98" s="9">
        <v>35</v>
      </c>
      <c r="D98" s="9">
        <v>2023</v>
      </c>
      <c r="E98" s="9">
        <v>5392</v>
      </c>
      <c r="F98" s="9">
        <v>0</v>
      </c>
      <c r="G98" s="9">
        <v>0</v>
      </c>
      <c r="H98" s="9">
        <v>456.38600000000002</v>
      </c>
      <c r="I98" s="9">
        <v>456.38600000000002</v>
      </c>
      <c r="J98" s="9">
        <v>462.94300000000004</v>
      </c>
      <c r="K98" s="9">
        <v>0</v>
      </c>
      <c r="L98" s="9">
        <v>6547</v>
      </c>
      <c r="M98" s="9">
        <v>0</v>
      </c>
      <c r="N98" s="9">
        <v>0</v>
      </c>
      <c r="O98" s="9">
        <v>0</v>
      </c>
      <c r="P98" s="9">
        <v>464.51800000000003</v>
      </c>
      <c r="Q98" s="9">
        <v>0</v>
      </c>
      <c r="R98" s="9">
        <v>226184</v>
      </c>
      <c r="S98" s="9">
        <v>486.92200000000003</v>
      </c>
      <c r="T98" s="9">
        <v>0</v>
      </c>
      <c r="U98" s="9">
        <v>226184</v>
      </c>
      <c r="V98" s="9">
        <v>397.21000000000004</v>
      </c>
      <c r="W98" s="9">
        <v>260053</v>
      </c>
      <c r="X98" s="9">
        <v>260053</v>
      </c>
      <c r="Y98" s="9">
        <v>0</v>
      </c>
      <c r="Z98" s="9">
        <v>0</v>
      </c>
      <c r="AA98" s="9">
        <v>1</v>
      </c>
      <c r="AB98" s="9">
        <v>1</v>
      </c>
      <c r="AC98" s="9">
        <v>0</v>
      </c>
      <c r="AD98" s="9" t="s">
        <v>314</v>
      </c>
      <c r="AE98" s="9">
        <v>0</v>
      </c>
      <c r="AF98" s="9">
        <v>0</v>
      </c>
      <c r="AG98" s="9">
        <v>0</v>
      </c>
      <c r="AH98" s="9">
        <v>0</v>
      </c>
      <c r="AI98" s="9">
        <v>0</v>
      </c>
      <c r="AJ98" s="9">
        <v>5104</v>
      </c>
      <c r="AK98" s="9" t="s">
        <v>651</v>
      </c>
      <c r="AL98" s="9" t="s">
        <v>345</v>
      </c>
      <c r="AM98" s="9">
        <v>0</v>
      </c>
      <c r="AN98" s="9">
        <v>0</v>
      </c>
      <c r="AO98" s="9">
        <v>0</v>
      </c>
      <c r="AP98" s="9">
        <v>0</v>
      </c>
      <c r="AQ98" s="9">
        <v>0</v>
      </c>
      <c r="AR98" s="9">
        <v>0</v>
      </c>
      <c r="AS98" s="9">
        <v>0</v>
      </c>
      <c r="AT98" s="9">
        <v>0</v>
      </c>
      <c r="AU98" s="9">
        <v>0</v>
      </c>
      <c r="AV98" s="9">
        <v>-350553</v>
      </c>
      <c r="AW98" s="9">
        <v>4686883</v>
      </c>
      <c r="AX98" s="9">
        <v>4590834</v>
      </c>
      <c r="AY98" s="9">
        <v>4966887</v>
      </c>
      <c r="AZ98" s="9">
        <v>226184</v>
      </c>
      <c r="BA98" s="9">
        <v>28.5</v>
      </c>
      <c r="BB98" s="9">
        <v>0</v>
      </c>
      <c r="BC98" s="9">
        <v>0</v>
      </c>
      <c r="BD98" s="9">
        <v>0</v>
      </c>
      <c r="BE98" s="9">
        <v>0</v>
      </c>
      <c r="BF98" s="9">
        <v>3964277</v>
      </c>
      <c r="BG98" s="9">
        <v>0</v>
      </c>
      <c r="BH98" s="9">
        <v>0</v>
      </c>
      <c r="BI98" s="9">
        <v>0</v>
      </c>
      <c r="BJ98" s="9">
        <v>12</v>
      </c>
      <c r="BK98" s="9">
        <v>0</v>
      </c>
      <c r="BL98" s="9">
        <v>0</v>
      </c>
      <c r="BM98" s="9">
        <v>0</v>
      </c>
      <c r="BN98" s="9">
        <v>0</v>
      </c>
      <c r="BO98" s="9">
        <v>0</v>
      </c>
      <c r="BP98" s="9">
        <v>0</v>
      </c>
      <c r="BQ98" s="9">
        <v>5392</v>
      </c>
      <c r="BR98" s="9">
        <v>1</v>
      </c>
      <c r="BS98" s="9">
        <v>0</v>
      </c>
      <c r="BT98" s="9">
        <v>0</v>
      </c>
      <c r="BU98" s="9">
        <v>0</v>
      </c>
      <c r="BV98" s="9">
        <v>0</v>
      </c>
      <c r="BW98" s="9">
        <v>0</v>
      </c>
      <c r="BX98" s="9">
        <v>0</v>
      </c>
      <c r="BY98" s="9">
        <v>0</v>
      </c>
      <c r="BZ98" s="9">
        <v>0</v>
      </c>
      <c r="CA98" s="9">
        <v>0</v>
      </c>
      <c r="CB98" s="9">
        <v>0</v>
      </c>
      <c r="CC98" s="9">
        <v>0</v>
      </c>
      <c r="CD98" s="9">
        <v>0</v>
      </c>
      <c r="CE98" s="9">
        <v>0</v>
      </c>
      <c r="CF98" s="9">
        <v>0</v>
      </c>
      <c r="CG98" s="9">
        <v>0</v>
      </c>
      <c r="CH98" s="9">
        <v>96049</v>
      </c>
      <c r="CI98" s="9">
        <v>0</v>
      </c>
      <c r="CJ98" s="9">
        <v>4</v>
      </c>
      <c r="CK98" s="9">
        <v>0</v>
      </c>
      <c r="CL98" s="9">
        <v>0</v>
      </c>
      <c r="CM98" s="9">
        <v>0</v>
      </c>
      <c r="CN98" s="9">
        <v>0</v>
      </c>
      <c r="CO98" s="9">
        <v>0</v>
      </c>
      <c r="CP98" s="9">
        <v>0</v>
      </c>
      <c r="CQ98" s="9">
        <v>0.75</v>
      </c>
      <c r="CR98" s="9">
        <v>436.72700000000003</v>
      </c>
      <c r="CS98" s="9">
        <v>0</v>
      </c>
      <c r="CT98" s="9">
        <v>0</v>
      </c>
      <c r="CU98" s="9">
        <v>0</v>
      </c>
      <c r="CV98" s="9">
        <v>0</v>
      </c>
      <c r="CW98" s="9">
        <v>0</v>
      </c>
      <c r="CX98" s="9">
        <v>0</v>
      </c>
      <c r="CY98" s="9">
        <v>0</v>
      </c>
      <c r="CZ98" s="9">
        <v>0</v>
      </c>
      <c r="DA98" s="9">
        <v>1</v>
      </c>
      <c r="DB98" s="9">
        <v>2987959</v>
      </c>
      <c r="DC98" s="9">
        <v>0</v>
      </c>
      <c r="DD98" s="9">
        <v>0</v>
      </c>
      <c r="DE98" s="9">
        <v>663211</v>
      </c>
      <c r="DF98" s="9">
        <v>663211</v>
      </c>
      <c r="DG98" s="9">
        <v>506.5</v>
      </c>
      <c r="DH98" s="9">
        <v>0</v>
      </c>
      <c r="DI98" s="9">
        <v>0</v>
      </c>
      <c r="DJ98" s="9">
        <v>0</v>
      </c>
      <c r="DK98" s="9">
        <v>5392</v>
      </c>
      <c r="DL98" s="9">
        <v>0</v>
      </c>
      <c r="DM98" s="9">
        <v>161938</v>
      </c>
      <c r="DN98" s="9">
        <v>0</v>
      </c>
      <c r="DO98" s="9">
        <v>0</v>
      </c>
      <c r="DP98" s="9">
        <v>0</v>
      </c>
      <c r="DQ98" s="9">
        <v>0</v>
      </c>
      <c r="DR98" s="9">
        <v>0</v>
      </c>
      <c r="DS98" s="9">
        <v>0</v>
      </c>
      <c r="DT98" s="9">
        <v>0</v>
      </c>
      <c r="DU98" s="9">
        <v>0</v>
      </c>
      <c r="DV98" s="9">
        <v>0</v>
      </c>
      <c r="DW98" s="9">
        <v>0</v>
      </c>
      <c r="DX98" s="9">
        <v>0</v>
      </c>
      <c r="DY98" s="9">
        <v>0</v>
      </c>
      <c r="DZ98" s="9">
        <v>0</v>
      </c>
      <c r="EA98" s="9">
        <v>0</v>
      </c>
      <c r="EB98" s="9">
        <v>0</v>
      </c>
      <c r="EC98" s="9">
        <v>3.1070000000000002</v>
      </c>
      <c r="ED98" s="9">
        <v>22376</v>
      </c>
      <c r="EE98" s="9">
        <v>0</v>
      </c>
      <c r="EF98" s="9">
        <v>0</v>
      </c>
      <c r="EG98" s="9">
        <v>0</v>
      </c>
      <c r="EH98" s="9">
        <v>139562</v>
      </c>
      <c r="EI98" s="9">
        <v>0</v>
      </c>
      <c r="EJ98" s="9">
        <v>0</v>
      </c>
      <c r="EK98" s="9">
        <v>5.3040000000000003</v>
      </c>
      <c r="EL98" s="9">
        <v>0</v>
      </c>
      <c r="EM98" s="9">
        <v>0.43</v>
      </c>
      <c r="EN98" s="9">
        <v>0.82300000000000006</v>
      </c>
      <c r="EO98" s="9">
        <v>0</v>
      </c>
      <c r="EP98" s="9">
        <v>0</v>
      </c>
      <c r="EQ98" s="9">
        <v>6.5570000000000004</v>
      </c>
      <c r="ER98" s="9">
        <v>0</v>
      </c>
      <c r="ES98" s="9">
        <v>21.317</v>
      </c>
      <c r="ET98" s="9">
        <v>14438</v>
      </c>
      <c r="EU98" s="9">
        <v>226184</v>
      </c>
      <c r="EV98" s="9">
        <v>0</v>
      </c>
      <c r="EW98" s="9">
        <v>0</v>
      </c>
      <c r="EX98" s="9">
        <v>0</v>
      </c>
      <c r="EY98" s="9">
        <v>0</v>
      </c>
      <c r="EZ98" s="9">
        <v>3846977</v>
      </c>
      <c r="FA98" s="9">
        <v>0</v>
      </c>
      <c r="FB98" s="9">
        <v>4073161</v>
      </c>
      <c r="FC98" s="9">
        <v>0.97326799999999991</v>
      </c>
      <c r="FD98" s="9">
        <v>0</v>
      </c>
      <c r="FE98" s="9">
        <v>613263</v>
      </c>
      <c r="FF98" s="9">
        <v>130594</v>
      </c>
      <c r="FG98" s="9">
        <v>5.8088000000000001E-2</v>
      </c>
      <c r="FH98" s="9">
        <v>5.2622999999999996E-2</v>
      </c>
      <c r="FI98" s="9">
        <v>0</v>
      </c>
      <c r="FJ98" s="9">
        <v>0</v>
      </c>
      <c r="FK98" s="9">
        <v>776.74200000000008</v>
      </c>
      <c r="FL98" s="9">
        <v>4913067</v>
      </c>
      <c r="FM98" s="9">
        <v>0</v>
      </c>
      <c r="FN98" s="9">
        <v>0</v>
      </c>
      <c r="FO98" s="9">
        <v>0</v>
      </c>
      <c r="FP98" s="9">
        <v>0</v>
      </c>
      <c r="FQ98" s="9">
        <v>0</v>
      </c>
      <c r="FR98" s="9">
        <v>0</v>
      </c>
      <c r="FS98" s="9">
        <v>0</v>
      </c>
      <c r="FT98" s="9">
        <v>0</v>
      </c>
      <c r="FU98" s="9">
        <v>0</v>
      </c>
      <c r="FV98" s="9">
        <v>0</v>
      </c>
      <c r="FW98" s="9">
        <v>0</v>
      </c>
      <c r="FX98" s="9">
        <v>0</v>
      </c>
      <c r="FY98" s="9">
        <v>0</v>
      </c>
      <c r="FZ98" s="9">
        <v>0</v>
      </c>
      <c r="GA98" s="9">
        <v>0</v>
      </c>
      <c r="GB98" s="9">
        <v>0</v>
      </c>
      <c r="GC98" s="9">
        <v>0</v>
      </c>
      <c r="GD98" s="9">
        <v>0</v>
      </c>
      <c r="GE98" s="9">
        <v>0</v>
      </c>
      <c r="GF98" s="9">
        <v>0</v>
      </c>
      <c r="GG98" s="9">
        <v>0</v>
      </c>
      <c r="GH98" s="9">
        <v>0</v>
      </c>
      <c r="GI98" s="9">
        <v>0</v>
      </c>
      <c r="GJ98" s="9">
        <v>0</v>
      </c>
      <c r="GK98" s="9">
        <v>5126</v>
      </c>
      <c r="GL98" s="9">
        <v>15602</v>
      </c>
      <c r="GM98" s="9">
        <v>0</v>
      </c>
      <c r="GN98" s="9">
        <v>0</v>
      </c>
      <c r="GO98" s="9">
        <v>0</v>
      </c>
      <c r="GP98" s="9">
        <v>4817018</v>
      </c>
      <c r="GQ98" s="9">
        <v>4817018</v>
      </c>
      <c r="GR98" s="9">
        <v>0</v>
      </c>
      <c r="GS98" s="9">
        <v>0</v>
      </c>
      <c r="GT98" s="9">
        <v>0</v>
      </c>
      <c r="GU98" s="9">
        <v>0</v>
      </c>
      <c r="GV98" s="9">
        <v>0</v>
      </c>
      <c r="GW98" s="9">
        <v>0</v>
      </c>
      <c r="GX98" s="9">
        <v>0</v>
      </c>
      <c r="GY98" s="9">
        <v>0</v>
      </c>
      <c r="GZ98" s="9">
        <v>0</v>
      </c>
      <c r="HA98" s="9">
        <v>0</v>
      </c>
      <c r="HB98" s="9">
        <v>300501363</v>
      </c>
      <c r="HC98" s="9">
        <v>4.4742999999999998E-2</v>
      </c>
      <c r="HD98" s="9">
        <v>81611</v>
      </c>
      <c r="HE98" s="9">
        <v>0</v>
      </c>
      <c r="HF98" s="9">
        <v>0</v>
      </c>
      <c r="HG98" s="9">
        <v>0</v>
      </c>
      <c r="HH98" s="9">
        <v>0</v>
      </c>
      <c r="HI98" s="9">
        <v>0</v>
      </c>
      <c r="HJ98" s="9">
        <v>0</v>
      </c>
      <c r="HK98" s="9">
        <v>0</v>
      </c>
      <c r="HL98" s="9">
        <v>0</v>
      </c>
      <c r="HM98" s="9">
        <v>0</v>
      </c>
      <c r="HN98" s="9">
        <v>0</v>
      </c>
      <c r="HO98" s="9">
        <v>0</v>
      </c>
      <c r="HP98" s="9">
        <v>0</v>
      </c>
      <c r="HQ98" s="9">
        <v>0</v>
      </c>
      <c r="HR98" s="9">
        <v>0</v>
      </c>
      <c r="HS98" s="9">
        <v>0</v>
      </c>
      <c r="HT98" s="9">
        <v>0</v>
      </c>
      <c r="HU98" s="9">
        <v>0</v>
      </c>
      <c r="HV98" s="9">
        <v>0</v>
      </c>
      <c r="HW98" s="9">
        <v>0</v>
      </c>
      <c r="HX98" s="9">
        <v>0</v>
      </c>
      <c r="HY98" s="9">
        <v>0</v>
      </c>
      <c r="HZ98" s="9">
        <v>0</v>
      </c>
      <c r="IA98" s="9">
        <v>0</v>
      </c>
      <c r="IB98" s="9">
        <v>0</v>
      </c>
      <c r="IC98" s="9">
        <v>0</v>
      </c>
      <c r="ID98" s="9">
        <v>0</v>
      </c>
      <c r="IE98" s="9">
        <v>264.87700000000001</v>
      </c>
      <c r="IF98" s="9">
        <v>0</v>
      </c>
      <c r="IG98" s="9">
        <v>0</v>
      </c>
      <c r="IH98" s="9">
        <v>0</v>
      </c>
      <c r="II98" s="9">
        <v>0</v>
      </c>
      <c r="IJ98" s="9">
        <v>0</v>
      </c>
      <c r="IK98" s="9">
        <v>0</v>
      </c>
      <c r="IL98" s="9">
        <v>0</v>
      </c>
      <c r="IM98" s="9">
        <v>0</v>
      </c>
      <c r="IN98" s="9">
        <v>0</v>
      </c>
      <c r="IO98" s="9">
        <v>0</v>
      </c>
      <c r="IP98" s="9">
        <v>0</v>
      </c>
      <c r="IQ98" s="9">
        <v>0</v>
      </c>
      <c r="IR98" s="9">
        <v>0</v>
      </c>
      <c r="IS98" s="9">
        <v>0</v>
      </c>
      <c r="IT98" s="9">
        <v>0</v>
      </c>
      <c r="IU98" s="9">
        <v>0</v>
      </c>
      <c r="IV98" s="9">
        <v>0</v>
      </c>
      <c r="IW98" s="9">
        <v>0</v>
      </c>
      <c r="IX98" s="9">
        <v>0</v>
      </c>
      <c r="IY98" s="9">
        <v>0</v>
      </c>
      <c r="IZ98" s="9">
        <v>0</v>
      </c>
      <c r="JA98" s="9">
        <v>0</v>
      </c>
      <c r="JB98" s="9">
        <v>0</v>
      </c>
      <c r="JC98" s="9">
        <v>0</v>
      </c>
      <c r="JD98" s="9">
        <v>0</v>
      </c>
      <c r="JE98" s="9">
        <v>0</v>
      </c>
      <c r="JF98" s="9">
        <v>0</v>
      </c>
      <c r="JG98" s="9">
        <v>0</v>
      </c>
      <c r="JH98" s="9">
        <v>0</v>
      </c>
      <c r="JI98" s="9">
        <v>0</v>
      </c>
      <c r="JJ98" s="9">
        <v>0</v>
      </c>
      <c r="JK98" s="9">
        <v>0</v>
      </c>
      <c r="JL98" s="9">
        <v>0</v>
      </c>
      <c r="JM98" s="9">
        <v>0</v>
      </c>
      <c r="JN98" s="9">
        <v>36832</v>
      </c>
      <c r="JO98" s="9">
        <v>0</v>
      </c>
      <c r="JP98" s="9">
        <v>0</v>
      </c>
      <c r="JQ98" s="9">
        <v>0</v>
      </c>
      <c r="JR98" s="9">
        <v>0</v>
      </c>
      <c r="JS98" s="9">
        <v>0</v>
      </c>
      <c r="JT98" s="9">
        <v>0</v>
      </c>
      <c r="JU98" s="9">
        <v>0</v>
      </c>
      <c r="JV98" s="9">
        <v>0</v>
      </c>
      <c r="JW98" s="9">
        <v>0</v>
      </c>
      <c r="JX98" s="9">
        <v>0</v>
      </c>
      <c r="JY98" s="9">
        <v>0</v>
      </c>
      <c r="JZ98" s="9">
        <v>0</v>
      </c>
      <c r="KA98" s="9">
        <v>0</v>
      </c>
      <c r="KB98" s="9">
        <v>0</v>
      </c>
      <c r="KC98" s="9">
        <v>0</v>
      </c>
      <c r="KD98" s="9">
        <v>0</v>
      </c>
      <c r="KE98" s="9">
        <v>0</v>
      </c>
      <c r="KF98" s="9">
        <v>0</v>
      </c>
      <c r="KG98" s="9">
        <v>0</v>
      </c>
      <c r="KH98" s="9">
        <v>0</v>
      </c>
      <c r="KI98" s="9">
        <v>0</v>
      </c>
    </row>
    <row r="99" spans="1:295" x14ac:dyDescent="0.25">
      <c r="A99" s="9">
        <v>101821</v>
      </c>
      <c r="B99" s="9">
        <v>36871</v>
      </c>
      <c r="C99" s="9">
        <v>35</v>
      </c>
      <c r="D99" s="9">
        <v>2023</v>
      </c>
      <c r="E99" s="9">
        <v>5392</v>
      </c>
      <c r="F99" s="9">
        <v>0</v>
      </c>
      <c r="G99" s="9">
        <v>0</v>
      </c>
      <c r="H99" s="9">
        <v>145.21800000000002</v>
      </c>
      <c r="I99" s="9">
        <v>145.21800000000002</v>
      </c>
      <c r="J99" s="9">
        <v>165.40900000000002</v>
      </c>
      <c r="K99" s="9">
        <v>0</v>
      </c>
      <c r="L99" s="9">
        <v>6547</v>
      </c>
      <c r="M99" s="9">
        <v>0</v>
      </c>
      <c r="N99" s="9">
        <v>0</v>
      </c>
      <c r="O99" s="9">
        <v>0</v>
      </c>
      <c r="P99" s="9">
        <v>164.83100000000002</v>
      </c>
      <c r="Q99" s="9">
        <v>0</v>
      </c>
      <c r="R99" s="9">
        <v>80260</v>
      </c>
      <c r="S99" s="9">
        <v>486.92200000000003</v>
      </c>
      <c r="T99" s="9">
        <v>0</v>
      </c>
      <c r="U99" s="9">
        <v>80260</v>
      </c>
      <c r="V99" s="9">
        <v>0</v>
      </c>
      <c r="W99" s="9">
        <v>0</v>
      </c>
      <c r="X99" s="9">
        <v>0</v>
      </c>
      <c r="Y99" s="9">
        <v>0</v>
      </c>
      <c r="Z99" s="9">
        <v>0</v>
      </c>
      <c r="AA99" s="9">
        <v>1</v>
      </c>
      <c r="AB99" s="9">
        <v>1</v>
      </c>
      <c r="AC99" s="9">
        <v>0</v>
      </c>
      <c r="AD99" s="9" t="s">
        <v>314</v>
      </c>
      <c r="AE99" s="9">
        <v>0</v>
      </c>
      <c r="AF99" s="9">
        <v>0</v>
      </c>
      <c r="AG99" s="9">
        <v>0</v>
      </c>
      <c r="AH99" s="9">
        <v>0</v>
      </c>
      <c r="AI99" s="9">
        <v>0</v>
      </c>
      <c r="AJ99" s="9">
        <v>5104</v>
      </c>
      <c r="AK99" s="9" t="s">
        <v>651</v>
      </c>
      <c r="AL99" s="9" t="s">
        <v>9</v>
      </c>
      <c r="AM99" s="9">
        <v>0</v>
      </c>
      <c r="AN99" s="9">
        <v>0</v>
      </c>
      <c r="AO99" s="9">
        <v>0</v>
      </c>
      <c r="AP99" s="9">
        <v>0</v>
      </c>
      <c r="AQ99" s="9">
        <v>0</v>
      </c>
      <c r="AR99" s="9">
        <v>0</v>
      </c>
      <c r="AS99" s="9">
        <v>0</v>
      </c>
      <c r="AT99" s="9">
        <v>0</v>
      </c>
      <c r="AU99" s="9">
        <v>0</v>
      </c>
      <c r="AV99" s="9">
        <v>-10823</v>
      </c>
      <c r="AW99" s="9">
        <v>1776698</v>
      </c>
      <c r="AX99" s="9">
        <v>1702052</v>
      </c>
      <c r="AY99" s="9">
        <v>1867690</v>
      </c>
      <c r="AZ99" s="9">
        <v>125747</v>
      </c>
      <c r="BA99" s="9">
        <v>0</v>
      </c>
      <c r="BB99" s="9">
        <v>0</v>
      </c>
      <c r="BC99" s="9">
        <v>0</v>
      </c>
      <c r="BD99" s="9">
        <v>0</v>
      </c>
      <c r="BE99" s="9">
        <v>0</v>
      </c>
      <c r="BF99" s="9">
        <v>1466796</v>
      </c>
      <c r="BG99" s="9">
        <v>0</v>
      </c>
      <c r="BH99" s="9">
        <v>165.40900000000002</v>
      </c>
      <c r="BI99" s="9">
        <v>45487</v>
      </c>
      <c r="BJ99" s="9">
        <v>12</v>
      </c>
      <c r="BK99" s="9">
        <v>0</v>
      </c>
      <c r="BL99" s="9">
        <v>0</v>
      </c>
      <c r="BM99" s="9">
        <v>0</v>
      </c>
      <c r="BN99" s="9">
        <v>0</v>
      </c>
      <c r="BO99" s="9">
        <v>0</v>
      </c>
      <c r="BP99" s="9">
        <v>0</v>
      </c>
      <c r="BQ99" s="9">
        <v>5392</v>
      </c>
      <c r="BR99" s="9">
        <v>1</v>
      </c>
      <c r="BS99" s="9">
        <v>0</v>
      </c>
      <c r="BT99" s="9">
        <v>0</v>
      </c>
      <c r="BU99" s="9">
        <v>0</v>
      </c>
      <c r="BV99" s="9">
        <v>0</v>
      </c>
      <c r="BW99" s="9">
        <v>0</v>
      </c>
      <c r="BX99" s="9">
        <v>0</v>
      </c>
      <c r="BY99" s="9">
        <v>0</v>
      </c>
      <c r="BZ99" s="9">
        <v>0</v>
      </c>
      <c r="CA99" s="9">
        <v>0</v>
      </c>
      <c r="CB99" s="9">
        <v>0</v>
      </c>
      <c r="CC99" s="9">
        <v>0</v>
      </c>
      <c r="CD99" s="9">
        <v>0</v>
      </c>
      <c r="CE99" s="9">
        <v>0</v>
      </c>
      <c r="CF99" s="9">
        <v>0</v>
      </c>
      <c r="CG99" s="9">
        <v>0</v>
      </c>
      <c r="CH99" s="9">
        <v>29159</v>
      </c>
      <c r="CI99" s="9">
        <v>0</v>
      </c>
      <c r="CJ99" s="9">
        <v>4</v>
      </c>
      <c r="CK99" s="9">
        <v>0</v>
      </c>
      <c r="CL99" s="9">
        <v>0</v>
      </c>
      <c r="CM99" s="9">
        <v>0</v>
      </c>
      <c r="CN99" s="9">
        <v>0</v>
      </c>
      <c r="CO99" s="9">
        <v>0</v>
      </c>
      <c r="CP99" s="9">
        <v>0.20100000000000001</v>
      </c>
      <c r="CQ99" s="9">
        <v>0</v>
      </c>
      <c r="CR99" s="9">
        <v>158.96700000000001</v>
      </c>
      <c r="CS99" s="9">
        <v>0</v>
      </c>
      <c r="CT99" s="9">
        <v>0</v>
      </c>
      <c r="CU99" s="9">
        <v>0</v>
      </c>
      <c r="CV99" s="9">
        <v>0</v>
      </c>
      <c r="CW99" s="9">
        <v>0</v>
      </c>
      <c r="CX99" s="9">
        <v>0</v>
      </c>
      <c r="CY99" s="9">
        <v>0</v>
      </c>
      <c r="CZ99" s="9">
        <v>0</v>
      </c>
      <c r="DA99" s="9">
        <v>1</v>
      </c>
      <c r="DB99" s="9">
        <v>950742</v>
      </c>
      <c r="DC99" s="9">
        <v>0</v>
      </c>
      <c r="DD99" s="9">
        <v>0</v>
      </c>
      <c r="DE99" s="9">
        <v>235037</v>
      </c>
      <c r="DF99" s="9">
        <v>238208</v>
      </c>
      <c r="DG99" s="9">
        <v>179.5</v>
      </c>
      <c r="DH99" s="9">
        <v>0</v>
      </c>
      <c r="DI99" s="9">
        <v>3171</v>
      </c>
      <c r="DJ99" s="9">
        <v>0</v>
      </c>
      <c r="DK99" s="9">
        <v>5392</v>
      </c>
      <c r="DL99" s="9">
        <v>0</v>
      </c>
      <c r="DM99" s="9">
        <v>200166</v>
      </c>
      <c r="DN99" s="9">
        <v>0</v>
      </c>
      <c r="DO99" s="9">
        <v>0</v>
      </c>
      <c r="DP99" s="9">
        <v>0</v>
      </c>
      <c r="DQ99" s="9">
        <v>0</v>
      </c>
      <c r="DR99" s="9">
        <v>0</v>
      </c>
      <c r="DS99" s="9">
        <v>0</v>
      </c>
      <c r="DT99" s="9">
        <v>0</v>
      </c>
      <c r="DU99" s="9">
        <v>0</v>
      </c>
      <c r="DV99" s="9">
        <v>0</v>
      </c>
      <c r="DW99" s="9">
        <v>0</v>
      </c>
      <c r="DX99" s="9">
        <v>0</v>
      </c>
      <c r="DY99" s="9">
        <v>0</v>
      </c>
      <c r="DZ99" s="9">
        <v>0</v>
      </c>
      <c r="EA99" s="9">
        <v>0</v>
      </c>
      <c r="EB99" s="9">
        <v>0</v>
      </c>
      <c r="EC99" s="9">
        <v>9.0560000000000009</v>
      </c>
      <c r="ED99" s="9">
        <v>65219</v>
      </c>
      <c r="EE99" s="9">
        <v>0</v>
      </c>
      <c r="EF99" s="9">
        <v>0</v>
      </c>
      <c r="EG99" s="9">
        <v>0</v>
      </c>
      <c r="EH99" s="9">
        <v>134947</v>
      </c>
      <c r="EI99" s="9">
        <v>0</v>
      </c>
      <c r="EJ99" s="9">
        <v>0</v>
      </c>
      <c r="EK99" s="9">
        <v>6.8040000000000003</v>
      </c>
      <c r="EL99" s="9">
        <v>0</v>
      </c>
      <c r="EM99" s="9">
        <v>0</v>
      </c>
      <c r="EN99" s="9">
        <v>0.04</v>
      </c>
      <c r="EO99" s="9">
        <v>0</v>
      </c>
      <c r="EP99" s="9">
        <v>0</v>
      </c>
      <c r="EQ99" s="9">
        <v>6.8440000000000003</v>
      </c>
      <c r="ER99" s="9">
        <v>0</v>
      </c>
      <c r="ES99" s="9">
        <v>20.612000000000002</v>
      </c>
      <c r="ET99" s="9">
        <v>0</v>
      </c>
      <c r="EU99" s="9">
        <v>125747</v>
      </c>
      <c r="EV99" s="9">
        <v>0</v>
      </c>
      <c r="EW99" s="9">
        <v>0</v>
      </c>
      <c r="EX99" s="9">
        <v>0</v>
      </c>
      <c r="EY99" s="9">
        <v>0</v>
      </c>
      <c r="EZ99" s="9">
        <v>1426823</v>
      </c>
      <c r="FA99" s="9">
        <v>0</v>
      </c>
      <c r="FB99" s="9">
        <v>1552570</v>
      </c>
      <c r="FC99" s="9">
        <v>0.97326799999999991</v>
      </c>
      <c r="FD99" s="9">
        <v>0</v>
      </c>
      <c r="FE99" s="9">
        <v>226909</v>
      </c>
      <c r="FF99" s="9">
        <v>48320</v>
      </c>
      <c r="FG99" s="9">
        <v>5.8088000000000001E-2</v>
      </c>
      <c r="FH99" s="9">
        <v>5.2622999999999996E-2</v>
      </c>
      <c r="FI99" s="9">
        <v>0</v>
      </c>
      <c r="FJ99" s="9">
        <v>0</v>
      </c>
      <c r="FK99" s="9">
        <v>287.39699999999999</v>
      </c>
      <c r="FL99" s="9">
        <v>1856958</v>
      </c>
      <c r="FM99" s="9">
        <v>0</v>
      </c>
      <c r="FN99" s="9">
        <v>0</v>
      </c>
      <c r="FO99" s="9">
        <v>0</v>
      </c>
      <c r="FP99" s="9">
        <v>0</v>
      </c>
      <c r="FQ99" s="9">
        <v>0</v>
      </c>
      <c r="FR99" s="9">
        <v>0</v>
      </c>
      <c r="FS99" s="9">
        <v>0</v>
      </c>
      <c r="FT99" s="9">
        <v>0</v>
      </c>
      <c r="FU99" s="9">
        <v>0</v>
      </c>
      <c r="FV99" s="9">
        <v>0</v>
      </c>
      <c r="FW99" s="9">
        <v>0</v>
      </c>
      <c r="FX99" s="9">
        <v>0</v>
      </c>
      <c r="FY99" s="9">
        <v>0</v>
      </c>
      <c r="FZ99" s="9">
        <v>0</v>
      </c>
      <c r="GA99" s="9">
        <v>0</v>
      </c>
      <c r="GB99" s="9">
        <v>117967</v>
      </c>
      <c r="GC99" s="9">
        <v>117967</v>
      </c>
      <c r="GD99" s="9">
        <v>13.347000000000001</v>
      </c>
      <c r="GE99" s="9">
        <v>0</v>
      </c>
      <c r="GF99" s="9">
        <v>0</v>
      </c>
      <c r="GG99" s="9">
        <v>0</v>
      </c>
      <c r="GH99" s="9">
        <v>0</v>
      </c>
      <c r="GI99" s="9">
        <v>0</v>
      </c>
      <c r="GJ99" s="9">
        <v>0</v>
      </c>
      <c r="GK99" s="9">
        <v>5208</v>
      </c>
      <c r="GL99" s="9">
        <v>7250</v>
      </c>
      <c r="GM99" s="9">
        <v>0</v>
      </c>
      <c r="GN99" s="9">
        <v>0</v>
      </c>
      <c r="GO99" s="9">
        <v>0</v>
      </c>
      <c r="GP99" s="9">
        <v>1827799</v>
      </c>
      <c r="GQ99" s="9">
        <v>1827799</v>
      </c>
      <c r="GR99" s="9">
        <v>0</v>
      </c>
      <c r="GS99" s="9">
        <v>0</v>
      </c>
      <c r="GT99" s="9">
        <v>0</v>
      </c>
      <c r="GU99" s="9">
        <v>0</v>
      </c>
      <c r="GV99" s="9">
        <v>0</v>
      </c>
      <c r="GW99" s="9">
        <v>0</v>
      </c>
      <c r="GX99" s="9">
        <v>0</v>
      </c>
      <c r="GY99" s="9">
        <v>0</v>
      </c>
      <c r="GZ99" s="9">
        <v>0</v>
      </c>
      <c r="HA99" s="9">
        <v>0</v>
      </c>
      <c r="HB99" s="9">
        <v>300501363</v>
      </c>
      <c r="HC99" s="9">
        <v>4.4742999999999998E-2</v>
      </c>
      <c r="HD99" s="9">
        <v>29159</v>
      </c>
      <c r="HE99" s="9">
        <v>0</v>
      </c>
      <c r="HF99" s="9">
        <v>0</v>
      </c>
      <c r="HG99" s="9">
        <v>0</v>
      </c>
      <c r="HH99" s="9">
        <v>0</v>
      </c>
      <c r="HI99" s="9">
        <v>0</v>
      </c>
      <c r="HJ99" s="9">
        <v>0</v>
      </c>
      <c r="HK99" s="9">
        <v>0</v>
      </c>
      <c r="HL99" s="9">
        <v>0</v>
      </c>
      <c r="HM99" s="9">
        <v>0</v>
      </c>
      <c r="HN99" s="9">
        <v>0</v>
      </c>
      <c r="HO99" s="9">
        <v>0</v>
      </c>
      <c r="HP99" s="9">
        <v>0</v>
      </c>
      <c r="HQ99" s="9">
        <v>0</v>
      </c>
      <c r="HR99" s="9">
        <v>0</v>
      </c>
      <c r="HS99" s="9">
        <v>0</v>
      </c>
      <c r="HT99" s="9">
        <v>0</v>
      </c>
      <c r="HU99" s="9">
        <v>0</v>
      </c>
      <c r="HV99" s="9">
        <v>0</v>
      </c>
      <c r="HW99" s="9">
        <v>0</v>
      </c>
      <c r="HX99" s="9">
        <v>0</v>
      </c>
      <c r="HY99" s="9">
        <v>0</v>
      </c>
      <c r="HZ99" s="9">
        <v>0</v>
      </c>
      <c r="IA99" s="9">
        <v>0</v>
      </c>
      <c r="IB99" s="9">
        <v>0</v>
      </c>
      <c r="IC99" s="9">
        <v>0</v>
      </c>
      <c r="ID99" s="9">
        <v>0</v>
      </c>
      <c r="IE99" s="9">
        <v>0</v>
      </c>
      <c r="IF99" s="9">
        <v>0</v>
      </c>
      <c r="IG99" s="9">
        <v>0</v>
      </c>
      <c r="IH99" s="9">
        <v>0</v>
      </c>
      <c r="II99" s="9">
        <v>0</v>
      </c>
      <c r="IJ99" s="9">
        <v>0</v>
      </c>
      <c r="IK99" s="9">
        <v>0</v>
      </c>
      <c r="IL99" s="9">
        <v>0</v>
      </c>
      <c r="IM99" s="9">
        <v>0</v>
      </c>
      <c r="IN99" s="9">
        <v>0</v>
      </c>
      <c r="IO99" s="9">
        <v>0</v>
      </c>
      <c r="IP99" s="9">
        <v>0</v>
      </c>
      <c r="IQ99" s="9">
        <v>0</v>
      </c>
      <c r="IR99" s="9">
        <v>0</v>
      </c>
      <c r="IS99" s="9">
        <v>0</v>
      </c>
      <c r="IT99" s="9">
        <v>0</v>
      </c>
      <c r="IU99" s="9">
        <v>0</v>
      </c>
      <c r="IV99" s="9">
        <v>0</v>
      </c>
      <c r="IW99" s="9">
        <v>0</v>
      </c>
      <c r="IX99" s="9">
        <v>0</v>
      </c>
      <c r="IY99" s="9">
        <v>0</v>
      </c>
      <c r="IZ99" s="9">
        <v>0</v>
      </c>
      <c r="JA99" s="9">
        <v>0</v>
      </c>
      <c r="JB99" s="9">
        <v>0</v>
      </c>
      <c r="JC99" s="9">
        <v>0</v>
      </c>
      <c r="JD99" s="9">
        <v>0</v>
      </c>
      <c r="JE99" s="9">
        <v>0</v>
      </c>
      <c r="JF99" s="9">
        <v>0</v>
      </c>
      <c r="JG99" s="9">
        <v>0</v>
      </c>
      <c r="JH99" s="9">
        <v>0</v>
      </c>
      <c r="JI99" s="9">
        <v>0</v>
      </c>
      <c r="JJ99" s="9">
        <v>0</v>
      </c>
      <c r="JK99" s="9">
        <v>0</v>
      </c>
      <c r="JL99" s="9">
        <v>0</v>
      </c>
      <c r="JM99" s="9">
        <v>0</v>
      </c>
      <c r="JN99" s="9">
        <v>36832</v>
      </c>
      <c r="JO99" s="9">
        <v>0</v>
      </c>
      <c r="JP99" s="9">
        <v>0</v>
      </c>
      <c r="JQ99" s="9">
        <v>0</v>
      </c>
      <c r="JR99" s="9">
        <v>0</v>
      </c>
      <c r="JS99" s="9">
        <v>0</v>
      </c>
      <c r="JT99" s="9">
        <v>0</v>
      </c>
      <c r="JU99" s="9">
        <v>0</v>
      </c>
      <c r="JV99" s="9">
        <v>0</v>
      </c>
      <c r="JW99" s="9">
        <v>0</v>
      </c>
      <c r="JX99" s="9">
        <v>0</v>
      </c>
      <c r="JY99" s="9">
        <v>0</v>
      </c>
      <c r="JZ99" s="9">
        <v>0</v>
      </c>
      <c r="KA99" s="9">
        <v>0</v>
      </c>
      <c r="KB99" s="9">
        <v>0</v>
      </c>
      <c r="KC99" s="9">
        <v>0</v>
      </c>
      <c r="KD99" s="9">
        <v>0</v>
      </c>
      <c r="KE99" s="9">
        <v>0</v>
      </c>
      <c r="KF99" s="9">
        <v>0</v>
      </c>
      <c r="KG99" s="9">
        <v>0</v>
      </c>
      <c r="KH99" s="9">
        <v>0</v>
      </c>
      <c r="KI99" s="9">
        <v>0</v>
      </c>
    </row>
    <row r="100" spans="1:295" x14ac:dyDescent="0.25">
      <c r="A100" s="9">
        <v>101828</v>
      </c>
      <c r="B100" s="9">
        <v>36871</v>
      </c>
      <c r="C100" s="9">
        <v>35</v>
      </c>
      <c r="D100" s="9">
        <v>2023</v>
      </c>
      <c r="E100" s="9">
        <v>5392</v>
      </c>
      <c r="F100" s="9">
        <v>0</v>
      </c>
      <c r="G100" s="9">
        <v>0</v>
      </c>
      <c r="H100" s="9">
        <v>2011.3210000000001</v>
      </c>
      <c r="I100" s="9">
        <v>2011.3210000000001</v>
      </c>
      <c r="J100" s="9">
        <v>2084.212</v>
      </c>
      <c r="K100" s="9">
        <v>0</v>
      </c>
      <c r="L100" s="9">
        <v>6547</v>
      </c>
      <c r="M100" s="9">
        <v>0</v>
      </c>
      <c r="N100" s="9">
        <v>0</v>
      </c>
      <c r="O100" s="9">
        <v>0</v>
      </c>
      <c r="P100" s="9">
        <v>2041.5940000000001</v>
      </c>
      <c r="Q100" s="9">
        <v>0</v>
      </c>
      <c r="R100" s="9">
        <v>994097</v>
      </c>
      <c r="S100" s="9">
        <v>486.92200000000003</v>
      </c>
      <c r="T100" s="9">
        <v>0</v>
      </c>
      <c r="U100" s="9">
        <v>994097</v>
      </c>
      <c r="V100" s="9">
        <v>1021.2370000000001</v>
      </c>
      <c r="W100" s="9">
        <v>668604</v>
      </c>
      <c r="X100" s="9">
        <v>668604</v>
      </c>
      <c r="Y100" s="9">
        <v>0</v>
      </c>
      <c r="Z100" s="9">
        <v>0</v>
      </c>
      <c r="AA100" s="9">
        <v>1</v>
      </c>
      <c r="AB100" s="9">
        <v>1</v>
      </c>
      <c r="AC100" s="9">
        <v>0</v>
      </c>
      <c r="AD100" s="9" t="s">
        <v>314</v>
      </c>
      <c r="AE100" s="9">
        <v>0</v>
      </c>
      <c r="AF100" s="9">
        <v>0</v>
      </c>
      <c r="AG100" s="9">
        <v>0</v>
      </c>
      <c r="AH100" s="9">
        <v>0</v>
      </c>
      <c r="AI100" s="9">
        <v>0</v>
      </c>
      <c r="AJ100" s="9">
        <v>5104</v>
      </c>
      <c r="AK100" s="9" t="s">
        <v>651</v>
      </c>
      <c r="AL100" s="9" t="s">
        <v>346</v>
      </c>
      <c r="AM100" s="9">
        <v>0</v>
      </c>
      <c r="AN100" s="9">
        <v>0</v>
      </c>
      <c r="AO100" s="9">
        <v>0</v>
      </c>
      <c r="AP100" s="9">
        <v>0</v>
      </c>
      <c r="AQ100" s="9">
        <v>0</v>
      </c>
      <c r="AR100" s="9">
        <v>0</v>
      </c>
      <c r="AS100" s="9">
        <v>0</v>
      </c>
      <c r="AT100" s="9">
        <v>0</v>
      </c>
      <c r="AU100" s="9">
        <v>0</v>
      </c>
      <c r="AV100" s="9">
        <v>-1122600</v>
      </c>
      <c r="AW100" s="9">
        <v>20483382</v>
      </c>
      <c r="AX100" s="9">
        <v>20004580</v>
      </c>
      <c r="AY100" s="9">
        <v>21333402</v>
      </c>
      <c r="AZ100" s="9">
        <v>1105479</v>
      </c>
      <c r="BA100" s="9">
        <v>0</v>
      </c>
      <c r="BB100" s="9">
        <v>0</v>
      </c>
      <c r="BC100" s="9">
        <v>0</v>
      </c>
      <c r="BD100" s="9">
        <v>0</v>
      </c>
      <c r="BE100" s="9">
        <v>0</v>
      </c>
      <c r="BF100" s="9">
        <v>17281349</v>
      </c>
      <c r="BG100" s="9">
        <v>0</v>
      </c>
      <c r="BH100" s="9">
        <v>405.02700000000004</v>
      </c>
      <c r="BI100" s="9">
        <v>111382</v>
      </c>
      <c r="BJ100" s="9">
        <v>12</v>
      </c>
      <c r="BK100" s="9">
        <v>0</v>
      </c>
      <c r="BL100" s="9">
        <v>0</v>
      </c>
      <c r="BM100" s="9">
        <v>0</v>
      </c>
      <c r="BN100" s="9">
        <v>0</v>
      </c>
      <c r="BO100" s="9">
        <v>0</v>
      </c>
      <c r="BP100" s="9">
        <v>0</v>
      </c>
      <c r="BQ100" s="9">
        <v>5392</v>
      </c>
      <c r="BR100" s="9">
        <v>1</v>
      </c>
      <c r="BS100" s="9">
        <v>0</v>
      </c>
      <c r="BT100" s="9">
        <v>0</v>
      </c>
      <c r="BU100" s="9">
        <v>0</v>
      </c>
      <c r="BV100" s="9">
        <v>0</v>
      </c>
      <c r="BW100" s="9">
        <v>0</v>
      </c>
      <c r="BX100" s="9">
        <v>0</v>
      </c>
      <c r="BY100" s="9">
        <v>0</v>
      </c>
      <c r="BZ100" s="9">
        <v>0</v>
      </c>
      <c r="CA100" s="9">
        <v>0</v>
      </c>
      <c r="CB100" s="9">
        <v>0</v>
      </c>
      <c r="CC100" s="9">
        <v>0</v>
      </c>
      <c r="CD100" s="9">
        <v>0</v>
      </c>
      <c r="CE100" s="9">
        <v>0</v>
      </c>
      <c r="CF100" s="9">
        <v>0</v>
      </c>
      <c r="CG100" s="9">
        <v>0</v>
      </c>
      <c r="CH100" s="9">
        <v>367420</v>
      </c>
      <c r="CI100" s="9">
        <v>0</v>
      </c>
      <c r="CJ100" s="9">
        <v>4</v>
      </c>
      <c r="CK100" s="9">
        <v>0</v>
      </c>
      <c r="CL100" s="9">
        <v>0</v>
      </c>
      <c r="CM100" s="9">
        <v>0</v>
      </c>
      <c r="CN100" s="9">
        <v>0</v>
      </c>
      <c r="CO100" s="9">
        <v>0</v>
      </c>
      <c r="CP100" s="9">
        <v>0</v>
      </c>
      <c r="CQ100" s="9">
        <v>0</v>
      </c>
      <c r="CR100" s="9">
        <v>1934.5250000000001</v>
      </c>
      <c r="CS100" s="9">
        <v>0</v>
      </c>
      <c r="CT100" s="9">
        <v>0</v>
      </c>
      <c r="CU100" s="9">
        <v>0</v>
      </c>
      <c r="CV100" s="9">
        <v>0</v>
      </c>
      <c r="CW100" s="9">
        <v>0</v>
      </c>
      <c r="CX100" s="9">
        <v>0</v>
      </c>
      <c r="CY100" s="9">
        <v>0</v>
      </c>
      <c r="CZ100" s="9">
        <v>0</v>
      </c>
      <c r="DA100" s="9">
        <v>1</v>
      </c>
      <c r="DB100" s="9">
        <v>13168119</v>
      </c>
      <c r="DC100" s="9">
        <v>0</v>
      </c>
      <c r="DD100" s="9">
        <v>0</v>
      </c>
      <c r="DE100" s="9">
        <v>2954884</v>
      </c>
      <c r="DF100" s="9">
        <v>2954884</v>
      </c>
      <c r="DG100" s="9">
        <v>2256.67</v>
      </c>
      <c r="DH100" s="9">
        <v>0</v>
      </c>
      <c r="DI100" s="9">
        <v>0</v>
      </c>
      <c r="DJ100" s="9">
        <v>0</v>
      </c>
      <c r="DK100" s="9">
        <v>5392</v>
      </c>
      <c r="DL100" s="9">
        <v>0</v>
      </c>
      <c r="DM100" s="9">
        <v>543624</v>
      </c>
      <c r="DN100" s="9">
        <v>0</v>
      </c>
      <c r="DO100" s="9">
        <v>0</v>
      </c>
      <c r="DP100" s="9">
        <v>0</v>
      </c>
      <c r="DQ100" s="9">
        <v>0</v>
      </c>
      <c r="DR100" s="9">
        <v>0</v>
      </c>
      <c r="DS100" s="9">
        <v>0</v>
      </c>
      <c r="DT100" s="9">
        <v>0</v>
      </c>
      <c r="DU100" s="9">
        <v>0</v>
      </c>
      <c r="DV100" s="9">
        <v>0</v>
      </c>
      <c r="DW100" s="9">
        <v>0</v>
      </c>
      <c r="DX100" s="9">
        <v>0</v>
      </c>
      <c r="DY100" s="9">
        <v>0</v>
      </c>
      <c r="DZ100" s="9">
        <v>0</v>
      </c>
      <c r="EA100" s="9">
        <v>0</v>
      </c>
      <c r="EB100" s="9">
        <v>0</v>
      </c>
      <c r="EC100" s="9">
        <v>4.0200000000000005</v>
      </c>
      <c r="ED100" s="9">
        <v>28951</v>
      </c>
      <c r="EE100" s="9">
        <v>0</v>
      </c>
      <c r="EF100" s="9">
        <v>0</v>
      </c>
      <c r="EG100" s="9">
        <v>0</v>
      </c>
      <c r="EH100" s="9">
        <v>514673</v>
      </c>
      <c r="EI100" s="9">
        <v>0</v>
      </c>
      <c r="EJ100" s="9">
        <v>0</v>
      </c>
      <c r="EK100" s="9">
        <v>21.831</v>
      </c>
      <c r="EL100" s="9">
        <v>0</v>
      </c>
      <c r="EM100" s="9">
        <v>2.073</v>
      </c>
      <c r="EN100" s="9">
        <v>1.3800000000000001</v>
      </c>
      <c r="EO100" s="9">
        <v>0</v>
      </c>
      <c r="EP100" s="9">
        <v>0</v>
      </c>
      <c r="EQ100" s="9">
        <v>25.284000000000002</v>
      </c>
      <c r="ER100" s="9">
        <v>0</v>
      </c>
      <c r="ES100" s="9">
        <v>78.612000000000009</v>
      </c>
      <c r="ET100" s="9">
        <v>0</v>
      </c>
      <c r="EU100" s="9">
        <v>1105479</v>
      </c>
      <c r="EV100" s="9">
        <v>0</v>
      </c>
      <c r="EW100" s="9">
        <v>0</v>
      </c>
      <c r="EX100" s="9">
        <v>0</v>
      </c>
      <c r="EY100" s="9">
        <v>0</v>
      </c>
      <c r="EZ100" s="9">
        <v>16761906</v>
      </c>
      <c r="FA100" s="9">
        <v>0</v>
      </c>
      <c r="FB100" s="9">
        <v>17867385</v>
      </c>
      <c r="FC100" s="9">
        <v>0.97326799999999991</v>
      </c>
      <c r="FD100" s="9">
        <v>0</v>
      </c>
      <c r="FE100" s="9">
        <v>2673379</v>
      </c>
      <c r="FF100" s="9">
        <v>569295</v>
      </c>
      <c r="FG100" s="9">
        <v>5.8088000000000001E-2</v>
      </c>
      <c r="FH100" s="9">
        <v>5.2622999999999996E-2</v>
      </c>
      <c r="FI100" s="9">
        <v>0</v>
      </c>
      <c r="FJ100" s="9">
        <v>0</v>
      </c>
      <c r="FK100" s="9">
        <v>3386.029</v>
      </c>
      <c r="FL100" s="9">
        <v>21477479</v>
      </c>
      <c r="FM100" s="9">
        <v>0</v>
      </c>
      <c r="FN100" s="9">
        <v>0</v>
      </c>
      <c r="FO100" s="9">
        <v>0</v>
      </c>
      <c r="FP100" s="9">
        <v>0</v>
      </c>
      <c r="FQ100" s="9">
        <v>0</v>
      </c>
      <c r="FR100" s="9">
        <v>0</v>
      </c>
      <c r="FS100" s="9">
        <v>0</v>
      </c>
      <c r="FT100" s="9">
        <v>0</v>
      </c>
      <c r="FU100" s="9">
        <v>0</v>
      </c>
      <c r="FV100" s="9">
        <v>0</v>
      </c>
      <c r="FW100" s="9">
        <v>0</v>
      </c>
      <c r="FX100" s="9">
        <v>0</v>
      </c>
      <c r="FY100" s="9">
        <v>0</v>
      </c>
      <c r="FZ100" s="9">
        <v>0</v>
      </c>
      <c r="GA100" s="9">
        <v>0</v>
      </c>
      <c r="GB100" s="9">
        <v>420772</v>
      </c>
      <c r="GC100" s="9">
        <v>420772</v>
      </c>
      <c r="GD100" s="9">
        <v>47.606999999999999</v>
      </c>
      <c r="GE100" s="9">
        <v>0</v>
      </c>
      <c r="GF100" s="9">
        <v>0</v>
      </c>
      <c r="GG100" s="9">
        <v>0</v>
      </c>
      <c r="GH100" s="9">
        <v>0</v>
      </c>
      <c r="GI100" s="9">
        <v>0</v>
      </c>
      <c r="GJ100" s="9">
        <v>0</v>
      </c>
      <c r="GK100" s="9">
        <v>5143</v>
      </c>
      <c r="GL100" s="9">
        <v>24455</v>
      </c>
      <c r="GM100" s="9">
        <v>0</v>
      </c>
      <c r="GN100" s="9">
        <v>0</v>
      </c>
      <c r="GO100" s="9">
        <v>0</v>
      </c>
      <c r="GP100" s="9">
        <v>21110059</v>
      </c>
      <c r="GQ100" s="9">
        <v>21110059</v>
      </c>
      <c r="GR100" s="9">
        <v>0</v>
      </c>
      <c r="GS100" s="9">
        <v>0</v>
      </c>
      <c r="GT100" s="9">
        <v>0</v>
      </c>
      <c r="GU100" s="9">
        <v>0</v>
      </c>
      <c r="GV100" s="9">
        <v>0</v>
      </c>
      <c r="GW100" s="9">
        <v>0</v>
      </c>
      <c r="GX100" s="9">
        <v>0</v>
      </c>
      <c r="GY100" s="9">
        <v>0</v>
      </c>
      <c r="GZ100" s="9">
        <v>0</v>
      </c>
      <c r="HA100" s="9">
        <v>0</v>
      </c>
      <c r="HB100" s="9">
        <v>300501363</v>
      </c>
      <c r="HC100" s="9">
        <v>4.4742999999999998E-2</v>
      </c>
      <c r="HD100" s="9">
        <v>367420</v>
      </c>
      <c r="HE100" s="9">
        <v>0</v>
      </c>
      <c r="HF100" s="9">
        <v>0</v>
      </c>
      <c r="HG100" s="9">
        <v>0</v>
      </c>
      <c r="HH100" s="9">
        <v>0</v>
      </c>
      <c r="HI100" s="9">
        <v>0</v>
      </c>
      <c r="HJ100" s="9">
        <v>0</v>
      </c>
      <c r="HK100" s="9">
        <v>0</v>
      </c>
      <c r="HL100" s="9">
        <v>0</v>
      </c>
      <c r="HM100" s="9">
        <v>0</v>
      </c>
      <c r="HN100" s="9">
        <v>0</v>
      </c>
      <c r="HO100" s="9">
        <v>0</v>
      </c>
      <c r="HP100" s="9">
        <v>0</v>
      </c>
      <c r="HQ100" s="9">
        <v>0</v>
      </c>
      <c r="HR100" s="9">
        <v>0</v>
      </c>
      <c r="HS100" s="9">
        <v>0</v>
      </c>
      <c r="HT100" s="9">
        <v>0</v>
      </c>
      <c r="HU100" s="9">
        <v>0</v>
      </c>
      <c r="HV100" s="9">
        <v>0</v>
      </c>
      <c r="HW100" s="9">
        <v>0</v>
      </c>
      <c r="HX100" s="9">
        <v>0</v>
      </c>
      <c r="HY100" s="9">
        <v>0</v>
      </c>
      <c r="HZ100" s="9">
        <v>0</v>
      </c>
      <c r="IA100" s="9">
        <v>0</v>
      </c>
      <c r="IB100" s="9">
        <v>0</v>
      </c>
      <c r="IC100" s="9">
        <v>0</v>
      </c>
      <c r="ID100" s="9">
        <v>0</v>
      </c>
      <c r="IE100" s="9">
        <v>0</v>
      </c>
      <c r="IF100" s="9">
        <v>0</v>
      </c>
      <c r="IG100" s="9">
        <v>0</v>
      </c>
      <c r="IH100" s="9">
        <v>0</v>
      </c>
      <c r="II100" s="9">
        <v>0</v>
      </c>
      <c r="IJ100" s="9">
        <v>0</v>
      </c>
      <c r="IK100" s="9">
        <v>0</v>
      </c>
      <c r="IL100" s="9">
        <v>0</v>
      </c>
      <c r="IM100" s="9">
        <v>0</v>
      </c>
      <c r="IN100" s="9">
        <v>0</v>
      </c>
      <c r="IO100" s="9">
        <v>0</v>
      </c>
      <c r="IP100" s="9">
        <v>0</v>
      </c>
      <c r="IQ100" s="9">
        <v>0</v>
      </c>
      <c r="IR100" s="9">
        <v>0</v>
      </c>
      <c r="IS100" s="9">
        <v>0</v>
      </c>
      <c r="IT100" s="9">
        <v>0</v>
      </c>
      <c r="IU100" s="9">
        <v>0</v>
      </c>
      <c r="IV100" s="9">
        <v>0</v>
      </c>
      <c r="IW100" s="9">
        <v>0</v>
      </c>
      <c r="IX100" s="9">
        <v>0</v>
      </c>
      <c r="IY100" s="9">
        <v>0</v>
      </c>
      <c r="IZ100" s="9">
        <v>0</v>
      </c>
      <c r="JA100" s="9">
        <v>0</v>
      </c>
      <c r="JB100" s="9">
        <v>0</v>
      </c>
      <c r="JC100" s="9">
        <v>0</v>
      </c>
      <c r="JD100" s="9">
        <v>0</v>
      </c>
      <c r="JE100" s="9">
        <v>0</v>
      </c>
      <c r="JF100" s="9">
        <v>0</v>
      </c>
      <c r="JG100" s="9">
        <v>0</v>
      </c>
      <c r="JH100" s="9">
        <v>0</v>
      </c>
      <c r="JI100" s="9">
        <v>0</v>
      </c>
      <c r="JJ100" s="9">
        <v>0</v>
      </c>
      <c r="JK100" s="9">
        <v>0</v>
      </c>
      <c r="JL100" s="9">
        <v>0</v>
      </c>
      <c r="JM100" s="9">
        <v>0</v>
      </c>
      <c r="JN100" s="9">
        <v>36832</v>
      </c>
      <c r="JO100" s="9">
        <v>0</v>
      </c>
      <c r="JP100" s="9">
        <v>0</v>
      </c>
      <c r="JQ100" s="9">
        <v>0</v>
      </c>
      <c r="JR100" s="9">
        <v>0</v>
      </c>
      <c r="JS100" s="9">
        <v>0</v>
      </c>
      <c r="JT100" s="9">
        <v>0</v>
      </c>
      <c r="JU100" s="9">
        <v>0</v>
      </c>
      <c r="JV100" s="9">
        <v>0</v>
      </c>
      <c r="JW100" s="9">
        <v>0</v>
      </c>
      <c r="JX100" s="9">
        <v>0</v>
      </c>
      <c r="JY100" s="9">
        <v>0</v>
      </c>
      <c r="JZ100" s="9">
        <v>0</v>
      </c>
      <c r="KA100" s="9">
        <v>0</v>
      </c>
      <c r="KB100" s="9">
        <v>0</v>
      </c>
      <c r="KC100" s="9">
        <v>0</v>
      </c>
      <c r="KD100" s="9">
        <v>0</v>
      </c>
      <c r="KE100" s="9">
        <v>0</v>
      </c>
      <c r="KF100" s="9">
        <v>0</v>
      </c>
      <c r="KG100" s="9">
        <v>0</v>
      </c>
      <c r="KH100" s="9">
        <v>0</v>
      </c>
      <c r="KI100" s="9">
        <v>0</v>
      </c>
    </row>
    <row r="101" spans="1:295" ht="13" x14ac:dyDescent="0.3">
      <c r="A101" s="9">
        <v>101837</v>
      </c>
      <c r="B101" s="9">
        <v>36871</v>
      </c>
      <c r="C101" s="9">
        <v>35</v>
      </c>
      <c r="D101" s="9">
        <v>2023</v>
      </c>
      <c r="E101" s="9">
        <v>5392</v>
      </c>
      <c r="F101" s="9">
        <v>0</v>
      </c>
      <c r="G101" s="9">
        <v>0</v>
      </c>
      <c r="H101" s="9">
        <v>257.74400000000003</v>
      </c>
      <c r="I101" s="9">
        <v>257.74400000000003</v>
      </c>
      <c r="J101" s="9">
        <v>308.35000000000002</v>
      </c>
      <c r="K101" s="9">
        <v>0</v>
      </c>
      <c r="L101" s="9">
        <v>6547</v>
      </c>
      <c r="M101" s="9">
        <v>0</v>
      </c>
      <c r="N101" s="9">
        <v>0</v>
      </c>
      <c r="O101" s="9">
        <v>0</v>
      </c>
      <c r="P101" s="9">
        <v>303.11900000000003</v>
      </c>
      <c r="Q101" s="9">
        <v>0</v>
      </c>
      <c r="R101" s="10">
        <v>147595</v>
      </c>
      <c r="S101" s="9">
        <v>486.92200000000003</v>
      </c>
      <c r="T101" s="9">
        <v>0</v>
      </c>
      <c r="U101" s="10">
        <v>147595</v>
      </c>
      <c r="V101" s="10">
        <v>14.115</v>
      </c>
      <c r="W101" s="10">
        <v>9241</v>
      </c>
      <c r="X101" s="10">
        <v>9241</v>
      </c>
      <c r="Y101" s="9">
        <v>0</v>
      </c>
      <c r="Z101" s="9">
        <v>0</v>
      </c>
      <c r="AA101" s="9">
        <v>1</v>
      </c>
      <c r="AB101" s="9">
        <v>1</v>
      </c>
      <c r="AC101" s="9">
        <v>0</v>
      </c>
      <c r="AD101" s="9" t="s">
        <v>314</v>
      </c>
      <c r="AE101" s="9">
        <v>0</v>
      </c>
      <c r="AF101" s="9">
        <v>0</v>
      </c>
      <c r="AG101" s="9">
        <v>0</v>
      </c>
      <c r="AH101" s="9">
        <v>0</v>
      </c>
      <c r="AI101" s="9">
        <v>0</v>
      </c>
      <c r="AJ101" s="9">
        <v>5104</v>
      </c>
      <c r="AK101" s="9" t="s">
        <v>651</v>
      </c>
      <c r="AL101" s="9" t="s">
        <v>12</v>
      </c>
      <c r="AM101" s="9">
        <v>0</v>
      </c>
      <c r="AN101" s="9">
        <v>0</v>
      </c>
      <c r="AO101" s="9">
        <v>0</v>
      </c>
      <c r="AP101" s="9">
        <v>0</v>
      </c>
      <c r="AQ101" s="9">
        <v>0</v>
      </c>
      <c r="AR101" s="9">
        <v>0</v>
      </c>
      <c r="AS101" s="9">
        <v>0</v>
      </c>
      <c r="AT101" s="9">
        <v>0</v>
      </c>
      <c r="AU101" s="9">
        <v>0</v>
      </c>
      <c r="AV101" s="9">
        <v>-42326</v>
      </c>
      <c r="AW101" s="9">
        <v>2900853</v>
      </c>
      <c r="AX101" s="9">
        <v>2799838</v>
      </c>
      <c r="AY101" s="9">
        <v>2978067</v>
      </c>
      <c r="AZ101" s="9">
        <v>192252</v>
      </c>
      <c r="BA101" s="10">
        <v>4</v>
      </c>
      <c r="BB101" s="9">
        <v>0</v>
      </c>
      <c r="BC101" s="9">
        <v>0</v>
      </c>
      <c r="BD101" s="9">
        <v>0</v>
      </c>
      <c r="BE101" s="9">
        <v>0</v>
      </c>
      <c r="BF101" s="9">
        <v>2406169</v>
      </c>
      <c r="BG101" s="9">
        <v>0</v>
      </c>
      <c r="BH101" s="10">
        <v>162.38800000000001</v>
      </c>
      <c r="BI101" s="10">
        <v>44657</v>
      </c>
      <c r="BJ101" s="9">
        <v>12</v>
      </c>
      <c r="BK101" s="9">
        <v>0</v>
      </c>
      <c r="BL101" s="9">
        <v>0</v>
      </c>
      <c r="BM101" s="9">
        <v>0</v>
      </c>
      <c r="BN101" s="9">
        <v>0</v>
      </c>
      <c r="BO101" s="9">
        <v>0</v>
      </c>
      <c r="BP101" s="9">
        <v>0</v>
      </c>
      <c r="BQ101" s="9">
        <v>5392</v>
      </c>
      <c r="BR101" s="9">
        <v>1</v>
      </c>
      <c r="BS101" s="9">
        <v>0</v>
      </c>
      <c r="BT101" s="9">
        <v>0</v>
      </c>
      <c r="BU101" s="9">
        <v>0</v>
      </c>
      <c r="BV101" s="9">
        <v>0</v>
      </c>
      <c r="BW101" s="9">
        <v>0</v>
      </c>
      <c r="BX101" s="9">
        <v>0</v>
      </c>
      <c r="BY101" s="9">
        <v>0</v>
      </c>
      <c r="BZ101" s="9">
        <v>0</v>
      </c>
      <c r="CA101" s="9">
        <v>0</v>
      </c>
      <c r="CB101" s="9">
        <v>0</v>
      </c>
      <c r="CC101" s="9">
        <v>0</v>
      </c>
      <c r="CD101" s="9">
        <v>0</v>
      </c>
      <c r="CE101" s="9">
        <v>0</v>
      </c>
      <c r="CF101" s="9">
        <v>0</v>
      </c>
      <c r="CG101" s="9">
        <v>0</v>
      </c>
      <c r="CH101" s="10">
        <v>56358</v>
      </c>
      <c r="CI101" s="9">
        <v>0</v>
      </c>
      <c r="CJ101" s="9">
        <v>4</v>
      </c>
      <c r="CK101" s="9">
        <v>0</v>
      </c>
      <c r="CL101" s="9">
        <v>0</v>
      </c>
      <c r="CM101" s="9">
        <v>0</v>
      </c>
      <c r="CN101" s="9">
        <v>0</v>
      </c>
      <c r="CO101" s="9">
        <v>0</v>
      </c>
      <c r="CP101" s="9">
        <v>0</v>
      </c>
      <c r="CQ101" s="9">
        <v>0</v>
      </c>
      <c r="CR101" s="9">
        <v>303.11900000000003</v>
      </c>
      <c r="CS101" s="9">
        <v>0</v>
      </c>
      <c r="CT101" s="9">
        <v>0</v>
      </c>
      <c r="CU101" s="9">
        <v>0</v>
      </c>
      <c r="CV101" s="9">
        <v>0</v>
      </c>
      <c r="CW101" s="9">
        <v>0</v>
      </c>
      <c r="CX101" s="9">
        <v>0</v>
      </c>
      <c r="CY101" s="9">
        <v>0</v>
      </c>
      <c r="CZ101" s="9">
        <v>0</v>
      </c>
      <c r="DA101" s="9">
        <v>1</v>
      </c>
      <c r="DB101" s="9">
        <v>1687450</v>
      </c>
      <c r="DC101" s="9">
        <v>0</v>
      </c>
      <c r="DD101" s="9">
        <v>0</v>
      </c>
      <c r="DE101" s="9">
        <v>191172</v>
      </c>
      <c r="DF101" s="9">
        <v>191172</v>
      </c>
      <c r="DG101" s="9">
        <v>146</v>
      </c>
      <c r="DH101" s="9">
        <v>0</v>
      </c>
      <c r="DI101" s="9">
        <v>0</v>
      </c>
      <c r="DJ101" s="9">
        <v>0</v>
      </c>
      <c r="DK101" s="9">
        <v>5392</v>
      </c>
      <c r="DL101" s="9">
        <v>0</v>
      </c>
      <c r="DM101" s="9">
        <v>139237</v>
      </c>
      <c r="DN101" s="9">
        <v>0</v>
      </c>
      <c r="DO101" s="9">
        <v>0</v>
      </c>
      <c r="DP101" s="9">
        <v>0</v>
      </c>
      <c r="DQ101" s="9">
        <v>0</v>
      </c>
      <c r="DR101" s="9">
        <v>0</v>
      </c>
      <c r="DS101" s="9">
        <v>0</v>
      </c>
      <c r="DT101" s="9">
        <v>0</v>
      </c>
      <c r="DU101" s="9">
        <v>0</v>
      </c>
      <c r="DV101" s="9">
        <v>0</v>
      </c>
      <c r="DW101" s="9">
        <v>0</v>
      </c>
      <c r="DX101" s="9">
        <v>0</v>
      </c>
      <c r="DY101" s="9">
        <v>0</v>
      </c>
      <c r="DZ101" s="9">
        <v>0</v>
      </c>
      <c r="EA101" s="9">
        <v>0</v>
      </c>
      <c r="EB101" s="9">
        <v>0</v>
      </c>
      <c r="EC101" s="9">
        <v>18.243000000000002</v>
      </c>
      <c r="ED101" s="9">
        <v>131381</v>
      </c>
      <c r="EE101" s="9">
        <v>0</v>
      </c>
      <c r="EF101" s="9">
        <v>0</v>
      </c>
      <c r="EG101" s="9">
        <v>0</v>
      </c>
      <c r="EH101" s="9">
        <v>7856</v>
      </c>
      <c r="EI101" s="9">
        <v>0</v>
      </c>
      <c r="EJ101" s="9">
        <v>0</v>
      </c>
      <c r="EK101" s="9">
        <v>0</v>
      </c>
      <c r="EL101" s="9">
        <v>0</v>
      </c>
      <c r="EM101" s="9">
        <v>0</v>
      </c>
      <c r="EN101" s="9">
        <v>0.24</v>
      </c>
      <c r="EO101" s="9">
        <v>0</v>
      </c>
      <c r="EP101" s="9">
        <v>0</v>
      </c>
      <c r="EQ101" s="9">
        <v>0.24</v>
      </c>
      <c r="ER101" s="9">
        <v>0</v>
      </c>
      <c r="ES101" s="9">
        <v>1.2</v>
      </c>
      <c r="ET101" s="10">
        <v>2000</v>
      </c>
      <c r="EU101" s="9">
        <v>192252</v>
      </c>
      <c r="EV101" s="9">
        <v>0</v>
      </c>
      <c r="EW101" s="9">
        <v>0</v>
      </c>
      <c r="EX101" s="9">
        <v>0</v>
      </c>
      <c r="EY101" s="9">
        <v>0</v>
      </c>
      <c r="EZ101" s="9">
        <v>2348344</v>
      </c>
      <c r="FA101" s="9">
        <v>0</v>
      </c>
      <c r="FB101" s="10">
        <v>2540596</v>
      </c>
      <c r="FC101" s="9">
        <v>0.97326799999999991</v>
      </c>
      <c r="FD101" s="9">
        <v>0</v>
      </c>
      <c r="FE101" s="9">
        <v>372228</v>
      </c>
      <c r="FF101" s="9">
        <v>79266</v>
      </c>
      <c r="FG101" s="9">
        <v>5.8088000000000001E-2</v>
      </c>
      <c r="FH101" s="9">
        <v>5.2622999999999996E-2</v>
      </c>
      <c r="FI101" s="9">
        <v>0</v>
      </c>
      <c r="FJ101" s="9">
        <v>0</v>
      </c>
      <c r="FK101" s="9">
        <v>471.45400000000001</v>
      </c>
      <c r="FL101" s="9">
        <v>3048448</v>
      </c>
      <c r="FM101" s="9">
        <v>0</v>
      </c>
      <c r="FN101" s="9">
        <v>0</v>
      </c>
      <c r="FO101" s="9">
        <v>23682</v>
      </c>
      <c r="FP101" s="9">
        <v>0</v>
      </c>
      <c r="FQ101" s="9">
        <v>23682</v>
      </c>
      <c r="FR101" s="9">
        <v>23682</v>
      </c>
      <c r="FS101" s="9">
        <v>0</v>
      </c>
      <c r="FT101" s="9">
        <v>0</v>
      </c>
      <c r="FU101" s="9">
        <v>0</v>
      </c>
      <c r="FV101" s="9">
        <v>0</v>
      </c>
      <c r="FW101" s="9">
        <v>0</v>
      </c>
      <c r="FX101" s="9">
        <v>0</v>
      </c>
      <c r="FY101" s="9">
        <v>0</v>
      </c>
      <c r="FZ101" s="9">
        <v>0</v>
      </c>
      <c r="GA101" s="9">
        <v>0</v>
      </c>
      <c r="GB101" s="10">
        <v>445157</v>
      </c>
      <c r="GC101" s="10">
        <v>445157</v>
      </c>
      <c r="GD101" s="10">
        <v>50.366</v>
      </c>
      <c r="GE101" s="9">
        <v>0</v>
      </c>
      <c r="GF101" s="9">
        <v>0</v>
      </c>
      <c r="GG101" s="9">
        <v>0</v>
      </c>
      <c r="GH101" s="9">
        <v>0</v>
      </c>
      <c r="GI101" s="9">
        <v>0</v>
      </c>
      <c r="GJ101" s="9">
        <v>0</v>
      </c>
      <c r="GK101" s="9">
        <v>5238</v>
      </c>
      <c r="GL101" s="9">
        <v>9088</v>
      </c>
      <c r="GM101" s="9">
        <v>0</v>
      </c>
      <c r="GN101" s="9">
        <v>31476</v>
      </c>
      <c r="GO101" s="9">
        <v>0</v>
      </c>
      <c r="GP101" s="9">
        <v>2992090</v>
      </c>
      <c r="GQ101" s="9">
        <v>2992090</v>
      </c>
      <c r="GR101" s="9">
        <v>0</v>
      </c>
      <c r="GS101" s="9">
        <v>0</v>
      </c>
      <c r="GT101" s="9">
        <v>0</v>
      </c>
      <c r="GU101" s="9">
        <v>0</v>
      </c>
      <c r="GV101" s="9">
        <v>0</v>
      </c>
      <c r="GW101" s="9">
        <v>0</v>
      </c>
      <c r="GX101" s="9">
        <v>0</v>
      </c>
      <c r="GY101" s="9">
        <v>0</v>
      </c>
      <c r="GZ101" s="9">
        <v>0</v>
      </c>
      <c r="HA101" s="9">
        <v>0</v>
      </c>
      <c r="HB101" s="9">
        <v>300501363</v>
      </c>
      <c r="HC101" s="9">
        <v>4.4742999999999998E-2</v>
      </c>
      <c r="HD101" s="10">
        <v>54358</v>
      </c>
      <c r="HE101" s="9">
        <v>0</v>
      </c>
      <c r="HF101" s="9">
        <v>0</v>
      </c>
      <c r="HG101" s="9">
        <v>0</v>
      </c>
      <c r="HH101" s="9">
        <v>0</v>
      </c>
      <c r="HI101" s="9">
        <v>0</v>
      </c>
      <c r="HJ101" s="9">
        <v>0</v>
      </c>
      <c r="HK101" s="9">
        <v>0</v>
      </c>
      <c r="HL101" s="9">
        <v>0</v>
      </c>
      <c r="HM101" s="9">
        <v>0</v>
      </c>
      <c r="HN101" s="9">
        <v>0</v>
      </c>
      <c r="HO101" s="9">
        <v>0</v>
      </c>
      <c r="HP101" s="9">
        <v>0</v>
      </c>
      <c r="HQ101" s="9">
        <v>0</v>
      </c>
      <c r="HR101" s="9">
        <v>0</v>
      </c>
      <c r="HS101" s="9">
        <v>0</v>
      </c>
      <c r="HT101" s="9">
        <v>0</v>
      </c>
      <c r="HU101" s="9">
        <v>0</v>
      </c>
      <c r="HV101" s="9">
        <v>0</v>
      </c>
      <c r="HW101" s="9">
        <v>0</v>
      </c>
      <c r="HX101" s="9">
        <v>0</v>
      </c>
      <c r="HY101" s="9">
        <v>0</v>
      </c>
      <c r="HZ101" s="9">
        <v>0</v>
      </c>
      <c r="IA101" s="9">
        <v>0</v>
      </c>
      <c r="IB101" s="9">
        <v>0</v>
      </c>
      <c r="IC101" s="9">
        <v>0</v>
      </c>
      <c r="ID101" s="9">
        <v>0</v>
      </c>
      <c r="IE101" s="9">
        <v>0</v>
      </c>
      <c r="IF101" s="9">
        <v>0</v>
      </c>
      <c r="IG101" s="9">
        <v>0</v>
      </c>
      <c r="IH101" s="9">
        <v>0</v>
      </c>
      <c r="II101" s="9">
        <v>0</v>
      </c>
      <c r="IJ101" s="9">
        <v>0</v>
      </c>
      <c r="IK101" s="9">
        <v>0</v>
      </c>
      <c r="IL101" s="9">
        <v>0</v>
      </c>
      <c r="IM101" s="9">
        <v>0</v>
      </c>
      <c r="IN101" s="9">
        <v>0</v>
      </c>
      <c r="IO101" s="9">
        <v>0</v>
      </c>
      <c r="IP101" s="9">
        <v>0</v>
      </c>
      <c r="IQ101" s="9">
        <v>0</v>
      </c>
      <c r="IR101" s="9">
        <v>0</v>
      </c>
      <c r="IS101" s="9">
        <v>0</v>
      </c>
      <c r="IT101" s="9">
        <v>0</v>
      </c>
      <c r="IU101" s="9">
        <v>0</v>
      </c>
      <c r="IV101" s="9">
        <v>0</v>
      </c>
      <c r="IW101" s="9">
        <v>0</v>
      </c>
      <c r="IX101" s="9">
        <v>0</v>
      </c>
      <c r="IY101" s="9">
        <v>0</v>
      </c>
      <c r="IZ101" s="9">
        <v>0</v>
      </c>
      <c r="JA101" s="9">
        <v>0</v>
      </c>
      <c r="JB101" s="9">
        <v>0</v>
      </c>
      <c r="JC101" s="9">
        <v>0</v>
      </c>
      <c r="JD101" s="9">
        <v>0</v>
      </c>
      <c r="JE101" s="9">
        <v>0</v>
      </c>
      <c r="JF101" s="9">
        <v>0</v>
      </c>
      <c r="JG101" s="9">
        <v>0</v>
      </c>
      <c r="JH101" s="9">
        <v>0</v>
      </c>
      <c r="JI101" s="9">
        <v>0</v>
      </c>
      <c r="JJ101" s="9">
        <v>0</v>
      </c>
      <c r="JK101" s="9">
        <v>0</v>
      </c>
      <c r="JL101" s="9">
        <v>0</v>
      </c>
      <c r="JM101" s="9">
        <v>0</v>
      </c>
      <c r="JN101" s="9">
        <v>36832</v>
      </c>
      <c r="JO101" s="9">
        <v>0</v>
      </c>
      <c r="JP101" s="9">
        <v>0</v>
      </c>
      <c r="JQ101" s="9">
        <v>0</v>
      </c>
      <c r="JR101" s="9">
        <v>0</v>
      </c>
      <c r="JS101" s="9">
        <v>0</v>
      </c>
      <c r="JT101" s="9">
        <v>0</v>
      </c>
      <c r="JU101" s="9">
        <v>0</v>
      </c>
      <c r="JV101" s="9">
        <v>0</v>
      </c>
      <c r="JW101" s="9">
        <v>0</v>
      </c>
      <c r="JX101" s="9">
        <v>0</v>
      </c>
      <c r="JY101" s="9">
        <v>0</v>
      </c>
      <c r="JZ101" s="9">
        <v>0</v>
      </c>
      <c r="KA101" s="9">
        <v>0</v>
      </c>
      <c r="KB101" s="9">
        <v>0</v>
      </c>
      <c r="KC101" s="9">
        <v>0</v>
      </c>
      <c r="KD101" s="9">
        <v>0</v>
      </c>
      <c r="KE101" s="9">
        <v>0</v>
      </c>
      <c r="KF101" s="9">
        <v>0</v>
      </c>
      <c r="KG101" s="9">
        <v>0</v>
      </c>
      <c r="KH101" s="9">
        <v>0</v>
      </c>
      <c r="KI101" s="9">
        <v>0</v>
      </c>
    </row>
    <row r="102" spans="1:295" ht="13" x14ac:dyDescent="0.3">
      <c r="A102" s="9">
        <v>101838</v>
      </c>
      <c r="B102" s="9">
        <v>36871</v>
      </c>
      <c r="C102" s="9">
        <v>35</v>
      </c>
      <c r="D102" s="9">
        <v>2023</v>
      </c>
      <c r="E102" s="9">
        <v>5392</v>
      </c>
      <c r="F102" s="9">
        <v>0</v>
      </c>
      <c r="G102" s="9">
        <v>0</v>
      </c>
      <c r="H102" s="9">
        <v>1703.787</v>
      </c>
      <c r="I102" s="9">
        <v>1703.787</v>
      </c>
      <c r="J102" s="9">
        <v>1775.7470000000001</v>
      </c>
      <c r="K102" s="9">
        <v>0</v>
      </c>
      <c r="L102" s="9">
        <v>6547</v>
      </c>
      <c r="M102" s="9">
        <v>0</v>
      </c>
      <c r="N102" s="9">
        <v>0</v>
      </c>
      <c r="O102" s="9">
        <v>0</v>
      </c>
      <c r="P102" s="9">
        <v>1736.25</v>
      </c>
      <c r="Q102" s="9">
        <v>0</v>
      </c>
      <c r="R102" s="10">
        <v>845418</v>
      </c>
      <c r="S102" s="9">
        <v>486.92200000000003</v>
      </c>
      <c r="T102" s="9">
        <v>0</v>
      </c>
      <c r="U102" s="10">
        <v>845418</v>
      </c>
      <c r="V102" s="10">
        <v>1025.5220000000002</v>
      </c>
      <c r="W102" s="10">
        <v>671409</v>
      </c>
      <c r="X102" s="10">
        <v>671409</v>
      </c>
      <c r="Y102" s="9">
        <v>0</v>
      </c>
      <c r="Z102" s="9">
        <v>0</v>
      </c>
      <c r="AA102" s="9">
        <v>1</v>
      </c>
      <c r="AB102" s="9">
        <v>1</v>
      </c>
      <c r="AC102" s="9">
        <v>0</v>
      </c>
      <c r="AD102" s="9" t="s">
        <v>314</v>
      </c>
      <c r="AE102" s="9">
        <v>0</v>
      </c>
      <c r="AF102" s="9">
        <v>0</v>
      </c>
      <c r="AG102" s="9">
        <v>0</v>
      </c>
      <c r="AH102" s="9">
        <v>0</v>
      </c>
      <c r="AI102" s="9">
        <v>0</v>
      </c>
      <c r="AJ102" s="9">
        <v>5104</v>
      </c>
      <c r="AK102" s="9" t="s">
        <v>651</v>
      </c>
      <c r="AL102" s="9" t="s">
        <v>13</v>
      </c>
      <c r="AM102" s="9">
        <v>0</v>
      </c>
      <c r="AN102" s="9">
        <v>0</v>
      </c>
      <c r="AO102" s="9">
        <v>0</v>
      </c>
      <c r="AP102" s="9">
        <v>0</v>
      </c>
      <c r="AQ102" s="9">
        <v>0</v>
      </c>
      <c r="AR102" s="9">
        <v>0</v>
      </c>
      <c r="AS102" s="9">
        <v>0</v>
      </c>
      <c r="AT102" s="9">
        <v>0</v>
      </c>
      <c r="AU102" s="9">
        <v>0</v>
      </c>
      <c r="AV102" s="9">
        <v>-617468</v>
      </c>
      <c r="AW102" s="9">
        <v>17994281</v>
      </c>
      <c r="AX102" s="9">
        <v>17568713</v>
      </c>
      <c r="AY102" s="9">
        <v>17364396</v>
      </c>
      <c r="AZ102" s="9">
        <v>957945</v>
      </c>
      <c r="BA102" s="10">
        <v>0</v>
      </c>
      <c r="BB102" s="9">
        <v>0</v>
      </c>
      <c r="BC102" s="9">
        <v>0</v>
      </c>
      <c r="BD102" s="9">
        <v>0</v>
      </c>
      <c r="BE102" s="9">
        <v>0</v>
      </c>
      <c r="BF102" s="9">
        <v>15128226</v>
      </c>
      <c r="BG102" s="9">
        <v>0</v>
      </c>
      <c r="BH102" s="10">
        <v>409.18900000000002</v>
      </c>
      <c r="BI102" s="10">
        <v>112527</v>
      </c>
      <c r="BJ102" s="9">
        <v>12</v>
      </c>
      <c r="BK102" s="9">
        <v>0</v>
      </c>
      <c r="BL102" s="9">
        <v>0</v>
      </c>
      <c r="BM102" s="9">
        <v>0</v>
      </c>
      <c r="BN102" s="9">
        <v>0</v>
      </c>
      <c r="BO102" s="9">
        <v>0</v>
      </c>
      <c r="BP102" s="9">
        <v>0</v>
      </c>
      <c r="BQ102" s="9">
        <v>5392</v>
      </c>
      <c r="BR102" s="9">
        <v>1</v>
      </c>
      <c r="BS102" s="9">
        <v>0</v>
      </c>
      <c r="BT102" s="9">
        <v>0</v>
      </c>
      <c r="BU102" s="9">
        <v>0</v>
      </c>
      <c r="BV102" s="9">
        <v>0</v>
      </c>
      <c r="BW102" s="9">
        <v>0</v>
      </c>
      <c r="BX102" s="9">
        <v>0</v>
      </c>
      <c r="BY102" s="9">
        <v>0</v>
      </c>
      <c r="BZ102" s="9">
        <v>0</v>
      </c>
      <c r="CA102" s="9">
        <v>0</v>
      </c>
      <c r="CB102" s="9">
        <v>0</v>
      </c>
      <c r="CC102" s="9">
        <v>0</v>
      </c>
      <c r="CD102" s="9">
        <v>0</v>
      </c>
      <c r="CE102" s="9">
        <v>0</v>
      </c>
      <c r="CF102" s="9">
        <v>0</v>
      </c>
      <c r="CG102" s="9">
        <v>0</v>
      </c>
      <c r="CH102" s="10">
        <v>313041</v>
      </c>
      <c r="CI102" s="9">
        <v>0</v>
      </c>
      <c r="CJ102" s="9">
        <v>4</v>
      </c>
      <c r="CK102" s="9">
        <v>0</v>
      </c>
      <c r="CL102" s="9">
        <v>0</v>
      </c>
      <c r="CM102" s="9">
        <v>0</v>
      </c>
      <c r="CN102" s="9">
        <v>0</v>
      </c>
      <c r="CO102" s="9">
        <v>0</v>
      </c>
      <c r="CP102" s="9">
        <v>5.6000000000000001E-2</v>
      </c>
      <c r="CQ102" s="9">
        <v>0</v>
      </c>
      <c r="CR102" s="9">
        <v>1653.2650000000001</v>
      </c>
      <c r="CS102" s="9">
        <v>0</v>
      </c>
      <c r="CT102" s="9">
        <v>0</v>
      </c>
      <c r="CU102" s="9">
        <v>0</v>
      </c>
      <c r="CV102" s="9">
        <v>0</v>
      </c>
      <c r="CW102" s="9">
        <v>0</v>
      </c>
      <c r="CX102" s="9">
        <v>0</v>
      </c>
      <c r="CY102" s="9">
        <v>0</v>
      </c>
      <c r="CZ102" s="9">
        <v>0</v>
      </c>
      <c r="DA102" s="9">
        <v>1</v>
      </c>
      <c r="DB102" s="9">
        <v>11154693</v>
      </c>
      <c r="DC102" s="9">
        <v>0</v>
      </c>
      <c r="DD102" s="9">
        <v>0</v>
      </c>
      <c r="DE102" s="9">
        <v>1808714</v>
      </c>
      <c r="DF102" s="9">
        <v>1809598</v>
      </c>
      <c r="DG102" s="9">
        <v>1381.33</v>
      </c>
      <c r="DH102" s="9">
        <v>0</v>
      </c>
      <c r="DI102" s="9">
        <v>884</v>
      </c>
      <c r="DJ102" s="9">
        <v>0</v>
      </c>
      <c r="DK102" s="9">
        <v>5392</v>
      </c>
      <c r="DL102" s="9">
        <v>0</v>
      </c>
      <c r="DM102" s="9">
        <v>1773379</v>
      </c>
      <c r="DN102" s="9">
        <v>0</v>
      </c>
      <c r="DO102" s="9">
        <v>0</v>
      </c>
      <c r="DP102" s="9">
        <v>0</v>
      </c>
      <c r="DQ102" s="9">
        <v>0</v>
      </c>
      <c r="DR102" s="9">
        <v>0</v>
      </c>
      <c r="DS102" s="9">
        <v>0</v>
      </c>
      <c r="DT102" s="9">
        <v>0</v>
      </c>
      <c r="DU102" s="9">
        <v>0</v>
      </c>
      <c r="DV102" s="9">
        <v>0</v>
      </c>
      <c r="DW102" s="9">
        <v>0</v>
      </c>
      <c r="DX102" s="9">
        <v>0</v>
      </c>
      <c r="DY102" s="9">
        <v>0</v>
      </c>
      <c r="DZ102" s="9">
        <v>0</v>
      </c>
      <c r="EA102" s="9">
        <v>0</v>
      </c>
      <c r="EB102" s="9">
        <v>0</v>
      </c>
      <c r="EC102" s="9">
        <v>60.22</v>
      </c>
      <c r="ED102" s="9">
        <v>433686</v>
      </c>
      <c r="EE102" s="9">
        <v>0</v>
      </c>
      <c r="EF102" s="9">
        <v>0</v>
      </c>
      <c r="EG102" s="9">
        <v>0</v>
      </c>
      <c r="EH102" s="9">
        <v>541038</v>
      </c>
      <c r="EI102" s="9">
        <v>798655</v>
      </c>
      <c r="EJ102" s="9">
        <v>30.497</v>
      </c>
      <c r="EK102" s="9">
        <v>24.248000000000001</v>
      </c>
      <c r="EL102" s="9">
        <v>0</v>
      </c>
      <c r="EM102" s="9">
        <v>0</v>
      </c>
      <c r="EN102" s="9">
        <v>1.9790000000000001</v>
      </c>
      <c r="EO102" s="9">
        <v>0</v>
      </c>
      <c r="EP102" s="9">
        <v>0</v>
      </c>
      <c r="EQ102" s="9">
        <v>56.724000000000004</v>
      </c>
      <c r="ER102" s="9">
        <v>0</v>
      </c>
      <c r="ES102" s="9">
        <v>82.63900000000001</v>
      </c>
      <c r="ET102" s="10">
        <v>0</v>
      </c>
      <c r="EU102" s="9">
        <v>957945</v>
      </c>
      <c r="EV102" s="9">
        <v>0</v>
      </c>
      <c r="EW102" s="9">
        <v>0</v>
      </c>
      <c r="EX102" s="9">
        <v>0</v>
      </c>
      <c r="EY102" s="9">
        <v>0</v>
      </c>
      <c r="EZ102" s="9">
        <v>14730052</v>
      </c>
      <c r="FA102" s="9">
        <v>0</v>
      </c>
      <c r="FB102" s="10">
        <v>15687997</v>
      </c>
      <c r="FC102" s="9">
        <v>0.97326799999999991</v>
      </c>
      <c r="FD102" s="9">
        <v>0</v>
      </c>
      <c r="FE102" s="9">
        <v>2340296</v>
      </c>
      <c r="FF102" s="9">
        <v>498365</v>
      </c>
      <c r="FG102" s="9">
        <v>5.8088000000000001E-2</v>
      </c>
      <c r="FH102" s="9">
        <v>5.2622999999999996E-2</v>
      </c>
      <c r="FI102" s="9">
        <v>0</v>
      </c>
      <c r="FJ102" s="9">
        <v>0</v>
      </c>
      <c r="FK102" s="9">
        <v>2964.1559999999999</v>
      </c>
      <c r="FL102" s="9">
        <v>18839699</v>
      </c>
      <c r="FM102" s="9">
        <v>0</v>
      </c>
      <c r="FN102" s="9">
        <v>0</v>
      </c>
      <c r="FO102" s="9">
        <v>31728</v>
      </c>
      <c r="FP102" s="9">
        <v>0</v>
      </c>
      <c r="FQ102" s="9">
        <v>31728</v>
      </c>
      <c r="FR102" s="9">
        <v>31728</v>
      </c>
      <c r="FS102" s="9">
        <v>0</v>
      </c>
      <c r="FT102" s="9">
        <v>0</v>
      </c>
      <c r="FU102" s="9">
        <v>0</v>
      </c>
      <c r="FV102" s="9">
        <v>0</v>
      </c>
      <c r="FW102" s="9">
        <v>0</v>
      </c>
      <c r="FX102" s="9">
        <v>0</v>
      </c>
      <c r="FY102" s="9">
        <v>0</v>
      </c>
      <c r="FZ102" s="9">
        <v>0</v>
      </c>
      <c r="GA102" s="9">
        <v>0</v>
      </c>
      <c r="GB102" s="10">
        <v>134663</v>
      </c>
      <c r="GC102" s="10">
        <v>134663</v>
      </c>
      <c r="GD102" s="10">
        <v>15.236000000000001</v>
      </c>
      <c r="GE102" s="9">
        <v>0</v>
      </c>
      <c r="GF102" s="9">
        <v>0</v>
      </c>
      <c r="GG102" s="9">
        <v>0</v>
      </c>
      <c r="GH102" s="9">
        <v>0</v>
      </c>
      <c r="GI102" s="9">
        <v>0</v>
      </c>
      <c r="GJ102" s="9">
        <v>0</v>
      </c>
      <c r="GK102" s="9">
        <v>5167</v>
      </c>
      <c r="GL102" s="9">
        <v>32090</v>
      </c>
      <c r="GM102" s="9">
        <v>0</v>
      </c>
      <c r="GN102" s="9">
        <v>0</v>
      </c>
      <c r="GO102" s="9">
        <v>0</v>
      </c>
      <c r="GP102" s="9">
        <v>18526658</v>
      </c>
      <c r="GQ102" s="9">
        <v>18526658</v>
      </c>
      <c r="GR102" s="9">
        <v>0</v>
      </c>
      <c r="GS102" s="9">
        <v>0</v>
      </c>
      <c r="GT102" s="9">
        <v>0</v>
      </c>
      <c r="GU102" s="9">
        <v>0</v>
      </c>
      <c r="GV102" s="9">
        <v>0</v>
      </c>
      <c r="GW102" s="9">
        <v>0</v>
      </c>
      <c r="GX102" s="9">
        <v>0</v>
      </c>
      <c r="GY102" s="9">
        <v>0</v>
      </c>
      <c r="GZ102" s="9">
        <v>0</v>
      </c>
      <c r="HA102" s="9">
        <v>0</v>
      </c>
      <c r="HB102" s="9">
        <v>300501363</v>
      </c>
      <c r="HC102" s="9">
        <v>4.4742999999999998E-2</v>
      </c>
      <c r="HD102" s="10">
        <v>313041</v>
      </c>
      <c r="HE102" s="9">
        <v>0</v>
      </c>
      <c r="HF102" s="9">
        <v>0</v>
      </c>
      <c r="HG102" s="9">
        <v>0</v>
      </c>
      <c r="HH102" s="9">
        <v>0</v>
      </c>
      <c r="HI102" s="9">
        <v>0</v>
      </c>
      <c r="HJ102" s="9">
        <v>0</v>
      </c>
      <c r="HK102" s="9">
        <v>0</v>
      </c>
      <c r="HL102" s="9">
        <v>0</v>
      </c>
      <c r="HM102" s="9">
        <v>0</v>
      </c>
      <c r="HN102" s="9">
        <v>0</v>
      </c>
      <c r="HO102" s="9">
        <v>0</v>
      </c>
      <c r="HP102" s="9">
        <v>0</v>
      </c>
      <c r="HQ102" s="9">
        <v>0</v>
      </c>
      <c r="HR102" s="9">
        <v>0</v>
      </c>
      <c r="HS102" s="9">
        <v>0</v>
      </c>
      <c r="HT102" s="9">
        <v>0</v>
      </c>
      <c r="HU102" s="9">
        <v>0</v>
      </c>
      <c r="HV102" s="9">
        <v>0</v>
      </c>
      <c r="HW102" s="9">
        <v>0</v>
      </c>
      <c r="HX102" s="9">
        <v>0</v>
      </c>
      <c r="HY102" s="9">
        <v>0</v>
      </c>
      <c r="HZ102" s="9">
        <v>0</v>
      </c>
      <c r="IA102" s="9">
        <v>0</v>
      </c>
      <c r="IB102" s="9">
        <v>0</v>
      </c>
      <c r="IC102" s="9">
        <v>0</v>
      </c>
      <c r="ID102" s="9">
        <v>0</v>
      </c>
      <c r="IE102" s="9">
        <v>0</v>
      </c>
      <c r="IF102" s="9">
        <v>0</v>
      </c>
      <c r="IG102" s="9">
        <v>0</v>
      </c>
      <c r="IH102" s="9">
        <v>0</v>
      </c>
      <c r="II102" s="9">
        <v>0</v>
      </c>
      <c r="IJ102" s="9">
        <v>0</v>
      </c>
      <c r="IK102" s="9">
        <v>0</v>
      </c>
      <c r="IL102" s="9">
        <v>0</v>
      </c>
      <c r="IM102" s="9">
        <v>0</v>
      </c>
      <c r="IN102" s="9">
        <v>0</v>
      </c>
      <c r="IO102" s="9">
        <v>0</v>
      </c>
      <c r="IP102" s="9">
        <v>0</v>
      </c>
      <c r="IQ102" s="9">
        <v>0</v>
      </c>
      <c r="IR102" s="9">
        <v>0</v>
      </c>
      <c r="IS102" s="9">
        <v>0</v>
      </c>
      <c r="IT102" s="9">
        <v>0</v>
      </c>
      <c r="IU102" s="9">
        <v>0</v>
      </c>
      <c r="IV102" s="9">
        <v>0</v>
      </c>
      <c r="IW102" s="9">
        <v>0</v>
      </c>
      <c r="IX102" s="9">
        <v>0</v>
      </c>
      <c r="IY102" s="9">
        <v>0</v>
      </c>
      <c r="IZ102" s="9">
        <v>0</v>
      </c>
      <c r="JA102" s="9">
        <v>0</v>
      </c>
      <c r="JB102" s="9">
        <v>0</v>
      </c>
      <c r="JC102" s="9">
        <v>0</v>
      </c>
      <c r="JD102" s="9">
        <v>0</v>
      </c>
      <c r="JE102" s="9">
        <v>0</v>
      </c>
      <c r="JF102" s="9">
        <v>0</v>
      </c>
      <c r="JG102" s="9">
        <v>0</v>
      </c>
      <c r="JH102" s="9">
        <v>0</v>
      </c>
      <c r="JI102" s="9">
        <v>0</v>
      </c>
      <c r="JJ102" s="9">
        <v>0</v>
      </c>
      <c r="JK102" s="9">
        <v>0</v>
      </c>
      <c r="JL102" s="9">
        <v>0</v>
      </c>
      <c r="JM102" s="9">
        <v>0</v>
      </c>
      <c r="JN102" s="9">
        <v>36832</v>
      </c>
      <c r="JO102" s="9">
        <v>0</v>
      </c>
      <c r="JP102" s="9">
        <v>0</v>
      </c>
      <c r="JQ102" s="9">
        <v>0</v>
      </c>
      <c r="JR102" s="9">
        <v>0</v>
      </c>
      <c r="JS102" s="9">
        <v>0</v>
      </c>
      <c r="JT102" s="9">
        <v>0</v>
      </c>
      <c r="JU102" s="9">
        <v>0</v>
      </c>
      <c r="JV102" s="9">
        <v>0</v>
      </c>
      <c r="JW102" s="9">
        <v>0</v>
      </c>
      <c r="JX102" s="9">
        <v>0</v>
      </c>
      <c r="JY102" s="9">
        <v>0</v>
      </c>
      <c r="JZ102" s="9">
        <v>0</v>
      </c>
      <c r="KA102" s="9">
        <v>0</v>
      </c>
      <c r="KB102" s="9">
        <v>0</v>
      </c>
      <c r="KC102" s="9">
        <v>0</v>
      </c>
      <c r="KD102" s="9">
        <v>0</v>
      </c>
      <c r="KE102" s="9">
        <v>0</v>
      </c>
      <c r="KF102" s="9">
        <v>0</v>
      </c>
      <c r="KG102" s="9">
        <v>0</v>
      </c>
      <c r="KH102" s="9">
        <v>0</v>
      </c>
      <c r="KI102" s="9">
        <v>0</v>
      </c>
    </row>
    <row r="103" spans="1:295" ht="13" x14ac:dyDescent="0.3">
      <c r="A103" s="9">
        <v>101840</v>
      </c>
      <c r="B103" s="9">
        <v>36871</v>
      </c>
      <c r="C103" s="9">
        <v>35</v>
      </c>
      <c r="D103" s="9">
        <v>2023</v>
      </c>
      <c r="E103" s="9">
        <v>5392</v>
      </c>
      <c r="F103" s="9">
        <v>0</v>
      </c>
      <c r="G103" s="9">
        <v>0</v>
      </c>
      <c r="H103" s="9">
        <v>392.01500000000004</v>
      </c>
      <c r="I103" s="9">
        <v>392.01500000000004</v>
      </c>
      <c r="J103" s="9">
        <v>394.62800000000004</v>
      </c>
      <c r="K103" s="9">
        <v>0</v>
      </c>
      <c r="L103" s="9">
        <v>6547</v>
      </c>
      <c r="M103" s="9">
        <v>0</v>
      </c>
      <c r="N103" s="9">
        <v>0</v>
      </c>
      <c r="O103" s="9">
        <v>0</v>
      </c>
      <c r="P103" s="9">
        <v>388.53800000000001</v>
      </c>
      <c r="Q103" s="9">
        <v>0</v>
      </c>
      <c r="R103" s="10">
        <v>189188</v>
      </c>
      <c r="S103" s="9">
        <v>486.92200000000003</v>
      </c>
      <c r="T103" s="9">
        <v>0</v>
      </c>
      <c r="U103" s="10">
        <v>189188</v>
      </c>
      <c r="V103" s="10">
        <v>10.043000000000001</v>
      </c>
      <c r="W103" s="10">
        <v>6575</v>
      </c>
      <c r="X103" s="10">
        <v>6575</v>
      </c>
      <c r="Y103" s="9">
        <v>0</v>
      </c>
      <c r="Z103" s="9">
        <v>0</v>
      </c>
      <c r="AA103" s="9">
        <v>1</v>
      </c>
      <c r="AB103" s="9">
        <v>1</v>
      </c>
      <c r="AC103" s="9">
        <v>0</v>
      </c>
      <c r="AD103" s="9" t="s">
        <v>314</v>
      </c>
      <c r="AE103" s="9">
        <v>0</v>
      </c>
      <c r="AF103" s="9">
        <v>0</v>
      </c>
      <c r="AG103" s="9">
        <v>0</v>
      </c>
      <c r="AH103" s="9">
        <v>0</v>
      </c>
      <c r="AI103" s="9">
        <v>0</v>
      </c>
      <c r="AJ103" s="9">
        <v>5104</v>
      </c>
      <c r="AK103" s="9" t="s">
        <v>651</v>
      </c>
      <c r="AL103" s="9" t="s">
        <v>29</v>
      </c>
      <c r="AM103" s="9">
        <v>0</v>
      </c>
      <c r="AN103" s="9">
        <v>0</v>
      </c>
      <c r="AO103" s="9">
        <v>0</v>
      </c>
      <c r="AP103" s="9">
        <v>0</v>
      </c>
      <c r="AQ103" s="9">
        <v>0</v>
      </c>
      <c r="AR103" s="9">
        <v>0</v>
      </c>
      <c r="AS103" s="9">
        <v>0</v>
      </c>
      <c r="AT103" s="9">
        <v>0</v>
      </c>
      <c r="AU103" s="9">
        <v>0</v>
      </c>
      <c r="AV103" s="9">
        <v>-149345</v>
      </c>
      <c r="AW103" s="9">
        <v>3864207</v>
      </c>
      <c r="AX103" s="9">
        <v>3781347</v>
      </c>
      <c r="AY103" s="9">
        <v>3683063</v>
      </c>
      <c r="AZ103" s="9">
        <v>189188</v>
      </c>
      <c r="BA103" s="10">
        <v>26.583000000000002</v>
      </c>
      <c r="BB103" s="9">
        <v>15502</v>
      </c>
      <c r="BC103" s="9">
        <v>15502</v>
      </c>
      <c r="BD103" s="9">
        <v>19.731000000000002</v>
      </c>
      <c r="BE103" s="9">
        <v>0</v>
      </c>
      <c r="BF103" s="9">
        <v>3267644</v>
      </c>
      <c r="BG103" s="9">
        <v>0</v>
      </c>
      <c r="BH103" s="10">
        <v>0</v>
      </c>
      <c r="BI103" s="10">
        <v>0</v>
      </c>
      <c r="BJ103" s="9">
        <v>12</v>
      </c>
      <c r="BK103" s="9">
        <v>0</v>
      </c>
      <c r="BL103" s="9">
        <v>0</v>
      </c>
      <c r="BM103" s="9">
        <v>0</v>
      </c>
      <c r="BN103" s="9">
        <v>0</v>
      </c>
      <c r="BO103" s="9">
        <v>0</v>
      </c>
      <c r="BP103" s="9">
        <v>0</v>
      </c>
      <c r="BQ103" s="9">
        <v>5392</v>
      </c>
      <c r="BR103" s="9">
        <v>1</v>
      </c>
      <c r="BS103" s="9">
        <v>0</v>
      </c>
      <c r="BT103" s="9">
        <v>0</v>
      </c>
      <c r="BU103" s="9">
        <v>0</v>
      </c>
      <c r="BV103" s="9">
        <v>0</v>
      </c>
      <c r="BW103" s="9">
        <v>0</v>
      </c>
      <c r="BX103" s="9">
        <v>0</v>
      </c>
      <c r="BY103" s="9">
        <v>0</v>
      </c>
      <c r="BZ103" s="9">
        <v>0</v>
      </c>
      <c r="CA103" s="9">
        <v>0</v>
      </c>
      <c r="CB103" s="9">
        <v>0</v>
      </c>
      <c r="CC103" s="9">
        <v>0</v>
      </c>
      <c r="CD103" s="9">
        <v>0</v>
      </c>
      <c r="CE103" s="9">
        <v>0</v>
      </c>
      <c r="CF103" s="9">
        <v>0</v>
      </c>
      <c r="CG103" s="9">
        <v>0</v>
      </c>
      <c r="CH103" s="10">
        <v>82860</v>
      </c>
      <c r="CI103" s="9">
        <v>0</v>
      </c>
      <c r="CJ103" s="9">
        <v>4</v>
      </c>
      <c r="CK103" s="9">
        <v>0</v>
      </c>
      <c r="CL103" s="9">
        <v>0</v>
      </c>
      <c r="CM103" s="9">
        <v>0</v>
      </c>
      <c r="CN103" s="9">
        <v>0</v>
      </c>
      <c r="CO103" s="9">
        <v>0</v>
      </c>
      <c r="CP103" s="9">
        <v>0</v>
      </c>
      <c r="CQ103" s="9">
        <v>0</v>
      </c>
      <c r="CR103" s="9">
        <v>374.125</v>
      </c>
      <c r="CS103" s="9">
        <v>0</v>
      </c>
      <c r="CT103" s="9">
        <v>0</v>
      </c>
      <c r="CU103" s="9">
        <v>0</v>
      </c>
      <c r="CV103" s="9">
        <v>0</v>
      </c>
      <c r="CW103" s="9">
        <v>0</v>
      </c>
      <c r="CX103" s="9">
        <v>0</v>
      </c>
      <c r="CY103" s="9">
        <v>0</v>
      </c>
      <c r="CZ103" s="9">
        <v>0</v>
      </c>
      <c r="DA103" s="9">
        <v>1</v>
      </c>
      <c r="DB103" s="9">
        <v>2566522</v>
      </c>
      <c r="DC103" s="9">
        <v>0</v>
      </c>
      <c r="DD103" s="9">
        <v>0</v>
      </c>
      <c r="DE103" s="9">
        <v>688744</v>
      </c>
      <c r="DF103" s="9">
        <v>688744</v>
      </c>
      <c r="DG103" s="9">
        <v>526</v>
      </c>
      <c r="DH103" s="9">
        <v>0</v>
      </c>
      <c r="DI103" s="9">
        <v>0</v>
      </c>
      <c r="DJ103" s="9">
        <v>0</v>
      </c>
      <c r="DK103" s="9">
        <v>5392</v>
      </c>
      <c r="DL103" s="9">
        <v>0</v>
      </c>
      <c r="DM103" s="9">
        <v>80051</v>
      </c>
      <c r="DN103" s="9">
        <v>0</v>
      </c>
      <c r="DO103" s="9">
        <v>0</v>
      </c>
      <c r="DP103" s="9">
        <v>0</v>
      </c>
      <c r="DQ103" s="9">
        <v>0</v>
      </c>
      <c r="DR103" s="9">
        <v>0</v>
      </c>
      <c r="DS103" s="9">
        <v>0</v>
      </c>
      <c r="DT103" s="9">
        <v>0</v>
      </c>
      <c r="DU103" s="9">
        <v>0</v>
      </c>
      <c r="DV103" s="9">
        <v>0</v>
      </c>
      <c r="DW103" s="9">
        <v>0</v>
      </c>
      <c r="DX103" s="9">
        <v>0</v>
      </c>
      <c r="DY103" s="9">
        <v>0</v>
      </c>
      <c r="DZ103" s="9">
        <v>0</v>
      </c>
      <c r="EA103" s="9">
        <v>0</v>
      </c>
      <c r="EB103" s="9">
        <v>0</v>
      </c>
      <c r="EC103" s="9">
        <v>3.411</v>
      </c>
      <c r="ED103" s="9">
        <v>24565</v>
      </c>
      <c r="EE103" s="9">
        <v>0</v>
      </c>
      <c r="EF103" s="9">
        <v>0</v>
      </c>
      <c r="EG103" s="9">
        <v>0</v>
      </c>
      <c r="EH103" s="9">
        <v>55486</v>
      </c>
      <c r="EI103" s="9">
        <v>0</v>
      </c>
      <c r="EJ103" s="9">
        <v>0</v>
      </c>
      <c r="EK103" s="9">
        <v>2.2949999999999999</v>
      </c>
      <c r="EL103" s="9">
        <v>0</v>
      </c>
      <c r="EM103" s="9">
        <v>0</v>
      </c>
      <c r="EN103" s="9">
        <v>0.318</v>
      </c>
      <c r="EO103" s="9">
        <v>0</v>
      </c>
      <c r="EP103" s="9">
        <v>0</v>
      </c>
      <c r="EQ103" s="9">
        <v>2.613</v>
      </c>
      <c r="ER103" s="9">
        <v>0</v>
      </c>
      <c r="ES103" s="9">
        <v>8.4749999999999996</v>
      </c>
      <c r="ET103" s="10">
        <v>13292</v>
      </c>
      <c r="EU103" s="9">
        <v>189188</v>
      </c>
      <c r="EV103" s="9">
        <v>0</v>
      </c>
      <c r="EW103" s="9">
        <v>0</v>
      </c>
      <c r="EX103" s="9">
        <v>0</v>
      </c>
      <c r="EY103" s="9">
        <v>0</v>
      </c>
      <c r="EZ103" s="9">
        <v>3168206</v>
      </c>
      <c r="FA103" s="9">
        <v>0</v>
      </c>
      <c r="FB103" s="10">
        <v>3357394</v>
      </c>
      <c r="FC103" s="9">
        <v>0.97326799999999991</v>
      </c>
      <c r="FD103" s="9">
        <v>0</v>
      </c>
      <c r="FE103" s="9">
        <v>505496</v>
      </c>
      <c r="FF103" s="9">
        <v>107645</v>
      </c>
      <c r="FG103" s="9">
        <v>5.8088000000000001E-2</v>
      </c>
      <c r="FH103" s="9">
        <v>5.2622999999999996E-2</v>
      </c>
      <c r="FI103" s="9">
        <v>0</v>
      </c>
      <c r="FJ103" s="9">
        <v>0</v>
      </c>
      <c r="FK103" s="9">
        <v>640.24700000000007</v>
      </c>
      <c r="FL103" s="9">
        <v>4053395</v>
      </c>
      <c r="FM103" s="9">
        <v>0</v>
      </c>
      <c r="FN103" s="9">
        <v>0</v>
      </c>
      <c r="FO103" s="9">
        <v>0</v>
      </c>
      <c r="FP103" s="9">
        <v>0</v>
      </c>
      <c r="FQ103" s="9">
        <v>0</v>
      </c>
      <c r="FR103" s="9">
        <v>0</v>
      </c>
      <c r="FS103" s="9">
        <v>0</v>
      </c>
      <c r="FT103" s="9">
        <v>0</v>
      </c>
      <c r="FU103" s="9">
        <v>0</v>
      </c>
      <c r="FV103" s="9">
        <v>0</v>
      </c>
      <c r="FW103" s="9">
        <v>0</v>
      </c>
      <c r="FX103" s="9">
        <v>0</v>
      </c>
      <c r="FY103" s="9">
        <v>0</v>
      </c>
      <c r="FZ103" s="9">
        <v>0</v>
      </c>
      <c r="GA103" s="9">
        <v>0</v>
      </c>
      <c r="GB103" s="10">
        <v>0</v>
      </c>
      <c r="GC103" s="10">
        <v>0</v>
      </c>
      <c r="GD103" s="10">
        <v>0</v>
      </c>
      <c r="GE103" s="9">
        <v>0</v>
      </c>
      <c r="GF103" s="9">
        <v>0</v>
      </c>
      <c r="GG103" s="9">
        <v>0</v>
      </c>
      <c r="GH103" s="9">
        <v>0</v>
      </c>
      <c r="GI103" s="9">
        <v>0</v>
      </c>
      <c r="GJ103" s="9">
        <v>0</v>
      </c>
      <c r="GK103" s="9">
        <v>4970</v>
      </c>
      <c r="GL103" s="9">
        <v>12974</v>
      </c>
      <c r="GM103" s="9">
        <v>0</v>
      </c>
      <c r="GN103" s="9">
        <v>0</v>
      </c>
      <c r="GO103" s="9">
        <v>0</v>
      </c>
      <c r="GP103" s="9">
        <v>3970535</v>
      </c>
      <c r="GQ103" s="9">
        <v>3970535</v>
      </c>
      <c r="GR103" s="9">
        <v>0</v>
      </c>
      <c r="GS103" s="9">
        <v>0</v>
      </c>
      <c r="GT103" s="9">
        <v>0</v>
      </c>
      <c r="GU103" s="9">
        <v>0</v>
      </c>
      <c r="GV103" s="9">
        <v>0</v>
      </c>
      <c r="GW103" s="9">
        <v>0</v>
      </c>
      <c r="GX103" s="9">
        <v>0</v>
      </c>
      <c r="GY103" s="9">
        <v>0</v>
      </c>
      <c r="GZ103" s="9">
        <v>0</v>
      </c>
      <c r="HA103" s="9">
        <v>0</v>
      </c>
      <c r="HB103" s="9">
        <v>300501363</v>
      </c>
      <c r="HC103" s="9">
        <v>4.4742999999999998E-2</v>
      </c>
      <c r="HD103" s="10">
        <v>69568</v>
      </c>
      <c r="HE103" s="9">
        <v>0</v>
      </c>
      <c r="HF103" s="9">
        <v>0</v>
      </c>
      <c r="HG103" s="9">
        <v>0</v>
      </c>
      <c r="HH103" s="9">
        <v>0</v>
      </c>
      <c r="HI103" s="9">
        <v>0</v>
      </c>
      <c r="HJ103" s="9">
        <v>0</v>
      </c>
      <c r="HK103" s="9">
        <v>0</v>
      </c>
      <c r="HL103" s="9">
        <v>0</v>
      </c>
      <c r="HM103" s="9">
        <v>0</v>
      </c>
      <c r="HN103" s="9">
        <v>0</v>
      </c>
      <c r="HO103" s="9">
        <v>0</v>
      </c>
      <c r="HP103" s="9">
        <v>0</v>
      </c>
      <c r="HQ103" s="9">
        <v>0</v>
      </c>
      <c r="HR103" s="9">
        <v>0</v>
      </c>
      <c r="HS103" s="9">
        <v>0</v>
      </c>
      <c r="HT103" s="9">
        <v>0</v>
      </c>
      <c r="HU103" s="9">
        <v>0</v>
      </c>
      <c r="HV103" s="9">
        <v>0</v>
      </c>
      <c r="HW103" s="9">
        <v>0</v>
      </c>
      <c r="HX103" s="9">
        <v>0</v>
      </c>
      <c r="HY103" s="9">
        <v>0</v>
      </c>
      <c r="HZ103" s="9">
        <v>0</v>
      </c>
      <c r="IA103" s="9">
        <v>0</v>
      </c>
      <c r="IB103" s="9">
        <v>0</v>
      </c>
      <c r="IC103" s="9">
        <v>0</v>
      </c>
      <c r="ID103" s="9">
        <v>0</v>
      </c>
      <c r="IE103" s="9">
        <v>0</v>
      </c>
      <c r="IF103" s="9">
        <v>0</v>
      </c>
      <c r="IG103" s="9">
        <v>0</v>
      </c>
      <c r="IH103" s="9">
        <v>0</v>
      </c>
      <c r="II103" s="9">
        <v>0</v>
      </c>
      <c r="IJ103" s="9">
        <v>0</v>
      </c>
      <c r="IK103" s="9">
        <v>0</v>
      </c>
      <c r="IL103" s="9">
        <v>0</v>
      </c>
      <c r="IM103" s="9">
        <v>0</v>
      </c>
      <c r="IN103" s="9">
        <v>0</v>
      </c>
      <c r="IO103" s="9">
        <v>0</v>
      </c>
      <c r="IP103" s="9">
        <v>0</v>
      </c>
      <c r="IQ103" s="9">
        <v>0</v>
      </c>
      <c r="IR103" s="9">
        <v>0</v>
      </c>
      <c r="IS103" s="9">
        <v>0</v>
      </c>
      <c r="IT103" s="9">
        <v>0</v>
      </c>
      <c r="IU103" s="9">
        <v>0</v>
      </c>
      <c r="IV103" s="9">
        <v>0</v>
      </c>
      <c r="IW103" s="9">
        <v>0</v>
      </c>
      <c r="IX103" s="9">
        <v>0</v>
      </c>
      <c r="IY103" s="9">
        <v>0</v>
      </c>
      <c r="IZ103" s="9">
        <v>0</v>
      </c>
      <c r="JA103" s="9">
        <v>0</v>
      </c>
      <c r="JB103" s="9">
        <v>0</v>
      </c>
      <c r="JC103" s="9">
        <v>0</v>
      </c>
      <c r="JD103" s="9">
        <v>0</v>
      </c>
      <c r="JE103" s="9">
        <v>0</v>
      </c>
      <c r="JF103" s="9">
        <v>0</v>
      </c>
      <c r="JG103" s="9">
        <v>0</v>
      </c>
      <c r="JH103" s="9">
        <v>0</v>
      </c>
      <c r="JI103" s="9">
        <v>0</v>
      </c>
      <c r="JJ103" s="9">
        <v>0</v>
      </c>
      <c r="JK103" s="9">
        <v>0</v>
      </c>
      <c r="JL103" s="9">
        <v>0</v>
      </c>
      <c r="JM103" s="9">
        <v>0</v>
      </c>
      <c r="JN103" s="9">
        <v>36832</v>
      </c>
      <c r="JO103" s="9">
        <v>0</v>
      </c>
      <c r="JP103" s="9">
        <v>0</v>
      </c>
      <c r="JQ103" s="9">
        <v>0</v>
      </c>
      <c r="JR103" s="9">
        <v>0</v>
      </c>
      <c r="JS103" s="9">
        <v>0</v>
      </c>
      <c r="JT103" s="9">
        <v>0</v>
      </c>
      <c r="JU103" s="9">
        <v>0</v>
      </c>
      <c r="JV103" s="9">
        <v>0</v>
      </c>
      <c r="JW103" s="9">
        <v>0</v>
      </c>
      <c r="JX103" s="9">
        <v>0</v>
      </c>
      <c r="JY103" s="9">
        <v>0</v>
      </c>
      <c r="JZ103" s="9">
        <v>0</v>
      </c>
      <c r="KA103" s="9">
        <v>0</v>
      </c>
      <c r="KB103" s="9">
        <v>0</v>
      </c>
      <c r="KC103" s="9">
        <v>0</v>
      </c>
      <c r="KD103" s="9">
        <v>0</v>
      </c>
      <c r="KE103" s="9">
        <v>0</v>
      </c>
      <c r="KF103" s="9">
        <v>0</v>
      </c>
      <c r="KG103" s="9">
        <v>0</v>
      </c>
      <c r="KH103" s="9">
        <v>0</v>
      </c>
      <c r="KI103" s="9">
        <v>0</v>
      </c>
    </row>
    <row r="104" spans="1:295" ht="13" x14ac:dyDescent="0.3">
      <c r="A104" s="9">
        <v>101842</v>
      </c>
      <c r="B104" s="9">
        <v>36871</v>
      </c>
      <c r="C104" s="9">
        <v>35</v>
      </c>
      <c r="D104" s="9">
        <v>2023</v>
      </c>
      <c r="E104" s="9">
        <v>5392</v>
      </c>
      <c r="F104" s="9">
        <v>0</v>
      </c>
      <c r="G104" s="9">
        <v>0</v>
      </c>
      <c r="H104" s="9">
        <v>29.518000000000001</v>
      </c>
      <c r="I104" s="9">
        <v>29.518000000000001</v>
      </c>
      <c r="J104" s="9">
        <v>44.213999999999999</v>
      </c>
      <c r="K104" s="9">
        <v>0</v>
      </c>
      <c r="L104" s="9">
        <v>6547</v>
      </c>
      <c r="M104" s="9">
        <v>0</v>
      </c>
      <c r="N104" s="9">
        <v>0</v>
      </c>
      <c r="O104" s="9">
        <v>0</v>
      </c>
      <c r="P104" s="9">
        <v>50.436</v>
      </c>
      <c r="Q104" s="9">
        <v>0</v>
      </c>
      <c r="R104" s="10">
        <v>24558</v>
      </c>
      <c r="S104" s="9">
        <v>486.92200000000003</v>
      </c>
      <c r="T104" s="9">
        <v>0</v>
      </c>
      <c r="U104" s="10">
        <v>24558</v>
      </c>
      <c r="V104" s="10">
        <v>10.957000000000001</v>
      </c>
      <c r="W104" s="10">
        <v>7174</v>
      </c>
      <c r="X104" s="10">
        <v>7174</v>
      </c>
      <c r="Y104" s="9">
        <v>0</v>
      </c>
      <c r="Z104" s="9">
        <v>0</v>
      </c>
      <c r="AA104" s="9">
        <v>1</v>
      </c>
      <c r="AB104" s="9">
        <v>1</v>
      </c>
      <c r="AC104" s="9">
        <v>0</v>
      </c>
      <c r="AD104" s="9" t="s">
        <v>314</v>
      </c>
      <c r="AE104" s="9">
        <v>0</v>
      </c>
      <c r="AF104" s="9">
        <v>0</v>
      </c>
      <c r="AG104" s="9">
        <v>0</v>
      </c>
      <c r="AH104" s="9">
        <v>0</v>
      </c>
      <c r="AI104" s="9">
        <v>0</v>
      </c>
      <c r="AJ104" s="9">
        <v>5104</v>
      </c>
      <c r="AK104" s="9" t="s">
        <v>651</v>
      </c>
      <c r="AL104" s="9" t="s">
        <v>30</v>
      </c>
      <c r="AM104" s="9">
        <v>0</v>
      </c>
      <c r="AN104" s="9">
        <v>0</v>
      </c>
      <c r="AO104" s="9">
        <v>0</v>
      </c>
      <c r="AP104" s="9">
        <v>0</v>
      </c>
      <c r="AQ104" s="9">
        <v>0</v>
      </c>
      <c r="AR104" s="9">
        <v>0</v>
      </c>
      <c r="AS104" s="9">
        <v>0</v>
      </c>
      <c r="AT104" s="9">
        <v>0</v>
      </c>
      <c r="AU104" s="9">
        <v>0</v>
      </c>
      <c r="AV104" s="9">
        <v>-3148</v>
      </c>
      <c r="AW104" s="9">
        <v>458133</v>
      </c>
      <c r="AX104" s="9">
        <v>442929</v>
      </c>
      <c r="AY104" s="9">
        <v>410890</v>
      </c>
      <c r="AZ104" s="9">
        <v>30031</v>
      </c>
      <c r="BA104" s="10">
        <v>3.8330000000000002</v>
      </c>
      <c r="BB104" s="9">
        <v>0</v>
      </c>
      <c r="BC104" s="9">
        <v>0</v>
      </c>
      <c r="BD104" s="9">
        <v>0</v>
      </c>
      <c r="BE104" s="9">
        <v>0</v>
      </c>
      <c r="BF104" s="9">
        <v>384729</v>
      </c>
      <c r="BG104" s="9">
        <v>0</v>
      </c>
      <c r="BH104" s="10">
        <v>19.902000000000001</v>
      </c>
      <c r="BI104" s="10">
        <v>5473</v>
      </c>
      <c r="BJ104" s="9">
        <v>12</v>
      </c>
      <c r="BK104" s="9">
        <v>0</v>
      </c>
      <c r="BL104" s="9">
        <v>0</v>
      </c>
      <c r="BM104" s="9">
        <v>0</v>
      </c>
      <c r="BN104" s="9">
        <v>0</v>
      </c>
      <c r="BO104" s="9">
        <v>0</v>
      </c>
      <c r="BP104" s="9">
        <v>0</v>
      </c>
      <c r="BQ104" s="9">
        <v>5392</v>
      </c>
      <c r="BR104" s="9">
        <v>1</v>
      </c>
      <c r="BS104" s="9">
        <v>0</v>
      </c>
      <c r="BT104" s="9">
        <v>0</v>
      </c>
      <c r="BU104" s="9">
        <v>0</v>
      </c>
      <c r="BV104" s="9">
        <v>0</v>
      </c>
      <c r="BW104" s="9">
        <v>0</v>
      </c>
      <c r="BX104" s="9">
        <v>0</v>
      </c>
      <c r="BY104" s="9">
        <v>0</v>
      </c>
      <c r="BZ104" s="9">
        <v>0</v>
      </c>
      <c r="CA104" s="9">
        <v>0</v>
      </c>
      <c r="CB104" s="9">
        <v>0</v>
      </c>
      <c r="CC104" s="9">
        <v>0</v>
      </c>
      <c r="CD104" s="9">
        <v>0</v>
      </c>
      <c r="CE104" s="9">
        <v>0</v>
      </c>
      <c r="CF104" s="9">
        <v>0</v>
      </c>
      <c r="CG104" s="9">
        <v>0</v>
      </c>
      <c r="CH104" s="10">
        <v>9731</v>
      </c>
      <c r="CI104" s="9">
        <v>0</v>
      </c>
      <c r="CJ104" s="9">
        <v>4</v>
      </c>
      <c r="CK104" s="9">
        <v>0</v>
      </c>
      <c r="CL104" s="9">
        <v>0</v>
      </c>
      <c r="CM104" s="9">
        <v>0</v>
      </c>
      <c r="CN104" s="9">
        <v>0</v>
      </c>
      <c r="CO104" s="9">
        <v>0</v>
      </c>
      <c r="CP104" s="9">
        <v>0</v>
      </c>
      <c r="CQ104" s="9">
        <v>8.3000000000000004E-2</v>
      </c>
      <c r="CR104" s="9">
        <v>49.238</v>
      </c>
      <c r="CS104" s="9">
        <v>0</v>
      </c>
      <c r="CT104" s="9">
        <v>0</v>
      </c>
      <c r="CU104" s="9">
        <v>0</v>
      </c>
      <c r="CV104" s="9">
        <v>0</v>
      </c>
      <c r="CW104" s="9">
        <v>0</v>
      </c>
      <c r="CX104" s="9">
        <v>0</v>
      </c>
      <c r="CY104" s="9">
        <v>0</v>
      </c>
      <c r="CZ104" s="9">
        <v>0</v>
      </c>
      <c r="DA104" s="9">
        <v>1</v>
      </c>
      <c r="DB104" s="9">
        <v>193254</v>
      </c>
      <c r="DC104" s="9">
        <v>0</v>
      </c>
      <c r="DD104" s="9">
        <v>0</v>
      </c>
      <c r="DE104" s="9">
        <v>44520</v>
      </c>
      <c r="DF104" s="9">
        <v>44520</v>
      </c>
      <c r="DG104" s="9">
        <v>34</v>
      </c>
      <c r="DH104" s="9">
        <v>0</v>
      </c>
      <c r="DI104" s="9">
        <v>0</v>
      </c>
      <c r="DJ104" s="9">
        <v>0</v>
      </c>
      <c r="DK104" s="9">
        <v>5392</v>
      </c>
      <c r="DL104" s="9">
        <v>0</v>
      </c>
      <c r="DM104" s="9">
        <v>20502</v>
      </c>
      <c r="DN104" s="9">
        <v>0</v>
      </c>
      <c r="DO104" s="9">
        <v>0</v>
      </c>
      <c r="DP104" s="9">
        <v>0</v>
      </c>
      <c r="DQ104" s="9">
        <v>0</v>
      </c>
      <c r="DR104" s="9">
        <v>0</v>
      </c>
      <c r="DS104" s="9">
        <v>0</v>
      </c>
      <c r="DT104" s="9">
        <v>0</v>
      </c>
      <c r="DU104" s="9">
        <v>0</v>
      </c>
      <c r="DV104" s="9">
        <v>0</v>
      </c>
      <c r="DW104" s="9">
        <v>0</v>
      </c>
      <c r="DX104" s="9">
        <v>0</v>
      </c>
      <c r="DY104" s="9">
        <v>0</v>
      </c>
      <c r="DZ104" s="9">
        <v>0</v>
      </c>
      <c r="EA104" s="9">
        <v>0</v>
      </c>
      <c r="EB104" s="9">
        <v>0</v>
      </c>
      <c r="EC104" s="9">
        <v>2.8240000000000003</v>
      </c>
      <c r="ED104" s="9">
        <v>20338</v>
      </c>
      <c r="EE104" s="9">
        <v>0</v>
      </c>
      <c r="EF104" s="9">
        <v>0</v>
      </c>
      <c r="EG104" s="9">
        <v>0</v>
      </c>
      <c r="EH104" s="9">
        <v>164</v>
      </c>
      <c r="EI104" s="9">
        <v>0</v>
      </c>
      <c r="EJ104" s="9">
        <v>0</v>
      </c>
      <c r="EK104" s="9">
        <v>0</v>
      </c>
      <c r="EL104" s="9">
        <v>0</v>
      </c>
      <c r="EM104" s="9">
        <v>0</v>
      </c>
      <c r="EN104" s="9">
        <v>5.0000000000000001E-3</v>
      </c>
      <c r="EO104" s="9">
        <v>0</v>
      </c>
      <c r="EP104" s="9">
        <v>0</v>
      </c>
      <c r="EQ104" s="9">
        <v>5.0000000000000001E-3</v>
      </c>
      <c r="ER104" s="9">
        <v>0</v>
      </c>
      <c r="ES104" s="9">
        <v>2.5000000000000001E-2</v>
      </c>
      <c r="ET104" s="10">
        <v>1937</v>
      </c>
      <c r="EU104" s="9">
        <v>30031</v>
      </c>
      <c r="EV104" s="9">
        <v>0</v>
      </c>
      <c r="EW104" s="9">
        <v>0</v>
      </c>
      <c r="EX104" s="9">
        <v>0</v>
      </c>
      <c r="EY104" s="9">
        <v>0</v>
      </c>
      <c r="EZ104" s="9">
        <v>370738</v>
      </c>
      <c r="FA104" s="9">
        <v>0</v>
      </c>
      <c r="FB104" s="10">
        <v>400769</v>
      </c>
      <c r="FC104" s="9">
        <v>0.97326799999999991</v>
      </c>
      <c r="FD104" s="9">
        <v>0</v>
      </c>
      <c r="FE104" s="9">
        <v>59517</v>
      </c>
      <c r="FF104" s="9">
        <v>12674</v>
      </c>
      <c r="FG104" s="9">
        <v>5.8088000000000001E-2</v>
      </c>
      <c r="FH104" s="9">
        <v>5.2622999999999996E-2</v>
      </c>
      <c r="FI104" s="9">
        <v>0</v>
      </c>
      <c r="FJ104" s="9">
        <v>0</v>
      </c>
      <c r="FK104" s="9">
        <v>75.382000000000005</v>
      </c>
      <c r="FL104" s="9">
        <v>482691</v>
      </c>
      <c r="FM104" s="9">
        <v>0</v>
      </c>
      <c r="FN104" s="9">
        <v>0</v>
      </c>
      <c r="FO104" s="9">
        <v>0</v>
      </c>
      <c r="FP104" s="9">
        <v>0</v>
      </c>
      <c r="FQ104" s="9">
        <v>0</v>
      </c>
      <c r="FR104" s="9">
        <v>0</v>
      </c>
      <c r="FS104" s="9">
        <v>0</v>
      </c>
      <c r="FT104" s="9">
        <v>0</v>
      </c>
      <c r="FU104" s="9">
        <v>0</v>
      </c>
      <c r="FV104" s="9">
        <v>0</v>
      </c>
      <c r="FW104" s="9">
        <v>0</v>
      </c>
      <c r="FX104" s="9">
        <v>0</v>
      </c>
      <c r="FY104" s="9">
        <v>0</v>
      </c>
      <c r="FZ104" s="9">
        <v>0</v>
      </c>
      <c r="GA104" s="9">
        <v>0</v>
      </c>
      <c r="GB104" s="10">
        <v>129846</v>
      </c>
      <c r="GC104" s="10">
        <v>129846</v>
      </c>
      <c r="GD104" s="10">
        <v>14.691000000000001</v>
      </c>
      <c r="GE104" s="9">
        <v>0</v>
      </c>
      <c r="GF104" s="9">
        <v>0</v>
      </c>
      <c r="GG104" s="9">
        <v>0</v>
      </c>
      <c r="GH104" s="9">
        <v>0</v>
      </c>
      <c r="GI104" s="9">
        <v>0</v>
      </c>
      <c r="GJ104" s="9">
        <v>0</v>
      </c>
      <c r="GK104" s="9">
        <v>5305</v>
      </c>
      <c r="GL104" s="9">
        <v>2818</v>
      </c>
      <c r="GM104" s="9">
        <v>0</v>
      </c>
      <c r="GN104" s="9">
        <v>0</v>
      </c>
      <c r="GO104" s="9">
        <v>0</v>
      </c>
      <c r="GP104" s="9">
        <v>472960</v>
      </c>
      <c r="GQ104" s="9">
        <v>472960</v>
      </c>
      <c r="GR104" s="9">
        <v>0</v>
      </c>
      <c r="GS104" s="9">
        <v>0</v>
      </c>
      <c r="GT104" s="9">
        <v>0</v>
      </c>
      <c r="GU104" s="9">
        <v>0</v>
      </c>
      <c r="GV104" s="9">
        <v>0</v>
      </c>
      <c r="GW104" s="9">
        <v>0</v>
      </c>
      <c r="GX104" s="9">
        <v>0</v>
      </c>
      <c r="GY104" s="9">
        <v>0</v>
      </c>
      <c r="GZ104" s="9">
        <v>0</v>
      </c>
      <c r="HA104" s="9">
        <v>0</v>
      </c>
      <c r="HB104" s="9">
        <v>300501363</v>
      </c>
      <c r="HC104" s="9">
        <v>4.4742999999999998E-2</v>
      </c>
      <c r="HD104" s="10">
        <v>7794</v>
      </c>
      <c r="HE104" s="9">
        <v>0</v>
      </c>
      <c r="HF104" s="9">
        <v>0</v>
      </c>
      <c r="HG104" s="9">
        <v>0</v>
      </c>
      <c r="HH104" s="9">
        <v>0</v>
      </c>
      <c r="HI104" s="9">
        <v>0</v>
      </c>
      <c r="HJ104" s="9">
        <v>0</v>
      </c>
      <c r="HK104" s="9">
        <v>0</v>
      </c>
      <c r="HL104" s="9">
        <v>0</v>
      </c>
      <c r="HM104" s="9">
        <v>0</v>
      </c>
      <c r="HN104" s="9">
        <v>0</v>
      </c>
      <c r="HO104" s="9">
        <v>0</v>
      </c>
      <c r="HP104" s="9">
        <v>0</v>
      </c>
      <c r="HQ104" s="9">
        <v>0</v>
      </c>
      <c r="HR104" s="9">
        <v>0</v>
      </c>
      <c r="HS104" s="9">
        <v>0</v>
      </c>
      <c r="HT104" s="9">
        <v>0</v>
      </c>
      <c r="HU104" s="9">
        <v>0</v>
      </c>
      <c r="HV104" s="9">
        <v>0</v>
      </c>
      <c r="HW104" s="9">
        <v>0</v>
      </c>
      <c r="HX104" s="9">
        <v>0</v>
      </c>
      <c r="HY104" s="9">
        <v>0</v>
      </c>
      <c r="HZ104" s="9">
        <v>0</v>
      </c>
      <c r="IA104" s="9">
        <v>0</v>
      </c>
      <c r="IB104" s="9">
        <v>0</v>
      </c>
      <c r="IC104" s="9">
        <v>0</v>
      </c>
      <c r="ID104" s="9">
        <v>0</v>
      </c>
      <c r="IE104" s="9">
        <v>0</v>
      </c>
      <c r="IF104" s="9">
        <v>0</v>
      </c>
      <c r="IG104" s="9">
        <v>0</v>
      </c>
      <c r="IH104" s="9">
        <v>0</v>
      </c>
      <c r="II104" s="9">
        <v>0</v>
      </c>
      <c r="IJ104" s="9">
        <v>0</v>
      </c>
      <c r="IK104" s="9">
        <v>0</v>
      </c>
      <c r="IL104" s="9">
        <v>0</v>
      </c>
      <c r="IM104" s="9">
        <v>0</v>
      </c>
      <c r="IN104" s="9">
        <v>0</v>
      </c>
      <c r="IO104" s="9">
        <v>0</v>
      </c>
      <c r="IP104" s="9">
        <v>0</v>
      </c>
      <c r="IQ104" s="9">
        <v>0</v>
      </c>
      <c r="IR104" s="9">
        <v>0</v>
      </c>
      <c r="IS104" s="9">
        <v>0</v>
      </c>
      <c r="IT104" s="9">
        <v>0</v>
      </c>
      <c r="IU104" s="9">
        <v>0</v>
      </c>
      <c r="IV104" s="9">
        <v>0</v>
      </c>
      <c r="IW104" s="9">
        <v>0</v>
      </c>
      <c r="IX104" s="9">
        <v>0</v>
      </c>
      <c r="IY104" s="9">
        <v>0</v>
      </c>
      <c r="IZ104" s="9">
        <v>0</v>
      </c>
      <c r="JA104" s="9">
        <v>0</v>
      </c>
      <c r="JB104" s="9">
        <v>0</v>
      </c>
      <c r="JC104" s="9">
        <v>0</v>
      </c>
      <c r="JD104" s="9">
        <v>0</v>
      </c>
      <c r="JE104" s="9">
        <v>0</v>
      </c>
      <c r="JF104" s="9">
        <v>0</v>
      </c>
      <c r="JG104" s="9">
        <v>0</v>
      </c>
      <c r="JH104" s="9">
        <v>0</v>
      </c>
      <c r="JI104" s="9">
        <v>0</v>
      </c>
      <c r="JJ104" s="9">
        <v>0</v>
      </c>
      <c r="JK104" s="9">
        <v>0</v>
      </c>
      <c r="JL104" s="9">
        <v>0</v>
      </c>
      <c r="JM104" s="9">
        <v>0</v>
      </c>
      <c r="JN104" s="9">
        <v>36832</v>
      </c>
      <c r="JO104" s="9">
        <v>0</v>
      </c>
      <c r="JP104" s="9">
        <v>0</v>
      </c>
      <c r="JQ104" s="9">
        <v>0</v>
      </c>
      <c r="JR104" s="9">
        <v>0</v>
      </c>
      <c r="JS104" s="9">
        <v>0</v>
      </c>
      <c r="JT104" s="9">
        <v>0</v>
      </c>
      <c r="JU104" s="9">
        <v>0</v>
      </c>
      <c r="JV104" s="9">
        <v>0</v>
      </c>
      <c r="JW104" s="9">
        <v>0</v>
      </c>
      <c r="JX104" s="9">
        <v>0</v>
      </c>
      <c r="JY104" s="9">
        <v>0</v>
      </c>
      <c r="JZ104" s="9">
        <v>0</v>
      </c>
      <c r="KA104" s="9">
        <v>0</v>
      </c>
      <c r="KB104" s="9">
        <v>0</v>
      </c>
      <c r="KC104" s="9">
        <v>0</v>
      </c>
      <c r="KD104" s="9">
        <v>0</v>
      </c>
      <c r="KE104" s="9">
        <v>0</v>
      </c>
      <c r="KF104" s="9">
        <v>0</v>
      </c>
      <c r="KG104" s="9">
        <v>0</v>
      </c>
      <c r="KH104" s="9">
        <v>0</v>
      </c>
      <c r="KI104" s="9">
        <v>0</v>
      </c>
    </row>
    <row r="105" spans="1:295" x14ac:dyDescent="0.25">
      <c r="A105" s="9">
        <v>101845</v>
      </c>
      <c r="B105" s="9">
        <v>36871</v>
      </c>
      <c r="C105" s="9">
        <v>35</v>
      </c>
      <c r="D105" s="9">
        <v>2023</v>
      </c>
      <c r="E105" s="9">
        <v>5392</v>
      </c>
      <c r="F105" s="9">
        <v>0</v>
      </c>
      <c r="G105" s="9">
        <v>0</v>
      </c>
      <c r="H105" s="9">
        <v>11801.094000000001</v>
      </c>
      <c r="I105" s="9">
        <v>11801.094000000001</v>
      </c>
      <c r="J105" s="9">
        <v>12655.837</v>
      </c>
      <c r="K105" s="9">
        <v>0</v>
      </c>
      <c r="L105" s="9">
        <v>6547</v>
      </c>
      <c r="M105" s="9">
        <v>0</v>
      </c>
      <c r="N105" s="9">
        <v>0</v>
      </c>
      <c r="O105" s="9">
        <v>0</v>
      </c>
      <c r="P105" s="9">
        <v>11459.829</v>
      </c>
      <c r="Q105" s="9">
        <v>0</v>
      </c>
      <c r="R105" s="9">
        <v>5580043</v>
      </c>
      <c r="S105" s="9">
        <v>486.92200000000003</v>
      </c>
      <c r="T105" s="9">
        <v>0</v>
      </c>
      <c r="U105" s="9">
        <v>5580043</v>
      </c>
      <c r="V105" s="9">
        <v>4114.2049999999999</v>
      </c>
      <c r="W105" s="9">
        <v>2693570</v>
      </c>
      <c r="X105" s="9">
        <v>2693570</v>
      </c>
      <c r="Y105" s="9">
        <v>0</v>
      </c>
      <c r="Z105" s="9">
        <v>0</v>
      </c>
      <c r="AA105" s="9">
        <v>1</v>
      </c>
      <c r="AB105" s="9">
        <v>1</v>
      </c>
      <c r="AC105" s="9">
        <v>0</v>
      </c>
      <c r="AD105" s="9" t="s">
        <v>314</v>
      </c>
      <c r="AE105" s="9">
        <v>0</v>
      </c>
      <c r="AF105" s="9">
        <v>0</v>
      </c>
      <c r="AG105" s="9">
        <v>0</v>
      </c>
      <c r="AH105" s="9">
        <v>0</v>
      </c>
      <c r="AI105" s="9">
        <v>0</v>
      </c>
      <c r="AJ105" s="9">
        <v>5104</v>
      </c>
      <c r="AK105" s="9" t="s">
        <v>651</v>
      </c>
      <c r="AL105" s="9" t="s">
        <v>101</v>
      </c>
      <c r="AM105" s="9">
        <v>0</v>
      </c>
      <c r="AN105" s="9">
        <v>0</v>
      </c>
      <c r="AO105" s="9">
        <v>0</v>
      </c>
      <c r="AP105" s="9">
        <v>0</v>
      </c>
      <c r="AQ105" s="9">
        <v>0</v>
      </c>
      <c r="AR105" s="9">
        <v>0</v>
      </c>
      <c r="AS105" s="9">
        <v>0</v>
      </c>
      <c r="AT105" s="9">
        <v>0</v>
      </c>
      <c r="AU105" s="9">
        <v>0</v>
      </c>
      <c r="AV105" s="9">
        <v>-6057139</v>
      </c>
      <c r="AW105" s="9">
        <v>128654640</v>
      </c>
      <c r="AX105" s="9">
        <v>123840932</v>
      </c>
      <c r="AY105" s="9">
        <v>130730424</v>
      </c>
      <c r="AZ105" s="9">
        <v>7911357</v>
      </c>
      <c r="BA105" s="9">
        <v>486.91700000000003</v>
      </c>
      <c r="BB105" s="9">
        <v>0</v>
      </c>
      <c r="BC105" s="9">
        <v>0</v>
      </c>
      <c r="BD105" s="9">
        <v>0</v>
      </c>
      <c r="BE105" s="9">
        <v>0</v>
      </c>
      <c r="BF105" s="9">
        <v>105963191</v>
      </c>
      <c r="BG105" s="9">
        <v>0</v>
      </c>
      <c r="BH105" s="9">
        <v>5755.0570000000007</v>
      </c>
      <c r="BI105" s="9">
        <v>1582641</v>
      </c>
      <c r="BJ105" s="9">
        <v>12</v>
      </c>
      <c r="BK105" s="9">
        <v>0</v>
      </c>
      <c r="BL105" s="9">
        <v>0</v>
      </c>
      <c r="BM105" s="9">
        <v>0</v>
      </c>
      <c r="BN105" s="9">
        <v>0</v>
      </c>
      <c r="BO105" s="9">
        <v>0</v>
      </c>
      <c r="BP105" s="9">
        <v>0</v>
      </c>
      <c r="BQ105" s="9">
        <v>5392</v>
      </c>
      <c r="BR105" s="9">
        <v>1</v>
      </c>
      <c r="BS105" s="9">
        <v>0</v>
      </c>
      <c r="BT105" s="9">
        <v>0</v>
      </c>
      <c r="BU105" s="9">
        <v>0</v>
      </c>
      <c r="BV105" s="9">
        <v>0</v>
      </c>
      <c r="BW105" s="9">
        <v>0</v>
      </c>
      <c r="BX105" s="9">
        <v>0</v>
      </c>
      <c r="BY105" s="9">
        <v>0</v>
      </c>
      <c r="BZ105" s="9">
        <v>0</v>
      </c>
      <c r="CA105" s="9">
        <v>748.673</v>
      </c>
      <c r="CB105" s="9">
        <v>748673</v>
      </c>
      <c r="CC105" s="9">
        <v>0</v>
      </c>
      <c r="CD105" s="9">
        <v>0</v>
      </c>
      <c r="CE105" s="9">
        <v>0</v>
      </c>
      <c r="CF105" s="9">
        <v>0</v>
      </c>
      <c r="CG105" s="9">
        <v>0</v>
      </c>
      <c r="CH105" s="9">
        <v>2482394</v>
      </c>
      <c r="CI105" s="9">
        <v>0</v>
      </c>
      <c r="CJ105" s="9">
        <v>4</v>
      </c>
      <c r="CK105" s="9">
        <v>0</v>
      </c>
      <c r="CL105" s="9">
        <v>0</v>
      </c>
      <c r="CM105" s="9">
        <v>0</v>
      </c>
      <c r="CN105" s="9">
        <v>0</v>
      </c>
      <c r="CO105" s="9">
        <v>0</v>
      </c>
      <c r="CP105" s="9">
        <v>2.1379999999999999</v>
      </c>
      <c r="CQ105" s="9">
        <v>31.5</v>
      </c>
      <c r="CR105" s="9">
        <v>10922.102999999999</v>
      </c>
      <c r="CS105" s="9">
        <v>0</v>
      </c>
      <c r="CT105" s="9">
        <v>0</v>
      </c>
      <c r="CU105" s="9">
        <v>0</v>
      </c>
      <c r="CV105" s="9">
        <v>0</v>
      </c>
      <c r="CW105" s="9">
        <v>0</v>
      </c>
      <c r="CX105" s="9">
        <v>0</v>
      </c>
      <c r="CY105" s="9">
        <v>0</v>
      </c>
      <c r="CZ105" s="9">
        <v>0</v>
      </c>
      <c r="DA105" s="9">
        <v>1</v>
      </c>
      <c r="DB105" s="9">
        <v>77261762</v>
      </c>
      <c r="DC105" s="9">
        <v>0</v>
      </c>
      <c r="DD105" s="9">
        <v>0</v>
      </c>
      <c r="DE105" s="9">
        <v>16266899</v>
      </c>
      <c r="DF105" s="9">
        <v>16300633</v>
      </c>
      <c r="DG105" s="9">
        <v>12423.17</v>
      </c>
      <c r="DH105" s="9">
        <v>0</v>
      </c>
      <c r="DI105" s="9">
        <v>33734</v>
      </c>
      <c r="DJ105" s="9">
        <v>0</v>
      </c>
      <c r="DK105" s="9">
        <v>5392</v>
      </c>
      <c r="DL105" s="9">
        <v>0</v>
      </c>
      <c r="DM105" s="9">
        <v>6898322</v>
      </c>
      <c r="DN105" s="9">
        <v>0</v>
      </c>
      <c r="DO105" s="9">
        <v>1473</v>
      </c>
      <c r="DP105" s="9">
        <v>0</v>
      </c>
      <c r="DQ105" s="9">
        <v>0</v>
      </c>
      <c r="DR105" s="9">
        <v>0</v>
      </c>
      <c r="DS105" s="9">
        <v>0</v>
      </c>
      <c r="DT105" s="9">
        <v>5.6000000000000001E-2</v>
      </c>
      <c r="DU105" s="9">
        <v>0</v>
      </c>
      <c r="DV105" s="9">
        <v>4.4000000000000004E-2</v>
      </c>
      <c r="DW105" s="9">
        <v>0</v>
      </c>
      <c r="DX105" s="9">
        <v>0</v>
      </c>
      <c r="DY105" s="9">
        <v>0</v>
      </c>
      <c r="DZ105" s="9">
        <v>0.3</v>
      </c>
      <c r="EA105" s="9">
        <v>0.12100000000000001</v>
      </c>
      <c r="EB105" s="9">
        <v>0.44600000000000001</v>
      </c>
      <c r="EC105" s="9">
        <v>376.61700000000002</v>
      </c>
      <c r="ED105" s="9">
        <v>2712283</v>
      </c>
      <c r="EE105" s="9">
        <v>0</v>
      </c>
      <c r="EF105" s="9">
        <v>0</v>
      </c>
      <c r="EG105" s="9">
        <v>0</v>
      </c>
      <c r="EH105" s="9">
        <v>4184566</v>
      </c>
      <c r="EI105" s="9">
        <v>0</v>
      </c>
      <c r="EJ105" s="9">
        <v>0</v>
      </c>
      <c r="EK105" s="9">
        <v>163.58000000000001</v>
      </c>
      <c r="EL105" s="9">
        <v>0</v>
      </c>
      <c r="EM105" s="9">
        <v>30.782</v>
      </c>
      <c r="EN105" s="9">
        <v>9.213000000000001</v>
      </c>
      <c r="EO105" s="9">
        <v>0</v>
      </c>
      <c r="EP105" s="9">
        <v>0</v>
      </c>
      <c r="EQ105" s="9">
        <v>207.648</v>
      </c>
      <c r="ER105" s="9">
        <v>3.5060000000000002</v>
      </c>
      <c r="ES105" s="9">
        <v>639.15800000000002</v>
      </c>
      <c r="ET105" s="9">
        <v>251334</v>
      </c>
      <c r="EU105" s="9">
        <v>7911357</v>
      </c>
      <c r="EV105" s="9">
        <v>0</v>
      </c>
      <c r="EW105" s="9">
        <v>0</v>
      </c>
      <c r="EX105" s="9">
        <v>0</v>
      </c>
      <c r="EY105" s="9">
        <v>0</v>
      </c>
      <c r="EZ105" s="9">
        <v>103957994</v>
      </c>
      <c r="FA105" s="9">
        <v>0</v>
      </c>
      <c r="FB105" s="9">
        <v>111869351</v>
      </c>
      <c r="FC105" s="9">
        <v>0.97326799999999991</v>
      </c>
      <c r="FD105" s="9">
        <v>0</v>
      </c>
      <c r="FE105" s="9">
        <v>16392222</v>
      </c>
      <c r="FF105" s="9">
        <v>3490716</v>
      </c>
      <c r="FG105" s="9">
        <v>5.8088000000000001E-2</v>
      </c>
      <c r="FH105" s="9">
        <v>5.2622999999999996E-2</v>
      </c>
      <c r="FI105" s="9">
        <v>0</v>
      </c>
      <c r="FJ105" s="9">
        <v>0</v>
      </c>
      <c r="FK105" s="9">
        <v>20761.945</v>
      </c>
      <c r="FL105" s="9">
        <v>134234683</v>
      </c>
      <c r="FM105" s="9">
        <v>0</v>
      </c>
      <c r="FN105" s="9">
        <v>0</v>
      </c>
      <c r="FO105" s="9">
        <v>664433</v>
      </c>
      <c r="FP105" s="9">
        <v>0</v>
      </c>
      <c r="FQ105" s="9">
        <v>664433</v>
      </c>
      <c r="FR105" s="9">
        <v>664433</v>
      </c>
      <c r="FS105" s="9">
        <v>0</v>
      </c>
      <c r="FT105" s="9">
        <v>0</v>
      </c>
      <c r="FU105" s="9">
        <v>0</v>
      </c>
      <c r="FV105" s="9">
        <v>0</v>
      </c>
      <c r="FW105" s="9">
        <v>0</v>
      </c>
      <c r="FX105" s="9">
        <v>0</v>
      </c>
      <c r="FY105" s="9">
        <v>0</v>
      </c>
      <c r="FZ105" s="9">
        <v>0</v>
      </c>
      <c r="GA105" s="9">
        <v>0</v>
      </c>
      <c r="GB105" s="9">
        <v>5719317</v>
      </c>
      <c r="GC105" s="9">
        <v>5719317</v>
      </c>
      <c r="GD105" s="9">
        <v>647.09500000000003</v>
      </c>
      <c r="GE105" s="9">
        <v>0</v>
      </c>
      <c r="GF105" s="9">
        <v>0</v>
      </c>
      <c r="GG105" s="9">
        <v>0</v>
      </c>
      <c r="GH105" s="9">
        <v>0</v>
      </c>
      <c r="GI105" s="9">
        <v>0</v>
      </c>
      <c r="GJ105" s="9">
        <v>0</v>
      </c>
      <c r="GK105" s="9">
        <v>5294</v>
      </c>
      <c r="GL105" s="9">
        <v>84870</v>
      </c>
      <c r="GM105" s="9">
        <v>0</v>
      </c>
      <c r="GN105" s="9">
        <v>466563</v>
      </c>
      <c r="GO105" s="9">
        <v>0</v>
      </c>
      <c r="GP105" s="9">
        <v>131752289</v>
      </c>
      <c r="GQ105" s="9">
        <v>131752289</v>
      </c>
      <c r="GR105" s="9">
        <v>0</v>
      </c>
      <c r="GS105" s="9">
        <v>0</v>
      </c>
      <c r="GT105" s="9">
        <v>0</v>
      </c>
      <c r="GU105" s="9">
        <v>0</v>
      </c>
      <c r="GV105" s="9">
        <v>0</v>
      </c>
      <c r="GW105" s="9">
        <v>0</v>
      </c>
      <c r="GX105" s="9">
        <v>0</v>
      </c>
      <c r="GY105" s="9">
        <v>0</v>
      </c>
      <c r="GZ105" s="9">
        <v>0</v>
      </c>
      <c r="HA105" s="9">
        <v>0</v>
      </c>
      <c r="HB105" s="9">
        <v>300501363</v>
      </c>
      <c r="HC105" s="9">
        <v>4.4742999999999998E-2</v>
      </c>
      <c r="HD105" s="9">
        <v>2231060</v>
      </c>
      <c r="HE105" s="9">
        <v>0</v>
      </c>
      <c r="HF105" s="9">
        <v>0</v>
      </c>
      <c r="HG105" s="9">
        <v>0</v>
      </c>
      <c r="HH105" s="9">
        <v>0</v>
      </c>
      <c r="HI105" s="9">
        <v>0</v>
      </c>
      <c r="HJ105" s="9">
        <v>0</v>
      </c>
      <c r="HK105" s="9">
        <v>0</v>
      </c>
      <c r="HL105" s="9">
        <v>0</v>
      </c>
      <c r="HM105" s="9">
        <v>0</v>
      </c>
      <c r="HN105" s="9">
        <v>0</v>
      </c>
      <c r="HO105" s="9">
        <v>0</v>
      </c>
      <c r="HP105" s="9">
        <v>0</v>
      </c>
      <c r="HQ105" s="9">
        <v>0</v>
      </c>
      <c r="HR105" s="9">
        <v>0</v>
      </c>
      <c r="HS105" s="9">
        <v>0</v>
      </c>
      <c r="HT105" s="9">
        <v>0</v>
      </c>
      <c r="HU105" s="9">
        <v>0</v>
      </c>
      <c r="HV105" s="9">
        <v>0</v>
      </c>
      <c r="HW105" s="9">
        <v>0</v>
      </c>
      <c r="HX105" s="9">
        <v>0</v>
      </c>
      <c r="HY105" s="9">
        <v>0</v>
      </c>
      <c r="HZ105" s="9">
        <v>0</v>
      </c>
      <c r="IA105" s="9">
        <v>0</v>
      </c>
      <c r="IB105" s="9">
        <v>0</v>
      </c>
      <c r="IC105" s="9">
        <v>0</v>
      </c>
      <c r="ID105" s="9">
        <v>0</v>
      </c>
      <c r="IE105" s="9">
        <v>0</v>
      </c>
      <c r="IF105" s="9">
        <v>0</v>
      </c>
      <c r="IG105" s="9">
        <v>0</v>
      </c>
      <c r="IH105" s="9">
        <v>0</v>
      </c>
      <c r="II105" s="9">
        <v>0</v>
      </c>
      <c r="IJ105" s="9">
        <v>0</v>
      </c>
      <c r="IK105" s="9">
        <v>0</v>
      </c>
      <c r="IL105" s="9">
        <v>0</v>
      </c>
      <c r="IM105" s="9">
        <v>0</v>
      </c>
      <c r="IN105" s="9">
        <v>0</v>
      </c>
      <c r="IO105" s="9">
        <v>0</v>
      </c>
      <c r="IP105" s="9">
        <v>0</v>
      </c>
      <c r="IQ105" s="9">
        <v>0</v>
      </c>
      <c r="IR105" s="9">
        <v>0</v>
      </c>
      <c r="IS105" s="9">
        <v>0</v>
      </c>
      <c r="IT105" s="9">
        <v>0</v>
      </c>
      <c r="IU105" s="9">
        <v>0</v>
      </c>
      <c r="IV105" s="9">
        <v>0</v>
      </c>
      <c r="IW105" s="9">
        <v>0</v>
      </c>
      <c r="IX105" s="9">
        <v>0</v>
      </c>
      <c r="IY105" s="9">
        <v>0</v>
      </c>
      <c r="IZ105" s="9">
        <v>0</v>
      </c>
      <c r="JA105" s="9">
        <v>0</v>
      </c>
      <c r="JB105" s="9">
        <v>0</v>
      </c>
      <c r="JC105" s="9">
        <v>0</v>
      </c>
      <c r="JD105" s="9">
        <v>0</v>
      </c>
      <c r="JE105" s="9">
        <v>0</v>
      </c>
      <c r="JF105" s="9">
        <v>0</v>
      </c>
      <c r="JG105" s="9">
        <v>0</v>
      </c>
      <c r="JH105" s="9">
        <v>0</v>
      </c>
      <c r="JI105" s="9">
        <v>0</v>
      </c>
      <c r="JJ105" s="9">
        <v>0</v>
      </c>
      <c r="JK105" s="9">
        <v>0</v>
      </c>
      <c r="JL105" s="9">
        <v>0</v>
      </c>
      <c r="JM105" s="9">
        <v>0</v>
      </c>
      <c r="JN105" s="9">
        <v>36832</v>
      </c>
      <c r="JO105" s="9">
        <v>0</v>
      </c>
      <c r="JP105" s="9">
        <v>0</v>
      </c>
      <c r="JQ105" s="9">
        <v>0</v>
      </c>
      <c r="JR105" s="9">
        <v>0</v>
      </c>
      <c r="JS105" s="9">
        <v>0</v>
      </c>
      <c r="JT105" s="9">
        <v>0</v>
      </c>
      <c r="JU105" s="9">
        <v>0</v>
      </c>
      <c r="JV105" s="9">
        <v>0</v>
      </c>
      <c r="JW105" s="9">
        <v>0</v>
      </c>
      <c r="JX105" s="9">
        <v>0</v>
      </c>
      <c r="JY105" s="9">
        <v>0</v>
      </c>
      <c r="JZ105" s="9">
        <v>0</v>
      </c>
      <c r="KA105" s="9">
        <v>0</v>
      </c>
      <c r="KB105" s="9">
        <v>0</v>
      </c>
      <c r="KC105" s="9">
        <v>0</v>
      </c>
      <c r="KD105" s="9">
        <v>0</v>
      </c>
      <c r="KE105" s="9">
        <v>0</v>
      </c>
      <c r="KF105" s="9">
        <v>0</v>
      </c>
      <c r="KG105" s="9">
        <v>0</v>
      </c>
      <c r="KH105" s="9">
        <v>0</v>
      </c>
      <c r="KI105" s="9">
        <v>0</v>
      </c>
    </row>
    <row r="106" spans="1:295" x14ac:dyDescent="0.25">
      <c r="A106" s="9">
        <v>101846</v>
      </c>
      <c r="B106" s="9">
        <v>36871</v>
      </c>
      <c r="C106" s="9">
        <v>35</v>
      </c>
      <c r="D106" s="9">
        <v>2023</v>
      </c>
      <c r="E106" s="9">
        <v>5392</v>
      </c>
      <c r="F106" s="9">
        <v>0</v>
      </c>
      <c r="G106" s="9">
        <v>0</v>
      </c>
      <c r="H106" s="9">
        <v>3169.201</v>
      </c>
      <c r="I106" s="9">
        <v>3169.201</v>
      </c>
      <c r="J106" s="9">
        <v>3512.0750000000003</v>
      </c>
      <c r="K106" s="9">
        <v>0</v>
      </c>
      <c r="L106" s="9">
        <v>6547</v>
      </c>
      <c r="M106" s="9">
        <v>0</v>
      </c>
      <c r="N106" s="9">
        <v>0</v>
      </c>
      <c r="O106" s="9">
        <v>0</v>
      </c>
      <c r="P106" s="9">
        <v>3263.56</v>
      </c>
      <c r="Q106" s="9">
        <v>0</v>
      </c>
      <c r="R106" s="9">
        <v>1589099</v>
      </c>
      <c r="S106" s="9">
        <v>486.92200000000003</v>
      </c>
      <c r="T106" s="9">
        <v>0</v>
      </c>
      <c r="U106" s="9">
        <v>1589099</v>
      </c>
      <c r="V106" s="9">
        <v>1196.7860000000001</v>
      </c>
      <c r="W106" s="9">
        <v>783536</v>
      </c>
      <c r="X106" s="9">
        <v>783536</v>
      </c>
      <c r="Y106" s="9">
        <v>0</v>
      </c>
      <c r="Z106" s="9">
        <v>0</v>
      </c>
      <c r="AA106" s="9">
        <v>1</v>
      </c>
      <c r="AB106" s="9">
        <v>1</v>
      </c>
      <c r="AC106" s="9">
        <v>0</v>
      </c>
      <c r="AD106" s="9" t="s">
        <v>314</v>
      </c>
      <c r="AE106" s="9">
        <v>0</v>
      </c>
      <c r="AF106" s="9">
        <v>0</v>
      </c>
      <c r="AG106" s="9">
        <v>0</v>
      </c>
      <c r="AH106" s="9">
        <v>0</v>
      </c>
      <c r="AI106" s="9">
        <v>0</v>
      </c>
      <c r="AJ106" s="9">
        <v>5104</v>
      </c>
      <c r="AK106" s="9" t="s">
        <v>651</v>
      </c>
      <c r="AL106" s="9" t="s">
        <v>31</v>
      </c>
      <c r="AM106" s="9">
        <v>0</v>
      </c>
      <c r="AN106" s="9">
        <v>0</v>
      </c>
      <c r="AO106" s="9">
        <v>0</v>
      </c>
      <c r="AP106" s="9">
        <v>0</v>
      </c>
      <c r="AQ106" s="9">
        <v>0</v>
      </c>
      <c r="AR106" s="9">
        <v>0</v>
      </c>
      <c r="AS106" s="9">
        <v>0</v>
      </c>
      <c r="AT106" s="9">
        <v>0</v>
      </c>
      <c r="AU106" s="9">
        <v>0</v>
      </c>
      <c r="AV106" s="9">
        <v>-509474</v>
      </c>
      <c r="AW106" s="9">
        <v>35378183</v>
      </c>
      <c r="AX106" s="9">
        <v>34394463</v>
      </c>
      <c r="AY106" s="9">
        <v>37409249</v>
      </c>
      <c r="AZ106" s="9">
        <v>1915477</v>
      </c>
      <c r="BA106" s="9">
        <v>76.417000000000002</v>
      </c>
      <c r="BB106" s="9">
        <v>137961</v>
      </c>
      <c r="BC106" s="9">
        <v>137961</v>
      </c>
      <c r="BD106" s="9">
        <v>175.60400000000001</v>
      </c>
      <c r="BE106" s="9">
        <v>0</v>
      </c>
      <c r="BF106" s="9">
        <v>29613509</v>
      </c>
      <c r="BG106" s="9">
        <v>0</v>
      </c>
      <c r="BH106" s="9">
        <v>1186.829</v>
      </c>
      <c r="BI106" s="9">
        <v>326378</v>
      </c>
      <c r="BJ106" s="9">
        <v>12</v>
      </c>
      <c r="BK106" s="9">
        <v>0</v>
      </c>
      <c r="BL106" s="9">
        <v>0</v>
      </c>
      <c r="BM106" s="9">
        <v>0</v>
      </c>
      <c r="BN106" s="9">
        <v>0</v>
      </c>
      <c r="BO106" s="9">
        <v>0</v>
      </c>
      <c r="BP106" s="9">
        <v>0</v>
      </c>
      <c r="BQ106" s="9">
        <v>5392</v>
      </c>
      <c r="BR106" s="9">
        <v>1</v>
      </c>
      <c r="BS106" s="9">
        <v>0</v>
      </c>
      <c r="BT106" s="9">
        <v>0</v>
      </c>
      <c r="BU106" s="9">
        <v>0</v>
      </c>
      <c r="BV106" s="9">
        <v>0</v>
      </c>
      <c r="BW106" s="9">
        <v>0</v>
      </c>
      <c r="BX106" s="9">
        <v>0</v>
      </c>
      <c r="BY106" s="9">
        <v>0</v>
      </c>
      <c r="BZ106" s="9">
        <v>0</v>
      </c>
      <c r="CA106" s="9">
        <v>0</v>
      </c>
      <c r="CB106" s="9">
        <v>0</v>
      </c>
      <c r="CC106" s="9">
        <v>0</v>
      </c>
      <c r="CD106" s="9">
        <v>0</v>
      </c>
      <c r="CE106" s="9">
        <v>0</v>
      </c>
      <c r="CF106" s="9">
        <v>0</v>
      </c>
      <c r="CG106" s="9">
        <v>0</v>
      </c>
      <c r="CH106" s="9">
        <v>657342</v>
      </c>
      <c r="CI106" s="9">
        <v>0</v>
      </c>
      <c r="CJ106" s="9">
        <v>4</v>
      </c>
      <c r="CK106" s="9">
        <v>0</v>
      </c>
      <c r="CL106" s="9">
        <v>0</v>
      </c>
      <c r="CM106" s="9">
        <v>0</v>
      </c>
      <c r="CN106" s="9">
        <v>0</v>
      </c>
      <c r="CO106" s="9">
        <v>0</v>
      </c>
      <c r="CP106" s="9">
        <v>0</v>
      </c>
      <c r="CQ106" s="9">
        <v>0</v>
      </c>
      <c r="CR106" s="9">
        <v>3111.5010000000002</v>
      </c>
      <c r="CS106" s="9">
        <v>0</v>
      </c>
      <c r="CT106" s="9">
        <v>0</v>
      </c>
      <c r="CU106" s="9">
        <v>0</v>
      </c>
      <c r="CV106" s="9">
        <v>0</v>
      </c>
      <c r="CW106" s="9">
        <v>0</v>
      </c>
      <c r="CX106" s="9">
        <v>0</v>
      </c>
      <c r="CY106" s="9">
        <v>0</v>
      </c>
      <c r="CZ106" s="9">
        <v>0</v>
      </c>
      <c r="DA106" s="9">
        <v>1</v>
      </c>
      <c r="DB106" s="9">
        <v>20748759</v>
      </c>
      <c r="DC106" s="9">
        <v>0</v>
      </c>
      <c r="DD106" s="9">
        <v>0</v>
      </c>
      <c r="DE106" s="9">
        <v>3851600</v>
      </c>
      <c r="DF106" s="9">
        <v>3851600</v>
      </c>
      <c r="DG106" s="9">
        <v>2941.5</v>
      </c>
      <c r="DH106" s="9">
        <v>0</v>
      </c>
      <c r="DI106" s="9">
        <v>0</v>
      </c>
      <c r="DJ106" s="9">
        <v>0</v>
      </c>
      <c r="DK106" s="9">
        <v>5392</v>
      </c>
      <c r="DL106" s="9">
        <v>0</v>
      </c>
      <c r="DM106" s="9">
        <v>2938709</v>
      </c>
      <c r="DN106" s="9">
        <v>0</v>
      </c>
      <c r="DO106" s="9">
        <v>0</v>
      </c>
      <c r="DP106" s="9">
        <v>0</v>
      </c>
      <c r="DQ106" s="9">
        <v>0</v>
      </c>
      <c r="DR106" s="9">
        <v>0</v>
      </c>
      <c r="DS106" s="9">
        <v>0</v>
      </c>
      <c r="DT106" s="9">
        <v>0</v>
      </c>
      <c r="DU106" s="9">
        <v>0</v>
      </c>
      <c r="DV106" s="9">
        <v>0</v>
      </c>
      <c r="DW106" s="9">
        <v>0</v>
      </c>
      <c r="DX106" s="9">
        <v>0</v>
      </c>
      <c r="DY106" s="9">
        <v>0</v>
      </c>
      <c r="DZ106" s="9">
        <v>0</v>
      </c>
      <c r="EA106" s="9">
        <v>0</v>
      </c>
      <c r="EB106" s="9">
        <v>0</v>
      </c>
      <c r="EC106" s="9">
        <v>70.814999999999998</v>
      </c>
      <c r="ED106" s="9">
        <v>509988</v>
      </c>
      <c r="EE106" s="9">
        <v>0</v>
      </c>
      <c r="EF106" s="9">
        <v>0</v>
      </c>
      <c r="EG106" s="9">
        <v>0</v>
      </c>
      <c r="EH106" s="9">
        <v>2428721</v>
      </c>
      <c r="EI106" s="9">
        <v>0</v>
      </c>
      <c r="EJ106" s="9">
        <v>0</v>
      </c>
      <c r="EK106" s="9">
        <v>99.926000000000002</v>
      </c>
      <c r="EL106" s="9">
        <v>0</v>
      </c>
      <c r="EM106" s="9">
        <v>15.593</v>
      </c>
      <c r="EN106" s="9">
        <v>4.8820000000000006</v>
      </c>
      <c r="EO106" s="9">
        <v>0</v>
      </c>
      <c r="EP106" s="9">
        <v>0</v>
      </c>
      <c r="EQ106" s="9">
        <v>120.40100000000001</v>
      </c>
      <c r="ER106" s="9">
        <v>0</v>
      </c>
      <c r="ES106" s="9">
        <v>370.96700000000004</v>
      </c>
      <c r="ET106" s="9">
        <v>38209</v>
      </c>
      <c r="EU106" s="9">
        <v>1915477</v>
      </c>
      <c r="EV106" s="9">
        <v>0</v>
      </c>
      <c r="EW106" s="9">
        <v>0</v>
      </c>
      <c r="EX106" s="9">
        <v>0</v>
      </c>
      <c r="EY106" s="9">
        <v>0</v>
      </c>
      <c r="EZ106" s="9">
        <v>28837782</v>
      </c>
      <c r="FA106" s="9">
        <v>0</v>
      </c>
      <c r="FB106" s="9">
        <v>30753259</v>
      </c>
      <c r="FC106" s="9">
        <v>0.97326799999999991</v>
      </c>
      <c r="FD106" s="9">
        <v>0</v>
      </c>
      <c r="FE106" s="9">
        <v>4581131</v>
      </c>
      <c r="FF106" s="9">
        <v>975550</v>
      </c>
      <c r="FG106" s="9">
        <v>5.8088000000000001E-2</v>
      </c>
      <c r="FH106" s="9">
        <v>5.2622999999999996E-2</v>
      </c>
      <c r="FI106" s="9">
        <v>0</v>
      </c>
      <c r="FJ106" s="9">
        <v>0</v>
      </c>
      <c r="FK106" s="9">
        <v>5802.3360000000002</v>
      </c>
      <c r="FL106" s="9">
        <v>36967282</v>
      </c>
      <c r="FM106" s="9">
        <v>0</v>
      </c>
      <c r="FN106" s="9">
        <v>0</v>
      </c>
      <c r="FO106" s="9">
        <v>0</v>
      </c>
      <c r="FP106" s="9">
        <v>0</v>
      </c>
      <c r="FQ106" s="9">
        <v>0</v>
      </c>
      <c r="FR106" s="9">
        <v>0</v>
      </c>
      <c r="FS106" s="9">
        <v>0</v>
      </c>
      <c r="FT106" s="9">
        <v>0</v>
      </c>
      <c r="FU106" s="9">
        <v>0</v>
      </c>
      <c r="FV106" s="9">
        <v>0</v>
      </c>
      <c r="FW106" s="9">
        <v>0</v>
      </c>
      <c r="FX106" s="9">
        <v>0</v>
      </c>
      <c r="FY106" s="9">
        <v>0</v>
      </c>
      <c r="FZ106" s="9">
        <v>0</v>
      </c>
      <c r="GA106" s="9">
        <v>0</v>
      </c>
      <c r="GB106" s="9">
        <v>1966316</v>
      </c>
      <c r="GC106" s="9">
        <v>1966316</v>
      </c>
      <c r="GD106" s="9">
        <v>222.47300000000001</v>
      </c>
      <c r="GE106" s="9">
        <v>0</v>
      </c>
      <c r="GF106" s="9">
        <v>0</v>
      </c>
      <c r="GG106" s="9">
        <v>0</v>
      </c>
      <c r="GH106" s="9">
        <v>0</v>
      </c>
      <c r="GI106" s="9">
        <v>0</v>
      </c>
      <c r="GJ106" s="9">
        <v>0</v>
      </c>
      <c r="GK106" s="9">
        <v>5152.9530000000004</v>
      </c>
      <c r="GL106" s="9">
        <v>46024</v>
      </c>
      <c r="GM106" s="9">
        <v>0</v>
      </c>
      <c r="GN106" s="9">
        <v>0</v>
      </c>
      <c r="GO106" s="9">
        <v>0</v>
      </c>
      <c r="GP106" s="9">
        <v>36309940</v>
      </c>
      <c r="GQ106" s="9">
        <v>36309940</v>
      </c>
      <c r="GR106" s="9">
        <v>0</v>
      </c>
      <c r="GS106" s="9">
        <v>0</v>
      </c>
      <c r="GT106" s="9">
        <v>0</v>
      </c>
      <c r="GU106" s="9">
        <v>0</v>
      </c>
      <c r="GV106" s="9">
        <v>0</v>
      </c>
      <c r="GW106" s="9">
        <v>0</v>
      </c>
      <c r="GX106" s="9">
        <v>0</v>
      </c>
      <c r="GY106" s="9">
        <v>0</v>
      </c>
      <c r="GZ106" s="9">
        <v>0</v>
      </c>
      <c r="HA106" s="9">
        <v>0</v>
      </c>
      <c r="HB106" s="9">
        <v>300501363</v>
      </c>
      <c r="HC106" s="9">
        <v>4.4742999999999998E-2</v>
      </c>
      <c r="HD106" s="9">
        <v>619133</v>
      </c>
      <c r="HE106" s="9">
        <v>0</v>
      </c>
      <c r="HF106" s="9">
        <v>0</v>
      </c>
      <c r="HG106" s="9">
        <v>0</v>
      </c>
      <c r="HH106" s="9">
        <v>0</v>
      </c>
      <c r="HI106" s="9">
        <v>0</v>
      </c>
      <c r="HJ106" s="9">
        <v>0</v>
      </c>
      <c r="HK106" s="9">
        <v>0</v>
      </c>
      <c r="HL106" s="9">
        <v>0</v>
      </c>
      <c r="HM106" s="9">
        <v>0</v>
      </c>
      <c r="HN106" s="9">
        <v>0</v>
      </c>
      <c r="HO106" s="9">
        <v>0</v>
      </c>
      <c r="HP106" s="9">
        <v>0</v>
      </c>
      <c r="HQ106" s="9">
        <v>0</v>
      </c>
      <c r="HR106" s="9">
        <v>0</v>
      </c>
      <c r="HS106" s="9">
        <v>0</v>
      </c>
      <c r="HT106" s="9">
        <v>0</v>
      </c>
      <c r="HU106" s="9">
        <v>0</v>
      </c>
      <c r="HV106" s="9">
        <v>0</v>
      </c>
      <c r="HW106" s="9">
        <v>0</v>
      </c>
      <c r="HX106" s="9">
        <v>0</v>
      </c>
      <c r="HY106" s="9">
        <v>0</v>
      </c>
      <c r="HZ106" s="9">
        <v>0</v>
      </c>
      <c r="IA106" s="9">
        <v>0</v>
      </c>
      <c r="IB106" s="9">
        <v>0</v>
      </c>
      <c r="IC106" s="9">
        <v>0</v>
      </c>
      <c r="ID106" s="9">
        <v>0</v>
      </c>
      <c r="IE106" s="9">
        <v>0.38100000000000001</v>
      </c>
      <c r="IF106" s="9">
        <v>0</v>
      </c>
      <c r="IG106" s="9">
        <v>0</v>
      </c>
      <c r="IH106" s="9">
        <v>0</v>
      </c>
      <c r="II106" s="9">
        <v>0</v>
      </c>
      <c r="IJ106" s="9">
        <v>0</v>
      </c>
      <c r="IK106" s="9">
        <v>0</v>
      </c>
      <c r="IL106" s="9">
        <v>0</v>
      </c>
      <c r="IM106" s="9">
        <v>0</v>
      </c>
      <c r="IN106" s="9">
        <v>0</v>
      </c>
      <c r="IO106" s="9">
        <v>0</v>
      </c>
      <c r="IP106" s="9">
        <v>0</v>
      </c>
      <c r="IQ106" s="9">
        <v>0</v>
      </c>
      <c r="IR106" s="9">
        <v>0</v>
      </c>
      <c r="IS106" s="9">
        <v>0</v>
      </c>
      <c r="IT106" s="9">
        <v>0</v>
      </c>
      <c r="IU106" s="9">
        <v>0</v>
      </c>
      <c r="IV106" s="9">
        <v>0</v>
      </c>
      <c r="IW106" s="9">
        <v>0</v>
      </c>
      <c r="IX106" s="9">
        <v>0</v>
      </c>
      <c r="IY106" s="9">
        <v>0</v>
      </c>
      <c r="IZ106" s="9">
        <v>0</v>
      </c>
      <c r="JA106" s="9">
        <v>0</v>
      </c>
      <c r="JB106" s="9">
        <v>0</v>
      </c>
      <c r="JC106" s="9">
        <v>0</v>
      </c>
      <c r="JD106" s="9">
        <v>0</v>
      </c>
      <c r="JE106" s="9">
        <v>0</v>
      </c>
      <c r="JF106" s="9">
        <v>0</v>
      </c>
      <c r="JG106" s="9">
        <v>0</v>
      </c>
      <c r="JH106" s="9">
        <v>0</v>
      </c>
      <c r="JI106" s="9">
        <v>0</v>
      </c>
      <c r="JJ106" s="9">
        <v>0</v>
      </c>
      <c r="JK106" s="9">
        <v>0</v>
      </c>
      <c r="JL106" s="9">
        <v>0</v>
      </c>
      <c r="JM106" s="9">
        <v>0</v>
      </c>
      <c r="JN106" s="9">
        <v>36832</v>
      </c>
      <c r="JO106" s="9">
        <v>0</v>
      </c>
      <c r="JP106" s="9">
        <v>0</v>
      </c>
      <c r="JQ106" s="9">
        <v>0</v>
      </c>
      <c r="JR106" s="9">
        <v>0</v>
      </c>
      <c r="JS106" s="9">
        <v>0</v>
      </c>
      <c r="JT106" s="9">
        <v>0</v>
      </c>
      <c r="JU106" s="9">
        <v>0</v>
      </c>
      <c r="JV106" s="9">
        <v>0</v>
      </c>
      <c r="JW106" s="9">
        <v>0</v>
      </c>
      <c r="JX106" s="9">
        <v>0</v>
      </c>
      <c r="JY106" s="9">
        <v>0</v>
      </c>
      <c r="JZ106" s="9">
        <v>0</v>
      </c>
      <c r="KA106" s="9">
        <v>0</v>
      </c>
      <c r="KB106" s="9">
        <v>0</v>
      </c>
      <c r="KC106" s="9">
        <v>0</v>
      </c>
      <c r="KD106" s="9">
        <v>0</v>
      </c>
      <c r="KE106" s="9">
        <v>0</v>
      </c>
      <c r="KF106" s="9">
        <v>0</v>
      </c>
      <c r="KG106" s="9">
        <v>0</v>
      </c>
      <c r="KH106" s="9">
        <v>0</v>
      </c>
      <c r="KI106" s="9">
        <v>0</v>
      </c>
    </row>
    <row r="107" spans="1:295" x14ac:dyDescent="0.25">
      <c r="A107" s="9">
        <v>101847</v>
      </c>
      <c r="B107" s="9">
        <v>36871</v>
      </c>
      <c r="C107" s="9">
        <v>35</v>
      </c>
      <c r="D107" s="9">
        <v>2023</v>
      </c>
      <c r="E107" s="9">
        <v>5392</v>
      </c>
      <c r="F107" s="9">
        <v>0</v>
      </c>
      <c r="G107" s="9">
        <v>0</v>
      </c>
      <c r="H107" s="9">
        <v>471.60599999999999</v>
      </c>
      <c r="I107" s="9">
        <v>471.60599999999999</v>
      </c>
      <c r="J107" s="9">
        <v>471.97200000000004</v>
      </c>
      <c r="K107" s="9">
        <v>0</v>
      </c>
      <c r="L107" s="9">
        <v>6547</v>
      </c>
      <c r="M107" s="9">
        <v>0</v>
      </c>
      <c r="N107" s="9">
        <v>0</v>
      </c>
      <c r="O107" s="9">
        <v>0</v>
      </c>
      <c r="P107" s="9">
        <v>452.62800000000004</v>
      </c>
      <c r="Q107" s="9">
        <v>0</v>
      </c>
      <c r="R107" s="9">
        <v>220395</v>
      </c>
      <c r="S107" s="9">
        <v>486.92200000000003</v>
      </c>
      <c r="T107" s="9">
        <v>0</v>
      </c>
      <c r="U107" s="9">
        <v>220395</v>
      </c>
      <c r="V107" s="9">
        <v>0</v>
      </c>
      <c r="W107" s="9">
        <v>0</v>
      </c>
      <c r="X107" s="9">
        <v>0</v>
      </c>
      <c r="Y107" s="9">
        <v>0</v>
      </c>
      <c r="Z107" s="9">
        <v>0</v>
      </c>
      <c r="AA107" s="9">
        <v>1</v>
      </c>
      <c r="AB107" s="9">
        <v>1</v>
      </c>
      <c r="AC107" s="9">
        <v>0</v>
      </c>
      <c r="AD107" s="9" t="s">
        <v>314</v>
      </c>
      <c r="AE107" s="9">
        <v>0</v>
      </c>
      <c r="AF107" s="9">
        <v>0</v>
      </c>
      <c r="AG107" s="9">
        <v>0</v>
      </c>
      <c r="AH107" s="9">
        <v>0</v>
      </c>
      <c r="AI107" s="9">
        <v>0</v>
      </c>
      <c r="AJ107" s="9">
        <v>5104</v>
      </c>
      <c r="AK107" s="9" t="s">
        <v>651</v>
      </c>
      <c r="AL107" s="9" t="s">
        <v>32</v>
      </c>
      <c r="AM107" s="9">
        <v>0</v>
      </c>
      <c r="AN107" s="9">
        <v>0</v>
      </c>
      <c r="AO107" s="9">
        <v>0</v>
      </c>
      <c r="AP107" s="9">
        <v>0</v>
      </c>
      <c r="AQ107" s="9">
        <v>0</v>
      </c>
      <c r="AR107" s="9">
        <v>0</v>
      </c>
      <c r="AS107" s="9">
        <v>0</v>
      </c>
      <c r="AT107" s="9">
        <v>0</v>
      </c>
      <c r="AU107" s="9">
        <v>0</v>
      </c>
      <c r="AV107" s="9">
        <v>-187871</v>
      </c>
      <c r="AW107" s="9">
        <v>4426728</v>
      </c>
      <c r="AX107" s="9">
        <v>4338650</v>
      </c>
      <c r="AY107" s="9">
        <v>4255185</v>
      </c>
      <c r="AZ107" s="9">
        <v>220395</v>
      </c>
      <c r="BA107" s="9">
        <v>9.75</v>
      </c>
      <c r="BB107" s="9">
        <v>0</v>
      </c>
      <c r="BC107" s="9">
        <v>0</v>
      </c>
      <c r="BD107" s="9">
        <v>0</v>
      </c>
      <c r="BE107" s="9">
        <v>0</v>
      </c>
      <c r="BF107" s="9">
        <v>3751972</v>
      </c>
      <c r="BG107" s="9">
        <v>0</v>
      </c>
      <c r="BH107" s="9">
        <v>0</v>
      </c>
      <c r="BI107" s="9">
        <v>0</v>
      </c>
      <c r="BJ107" s="9">
        <v>12</v>
      </c>
      <c r="BK107" s="9">
        <v>0</v>
      </c>
      <c r="BL107" s="9">
        <v>0</v>
      </c>
      <c r="BM107" s="9">
        <v>0</v>
      </c>
      <c r="BN107" s="9">
        <v>0</v>
      </c>
      <c r="BO107" s="9">
        <v>0</v>
      </c>
      <c r="BP107" s="9">
        <v>0</v>
      </c>
      <c r="BQ107" s="9">
        <v>5392</v>
      </c>
      <c r="BR107" s="9">
        <v>1</v>
      </c>
      <c r="BS107" s="9">
        <v>0</v>
      </c>
      <c r="BT107" s="9">
        <v>0</v>
      </c>
      <c r="BU107" s="9">
        <v>0</v>
      </c>
      <c r="BV107" s="9">
        <v>0</v>
      </c>
      <c r="BW107" s="9">
        <v>0</v>
      </c>
      <c r="BX107" s="9">
        <v>0</v>
      </c>
      <c r="BY107" s="9">
        <v>0</v>
      </c>
      <c r="BZ107" s="9">
        <v>0</v>
      </c>
      <c r="CA107" s="9">
        <v>0</v>
      </c>
      <c r="CB107" s="9">
        <v>0</v>
      </c>
      <c r="CC107" s="9">
        <v>0</v>
      </c>
      <c r="CD107" s="9">
        <v>0</v>
      </c>
      <c r="CE107" s="9">
        <v>0</v>
      </c>
      <c r="CF107" s="9">
        <v>0</v>
      </c>
      <c r="CG107" s="9">
        <v>0</v>
      </c>
      <c r="CH107" s="9">
        <v>88078</v>
      </c>
      <c r="CI107" s="9">
        <v>0</v>
      </c>
      <c r="CJ107" s="9">
        <v>4</v>
      </c>
      <c r="CK107" s="9">
        <v>0</v>
      </c>
      <c r="CL107" s="9">
        <v>0</v>
      </c>
      <c r="CM107" s="9">
        <v>0</v>
      </c>
      <c r="CN107" s="9">
        <v>0</v>
      </c>
      <c r="CO107" s="9">
        <v>0</v>
      </c>
      <c r="CP107" s="9">
        <v>0</v>
      </c>
      <c r="CQ107" s="9">
        <v>0</v>
      </c>
      <c r="CR107" s="9">
        <v>433.36799999999999</v>
      </c>
      <c r="CS107" s="9">
        <v>0</v>
      </c>
      <c r="CT107" s="9">
        <v>0</v>
      </c>
      <c r="CU107" s="9">
        <v>0</v>
      </c>
      <c r="CV107" s="9">
        <v>0</v>
      </c>
      <c r="CW107" s="9">
        <v>0</v>
      </c>
      <c r="CX107" s="9">
        <v>0</v>
      </c>
      <c r="CY107" s="9">
        <v>0</v>
      </c>
      <c r="CZ107" s="9">
        <v>0</v>
      </c>
      <c r="DA107" s="9">
        <v>1</v>
      </c>
      <c r="DB107" s="9">
        <v>3087604</v>
      </c>
      <c r="DC107" s="9">
        <v>0</v>
      </c>
      <c r="DD107" s="9">
        <v>0</v>
      </c>
      <c r="DE107" s="9">
        <v>586611</v>
      </c>
      <c r="DF107" s="9">
        <v>586611</v>
      </c>
      <c r="DG107" s="9">
        <v>448</v>
      </c>
      <c r="DH107" s="9">
        <v>0</v>
      </c>
      <c r="DI107" s="9">
        <v>0</v>
      </c>
      <c r="DJ107" s="9">
        <v>0</v>
      </c>
      <c r="DK107" s="9">
        <v>5392</v>
      </c>
      <c r="DL107" s="9">
        <v>0</v>
      </c>
      <c r="DM107" s="9">
        <v>180810</v>
      </c>
      <c r="DN107" s="9">
        <v>0</v>
      </c>
      <c r="DO107" s="9">
        <v>0</v>
      </c>
      <c r="DP107" s="9">
        <v>0</v>
      </c>
      <c r="DQ107" s="9">
        <v>0</v>
      </c>
      <c r="DR107" s="9">
        <v>0</v>
      </c>
      <c r="DS107" s="9">
        <v>0</v>
      </c>
      <c r="DT107" s="9">
        <v>0</v>
      </c>
      <c r="DU107" s="9">
        <v>0</v>
      </c>
      <c r="DV107" s="9">
        <v>0</v>
      </c>
      <c r="DW107" s="9">
        <v>0</v>
      </c>
      <c r="DX107" s="9">
        <v>0</v>
      </c>
      <c r="DY107" s="9">
        <v>0</v>
      </c>
      <c r="DZ107" s="9">
        <v>0</v>
      </c>
      <c r="EA107" s="9">
        <v>0</v>
      </c>
      <c r="EB107" s="9">
        <v>0</v>
      </c>
      <c r="EC107" s="9">
        <v>23.443000000000001</v>
      </c>
      <c r="ED107" s="9">
        <v>168829</v>
      </c>
      <c r="EE107" s="9">
        <v>0</v>
      </c>
      <c r="EF107" s="9">
        <v>0</v>
      </c>
      <c r="EG107" s="9">
        <v>0</v>
      </c>
      <c r="EH107" s="9">
        <v>11981</v>
      </c>
      <c r="EI107" s="9">
        <v>0</v>
      </c>
      <c r="EJ107" s="9">
        <v>0</v>
      </c>
      <c r="EK107" s="9">
        <v>0</v>
      </c>
      <c r="EL107" s="9">
        <v>0</v>
      </c>
      <c r="EM107" s="9">
        <v>0</v>
      </c>
      <c r="EN107" s="9">
        <v>0.36599999999999999</v>
      </c>
      <c r="EO107" s="9">
        <v>0</v>
      </c>
      <c r="EP107" s="9">
        <v>0</v>
      </c>
      <c r="EQ107" s="9">
        <v>0.36599999999999999</v>
      </c>
      <c r="ER107" s="9">
        <v>0</v>
      </c>
      <c r="ES107" s="9">
        <v>1.83</v>
      </c>
      <c r="ET107" s="9">
        <v>4875</v>
      </c>
      <c r="EU107" s="9">
        <v>220395</v>
      </c>
      <c r="EV107" s="9">
        <v>0</v>
      </c>
      <c r="EW107" s="9">
        <v>0</v>
      </c>
      <c r="EX107" s="9">
        <v>0</v>
      </c>
      <c r="EY107" s="9">
        <v>0</v>
      </c>
      <c r="EZ107" s="9">
        <v>3634630</v>
      </c>
      <c r="FA107" s="9">
        <v>0</v>
      </c>
      <c r="FB107" s="9">
        <v>3855025</v>
      </c>
      <c r="FC107" s="9">
        <v>0.97326799999999991</v>
      </c>
      <c r="FD107" s="9">
        <v>0</v>
      </c>
      <c r="FE107" s="9">
        <v>580420</v>
      </c>
      <c r="FF107" s="9">
        <v>123600</v>
      </c>
      <c r="FG107" s="9">
        <v>5.8088000000000001E-2</v>
      </c>
      <c r="FH107" s="9">
        <v>5.2622999999999996E-2</v>
      </c>
      <c r="FI107" s="9">
        <v>0</v>
      </c>
      <c r="FJ107" s="9">
        <v>0</v>
      </c>
      <c r="FK107" s="9">
        <v>735.14400000000001</v>
      </c>
      <c r="FL107" s="9">
        <v>4647123</v>
      </c>
      <c r="FM107" s="9">
        <v>0</v>
      </c>
      <c r="FN107" s="9">
        <v>0</v>
      </c>
      <c r="FO107" s="9">
        <v>0</v>
      </c>
      <c r="FP107" s="9">
        <v>0</v>
      </c>
      <c r="FQ107" s="9">
        <v>0</v>
      </c>
      <c r="FR107" s="9">
        <v>0</v>
      </c>
      <c r="FS107" s="9">
        <v>0</v>
      </c>
      <c r="FT107" s="9">
        <v>0</v>
      </c>
      <c r="FU107" s="9">
        <v>0</v>
      </c>
      <c r="FV107" s="9">
        <v>0</v>
      </c>
      <c r="FW107" s="9">
        <v>0</v>
      </c>
      <c r="FX107" s="9">
        <v>0</v>
      </c>
      <c r="FY107" s="9">
        <v>0</v>
      </c>
      <c r="FZ107" s="9">
        <v>0</v>
      </c>
      <c r="GA107" s="9">
        <v>0</v>
      </c>
      <c r="GB107" s="9">
        <v>0</v>
      </c>
      <c r="GC107" s="9">
        <v>0</v>
      </c>
      <c r="GD107" s="9">
        <v>0</v>
      </c>
      <c r="GE107" s="9">
        <v>0</v>
      </c>
      <c r="GF107" s="9">
        <v>0</v>
      </c>
      <c r="GG107" s="9">
        <v>0</v>
      </c>
      <c r="GH107" s="9">
        <v>0</v>
      </c>
      <c r="GI107" s="9">
        <v>0</v>
      </c>
      <c r="GJ107" s="9">
        <v>0</v>
      </c>
      <c r="GK107" s="9">
        <v>5060</v>
      </c>
      <c r="GL107" s="9">
        <v>12838</v>
      </c>
      <c r="GM107" s="9">
        <v>0</v>
      </c>
      <c r="GN107" s="9">
        <v>0</v>
      </c>
      <c r="GO107" s="9">
        <v>0</v>
      </c>
      <c r="GP107" s="9">
        <v>4559045</v>
      </c>
      <c r="GQ107" s="9">
        <v>4559045</v>
      </c>
      <c r="GR107" s="9">
        <v>0</v>
      </c>
      <c r="GS107" s="9">
        <v>0</v>
      </c>
      <c r="GT107" s="9">
        <v>0</v>
      </c>
      <c r="GU107" s="9">
        <v>0</v>
      </c>
      <c r="GV107" s="9">
        <v>0</v>
      </c>
      <c r="GW107" s="9">
        <v>0</v>
      </c>
      <c r="GX107" s="9">
        <v>0</v>
      </c>
      <c r="GY107" s="9">
        <v>0</v>
      </c>
      <c r="GZ107" s="9">
        <v>0</v>
      </c>
      <c r="HA107" s="9">
        <v>0</v>
      </c>
      <c r="HB107" s="9">
        <v>300501363</v>
      </c>
      <c r="HC107" s="9">
        <v>4.4742999999999998E-2</v>
      </c>
      <c r="HD107" s="9">
        <v>83203</v>
      </c>
      <c r="HE107" s="9">
        <v>0</v>
      </c>
      <c r="HF107" s="9">
        <v>0</v>
      </c>
      <c r="HG107" s="9">
        <v>0</v>
      </c>
      <c r="HH107" s="9">
        <v>0</v>
      </c>
      <c r="HI107" s="9">
        <v>0</v>
      </c>
      <c r="HJ107" s="9">
        <v>0</v>
      </c>
      <c r="HK107" s="9">
        <v>0</v>
      </c>
      <c r="HL107" s="9">
        <v>0</v>
      </c>
      <c r="HM107" s="9">
        <v>0</v>
      </c>
      <c r="HN107" s="9">
        <v>0</v>
      </c>
      <c r="HO107" s="9">
        <v>0</v>
      </c>
      <c r="HP107" s="9">
        <v>0</v>
      </c>
      <c r="HQ107" s="9">
        <v>0</v>
      </c>
      <c r="HR107" s="9">
        <v>0</v>
      </c>
      <c r="HS107" s="9">
        <v>0</v>
      </c>
      <c r="HT107" s="9">
        <v>0</v>
      </c>
      <c r="HU107" s="9">
        <v>0</v>
      </c>
      <c r="HV107" s="9">
        <v>0</v>
      </c>
      <c r="HW107" s="9">
        <v>0</v>
      </c>
      <c r="HX107" s="9">
        <v>0</v>
      </c>
      <c r="HY107" s="9">
        <v>0</v>
      </c>
      <c r="HZ107" s="9">
        <v>0</v>
      </c>
      <c r="IA107" s="9">
        <v>0</v>
      </c>
      <c r="IB107" s="9">
        <v>0</v>
      </c>
      <c r="IC107" s="9">
        <v>0</v>
      </c>
      <c r="ID107" s="9">
        <v>0</v>
      </c>
      <c r="IE107" s="9">
        <v>0</v>
      </c>
      <c r="IF107" s="9">
        <v>0</v>
      </c>
      <c r="IG107" s="9">
        <v>0</v>
      </c>
      <c r="IH107" s="9">
        <v>0</v>
      </c>
      <c r="II107" s="9">
        <v>0</v>
      </c>
      <c r="IJ107" s="9">
        <v>0</v>
      </c>
      <c r="IK107" s="9">
        <v>0</v>
      </c>
      <c r="IL107" s="9">
        <v>0</v>
      </c>
      <c r="IM107" s="9">
        <v>0</v>
      </c>
      <c r="IN107" s="9">
        <v>0</v>
      </c>
      <c r="IO107" s="9">
        <v>0</v>
      </c>
      <c r="IP107" s="9">
        <v>0</v>
      </c>
      <c r="IQ107" s="9">
        <v>0</v>
      </c>
      <c r="IR107" s="9">
        <v>0</v>
      </c>
      <c r="IS107" s="9">
        <v>0</v>
      </c>
      <c r="IT107" s="9">
        <v>0</v>
      </c>
      <c r="IU107" s="9">
        <v>0</v>
      </c>
      <c r="IV107" s="9">
        <v>0</v>
      </c>
      <c r="IW107" s="9">
        <v>0</v>
      </c>
      <c r="IX107" s="9">
        <v>0</v>
      </c>
      <c r="IY107" s="9">
        <v>0</v>
      </c>
      <c r="IZ107" s="9">
        <v>0</v>
      </c>
      <c r="JA107" s="9">
        <v>0</v>
      </c>
      <c r="JB107" s="9">
        <v>0</v>
      </c>
      <c r="JC107" s="9">
        <v>0</v>
      </c>
      <c r="JD107" s="9">
        <v>0</v>
      </c>
      <c r="JE107" s="9">
        <v>0</v>
      </c>
      <c r="JF107" s="9">
        <v>0</v>
      </c>
      <c r="JG107" s="9">
        <v>0</v>
      </c>
      <c r="JH107" s="9">
        <v>0</v>
      </c>
      <c r="JI107" s="9">
        <v>0</v>
      </c>
      <c r="JJ107" s="9">
        <v>0</v>
      </c>
      <c r="JK107" s="9">
        <v>0</v>
      </c>
      <c r="JL107" s="9">
        <v>0</v>
      </c>
      <c r="JM107" s="9">
        <v>0</v>
      </c>
      <c r="JN107" s="9">
        <v>36832</v>
      </c>
      <c r="JO107" s="9">
        <v>0</v>
      </c>
      <c r="JP107" s="9">
        <v>0</v>
      </c>
      <c r="JQ107" s="9">
        <v>0</v>
      </c>
      <c r="JR107" s="9">
        <v>0</v>
      </c>
      <c r="JS107" s="9">
        <v>0</v>
      </c>
      <c r="JT107" s="9">
        <v>0</v>
      </c>
      <c r="JU107" s="9">
        <v>0</v>
      </c>
      <c r="JV107" s="9">
        <v>0</v>
      </c>
      <c r="JW107" s="9">
        <v>0</v>
      </c>
      <c r="JX107" s="9">
        <v>0</v>
      </c>
      <c r="JY107" s="9">
        <v>0</v>
      </c>
      <c r="JZ107" s="9">
        <v>0</v>
      </c>
      <c r="KA107" s="9">
        <v>0</v>
      </c>
      <c r="KB107" s="9">
        <v>0</v>
      </c>
      <c r="KC107" s="9">
        <v>0</v>
      </c>
      <c r="KD107" s="9">
        <v>0</v>
      </c>
      <c r="KE107" s="9">
        <v>0</v>
      </c>
      <c r="KF107" s="9">
        <v>0</v>
      </c>
      <c r="KG107" s="9">
        <v>0</v>
      </c>
      <c r="KH107" s="9">
        <v>0</v>
      </c>
      <c r="KI107" s="9">
        <v>0</v>
      </c>
    </row>
    <row r="108" spans="1:295" x14ac:dyDescent="0.25">
      <c r="A108" s="9">
        <v>101849</v>
      </c>
      <c r="B108" s="9">
        <v>36871</v>
      </c>
      <c r="C108" s="9">
        <v>35</v>
      </c>
      <c r="D108" s="9">
        <v>2023</v>
      </c>
      <c r="E108" s="9">
        <v>5392</v>
      </c>
      <c r="F108" s="9">
        <v>0</v>
      </c>
      <c r="G108" s="9">
        <v>0</v>
      </c>
      <c r="H108" s="9">
        <v>220.33</v>
      </c>
      <c r="I108" s="9">
        <v>220.33</v>
      </c>
      <c r="J108" s="9">
        <v>221.322</v>
      </c>
      <c r="K108" s="9">
        <v>0</v>
      </c>
      <c r="L108" s="9">
        <v>6547</v>
      </c>
      <c r="M108" s="9">
        <v>0</v>
      </c>
      <c r="N108" s="9">
        <v>0</v>
      </c>
      <c r="O108" s="9">
        <v>0</v>
      </c>
      <c r="P108" s="9">
        <v>228.87700000000001</v>
      </c>
      <c r="Q108" s="9">
        <v>0</v>
      </c>
      <c r="R108" s="9">
        <v>111445</v>
      </c>
      <c r="S108" s="9">
        <v>486.92200000000003</v>
      </c>
      <c r="T108" s="9">
        <v>0</v>
      </c>
      <c r="U108" s="9">
        <v>111445</v>
      </c>
      <c r="V108" s="9">
        <v>67.64</v>
      </c>
      <c r="W108" s="9">
        <v>44284</v>
      </c>
      <c r="X108" s="9">
        <v>44284</v>
      </c>
      <c r="Y108" s="9">
        <v>0</v>
      </c>
      <c r="Z108" s="9">
        <v>0</v>
      </c>
      <c r="AA108" s="9">
        <v>1</v>
      </c>
      <c r="AB108" s="9">
        <v>1</v>
      </c>
      <c r="AC108" s="9">
        <v>0</v>
      </c>
      <c r="AD108" s="9" t="s">
        <v>314</v>
      </c>
      <c r="AE108" s="9">
        <v>0</v>
      </c>
      <c r="AF108" s="9">
        <v>0</v>
      </c>
      <c r="AG108" s="9">
        <v>0</v>
      </c>
      <c r="AH108" s="9">
        <v>0</v>
      </c>
      <c r="AI108" s="9">
        <v>0</v>
      </c>
      <c r="AJ108" s="9">
        <v>5104</v>
      </c>
      <c r="AK108" s="9" t="s">
        <v>651</v>
      </c>
      <c r="AL108" s="9" t="s">
        <v>14</v>
      </c>
      <c r="AM108" s="9">
        <v>0</v>
      </c>
      <c r="AN108" s="9">
        <v>0</v>
      </c>
      <c r="AO108" s="9">
        <v>0</v>
      </c>
      <c r="AP108" s="9">
        <v>0</v>
      </c>
      <c r="AQ108" s="9">
        <v>0</v>
      </c>
      <c r="AR108" s="9">
        <v>0</v>
      </c>
      <c r="AS108" s="9">
        <v>0</v>
      </c>
      <c r="AT108" s="9">
        <v>0</v>
      </c>
      <c r="AU108" s="9">
        <v>0</v>
      </c>
      <c r="AV108" s="9">
        <v>-99045</v>
      </c>
      <c r="AW108" s="9">
        <v>2089870</v>
      </c>
      <c r="AX108" s="9">
        <v>2044145</v>
      </c>
      <c r="AY108" s="9">
        <v>2117310</v>
      </c>
      <c r="AZ108" s="9">
        <v>111445</v>
      </c>
      <c r="BA108" s="9">
        <v>13.417</v>
      </c>
      <c r="BB108" s="9">
        <v>0</v>
      </c>
      <c r="BC108" s="9">
        <v>0</v>
      </c>
      <c r="BD108" s="9">
        <v>0</v>
      </c>
      <c r="BE108" s="9">
        <v>0</v>
      </c>
      <c r="BF108" s="9">
        <v>1773993</v>
      </c>
      <c r="BG108" s="9">
        <v>0</v>
      </c>
      <c r="BH108" s="9">
        <v>0</v>
      </c>
      <c r="BI108" s="9">
        <v>0</v>
      </c>
      <c r="BJ108" s="9">
        <v>12</v>
      </c>
      <c r="BK108" s="9">
        <v>0</v>
      </c>
      <c r="BL108" s="9">
        <v>0</v>
      </c>
      <c r="BM108" s="9">
        <v>0</v>
      </c>
      <c r="BN108" s="9">
        <v>0</v>
      </c>
      <c r="BO108" s="9">
        <v>0</v>
      </c>
      <c r="BP108" s="9">
        <v>0</v>
      </c>
      <c r="BQ108" s="9">
        <v>5392</v>
      </c>
      <c r="BR108" s="9">
        <v>1</v>
      </c>
      <c r="BS108" s="9">
        <v>0</v>
      </c>
      <c r="BT108" s="9">
        <v>0</v>
      </c>
      <c r="BU108" s="9">
        <v>0</v>
      </c>
      <c r="BV108" s="9">
        <v>0</v>
      </c>
      <c r="BW108" s="9">
        <v>0</v>
      </c>
      <c r="BX108" s="9">
        <v>0</v>
      </c>
      <c r="BY108" s="9">
        <v>0</v>
      </c>
      <c r="BZ108" s="9">
        <v>0</v>
      </c>
      <c r="CA108" s="9">
        <v>0</v>
      </c>
      <c r="CB108" s="9">
        <v>0</v>
      </c>
      <c r="CC108" s="9">
        <v>0</v>
      </c>
      <c r="CD108" s="9">
        <v>0</v>
      </c>
      <c r="CE108" s="9">
        <v>0</v>
      </c>
      <c r="CF108" s="9">
        <v>0</v>
      </c>
      <c r="CG108" s="9">
        <v>0</v>
      </c>
      <c r="CH108" s="9">
        <v>45725</v>
      </c>
      <c r="CI108" s="9">
        <v>0</v>
      </c>
      <c r="CJ108" s="9">
        <v>4</v>
      </c>
      <c r="CK108" s="9">
        <v>0</v>
      </c>
      <c r="CL108" s="9">
        <v>0</v>
      </c>
      <c r="CM108" s="9">
        <v>0</v>
      </c>
      <c r="CN108" s="9">
        <v>0</v>
      </c>
      <c r="CO108" s="9">
        <v>0</v>
      </c>
      <c r="CP108" s="9">
        <v>0</v>
      </c>
      <c r="CQ108" s="9">
        <v>0</v>
      </c>
      <c r="CR108" s="9">
        <v>206.875</v>
      </c>
      <c r="CS108" s="9">
        <v>0</v>
      </c>
      <c r="CT108" s="9">
        <v>0</v>
      </c>
      <c r="CU108" s="9">
        <v>0</v>
      </c>
      <c r="CV108" s="9">
        <v>0</v>
      </c>
      <c r="CW108" s="9">
        <v>0</v>
      </c>
      <c r="CX108" s="9">
        <v>0</v>
      </c>
      <c r="CY108" s="9">
        <v>0</v>
      </c>
      <c r="CZ108" s="9">
        <v>0</v>
      </c>
      <c r="DA108" s="9">
        <v>1</v>
      </c>
      <c r="DB108" s="9">
        <v>1442501</v>
      </c>
      <c r="DC108" s="9">
        <v>0</v>
      </c>
      <c r="DD108" s="9">
        <v>0</v>
      </c>
      <c r="DE108" s="9">
        <v>305967</v>
      </c>
      <c r="DF108" s="9">
        <v>305967</v>
      </c>
      <c r="DG108" s="9">
        <v>233.67000000000002</v>
      </c>
      <c r="DH108" s="9">
        <v>0</v>
      </c>
      <c r="DI108" s="9">
        <v>0</v>
      </c>
      <c r="DJ108" s="9">
        <v>0</v>
      </c>
      <c r="DK108" s="9">
        <v>5392</v>
      </c>
      <c r="DL108" s="9">
        <v>0</v>
      </c>
      <c r="DM108" s="9">
        <v>29966</v>
      </c>
      <c r="DN108" s="9">
        <v>0</v>
      </c>
      <c r="DO108" s="9">
        <v>0</v>
      </c>
      <c r="DP108" s="9">
        <v>0</v>
      </c>
      <c r="DQ108" s="9">
        <v>0</v>
      </c>
      <c r="DR108" s="9">
        <v>0</v>
      </c>
      <c r="DS108" s="9">
        <v>0</v>
      </c>
      <c r="DT108" s="9">
        <v>0</v>
      </c>
      <c r="DU108" s="9">
        <v>0</v>
      </c>
      <c r="DV108" s="9">
        <v>0</v>
      </c>
      <c r="DW108" s="9">
        <v>0</v>
      </c>
      <c r="DX108" s="9">
        <v>0</v>
      </c>
      <c r="DY108" s="9">
        <v>0</v>
      </c>
      <c r="DZ108" s="9">
        <v>0</v>
      </c>
      <c r="EA108" s="9">
        <v>0</v>
      </c>
      <c r="EB108" s="9">
        <v>0</v>
      </c>
      <c r="EC108" s="9">
        <v>1.141</v>
      </c>
      <c r="ED108" s="9">
        <v>8217</v>
      </c>
      <c r="EE108" s="9">
        <v>0</v>
      </c>
      <c r="EF108" s="9">
        <v>0</v>
      </c>
      <c r="EG108" s="9">
        <v>0</v>
      </c>
      <c r="EH108" s="9">
        <v>21749</v>
      </c>
      <c r="EI108" s="9">
        <v>0</v>
      </c>
      <c r="EJ108" s="9">
        <v>0</v>
      </c>
      <c r="EK108" s="9">
        <v>0.81900000000000006</v>
      </c>
      <c r="EL108" s="9">
        <v>0</v>
      </c>
      <c r="EM108" s="9">
        <v>0</v>
      </c>
      <c r="EN108" s="9">
        <v>0.17300000000000001</v>
      </c>
      <c r="EO108" s="9">
        <v>0</v>
      </c>
      <c r="EP108" s="9">
        <v>0</v>
      </c>
      <c r="EQ108" s="9">
        <v>0.99199999999999999</v>
      </c>
      <c r="ER108" s="9">
        <v>0</v>
      </c>
      <c r="ES108" s="9">
        <v>3.3220000000000001</v>
      </c>
      <c r="ET108" s="9">
        <v>6709</v>
      </c>
      <c r="EU108" s="9">
        <v>111445</v>
      </c>
      <c r="EV108" s="9">
        <v>0</v>
      </c>
      <c r="EW108" s="9">
        <v>0</v>
      </c>
      <c r="EX108" s="9">
        <v>0</v>
      </c>
      <c r="EY108" s="9">
        <v>0</v>
      </c>
      <c r="EZ108" s="9">
        <v>1711273</v>
      </c>
      <c r="FA108" s="9">
        <v>0</v>
      </c>
      <c r="FB108" s="9">
        <v>1822718</v>
      </c>
      <c r="FC108" s="9">
        <v>0.97326799999999991</v>
      </c>
      <c r="FD108" s="9">
        <v>0</v>
      </c>
      <c r="FE108" s="9">
        <v>274432</v>
      </c>
      <c r="FF108" s="9">
        <v>58440</v>
      </c>
      <c r="FG108" s="9">
        <v>5.8088000000000001E-2</v>
      </c>
      <c r="FH108" s="9">
        <v>5.2622999999999996E-2</v>
      </c>
      <c r="FI108" s="9">
        <v>0</v>
      </c>
      <c r="FJ108" s="9">
        <v>0</v>
      </c>
      <c r="FK108" s="9">
        <v>347.58800000000002</v>
      </c>
      <c r="FL108" s="9">
        <v>2201315</v>
      </c>
      <c r="FM108" s="9">
        <v>0</v>
      </c>
      <c r="FN108" s="9">
        <v>0</v>
      </c>
      <c r="FO108" s="9">
        <v>0</v>
      </c>
      <c r="FP108" s="9">
        <v>0</v>
      </c>
      <c r="FQ108" s="9">
        <v>0</v>
      </c>
      <c r="FR108" s="9">
        <v>0</v>
      </c>
      <c r="FS108" s="9">
        <v>0</v>
      </c>
      <c r="FT108" s="9">
        <v>0</v>
      </c>
      <c r="FU108" s="9">
        <v>0</v>
      </c>
      <c r="FV108" s="9">
        <v>0</v>
      </c>
      <c r="FW108" s="9">
        <v>0</v>
      </c>
      <c r="FX108" s="9">
        <v>0</v>
      </c>
      <c r="FY108" s="9">
        <v>0</v>
      </c>
      <c r="FZ108" s="9">
        <v>0</v>
      </c>
      <c r="GA108" s="9">
        <v>0</v>
      </c>
      <c r="GB108" s="9">
        <v>0</v>
      </c>
      <c r="GC108" s="9">
        <v>0</v>
      </c>
      <c r="GD108" s="9">
        <v>0</v>
      </c>
      <c r="GE108" s="9">
        <v>0</v>
      </c>
      <c r="GF108" s="9">
        <v>0</v>
      </c>
      <c r="GG108" s="9">
        <v>0</v>
      </c>
      <c r="GH108" s="9">
        <v>0</v>
      </c>
      <c r="GI108" s="9">
        <v>0</v>
      </c>
      <c r="GJ108" s="9">
        <v>0</v>
      </c>
      <c r="GK108" s="9">
        <v>5145</v>
      </c>
      <c r="GL108" s="9">
        <v>17296</v>
      </c>
      <c r="GM108" s="9">
        <v>0</v>
      </c>
      <c r="GN108" s="9">
        <v>26516</v>
      </c>
      <c r="GO108" s="9">
        <v>0</v>
      </c>
      <c r="GP108" s="9">
        <v>2155590</v>
      </c>
      <c r="GQ108" s="9">
        <v>2155590</v>
      </c>
      <c r="GR108" s="9">
        <v>0</v>
      </c>
      <c r="GS108" s="9">
        <v>0</v>
      </c>
      <c r="GT108" s="9">
        <v>0</v>
      </c>
      <c r="GU108" s="9">
        <v>0</v>
      </c>
      <c r="GV108" s="9">
        <v>0</v>
      </c>
      <c r="GW108" s="9">
        <v>0</v>
      </c>
      <c r="GX108" s="9">
        <v>0</v>
      </c>
      <c r="GY108" s="9">
        <v>0</v>
      </c>
      <c r="GZ108" s="9">
        <v>0</v>
      </c>
      <c r="HA108" s="9">
        <v>0</v>
      </c>
      <c r="HB108" s="9">
        <v>300501363</v>
      </c>
      <c r="HC108" s="9">
        <v>4.4742999999999998E-2</v>
      </c>
      <c r="HD108" s="9">
        <v>39016</v>
      </c>
      <c r="HE108" s="9">
        <v>0</v>
      </c>
      <c r="HF108" s="9">
        <v>0</v>
      </c>
      <c r="HG108" s="9">
        <v>0</v>
      </c>
      <c r="HH108" s="9">
        <v>0</v>
      </c>
      <c r="HI108" s="9">
        <v>0</v>
      </c>
      <c r="HJ108" s="9">
        <v>0</v>
      </c>
      <c r="HK108" s="9">
        <v>0</v>
      </c>
      <c r="HL108" s="9">
        <v>0</v>
      </c>
      <c r="HM108" s="9">
        <v>0</v>
      </c>
      <c r="HN108" s="9">
        <v>0</v>
      </c>
      <c r="HO108" s="9">
        <v>0</v>
      </c>
      <c r="HP108" s="9">
        <v>0</v>
      </c>
      <c r="HQ108" s="9">
        <v>0</v>
      </c>
      <c r="HR108" s="9">
        <v>0</v>
      </c>
      <c r="HS108" s="9">
        <v>0</v>
      </c>
      <c r="HT108" s="9">
        <v>0</v>
      </c>
      <c r="HU108" s="9">
        <v>0</v>
      </c>
      <c r="HV108" s="9">
        <v>0</v>
      </c>
      <c r="HW108" s="9">
        <v>0</v>
      </c>
      <c r="HX108" s="9">
        <v>0</v>
      </c>
      <c r="HY108" s="9">
        <v>0</v>
      </c>
      <c r="HZ108" s="9">
        <v>0</v>
      </c>
      <c r="IA108" s="9">
        <v>0</v>
      </c>
      <c r="IB108" s="9">
        <v>0</v>
      </c>
      <c r="IC108" s="9">
        <v>0</v>
      </c>
      <c r="ID108" s="9">
        <v>0</v>
      </c>
      <c r="IE108" s="9">
        <v>0</v>
      </c>
      <c r="IF108" s="9">
        <v>0</v>
      </c>
      <c r="IG108" s="9">
        <v>0</v>
      </c>
      <c r="IH108" s="9">
        <v>0</v>
      </c>
      <c r="II108" s="9">
        <v>0</v>
      </c>
      <c r="IJ108" s="9">
        <v>0</v>
      </c>
      <c r="IK108" s="9">
        <v>0</v>
      </c>
      <c r="IL108" s="9">
        <v>0</v>
      </c>
      <c r="IM108" s="9">
        <v>0</v>
      </c>
      <c r="IN108" s="9">
        <v>0</v>
      </c>
      <c r="IO108" s="9">
        <v>0</v>
      </c>
      <c r="IP108" s="9">
        <v>0</v>
      </c>
      <c r="IQ108" s="9">
        <v>0</v>
      </c>
      <c r="IR108" s="9">
        <v>0</v>
      </c>
      <c r="IS108" s="9">
        <v>0</v>
      </c>
      <c r="IT108" s="9">
        <v>0</v>
      </c>
      <c r="IU108" s="9">
        <v>0</v>
      </c>
      <c r="IV108" s="9">
        <v>0</v>
      </c>
      <c r="IW108" s="9">
        <v>0</v>
      </c>
      <c r="IX108" s="9">
        <v>0</v>
      </c>
      <c r="IY108" s="9">
        <v>0</v>
      </c>
      <c r="IZ108" s="9">
        <v>0</v>
      </c>
      <c r="JA108" s="9">
        <v>0</v>
      </c>
      <c r="JB108" s="9">
        <v>0</v>
      </c>
      <c r="JC108" s="9">
        <v>0</v>
      </c>
      <c r="JD108" s="9">
        <v>0</v>
      </c>
      <c r="JE108" s="9">
        <v>0</v>
      </c>
      <c r="JF108" s="9">
        <v>0</v>
      </c>
      <c r="JG108" s="9">
        <v>0</v>
      </c>
      <c r="JH108" s="9">
        <v>0</v>
      </c>
      <c r="JI108" s="9">
        <v>0</v>
      </c>
      <c r="JJ108" s="9">
        <v>0</v>
      </c>
      <c r="JK108" s="9">
        <v>0</v>
      </c>
      <c r="JL108" s="9">
        <v>0</v>
      </c>
      <c r="JM108" s="9">
        <v>0</v>
      </c>
      <c r="JN108" s="9">
        <v>36832</v>
      </c>
      <c r="JO108" s="9">
        <v>0</v>
      </c>
      <c r="JP108" s="9">
        <v>0</v>
      </c>
      <c r="JQ108" s="9">
        <v>0</v>
      </c>
      <c r="JR108" s="9">
        <v>0</v>
      </c>
      <c r="JS108" s="9">
        <v>0</v>
      </c>
      <c r="JT108" s="9">
        <v>0</v>
      </c>
      <c r="JU108" s="9">
        <v>0</v>
      </c>
      <c r="JV108" s="9">
        <v>0</v>
      </c>
      <c r="JW108" s="9">
        <v>0</v>
      </c>
      <c r="JX108" s="9">
        <v>0</v>
      </c>
      <c r="JY108" s="9">
        <v>0</v>
      </c>
      <c r="JZ108" s="9">
        <v>0</v>
      </c>
      <c r="KA108" s="9">
        <v>0</v>
      </c>
      <c r="KB108" s="9">
        <v>0</v>
      </c>
      <c r="KC108" s="9">
        <v>0</v>
      </c>
      <c r="KD108" s="9">
        <v>0</v>
      </c>
      <c r="KE108" s="9">
        <v>0</v>
      </c>
      <c r="KF108" s="9">
        <v>0</v>
      </c>
      <c r="KG108" s="9">
        <v>0</v>
      </c>
      <c r="KH108" s="9">
        <v>0</v>
      </c>
      <c r="KI108" s="9">
        <v>0</v>
      </c>
    </row>
    <row r="109" spans="1:295" x14ac:dyDescent="0.25">
      <c r="A109" s="9">
        <v>101853</v>
      </c>
      <c r="B109" s="9">
        <v>36871</v>
      </c>
      <c r="C109" s="9">
        <v>35</v>
      </c>
      <c r="D109" s="9">
        <v>2023</v>
      </c>
      <c r="E109" s="9">
        <v>5392</v>
      </c>
      <c r="F109" s="9">
        <v>0</v>
      </c>
      <c r="G109" s="9">
        <v>0</v>
      </c>
      <c r="H109" s="9">
        <v>1218.0330000000001</v>
      </c>
      <c r="I109" s="9">
        <v>1218.0330000000001</v>
      </c>
      <c r="J109" s="9">
        <v>1242.8880000000001</v>
      </c>
      <c r="K109" s="9">
        <v>0</v>
      </c>
      <c r="L109" s="9">
        <v>6547</v>
      </c>
      <c r="M109" s="9">
        <v>0</v>
      </c>
      <c r="N109" s="9">
        <v>0</v>
      </c>
      <c r="O109" s="9">
        <v>0</v>
      </c>
      <c r="P109" s="9">
        <v>1240.347</v>
      </c>
      <c r="Q109" s="9">
        <v>0</v>
      </c>
      <c r="R109" s="9">
        <v>603952</v>
      </c>
      <c r="S109" s="9">
        <v>486.92200000000003</v>
      </c>
      <c r="T109" s="9">
        <v>0</v>
      </c>
      <c r="U109" s="9">
        <v>603952</v>
      </c>
      <c r="V109" s="9">
        <v>568.79700000000003</v>
      </c>
      <c r="W109" s="9">
        <v>372391</v>
      </c>
      <c r="X109" s="9">
        <v>372391</v>
      </c>
      <c r="Y109" s="9">
        <v>0</v>
      </c>
      <c r="Z109" s="9">
        <v>0</v>
      </c>
      <c r="AA109" s="9">
        <v>1</v>
      </c>
      <c r="AB109" s="9">
        <v>1</v>
      </c>
      <c r="AC109" s="9">
        <v>0</v>
      </c>
      <c r="AD109" s="9" t="s">
        <v>314</v>
      </c>
      <c r="AE109" s="9">
        <v>0</v>
      </c>
      <c r="AF109" s="9">
        <v>0</v>
      </c>
      <c r="AG109" s="9">
        <v>0</v>
      </c>
      <c r="AH109" s="9">
        <v>0</v>
      </c>
      <c r="AI109" s="9">
        <v>0</v>
      </c>
      <c r="AJ109" s="9">
        <v>5104</v>
      </c>
      <c r="AK109" s="9" t="s">
        <v>651</v>
      </c>
      <c r="AL109" s="9" t="s">
        <v>98</v>
      </c>
      <c r="AM109" s="9">
        <v>0</v>
      </c>
      <c r="AN109" s="9">
        <v>0</v>
      </c>
      <c r="AO109" s="9">
        <v>0</v>
      </c>
      <c r="AP109" s="9">
        <v>0</v>
      </c>
      <c r="AQ109" s="9">
        <v>0</v>
      </c>
      <c r="AR109" s="9">
        <v>0</v>
      </c>
      <c r="AS109" s="9">
        <v>0</v>
      </c>
      <c r="AT109" s="9">
        <v>0</v>
      </c>
      <c r="AU109" s="9">
        <v>0</v>
      </c>
      <c r="AV109" s="9">
        <v>-285156</v>
      </c>
      <c r="AW109" s="9">
        <v>13210010</v>
      </c>
      <c r="AX109" s="9">
        <v>12990905</v>
      </c>
      <c r="AY109" s="9">
        <v>13044144</v>
      </c>
      <c r="AZ109" s="9">
        <v>603952</v>
      </c>
      <c r="BA109" s="9">
        <v>0</v>
      </c>
      <c r="BB109" s="9">
        <v>0</v>
      </c>
      <c r="BC109" s="9">
        <v>0</v>
      </c>
      <c r="BD109" s="9">
        <v>0</v>
      </c>
      <c r="BE109" s="9">
        <v>0</v>
      </c>
      <c r="BF109" s="9">
        <v>11188204</v>
      </c>
      <c r="BG109" s="9">
        <v>0</v>
      </c>
      <c r="BH109" s="9">
        <v>0</v>
      </c>
      <c r="BI109" s="9">
        <v>0</v>
      </c>
      <c r="BJ109" s="9">
        <v>12</v>
      </c>
      <c r="BK109" s="9">
        <v>0</v>
      </c>
      <c r="BL109" s="9">
        <v>0</v>
      </c>
      <c r="BM109" s="9">
        <v>0</v>
      </c>
      <c r="BN109" s="9">
        <v>0</v>
      </c>
      <c r="BO109" s="9">
        <v>0</v>
      </c>
      <c r="BP109" s="9">
        <v>0</v>
      </c>
      <c r="BQ109" s="9">
        <v>5392</v>
      </c>
      <c r="BR109" s="9">
        <v>1</v>
      </c>
      <c r="BS109" s="9">
        <v>0</v>
      </c>
      <c r="BT109" s="9">
        <v>0</v>
      </c>
      <c r="BU109" s="9">
        <v>0</v>
      </c>
      <c r="BV109" s="9">
        <v>0</v>
      </c>
      <c r="BW109" s="9">
        <v>0</v>
      </c>
      <c r="BX109" s="9">
        <v>0</v>
      </c>
      <c r="BY109" s="9">
        <v>0</v>
      </c>
      <c r="BZ109" s="9">
        <v>0</v>
      </c>
      <c r="CA109" s="9">
        <v>0</v>
      </c>
      <c r="CB109" s="9">
        <v>0</v>
      </c>
      <c r="CC109" s="9">
        <v>0</v>
      </c>
      <c r="CD109" s="9">
        <v>0</v>
      </c>
      <c r="CE109" s="9">
        <v>0</v>
      </c>
      <c r="CF109" s="9">
        <v>0</v>
      </c>
      <c r="CG109" s="9">
        <v>0</v>
      </c>
      <c r="CH109" s="9">
        <v>219105</v>
      </c>
      <c r="CI109" s="9">
        <v>0</v>
      </c>
      <c r="CJ109" s="9">
        <v>4</v>
      </c>
      <c r="CK109" s="9">
        <v>0</v>
      </c>
      <c r="CL109" s="9">
        <v>0</v>
      </c>
      <c r="CM109" s="9">
        <v>0</v>
      </c>
      <c r="CN109" s="9">
        <v>0</v>
      </c>
      <c r="CO109" s="9">
        <v>0</v>
      </c>
      <c r="CP109" s="9">
        <v>0</v>
      </c>
      <c r="CQ109" s="9">
        <v>0</v>
      </c>
      <c r="CR109" s="9">
        <v>1187.2</v>
      </c>
      <c r="CS109" s="9">
        <v>0</v>
      </c>
      <c r="CT109" s="9">
        <v>0</v>
      </c>
      <c r="CU109" s="9">
        <v>0</v>
      </c>
      <c r="CV109" s="9">
        <v>0</v>
      </c>
      <c r="CW109" s="9">
        <v>0</v>
      </c>
      <c r="CX109" s="9">
        <v>0</v>
      </c>
      <c r="CY109" s="9">
        <v>0</v>
      </c>
      <c r="CZ109" s="9">
        <v>0</v>
      </c>
      <c r="DA109" s="9">
        <v>1</v>
      </c>
      <c r="DB109" s="9">
        <v>7974462</v>
      </c>
      <c r="DC109" s="9">
        <v>0</v>
      </c>
      <c r="DD109" s="9">
        <v>0</v>
      </c>
      <c r="DE109" s="9">
        <v>2536308</v>
      </c>
      <c r="DF109" s="9">
        <v>2536308</v>
      </c>
      <c r="DG109" s="9">
        <v>1937</v>
      </c>
      <c r="DH109" s="9">
        <v>0</v>
      </c>
      <c r="DI109" s="9">
        <v>0</v>
      </c>
      <c r="DJ109" s="9">
        <v>0</v>
      </c>
      <c r="DK109" s="9">
        <v>5392</v>
      </c>
      <c r="DL109" s="9">
        <v>0</v>
      </c>
      <c r="DM109" s="9">
        <v>612341</v>
      </c>
      <c r="DN109" s="9">
        <v>0</v>
      </c>
      <c r="DO109" s="9">
        <v>0</v>
      </c>
      <c r="DP109" s="9">
        <v>0</v>
      </c>
      <c r="DQ109" s="9">
        <v>0</v>
      </c>
      <c r="DR109" s="9">
        <v>0</v>
      </c>
      <c r="DS109" s="9">
        <v>0</v>
      </c>
      <c r="DT109" s="9">
        <v>0</v>
      </c>
      <c r="DU109" s="9">
        <v>0</v>
      </c>
      <c r="DV109" s="9">
        <v>0</v>
      </c>
      <c r="DW109" s="9">
        <v>0</v>
      </c>
      <c r="DX109" s="9">
        <v>0</v>
      </c>
      <c r="DY109" s="9">
        <v>0</v>
      </c>
      <c r="DZ109" s="9">
        <v>0</v>
      </c>
      <c r="EA109" s="9">
        <v>0</v>
      </c>
      <c r="EB109" s="9">
        <v>0</v>
      </c>
      <c r="EC109" s="9">
        <v>9.870000000000001</v>
      </c>
      <c r="ED109" s="9">
        <v>71081</v>
      </c>
      <c r="EE109" s="9">
        <v>0</v>
      </c>
      <c r="EF109" s="9">
        <v>0</v>
      </c>
      <c r="EG109" s="9">
        <v>0</v>
      </c>
      <c r="EH109" s="9">
        <v>541260</v>
      </c>
      <c r="EI109" s="9">
        <v>0</v>
      </c>
      <c r="EJ109" s="9">
        <v>0</v>
      </c>
      <c r="EK109" s="9">
        <v>19.959</v>
      </c>
      <c r="EL109" s="9">
        <v>0</v>
      </c>
      <c r="EM109" s="9">
        <v>0.84200000000000008</v>
      </c>
      <c r="EN109" s="9">
        <v>4.0540000000000003</v>
      </c>
      <c r="EO109" s="9">
        <v>0</v>
      </c>
      <c r="EP109" s="9">
        <v>0</v>
      </c>
      <c r="EQ109" s="9">
        <v>24.855</v>
      </c>
      <c r="ER109" s="9">
        <v>0</v>
      </c>
      <c r="ES109" s="9">
        <v>82.673000000000002</v>
      </c>
      <c r="ET109" s="9">
        <v>0</v>
      </c>
      <c r="EU109" s="9">
        <v>603952</v>
      </c>
      <c r="EV109" s="9">
        <v>0</v>
      </c>
      <c r="EW109" s="9">
        <v>0</v>
      </c>
      <c r="EX109" s="9">
        <v>0</v>
      </c>
      <c r="EY109" s="9">
        <v>0</v>
      </c>
      <c r="EZ109" s="9">
        <v>10891550</v>
      </c>
      <c r="FA109" s="9">
        <v>0</v>
      </c>
      <c r="FB109" s="9">
        <v>11495502</v>
      </c>
      <c r="FC109" s="9">
        <v>0.97326799999999991</v>
      </c>
      <c r="FD109" s="9">
        <v>0</v>
      </c>
      <c r="FE109" s="9">
        <v>1730785</v>
      </c>
      <c r="FF109" s="9">
        <v>368570</v>
      </c>
      <c r="FG109" s="9">
        <v>5.8088000000000001E-2</v>
      </c>
      <c r="FH109" s="9">
        <v>5.2622999999999996E-2</v>
      </c>
      <c r="FI109" s="9">
        <v>0</v>
      </c>
      <c r="FJ109" s="9">
        <v>0</v>
      </c>
      <c r="FK109" s="9">
        <v>2192.1660000000002</v>
      </c>
      <c r="FL109" s="9">
        <v>13813962</v>
      </c>
      <c r="FM109" s="9">
        <v>0</v>
      </c>
      <c r="FN109" s="9">
        <v>0</v>
      </c>
      <c r="FO109" s="9">
        <v>0</v>
      </c>
      <c r="FP109" s="9">
        <v>0</v>
      </c>
      <c r="FQ109" s="9">
        <v>0</v>
      </c>
      <c r="FR109" s="9">
        <v>0</v>
      </c>
      <c r="FS109" s="9">
        <v>0</v>
      </c>
      <c r="FT109" s="9">
        <v>0</v>
      </c>
      <c r="FU109" s="9">
        <v>0</v>
      </c>
      <c r="FV109" s="9">
        <v>0</v>
      </c>
      <c r="FW109" s="9">
        <v>0</v>
      </c>
      <c r="FX109" s="9">
        <v>0</v>
      </c>
      <c r="FY109" s="9">
        <v>0</v>
      </c>
      <c r="FZ109" s="9">
        <v>0</v>
      </c>
      <c r="GA109" s="9">
        <v>0</v>
      </c>
      <c r="GB109" s="9">
        <v>0</v>
      </c>
      <c r="GC109" s="9">
        <v>0</v>
      </c>
      <c r="GD109" s="9">
        <v>0</v>
      </c>
      <c r="GE109" s="9">
        <v>0</v>
      </c>
      <c r="GF109" s="9">
        <v>0</v>
      </c>
      <c r="GG109" s="9">
        <v>0</v>
      </c>
      <c r="GH109" s="9">
        <v>0</v>
      </c>
      <c r="GI109" s="9">
        <v>0</v>
      </c>
      <c r="GJ109" s="9">
        <v>0</v>
      </c>
      <c r="GK109" s="9">
        <v>5068</v>
      </c>
      <c r="GL109" s="9">
        <v>32243</v>
      </c>
      <c r="GM109" s="9">
        <v>0</v>
      </c>
      <c r="GN109" s="9">
        <v>0</v>
      </c>
      <c r="GO109" s="9">
        <v>0</v>
      </c>
      <c r="GP109" s="9">
        <v>13594857</v>
      </c>
      <c r="GQ109" s="9">
        <v>13594857</v>
      </c>
      <c r="GR109" s="9">
        <v>0</v>
      </c>
      <c r="GS109" s="9">
        <v>0</v>
      </c>
      <c r="GT109" s="9">
        <v>0</v>
      </c>
      <c r="GU109" s="9">
        <v>0</v>
      </c>
      <c r="GV109" s="9">
        <v>0</v>
      </c>
      <c r="GW109" s="9">
        <v>0</v>
      </c>
      <c r="GX109" s="9">
        <v>0</v>
      </c>
      <c r="GY109" s="9">
        <v>0</v>
      </c>
      <c r="GZ109" s="9">
        <v>0</v>
      </c>
      <c r="HA109" s="9">
        <v>0</v>
      </c>
      <c r="HB109" s="9">
        <v>300501363</v>
      </c>
      <c r="HC109" s="9">
        <v>4.4742999999999998E-2</v>
      </c>
      <c r="HD109" s="9">
        <v>219105</v>
      </c>
      <c r="HE109" s="9">
        <v>0</v>
      </c>
      <c r="HF109" s="9">
        <v>0</v>
      </c>
      <c r="HG109" s="9">
        <v>0</v>
      </c>
      <c r="HH109" s="9">
        <v>0</v>
      </c>
      <c r="HI109" s="9">
        <v>0</v>
      </c>
      <c r="HJ109" s="9">
        <v>0</v>
      </c>
      <c r="HK109" s="9">
        <v>0</v>
      </c>
      <c r="HL109" s="9">
        <v>0</v>
      </c>
      <c r="HM109" s="9">
        <v>0</v>
      </c>
      <c r="HN109" s="9">
        <v>0</v>
      </c>
      <c r="HO109" s="9">
        <v>0</v>
      </c>
      <c r="HP109" s="9">
        <v>0</v>
      </c>
      <c r="HQ109" s="9">
        <v>0</v>
      </c>
      <c r="HR109" s="9">
        <v>0</v>
      </c>
      <c r="HS109" s="9">
        <v>0</v>
      </c>
      <c r="HT109" s="9">
        <v>0</v>
      </c>
      <c r="HU109" s="9">
        <v>0</v>
      </c>
      <c r="HV109" s="9">
        <v>0</v>
      </c>
      <c r="HW109" s="9">
        <v>0</v>
      </c>
      <c r="HX109" s="9">
        <v>0</v>
      </c>
      <c r="HY109" s="9">
        <v>0</v>
      </c>
      <c r="HZ109" s="9">
        <v>0</v>
      </c>
      <c r="IA109" s="9">
        <v>0</v>
      </c>
      <c r="IB109" s="9">
        <v>0</v>
      </c>
      <c r="IC109" s="9">
        <v>0</v>
      </c>
      <c r="ID109" s="9">
        <v>0</v>
      </c>
      <c r="IE109" s="9">
        <v>0</v>
      </c>
      <c r="IF109" s="9">
        <v>0</v>
      </c>
      <c r="IG109" s="9">
        <v>0</v>
      </c>
      <c r="IH109" s="9">
        <v>0</v>
      </c>
      <c r="II109" s="9">
        <v>0</v>
      </c>
      <c r="IJ109" s="9">
        <v>0</v>
      </c>
      <c r="IK109" s="9">
        <v>0</v>
      </c>
      <c r="IL109" s="9">
        <v>0</v>
      </c>
      <c r="IM109" s="9">
        <v>0</v>
      </c>
      <c r="IN109" s="9">
        <v>0</v>
      </c>
      <c r="IO109" s="9">
        <v>0</v>
      </c>
      <c r="IP109" s="9">
        <v>0</v>
      </c>
      <c r="IQ109" s="9">
        <v>0</v>
      </c>
      <c r="IR109" s="9">
        <v>0</v>
      </c>
      <c r="IS109" s="9">
        <v>0</v>
      </c>
      <c r="IT109" s="9">
        <v>0</v>
      </c>
      <c r="IU109" s="9">
        <v>0</v>
      </c>
      <c r="IV109" s="9">
        <v>0</v>
      </c>
      <c r="IW109" s="9">
        <v>0</v>
      </c>
      <c r="IX109" s="9">
        <v>0</v>
      </c>
      <c r="IY109" s="9">
        <v>0</v>
      </c>
      <c r="IZ109" s="9">
        <v>0</v>
      </c>
      <c r="JA109" s="9">
        <v>0</v>
      </c>
      <c r="JB109" s="9">
        <v>0</v>
      </c>
      <c r="JC109" s="9">
        <v>0</v>
      </c>
      <c r="JD109" s="9">
        <v>0</v>
      </c>
      <c r="JE109" s="9">
        <v>0</v>
      </c>
      <c r="JF109" s="9">
        <v>0</v>
      </c>
      <c r="JG109" s="9">
        <v>0</v>
      </c>
      <c r="JH109" s="9">
        <v>0</v>
      </c>
      <c r="JI109" s="9">
        <v>0</v>
      </c>
      <c r="JJ109" s="9">
        <v>0</v>
      </c>
      <c r="JK109" s="9">
        <v>0</v>
      </c>
      <c r="JL109" s="9">
        <v>0</v>
      </c>
      <c r="JM109" s="9">
        <v>0</v>
      </c>
      <c r="JN109" s="9">
        <v>36832</v>
      </c>
      <c r="JO109" s="9">
        <v>0</v>
      </c>
      <c r="JP109" s="9">
        <v>0</v>
      </c>
      <c r="JQ109" s="9">
        <v>0</v>
      </c>
      <c r="JR109" s="9">
        <v>0</v>
      </c>
      <c r="JS109" s="9">
        <v>0</v>
      </c>
      <c r="JT109" s="9">
        <v>0</v>
      </c>
      <c r="JU109" s="9">
        <v>0</v>
      </c>
      <c r="JV109" s="9">
        <v>0</v>
      </c>
      <c r="JW109" s="9">
        <v>0</v>
      </c>
      <c r="JX109" s="9">
        <v>0</v>
      </c>
      <c r="JY109" s="9">
        <v>0</v>
      </c>
      <c r="JZ109" s="9">
        <v>0</v>
      </c>
      <c r="KA109" s="9">
        <v>0</v>
      </c>
      <c r="KB109" s="9">
        <v>0</v>
      </c>
      <c r="KC109" s="9">
        <v>0</v>
      </c>
      <c r="KD109" s="9">
        <v>0</v>
      </c>
      <c r="KE109" s="9">
        <v>0</v>
      </c>
      <c r="KF109" s="9">
        <v>0</v>
      </c>
      <c r="KG109" s="9">
        <v>0</v>
      </c>
      <c r="KH109" s="9">
        <v>0</v>
      </c>
      <c r="KI109" s="9">
        <v>0</v>
      </c>
    </row>
    <row r="110" spans="1:295" x14ac:dyDescent="0.25">
      <c r="A110" s="9">
        <v>101855</v>
      </c>
      <c r="B110" s="9">
        <v>36871</v>
      </c>
      <c r="C110" s="9">
        <v>35</v>
      </c>
      <c r="D110" s="9">
        <v>2023</v>
      </c>
      <c r="E110" s="9">
        <v>5392</v>
      </c>
      <c r="F110" s="9">
        <v>0</v>
      </c>
      <c r="G110" s="9">
        <v>0</v>
      </c>
      <c r="H110" s="9">
        <v>231.797</v>
      </c>
      <c r="I110" s="9">
        <v>231.797</v>
      </c>
      <c r="J110" s="9">
        <v>234.191</v>
      </c>
      <c r="K110" s="9">
        <v>0</v>
      </c>
      <c r="L110" s="9">
        <v>6547</v>
      </c>
      <c r="M110" s="9">
        <v>0</v>
      </c>
      <c r="N110" s="9">
        <v>0</v>
      </c>
      <c r="O110" s="9">
        <v>0</v>
      </c>
      <c r="P110" s="9">
        <v>226.09</v>
      </c>
      <c r="Q110" s="9">
        <v>0</v>
      </c>
      <c r="R110" s="9">
        <v>110088</v>
      </c>
      <c r="S110" s="9">
        <v>486.92200000000003</v>
      </c>
      <c r="T110" s="9">
        <v>0</v>
      </c>
      <c r="U110" s="9">
        <v>110088</v>
      </c>
      <c r="V110" s="9">
        <v>1.234</v>
      </c>
      <c r="W110" s="9">
        <v>808</v>
      </c>
      <c r="X110" s="9">
        <v>808</v>
      </c>
      <c r="Y110" s="9">
        <v>0</v>
      </c>
      <c r="Z110" s="9">
        <v>0</v>
      </c>
      <c r="AA110" s="9">
        <v>1</v>
      </c>
      <c r="AB110" s="9">
        <v>1</v>
      </c>
      <c r="AC110" s="9">
        <v>0</v>
      </c>
      <c r="AD110" s="9" t="s">
        <v>314</v>
      </c>
      <c r="AE110" s="9">
        <v>0</v>
      </c>
      <c r="AF110" s="9">
        <v>0</v>
      </c>
      <c r="AG110" s="9">
        <v>0</v>
      </c>
      <c r="AH110" s="9">
        <v>0</v>
      </c>
      <c r="AI110" s="9">
        <v>0</v>
      </c>
      <c r="AJ110" s="9">
        <v>5104</v>
      </c>
      <c r="AK110" s="9" t="s">
        <v>651</v>
      </c>
      <c r="AL110" s="9" t="s">
        <v>2</v>
      </c>
      <c r="AM110" s="9">
        <v>0</v>
      </c>
      <c r="AN110" s="9">
        <v>0</v>
      </c>
      <c r="AO110" s="9">
        <v>0</v>
      </c>
      <c r="AP110" s="9">
        <v>0</v>
      </c>
      <c r="AQ110" s="9">
        <v>0</v>
      </c>
      <c r="AR110" s="9">
        <v>0</v>
      </c>
      <c r="AS110" s="9">
        <v>0</v>
      </c>
      <c r="AT110" s="9">
        <v>0</v>
      </c>
      <c r="AU110" s="9">
        <v>0</v>
      </c>
      <c r="AV110" s="9">
        <v>-94698</v>
      </c>
      <c r="AW110" s="9">
        <v>2188820</v>
      </c>
      <c r="AX110" s="9">
        <v>2147535</v>
      </c>
      <c r="AY110" s="9">
        <v>2299579</v>
      </c>
      <c r="AZ110" s="9">
        <v>110088</v>
      </c>
      <c r="BA110" s="9">
        <v>0</v>
      </c>
      <c r="BB110" s="9">
        <v>0</v>
      </c>
      <c r="BC110" s="9">
        <v>0</v>
      </c>
      <c r="BD110" s="9">
        <v>0</v>
      </c>
      <c r="BE110" s="9">
        <v>0</v>
      </c>
      <c r="BF110" s="9">
        <v>1853120</v>
      </c>
      <c r="BG110" s="9">
        <v>0</v>
      </c>
      <c r="BH110" s="9">
        <v>0</v>
      </c>
      <c r="BI110" s="9">
        <v>0</v>
      </c>
      <c r="BJ110" s="9">
        <v>12</v>
      </c>
      <c r="BK110" s="9">
        <v>0</v>
      </c>
      <c r="BL110" s="9">
        <v>0</v>
      </c>
      <c r="BM110" s="9">
        <v>0</v>
      </c>
      <c r="BN110" s="9">
        <v>0</v>
      </c>
      <c r="BO110" s="9">
        <v>0</v>
      </c>
      <c r="BP110" s="9">
        <v>0</v>
      </c>
      <c r="BQ110" s="9">
        <v>5392</v>
      </c>
      <c r="BR110" s="9">
        <v>1</v>
      </c>
      <c r="BS110" s="9">
        <v>0</v>
      </c>
      <c r="BT110" s="9">
        <v>0</v>
      </c>
      <c r="BU110" s="9">
        <v>0</v>
      </c>
      <c r="BV110" s="9">
        <v>0</v>
      </c>
      <c r="BW110" s="9">
        <v>0</v>
      </c>
      <c r="BX110" s="9">
        <v>0</v>
      </c>
      <c r="BY110" s="9">
        <v>0</v>
      </c>
      <c r="BZ110" s="9">
        <v>0</v>
      </c>
      <c r="CA110" s="9">
        <v>0</v>
      </c>
      <c r="CB110" s="9">
        <v>0</v>
      </c>
      <c r="CC110" s="9">
        <v>0</v>
      </c>
      <c r="CD110" s="9">
        <v>0</v>
      </c>
      <c r="CE110" s="9">
        <v>0</v>
      </c>
      <c r="CF110" s="9">
        <v>0</v>
      </c>
      <c r="CG110" s="9">
        <v>0</v>
      </c>
      <c r="CH110" s="9">
        <v>41285</v>
      </c>
      <c r="CI110" s="9">
        <v>0</v>
      </c>
      <c r="CJ110" s="9">
        <v>4</v>
      </c>
      <c r="CK110" s="9">
        <v>0</v>
      </c>
      <c r="CL110" s="9">
        <v>0</v>
      </c>
      <c r="CM110" s="9">
        <v>0</v>
      </c>
      <c r="CN110" s="9">
        <v>0</v>
      </c>
      <c r="CO110" s="9">
        <v>0</v>
      </c>
      <c r="CP110" s="9">
        <v>0</v>
      </c>
      <c r="CQ110" s="9">
        <v>0</v>
      </c>
      <c r="CR110" s="9">
        <v>214.76100000000002</v>
      </c>
      <c r="CS110" s="9">
        <v>0</v>
      </c>
      <c r="CT110" s="9">
        <v>0</v>
      </c>
      <c r="CU110" s="9">
        <v>0</v>
      </c>
      <c r="CV110" s="9">
        <v>0</v>
      </c>
      <c r="CW110" s="9">
        <v>0</v>
      </c>
      <c r="CX110" s="9">
        <v>0</v>
      </c>
      <c r="CY110" s="9">
        <v>0</v>
      </c>
      <c r="CZ110" s="9">
        <v>0</v>
      </c>
      <c r="DA110" s="9">
        <v>1</v>
      </c>
      <c r="DB110" s="9">
        <v>1517575</v>
      </c>
      <c r="DC110" s="9">
        <v>0</v>
      </c>
      <c r="DD110" s="9">
        <v>0</v>
      </c>
      <c r="DE110" s="9">
        <v>324731</v>
      </c>
      <c r="DF110" s="9">
        <v>324731</v>
      </c>
      <c r="DG110" s="9">
        <v>248</v>
      </c>
      <c r="DH110" s="9">
        <v>0</v>
      </c>
      <c r="DI110" s="9">
        <v>0</v>
      </c>
      <c r="DJ110" s="9">
        <v>0</v>
      </c>
      <c r="DK110" s="9">
        <v>5392</v>
      </c>
      <c r="DL110" s="9">
        <v>0</v>
      </c>
      <c r="DM110" s="9">
        <v>60904</v>
      </c>
      <c r="DN110" s="9">
        <v>0</v>
      </c>
      <c r="DO110" s="9">
        <v>0</v>
      </c>
      <c r="DP110" s="9">
        <v>0</v>
      </c>
      <c r="DQ110" s="9">
        <v>0</v>
      </c>
      <c r="DR110" s="9">
        <v>0</v>
      </c>
      <c r="DS110" s="9">
        <v>0</v>
      </c>
      <c r="DT110" s="9">
        <v>0</v>
      </c>
      <c r="DU110" s="9">
        <v>0</v>
      </c>
      <c r="DV110" s="9">
        <v>0</v>
      </c>
      <c r="DW110" s="9">
        <v>0</v>
      </c>
      <c r="DX110" s="9">
        <v>0</v>
      </c>
      <c r="DY110" s="9">
        <v>0</v>
      </c>
      <c r="DZ110" s="9">
        <v>0</v>
      </c>
      <c r="EA110" s="9">
        <v>0</v>
      </c>
      <c r="EB110" s="9">
        <v>0</v>
      </c>
      <c r="EC110" s="9">
        <v>0.97500000000000009</v>
      </c>
      <c r="ED110" s="9">
        <v>7022</v>
      </c>
      <c r="EE110" s="9">
        <v>0</v>
      </c>
      <c r="EF110" s="9">
        <v>0</v>
      </c>
      <c r="EG110" s="9">
        <v>0</v>
      </c>
      <c r="EH110" s="9">
        <v>53882</v>
      </c>
      <c r="EI110" s="9">
        <v>0</v>
      </c>
      <c r="EJ110" s="9">
        <v>0</v>
      </c>
      <c r="EK110" s="9">
        <v>1.87</v>
      </c>
      <c r="EL110" s="9">
        <v>0</v>
      </c>
      <c r="EM110" s="9">
        <v>0</v>
      </c>
      <c r="EN110" s="9">
        <v>0.52400000000000002</v>
      </c>
      <c r="EO110" s="9">
        <v>0</v>
      </c>
      <c r="EP110" s="9">
        <v>0</v>
      </c>
      <c r="EQ110" s="9">
        <v>2.3940000000000001</v>
      </c>
      <c r="ER110" s="9">
        <v>0</v>
      </c>
      <c r="ES110" s="9">
        <v>8.23</v>
      </c>
      <c r="ET110" s="9">
        <v>0</v>
      </c>
      <c r="EU110" s="9">
        <v>110088</v>
      </c>
      <c r="EV110" s="9">
        <v>0</v>
      </c>
      <c r="EW110" s="9">
        <v>0</v>
      </c>
      <c r="EX110" s="9">
        <v>0</v>
      </c>
      <c r="EY110" s="9">
        <v>0</v>
      </c>
      <c r="EZ110" s="9">
        <v>1799815</v>
      </c>
      <c r="FA110" s="9">
        <v>0</v>
      </c>
      <c r="FB110" s="9">
        <v>1909903</v>
      </c>
      <c r="FC110" s="9">
        <v>0.97326799999999991</v>
      </c>
      <c r="FD110" s="9">
        <v>0</v>
      </c>
      <c r="FE110" s="9">
        <v>286673</v>
      </c>
      <c r="FF110" s="9">
        <v>61047</v>
      </c>
      <c r="FG110" s="9">
        <v>5.8088000000000001E-2</v>
      </c>
      <c r="FH110" s="9">
        <v>5.2622999999999996E-2</v>
      </c>
      <c r="FI110" s="9">
        <v>0</v>
      </c>
      <c r="FJ110" s="9">
        <v>0</v>
      </c>
      <c r="FK110" s="9">
        <v>363.09200000000004</v>
      </c>
      <c r="FL110" s="9">
        <v>2298908</v>
      </c>
      <c r="FM110" s="9">
        <v>0</v>
      </c>
      <c r="FN110" s="9">
        <v>0</v>
      </c>
      <c r="FO110" s="9">
        <v>5885</v>
      </c>
      <c r="FP110" s="9">
        <v>0</v>
      </c>
      <c r="FQ110" s="9">
        <v>5885</v>
      </c>
      <c r="FR110" s="9">
        <v>5885</v>
      </c>
      <c r="FS110" s="9">
        <v>0</v>
      </c>
      <c r="FT110" s="9">
        <v>0</v>
      </c>
      <c r="FU110" s="9">
        <v>0</v>
      </c>
      <c r="FV110" s="9">
        <v>0</v>
      </c>
      <c r="FW110" s="9">
        <v>0</v>
      </c>
      <c r="FX110" s="9">
        <v>0</v>
      </c>
      <c r="FY110" s="9">
        <v>0</v>
      </c>
      <c r="FZ110" s="9">
        <v>0</v>
      </c>
      <c r="GA110" s="9">
        <v>0</v>
      </c>
      <c r="GB110" s="9">
        <v>0</v>
      </c>
      <c r="GC110" s="9">
        <v>0</v>
      </c>
      <c r="GD110" s="9">
        <v>0</v>
      </c>
      <c r="GE110" s="9">
        <v>0</v>
      </c>
      <c r="GF110" s="9">
        <v>0</v>
      </c>
      <c r="GG110" s="9">
        <v>0</v>
      </c>
      <c r="GH110" s="9">
        <v>0</v>
      </c>
      <c r="GI110" s="9">
        <v>0</v>
      </c>
      <c r="GJ110" s="9">
        <v>0</v>
      </c>
      <c r="GK110" s="9">
        <v>5111</v>
      </c>
      <c r="GL110" s="9">
        <v>5112</v>
      </c>
      <c r="GM110" s="9">
        <v>0</v>
      </c>
      <c r="GN110" s="9">
        <v>11565</v>
      </c>
      <c r="GO110" s="9">
        <v>0</v>
      </c>
      <c r="GP110" s="9">
        <v>2257623</v>
      </c>
      <c r="GQ110" s="9">
        <v>2257623</v>
      </c>
      <c r="GR110" s="9">
        <v>0</v>
      </c>
      <c r="GS110" s="9">
        <v>0</v>
      </c>
      <c r="GT110" s="9">
        <v>0</v>
      </c>
      <c r="GU110" s="9">
        <v>0</v>
      </c>
      <c r="GV110" s="9">
        <v>0</v>
      </c>
      <c r="GW110" s="9">
        <v>0</v>
      </c>
      <c r="GX110" s="9">
        <v>0</v>
      </c>
      <c r="GY110" s="9">
        <v>0</v>
      </c>
      <c r="GZ110" s="9">
        <v>0</v>
      </c>
      <c r="HA110" s="9">
        <v>0</v>
      </c>
      <c r="HB110" s="9">
        <v>300501363</v>
      </c>
      <c r="HC110" s="9">
        <v>4.4742999999999998E-2</v>
      </c>
      <c r="HD110" s="9">
        <v>41285</v>
      </c>
      <c r="HE110" s="9">
        <v>0</v>
      </c>
      <c r="HF110" s="9">
        <v>0</v>
      </c>
      <c r="HG110" s="9">
        <v>0</v>
      </c>
      <c r="HH110" s="9">
        <v>0</v>
      </c>
      <c r="HI110" s="9">
        <v>0</v>
      </c>
      <c r="HJ110" s="9">
        <v>0</v>
      </c>
      <c r="HK110" s="9">
        <v>0</v>
      </c>
      <c r="HL110" s="9">
        <v>0</v>
      </c>
      <c r="HM110" s="9">
        <v>0</v>
      </c>
      <c r="HN110" s="9">
        <v>0</v>
      </c>
      <c r="HO110" s="9">
        <v>0</v>
      </c>
      <c r="HP110" s="9">
        <v>0</v>
      </c>
      <c r="HQ110" s="9">
        <v>0</v>
      </c>
      <c r="HR110" s="9">
        <v>0</v>
      </c>
      <c r="HS110" s="9">
        <v>0</v>
      </c>
      <c r="HT110" s="9">
        <v>0</v>
      </c>
      <c r="HU110" s="9">
        <v>0</v>
      </c>
      <c r="HV110" s="9">
        <v>0</v>
      </c>
      <c r="HW110" s="9">
        <v>0</v>
      </c>
      <c r="HX110" s="9">
        <v>0</v>
      </c>
      <c r="HY110" s="9">
        <v>0</v>
      </c>
      <c r="HZ110" s="9">
        <v>0</v>
      </c>
      <c r="IA110" s="9">
        <v>0</v>
      </c>
      <c r="IB110" s="9">
        <v>0</v>
      </c>
      <c r="IC110" s="9">
        <v>0</v>
      </c>
      <c r="ID110" s="9">
        <v>0</v>
      </c>
      <c r="IE110" s="9">
        <v>0</v>
      </c>
      <c r="IF110" s="9">
        <v>0</v>
      </c>
      <c r="IG110" s="9">
        <v>0</v>
      </c>
      <c r="IH110" s="9">
        <v>0</v>
      </c>
      <c r="II110" s="9">
        <v>0</v>
      </c>
      <c r="IJ110" s="9">
        <v>0</v>
      </c>
      <c r="IK110" s="9">
        <v>0</v>
      </c>
      <c r="IL110" s="9">
        <v>0</v>
      </c>
      <c r="IM110" s="9">
        <v>0</v>
      </c>
      <c r="IN110" s="9">
        <v>0</v>
      </c>
      <c r="IO110" s="9">
        <v>0</v>
      </c>
      <c r="IP110" s="9">
        <v>0</v>
      </c>
      <c r="IQ110" s="9">
        <v>0</v>
      </c>
      <c r="IR110" s="9">
        <v>0</v>
      </c>
      <c r="IS110" s="9">
        <v>0</v>
      </c>
      <c r="IT110" s="9">
        <v>0</v>
      </c>
      <c r="IU110" s="9">
        <v>0</v>
      </c>
      <c r="IV110" s="9">
        <v>0</v>
      </c>
      <c r="IW110" s="9">
        <v>0</v>
      </c>
      <c r="IX110" s="9">
        <v>0</v>
      </c>
      <c r="IY110" s="9">
        <v>0</v>
      </c>
      <c r="IZ110" s="9">
        <v>0</v>
      </c>
      <c r="JA110" s="9">
        <v>0</v>
      </c>
      <c r="JB110" s="9">
        <v>0</v>
      </c>
      <c r="JC110" s="9">
        <v>0</v>
      </c>
      <c r="JD110" s="9">
        <v>0</v>
      </c>
      <c r="JE110" s="9">
        <v>0</v>
      </c>
      <c r="JF110" s="9">
        <v>0</v>
      </c>
      <c r="JG110" s="9">
        <v>0</v>
      </c>
      <c r="JH110" s="9">
        <v>0</v>
      </c>
      <c r="JI110" s="9">
        <v>0</v>
      </c>
      <c r="JJ110" s="9">
        <v>0</v>
      </c>
      <c r="JK110" s="9">
        <v>0</v>
      </c>
      <c r="JL110" s="9">
        <v>0</v>
      </c>
      <c r="JM110" s="9">
        <v>0</v>
      </c>
      <c r="JN110" s="9">
        <v>36832</v>
      </c>
      <c r="JO110" s="9">
        <v>0</v>
      </c>
      <c r="JP110" s="9">
        <v>0</v>
      </c>
      <c r="JQ110" s="9">
        <v>0</v>
      </c>
      <c r="JR110" s="9">
        <v>0</v>
      </c>
      <c r="JS110" s="9">
        <v>0</v>
      </c>
      <c r="JT110" s="9">
        <v>0</v>
      </c>
      <c r="JU110" s="9">
        <v>0</v>
      </c>
      <c r="JV110" s="9">
        <v>0</v>
      </c>
      <c r="JW110" s="9">
        <v>0</v>
      </c>
      <c r="JX110" s="9">
        <v>0</v>
      </c>
      <c r="JY110" s="9">
        <v>0</v>
      </c>
      <c r="JZ110" s="9">
        <v>0</v>
      </c>
      <c r="KA110" s="9">
        <v>0</v>
      </c>
      <c r="KB110" s="9">
        <v>0</v>
      </c>
      <c r="KC110" s="9">
        <v>0</v>
      </c>
      <c r="KD110" s="9">
        <v>0</v>
      </c>
      <c r="KE110" s="9">
        <v>0</v>
      </c>
      <c r="KF110" s="9">
        <v>0</v>
      </c>
      <c r="KG110" s="9">
        <v>0</v>
      </c>
      <c r="KH110" s="9">
        <v>0</v>
      </c>
      <c r="KI110" s="9">
        <v>0</v>
      </c>
    </row>
    <row r="111" spans="1:295" x14ac:dyDescent="0.25">
      <c r="A111" s="9">
        <v>101856</v>
      </c>
      <c r="B111" s="9">
        <v>36871</v>
      </c>
      <c r="C111" s="9">
        <v>35</v>
      </c>
      <c r="D111" s="9">
        <v>2023</v>
      </c>
      <c r="E111" s="9">
        <v>5392</v>
      </c>
      <c r="F111" s="9">
        <v>0</v>
      </c>
      <c r="G111" s="9">
        <v>0</v>
      </c>
      <c r="H111" s="9">
        <v>630.13499999999999</v>
      </c>
      <c r="I111" s="9">
        <v>630.13499999999999</v>
      </c>
      <c r="J111" s="9">
        <v>636.40899999999999</v>
      </c>
      <c r="K111" s="9">
        <v>0</v>
      </c>
      <c r="L111" s="9">
        <v>6547</v>
      </c>
      <c r="M111" s="9">
        <v>0</v>
      </c>
      <c r="N111" s="9">
        <v>0</v>
      </c>
      <c r="O111" s="9">
        <v>0</v>
      </c>
      <c r="P111" s="9">
        <v>604.05799999999999</v>
      </c>
      <c r="Q111" s="9">
        <v>0</v>
      </c>
      <c r="R111" s="9">
        <v>294129</v>
      </c>
      <c r="S111" s="9">
        <v>486.92200000000003</v>
      </c>
      <c r="T111" s="9">
        <v>0</v>
      </c>
      <c r="U111" s="9">
        <v>294129</v>
      </c>
      <c r="V111" s="9">
        <v>561.87800000000004</v>
      </c>
      <c r="W111" s="9">
        <v>367862</v>
      </c>
      <c r="X111" s="9">
        <v>367862</v>
      </c>
      <c r="Y111" s="9">
        <v>0</v>
      </c>
      <c r="Z111" s="9">
        <v>0</v>
      </c>
      <c r="AA111" s="9">
        <v>1</v>
      </c>
      <c r="AB111" s="9">
        <v>1</v>
      </c>
      <c r="AC111" s="9">
        <v>0</v>
      </c>
      <c r="AD111" s="9" t="s">
        <v>314</v>
      </c>
      <c r="AE111" s="9">
        <v>0</v>
      </c>
      <c r="AF111" s="9">
        <v>0</v>
      </c>
      <c r="AG111" s="9">
        <v>0</v>
      </c>
      <c r="AH111" s="9">
        <v>0</v>
      </c>
      <c r="AI111" s="9">
        <v>0</v>
      </c>
      <c r="AJ111" s="9">
        <v>5104</v>
      </c>
      <c r="AK111" s="9" t="s">
        <v>651</v>
      </c>
      <c r="AL111" s="9" t="s">
        <v>33</v>
      </c>
      <c r="AM111" s="9">
        <v>0</v>
      </c>
      <c r="AN111" s="9">
        <v>0</v>
      </c>
      <c r="AO111" s="9">
        <v>0</v>
      </c>
      <c r="AP111" s="9">
        <v>0</v>
      </c>
      <c r="AQ111" s="9">
        <v>0</v>
      </c>
      <c r="AR111" s="9">
        <v>0</v>
      </c>
      <c r="AS111" s="9">
        <v>0</v>
      </c>
      <c r="AT111" s="9">
        <v>0</v>
      </c>
      <c r="AU111" s="9">
        <v>0</v>
      </c>
      <c r="AV111" s="9">
        <v>-857942</v>
      </c>
      <c r="AW111" s="9">
        <v>6349526</v>
      </c>
      <c r="AX111" s="9">
        <v>6237335</v>
      </c>
      <c r="AY111" s="9">
        <v>6405419</v>
      </c>
      <c r="AZ111" s="9">
        <v>294129</v>
      </c>
      <c r="BA111" s="9">
        <v>0</v>
      </c>
      <c r="BB111" s="9">
        <v>0</v>
      </c>
      <c r="BC111" s="9">
        <v>0</v>
      </c>
      <c r="BD111" s="9">
        <v>0</v>
      </c>
      <c r="BE111" s="9">
        <v>0</v>
      </c>
      <c r="BF111" s="9">
        <v>5375221</v>
      </c>
      <c r="BG111" s="9">
        <v>0</v>
      </c>
      <c r="BH111" s="9">
        <v>0</v>
      </c>
      <c r="BI111" s="9">
        <v>0</v>
      </c>
      <c r="BJ111" s="9">
        <v>12</v>
      </c>
      <c r="BK111" s="9">
        <v>0</v>
      </c>
      <c r="BL111" s="9">
        <v>0</v>
      </c>
      <c r="BM111" s="9">
        <v>0</v>
      </c>
      <c r="BN111" s="9">
        <v>0</v>
      </c>
      <c r="BO111" s="9">
        <v>0</v>
      </c>
      <c r="BP111" s="9">
        <v>0</v>
      </c>
      <c r="BQ111" s="9">
        <v>5392</v>
      </c>
      <c r="BR111" s="9">
        <v>1</v>
      </c>
      <c r="BS111" s="9">
        <v>0</v>
      </c>
      <c r="BT111" s="9">
        <v>0</v>
      </c>
      <c r="BU111" s="9">
        <v>0</v>
      </c>
      <c r="BV111" s="9">
        <v>0</v>
      </c>
      <c r="BW111" s="9">
        <v>0</v>
      </c>
      <c r="BX111" s="9">
        <v>0</v>
      </c>
      <c r="BY111" s="9">
        <v>0</v>
      </c>
      <c r="BZ111" s="9">
        <v>0</v>
      </c>
      <c r="CA111" s="9">
        <v>0</v>
      </c>
      <c r="CB111" s="9">
        <v>0</v>
      </c>
      <c r="CC111" s="9">
        <v>0</v>
      </c>
      <c r="CD111" s="9">
        <v>0</v>
      </c>
      <c r="CE111" s="9">
        <v>0</v>
      </c>
      <c r="CF111" s="9">
        <v>0</v>
      </c>
      <c r="CG111" s="9">
        <v>0</v>
      </c>
      <c r="CH111" s="9">
        <v>112191</v>
      </c>
      <c r="CI111" s="9">
        <v>0</v>
      </c>
      <c r="CJ111" s="9">
        <v>4</v>
      </c>
      <c r="CK111" s="9">
        <v>0</v>
      </c>
      <c r="CL111" s="9">
        <v>0</v>
      </c>
      <c r="CM111" s="9">
        <v>0</v>
      </c>
      <c r="CN111" s="9">
        <v>0</v>
      </c>
      <c r="CO111" s="9">
        <v>0</v>
      </c>
      <c r="CP111" s="9">
        <v>0</v>
      </c>
      <c r="CQ111" s="9">
        <v>0</v>
      </c>
      <c r="CR111" s="9">
        <v>574.27800000000002</v>
      </c>
      <c r="CS111" s="9">
        <v>0</v>
      </c>
      <c r="CT111" s="9">
        <v>0</v>
      </c>
      <c r="CU111" s="9">
        <v>0</v>
      </c>
      <c r="CV111" s="9">
        <v>0</v>
      </c>
      <c r="CW111" s="9">
        <v>0</v>
      </c>
      <c r="CX111" s="9">
        <v>0</v>
      </c>
      <c r="CY111" s="9">
        <v>0</v>
      </c>
      <c r="CZ111" s="9">
        <v>0</v>
      </c>
      <c r="DA111" s="9">
        <v>1</v>
      </c>
      <c r="DB111" s="9">
        <v>4125494</v>
      </c>
      <c r="DC111" s="9">
        <v>0</v>
      </c>
      <c r="DD111" s="9">
        <v>0</v>
      </c>
      <c r="DE111" s="9">
        <v>898248</v>
      </c>
      <c r="DF111" s="9">
        <v>898248</v>
      </c>
      <c r="DG111" s="9">
        <v>686</v>
      </c>
      <c r="DH111" s="9">
        <v>0</v>
      </c>
      <c r="DI111" s="9">
        <v>0</v>
      </c>
      <c r="DJ111" s="9">
        <v>0</v>
      </c>
      <c r="DK111" s="9">
        <v>5392</v>
      </c>
      <c r="DL111" s="9">
        <v>0</v>
      </c>
      <c r="DM111" s="9">
        <v>131254</v>
      </c>
      <c r="DN111" s="9">
        <v>0</v>
      </c>
      <c r="DO111" s="9">
        <v>0</v>
      </c>
      <c r="DP111" s="9">
        <v>0</v>
      </c>
      <c r="DQ111" s="9">
        <v>0</v>
      </c>
      <c r="DR111" s="9">
        <v>0</v>
      </c>
      <c r="DS111" s="9">
        <v>0</v>
      </c>
      <c r="DT111" s="9">
        <v>0</v>
      </c>
      <c r="DU111" s="9">
        <v>0</v>
      </c>
      <c r="DV111" s="9">
        <v>0</v>
      </c>
      <c r="DW111" s="9">
        <v>0</v>
      </c>
      <c r="DX111" s="9">
        <v>0</v>
      </c>
      <c r="DY111" s="9">
        <v>0</v>
      </c>
      <c r="DZ111" s="9">
        <v>0</v>
      </c>
      <c r="EA111" s="9">
        <v>0</v>
      </c>
      <c r="EB111" s="9">
        <v>0</v>
      </c>
      <c r="EC111" s="9">
        <v>0</v>
      </c>
      <c r="ED111" s="9">
        <v>0</v>
      </c>
      <c r="EE111" s="9">
        <v>0</v>
      </c>
      <c r="EF111" s="9">
        <v>0</v>
      </c>
      <c r="EG111" s="9">
        <v>0</v>
      </c>
      <c r="EH111" s="9">
        <v>131254</v>
      </c>
      <c r="EI111" s="9">
        <v>0</v>
      </c>
      <c r="EJ111" s="9">
        <v>0</v>
      </c>
      <c r="EK111" s="9">
        <v>5.6610000000000005</v>
      </c>
      <c r="EL111" s="9">
        <v>0</v>
      </c>
      <c r="EM111" s="9">
        <v>0</v>
      </c>
      <c r="EN111" s="9">
        <v>0.61299999999999999</v>
      </c>
      <c r="EO111" s="9">
        <v>0</v>
      </c>
      <c r="EP111" s="9">
        <v>0</v>
      </c>
      <c r="EQ111" s="9">
        <v>6.274</v>
      </c>
      <c r="ER111" s="9">
        <v>0</v>
      </c>
      <c r="ES111" s="9">
        <v>20.048000000000002</v>
      </c>
      <c r="ET111" s="9">
        <v>0</v>
      </c>
      <c r="EU111" s="9">
        <v>294129</v>
      </c>
      <c r="EV111" s="9">
        <v>0</v>
      </c>
      <c r="EW111" s="9">
        <v>0</v>
      </c>
      <c r="EX111" s="9">
        <v>0</v>
      </c>
      <c r="EY111" s="9">
        <v>0</v>
      </c>
      <c r="EZ111" s="9">
        <v>5228729</v>
      </c>
      <c r="FA111" s="9">
        <v>0</v>
      </c>
      <c r="FB111" s="9">
        <v>5522858</v>
      </c>
      <c r="FC111" s="9">
        <v>0.97326799999999991</v>
      </c>
      <c r="FD111" s="9">
        <v>0</v>
      </c>
      <c r="FE111" s="9">
        <v>831532</v>
      </c>
      <c r="FF111" s="9">
        <v>177074</v>
      </c>
      <c r="FG111" s="9">
        <v>5.8088000000000001E-2</v>
      </c>
      <c r="FH111" s="9">
        <v>5.2622999999999996E-2</v>
      </c>
      <c r="FI111" s="9">
        <v>0</v>
      </c>
      <c r="FJ111" s="9">
        <v>0</v>
      </c>
      <c r="FK111" s="9">
        <v>1053.1960000000001</v>
      </c>
      <c r="FL111" s="9">
        <v>6643655</v>
      </c>
      <c r="FM111" s="9">
        <v>0</v>
      </c>
      <c r="FN111" s="9">
        <v>0</v>
      </c>
      <c r="FO111" s="9">
        <v>0</v>
      </c>
      <c r="FP111" s="9">
        <v>0</v>
      </c>
      <c r="FQ111" s="9">
        <v>0</v>
      </c>
      <c r="FR111" s="9">
        <v>0</v>
      </c>
      <c r="FS111" s="9">
        <v>0</v>
      </c>
      <c r="FT111" s="9">
        <v>0</v>
      </c>
      <c r="FU111" s="9">
        <v>0</v>
      </c>
      <c r="FV111" s="9">
        <v>0</v>
      </c>
      <c r="FW111" s="9">
        <v>0</v>
      </c>
      <c r="FX111" s="9">
        <v>0</v>
      </c>
      <c r="FY111" s="9">
        <v>0</v>
      </c>
      <c r="FZ111" s="9">
        <v>0</v>
      </c>
      <c r="GA111" s="9">
        <v>0</v>
      </c>
      <c r="GB111" s="9">
        <v>0</v>
      </c>
      <c r="GC111" s="9">
        <v>0</v>
      </c>
      <c r="GD111" s="9">
        <v>0</v>
      </c>
      <c r="GE111" s="9">
        <v>0</v>
      </c>
      <c r="GF111" s="9">
        <v>0</v>
      </c>
      <c r="GG111" s="9">
        <v>0</v>
      </c>
      <c r="GH111" s="9">
        <v>0</v>
      </c>
      <c r="GI111" s="9">
        <v>0</v>
      </c>
      <c r="GJ111" s="9">
        <v>0</v>
      </c>
      <c r="GK111" s="9">
        <v>5043</v>
      </c>
      <c r="GL111" s="9">
        <v>9296</v>
      </c>
      <c r="GM111" s="9">
        <v>0</v>
      </c>
      <c r="GN111" s="9">
        <v>0</v>
      </c>
      <c r="GO111" s="9">
        <v>0</v>
      </c>
      <c r="GP111" s="9">
        <v>6531464</v>
      </c>
      <c r="GQ111" s="9">
        <v>6531464</v>
      </c>
      <c r="GR111" s="9">
        <v>0</v>
      </c>
      <c r="GS111" s="9">
        <v>0</v>
      </c>
      <c r="GT111" s="9">
        <v>0</v>
      </c>
      <c r="GU111" s="9">
        <v>0</v>
      </c>
      <c r="GV111" s="9">
        <v>0</v>
      </c>
      <c r="GW111" s="9">
        <v>0</v>
      </c>
      <c r="GX111" s="9">
        <v>0</v>
      </c>
      <c r="GY111" s="9">
        <v>0</v>
      </c>
      <c r="GZ111" s="9">
        <v>0</v>
      </c>
      <c r="HA111" s="9">
        <v>0</v>
      </c>
      <c r="HB111" s="9">
        <v>300501363</v>
      </c>
      <c r="HC111" s="9">
        <v>4.4742999999999998E-2</v>
      </c>
      <c r="HD111" s="9">
        <v>112191</v>
      </c>
      <c r="HE111" s="9">
        <v>0</v>
      </c>
      <c r="HF111" s="9">
        <v>0</v>
      </c>
      <c r="HG111" s="9">
        <v>0</v>
      </c>
      <c r="HH111" s="9">
        <v>0</v>
      </c>
      <c r="HI111" s="9">
        <v>0</v>
      </c>
      <c r="HJ111" s="9">
        <v>0</v>
      </c>
      <c r="HK111" s="9">
        <v>0</v>
      </c>
      <c r="HL111" s="9">
        <v>0</v>
      </c>
      <c r="HM111" s="9">
        <v>0</v>
      </c>
      <c r="HN111" s="9">
        <v>0</v>
      </c>
      <c r="HO111" s="9">
        <v>0</v>
      </c>
      <c r="HP111" s="9">
        <v>0</v>
      </c>
      <c r="HQ111" s="9">
        <v>0</v>
      </c>
      <c r="HR111" s="9">
        <v>0</v>
      </c>
      <c r="HS111" s="9">
        <v>0</v>
      </c>
      <c r="HT111" s="9">
        <v>0</v>
      </c>
      <c r="HU111" s="9">
        <v>0</v>
      </c>
      <c r="HV111" s="9">
        <v>0</v>
      </c>
      <c r="HW111" s="9">
        <v>0</v>
      </c>
      <c r="HX111" s="9">
        <v>0</v>
      </c>
      <c r="HY111" s="9">
        <v>0</v>
      </c>
      <c r="HZ111" s="9">
        <v>0</v>
      </c>
      <c r="IA111" s="9">
        <v>0</v>
      </c>
      <c r="IB111" s="9">
        <v>0</v>
      </c>
      <c r="IC111" s="9">
        <v>0</v>
      </c>
      <c r="ID111" s="9">
        <v>0</v>
      </c>
      <c r="IE111" s="9">
        <v>422.57600000000002</v>
      </c>
      <c r="IF111" s="9">
        <v>0</v>
      </c>
      <c r="IG111" s="9">
        <v>0</v>
      </c>
      <c r="IH111" s="9">
        <v>0</v>
      </c>
      <c r="II111" s="9">
        <v>0</v>
      </c>
      <c r="IJ111" s="9">
        <v>0</v>
      </c>
      <c r="IK111" s="9">
        <v>0</v>
      </c>
      <c r="IL111" s="9">
        <v>0</v>
      </c>
      <c r="IM111" s="9">
        <v>0</v>
      </c>
      <c r="IN111" s="9">
        <v>0</v>
      </c>
      <c r="IO111" s="9">
        <v>0</v>
      </c>
      <c r="IP111" s="9">
        <v>0</v>
      </c>
      <c r="IQ111" s="9">
        <v>0</v>
      </c>
      <c r="IR111" s="9">
        <v>0</v>
      </c>
      <c r="IS111" s="9">
        <v>0</v>
      </c>
      <c r="IT111" s="9">
        <v>0</v>
      </c>
      <c r="IU111" s="9">
        <v>0</v>
      </c>
      <c r="IV111" s="9">
        <v>0</v>
      </c>
      <c r="IW111" s="9">
        <v>0</v>
      </c>
      <c r="IX111" s="9">
        <v>0</v>
      </c>
      <c r="IY111" s="9">
        <v>0</v>
      </c>
      <c r="IZ111" s="9">
        <v>0</v>
      </c>
      <c r="JA111" s="9">
        <v>0</v>
      </c>
      <c r="JB111" s="9">
        <v>0</v>
      </c>
      <c r="JC111" s="9">
        <v>0</v>
      </c>
      <c r="JD111" s="9">
        <v>0</v>
      </c>
      <c r="JE111" s="9">
        <v>0</v>
      </c>
      <c r="JF111" s="9">
        <v>0</v>
      </c>
      <c r="JG111" s="9">
        <v>0</v>
      </c>
      <c r="JH111" s="9">
        <v>0</v>
      </c>
      <c r="JI111" s="9">
        <v>0</v>
      </c>
      <c r="JJ111" s="9">
        <v>0</v>
      </c>
      <c r="JK111" s="9">
        <v>0</v>
      </c>
      <c r="JL111" s="9">
        <v>0</v>
      </c>
      <c r="JM111" s="9">
        <v>0</v>
      </c>
      <c r="JN111" s="9">
        <v>36832</v>
      </c>
      <c r="JO111" s="9">
        <v>0</v>
      </c>
      <c r="JP111" s="9">
        <v>0</v>
      </c>
      <c r="JQ111" s="9">
        <v>0</v>
      </c>
      <c r="JR111" s="9">
        <v>0</v>
      </c>
      <c r="JS111" s="9">
        <v>0</v>
      </c>
      <c r="JT111" s="9">
        <v>0</v>
      </c>
      <c r="JU111" s="9">
        <v>0</v>
      </c>
      <c r="JV111" s="9">
        <v>0</v>
      </c>
      <c r="JW111" s="9">
        <v>0</v>
      </c>
      <c r="JX111" s="9">
        <v>0</v>
      </c>
      <c r="JY111" s="9">
        <v>0</v>
      </c>
      <c r="JZ111" s="9">
        <v>0</v>
      </c>
      <c r="KA111" s="9">
        <v>0</v>
      </c>
      <c r="KB111" s="9">
        <v>0</v>
      </c>
      <c r="KC111" s="9">
        <v>0</v>
      </c>
      <c r="KD111" s="9">
        <v>0</v>
      </c>
      <c r="KE111" s="9">
        <v>0</v>
      </c>
      <c r="KF111" s="9">
        <v>0</v>
      </c>
      <c r="KG111" s="9">
        <v>0</v>
      </c>
      <c r="KH111" s="9">
        <v>0</v>
      </c>
      <c r="KI111" s="9">
        <v>0</v>
      </c>
    </row>
    <row r="112" spans="1:295" x14ac:dyDescent="0.25">
      <c r="A112" s="9">
        <v>101858</v>
      </c>
      <c r="B112" s="9">
        <v>36871</v>
      </c>
      <c r="C112" s="9">
        <v>35</v>
      </c>
      <c r="D112" s="9">
        <v>2023</v>
      </c>
      <c r="E112" s="9">
        <v>5392</v>
      </c>
      <c r="F112" s="9">
        <v>0</v>
      </c>
      <c r="G112" s="9">
        <v>0</v>
      </c>
      <c r="H112" s="9">
        <v>5452.8330000000005</v>
      </c>
      <c r="I112" s="9">
        <v>5452.8330000000005</v>
      </c>
      <c r="J112" s="9">
        <v>5712.3630000000003</v>
      </c>
      <c r="K112" s="9">
        <v>0</v>
      </c>
      <c r="L112" s="9">
        <v>6547</v>
      </c>
      <c r="M112" s="9">
        <v>0</v>
      </c>
      <c r="N112" s="9">
        <v>0</v>
      </c>
      <c r="O112" s="9">
        <v>0</v>
      </c>
      <c r="P112" s="9">
        <v>5264.3440000000001</v>
      </c>
      <c r="Q112" s="9">
        <v>0</v>
      </c>
      <c r="R112" s="9">
        <v>2563325</v>
      </c>
      <c r="S112" s="9">
        <v>486.92200000000003</v>
      </c>
      <c r="T112" s="9">
        <v>0</v>
      </c>
      <c r="U112" s="9">
        <v>2563325</v>
      </c>
      <c r="V112" s="9">
        <v>1332.6210000000001</v>
      </c>
      <c r="W112" s="9">
        <v>872467</v>
      </c>
      <c r="X112" s="9">
        <v>872467</v>
      </c>
      <c r="Y112" s="9">
        <v>0</v>
      </c>
      <c r="Z112" s="9">
        <v>0</v>
      </c>
      <c r="AA112" s="9">
        <v>1</v>
      </c>
      <c r="AB112" s="9">
        <v>1</v>
      </c>
      <c r="AC112" s="9">
        <v>0</v>
      </c>
      <c r="AD112" s="9" t="s">
        <v>314</v>
      </c>
      <c r="AE112" s="9">
        <v>0</v>
      </c>
      <c r="AF112" s="9">
        <v>0</v>
      </c>
      <c r="AG112" s="9">
        <v>0</v>
      </c>
      <c r="AH112" s="9">
        <v>0</v>
      </c>
      <c r="AI112" s="9">
        <v>0</v>
      </c>
      <c r="AJ112" s="9">
        <v>5104</v>
      </c>
      <c r="AK112" s="9" t="s">
        <v>651</v>
      </c>
      <c r="AL112" s="9" t="s">
        <v>59</v>
      </c>
      <c r="AM112" s="9">
        <v>0</v>
      </c>
      <c r="AN112" s="9">
        <v>0</v>
      </c>
      <c r="AO112" s="9">
        <v>0</v>
      </c>
      <c r="AP112" s="9">
        <v>0</v>
      </c>
      <c r="AQ112" s="9">
        <v>0</v>
      </c>
      <c r="AR112" s="9">
        <v>0</v>
      </c>
      <c r="AS112" s="9">
        <v>0</v>
      </c>
      <c r="AT112" s="9">
        <v>0</v>
      </c>
      <c r="AU112" s="9">
        <v>0</v>
      </c>
      <c r="AV112" s="9">
        <v>-763992</v>
      </c>
      <c r="AW112" s="9">
        <v>54038849</v>
      </c>
      <c r="AX112" s="9">
        <v>52561680</v>
      </c>
      <c r="AY112" s="9">
        <v>57636646</v>
      </c>
      <c r="AZ112" s="9">
        <v>2982104</v>
      </c>
      <c r="BA112" s="9">
        <v>102.75</v>
      </c>
      <c r="BB112" s="9">
        <v>224393</v>
      </c>
      <c r="BC112" s="9">
        <v>224393</v>
      </c>
      <c r="BD112" s="9">
        <v>285.61799999999999</v>
      </c>
      <c r="BE112" s="9">
        <v>0</v>
      </c>
      <c r="BF112" s="9">
        <v>45366404</v>
      </c>
      <c r="BG112" s="9">
        <v>0</v>
      </c>
      <c r="BH112" s="9">
        <v>1016.9440000000001</v>
      </c>
      <c r="BI112" s="9">
        <v>279660</v>
      </c>
      <c r="BJ112" s="9">
        <v>12</v>
      </c>
      <c r="BK112" s="9">
        <v>0</v>
      </c>
      <c r="BL112" s="9">
        <v>0</v>
      </c>
      <c r="BM112" s="9">
        <v>0</v>
      </c>
      <c r="BN112" s="9">
        <v>0</v>
      </c>
      <c r="BO112" s="9">
        <v>0</v>
      </c>
      <c r="BP112" s="9">
        <v>0</v>
      </c>
      <c r="BQ112" s="9">
        <v>5392</v>
      </c>
      <c r="BR112" s="9">
        <v>1</v>
      </c>
      <c r="BS112" s="9">
        <v>0</v>
      </c>
      <c r="BT112" s="9">
        <v>0</v>
      </c>
      <c r="BU112" s="9">
        <v>0</v>
      </c>
      <c r="BV112" s="9">
        <v>0</v>
      </c>
      <c r="BW112" s="9">
        <v>0</v>
      </c>
      <c r="BX112" s="9">
        <v>0</v>
      </c>
      <c r="BY112" s="9">
        <v>0</v>
      </c>
      <c r="BZ112" s="9">
        <v>0</v>
      </c>
      <c r="CA112" s="9">
        <v>139.119</v>
      </c>
      <c r="CB112" s="9">
        <v>139119</v>
      </c>
      <c r="CC112" s="9">
        <v>0</v>
      </c>
      <c r="CD112" s="9">
        <v>0</v>
      </c>
      <c r="CE112" s="9">
        <v>0</v>
      </c>
      <c r="CF112" s="9">
        <v>0</v>
      </c>
      <c r="CG112" s="9">
        <v>0</v>
      </c>
      <c r="CH112" s="9">
        <v>1058390</v>
      </c>
      <c r="CI112" s="9">
        <v>0</v>
      </c>
      <c r="CJ112" s="9">
        <v>4</v>
      </c>
      <c r="CK112" s="9">
        <v>0</v>
      </c>
      <c r="CL112" s="9">
        <v>0</v>
      </c>
      <c r="CM112" s="9">
        <v>0</v>
      </c>
      <c r="CN112" s="9">
        <v>0</v>
      </c>
      <c r="CO112" s="9">
        <v>0</v>
      </c>
      <c r="CP112" s="9">
        <v>0</v>
      </c>
      <c r="CQ112" s="9">
        <v>0</v>
      </c>
      <c r="CR112" s="9">
        <v>5129.9360000000006</v>
      </c>
      <c r="CS112" s="9">
        <v>0</v>
      </c>
      <c r="CT112" s="9">
        <v>0</v>
      </c>
      <c r="CU112" s="9">
        <v>0</v>
      </c>
      <c r="CV112" s="9">
        <v>0</v>
      </c>
      <c r="CW112" s="9">
        <v>0</v>
      </c>
      <c r="CX112" s="9">
        <v>0</v>
      </c>
      <c r="CY112" s="9">
        <v>0</v>
      </c>
      <c r="CZ112" s="9">
        <v>0</v>
      </c>
      <c r="DA112" s="9">
        <v>1</v>
      </c>
      <c r="DB112" s="9">
        <v>35699698</v>
      </c>
      <c r="DC112" s="9">
        <v>0</v>
      </c>
      <c r="DD112" s="9">
        <v>0</v>
      </c>
      <c r="DE112" s="9">
        <v>5289099</v>
      </c>
      <c r="DF112" s="9">
        <v>5289099</v>
      </c>
      <c r="DG112" s="9">
        <v>4039.33</v>
      </c>
      <c r="DH112" s="9">
        <v>0</v>
      </c>
      <c r="DI112" s="9">
        <v>0</v>
      </c>
      <c r="DJ112" s="9">
        <v>0</v>
      </c>
      <c r="DK112" s="9">
        <v>5392</v>
      </c>
      <c r="DL112" s="9">
        <v>0</v>
      </c>
      <c r="DM112" s="9">
        <v>3402551</v>
      </c>
      <c r="DN112" s="9">
        <v>0</v>
      </c>
      <c r="DO112" s="9">
        <v>2607</v>
      </c>
      <c r="DP112" s="9">
        <v>0</v>
      </c>
      <c r="DQ112" s="9">
        <v>0</v>
      </c>
      <c r="DR112" s="9">
        <v>0</v>
      </c>
      <c r="DS112" s="9">
        <v>0</v>
      </c>
      <c r="DT112" s="9">
        <v>0.157</v>
      </c>
      <c r="DU112" s="9">
        <v>0</v>
      </c>
      <c r="DV112" s="9">
        <v>0.02</v>
      </c>
      <c r="DW112" s="9">
        <v>0</v>
      </c>
      <c r="DX112" s="9">
        <v>0</v>
      </c>
      <c r="DY112" s="9">
        <v>0</v>
      </c>
      <c r="DZ112" s="9">
        <v>0.53100000000000003</v>
      </c>
      <c r="EA112" s="9">
        <v>0</v>
      </c>
      <c r="EB112" s="9">
        <v>0</v>
      </c>
      <c r="EC112" s="9">
        <v>95.51400000000001</v>
      </c>
      <c r="ED112" s="9">
        <v>687863</v>
      </c>
      <c r="EE112" s="9">
        <v>0</v>
      </c>
      <c r="EF112" s="9">
        <v>0</v>
      </c>
      <c r="EG112" s="9">
        <v>0</v>
      </c>
      <c r="EH112" s="9">
        <v>2712081</v>
      </c>
      <c r="EI112" s="9">
        <v>0</v>
      </c>
      <c r="EJ112" s="9">
        <v>0</v>
      </c>
      <c r="EK112" s="9">
        <v>104.03800000000001</v>
      </c>
      <c r="EL112" s="9">
        <v>0</v>
      </c>
      <c r="EM112" s="9">
        <v>19.243000000000002</v>
      </c>
      <c r="EN112" s="9">
        <v>8.7370000000000001</v>
      </c>
      <c r="EO112" s="9">
        <v>0</v>
      </c>
      <c r="EP112" s="9">
        <v>0</v>
      </c>
      <c r="EQ112" s="9">
        <v>132.33100000000002</v>
      </c>
      <c r="ER112" s="9">
        <v>0.313</v>
      </c>
      <c r="ES112" s="9">
        <v>414.24800000000005</v>
      </c>
      <c r="ET112" s="9">
        <v>51375</v>
      </c>
      <c r="EU112" s="9">
        <v>2982104</v>
      </c>
      <c r="EV112" s="9">
        <v>0</v>
      </c>
      <c r="EW112" s="9">
        <v>0</v>
      </c>
      <c r="EX112" s="9">
        <v>0</v>
      </c>
      <c r="EY112" s="9">
        <v>0</v>
      </c>
      <c r="EZ112" s="9">
        <v>44049125</v>
      </c>
      <c r="FA112" s="9">
        <v>0</v>
      </c>
      <c r="FB112" s="9">
        <v>47031229</v>
      </c>
      <c r="FC112" s="9">
        <v>0.97326799999999991</v>
      </c>
      <c r="FD112" s="9">
        <v>0</v>
      </c>
      <c r="FE112" s="9">
        <v>7018062</v>
      </c>
      <c r="FF112" s="9">
        <v>1494493</v>
      </c>
      <c r="FG112" s="9">
        <v>5.8088000000000001E-2</v>
      </c>
      <c r="FH112" s="9">
        <v>5.2622999999999996E-2</v>
      </c>
      <c r="FI112" s="9">
        <v>0</v>
      </c>
      <c r="FJ112" s="9">
        <v>0</v>
      </c>
      <c r="FK112" s="9">
        <v>8888.8870000000006</v>
      </c>
      <c r="FL112" s="9">
        <v>56602174</v>
      </c>
      <c r="FM112" s="9">
        <v>0</v>
      </c>
      <c r="FN112" s="9">
        <v>0</v>
      </c>
      <c r="FO112" s="9">
        <v>0</v>
      </c>
      <c r="FP112" s="9">
        <v>0</v>
      </c>
      <c r="FQ112" s="9">
        <v>0</v>
      </c>
      <c r="FR112" s="9">
        <v>0</v>
      </c>
      <c r="FS112" s="9">
        <v>0</v>
      </c>
      <c r="FT112" s="9">
        <v>0</v>
      </c>
      <c r="FU112" s="9">
        <v>0</v>
      </c>
      <c r="FV112" s="9">
        <v>0</v>
      </c>
      <c r="FW112" s="9">
        <v>0</v>
      </c>
      <c r="FX112" s="9">
        <v>0</v>
      </c>
      <c r="FY112" s="9">
        <v>0</v>
      </c>
      <c r="FZ112" s="9">
        <v>0</v>
      </c>
      <c r="GA112" s="9">
        <v>0</v>
      </c>
      <c r="GB112" s="9">
        <v>1124242</v>
      </c>
      <c r="GC112" s="9">
        <v>1124242</v>
      </c>
      <c r="GD112" s="9">
        <v>127.19900000000001</v>
      </c>
      <c r="GE112" s="9">
        <v>0</v>
      </c>
      <c r="GF112" s="9">
        <v>0</v>
      </c>
      <c r="GG112" s="9">
        <v>0</v>
      </c>
      <c r="GH112" s="9">
        <v>0</v>
      </c>
      <c r="GI112" s="9">
        <v>0</v>
      </c>
      <c r="GJ112" s="9">
        <v>0</v>
      </c>
      <c r="GK112" s="9">
        <v>5121</v>
      </c>
      <c r="GL112" s="9">
        <v>18083</v>
      </c>
      <c r="GM112" s="9">
        <v>0</v>
      </c>
      <c r="GN112" s="9">
        <v>0</v>
      </c>
      <c r="GO112" s="9">
        <v>0</v>
      </c>
      <c r="GP112" s="9">
        <v>55543784</v>
      </c>
      <c r="GQ112" s="9">
        <v>55543784</v>
      </c>
      <c r="GR112" s="9">
        <v>0</v>
      </c>
      <c r="GS112" s="9">
        <v>0</v>
      </c>
      <c r="GT112" s="9">
        <v>0</v>
      </c>
      <c r="GU112" s="9">
        <v>0</v>
      </c>
      <c r="GV112" s="9">
        <v>0</v>
      </c>
      <c r="GW112" s="9">
        <v>0</v>
      </c>
      <c r="GX112" s="9">
        <v>0</v>
      </c>
      <c r="GY112" s="9">
        <v>0</v>
      </c>
      <c r="GZ112" s="9">
        <v>0</v>
      </c>
      <c r="HA112" s="9">
        <v>0</v>
      </c>
      <c r="HB112" s="9">
        <v>300501363</v>
      </c>
      <c r="HC112" s="9">
        <v>4.4742999999999998E-2</v>
      </c>
      <c r="HD112" s="9">
        <v>1007015</v>
      </c>
      <c r="HE112" s="9">
        <v>0</v>
      </c>
      <c r="HF112" s="9">
        <v>0</v>
      </c>
      <c r="HG112" s="9">
        <v>0</v>
      </c>
      <c r="HH112" s="9">
        <v>0</v>
      </c>
      <c r="HI112" s="9">
        <v>0</v>
      </c>
      <c r="HJ112" s="9">
        <v>0</v>
      </c>
      <c r="HK112" s="9">
        <v>0</v>
      </c>
      <c r="HL112" s="9">
        <v>0</v>
      </c>
      <c r="HM112" s="9">
        <v>0</v>
      </c>
      <c r="HN112" s="9">
        <v>0</v>
      </c>
      <c r="HO112" s="9">
        <v>0</v>
      </c>
      <c r="HP112" s="9">
        <v>0</v>
      </c>
      <c r="HQ112" s="9">
        <v>0</v>
      </c>
      <c r="HR112" s="9">
        <v>0</v>
      </c>
      <c r="HS112" s="9">
        <v>0</v>
      </c>
      <c r="HT112" s="9">
        <v>0</v>
      </c>
      <c r="HU112" s="9">
        <v>0</v>
      </c>
      <c r="HV112" s="9">
        <v>0</v>
      </c>
      <c r="HW112" s="9">
        <v>0</v>
      </c>
      <c r="HX112" s="9">
        <v>0</v>
      </c>
      <c r="HY112" s="9">
        <v>0</v>
      </c>
      <c r="HZ112" s="9">
        <v>0</v>
      </c>
      <c r="IA112" s="9">
        <v>0</v>
      </c>
      <c r="IB112" s="9">
        <v>0</v>
      </c>
      <c r="IC112" s="9">
        <v>0</v>
      </c>
      <c r="ID112" s="9">
        <v>0</v>
      </c>
      <c r="IE112" s="9">
        <v>0</v>
      </c>
      <c r="IF112" s="9">
        <v>0</v>
      </c>
      <c r="IG112" s="9">
        <v>0</v>
      </c>
      <c r="IH112" s="9">
        <v>0</v>
      </c>
      <c r="II112" s="9">
        <v>0</v>
      </c>
      <c r="IJ112" s="9">
        <v>0</v>
      </c>
      <c r="IK112" s="9">
        <v>0</v>
      </c>
      <c r="IL112" s="9">
        <v>0</v>
      </c>
      <c r="IM112" s="9">
        <v>0</v>
      </c>
      <c r="IN112" s="9">
        <v>0</v>
      </c>
      <c r="IO112" s="9">
        <v>0</v>
      </c>
      <c r="IP112" s="9">
        <v>0</v>
      </c>
      <c r="IQ112" s="9">
        <v>0</v>
      </c>
      <c r="IR112" s="9">
        <v>0</v>
      </c>
      <c r="IS112" s="9">
        <v>0</v>
      </c>
      <c r="IT112" s="9">
        <v>0</v>
      </c>
      <c r="IU112" s="9">
        <v>0</v>
      </c>
      <c r="IV112" s="9">
        <v>0</v>
      </c>
      <c r="IW112" s="9">
        <v>0</v>
      </c>
      <c r="IX112" s="9">
        <v>0</v>
      </c>
      <c r="IY112" s="9">
        <v>0</v>
      </c>
      <c r="IZ112" s="9">
        <v>0</v>
      </c>
      <c r="JA112" s="9">
        <v>0</v>
      </c>
      <c r="JB112" s="9">
        <v>0</v>
      </c>
      <c r="JC112" s="9">
        <v>0</v>
      </c>
      <c r="JD112" s="9">
        <v>0</v>
      </c>
      <c r="JE112" s="9">
        <v>0</v>
      </c>
      <c r="JF112" s="9">
        <v>0</v>
      </c>
      <c r="JG112" s="9">
        <v>0</v>
      </c>
      <c r="JH112" s="9">
        <v>0</v>
      </c>
      <c r="JI112" s="9">
        <v>0</v>
      </c>
      <c r="JJ112" s="9">
        <v>0</v>
      </c>
      <c r="JK112" s="9">
        <v>0</v>
      </c>
      <c r="JL112" s="9">
        <v>0</v>
      </c>
      <c r="JM112" s="9">
        <v>0</v>
      </c>
      <c r="JN112" s="9">
        <v>36832</v>
      </c>
      <c r="JO112" s="9">
        <v>0</v>
      </c>
      <c r="JP112" s="9">
        <v>0</v>
      </c>
      <c r="JQ112" s="9">
        <v>0</v>
      </c>
      <c r="JR112" s="9">
        <v>0</v>
      </c>
      <c r="JS112" s="9">
        <v>0</v>
      </c>
      <c r="JT112" s="9">
        <v>0</v>
      </c>
      <c r="JU112" s="9">
        <v>0</v>
      </c>
      <c r="JV112" s="9">
        <v>0</v>
      </c>
      <c r="JW112" s="9">
        <v>0</v>
      </c>
      <c r="JX112" s="9">
        <v>0</v>
      </c>
      <c r="JY112" s="9">
        <v>0</v>
      </c>
      <c r="JZ112" s="9">
        <v>0</v>
      </c>
      <c r="KA112" s="9">
        <v>0</v>
      </c>
      <c r="KB112" s="9">
        <v>0</v>
      </c>
      <c r="KC112" s="9">
        <v>0</v>
      </c>
      <c r="KD112" s="9">
        <v>0</v>
      </c>
      <c r="KE112" s="9">
        <v>0</v>
      </c>
      <c r="KF112" s="9">
        <v>0</v>
      </c>
      <c r="KG112" s="9">
        <v>0</v>
      </c>
      <c r="KH112" s="9">
        <v>0</v>
      </c>
      <c r="KI112" s="9">
        <v>0</v>
      </c>
    </row>
    <row r="113" spans="1:295" x14ac:dyDescent="0.25">
      <c r="A113" s="9">
        <v>101859</v>
      </c>
      <c r="B113" s="9">
        <v>36871</v>
      </c>
      <c r="C113" s="9">
        <v>35</v>
      </c>
      <c r="D113" s="9">
        <v>2023</v>
      </c>
      <c r="E113" s="9">
        <v>5392</v>
      </c>
      <c r="F113" s="9">
        <v>0</v>
      </c>
      <c r="G113" s="9">
        <v>0</v>
      </c>
      <c r="H113" s="9">
        <v>516.63099999999997</v>
      </c>
      <c r="I113" s="9">
        <v>516.63099999999997</v>
      </c>
      <c r="J113" s="9">
        <v>525.38200000000006</v>
      </c>
      <c r="K113" s="9">
        <v>0</v>
      </c>
      <c r="L113" s="9">
        <v>6547</v>
      </c>
      <c r="M113" s="9">
        <v>0</v>
      </c>
      <c r="N113" s="9">
        <v>0</v>
      </c>
      <c r="O113" s="9">
        <v>0</v>
      </c>
      <c r="P113" s="9">
        <v>504.74900000000002</v>
      </c>
      <c r="Q113" s="9">
        <v>0</v>
      </c>
      <c r="R113" s="9">
        <v>245773</v>
      </c>
      <c r="S113" s="9">
        <v>486.92200000000003</v>
      </c>
      <c r="T113" s="9">
        <v>0</v>
      </c>
      <c r="U113" s="9">
        <v>245773</v>
      </c>
      <c r="V113" s="9">
        <v>266.36200000000002</v>
      </c>
      <c r="W113" s="9">
        <v>174387</v>
      </c>
      <c r="X113" s="9">
        <v>174387</v>
      </c>
      <c r="Y113" s="9">
        <v>0</v>
      </c>
      <c r="Z113" s="9">
        <v>0</v>
      </c>
      <c r="AA113" s="9">
        <v>1</v>
      </c>
      <c r="AB113" s="9">
        <v>1</v>
      </c>
      <c r="AC113" s="9">
        <v>0</v>
      </c>
      <c r="AD113" s="9" t="s">
        <v>314</v>
      </c>
      <c r="AE113" s="9">
        <v>0</v>
      </c>
      <c r="AF113" s="9">
        <v>0</v>
      </c>
      <c r="AG113" s="9">
        <v>0</v>
      </c>
      <c r="AH113" s="9">
        <v>0</v>
      </c>
      <c r="AI113" s="9">
        <v>0</v>
      </c>
      <c r="AJ113" s="9">
        <v>5104</v>
      </c>
      <c r="AK113" s="9" t="s">
        <v>651</v>
      </c>
      <c r="AL113" s="9" t="s">
        <v>347</v>
      </c>
      <c r="AM113" s="9">
        <v>0</v>
      </c>
      <c r="AN113" s="9">
        <v>0</v>
      </c>
      <c r="AO113" s="9">
        <v>0</v>
      </c>
      <c r="AP113" s="9">
        <v>0</v>
      </c>
      <c r="AQ113" s="9">
        <v>0</v>
      </c>
      <c r="AR113" s="9">
        <v>0</v>
      </c>
      <c r="AS113" s="9">
        <v>0</v>
      </c>
      <c r="AT113" s="9">
        <v>0</v>
      </c>
      <c r="AU113" s="9">
        <v>0</v>
      </c>
      <c r="AV113" s="9">
        <v>-402319</v>
      </c>
      <c r="AW113" s="9">
        <v>5119739</v>
      </c>
      <c r="AX113" s="9">
        <v>5027121</v>
      </c>
      <c r="AY113" s="9">
        <v>4779373</v>
      </c>
      <c r="AZ113" s="9">
        <v>245773</v>
      </c>
      <c r="BA113" s="9">
        <v>0</v>
      </c>
      <c r="BB113" s="9">
        <v>0</v>
      </c>
      <c r="BC113" s="9">
        <v>0</v>
      </c>
      <c r="BD113" s="9">
        <v>0</v>
      </c>
      <c r="BE113" s="9">
        <v>0</v>
      </c>
      <c r="BF113" s="9">
        <v>4339451</v>
      </c>
      <c r="BG113" s="9">
        <v>0</v>
      </c>
      <c r="BH113" s="9">
        <v>0</v>
      </c>
      <c r="BI113" s="9">
        <v>0</v>
      </c>
      <c r="BJ113" s="9">
        <v>12</v>
      </c>
      <c r="BK113" s="9">
        <v>0</v>
      </c>
      <c r="BL113" s="9">
        <v>0</v>
      </c>
      <c r="BM113" s="9">
        <v>0</v>
      </c>
      <c r="BN113" s="9">
        <v>0</v>
      </c>
      <c r="BO113" s="9">
        <v>0</v>
      </c>
      <c r="BP113" s="9">
        <v>0</v>
      </c>
      <c r="BQ113" s="9">
        <v>5392</v>
      </c>
      <c r="BR113" s="9">
        <v>1</v>
      </c>
      <c r="BS113" s="9">
        <v>0</v>
      </c>
      <c r="BT113" s="9">
        <v>0</v>
      </c>
      <c r="BU113" s="9">
        <v>0</v>
      </c>
      <c r="BV113" s="9">
        <v>0</v>
      </c>
      <c r="BW113" s="9">
        <v>0</v>
      </c>
      <c r="BX113" s="9">
        <v>0</v>
      </c>
      <c r="BY113" s="9">
        <v>0</v>
      </c>
      <c r="BZ113" s="9">
        <v>0</v>
      </c>
      <c r="CA113" s="9">
        <v>0</v>
      </c>
      <c r="CB113" s="9">
        <v>0</v>
      </c>
      <c r="CC113" s="9">
        <v>0</v>
      </c>
      <c r="CD113" s="9">
        <v>0</v>
      </c>
      <c r="CE113" s="9">
        <v>0</v>
      </c>
      <c r="CF113" s="9">
        <v>0</v>
      </c>
      <c r="CG113" s="9">
        <v>0</v>
      </c>
      <c r="CH113" s="9">
        <v>92618</v>
      </c>
      <c r="CI113" s="9">
        <v>0</v>
      </c>
      <c r="CJ113" s="9">
        <v>4</v>
      </c>
      <c r="CK113" s="9">
        <v>0</v>
      </c>
      <c r="CL113" s="9">
        <v>0</v>
      </c>
      <c r="CM113" s="9">
        <v>0</v>
      </c>
      <c r="CN113" s="9">
        <v>0</v>
      </c>
      <c r="CO113" s="9">
        <v>0</v>
      </c>
      <c r="CP113" s="9">
        <v>0</v>
      </c>
      <c r="CQ113" s="9">
        <v>0</v>
      </c>
      <c r="CR113" s="9">
        <v>481.154</v>
      </c>
      <c r="CS113" s="9">
        <v>0</v>
      </c>
      <c r="CT113" s="9">
        <v>0</v>
      </c>
      <c r="CU113" s="9">
        <v>0</v>
      </c>
      <c r="CV113" s="9">
        <v>0</v>
      </c>
      <c r="CW113" s="9">
        <v>0</v>
      </c>
      <c r="CX113" s="9">
        <v>0</v>
      </c>
      <c r="CY113" s="9">
        <v>0</v>
      </c>
      <c r="CZ113" s="9">
        <v>0</v>
      </c>
      <c r="DA113" s="9">
        <v>1</v>
      </c>
      <c r="DB113" s="9">
        <v>3382383</v>
      </c>
      <c r="DC113" s="9">
        <v>0</v>
      </c>
      <c r="DD113" s="9">
        <v>0</v>
      </c>
      <c r="DE113" s="9">
        <v>644657</v>
      </c>
      <c r="DF113" s="9">
        <v>644657</v>
      </c>
      <c r="DG113" s="9">
        <v>492.33</v>
      </c>
      <c r="DH113" s="9">
        <v>0</v>
      </c>
      <c r="DI113" s="9">
        <v>0</v>
      </c>
      <c r="DJ113" s="9">
        <v>0</v>
      </c>
      <c r="DK113" s="9">
        <v>5392</v>
      </c>
      <c r="DL113" s="9">
        <v>0</v>
      </c>
      <c r="DM113" s="9">
        <v>257213</v>
      </c>
      <c r="DN113" s="9">
        <v>0</v>
      </c>
      <c r="DO113" s="9">
        <v>0</v>
      </c>
      <c r="DP113" s="9">
        <v>0</v>
      </c>
      <c r="DQ113" s="9">
        <v>0</v>
      </c>
      <c r="DR113" s="9">
        <v>0</v>
      </c>
      <c r="DS113" s="9">
        <v>0</v>
      </c>
      <c r="DT113" s="9">
        <v>0</v>
      </c>
      <c r="DU113" s="9">
        <v>0</v>
      </c>
      <c r="DV113" s="9">
        <v>0</v>
      </c>
      <c r="DW113" s="9">
        <v>0</v>
      </c>
      <c r="DX113" s="9">
        <v>0</v>
      </c>
      <c r="DY113" s="9">
        <v>0</v>
      </c>
      <c r="DZ113" s="9">
        <v>0</v>
      </c>
      <c r="EA113" s="9">
        <v>0</v>
      </c>
      <c r="EB113" s="9">
        <v>0</v>
      </c>
      <c r="EC113" s="9">
        <v>10.482000000000001</v>
      </c>
      <c r="ED113" s="9">
        <v>75488</v>
      </c>
      <c r="EE113" s="9">
        <v>0</v>
      </c>
      <c r="EF113" s="9">
        <v>0</v>
      </c>
      <c r="EG113" s="9">
        <v>0</v>
      </c>
      <c r="EH113" s="9">
        <v>181725</v>
      </c>
      <c r="EI113" s="9">
        <v>0</v>
      </c>
      <c r="EJ113" s="9">
        <v>0</v>
      </c>
      <c r="EK113" s="9">
        <v>7.9990000000000006</v>
      </c>
      <c r="EL113" s="9">
        <v>0</v>
      </c>
      <c r="EM113" s="9">
        <v>0</v>
      </c>
      <c r="EN113" s="9">
        <v>0.752</v>
      </c>
      <c r="EO113" s="9">
        <v>0</v>
      </c>
      <c r="EP113" s="9">
        <v>0</v>
      </c>
      <c r="EQ113" s="9">
        <v>8.7510000000000012</v>
      </c>
      <c r="ER113" s="9">
        <v>0</v>
      </c>
      <c r="ES113" s="9">
        <v>27.757000000000001</v>
      </c>
      <c r="ET113" s="9">
        <v>0</v>
      </c>
      <c r="EU113" s="9">
        <v>245773</v>
      </c>
      <c r="EV113" s="9">
        <v>0</v>
      </c>
      <c r="EW113" s="9">
        <v>0</v>
      </c>
      <c r="EX113" s="9">
        <v>0</v>
      </c>
      <c r="EY113" s="9">
        <v>0</v>
      </c>
      <c r="EZ113" s="9">
        <v>4212867</v>
      </c>
      <c r="FA113" s="9">
        <v>0</v>
      </c>
      <c r="FB113" s="9">
        <v>4458640</v>
      </c>
      <c r="FC113" s="9">
        <v>0.97326799999999991</v>
      </c>
      <c r="FD113" s="9">
        <v>0</v>
      </c>
      <c r="FE113" s="9">
        <v>671301</v>
      </c>
      <c r="FF113" s="9">
        <v>142953</v>
      </c>
      <c r="FG113" s="9">
        <v>5.8088000000000001E-2</v>
      </c>
      <c r="FH113" s="9">
        <v>5.2622999999999996E-2</v>
      </c>
      <c r="FI113" s="9">
        <v>0</v>
      </c>
      <c r="FJ113" s="9">
        <v>0</v>
      </c>
      <c r="FK113" s="9">
        <v>850.25200000000007</v>
      </c>
      <c r="FL113" s="9">
        <v>5365512</v>
      </c>
      <c r="FM113" s="9">
        <v>0</v>
      </c>
      <c r="FN113" s="9">
        <v>0</v>
      </c>
      <c r="FO113" s="9">
        <v>0</v>
      </c>
      <c r="FP113" s="9">
        <v>0</v>
      </c>
      <c r="FQ113" s="9">
        <v>0</v>
      </c>
      <c r="FR113" s="9">
        <v>0</v>
      </c>
      <c r="FS113" s="9">
        <v>0</v>
      </c>
      <c r="FT113" s="9">
        <v>0</v>
      </c>
      <c r="FU113" s="9">
        <v>0</v>
      </c>
      <c r="FV113" s="9">
        <v>0</v>
      </c>
      <c r="FW113" s="9">
        <v>0</v>
      </c>
      <c r="FX113" s="9">
        <v>0</v>
      </c>
      <c r="FY113" s="9">
        <v>0</v>
      </c>
      <c r="FZ113" s="9">
        <v>0</v>
      </c>
      <c r="GA113" s="9">
        <v>0</v>
      </c>
      <c r="GB113" s="9">
        <v>0</v>
      </c>
      <c r="GC113" s="9">
        <v>0</v>
      </c>
      <c r="GD113" s="9">
        <v>0</v>
      </c>
      <c r="GE113" s="9">
        <v>0</v>
      </c>
      <c r="GF113" s="9">
        <v>0</v>
      </c>
      <c r="GG113" s="9">
        <v>0</v>
      </c>
      <c r="GH113" s="9">
        <v>0</v>
      </c>
      <c r="GI113" s="9">
        <v>0</v>
      </c>
      <c r="GJ113" s="9">
        <v>0</v>
      </c>
      <c r="GK113" s="9">
        <v>4971</v>
      </c>
      <c r="GL113" s="9">
        <v>6412</v>
      </c>
      <c r="GM113" s="9">
        <v>0</v>
      </c>
      <c r="GN113" s="9">
        <v>0</v>
      </c>
      <c r="GO113" s="9">
        <v>0</v>
      </c>
      <c r="GP113" s="9">
        <v>5272894</v>
      </c>
      <c r="GQ113" s="9">
        <v>5272894</v>
      </c>
      <c r="GR113" s="9">
        <v>0</v>
      </c>
      <c r="GS113" s="9">
        <v>0</v>
      </c>
      <c r="GT113" s="9">
        <v>0</v>
      </c>
      <c r="GU113" s="9">
        <v>0</v>
      </c>
      <c r="GV113" s="9">
        <v>0</v>
      </c>
      <c r="GW113" s="9">
        <v>0</v>
      </c>
      <c r="GX113" s="9">
        <v>0</v>
      </c>
      <c r="GY113" s="9">
        <v>0</v>
      </c>
      <c r="GZ113" s="9">
        <v>0</v>
      </c>
      <c r="HA113" s="9">
        <v>0</v>
      </c>
      <c r="HB113" s="9">
        <v>300501363</v>
      </c>
      <c r="HC113" s="9">
        <v>4.4742999999999998E-2</v>
      </c>
      <c r="HD113" s="9">
        <v>92618</v>
      </c>
      <c r="HE113" s="9">
        <v>0</v>
      </c>
      <c r="HF113" s="9">
        <v>0</v>
      </c>
      <c r="HG113" s="9">
        <v>0</v>
      </c>
      <c r="HH113" s="9">
        <v>0</v>
      </c>
      <c r="HI113" s="9">
        <v>0</v>
      </c>
      <c r="HJ113" s="9">
        <v>0</v>
      </c>
      <c r="HK113" s="9">
        <v>0</v>
      </c>
      <c r="HL113" s="9">
        <v>0</v>
      </c>
      <c r="HM113" s="9">
        <v>0</v>
      </c>
      <c r="HN113" s="9">
        <v>0</v>
      </c>
      <c r="HO113" s="9">
        <v>0</v>
      </c>
      <c r="HP113" s="9">
        <v>0</v>
      </c>
      <c r="HQ113" s="9">
        <v>0</v>
      </c>
      <c r="HR113" s="9">
        <v>0</v>
      </c>
      <c r="HS113" s="9">
        <v>0</v>
      </c>
      <c r="HT113" s="9">
        <v>0</v>
      </c>
      <c r="HU113" s="9">
        <v>0</v>
      </c>
      <c r="HV113" s="9">
        <v>0</v>
      </c>
      <c r="HW113" s="9">
        <v>0</v>
      </c>
      <c r="HX113" s="9">
        <v>0</v>
      </c>
      <c r="HY113" s="9">
        <v>0</v>
      </c>
      <c r="HZ113" s="9">
        <v>0</v>
      </c>
      <c r="IA113" s="9">
        <v>0</v>
      </c>
      <c r="IB113" s="9">
        <v>0</v>
      </c>
      <c r="IC113" s="9">
        <v>0</v>
      </c>
      <c r="ID113" s="9">
        <v>0</v>
      </c>
      <c r="IE113" s="9">
        <v>0</v>
      </c>
      <c r="IF113" s="9">
        <v>0</v>
      </c>
      <c r="IG113" s="9">
        <v>0</v>
      </c>
      <c r="IH113" s="9">
        <v>0</v>
      </c>
      <c r="II113" s="9">
        <v>0</v>
      </c>
      <c r="IJ113" s="9">
        <v>0</v>
      </c>
      <c r="IK113" s="9">
        <v>0</v>
      </c>
      <c r="IL113" s="9">
        <v>0</v>
      </c>
      <c r="IM113" s="9">
        <v>0</v>
      </c>
      <c r="IN113" s="9">
        <v>0</v>
      </c>
      <c r="IO113" s="9">
        <v>0</v>
      </c>
      <c r="IP113" s="9">
        <v>0</v>
      </c>
      <c r="IQ113" s="9">
        <v>0</v>
      </c>
      <c r="IR113" s="9">
        <v>0</v>
      </c>
      <c r="IS113" s="9">
        <v>0</v>
      </c>
      <c r="IT113" s="9">
        <v>0</v>
      </c>
      <c r="IU113" s="9">
        <v>0</v>
      </c>
      <c r="IV113" s="9">
        <v>0</v>
      </c>
      <c r="IW113" s="9">
        <v>0</v>
      </c>
      <c r="IX113" s="9">
        <v>0</v>
      </c>
      <c r="IY113" s="9">
        <v>0</v>
      </c>
      <c r="IZ113" s="9">
        <v>0</v>
      </c>
      <c r="JA113" s="9">
        <v>0</v>
      </c>
      <c r="JB113" s="9">
        <v>0</v>
      </c>
      <c r="JC113" s="9">
        <v>0</v>
      </c>
      <c r="JD113" s="9">
        <v>0</v>
      </c>
      <c r="JE113" s="9">
        <v>0</v>
      </c>
      <c r="JF113" s="9">
        <v>0</v>
      </c>
      <c r="JG113" s="9">
        <v>0</v>
      </c>
      <c r="JH113" s="9">
        <v>0</v>
      </c>
      <c r="JI113" s="9">
        <v>0</v>
      </c>
      <c r="JJ113" s="9">
        <v>0</v>
      </c>
      <c r="JK113" s="9">
        <v>0</v>
      </c>
      <c r="JL113" s="9">
        <v>0</v>
      </c>
      <c r="JM113" s="9">
        <v>0</v>
      </c>
      <c r="JN113" s="9">
        <v>36832</v>
      </c>
      <c r="JO113" s="9">
        <v>0</v>
      </c>
      <c r="JP113" s="9">
        <v>0</v>
      </c>
      <c r="JQ113" s="9">
        <v>0</v>
      </c>
      <c r="JR113" s="9">
        <v>0</v>
      </c>
      <c r="JS113" s="9">
        <v>0</v>
      </c>
      <c r="JT113" s="9">
        <v>0</v>
      </c>
      <c r="JU113" s="9">
        <v>0</v>
      </c>
      <c r="JV113" s="9">
        <v>0</v>
      </c>
      <c r="JW113" s="9">
        <v>0</v>
      </c>
      <c r="JX113" s="9">
        <v>0</v>
      </c>
      <c r="JY113" s="9">
        <v>0</v>
      </c>
      <c r="JZ113" s="9">
        <v>0</v>
      </c>
      <c r="KA113" s="9">
        <v>0</v>
      </c>
      <c r="KB113" s="9">
        <v>0</v>
      </c>
      <c r="KC113" s="9">
        <v>0</v>
      </c>
      <c r="KD113" s="9">
        <v>0</v>
      </c>
      <c r="KE113" s="9">
        <v>0</v>
      </c>
      <c r="KF113" s="9">
        <v>0</v>
      </c>
      <c r="KG113" s="9">
        <v>0</v>
      </c>
      <c r="KH113" s="9">
        <v>0</v>
      </c>
      <c r="KI113" s="9">
        <v>0</v>
      </c>
    </row>
    <row r="114" spans="1:295" x14ac:dyDescent="0.25">
      <c r="A114" s="9">
        <v>101861</v>
      </c>
      <c r="B114" s="9">
        <v>36871</v>
      </c>
      <c r="C114" s="9">
        <v>35</v>
      </c>
      <c r="D114" s="9">
        <v>2023</v>
      </c>
      <c r="E114" s="9">
        <v>5392</v>
      </c>
      <c r="F114" s="9">
        <v>0</v>
      </c>
      <c r="G114" s="9">
        <v>0</v>
      </c>
      <c r="H114" s="9">
        <v>621.1</v>
      </c>
      <c r="I114" s="9">
        <v>621.1</v>
      </c>
      <c r="J114" s="9">
        <v>637.76200000000006</v>
      </c>
      <c r="K114" s="9">
        <v>0</v>
      </c>
      <c r="L114" s="9">
        <v>6547</v>
      </c>
      <c r="M114" s="9">
        <v>0</v>
      </c>
      <c r="N114" s="9">
        <v>0</v>
      </c>
      <c r="O114" s="9">
        <v>0</v>
      </c>
      <c r="P114" s="9">
        <v>739.38499999999999</v>
      </c>
      <c r="Q114" s="9">
        <v>0</v>
      </c>
      <c r="R114" s="9">
        <v>360023</v>
      </c>
      <c r="S114" s="9">
        <v>486.92200000000003</v>
      </c>
      <c r="T114" s="9">
        <v>0</v>
      </c>
      <c r="U114" s="9">
        <v>360023</v>
      </c>
      <c r="V114" s="9">
        <v>13.381</v>
      </c>
      <c r="W114" s="9">
        <v>8761</v>
      </c>
      <c r="X114" s="9">
        <v>8761</v>
      </c>
      <c r="Y114" s="9">
        <v>0</v>
      </c>
      <c r="Z114" s="9">
        <v>0</v>
      </c>
      <c r="AA114" s="9">
        <v>1</v>
      </c>
      <c r="AB114" s="9">
        <v>1</v>
      </c>
      <c r="AC114" s="9">
        <v>0</v>
      </c>
      <c r="AD114" s="9" t="s">
        <v>314</v>
      </c>
      <c r="AE114" s="9">
        <v>0</v>
      </c>
      <c r="AF114" s="9">
        <v>0</v>
      </c>
      <c r="AG114" s="9">
        <v>0</v>
      </c>
      <c r="AH114" s="9">
        <v>0</v>
      </c>
      <c r="AI114" s="9">
        <v>0</v>
      </c>
      <c r="AJ114" s="9">
        <v>5104</v>
      </c>
      <c r="AK114" s="9" t="s">
        <v>651</v>
      </c>
      <c r="AL114" s="9" t="s">
        <v>704</v>
      </c>
      <c r="AM114" s="9">
        <v>0</v>
      </c>
      <c r="AN114" s="9">
        <v>0</v>
      </c>
      <c r="AO114" s="9">
        <v>0</v>
      </c>
      <c r="AP114" s="9">
        <v>0</v>
      </c>
      <c r="AQ114" s="9">
        <v>0</v>
      </c>
      <c r="AR114" s="9">
        <v>0</v>
      </c>
      <c r="AS114" s="9">
        <v>0</v>
      </c>
      <c r="AT114" s="9">
        <v>0</v>
      </c>
      <c r="AU114" s="9">
        <v>0</v>
      </c>
      <c r="AV114" s="9">
        <v>-313577</v>
      </c>
      <c r="AW114" s="9">
        <v>6439180</v>
      </c>
      <c r="AX114" s="9">
        <v>6239362</v>
      </c>
      <c r="AY114" s="9">
        <v>6711784</v>
      </c>
      <c r="AZ114" s="9">
        <v>447412</v>
      </c>
      <c r="BA114" s="9">
        <v>0</v>
      </c>
      <c r="BB114" s="9">
        <v>13356</v>
      </c>
      <c r="BC114" s="9">
        <v>13356</v>
      </c>
      <c r="BD114" s="9">
        <v>17</v>
      </c>
      <c r="BE114" s="9">
        <v>0</v>
      </c>
      <c r="BF114" s="9">
        <v>5389313</v>
      </c>
      <c r="BG114" s="9">
        <v>0</v>
      </c>
      <c r="BH114" s="9">
        <v>0</v>
      </c>
      <c r="BI114" s="9">
        <v>0</v>
      </c>
      <c r="BJ114" s="9">
        <v>12</v>
      </c>
      <c r="BK114" s="9">
        <v>0</v>
      </c>
      <c r="BL114" s="9">
        <v>0</v>
      </c>
      <c r="BM114" s="9">
        <v>0</v>
      </c>
      <c r="BN114" s="9">
        <v>0</v>
      </c>
      <c r="BO114" s="9">
        <v>0</v>
      </c>
      <c r="BP114" s="9">
        <v>0</v>
      </c>
      <c r="BQ114" s="9">
        <v>5392</v>
      </c>
      <c r="BR114" s="9">
        <v>1</v>
      </c>
      <c r="BS114" s="9">
        <v>0</v>
      </c>
      <c r="BT114" s="9">
        <v>0</v>
      </c>
      <c r="BU114" s="9">
        <v>0</v>
      </c>
      <c r="BV114" s="9">
        <v>0</v>
      </c>
      <c r="BW114" s="9">
        <v>0</v>
      </c>
      <c r="BX114" s="9">
        <v>0</v>
      </c>
      <c r="BY114" s="9">
        <v>0</v>
      </c>
      <c r="BZ114" s="9">
        <v>0</v>
      </c>
      <c r="CA114" s="9">
        <v>87.38900000000001</v>
      </c>
      <c r="CB114" s="9">
        <v>87389</v>
      </c>
      <c r="CC114" s="9">
        <v>0</v>
      </c>
      <c r="CD114" s="9">
        <v>0</v>
      </c>
      <c r="CE114" s="9">
        <v>0</v>
      </c>
      <c r="CF114" s="9">
        <v>0</v>
      </c>
      <c r="CG114" s="9">
        <v>0</v>
      </c>
      <c r="CH114" s="9">
        <v>112429</v>
      </c>
      <c r="CI114" s="9">
        <v>0</v>
      </c>
      <c r="CJ114" s="9">
        <v>5</v>
      </c>
      <c r="CK114" s="9">
        <v>0</v>
      </c>
      <c r="CL114" s="9">
        <v>0</v>
      </c>
      <c r="CM114" s="9">
        <v>0</v>
      </c>
      <c r="CN114" s="9">
        <v>0</v>
      </c>
      <c r="CO114" s="9">
        <v>0</v>
      </c>
      <c r="CP114" s="9">
        <v>0</v>
      </c>
      <c r="CQ114" s="9">
        <v>0</v>
      </c>
      <c r="CR114" s="9">
        <v>718.25300000000004</v>
      </c>
      <c r="CS114" s="9">
        <v>0</v>
      </c>
      <c r="CT114" s="9">
        <v>0</v>
      </c>
      <c r="CU114" s="9">
        <v>0</v>
      </c>
      <c r="CV114" s="9">
        <v>0</v>
      </c>
      <c r="CW114" s="9">
        <v>0</v>
      </c>
      <c r="CX114" s="9">
        <v>0</v>
      </c>
      <c r="CY114" s="9">
        <v>0</v>
      </c>
      <c r="CZ114" s="9">
        <v>0</v>
      </c>
      <c r="DA114" s="9">
        <v>1</v>
      </c>
      <c r="DB114" s="9">
        <v>4066342</v>
      </c>
      <c r="DC114" s="9">
        <v>0</v>
      </c>
      <c r="DD114" s="9">
        <v>0</v>
      </c>
      <c r="DE114" s="9">
        <v>911120</v>
      </c>
      <c r="DF114" s="9">
        <v>911120</v>
      </c>
      <c r="DG114" s="9">
        <v>695.83</v>
      </c>
      <c r="DH114" s="9">
        <v>0</v>
      </c>
      <c r="DI114" s="9">
        <v>0</v>
      </c>
      <c r="DJ114" s="9">
        <v>0</v>
      </c>
      <c r="DK114" s="9">
        <v>5392</v>
      </c>
      <c r="DL114" s="9">
        <v>0</v>
      </c>
      <c r="DM114" s="9">
        <v>537758</v>
      </c>
      <c r="DN114" s="9">
        <v>0</v>
      </c>
      <c r="DO114" s="9">
        <v>0</v>
      </c>
      <c r="DP114" s="9">
        <v>0</v>
      </c>
      <c r="DQ114" s="9">
        <v>0</v>
      </c>
      <c r="DR114" s="9">
        <v>0</v>
      </c>
      <c r="DS114" s="9">
        <v>0</v>
      </c>
      <c r="DT114" s="9">
        <v>0</v>
      </c>
      <c r="DU114" s="9">
        <v>0</v>
      </c>
      <c r="DV114" s="9">
        <v>0</v>
      </c>
      <c r="DW114" s="9">
        <v>0</v>
      </c>
      <c r="DX114" s="9">
        <v>0</v>
      </c>
      <c r="DY114" s="9">
        <v>0</v>
      </c>
      <c r="DZ114" s="9">
        <v>0</v>
      </c>
      <c r="EA114" s="9">
        <v>0</v>
      </c>
      <c r="EB114" s="9">
        <v>0</v>
      </c>
      <c r="EC114" s="9">
        <v>27.002000000000002</v>
      </c>
      <c r="ED114" s="9">
        <v>194460</v>
      </c>
      <c r="EE114" s="9">
        <v>0</v>
      </c>
      <c r="EF114" s="9">
        <v>0</v>
      </c>
      <c r="EG114" s="9">
        <v>0</v>
      </c>
      <c r="EH114" s="9">
        <v>343298</v>
      </c>
      <c r="EI114" s="9">
        <v>0</v>
      </c>
      <c r="EJ114" s="9">
        <v>0</v>
      </c>
      <c r="EK114" s="9">
        <v>15.437000000000001</v>
      </c>
      <c r="EL114" s="9">
        <v>0</v>
      </c>
      <c r="EM114" s="9">
        <v>0</v>
      </c>
      <c r="EN114" s="9">
        <v>1.2250000000000001</v>
      </c>
      <c r="EO114" s="9">
        <v>0</v>
      </c>
      <c r="EP114" s="9">
        <v>0</v>
      </c>
      <c r="EQ114" s="9">
        <v>16.661999999999999</v>
      </c>
      <c r="ER114" s="9">
        <v>0</v>
      </c>
      <c r="ES114" s="9">
        <v>52.436</v>
      </c>
      <c r="ET114" s="9">
        <v>0</v>
      </c>
      <c r="EU114" s="9">
        <v>447412</v>
      </c>
      <c r="EV114" s="9">
        <v>0</v>
      </c>
      <c r="EW114" s="9">
        <v>0</v>
      </c>
      <c r="EX114" s="9">
        <v>0</v>
      </c>
      <c r="EY114" s="9">
        <v>0</v>
      </c>
      <c r="EZ114" s="9">
        <v>5228111</v>
      </c>
      <c r="FA114" s="9">
        <v>0</v>
      </c>
      <c r="FB114" s="9">
        <v>5675523</v>
      </c>
      <c r="FC114" s="9">
        <v>0.97326799999999991</v>
      </c>
      <c r="FD114" s="9">
        <v>0</v>
      </c>
      <c r="FE114" s="9">
        <v>833712</v>
      </c>
      <c r="FF114" s="9">
        <v>177539</v>
      </c>
      <c r="FG114" s="9">
        <v>5.8088000000000001E-2</v>
      </c>
      <c r="FH114" s="9">
        <v>5.2622999999999996E-2</v>
      </c>
      <c r="FI114" s="9">
        <v>0</v>
      </c>
      <c r="FJ114" s="9">
        <v>0</v>
      </c>
      <c r="FK114" s="9">
        <v>1055.9570000000001</v>
      </c>
      <c r="FL114" s="9">
        <v>6799203</v>
      </c>
      <c r="FM114" s="9">
        <v>0</v>
      </c>
      <c r="FN114" s="9">
        <v>0</v>
      </c>
      <c r="FO114" s="9">
        <v>50797</v>
      </c>
      <c r="FP114" s="9">
        <v>0</v>
      </c>
      <c r="FQ114" s="9">
        <v>50797</v>
      </c>
      <c r="FR114" s="9">
        <v>50797</v>
      </c>
      <c r="FS114" s="9">
        <v>0</v>
      </c>
      <c r="FT114" s="9">
        <v>0</v>
      </c>
      <c r="FU114" s="9">
        <v>0</v>
      </c>
      <c r="FV114" s="9">
        <v>0</v>
      </c>
      <c r="FW114" s="9">
        <v>0</v>
      </c>
      <c r="FX114" s="9">
        <v>0</v>
      </c>
      <c r="FY114" s="9">
        <v>0</v>
      </c>
      <c r="FZ114" s="9">
        <v>0</v>
      </c>
      <c r="GA114" s="9">
        <v>0</v>
      </c>
      <c r="GB114" s="9">
        <v>0</v>
      </c>
      <c r="GC114" s="9">
        <v>0</v>
      </c>
      <c r="GD114" s="9">
        <v>0</v>
      </c>
      <c r="GE114" s="9">
        <v>0</v>
      </c>
      <c r="GF114" s="9">
        <v>0</v>
      </c>
      <c r="GG114" s="9">
        <v>0</v>
      </c>
      <c r="GH114" s="9">
        <v>0</v>
      </c>
      <c r="GI114" s="9">
        <v>0</v>
      </c>
      <c r="GJ114" s="9">
        <v>0</v>
      </c>
      <c r="GK114" s="9">
        <v>4971</v>
      </c>
      <c r="GL114" s="9">
        <v>4393</v>
      </c>
      <c r="GM114" s="9">
        <v>0</v>
      </c>
      <c r="GN114" s="9">
        <v>0</v>
      </c>
      <c r="GO114" s="9">
        <v>0</v>
      </c>
      <c r="GP114" s="9">
        <v>6686774</v>
      </c>
      <c r="GQ114" s="9">
        <v>6686774</v>
      </c>
      <c r="GR114" s="9">
        <v>0</v>
      </c>
      <c r="GS114" s="9">
        <v>0</v>
      </c>
      <c r="GT114" s="9">
        <v>0</v>
      </c>
      <c r="GU114" s="9">
        <v>0</v>
      </c>
      <c r="GV114" s="9">
        <v>0</v>
      </c>
      <c r="GW114" s="9">
        <v>0</v>
      </c>
      <c r="GX114" s="9">
        <v>0</v>
      </c>
      <c r="GY114" s="9">
        <v>0</v>
      </c>
      <c r="GZ114" s="9">
        <v>0</v>
      </c>
      <c r="HA114" s="9">
        <v>0</v>
      </c>
      <c r="HB114" s="9">
        <v>300501363</v>
      </c>
      <c r="HC114" s="9">
        <v>4.4742999999999998E-2</v>
      </c>
      <c r="HD114" s="9">
        <v>112429</v>
      </c>
      <c r="HE114" s="9">
        <v>0</v>
      </c>
      <c r="HF114" s="9">
        <v>0</v>
      </c>
      <c r="HG114" s="9">
        <v>0</v>
      </c>
      <c r="HH114" s="9">
        <v>0</v>
      </c>
      <c r="HI114" s="9">
        <v>0</v>
      </c>
      <c r="HJ114" s="9">
        <v>0</v>
      </c>
      <c r="HK114" s="9">
        <v>0</v>
      </c>
      <c r="HL114" s="9">
        <v>0</v>
      </c>
      <c r="HM114" s="9">
        <v>0</v>
      </c>
      <c r="HN114" s="9">
        <v>0</v>
      </c>
      <c r="HO114" s="9">
        <v>0</v>
      </c>
      <c r="HP114" s="9">
        <v>0</v>
      </c>
      <c r="HQ114" s="9">
        <v>0</v>
      </c>
      <c r="HR114" s="9">
        <v>0</v>
      </c>
      <c r="HS114" s="9">
        <v>0</v>
      </c>
      <c r="HT114" s="9">
        <v>0</v>
      </c>
      <c r="HU114" s="9">
        <v>0</v>
      </c>
      <c r="HV114" s="9">
        <v>0</v>
      </c>
      <c r="HW114" s="9">
        <v>0</v>
      </c>
      <c r="HX114" s="9">
        <v>0</v>
      </c>
      <c r="HY114" s="9">
        <v>0</v>
      </c>
      <c r="HZ114" s="9">
        <v>0</v>
      </c>
      <c r="IA114" s="9">
        <v>0</v>
      </c>
      <c r="IB114" s="9">
        <v>0</v>
      </c>
      <c r="IC114" s="9">
        <v>0</v>
      </c>
      <c r="ID114" s="9">
        <v>0</v>
      </c>
      <c r="IE114" s="9">
        <v>0</v>
      </c>
      <c r="IF114" s="9">
        <v>0</v>
      </c>
      <c r="IG114" s="9">
        <v>0</v>
      </c>
      <c r="IH114" s="9">
        <v>0</v>
      </c>
      <c r="II114" s="9">
        <v>0</v>
      </c>
      <c r="IJ114" s="9">
        <v>0</v>
      </c>
      <c r="IK114" s="9">
        <v>0</v>
      </c>
      <c r="IL114" s="9">
        <v>0</v>
      </c>
      <c r="IM114" s="9">
        <v>0</v>
      </c>
      <c r="IN114" s="9">
        <v>0</v>
      </c>
      <c r="IO114" s="9">
        <v>0</v>
      </c>
      <c r="IP114" s="9">
        <v>0</v>
      </c>
      <c r="IQ114" s="9">
        <v>0</v>
      </c>
      <c r="IR114" s="9">
        <v>0</v>
      </c>
      <c r="IS114" s="9">
        <v>0</v>
      </c>
      <c r="IT114" s="9">
        <v>0</v>
      </c>
      <c r="IU114" s="9">
        <v>0</v>
      </c>
      <c r="IV114" s="9">
        <v>0</v>
      </c>
      <c r="IW114" s="9">
        <v>0</v>
      </c>
      <c r="IX114" s="9">
        <v>0</v>
      </c>
      <c r="IY114" s="9">
        <v>0</v>
      </c>
      <c r="IZ114" s="9">
        <v>0</v>
      </c>
      <c r="JA114" s="9">
        <v>0</v>
      </c>
      <c r="JB114" s="9">
        <v>0</v>
      </c>
      <c r="JC114" s="9">
        <v>0</v>
      </c>
      <c r="JD114" s="9">
        <v>0</v>
      </c>
      <c r="JE114" s="9">
        <v>0</v>
      </c>
      <c r="JF114" s="9">
        <v>0</v>
      </c>
      <c r="JG114" s="9">
        <v>0</v>
      </c>
      <c r="JH114" s="9">
        <v>0</v>
      </c>
      <c r="JI114" s="9">
        <v>0</v>
      </c>
      <c r="JJ114" s="9">
        <v>0</v>
      </c>
      <c r="JK114" s="9">
        <v>0</v>
      </c>
      <c r="JL114" s="9">
        <v>0</v>
      </c>
      <c r="JM114" s="9">
        <v>0</v>
      </c>
      <c r="JN114" s="9">
        <v>36832</v>
      </c>
      <c r="JO114" s="9">
        <v>0</v>
      </c>
      <c r="JP114" s="9">
        <v>0</v>
      </c>
      <c r="JQ114" s="9">
        <v>0</v>
      </c>
      <c r="JR114" s="9">
        <v>0</v>
      </c>
      <c r="JS114" s="9">
        <v>0</v>
      </c>
      <c r="JT114" s="9">
        <v>0</v>
      </c>
      <c r="JU114" s="9">
        <v>0</v>
      </c>
      <c r="JV114" s="9">
        <v>0</v>
      </c>
      <c r="JW114" s="9">
        <v>0</v>
      </c>
      <c r="JX114" s="9">
        <v>0</v>
      </c>
      <c r="JY114" s="9">
        <v>0</v>
      </c>
      <c r="JZ114" s="9">
        <v>0</v>
      </c>
      <c r="KA114" s="9">
        <v>0</v>
      </c>
      <c r="KB114" s="9">
        <v>0</v>
      </c>
      <c r="KC114" s="9">
        <v>0</v>
      </c>
      <c r="KD114" s="9">
        <v>0</v>
      </c>
      <c r="KE114" s="9">
        <v>0</v>
      </c>
      <c r="KF114" s="9">
        <v>0</v>
      </c>
      <c r="KG114" s="9">
        <v>0</v>
      </c>
      <c r="KH114" s="9">
        <v>0</v>
      </c>
      <c r="KI114" s="9">
        <v>0</v>
      </c>
    </row>
    <row r="115" spans="1:295" x14ac:dyDescent="0.25">
      <c r="A115" s="9">
        <v>101862</v>
      </c>
      <c r="B115" s="9">
        <v>36871</v>
      </c>
      <c r="C115" s="9">
        <v>35</v>
      </c>
      <c r="D115" s="9">
        <v>2023</v>
      </c>
      <c r="E115" s="9">
        <v>5392</v>
      </c>
      <c r="F115" s="9">
        <v>0</v>
      </c>
      <c r="G115" s="9">
        <v>0</v>
      </c>
      <c r="H115" s="9">
        <v>3495.201</v>
      </c>
      <c r="I115" s="9">
        <v>3495.201</v>
      </c>
      <c r="J115" s="9">
        <v>3832.049</v>
      </c>
      <c r="K115" s="9">
        <v>0</v>
      </c>
      <c r="L115" s="9">
        <v>6547</v>
      </c>
      <c r="M115" s="9">
        <v>0</v>
      </c>
      <c r="N115" s="9">
        <v>0</v>
      </c>
      <c r="O115" s="9">
        <v>0</v>
      </c>
      <c r="P115" s="9">
        <v>3680.5730000000003</v>
      </c>
      <c r="Q115" s="9">
        <v>0</v>
      </c>
      <c r="R115" s="9">
        <v>1792152</v>
      </c>
      <c r="S115" s="9">
        <v>486.92200000000003</v>
      </c>
      <c r="T115" s="9">
        <v>0</v>
      </c>
      <c r="U115" s="9">
        <v>1792152</v>
      </c>
      <c r="V115" s="9">
        <v>778.90700000000004</v>
      </c>
      <c r="W115" s="9">
        <v>509950</v>
      </c>
      <c r="X115" s="9">
        <v>509950</v>
      </c>
      <c r="Y115" s="9">
        <v>0</v>
      </c>
      <c r="Z115" s="9">
        <v>0</v>
      </c>
      <c r="AA115" s="9">
        <v>1</v>
      </c>
      <c r="AB115" s="9">
        <v>1</v>
      </c>
      <c r="AC115" s="9">
        <v>0</v>
      </c>
      <c r="AD115" s="9" t="s">
        <v>314</v>
      </c>
      <c r="AE115" s="9">
        <v>0</v>
      </c>
      <c r="AF115" s="9">
        <v>0</v>
      </c>
      <c r="AG115" s="9">
        <v>0</v>
      </c>
      <c r="AH115" s="9">
        <v>0</v>
      </c>
      <c r="AI115" s="9">
        <v>0</v>
      </c>
      <c r="AJ115" s="9">
        <v>5104</v>
      </c>
      <c r="AK115" s="9" t="s">
        <v>651</v>
      </c>
      <c r="AL115" s="9" t="s">
        <v>349</v>
      </c>
      <c r="AM115" s="9">
        <v>0</v>
      </c>
      <c r="AN115" s="9">
        <v>0</v>
      </c>
      <c r="AO115" s="9">
        <v>0</v>
      </c>
      <c r="AP115" s="9">
        <v>0</v>
      </c>
      <c r="AQ115" s="9">
        <v>0</v>
      </c>
      <c r="AR115" s="9">
        <v>0</v>
      </c>
      <c r="AS115" s="9">
        <v>0</v>
      </c>
      <c r="AT115" s="9">
        <v>0</v>
      </c>
      <c r="AU115" s="9">
        <v>0</v>
      </c>
      <c r="AV115" s="9">
        <v>-304456</v>
      </c>
      <c r="AW115" s="9">
        <v>35520091</v>
      </c>
      <c r="AX115" s="9">
        <v>34491548</v>
      </c>
      <c r="AY115" s="9">
        <v>37670387</v>
      </c>
      <c r="AZ115" s="9">
        <v>2101945</v>
      </c>
      <c r="BA115" s="9">
        <v>86.417000000000002</v>
      </c>
      <c r="BB115" s="9">
        <v>150531</v>
      </c>
      <c r="BC115" s="9">
        <v>150531</v>
      </c>
      <c r="BD115" s="9">
        <v>191.602</v>
      </c>
      <c r="BE115" s="9">
        <v>0</v>
      </c>
      <c r="BF115" s="9">
        <v>29860515</v>
      </c>
      <c r="BG115" s="9">
        <v>0</v>
      </c>
      <c r="BH115" s="9">
        <v>1126.52</v>
      </c>
      <c r="BI115" s="9">
        <v>309793</v>
      </c>
      <c r="BJ115" s="9">
        <v>12</v>
      </c>
      <c r="BK115" s="9">
        <v>0</v>
      </c>
      <c r="BL115" s="9">
        <v>0</v>
      </c>
      <c r="BM115" s="9">
        <v>0</v>
      </c>
      <c r="BN115" s="9">
        <v>0</v>
      </c>
      <c r="BO115" s="9">
        <v>0</v>
      </c>
      <c r="BP115" s="9">
        <v>0</v>
      </c>
      <c r="BQ115" s="9">
        <v>5392</v>
      </c>
      <c r="BR115" s="9">
        <v>1</v>
      </c>
      <c r="BS115" s="9">
        <v>0</v>
      </c>
      <c r="BT115" s="9">
        <v>0</v>
      </c>
      <c r="BU115" s="9">
        <v>0</v>
      </c>
      <c r="BV115" s="9">
        <v>0</v>
      </c>
      <c r="BW115" s="9">
        <v>0</v>
      </c>
      <c r="BX115" s="9">
        <v>0</v>
      </c>
      <c r="BY115" s="9">
        <v>0</v>
      </c>
      <c r="BZ115" s="9">
        <v>0</v>
      </c>
      <c r="CA115" s="9">
        <v>0</v>
      </c>
      <c r="CB115" s="9">
        <v>0</v>
      </c>
      <c r="CC115" s="9">
        <v>0</v>
      </c>
      <c r="CD115" s="9">
        <v>0</v>
      </c>
      <c r="CE115" s="9">
        <v>0</v>
      </c>
      <c r="CF115" s="9">
        <v>0</v>
      </c>
      <c r="CG115" s="9">
        <v>0</v>
      </c>
      <c r="CH115" s="9">
        <v>718750</v>
      </c>
      <c r="CI115" s="9">
        <v>0</v>
      </c>
      <c r="CJ115" s="9">
        <v>4</v>
      </c>
      <c r="CK115" s="9">
        <v>0</v>
      </c>
      <c r="CL115" s="9">
        <v>0</v>
      </c>
      <c r="CM115" s="9">
        <v>0</v>
      </c>
      <c r="CN115" s="9">
        <v>0</v>
      </c>
      <c r="CO115" s="9">
        <v>0</v>
      </c>
      <c r="CP115" s="9">
        <v>0</v>
      </c>
      <c r="CQ115" s="9">
        <v>0</v>
      </c>
      <c r="CR115" s="9">
        <v>3596.0610000000001</v>
      </c>
      <c r="CS115" s="9">
        <v>0</v>
      </c>
      <c r="CT115" s="9">
        <v>0</v>
      </c>
      <c r="CU115" s="9">
        <v>0</v>
      </c>
      <c r="CV115" s="9">
        <v>0</v>
      </c>
      <c r="CW115" s="9">
        <v>0</v>
      </c>
      <c r="CX115" s="9">
        <v>0</v>
      </c>
      <c r="CY115" s="9">
        <v>0</v>
      </c>
      <c r="CZ115" s="9">
        <v>0</v>
      </c>
      <c r="DA115" s="9">
        <v>1</v>
      </c>
      <c r="DB115" s="9">
        <v>22883081</v>
      </c>
      <c r="DC115" s="9">
        <v>0</v>
      </c>
      <c r="DD115" s="9">
        <v>0</v>
      </c>
      <c r="DE115" s="9">
        <v>2847513</v>
      </c>
      <c r="DF115" s="9">
        <v>2847513</v>
      </c>
      <c r="DG115" s="9">
        <v>2174.67</v>
      </c>
      <c r="DH115" s="9">
        <v>0</v>
      </c>
      <c r="DI115" s="9">
        <v>0</v>
      </c>
      <c r="DJ115" s="9">
        <v>0</v>
      </c>
      <c r="DK115" s="9">
        <v>5392</v>
      </c>
      <c r="DL115" s="9">
        <v>0</v>
      </c>
      <c r="DM115" s="9">
        <v>2031833</v>
      </c>
      <c r="DN115" s="9">
        <v>0</v>
      </c>
      <c r="DO115" s="9">
        <v>1385</v>
      </c>
      <c r="DP115" s="9">
        <v>0</v>
      </c>
      <c r="DQ115" s="9">
        <v>0</v>
      </c>
      <c r="DR115" s="9">
        <v>0</v>
      </c>
      <c r="DS115" s="9">
        <v>0</v>
      </c>
      <c r="DT115" s="9">
        <v>8.2000000000000003E-2</v>
      </c>
      <c r="DU115" s="9">
        <v>0</v>
      </c>
      <c r="DV115" s="9">
        <v>1.2E-2</v>
      </c>
      <c r="DW115" s="9">
        <v>0</v>
      </c>
      <c r="DX115" s="9">
        <v>0</v>
      </c>
      <c r="DY115" s="9">
        <v>0</v>
      </c>
      <c r="DZ115" s="9">
        <v>0.28200000000000003</v>
      </c>
      <c r="EA115" s="9">
        <v>8.3000000000000004E-2</v>
      </c>
      <c r="EB115" s="9">
        <v>0</v>
      </c>
      <c r="EC115" s="9">
        <v>48.557000000000002</v>
      </c>
      <c r="ED115" s="9">
        <v>349693</v>
      </c>
      <c r="EE115" s="9">
        <v>14046</v>
      </c>
      <c r="EF115" s="9">
        <v>1.262</v>
      </c>
      <c r="EG115" s="9">
        <v>0</v>
      </c>
      <c r="EH115" s="9">
        <v>1666709</v>
      </c>
      <c r="EI115" s="9">
        <v>0</v>
      </c>
      <c r="EJ115" s="9">
        <v>0</v>
      </c>
      <c r="EK115" s="9">
        <v>70.504000000000005</v>
      </c>
      <c r="EL115" s="9">
        <v>0</v>
      </c>
      <c r="EM115" s="9">
        <v>5.7080000000000002</v>
      </c>
      <c r="EN115" s="9">
        <v>5.1050000000000004</v>
      </c>
      <c r="EO115" s="9">
        <v>0</v>
      </c>
      <c r="EP115" s="9">
        <v>0</v>
      </c>
      <c r="EQ115" s="9">
        <v>81.400000000000006</v>
      </c>
      <c r="ER115" s="9">
        <v>0</v>
      </c>
      <c r="ES115" s="9">
        <v>254.57600000000002</v>
      </c>
      <c r="ET115" s="9">
        <v>43209</v>
      </c>
      <c r="EU115" s="9">
        <v>2101945</v>
      </c>
      <c r="EV115" s="9">
        <v>0</v>
      </c>
      <c r="EW115" s="9">
        <v>0</v>
      </c>
      <c r="EX115" s="9">
        <v>0</v>
      </c>
      <c r="EY115" s="9">
        <v>0</v>
      </c>
      <c r="EZ115" s="9">
        <v>28888520</v>
      </c>
      <c r="FA115" s="9">
        <v>0</v>
      </c>
      <c r="FB115" s="9">
        <v>30990465</v>
      </c>
      <c r="FC115" s="9">
        <v>0.97326799999999991</v>
      </c>
      <c r="FD115" s="9">
        <v>0</v>
      </c>
      <c r="FE115" s="9">
        <v>4619341</v>
      </c>
      <c r="FF115" s="9">
        <v>983687</v>
      </c>
      <c r="FG115" s="9">
        <v>5.8088000000000001E-2</v>
      </c>
      <c r="FH115" s="9">
        <v>5.2622999999999996E-2</v>
      </c>
      <c r="FI115" s="9">
        <v>0</v>
      </c>
      <c r="FJ115" s="9">
        <v>0</v>
      </c>
      <c r="FK115" s="9">
        <v>5850.7330000000002</v>
      </c>
      <c r="FL115" s="9">
        <v>37312243</v>
      </c>
      <c r="FM115" s="9">
        <v>0</v>
      </c>
      <c r="FN115" s="9">
        <v>0</v>
      </c>
      <c r="FO115" s="9">
        <v>0</v>
      </c>
      <c r="FP115" s="9">
        <v>0</v>
      </c>
      <c r="FQ115" s="9">
        <v>0</v>
      </c>
      <c r="FR115" s="9">
        <v>0</v>
      </c>
      <c r="FS115" s="9">
        <v>0</v>
      </c>
      <c r="FT115" s="9">
        <v>0</v>
      </c>
      <c r="FU115" s="9">
        <v>0</v>
      </c>
      <c r="FV115" s="9">
        <v>0</v>
      </c>
      <c r="FW115" s="9">
        <v>0</v>
      </c>
      <c r="FX115" s="9">
        <v>0</v>
      </c>
      <c r="FY115" s="9">
        <v>0</v>
      </c>
      <c r="FZ115" s="9">
        <v>0</v>
      </c>
      <c r="GA115" s="9">
        <v>0</v>
      </c>
      <c r="GB115" s="9">
        <v>2257764</v>
      </c>
      <c r="GC115" s="9">
        <v>2257764</v>
      </c>
      <c r="GD115" s="9">
        <v>255.44800000000001</v>
      </c>
      <c r="GE115" s="9">
        <v>0</v>
      </c>
      <c r="GF115" s="9">
        <v>0</v>
      </c>
      <c r="GG115" s="9">
        <v>0</v>
      </c>
      <c r="GH115" s="9">
        <v>0</v>
      </c>
      <c r="GI115" s="9">
        <v>0</v>
      </c>
      <c r="GJ115" s="9">
        <v>0</v>
      </c>
      <c r="GK115" s="9">
        <v>5101</v>
      </c>
      <c r="GL115" s="9">
        <v>10856</v>
      </c>
      <c r="GM115" s="9">
        <v>0</v>
      </c>
      <c r="GN115" s="9">
        <v>0</v>
      </c>
      <c r="GO115" s="9">
        <v>0</v>
      </c>
      <c r="GP115" s="9">
        <v>36593493</v>
      </c>
      <c r="GQ115" s="9">
        <v>36593493</v>
      </c>
      <c r="GR115" s="9">
        <v>0</v>
      </c>
      <c r="GS115" s="9">
        <v>0</v>
      </c>
      <c r="GT115" s="9">
        <v>0</v>
      </c>
      <c r="GU115" s="9">
        <v>0</v>
      </c>
      <c r="GV115" s="9">
        <v>0</v>
      </c>
      <c r="GW115" s="9">
        <v>0</v>
      </c>
      <c r="GX115" s="9">
        <v>0</v>
      </c>
      <c r="GY115" s="9">
        <v>0</v>
      </c>
      <c r="GZ115" s="9">
        <v>0</v>
      </c>
      <c r="HA115" s="9">
        <v>0</v>
      </c>
      <c r="HB115" s="9">
        <v>300501363</v>
      </c>
      <c r="HC115" s="9">
        <v>4.4742999999999998E-2</v>
      </c>
      <c r="HD115" s="9">
        <v>675541</v>
      </c>
      <c r="HE115" s="9">
        <v>0</v>
      </c>
      <c r="HF115" s="9">
        <v>0</v>
      </c>
      <c r="HG115" s="9">
        <v>0</v>
      </c>
      <c r="HH115" s="9">
        <v>0</v>
      </c>
      <c r="HI115" s="9">
        <v>0</v>
      </c>
      <c r="HJ115" s="9">
        <v>0</v>
      </c>
      <c r="HK115" s="9">
        <v>0</v>
      </c>
      <c r="HL115" s="9">
        <v>0</v>
      </c>
      <c r="HM115" s="9">
        <v>0</v>
      </c>
      <c r="HN115" s="9">
        <v>0</v>
      </c>
      <c r="HO115" s="9">
        <v>0</v>
      </c>
      <c r="HP115" s="9">
        <v>0</v>
      </c>
      <c r="HQ115" s="9">
        <v>0</v>
      </c>
      <c r="HR115" s="9">
        <v>0</v>
      </c>
      <c r="HS115" s="9">
        <v>0</v>
      </c>
      <c r="HT115" s="9">
        <v>0</v>
      </c>
      <c r="HU115" s="9">
        <v>0</v>
      </c>
      <c r="HV115" s="9">
        <v>0</v>
      </c>
      <c r="HW115" s="9">
        <v>0</v>
      </c>
      <c r="HX115" s="9">
        <v>0</v>
      </c>
      <c r="HY115" s="9">
        <v>0</v>
      </c>
      <c r="HZ115" s="9">
        <v>0</v>
      </c>
      <c r="IA115" s="9">
        <v>0</v>
      </c>
      <c r="IB115" s="9">
        <v>0</v>
      </c>
      <c r="IC115" s="9">
        <v>0</v>
      </c>
      <c r="ID115" s="9">
        <v>0</v>
      </c>
      <c r="IE115" s="9">
        <v>0</v>
      </c>
      <c r="IF115" s="9">
        <v>0</v>
      </c>
      <c r="IG115" s="9">
        <v>0</v>
      </c>
      <c r="IH115" s="9">
        <v>0</v>
      </c>
      <c r="II115" s="9">
        <v>0</v>
      </c>
      <c r="IJ115" s="9">
        <v>0</v>
      </c>
      <c r="IK115" s="9">
        <v>0</v>
      </c>
      <c r="IL115" s="9">
        <v>0</v>
      </c>
      <c r="IM115" s="9">
        <v>0</v>
      </c>
      <c r="IN115" s="9">
        <v>0</v>
      </c>
      <c r="IO115" s="9">
        <v>0</v>
      </c>
      <c r="IP115" s="9">
        <v>0</v>
      </c>
      <c r="IQ115" s="9">
        <v>0</v>
      </c>
      <c r="IR115" s="9">
        <v>0</v>
      </c>
      <c r="IS115" s="9">
        <v>0</v>
      </c>
      <c r="IT115" s="9">
        <v>0</v>
      </c>
      <c r="IU115" s="9">
        <v>0</v>
      </c>
      <c r="IV115" s="9">
        <v>0</v>
      </c>
      <c r="IW115" s="9">
        <v>0</v>
      </c>
      <c r="IX115" s="9">
        <v>0</v>
      </c>
      <c r="IY115" s="9">
        <v>0</v>
      </c>
      <c r="IZ115" s="9">
        <v>0</v>
      </c>
      <c r="JA115" s="9">
        <v>0</v>
      </c>
      <c r="JB115" s="9">
        <v>0</v>
      </c>
      <c r="JC115" s="9">
        <v>0</v>
      </c>
      <c r="JD115" s="9">
        <v>0</v>
      </c>
      <c r="JE115" s="9">
        <v>0</v>
      </c>
      <c r="JF115" s="9">
        <v>0</v>
      </c>
      <c r="JG115" s="9">
        <v>0</v>
      </c>
      <c r="JH115" s="9">
        <v>0</v>
      </c>
      <c r="JI115" s="9">
        <v>0</v>
      </c>
      <c r="JJ115" s="9">
        <v>0</v>
      </c>
      <c r="JK115" s="9">
        <v>0</v>
      </c>
      <c r="JL115" s="9">
        <v>0</v>
      </c>
      <c r="JM115" s="9">
        <v>0</v>
      </c>
      <c r="JN115" s="9">
        <v>36832</v>
      </c>
      <c r="JO115" s="9">
        <v>0</v>
      </c>
      <c r="JP115" s="9">
        <v>0</v>
      </c>
      <c r="JQ115" s="9">
        <v>0</v>
      </c>
      <c r="JR115" s="9">
        <v>0</v>
      </c>
      <c r="JS115" s="9">
        <v>0</v>
      </c>
      <c r="JT115" s="9">
        <v>0</v>
      </c>
      <c r="JU115" s="9">
        <v>0</v>
      </c>
      <c r="JV115" s="9">
        <v>0</v>
      </c>
      <c r="JW115" s="9">
        <v>0</v>
      </c>
      <c r="JX115" s="9">
        <v>0</v>
      </c>
      <c r="JY115" s="9">
        <v>0</v>
      </c>
      <c r="JZ115" s="9">
        <v>0</v>
      </c>
      <c r="KA115" s="9">
        <v>0</v>
      </c>
      <c r="KB115" s="9">
        <v>0</v>
      </c>
      <c r="KC115" s="9">
        <v>0</v>
      </c>
      <c r="KD115" s="9">
        <v>0</v>
      </c>
      <c r="KE115" s="9">
        <v>0</v>
      </c>
      <c r="KF115" s="9">
        <v>0</v>
      </c>
      <c r="KG115" s="9">
        <v>0</v>
      </c>
      <c r="KH115" s="9">
        <v>0</v>
      </c>
      <c r="KI115" s="9">
        <v>0</v>
      </c>
    </row>
    <row r="116" spans="1:295" x14ac:dyDescent="0.25">
      <c r="A116" s="9">
        <v>101864</v>
      </c>
      <c r="B116" s="9">
        <v>36871</v>
      </c>
      <c r="C116" s="9">
        <v>35</v>
      </c>
      <c r="D116" s="9">
        <v>2023</v>
      </c>
      <c r="E116" s="9">
        <v>5392</v>
      </c>
      <c r="F116" s="9">
        <v>0</v>
      </c>
      <c r="G116" s="9">
        <v>0</v>
      </c>
      <c r="H116" s="9">
        <v>171.32300000000001</v>
      </c>
      <c r="I116" s="9">
        <v>171.32300000000001</v>
      </c>
      <c r="J116" s="9">
        <v>173.465</v>
      </c>
      <c r="K116" s="9">
        <v>0</v>
      </c>
      <c r="L116" s="9">
        <v>6547</v>
      </c>
      <c r="M116" s="9">
        <v>0</v>
      </c>
      <c r="N116" s="9">
        <v>0</v>
      </c>
      <c r="O116" s="9">
        <v>0</v>
      </c>
      <c r="P116" s="9">
        <v>178.495</v>
      </c>
      <c r="Q116" s="9">
        <v>0</v>
      </c>
      <c r="R116" s="9">
        <v>86913</v>
      </c>
      <c r="S116" s="9">
        <v>486.92200000000003</v>
      </c>
      <c r="T116" s="9">
        <v>0</v>
      </c>
      <c r="U116" s="9">
        <v>86913</v>
      </c>
      <c r="V116" s="9">
        <v>0</v>
      </c>
      <c r="W116" s="9">
        <v>0</v>
      </c>
      <c r="X116" s="9">
        <v>0</v>
      </c>
      <c r="Y116" s="9">
        <v>0</v>
      </c>
      <c r="Z116" s="9">
        <v>0</v>
      </c>
      <c r="AA116" s="9">
        <v>1</v>
      </c>
      <c r="AB116" s="9">
        <v>1</v>
      </c>
      <c r="AC116" s="9">
        <v>0</v>
      </c>
      <c r="AD116" s="9" t="s">
        <v>314</v>
      </c>
      <c r="AE116" s="9">
        <v>0</v>
      </c>
      <c r="AF116" s="9">
        <v>0</v>
      </c>
      <c r="AG116" s="9">
        <v>0</v>
      </c>
      <c r="AH116" s="9">
        <v>0</v>
      </c>
      <c r="AI116" s="9">
        <v>0</v>
      </c>
      <c r="AJ116" s="9">
        <v>5104</v>
      </c>
      <c r="AK116" s="9" t="s">
        <v>651</v>
      </c>
      <c r="AL116" s="9" t="s">
        <v>350</v>
      </c>
      <c r="AM116" s="9">
        <v>0</v>
      </c>
      <c r="AN116" s="9">
        <v>0</v>
      </c>
      <c r="AO116" s="9">
        <v>0</v>
      </c>
      <c r="AP116" s="9">
        <v>0</v>
      </c>
      <c r="AQ116" s="9">
        <v>0</v>
      </c>
      <c r="AR116" s="9">
        <v>0</v>
      </c>
      <c r="AS116" s="9">
        <v>0</v>
      </c>
      <c r="AT116" s="9">
        <v>0</v>
      </c>
      <c r="AU116" s="9">
        <v>0</v>
      </c>
      <c r="AV116" s="9">
        <v>-99407</v>
      </c>
      <c r="AW116" s="9">
        <v>1724873</v>
      </c>
      <c r="AX116" s="9">
        <v>1694293</v>
      </c>
      <c r="AY116" s="9">
        <v>1716071</v>
      </c>
      <c r="AZ116" s="9">
        <v>86913</v>
      </c>
      <c r="BA116" s="9">
        <v>0</v>
      </c>
      <c r="BB116" s="9">
        <v>0</v>
      </c>
      <c r="BC116" s="9">
        <v>0</v>
      </c>
      <c r="BD116" s="9">
        <v>0</v>
      </c>
      <c r="BE116" s="9">
        <v>0</v>
      </c>
      <c r="BF116" s="9">
        <v>1455483</v>
      </c>
      <c r="BG116" s="9">
        <v>0</v>
      </c>
      <c r="BH116" s="9">
        <v>0</v>
      </c>
      <c r="BI116" s="9">
        <v>0</v>
      </c>
      <c r="BJ116" s="9">
        <v>12</v>
      </c>
      <c r="BK116" s="9">
        <v>0</v>
      </c>
      <c r="BL116" s="9">
        <v>0</v>
      </c>
      <c r="BM116" s="9">
        <v>0</v>
      </c>
      <c r="BN116" s="9">
        <v>0</v>
      </c>
      <c r="BO116" s="9">
        <v>0</v>
      </c>
      <c r="BP116" s="9">
        <v>0</v>
      </c>
      <c r="BQ116" s="9">
        <v>5392</v>
      </c>
      <c r="BR116" s="9">
        <v>1</v>
      </c>
      <c r="BS116" s="9">
        <v>0</v>
      </c>
      <c r="BT116" s="9">
        <v>0</v>
      </c>
      <c r="BU116" s="9">
        <v>0</v>
      </c>
      <c r="BV116" s="9">
        <v>0</v>
      </c>
      <c r="BW116" s="9">
        <v>0</v>
      </c>
      <c r="BX116" s="9">
        <v>0</v>
      </c>
      <c r="BY116" s="9">
        <v>0</v>
      </c>
      <c r="BZ116" s="9">
        <v>0</v>
      </c>
      <c r="CA116" s="9">
        <v>0</v>
      </c>
      <c r="CB116" s="9">
        <v>0</v>
      </c>
      <c r="CC116" s="9">
        <v>0</v>
      </c>
      <c r="CD116" s="9">
        <v>0</v>
      </c>
      <c r="CE116" s="9">
        <v>0</v>
      </c>
      <c r="CF116" s="9">
        <v>0</v>
      </c>
      <c r="CG116" s="9">
        <v>0</v>
      </c>
      <c r="CH116" s="9">
        <v>30580</v>
      </c>
      <c r="CI116" s="9">
        <v>0</v>
      </c>
      <c r="CJ116" s="9">
        <v>4</v>
      </c>
      <c r="CK116" s="9">
        <v>0</v>
      </c>
      <c r="CL116" s="9">
        <v>0</v>
      </c>
      <c r="CM116" s="9">
        <v>0</v>
      </c>
      <c r="CN116" s="9">
        <v>0</v>
      </c>
      <c r="CO116" s="9">
        <v>0</v>
      </c>
      <c r="CP116" s="9">
        <v>0</v>
      </c>
      <c r="CQ116" s="9">
        <v>0</v>
      </c>
      <c r="CR116" s="9">
        <v>169.363</v>
      </c>
      <c r="CS116" s="9">
        <v>0</v>
      </c>
      <c r="CT116" s="9">
        <v>0</v>
      </c>
      <c r="CU116" s="9">
        <v>0</v>
      </c>
      <c r="CV116" s="9">
        <v>0</v>
      </c>
      <c r="CW116" s="9">
        <v>0</v>
      </c>
      <c r="CX116" s="9">
        <v>0</v>
      </c>
      <c r="CY116" s="9">
        <v>0</v>
      </c>
      <c r="CZ116" s="9">
        <v>0</v>
      </c>
      <c r="DA116" s="9">
        <v>1</v>
      </c>
      <c r="DB116" s="9">
        <v>1121652</v>
      </c>
      <c r="DC116" s="9">
        <v>0</v>
      </c>
      <c r="DD116" s="9">
        <v>0</v>
      </c>
      <c r="DE116" s="9">
        <v>244203</v>
      </c>
      <c r="DF116" s="9">
        <v>244203</v>
      </c>
      <c r="DG116" s="9">
        <v>186.5</v>
      </c>
      <c r="DH116" s="9">
        <v>0</v>
      </c>
      <c r="DI116" s="9">
        <v>0</v>
      </c>
      <c r="DJ116" s="9">
        <v>0</v>
      </c>
      <c r="DK116" s="9">
        <v>5392</v>
      </c>
      <c r="DL116" s="9">
        <v>0</v>
      </c>
      <c r="DM116" s="9">
        <v>129605</v>
      </c>
      <c r="DN116" s="9">
        <v>0</v>
      </c>
      <c r="DO116" s="9">
        <v>0</v>
      </c>
      <c r="DP116" s="9">
        <v>0</v>
      </c>
      <c r="DQ116" s="9">
        <v>0</v>
      </c>
      <c r="DR116" s="9">
        <v>0</v>
      </c>
      <c r="DS116" s="9">
        <v>0</v>
      </c>
      <c r="DT116" s="9">
        <v>0</v>
      </c>
      <c r="DU116" s="9">
        <v>0</v>
      </c>
      <c r="DV116" s="9">
        <v>0</v>
      </c>
      <c r="DW116" s="9">
        <v>0</v>
      </c>
      <c r="DX116" s="9">
        <v>0</v>
      </c>
      <c r="DY116" s="9">
        <v>0</v>
      </c>
      <c r="DZ116" s="9">
        <v>0</v>
      </c>
      <c r="EA116" s="9">
        <v>0</v>
      </c>
      <c r="EB116" s="9">
        <v>0</v>
      </c>
      <c r="EC116" s="9">
        <v>12.08</v>
      </c>
      <c r="ED116" s="9">
        <v>86997</v>
      </c>
      <c r="EE116" s="9">
        <v>0</v>
      </c>
      <c r="EF116" s="9">
        <v>0</v>
      </c>
      <c r="EG116" s="9">
        <v>0</v>
      </c>
      <c r="EH116" s="9">
        <v>42608</v>
      </c>
      <c r="EI116" s="9">
        <v>0</v>
      </c>
      <c r="EJ116" s="9">
        <v>0</v>
      </c>
      <c r="EK116" s="9">
        <v>1.647</v>
      </c>
      <c r="EL116" s="9">
        <v>0</v>
      </c>
      <c r="EM116" s="9">
        <v>0.45400000000000001</v>
      </c>
      <c r="EN116" s="9">
        <v>4.1000000000000002E-2</v>
      </c>
      <c r="EO116" s="9">
        <v>0</v>
      </c>
      <c r="EP116" s="9">
        <v>0</v>
      </c>
      <c r="EQ116" s="9">
        <v>2.1419999999999999</v>
      </c>
      <c r="ER116" s="9">
        <v>0</v>
      </c>
      <c r="ES116" s="9">
        <v>6.508</v>
      </c>
      <c r="ET116" s="9">
        <v>0</v>
      </c>
      <c r="EU116" s="9">
        <v>86913</v>
      </c>
      <c r="EV116" s="9">
        <v>0</v>
      </c>
      <c r="EW116" s="9">
        <v>0</v>
      </c>
      <c r="EX116" s="9">
        <v>0</v>
      </c>
      <c r="EY116" s="9">
        <v>0</v>
      </c>
      <c r="EZ116" s="9">
        <v>1421185</v>
      </c>
      <c r="FA116" s="9">
        <v>0</v>
      </c>
      <c r="FB116" s="9">
        <v>1508098</v>
      </c>
      <c r="FC116" s="9">
        <v>0.97326799999999991</v>
      </c>
      <c r="FD116" s="9">
        <v>0</v>
      </c>
      <c r="FE116" s="9">
        <v>225160</v>
      </c>
      <c r="FF116" s="9">
        <v>47948</v>
      </c>
      <c r="FG116" s="9">
        <v>5.8088000000000001E-2</v>
      </c>
      <c r="FH116" s="9">
        <v>5.2622999999999996E-2</v>
      </c>
      <c r="FI116" s="9">
        <v>0</v>
      </c>
      <c r="FJ116" s="9">
        <v>0</v>
      </c>
      <c r="FK116" s="9">
        <v>285.18100000000004</v>
      </c>
      <c r="FL116" s="9">
        <v>1811786</v>
      </c>
      <c r="FM116" s="9">
        <v>0</v>
      </c>
      <c r="FN116" s="9">
        <v>0</v>
      </c>
      <c r="FO116" s="9">
        <v>12638</v>
      </c>
      <c r="FP116" s="9">
        <v>0</v>
      </c>
      <c r="FQ116" s="9">
        <v>12638</v>
      </c>
      <c r="FR116" s="9">
        <v>12638</v>
      </c>
      <c r="FS116" s="9">
        <v>0</v>
      </c>
      <c r="FT116" s="9">
        <v>0</v>
      </c>
      <c r="FU116" s="9">
        <v>0</v>
      </c>
      <c r="FV116" s="9">
        <v>0</v>
      </c>
      <c r="FW116" s="9">
        <v>0</v>
      </c>
      <c r="FX116" s="9">
        <v>0</v>
      </c>
      <c r="FY116" s="9">
        <v>0</v>
      </c>
      <c r="FZ116" s="9">
        <v>0</v>
      </c>
      <c r="GA116" s="9">
        <v>0</v>
      </c>
      <c r="GB116" s="9">
        <v>0</v>
      </c>
      <c r="GC116" s="9">
        <v>0</v>
      </c>
      <c r="GD116" s="9">
        <v>0</v>
      </c>
      <c r="GE116" s="9">
        <v>0</v>
      </c>
      <c r="GF116" s="9">
        <v>0</v>
      </c>
      <c r="GG116" s="9">
        <v>0</v>
      </c>
      <c r="GH116" s="9">
        <v>0</v>
      </c>
      <c r="GI116" s="9">
        <v>0</v>
      </c>
      <c r="GJ116" s="9">
        <v>0</v>
      </c>
      <c r="GK116" s="9">
        <v>4971</v>
      </c>
      <c r="GL116" s="9">
        <v>0</v>
      </c>
      <c r="GM116" s="9">
        <v>0</v>
      </c>
      <c r="GN116" s="9">
        <v>0</v>
      </c>
      <c r="GO116" s="9">
        <v>0</v>
      </c>
      <c r="GP116" s="9">
        <v>1781206</v>
      </c>
      <c r="GQ116" s="9">
        <v>1781206</v>
      </c>
      <c r="GR116" s="9">
        <v>0</v>
      </c>
      <c r="GS116" s="9">
        <v>0</v>
      </c>
      <c r="GT116" s="9">
        <v>0</v>
      </c>
      <c r="GU116" s="9">
        <v>0</v>
      </c>
      <c r="GV116" s="9">
        <v>0</v>
      </c>
      <c r="GW116" s="9">
        <v>0</v>
      </c>
      <c r="GX116" s="9">
        <v>0</v>
      </c>
      <c r="GY116" s="9">
        <v>0</v>
      </c>
      <c r="GZ116" s="9">
        <v>0</v>
      </c>
      <c r="HA116" s="9">
        <v>0</v>
      </c>
      <c r="HB116" s="9">
        <v>300501363</v>
      </c>
      <c r="HC116" s="9">
        <v>4.4742999999999998E-2</v>
      </c>
      <c r="HD116" s="9">
        <v>30580</v>
      </c>
      <c r="HE116" s="9">
        <v>0</v>
      </c>
      <c r="HF116" s="9">
        <v>0</v>
      </c>
      <c r="HG116" s="9">
        <v>0</v>
      </c>
      <c r="HH116" s="9">
        <v>0</v>
      </c>
      <c r="HI116" s="9">
        <v>0</v>
      </c>
      <c r="HJ116" s="9">
        <v>0</v>
      </c>
      <c r="HK116" s="9">
        <v>0</v>
      </c>
      <c r="HL116" s="9">
        <v>0</v>
      </c>
      <c r="HM116" s="9">
        <v>0</v>
      </c>
      <c r="HN116" s="9">
        <v>0</v>
      </c>
      <c r="HO116" s="9">
        <v>0</v>
      </c>
      <c r="HP116" s="9">
        <v>0</v>
      </c>
      <c r="HQ116" s="9">
        <v>0</v>
      </c>
      <c r="HR116" s="9">
        <v>0</v>
      </c>
      <c r="HS116" s="9">
        <v>0</v>
      </c>
      <c r="HT116" s="9">
        <v>0</v>
      </c>
      <c r="HU116" s="9">
        <v>0</v>
      </c>
      <c r="HV116" s="9">
        <v>0</v>
      </c>
      <c r="HW116" s="9">
        <v>0</v>
      </c>
      <c r="HX116" s="9">
        <v>0</v>
      </c>
      <c r="HY116" s="9">
        <v>0</v>
      </c>
      <c r="HZ116" s="9">
        <v>0</v>
      </c>
      <c r="IA116" s="9">
        <v>0</v>
      </c>
      <c r="IB116" s="9">
        <v>0</v>
      </c>
      <c r="IC116" s="9">
        <v>0</v>
      </c>
      <c r="ID116" s="9">
        <v>0</v>
      </c>
      <c r="IE116" s="9">
        <v>0</v>
      </c>
      <c r="IF116" s="9">
        <v>0</v>
      </c>
      <c r="IG116" s="9">
        <v>0</v>
      </c>
      <c r="IH116" s="9">
        <v>0</v>
      </c>
      <c r="II116" s="9">
        <v>0</v>
      </c>
      <c r="IJ116" s="9">
        <v>0</v>
      </c>
      <c r="IK116" s="9">
        <v>0</v>
      </c>
      <c r="IL116" s="9">
        <v>0</v>
      </c>
      <c r="IM116" s="9">
        <v>0</v>
      </c>
      <c r="IN116" s="9">
        <v>0</v>
      </c>
      <c r="IO116" s="9">
        <v>0</v>
      </c>
      <c r="IP116" s="9">
        <v>0</v>
      </c>
      <c r="IQ116" s="9">
        <v>0</v>
      </c>
      <c r="IR116" s="9">
        <v>0</v>
      </c>
      <c r="IS116" s="9">
        <v>0</v>
      </c>
      <c r="IT116" s="9">
        <v>0</v>
      </c>
      <c r="IU116" s="9">
        <v>0</v>
      </c>
      <c r="IV116" s="9">
        <v>0</v>
      </c>
      <c r="IW116" s="9">
        <v>0</v>
      </c>
      <c r="IX116" s="9">
        <v>0</v>
      </c>
      <c r="IY116" s="9">
        <v>0</v>
      </c>
      <c r="IZ116" s="9">
        <v>0</v>
      </c>
      <c r="JA116" s="9">
        <v>0</v>
      </c>
      <c r="JB116" s="9">
        <v>0</v>
      </c>
      <c r="JC116" s="9">
        <v>0</v>
      </c>
      <c r="JD116" s="9">
        <v>0</v>
      </c>
      <c r="JE116" s="9">
        <v>0</v>
      </c>
      <c r="JF116" s="9">
        <v>0</v>
      </c>
      <c r="JG116" s="9">
        <v>0</v>
      </c>
      <c r="JH116" s="9">
        <v>0</v>
      </c>
      <c r="JI116" s="9">
        <v>0</v>
      </c>
      <c r="JJ116" s="9">
        <v>0</v>
      </c>
      <c r="JK116" s="9">
        <v>0</v>
      </c>
      <c r="JL116" s="9">
        <v>0</v>
      </c>
      <c r="JM116" s="9">
        <v>0</v>
      </c>
      <c r="JN116" s="9">
        <v>36832</v>
      </c>
      <c r="JO116" s="9">
        <v>0</v>
      </c>
      <c r="JP116" s="9">
        <v>0</v>
      </c>
      <c r="JQ116" s="9">
        <v>0</v>
      </c>
      <c r="JR116" s="9">
        <v>0</v>
      </c>
      <c r="JS116" s="9">
        <v>0</v>
      </c>
      <c r="JT116" s="9">
        <v>0</v>
      </c>
      <c r="JU116" s="9">
        <v>0</v>
      </c>
      <c r="JV116" s="9">
        <v>0</v>
      </c>
      <c r="JW116" s="9">
        <v>0</v>
      </c>
      <c r="JX116" s="9">
        <v>0</v>
      </c>
      <c r="JY116" s="9">
        <v>0</v>
      </c>
      <c r="JZ116" s="9">
        <v>0</v>
      </c>
      <c r="KA116" s="9">
        <v>0</v>
      </c>
      <c r="KB116" s="9">
        <v>0</v>
      </c>
      <c r="KC116" s="9">
        <v>0</v>
      </c>
      <c r="KD116" s="9">
        <v>0</v>
      </c>
      <c r="KE116" s="9">
        <v>0</v>
      </c>
      <c r="KF116" s="9">
        <v>0</v>
      </c>
      <c r="KG116" s="9">
        <v>0</v>
      </c>
      <c r="KH116" s="9">
        <v>0</v>
      </c>
      <c r="KI116" s="9">
        <v>0</v>
      </c>
    </row>
    <row r="117" spans="1:295" x14ac:dyDescent="0.25">
      <c r="A117" s="9">
        <v>101868</v>
      </c>
      <c r="B117" s="9">
        <v>36871</v>
      </c>
      <c r="C117" s="9">
        <v>35</v>
      </c>
      <c r="D117" s="9">
        <v>2023</v>
      </c>
      <c r="E117" s="9">
        <v>5392</v>
      </c>
      <c r="F117" s="9">
        <v>0</v>
      </c>
      <c r="G117" s="9">
        <v>0</v>
      </c>
      <c r="H117" s="9">
        <v>451.34300000000002</v>
      </c>
      <c r="I117" s="9">
        <v>451.34300000000002</v>
      </c>
      <c r="J117" s="9">
        <v>478.55200000000002</v>
      </c>
      <c r="K117" s="9">
        <v>0</v>
      </c>
      <c r="L117" s="9">
        <v>6547</v>
      </c>
      <c r="M117" s="9">
        <v>0</v>
      </c>
      <c r="N117" s="9">
        <v>0</v>
      </c>
      <c r="O117" s="9">
        <v>0</v>
      </c>
      <c r="P117" s="9">
        <v>446.99100000000004</v>
      </c>
      <c r="Q117" s="9">
        <v>0</v>
      </c>
      <c r="R117" s="9">
        <v>217650</v>
      </c>
      <c r="S117" s="9">
        <v>486.92200000000003</v>
      </c>
      <c r="T117" s="9">
        <v>0</v>
      </c>
      <c r="U117" s="9">
        <v>217650</v>
      </c>
      <c r="V117" s="9">
        <v>0</v>
      </c>
      <c r="W117" s="9">
        <v>0</v>
      </c>
      <c r="X117" s="9">
        <v>0</v>
      </c>
      <c r="Y117" s="9">
        <v>0</v>
      </c>
      <c r="Z117" s="9">
        <v>0</v>
      </c>
      <c r="AA117" s="9">
        <v>1</v>
      </c>
      <c r="AB117" s="9">
        <v>1</v>
      </c>
      <c r="AC117" s="9">
        <v>0</v>
      </c>
      <c r="AD117" s="9" t="s">
        <v>314</v>
      </c>
      <c r="AE117" s="9">
        <v>0</v>
      </c>
      <c r="AF117" s="9">
        <v>0</v>
      </c>
      <c r="AG117" s="9">
        <v>0</v>
      </c>
      <c r="AH117" s="9">
        <v>0</v>
      </c>
      <c r="AI117" s="9">
        <v>0</v>
      </c>
      <c r="AJ117" s="9">
        <v>5104</v>
      </c>
      <c r="AK117" s="9" t="s">
        <v>651</v>
      </c>
      <c r="AL117" s="9" t="s">
        <v>351</v>
      </c>
      <c r="AM117" s="9">
        <v>0</v>
      </c>
      <c r="AN117" s="9">
        <v>0</v>
      </c>
      <c r="AO117" s="9">
        <v>0</v>
      </c>
      <c r="AP117" s="9">
        <v>0</v>
      </c>
      <c r="AQ117" s="9">
        <v>0</v>
      </c>
      <c r="AR117" s="9">
        <v>0</v>
      </c>
      <c r="AS117" s="9">
        <v>0</v>
      </c>
      <c r="AT117" s="9">
        <v>0</v>
      </c>
      <c r="AU117" s="9">
        <v>0</v>
      </c>
      <c r="AV117" s="9">
        <v>-126403</v>
      </c>
      <c r="AW117" s="9">
        <v>4906317</v>
      </c>
      <c r="AX117" s="9">
        <v>4775098</v>
      </c>
      <c r="AY117" s="9">
        <v>4223791</v>
      </c>
      <c r="AZ117" s="9">
        <v>264506</v>
      </c>
      <c r="BA117" s="9">
        <v>0</v>
      </c>
      <c r="BB117" s="9">
        <v>0</v>
      </c>
      <c r="BC117" s="9">
        <v>0</v>
      </c>
      <c r="BD117" s="9">
        <v>0</v>
      </c>
      <c r="BE117" s="9">
        <v>0</v>
      </c>
      <c r="BF117" s="9">
        <v>4088176</v>
      </c>
      <c r="BG117" s="9">
        <v>0</v>
      </c>
      <c r="BH117" s="9">
        <v>170.38500000000002</v>
      </c>
      <c r="BI117" s="9">
        <v>46856</v>
      </c>
      <c r="BJ117" s="9">
        <v>12</v>
      </c>
      <c r="BK117" s="9">
        <v>0</v>
      </c>
      <c r="BL117" s="9">
        <v>0</v>
      </c>
      <c r="BM117" s="9">
        <v>0</v>
      </c>
      <c r="BN117" s="9">
        <v>0</v>
      </c>
      <c r="BO117" s="9">
        <v>0</v>
      </c>
      <c r="BP117" s="9">
        <v>0</v>
      </c>
      <c r="BQ117" s="9">
        <v>5392</v>
      </c>
      <c r="BR117" s="9">
        <v>1</v>
      </c>
      <c r="BS117" s="9">
        <v>0</v>
      </c>
      <c r="BT117" s="9">
        <v>0</v>
      </c>
      <c r="BU117" s="9">
        <v>0</v>
      </c>
      <c r="BV117" s="9">
        <v>0</v>
      </c>
      <c r="BW117" s="9">
        <v>0</v>
      </c>
      <c r="BX117" s="9">
        <v>0</v>
      </c>
      <c r="BY117" s="9">
        <v>0</v>
      </c>
      <c r="BZ117" s="9">
        <v>0</v>
      </c>
      <c r="CA117" s="9">
        <v>0</v>
      </c>
      <c r="CB117" s="9">
        <v>0</v>
      </c>
      <c r="CC117" s="9">
        <v>0</v>
      </c>
      <c r="CD117" s="9">
        <v>0</v>
      </c>
      <c r="CE117" s="9">
        <v>0</v>
      </c>
      <c r="CF117" s="9">
        <v>0</v>
      </c>
      <c r="CG117" s="9">
        <v>0</v>
      </c>
      <c r="CH117" s="9">
        <v>84363</v>
      </c>
      <c r="CI117" s="9">
        <v>0</v>
      </c>
      <c r="CJ117" s="9">
        <v>5</v>
      </c>
      <c r="CK117" s="9">
        <v>0</v>
      </c>
      <c r="CL117" s="9">
        <v>0</v>
      </c>
      <c r="CM117" s="9">
        <v>0</v>
      </c>
      <c r="CN117" s="9">
        <v>0</v>
      </c>
      <c r="CO117" s="9">
        <v>0</v>
      </c>
      <c r="CP117" s="9">
        <v>0.13</v>
      </c>
      <c r="CQ117" s="9">
        <v>0</v>
      </c>
      <c r="CR117" s="9">
        <v>431.06600000000003</v>
      </c>
      <c r="CS117" s="9">
        <v>0</v>
      </c>
      <c r="CT117" s="9">
        <v>0</v>
      </c>
      <c r="CU117" s="9">
        <v>0</v>
      </c>
      <c r="CV117" s="9">
        <v>0</v>
      </c>
      <c r="CW117" s="9">
        <v>0</v>
      </c>
      <c r="CX117" s="9">
        <v>0</v>
      </c>
      <c r="CY117" s="9">
        <v>0</v>
      </c>
      <c r="CZ117" s="9">
        <v>0</v>
      </c>
      <c r="DA117" s="9">
        <v>1</v>
      </c>
      <c r="DB117" s="9">
        <v>2954943</v>
      </c>
      <c r="DC117" s="9">
        <v>0</v>
      </c>
      <c r="DD117" s="9">
        <v>0</v>
      </c>
      <c r="DE117" s="9">
        <v>553876</v>
      </c>
      <c r="DF117" s="9">
        <v>555927</v>
      </c>
      <c r="DG117" s="9">
        <v>423</v>
      </c>
      <c r="DH117" s="9">
        <v>0</v>
      </c>
      <c r="DI117" s="9">
        <v>2051</v>
      </c>
      <c r="DJ117" s="9">
        <v>0</v>
      </c>
      <c r="DK117" s="9">
        <v>5392</v>
      </c>
      <c r="DL117" s="9">
        <v>0</v>
      </c>
      <c r="DM117" s="9">
        <v>528291</v>
      </c>
      <c r="DN117" s="9">
        <v>0</v>
      </c>
      <c r="DO117" s="9">
        <v>0</v>
      </c>
      <c r="DP117" s="9">
        <v>0</v>
      </c>
      <c r="DQ117" s="9">
        <v>0</v>
      </c>
      <c r="DR117" s="9">
        <v>0</v>
      </c>
      <c r="DS117" s="9">
        <v>0</v>
      </c>
      <c r="DT117" s="9">
        <v>0</v>
      </c>
      <c r="DU117" s="9">
        <v>0</v>
      </c>
      <c r="DV117" s="9">
        <v>0</v>
      </c>
      <c r="DW117" s="9">
        <v>0</v>
      </c>
      <c r="DX117" s="9">
        <v>0</v>
      </c>
      <c r="DY117" s="9">
        <v>0</v>
      </c>
      <c r="DZ117" s="9">
        <v>0</v>
      </c>
      <c r="EA117" s="9">
        <v>0</v>
      </c>
      <c r="EB117" s="9">
        <v>0</v>
      </c>
      <c r="EC117" s="9">
        <v>48.882000000000005</v>
      </c>
      <c r="ED117" s="9">
        <v>352033</v>
      </c>
      <c r="EE117" s="9">
        <v>0</v>
      </c>
      <c r="EF117" s="9">
        <v>0</v>
      </c>
      <c r="EG117" s="9">
        <v>0</v>
      </c>
      <c r="EH117" s="9">
        <v>175080</v>
      </c>
      <c r="EI117" s="9">
        <v>1178</v>
      </c>
      <c r="EJ117" s="9">
        <v>4.5000000000000005E-2</v>
      </c>
      <c r="EK117" s="9">
        <v>8.093</v>
      </c>
      <c r="EL117" s="9">
        <v>0</v>
      </c>
      <c r="EM117" s="9">
        <v>0.82100000000000006</v>
      </c>
      <c r="EN117" s="9">
        <v>0</v>
      </c>
      <c r="EO117" s="9">
        <v>0</v>
      </c>
      <c r="EP117" s="9">
        <v>0</v>
      </c>
      <c r="EQ117" s="9">
        <v>8.9589999999999996</v>
      </c>
      <c r="ER117" s="9">
        <v>0</v>
      </c>
      <c r="ES117" s="9">
        <v>26.742000000000001</v>
      </c>
      <c r="ET117" s="9">
        <v>0</v>
      </c>
      <c r="EU117" s="9">
        <v>264506</v>
      </c>
      <c r="EV117" s="9">
        <v>0</v>
      </c>
      <c r="EW117" s="9">
        <v>0</v>
      </c>
      <c r="EX117" s="9">
        <v>0</v>
      </c>
      <c r="EY117" s="9">
        <v>0</v>
      </c>
      <c r="EZ117" s="9">
        <v>4007992</v>
      </c>
      <c r="FA117" s="9">
        <v>0</v>
      </c>
      <c r="FB117" s="9">
        <v>4272498</v>
      </c>
      <c r="FC117" s="9">
        <v>0.97326799999999991</v>
      </c>
      <c r="FD117" s="9">
        <v>0</v>
      </c>
      <c r="FE117" s="9">
        <v>632430</v>
      </c>
      <c r="FF117" s="9">
        <v>134676</v>
      </c>
      <c r="FG117" s="9">
        <v>5.8088000000000001E-2</v>
      </c>
      <c r="FH117" s="9">
        <v>5.2622999999999996E-2</v>
      </c>
      <c r="FI117" s="9">
        <v>0</v>
      </c>
      <c r="FJ117" s="9">
        <v>0</v>
      </c>
      <c r="FK117" s="9">
        <v>801.01900000000001</v>
      </c>
      <c r="FL117" s="9">
        <v>5123967</v>
      </c>
      <c r="FM117" s="9">
        <v>0</v>
      </c>
      <c r="FN117" s="9">
        <v>0</v>
      </c>
      <c r="FO117" s="9">
        <v>25179</v>
      </c>
      <c r="FP117" s="9">
        <v>0</v>
      </c>
      <c r="FQ117" s="9">
        <v>25179</v>
      </c>
      <c r="FR117" s="9">
        <v>25179</v>
      </c>
      <c r="FS117" s="9">
        <v>0</v>
      </c>
      <c r="FT117" s="9">
        <v>0</v>
      </c>
      <c r="FU117" s="9">
        <v>0</v>
      </c>
      <c r="FV117" s="9">
        <v>0</v>
      </c>
      <c r="FW117" s="9">
        <v>0</v>
      </c>
      <c r="FX117" s="9">
        <v>0</v>
      </c>
      <c r="FY117" s="9">
        <v>0</v>
      </c>
      <c r="FZ117" s="9">
        <v>0</v>
      </c>
      <c r="GA117" s="9">
        <v>0</v>
      </c>
      <c r="GB117" s="9">
        <v>161302</v>
      </c>
      <c r="GC117" s="9">
        <v>161302</v>
      </c>
      <c r="GD117" s="9">
        <v>18.25</v>
      </c>
      <c r="GE117" s="9">
        <v>0</v>
      </c>
      <c r="GF117" s="9">
        <v>0</v>
      </c>
      <c r="GG117" s="9">
        <v>0</v>
      </c>
      <c r="GH117" s="9">
        <v>0</v>
      </c>
      <c r="GI117" s="9">
        <v>0</v>
      </c>
      <c r="GJ117" s="9">
        <v>0</v>
      </c>
      <c r="GK117" s="9">
        <v>4971</v>
      </c>
      <c r="GL117" s="9">
        <v>0</v>
      </c>
      <c r="GM117" s="9">
        <v>0</v>
      </c>
      <c r="GN117" s="9">
        <v>0</v>
      </c>
      <c r="GO117" s="9">
        <v>0</v>
      </c>
      <c r="GP117" s="9">
        <v>5039604</v>
      </c>
      <c r="GQ117" s="9">
        <v>5039604</v>
      </c>
      <c r="GR117" s="9">
        <v>0</v>
      </c>
      <c r="GS117" s="9">
        <v>0</v>
      </c>
      <c r="GT117" s="9">
        <v>0</v>
      </c>
      <c r="GU117" s="9">
        <v>0</v>
      </c>
      <c r="GV117" s="9">
        <v>0</v>
      </c>
      <c r="GW117" s="9">
        <v>0</v>
      </c>
      <c r="GX117" s="9">
        <v>0</v>
      </c>
      <c r="GY117" s="9">
        <v>0</v>
      </c>
      <c r="GZ117" s="9">
        <v>0</v>
      </c>
      <c r="HA117" s="9">
        <v>0</v>
      </c>
      <c r="HB117" s="9">
        <v>300501363</v>
      </c>
      <c r="HC117" s="9">
        <v>4.4742999999999998E-2</v>
      </c>
      <c r="HD117" s="9">
        <v>84363</v>
      </c>
      <c r="HE117" s="9">
        <v>0</v>
      </c>
      <c r="HF117" s="9">
        <v>0</v>
      </c>
      <c r="HG117" s="9">
        <v>0</v>
      </c>
      <c r="HH117" s="9">
        <v>0</v>
      </c>
      <c r="HI117" s="9">
        <v>0</v>
      </c>
      <c r="HJ117" s="9">
        <v>0</v>
      </c>
      <c r="HK117" s="9">
        <v>0</v>
      </c>
      <c r="HL117" s="9">
        <v>0</v>
      </c>
      <c r="HM117" s="9">
        <v>0</v>
      </c>
      <c r="HN117" s="9">
        <v>0</v>
      </c>
      <c r="HO117" s="9">
        <v>0</v>
      </c>
      <c r="HP117" s="9">
        <v>0</v>
      </c>
      <c r="HQ117" s="9">
        <v>0</v>
      </c>
      <c r="HR117" s="9">
        <v>0</v>
      </c>
      <c r="HS117" s="9">
        <v>0</v>
      </c>
      <c r="HT117" s="9">
        <v>0</v>
      </c>
      <c r="HU117" s="9">
        <v>0</v>
      </c>
      <c r="HV117" s="9">
        <v>0</v>
      </c>
      <c r="HW117" s="9">
        <v>0</v>
      </c>
      <c r="HX117" s="9">
        <v>0</v>
      </c>
      <c r="HY117" s="9">
        <v>0</v>
      </c>
      <c r="HZ117" s="9">
        <v>0</v>
      </c>
      <c r="IA117" s="9">
        <v>0</v>
      </c>
      <c r="IB117" s="9">
        <v>0</v>
      </c>
      <c r="IC117" s="9">
        <v>0</v>
      </c>
      <c r="ID117" s="9">
        <v>0</v>
      </c>
      <c r="IE117" s="9">
        <v>0</v>
      </c>
      <c r="IF117" s="9">
        <v>0</v>
      </c>
      <c r="IG117" s="9">
        <v>0</v>
      </c>
      <c r="IH117" s="9">
        <v>0</v>
      </c>
      <c r="II117" s="9">
        <v>0</v>
      </c>
      <c r="IJ117" s="9">
        <v>0</v>
      </c>
      <c r="IK117" s="9">
        <v>0</v>
      </c>
      <c r="IL117" s="9">
        <v>0</v>
      </c>
      <c r="IM117" s="9">
        <v>0</v>
      </c>
      <c r="IN117" s="9">
        <v>0</v>
      </c>
      <c r="IO117" s="9">
        <v>0</v>
      </c>
      <c r="IP117" s="9">
        <v>0</v>
      </c>
      <c r="IQ117" s="9">
        <v>0</v>
      </c>
      <c r="IR117" s="9">
        <v>0</v>
      </c>
      <c r="IS117" s="9">
        <v>0</v>
      </c>
      <c r="IT117" s="9">
        <v>0</v>
      </c>
      <c r="IU117" s="9">
        <v>0</v>
      </c>
      <c r="IV117" s="9">
        <v>0</v>
      </c>
      <c r="IW117" s="9">
        <v>0</v>
      </c>
      <c r="IX117" s="9">
        <v>0</v>
      </c>
      <c r="IY117" s="9">
        <v>0</v>
      </c>
      <c r="IZ117" s="9">
        <v>0</v>
      </c>
      <c r="JA117" s="9">
        <v>0</v>
      </c>
      <c r="JB117" s="9">
        <v>0</v>
      </c>
      <c r="JC117" s="9">
        <v>0</v>
      </c>
      <c r="JD117" s="9">
        <v>0</v>
      </c>
      <c r="JE117" s="9">
        <v>0</v>
      </c>
      <c r="JF117" s="9">
        <v>0</v>
      </c>
      <c r="JG117" s="9">
        <v>0</v>
      </c>
      <c r="JH117" s="9">
        <v>0</v>
      </c>
      <c r="JI117" s="9">
        <v>0</v>
      </c>
      <c r="JJ117" s="9">
        <v>0</v>
      </c>
      <c r="JK117" s="9">
        <v>0</v>
      </c>
      <c r="JL117" s="9">
        <v>0</v>
      </c>
      <c r="JM117" s="9">
        <v>0</v>
      </c>
      <c r="JN117" s="9">
        <v>36832</v>
      </c>
      <c r="JO117" s="9">
        <v>0</v>
      </c>
      <c r="JP117" s="9">
        <v>0</v>
      </c>
      <c r="JQ117" s="9">
        <v>0</v>
      </c>
      <c r="JR117" s="9">
        <v>0</v>
      </c>
      <c r="JS117" s="9">
        <v>0</v>
      </c>
      <c r="JT117" s="9">
        <v>0</v>
      </c>
      <c r="JU117" s="9">
        <v>0</v>
      </c>
      <c r="JV117" s="9">
        <v>0</v>
      </c>
      <c r="JW117" s="9">
        <v>0</v>
      </c>
      <c r="JX117" s="9">
        <v>0</v>
      </c>
      <c r="JY117" s="9">
        <v>0</v>
      </c>
      <c r="JZ117" s="9">
        <v>0</v>
      </c>
      <c r="KA117" s="9">
        <v>0</v>
      </c>
      <c r="KB117" s="9">
        <v>0</v>
      </c>
      <c r="KC117" s="9">
        <v>0</v>
      </c>
      <c r="KD117" s="9">
        <v>0</v>
      </c>
      <c r="KE117" s="9">
        <v>0</v>
      </c>
      <c r="KF117" s="9">
        <v>0</v>
      </c>
      <c r="KG117" s="9">
        <v>0</v>
      </c>
      <c r="KH117" s="9">
        <v>0</v>
      </c>
      <c r="KI117" s="9">
        <v>0</v>
      </c>
    </row>
    <row r="118" spans="1:295" x14ac:dyDescent="0.25">
      <c r="A118" s="9">
        <v>101870</v>
      </c>
      <c r="B118" s="9">
        <v>36871</v>
      </c>
      <c r="C118" s="9">
        <v>35</v>
      </c>
      <c r="D118" s="9">
        <v>2023</v>
      </c>
      <c r="E118" s="9">
        <v>5392</v>
      </c>
      <c r="F118" s="9">
        <v>0</v>
      </c>
      <c r="G118" s="9">
        <v>0</v>
      </c>
      <c r="H118" s="9">
        <v>1052.502</v>
      </c>
      <c r="I118" s="9">
        <v>1052.502</v>
      </c>
      <c r="J118" s="9">
        <v>1069.854</v>
      </c>
      <c r="K118" s="9">
        <v>0</v>
      </c>
      <c r="L118" s="9">
        <v>6547</v>
      </c>
      <c r="M118" s="9">
        <v>0</v>
      </c>
      <c r="N118" s="9">
        <v>0</v>
      </c>
      <c r="O118" s="9">
        <v>0</v>
      </c>
      <c r="P118" s="9">
        <v>801.69100000000003</v>
      </c>
      <c r="Q118" s="9">
        <v>0</v>
      </c>
      <c r="R118" s="9">
        <v>390361</v>
      </c>
      <c r="S118" s="9">
        <v>486.92200000000003</v>
      </c>
      <c r="T118" s="9">
        <v>0</v>
      </c>
      <c r="U118" s="9">
        <v>390361</v>
      </c>
      <c r="V118" s="9">
        <v>190.71800000000002</v>
      </c>
      <c r="W118" s="9">
        <v>124863</v>
      </c>
      <c r="X118" s="9">
        <v>124863</v>
      </c>
      <c r="Y118" s="9">
        <v>0</v>
      </c>
      <c r="Z118" s="9">
        <v>0</v>
      </c>
      <c r="AA118" s="9">
        <v>1</v>
      </c>
      <c r="AB118" s="9">
        <v>1</v>
      </c>
      <c r="AC118" s="9">
        <v>0</v>
      </c>
      <c r="AD118" s="9" t="s">
        <v>314</v>
      </c>
      <c r="AE118" s="9">
        <v>0</v>
      </c>
      <c r="AF118" s="9">
        <v>0</v>
      </c>
      <c r="AG118" s="9">
        <v>0</v>
      </c>
      <c r="AH118" s="9">
        <v>0</v>
      </c>
      <c r="AI118" s="9">
        <v>0</v>
      </c>
      <c r="AJ118" s="9">
        <v>5104</v>
      </c>
      <c r="AK118" s="9" t="s">
        <v>651</v>
      </c>
      <c r="AL118" s="9" t="s">
        <v>368</v>
      </c>
      <c r="AM118" s="9">
        <v>0</v>
      </c>
      <c r="AN118" s="9">
        <v>0</v>
      </c>
      <c r="AO118" s="9">
        <v>0</v>
      </c>
      <c r="AP118" s="9">
        <v>0</v>
      </c>
      <c r="AQ118" s="9">
        <v>0</v>
      </c>
      <c r="AR118" s="9">
        <v>0</v>
      </c>
      <c r="AS118" s="9">
        <v>0</v>
      </c>
      <c r="AT118" s="9">
        <v>0</v>
      </c>
      <c r="AU118" s="9">
        <v>0</v>
      </c>
      <c r="AV118" s="9">
        <v>-7615</v>
      </c>
      <c r="AW118" s="9">
        <v>9708659</v>
      </c>
      <c r="AX118" s="9">
        <v>9496265</v>
      </c>
      <c r="AY118" s="9">
        <v>10804117</v>
      </c>
      <c r="AZ118" s="9">
        <v>414154</v>
      </c>
      <c r="BA118" s="9">
        <v>0</v>
      </c>
      <c r="BB118" s="9">
        <v>0</v>
      </c>
      <c r="BC118" s="9">
        <v>0</v>
      </c>
      <c r="BD118" s="9">
        <v>0</v>
      </c>
      <c r="BE118" s="9">
        <v>0</v>
      </c>
      <c r="BF118" s="9">
        <v>8136429</v>
      </c>
      <c r="BG118" s="9">
        <v>0</v>
      </c>
      <c r="BH118" s="9">
        <v>86.519000000000005</v>
      </c>
      <c r="BI118" s="9">
        <v>23793</v>
      </c>
      <c r="BJ118" s="9">
        <v>12</v>
      </c>
      <c r="BK118" s="9">
        <v>0</v>
      </c>
      <c r="BL118" s="9">
        <v>0</v>
      </c>
      <c r="BM118" s="9">
        <v>0</v>
      </c>
      <c r="BN118" s="9">
        <v>0</v>
      </c>
      <c r="BO118" s="9">
        <v>0</v>
      </c>
      <c r="BP118" s="9">
        <v>0</v>
      </c>
      <c r="BQ118" s="9">
        <v>5392</v>
      </c>
      <c r="BR118" s="9">
        <v>1</v>
      </c>
      <c r="BS118" s="9">
        <v>0</v>
      </c>
      <c r="BT118" s="9">
        <v>0</v>
      </c>
      <c r="BU118" s="9">
        <v>0</v>
      </c>
      <c r="BV118" s="9">
        <v>0</v>
      </c>
      <c r="BW118" s="9">
        <v>0</v>
      </c>
      <c r="BX118" s="9">
        <v>0</v>
      </c>
      <c r="BY118" s="9">
        <v>0</v>
      </c>
      <c r="BZ118" s="9">
        <v>0</v>
      </c>
      <c r="CA118" s="9">
        <v>0</v>
      </c>
      <c r="CB118" s="9">
        <v>0</v>
      </c>
      <c r="CC118" s="9">
        <v>0</v>
      </c>
      <c r="CD118" s="9">
        <v>0</v>
      </c>
      <c r="CE118" s="9">
        <v>0</v>
      </c>
      <c r="CF118" s="9">
        <v>0</v>
      </c>
      <c r="CG118" s="9">
        <v>0</v>
      </c>
      <c r="CH118" s="9">
        <v>188601</v>
      </c>
      <c r="CI118" s="9">
        <v>0</v>
      </c>
      <c r="CJ118" s="9">
        <v>4</v>
      </c>
      <c r="CK118" s="9">
        <v>0</v>
      </c>
      <c r="CL118" s="9">
        <v>0</v>
      </c>
      <c r="CM118" s="9">
        <v>0</v>
      </c>
      <c r="CN118" s="9">
        <v>0</v>
      </c>
      <c r="CO118" s="9">
        <v>0</v>
      </c>
      <c r="CP118" s="9">
        <v>0</v>
      </c>
      <c r="CQ118" s="9">
        <v>0</v>
      </c>
      <c r="CR118" s="9">
        <v>784.476</v>
      </c>
      <c r="CS118" s="9">
        <v>0</v>
      </c>
      <c r="CT118" s="9">
        <v>0</v>
      </c>
      <c r="CU118" s="9">
        <v>0</v>
      </c>
      <c r="CV118" s="9">
        <v>0</v>
      </c>
      <c r="CW118" s="9">
        <v>0</v>
      </c>
      <c r="CX118" s="9">
        <v>0</v>
      </c>
      <c r="CY118" s="9">
        <v>0</v>
      </c>
      <c r="CZ118" s="9">
        <v>0</v>
      </c>
      <c r="DA118" s="9">
        <v>1</v>
      </c>
      <c r="DB118" s="9">
        <v>6890731</v>
      </c>
      <c r="DC118" s="9">
        <v>0</v>
      </c>
      <c r="DD118" s="9">
        <v>0</v>
      </c>
      <c r="DE118" s="9">
        <v>841944</v>
      </c>
      <c r="DF118" s="9">
        <v>841944</v>
      </c>
      <c r="DG118" s="9">
        <v>643</v>
      </c>
      <c r="DH118" s="9">
        <v>0</v>
      </c>
      <c r="DI118" s="9">
        <v>0</v>
      </c>
      <c r="DJ118" s="9">
        <v>0</v>
      </c>
      <c r="DK118" s="9">
        <v>5392</v>
      </c>
      <c r="DL118" s="9">
        <v>0</v>
      </c>
      <c r="DM118" s="9">
        <v>442523</v>
      </c>
      <c r="DN118" s="9">
        <v>0</v>
      </c>
      <c r="DO118" s="9">
        <v>29</v>
      </c>
      <c r="DP118" s="9">
        <v>0</v>
      </c>
      <c r="DQ118" s="9">
        <v>0</v>
      </c>
      <c r="DR118" s="9">
        <v>0</v>
      </c>
      <c r="DS118" s="9">
        <v>0</v>
      </c>
      <c r="DT118" s="9">
        <v>2E-3</v>
      </c>
      <c r="DU118" s="9">
        <v>0</v>
      </c>
      <c r="DV118" s="9">
        <v>0</v>
      </c>
      <c r="DW118" s="9">
        <v>0</v>
      </c>
      <c r="DX118" s="9">
        <v>0</v>
      </c>
      <c r="DY118" s="9">
        <v>0</v>
      </c>
      <c r="DZ118" s="9">
        <v>6.0000000000000001E-3</v>
      </c>
      <c r="EA118" s="9">
        <v>0</v>
      </c>
      <c r="EB118" s="9">
        <v>0</v>
      </c>
      <c r="EC118" s="9">
        <v>30.053000000000001</v>
      </c>
      <c r="ED118" s="9">
        <v>216433</v>
      </c>
      <c r="EE118" s="9">
        <v>0</v>
      </c>
      <c r="EF118" s="9">
        <v>0</v>
      </c>
      <c r="EG118" s="9">
        <v>0</v>
      </c>
      <c r="EH118" s="9">
        <v>226061</v>
      </c>
      <c r="EI118" s="9">
        <v>0</v>
      </c>
      <c r="EJ118" s="9">
        <v>0</v>
      </c>
      <c r="EK118" s="9">
        <v>8.5570000000000004</v>
      </c>
      <c r="EL118" s="9">
        <v>0</v>
      </c>
      <c r="EM118" s="9">
        <v>0.63100000000000001</v>
      </c>
      <c r="EN118" s="9">
        <v>1.393</v>
      </c>
      <c r="EO118" s="9">
        <v>0</v>
      </c>
      <c r="EP118" s="9">
        <v>0</v>
      </c>
      <c r="EQ118" s="9">
        <v>10.581000000000001</v>
      </c>
      <c r="ER118" s="9">
        <v>0</v>
      </c>
      <c r="ES118" s="9">
        <v>34.529000000000003</v>
      </c>
      <c r="ET118" s="9">
        <v>0</v>
      </c>
      <c r="EU118" s="9">
        <v>414154</v>
      </c>
      <c r="EV118" s="9">
        <v>0</v>
      </c>
      <c r="EW118" s="9">
        <v>0</v>
      </c>
      <c r="EX118" s="9">
        <v>0</v>
      </c>
      <c r="EY118" s="9">
        <v>0</v>
      </c>
      <c r="EZ118" s="9">
        <v>7969545</v>
      </c>
      <c r="FA118" s="9">
        <v>0</v>
      </c>
      <c r="FB118" s="9">
        <v>8383699</v>
      </c>
      <c r="FC118" s="9">
        <v>0.97326799999999991</v>
      </c>
      <c r="FD118" s="9">
        <v>0</v>
      </c>
      <c r="FE118" s="9">
        <v>1258684</v>
      </c>
      <c r="FF118" s="9">
        <v>268036</v>
      </c>
      <c r="FG118" s="9">
        <v>5.8088000000000001E-2</v>
      </c>
      <c r="FH118" s="9">
        <v>5.2622999999999996E-2</v>
      </c>
      <c r="FI118" s="9">
        <v>0</v>
      </c>
      <c r="FJ118" s="9">
        <v>0</v>
      </c>
      <c r="FK118" s="9">
        <v>1594.2150000000001</v>
      </c>
      <c r="FL118" s="9">
        <v>10099020</v>
      </c>
      <c r="FM118" s="9">
        <v>0</v>
      </c>
      <c r="FN118" s="9">
        <v>0</v>
      </c>
      <c r="FO118" s="9">
        <v>0</v>
      </c>
      <c r="FP118" s="9">
        <v>0</v>
      </c>
      <c r="FQ118" s="9">
        <v>0</v>
      </c>
      <c r="FR118" s="9">
        <v>0</v>
      </c>
      <c r="FS118" s="9">
        <v>0</v>
      </c>
      <c r="FT118" s="9">
        <v>0</v>
      </c>
      <c r="FU118" s="9">
        <v>0</v>
      </c>
      <c r="FV118" s="9">
        <v>0</v>
      </c>
      <c r="FW118" s="9">
        <v>0</v>
      </c>
      <c r="FX118" s="9">
        <v>0</v>
      </c>
      <c r="FY118" s="9">
        <v>0</v>
      </c>
      <c r="FZ118" s="9">
        <v>0</v>
      </c>
      <c r="GA118" s="9">
        <v>0</v>
      </c>
      <c r="GB118" s="9">
        <v>59845</v>
      </c>
      <c r="GC118" s="9">
        <v>59845</v>
      </c>
      <c r="GD118" s="9">
        <v>6.7709999999999999</v>
      </c>
      <c r="GE118" s="9">
        <v>0</v>
      </c>
      <c r="GF118" s="9">
        <v>0</v>
      </c>
      <c r="GG118" s="9">
        <v>0</v>
      </c>
      <c r="GH118" s="9">
        <v>0</v>
      </c>
      <c r="GI118" s="9">
        <v>0</v>
      </c>
      <c r="GJ118" s="9">
        <v>0</v>
      </c>
      <c r="GK118" s="9">
        <v>0</v>
      </c>
      <c r="GL118" s="9">
        <v>0</v>
      </c>
      <c r="GM118" s="9">
        <v>0</v>
      </c>
      <c r="GN118" s="9">
        <v>0</v>
      </c>
      <c r="GO118" s="9">
        <v>0</v>
      </c>
      <c r="GP118" s="9">
        <v>9910419</v>
      </c>
      <c r="GQ118" s="9">
        <v>9910419</v>
      </c>
      <c r="GR118" s="9">
        <v>0</v>
      </c>
      <c r="GS118" s="9">
        <v>0</v>
      </c>
      <c r="GT118" s="9">
        <v>0</v>
      </c>
      <c r="GU118" s="9">
        <v>0</v>
      </c>
      <c r="GV118" s="9">
        <v>0</v>
      </c>
      <c r="GW118" s="9">
        <v>0</v>
      </c>
      <c r="GX118" s="9">
        <v>0</v>
      </c>
      <c r="GY118" s="9">
        <v>0</v>
      </c>
      <c r="GZ118" s="9">
        <v>0</v>
      </c>
      <c r="HA118" s="9">
        <v>0</v>
      </c>
      <c r="HB118" s="9">
        <v>300501363</v>
      </c>
      <c r="HC118" s="9">
        <v>4.4742999999999998E-2</v>
      </c>
      <c r="HD118" s="9">
        <v>188601</v>
      </c>
      <c r="HE118" s="9">
        <v>0</v>
      </c>
      <c r="HF118" s="9">
        <v>0</v>
      </c>
      <c r="HG118" s="9">
        <v>0</v>
      </c>
      <c r="HH118" s="9">
        <v>0</v>
      </c>
      <c r="HI118" s="9">
        <v>0</v>
      </c>
      <c r="HJ118" s="9">
        <v>0</v>
      </c>
      <c r="HK118" s="9">
        <v>0</v>
      </c>
      <c r="HL118" s="9">
        <v>0</v>
      </c>
      <c r="HM118" s="9">
        <v>0</v>
      </c>
      <c r="HN118" s="9">
        <v>0</v>
      </c>
      <c r="HO118" s="9">
        <v>0</v>
      </c>
      <c r="HP118" s="9">
        <v>0</v>
      </c>
      <c r="HQ118" s="9">
        <v>0</v>
      </c>
      <c r="HR118" s="9">
        <v>0</v>
      </c>
      <c r="HS118" s="9">
        <v>0</v>
      </c>
      <c r="HT118" s="9">
        <v>0</v>
      </c>
      <c r="HU118" s="9">
        <v>0</v>
      </c>
      <c r="HV118" s="9">
        <v>0</v>
      </c>
      <c r="HW118" s="9">
        <v>0</v>
      </c>
      <c r="HX118" s="9">
        <v>0</v>
      </c>
      <c r="HY118" s="9">
        <v>0</v>
      </c>
      <c r="HZ118" s="9">
        <v>0</v>
      </c>
      <c r="IA118" s="9">
        <v>0</v>
      </c>
      <c r="IB118" s="9">
        <v>0</v>
      </c>
      <c r="IC118" s="9">
        <v>0</v>
      </c>
      <c r="ID118" s="9">
        <v>0</v>
      </c>
      <c r="IE118" s="9">
        <v>0</v>
      </c>
      <c r="IF118" s="9">
        <v>0</v>
      </c>
      <c r="IG118" s="9">
        <v>0</v>
      </c>
      <c r="IH118" s="9">
        <v>0</v>
      </c>
      <c r="II118" s="9">
        <v>0</v>
      </c>
      <c r="IJ118" s="9">
        <v>0</v>
      </c>
      <c r="IK118" s="9">
        <v>0</v>
      </c>
      <c r="IL118" s="9">
        <v>0</v>
      </c>
      <c r="IM118" s="9">
        <v>0</v>
      </c>
      <c r="IN118" s="9">
        <v>0</v>
      </c>
      <c r="IO118" s="9">
        <v>0</v>
      </c>
      <c r="IP118" s="9">
        <v>0</v>
      </c>
      <c r="IQ118" s="9">
        <v>0</v>
      </c>
      <c r="IR118" s="9">
        <v>0</v>
      </c>
      <c r="IS118" s="9">
        <v>0</v>
      </c>
      <c r="IT118" s="9">
        <v>0</v>
      </c>
      <c r="IU118" s="9">
        <v>0</v>
      </c>
      <c r="IV118" s="9">
        <v>0</v>
      </c>
      <c r="IW118" s="9">
        <v>0</v>
      </c>
      <c r="IX118" s="9">
        <v>0</v>
      </c>
      <c r="IY118" s="9">
        <v>0</v>
      </c>
      <c r="IZ118" s="9">
        <v>0</v>
      </c>
      <c r="JA118" s="9">
        <v>0</v>
      </c>
      <c r="JB118" s="9">
        <v>0</v>
      </c>
      <c r="JC118" s="9">
        <v>0</v>
      </c>
      <c r="JD118" s="9">
        <v>0</v>
      </c>
      <c r="JE118" s="9">
        <v>0</v>
      </c>
      <c r="JF118" s="9">
        <v>0</v>
      </c>
      <c r="JG118" s="9">
        <v>0</v>
      </c>
      <c r="JH118" s="9">
        <v>0</v>
      </c>
      <c r="JI118" s="9">
        <v>0</v>
      </c>
      <c r="JJ118" s="9">
        <v>0</v>
      </c>
      <c r="JK118" s="9">
        <v>0</v>
      </c>
      <c r="JL118" s="9">
        <v>0</v>
      </c>
      <c r="JM118" s="9">
        <v>0</v>
      </c>
      <c r="JN118" s="9">
        <v>36832</v>
      </c>
      <c r="JO118" s="9">
        <v>0</v>
      </c>
      <c r="JP118" s="9">
        <v>0</v>
      </c>
      <c r="JQ118" s="9">
        <v>0</v>
      </c>
      <c r="JR118" s="9">
        <v>0</v>
      </c>
      <c r="JS118" s="9">
        <v>0</v>
      </c>
      <c r="JT118" s="9">
        <v>0</v>
      </c>
      <c r="JU118" s="9">
        <v>0</v>
      </c>
      <c r="JV118" s="9">
        <v>0</v>
      </c>
      <c r="JW118" s="9">
        <v>0</v>
      </c>
      <c r="JX118" s="9">
        <v>0</v>
      </c>
      <c r="JY118" s="9">
        <v>0</v>
      </c>
      <c r="JZ118" s="9">
        <v>0</v>
      </c>
      <c r="KA118" s="9">
        <v>0</v>
      </c>
      <c r="KB118" s="9">
        <v>0</v>
      </c>
      <c r="KC118" s="9">
        <v>0</v>
      </c>
      <c r="KD118" s="9">
        <v>0</v>
      </c>
      <c r="KE118" s="9">
        <v>0</v>
      </c>
      <c r="KF118" s="9">
        <v>0</v>
      </c>
      <c r="KG118" s="9">
        <v>0</v>
      </c>
      <c r="KH118" s="9">
        <v>0</v>
      </c>
      <c r="KI118" s="9">
        <v>0</v>
      </c>
    </row>
    <row r="119" spans="1:295" x14ac:dyDescent="0.25">
      <c r="A119" s="9">
        <v>101871</v>
      </c>
      <c r="B119" s="9">
        <v>36871</v>
      </c>
      <c r="C119" s="9">
        <v>35</v>
      </c>
      <c r="D119" s="9">
        <v>2023</v>
      </c>
      <c r="E119" s="9">
        <v>5392</v>
      </c>
      <c r="F119" s="9">
        <v>0</v>
      </c>
      <c r="G119" s="9">
        <v>0</v>
      </c>
      <c r="H119" s="9">
        <v>139.33100000000002</v>
      </c>
      <c r="I119" s="9">
        <v>139.33100000000002</v>
      </c>
      <c r="J119" s="9">
        <v>139.88900000000001</v>
      </c>
      <c r="K119" s="9">
        <v>0</v>
      </c>
      <c r="L119" s="9">
        <v>6547</v>
      </c>
      <c r="M119" s="9">
        <v>0</v>
      </c>
      <c r="N119" s="9">
        <v>0</v>
      </c>
      <c r="O119" s="9">
        <v>0</v>
      </c>
      <c r="P119" s="9">
        <v>120.039</v>
      </c>
      <c r="Q119" s="9">
        <v>0</v>
      </c>
      <c r="R119" s="9">
        <v>58450</v>
      </c>
      <c r="S119" s="9">
        <v>486.92200000000003</v>
      </c>
      <c r="T119" s="9">
        <v>0</v>
      </c>
      <c r="U119" s="9">
        <v>58450</v>
      </c>
      <c r="V119" s="9">
        <v>8.604000000000001</v>
      </c>
      <c r="W119" s="9">
        <v>5633</v>
      </c>
      <c r="X119" s="9">
        <v>5633</v>
      </c>
      <c r="Y119" s="9">
        <v>0</v>
      </c>
      <c r="Z119" s="9">
        <v>0</v>
      </c>
      <c r="AA119" s="9">
        <v>1</v>
      </c>
      <c r="AB119" s="9">
        <v>1</v>
      </c>
      <c r="AC119" s="9">
        <v>0</v>
      </c>
      <c r="AD119" s="9" t="s">
        <v>314</v>
      </c>
      <c r="AE119" s="9">
        <v>0</v>
      </c>
      <c r="AF119" s="9">
        <v>0</v>
      </c>
      <c r="AG119" s="9">
        <v>0</v>
      </c>
      <c r="AH119" s="9">
        <v>0</v>
      </c>
      <c r="AI119" s="9">
        <v>0</v>
      </c>
      <c r="AJ119" s="9">
        <v>5104</v>
      </c>
      <c r="AK119" s="9" t="s">
        <v>651</v>
      </c>
      <c r="AL119" s="9" t="s">
        <v>382</v>
      </c>
      <c r="AM119" s="9">
        <v>0</v>
      </c>
      <c r="AN119" s="9">
        <v>0</v>
      </c>
      <c r="AO119" s="9">
        <v>0</v>
      </c>
      <c r="AP119" s="9">
        <v>0</v>
      </c>
      <c r="AQ119" s="9">
        <v>0</v>
      </c>
      <c r="AR119" s="9">
        <v>0</v>
      </c>
      <c r="AS119" s="9">
        <v>0</v>
      </c>
      <c r="AT119" s="9">
        <v>0</v>
      </c>
      <c r="AU119" s="9">
        <v>0</v>
      </c>
      <c r="AV119" s="9">
        <v>-87837</v>
      </c>
      <c r="AW119" s="9">
        <v>1515209</v>
      </c>
      <c r="AX119" s="9">
        <v>1476845</v>
      </c>
      <c r="AY119" s="9">
        <v>1519042</v>
      </c>
      <c r="AZ119" s="9">
        <v>72153</v>
      </c>
      <c r="BA119" s="9">
        <v>0</v>
      </c>
      <c r="BB119" s="9">
        <v>0</v>
      </c>
      <c r="BC119" s="9">
        <v>0</v>
      </c>
      <c r="BD119" s="9">
        <v>0</v>
      </c>
      <c r="BE119" s="9">
        <v>0</v>
      </c>
      <c r="BF119" s="9">
        <v>1263507</v>
      </c>
      <c r="BG119" s="9">
        <v>0</v>
      </c>
      <c r="BH119" s="9">
        <v>0</v>
      </c>
      <c r="BI119" s="9">
        <v>0</v>
      </c>
      <c r="BJ119" s="9">
        <v>12</v>
      </c>
      <c r="BK119" s="9">
        <v>0</v>
      </c>
      <c r="BL119" s="9">
        <v>0</v>
      </c>
      <c r="BM119" s="9">
        <v>0</v>
      </c>
      <c r="BN119" s="9">
        <v>0</v>
      </c>
      <c r="BO119" s="9">
        <v>0</v>
      </c>
      <c r="BP119" s="9">
        <v>0</v>
      </c>
      <c r="BQ119" s="9">
        <v>5392</v>
      </c>
      <c r="BR119" s="9">
        <v>1</v>
      </c>
      <c r="BS119" s="9">
        <v>0</v>
      </c>
      <c r="BT119" s="9">
        <v>0</v>
      </c>
      <c r="BU119" s="9">
        <v>0</v>
      </c>
      <c r="BV119" s="9">
        <v>0</v>
      </c>
      <c r="BW119" s="9">
        <v>0</v>
      </c>
      <c r="BX119" s="9">
        <v>0</v>
      </c>
      <c r="BY119" s="9">
        <v>0</v>
      </c>
      <c r="BZ119" s="9">
        <v>0</v>
      </c>
      <c r="CA119" s="9">
        <v>13.703000000000001</v>
      </c>
      <c r="CB119" s="9">
        <v>13703</v>
      </c>
      <c r="CC119" s="9">
        <v>0</v>
      </c>
      <c r="CD119" s="9">
        <v>0</v>
      </c>
      <c r="CE119" s="9">
        <v>0</v>
      </c>
      <c r="CF119" s="9">
        <v>0</v>
      </c>
      <c r="CG119" s="9">
        <v>0</v>
      </c>
      <c r="CH119" s="9">
        <v>24661</v>
      </c>
      <c r="CI119" s="9">
        <v>0</v>
      </c>
      <c r="CJ119" s="9">
        <v>4</v>
      </c>
      <c r="CK119" s="9">
        <v>0</v>
      </c>
      <c r="CL119" s="9">
        <v>0</v>
      </c>
      <c r="CM119" s="9">
        <v>0</v>
      </c>
      <c r="CN119" s="9">
        <v>0</v>
      </c>
      <c r="CO119" s="9">
        <v>0</v>
      </c>
      <c r="CP119" s="9">
        <v>0</v>
      </c>
      <c r="CQ119" s="9">
        <v>0</v>
      </c>
      <c r="CR119" s="9">
        <v>114.89700000000001</v>
      </c>
      <c r="CS119" s="9">
        <v>0</v>
      </c>
      <c r="CT119" s="9">
        <v>0</v>
      </c>
      <c r="CU119" s="9">
        <v>0</v>
      </c>
      <c r="CV119" s="9">
        <v>0</v>
      </c>
      <c r="CW119" s="9">
        <v>0</v>
      </c>
      <c r="CX119" s="9">
        <v>0</v>
      </c>
      <c r="CY119" s="9">
        <v>0</v>
      </c>
      <c r="CZ119" s="9">
        <v>0</v>
      </c>
      <c r="DA119" s="9">
        <v>1</v>
      </c>
      <c r="DB119" s="9">
        <v>912200</v>
      </c>
      <c r="DC119" s="9">
        <v>0</v>
      </c>
      <c r="DD119" s="9">
        <v>0</v>
      </c>
      <c r="DE119" s="9">
        <v>116759</v>
      </c>
      <c r="DF119" s="9">
        <v>116759</v>
      </c>
      <c r="DG119" s="9">
        <v>89.17</v>
      </c>
      <c r="DH119" s="9">
        <v>0</v>
      </c>
      <c r="DI119" s="9">
        <v>0</v>
      </c>
      <c r="DJ119" s="9">
        <v>0</v>
      </c>
      <c r="DK119" s="9">
        <v>5392</v>
      </c>
      <c r="DL119" s="9">
        <v>0</v>
      </c>
      <c r="DM119" s="9">
        <v>263619</v>
      </c>
      <c r="DN119" s="9">
        <v>0</v>
      </c>
      <c r="DO119" s="9">
        <v>0</v>
      </c>
      <c r="DP119" s="9">
        <v>0</v>
      </c>
      <c r="DQ119" s="9">
        <v>0</v>
      </c>
      <c r="DR119" s="9">
        <v>0</v>
      </c>
      <c r="DS119" s="9">
        <v>0</v>
      </c>
      <c r="DT119" s="9">
        <v>0</v>
      </c>
      <c r="DU119" s="9">
        <v>0</v>
      </c>
      <c r="DV119" s="9">
        <v>0</v>
      </c>
      <c r="DW119" s="9">
        <v>0</v>
      </c>
      <c r="DX119" s="9">
        <v>0</v>
      </c>
      <c r="DY119" s="9">
        <v>0</v>
      </c>
      <c r="DZ119" s="9">
        <v>0</v>
      </c>
      <c r="EA119" s="9">
        <v>0</v>
      </c>
      <c r="EB119" s="9">
        <v>0</v>
      </c>
      <c r="EC119" s="9">
        <v>34.646999999999998</v>
      </c>
      <c r="ED119" s="9">
        <v>249517</v>
      </c>
      <c r="EE119" s="9">
        <v>0</v>
      </c>
      <c r="EF119" s="9">
        <v>0</v>
      </c>
      <c r="EG119" s="9">
        <v>0</v>
      </c>
      <c r="EH119" s="9">
        <v>14102</v>
      </c>
      <c r="EI119" s="9">
        <v>0</v>
      </c>
      <c r="EJ119" s="9">
        <v>0</v>
      </c>
      <c r="EK119" s="9">
        <v>0</v>
      </c>
      <c r="EL119" s="9">
        <v>0</v>
      </c>
      <c r="EM119" s="9">
        <v>0.318</v>
      </c>
      <c r="EN119" s="9">
        <v>0.24</v>
      </c>
      <c r="EO119" s="9">
        <v>0</v>
      </c>
      <c r="EP119" s="9">
        <v>0</v>
      </c>
      <c r="EQ119" s="9">
        <v>0.55800000000000005</v>
      </c>
      <c r="ER119" s="9">
        <v>0</v>
      </c>
      <c r="ES119" s="9">
        <v>2.1539999999999999</v>
      </c>
      <c r="ET119" s="9">
        <v>0</v>
      </c>
      <c r="EU119" s="9">
        <v>72153</v>
      </c>
      <c r="EV119" s="9">
        <v>0</v>
      </c>
      <c r="EW119" s="9">
        <v>0</v>
      </c>
      <c r="EX119" s="9">
        <v>0</v>
      </c>
      <c r="EY119" s="9">
        <v>0</v>
      </c>
      <c r="EZ119" s="9">
        <v>1239761</v>
      </c>
      <c r="FA119" s="9">
        <v>0</v>
      </c>
      <c r="FB119" s="9">
        <v>1311914</v>
      </c>
      <c r="FC119" s="9">
        <v>0.97326799999999991</v>
      </c>
      <c r="FD119" s="9">
        <v>0</v>
      </c>
      <c r="FE119" s="9">
        <v>195461</v>
      </c>
      <c r="FF119" s="9">
        <v>41623</v>
      </c>
      <c r="FG119" s="9">
        <v>5.8088000000000001E-2</v>
      </c>
      <c r="FH119" s="9">
        <v>5.2622999999999996E-2</v>
      </c>
      <c r="FI119" s="9">
        <v>0</v>
      </c>
      <c r="FJ119" s="9">
        <v>0</v>
      </c>
      <c r="FK119" s="9">
        <v>247.566</v>
      </c>
      <c r="FL119" s="9">
        <v>1573659</v>
      </c>
      <c r="FM119" s="9">
        <v>0</v>
      </c>
      <c r="FN119" s="9">
        <v>0</v>
      </c>
      <c r="FO119" s="9">
        <v>0</v>
      </c>
      <c r="FP119" s="9">
        <v>0</v>
      </c>
      <c r="FQ119" s="9">
        <v>0</v>
      </c>
      <c r="FR119" s="9">
        <v>0</v>
      </c>
      <c r="FS119" s="9">
        <v>0</v>
      </c>
      <c r="FT119" s="9">
        <v>0</v>
      </c>
      <c r="FU119" s="9">
        <v>0</v>
      </c>
      <c r="FV119" s="9">
        <v>0</v>
      </c>
      <c r="FW119" s="9">
        <v>0</v>
      </c>
      <c r="FX119" s="9">
        <v>0</v>
      </c>
      <c r="FY119" s="9">
        <v>0</v>
      </c>
      <c r="FZ119" s="9">
        <v>0</v>
      </c>
      <c r="GA119" s="9">
        <v>0</v>
      </c>
      <c r="GB119" s="9">
        <v>0</v>
      </c>
      <c r="GC119" s="9">
        <v>0</v>
      </c>
      <c r="GD119" s="9">
        <v>0</v>
      </c>
      <c r="GE119" s="9">
        <v>0</v>
      </c>
      <c r="GF119" s="9">
        <v>0</v>
      </c>
      <c r="GG119" s="9">
        <v>0</v>
      </c>
      <c r="GH119" s="9">
        <v>0</v>
      </c>
      <c r="GI119" s="9">
        <v>0</v>
      </c>
      <c r="GJ119" s="9">
        <v>0</v>
      </c>
      <c r="GK119" s="9">
        <v>0</v>
      </c>
      <c r="GL119" s="9">
        <v>0</v>
      </c>
      <c r="GM119" s="9">
        <v>0</v>
      </c>
      <c r="GN119" s="9">
        <v>0</v>
      </c>
      <c r="GO119" s="9">
        <v>0</v>
      </c>
      <c r="GP119" s="9">
        <v>1548998</v>
      </c>
      <c r="GQ119" s="9">
        <v>1548998</v>
      </c>
      <c r="GR119" s="9">
        <v>0</v>
      </c>
      <c r="GS119" s="9">
        <v>0</v>
      </c>
      <c r="GT119" s="9">
        <v>0</v>
      </c>
      <c r="GU119" s="9">
        <v>0</v>
      </c>
      <c r="GV119" s="9">
        <v>0</v>
      </c>
      <c r="GW119" s="9">
        <v>0</v>
      </c>
      <c r="GX119" s="9">
        <v>0</v>
      </c>
      <c r="GY119" s="9">
        <v>0</v>
      </c>
      <c r="GZ119" s="9">
        <v>0</v>
      </c>
      <c r="HA119" s="9">
        <v>0</v>
      </c>
      <c r="HB119" s="9">
        <v>300501363</v>
      </c>
      <c r="HC119" s="9">
        <v>4.4742999999999998E-2</v>
      </c>
      <c r="HD119" s="9">
        <v>24661</v>
      </c>
      <c r="HE119" s="9">
        <v>0</v>
      </c>
      <c r="HF119" s="9">
        <v>0</v>
      </c>
      <c r="HG119" s="9">
        <v>0</v>
      </c>
      <c r="HH119" s="9">
        <v>0</v>
      </c>
      <c r="HI119" s="9">
        <v>0</v>
      </c>
      <c r="HJ119" s="9">
        <v>0</v>
      </c>
      <c r="HK119" s="9">
        <v>0</v>
      </c>
      <c r="HL119" s="9">
        <v>0</v>
      </c>
      <c r="HM119" s="9">
        <v>0</v>
      </c>
      <c r="HN119" s="9">
        <v>0</v>
      </c>
      <c r="HO119" s="9">
        <v>0</v>
      </c>
      <c r="HP119" s="9">
        <v>0</v>
      </c>
      <c r="HQ119" s="9">
        <v>0</v>
      </c>
      <c r="HR119" s="9">
        <v>0</v>
      </c>
      <c r="HS119" s="9">
        <v>0</v>
      </c>
      <c r="HT119" s="9">
        <v>0</v>
      </c>
      <c r="HU119" s="9">
        <v>0</v>
      </c>
      <c r="HV119" s="9">
        <v>0</v>
      </c>
      <c r="HW119" s="9">
        <v>0</v>
      </c>
      <c r="HX119" s="9">
        <v>0</v>
      </c>
      <c r="HY119" s="9">
        <v>0</v>
      </c>
      <c r="HZ119" s="9">
        <v>0</v>
      </c>
      <c r="IA119" s="9">
        <v>0</v>
      </c>
      <c r="IB119" s="9">
        <v>0</v>
      </c>
      <c r="IC119" s="9">
        <v>0</v>
      </c>
      <c r="ID119" s="9">
        <v>0</v>
      </c>
      <c r="IE119" s="9">
        <v>0</v>
      </c>
      <c r="IF119" s="9">
        <v>0</v>
      </c>
      <c r="IG119" s="9">
        <v>0</v>
      </c>
      <c r="IH119" s="9">
        <v>0</v>
      </c>
      <c r="II119" s="9">
        <v>0</v>
      </c>
      <c r="IJ119" s="9">
        <v>0</v>
      </c>
      <c r="IK119" s="9">
        <v>0</v>
      </c>
      <c r="IL119" s="9">
        <v>0</v>
      </c>
      <c r="IM119" s="9">
        <v>0</v>
      </c>
      <c r="IN119" s="9">
        <v>0</v>
      </c>
      <c r="IO119" s="9">
        <v>0</v>
      </c>
      <c r="IP119" s="9">
        <v>0</v>
      </c>
      <c r="IQ119" s="9">
        <v>0</v>
      </c>
      <c r="IR119" s="9">
        <v>0</v>
      </c>
      <c r="IS119" s="9">
        <v>0</v>
      </c>
      <c r="IT119" s="9">
        <v>0</v>
      </c>
      <c r="IU119" s="9">
        <v>0</v>
      </c>
      <c r="IV119" s="9">
        <v>0</v>
      </c>
      <c r="IW119" s="9">
        <v>0</v>
      </c>
      <c r="IX119" s="9">
        <v>0</v>
      </c>
      <c r="IY119" s="9">
        <v>0</v>
      </c>
      <c r="IZ119" s="9">
        <v>0</v>
      </c>
      <c r="JA119" s="9">
        <v>0</v>
      </c>
      <c r="JB119" s="9">
        <v>0</v>
      </c>
      <c r="JC119" s="9">
        <v>0</v>
      </c>
      <c r="JD119" s="9">
        <v>0</v>
      </c>
      <c r="JE119" s="9">
        <v>0</v>
      </c>
      <c r="JF119" s="9">
        <v>0</v>
      </c>
      <c r="JG119" s="9">
        <v>0</v>
      </c>
      <c r="JH119" s="9">
        <v>0</v>
      </c>
      <c r="JI119" s="9">
        <v>0</v>
      </c>
      <c r="JJ119" s="9">
        <v>0</v>
      </c>
      <c r="JK119" s="9">
        <v>0</v>
      </c>
      <c r="JL119" s="9">
        <v>0</v>
      </c>
      <c r="JM119" s="9">
        <v>0</v>
      </c>
      <c r="JN119" s="9">
        <v>36832</v>
      </c>
      <c r="JO119" s="9">
        <v>0</v>
      </c>
      <c r="JP119" s="9">
        <v>0</v>
      </c>
      <c r="JQ119" s="9">
        <v>0</v>
      </c>
      <c r="JR119" s="9">
        <v>0</v>
      </c>
      <c r="JS119" s="9">
        <v>0</v>
      </c>
      <c r="JT119" s="9">
        <v>0</v>
      </c>
      <c r="JU119" s="9">
        <v>0</v>
      </c>
      <c r="JV119" s="9">
        <v>0</v>
      </c>
      <c r="JW119" s="9">
        <v>0</v>
      </c>
      <c r="JX119" s="9">
        <v>0</v>
      </c>
      <c r="JY119" s="9">
        <v>0</v>
      </c>
      <c r="JZ119" s="9">
        <v>0</v>
      </c>
      <c r="KA119" s="9">
        <v>0</v>
      </c>
      <c r="KB119" s="9">
        <v>0</v>
      </c>
      <c r="KC119" s="9">
        <v>0</v>
      </c>
      <c r="KD119" s="9">
        <v>0</v>
      </c>
      <c r="KE119" s="9">
        <v>0</v>
      </c>
      <c r="KF119" s="9">
        <v>0</v>
      </c>
      <c r="KG119" s="9">
        <v>0</v>
      </c>
      <c r="KH119" s="9">
        <v>0</v>
      </c>
      <c r="KI119" s="9">
        <v>0</v>
      </c>
    </row>
    <row r="120" spans="1:295" x14ac:dyDescent="0.25">
      <c r="A120" s="9">
        <v>101872</v>
      </c>
      <c r="B120" s="9">
        <v>36871</v>
      </c>
      <c r="C120" s="9">
        <v>35</v>
      </c>
      <c r="D120" s="9">
        <v>2023</v>
      </c>
      <c r="E120" s="9">
        <v>5392</v>
      </c>
      <c r="F120" s="9">
        <v>0</v>
      </c>
      <c r="G120" s="9">
        <v>0</v>
      </c>
      <c r="H120" s="9">
        <v>207.58200000000002</v>
      </c>
      <c r="I120" s="9">
        <v>207.58200000000002</v>
      </c>
      <c r="J120" s="9">
        <v>208.16900000000001</v>
      </c>
      <c r="K120" s="9">
        <v>0</v>
      </c>
      <c r="L120" s="9">
        <v>6547</v>
      </c>
      <c r="M120" s="9">
        <v>0</v>
      </c>
      <c r="N120" s="9">
        <v>0</v>
      </c>
      <c r="O120" s="9">
        <v>0</v>
      </c>
      <c r="P120" s="9">
        <v>142.70000000000002</v>
      </c>
      <c r="Q120" s="9">
        <v>0</v>
      </c>
      <c r="R120" s="9">
        <v>69484</v>
      </c>
      <c r="S120" s="9">
        <v>486.92200000000003</v>
      </c>
      <c r="T120" s="9">
        <v>0</v>
      </c>
      <c r="U120" s="9">
        <v>69484</v>
      </c>
      <c r="V120" s="9">
        <v>127.46000000000001</v>
      </c>
      <c r="W120" s="9">
        <v>83448</v>
      </c>
      <c r="X120" s="9">
        <v>83448</v>
      </c>
      <c r="Y120" s="9">
        <v>0</v>
      </c>
      <c r="Z120" s="9">
        <v>0</v>
      </c>
      <c r="AA120" s="9">
        <v>1</v>
      </c>
      <c r="AB120" s="9">
        <v>1</v>
      </c>
      <c r="AC120" s="9">
        <v>0</v>
      </c>
      <c r="AD120" s="9" t="s">
        <v>314</v>
      </c>
      <c r="AE120" s="9">
        <v>0</v>
      </c>
      <c r="AF120" s="9">
        <v>0</v>
      </c>
      <c r="AG120" s="9">
        <v>0</v>
      </c>
      <c r="AH120" s="9">
        <v>0</v>
      </c>
      <c r="AI120" s="9">
        <v>0</v>
      </c>
      <c r="AJ120" s="9">
        <v>5104</v>
      </c>
      <c r="AK120" s="9" t="s">
        <v>651</v>
      </c>
      <c r="AL120" s="9" t="s">
        <v>437</v>
      </c>
      <c r="AM120" s="9">
        <v>0</v>
      </c>
      <c r="AN120" s="9">
        <v>0</v>
      </c>
      <c r="AO120" s="9">
        <v>0</v>
      </c>
      <c r="AP120" s="9">
        <v>0</v>
      </c>
      <c r="AQ120" s="9">
        <v>0</v>
      </c>
      <c r="AR120" s="9">
        <v>0</v>
      </c>
      <c r="AS120" s="9">
        <v>0</v>
      </c>
      <c r="AT120" s="9">
        <v>0</v>
      </c>
      <c r="AU120" s="9">
        <v>0</v>
      </c>
      <c r="AV120" s="9">
        <v>-21946</v>
      </c>
      <c r="AW120" s="9">
        <v>2091076</v>
      </c>
      <c r="AX120" s="9">
        <v>2054379</v>
      </c>
      <c r="AY120" s="9">
        <v>2301839</v>
      </c>
      <c r="AZ120" s="9">
        <v>69484</v>
      </c>
      <c r="BA120" s="9">
        <v>0</v>
      </c>
      <c r="BB120" s="9">
        <v>0</v>
      </c>
      <c r="BC120" s="9">
        <v>0</v>
      </c>
      <c r="BD120" s="9">
        <v>0</v>
      </c>
      <c r="BE120" s="9">
        <v>0</v>
      </c>
      <c r="BF120" s="9">
        <v>1727694</v>
      </c>
      <c r="BG120" s="9">
        <v>0</v>
      </c>
      <c r="BH120" s="9">
        <v>0</v>
      </c>
      <c r="BI120" s="9">
        <v>0</v>
      </c>
      <c r="BJ120" s="9">
        <v>12</v>
      </c>
      <c r="BK120" s="9">
        <v>0</v>
      </c>
      <c r="BL120" s="9">
        <v>0</v>
      </c>
      <c r="BM120" s="9">
        <v>0</v>
      </c>
      <c r="BN120" s="9">
        <v>0</v>
      </c>
      <c r="BO120" s="9">
        <v>0</v>
      </c>
      <c r="BP120" s="9">
        <v>0</v>
      </c>
      <c r="BQ120" s="9">
        <v>5392</v>
      </c>
      <c r="BR120" s="9">
        <v>1</v>
      </c>
      <c r="BS120" s="9">
        <v>0</v>
      </c>
      <c r="BT120" s="9">
        <v>0</v>
      </c>
      <c r="BU120" s="9">
        <v>0</v>
      </c>
      <c r="BV120" s="9">
        <v>0</v>
      </c>
      <c r="BW120" s="9">
        <v>0</v>
      </c>
      <c r="BX120" s="9">
        <v>0</v>
      </c>
      <c r="BY120" s="9">
        <v>0</v>
      </c>
      <c r="BZ120" s="9">
        <v>0</v>
      </c>
      <c r="CA120" s="9">
        <v>0</v>
      </c>
      <c r="CB120" s="9">
        <v>0</v>
      </c>
      <c r="CC120" s="9">
        <v>0</v>
      </c>
      <c r="CD120" s="9">
        <v>0</v>
      </c>
      <c r="CE120" s="9">
        <v>0</v>
      </c>
      <c r="CF120" s="9">
        <v>0</v>
      </c>
      <c r="CG120" s="9">
        <v>0</v>
      </c>
      <c r="CH120" s="9">
        <v>36697</v>
      </c>
      <c r="CI120" s="9">
        <v>0</v>
      </c>
      <c r="CJ120" s="9">
        <v>5</v>
      </c>
      <c r="CK120" s="9">
        <v>0</v>
      </c>
      <c r="CL120" s="9">
        <v>0</v>
      </c>
      <c r="CM120" s="9">
        <v>0</v>
      </c>
      <c r="CN120" s="9">
        <v>0</v>
      </c>
      <c r="CO120" s="9">
        <v>0</v>
      </c>
      <c r="CP120" s="9">
        <v>0</v>
      </c>
      <c r="CQ120" s="9">
        <v>0</v>
      </c>
      <c r="CR120" s="9">
        <v>138.81200000000001</v>
      </c>
      <c r="CS120" s="9">
        <v>0</v>
      </c>
      <c r="CT120" s="9">
        <v>0</v>
      </c>
      <c r="CU120" s="9">
        <v>0</v>
      </c>
      <c r="CV120" s="9">
        <v>0</v>
      </c>
      <c r="CW120" s="9">
        <v>0</v>
      </c>
      <c r="CX120" s="9">
        <v>0</v>
      </c>
      <c r="CY120" s="9">
        <v>0</v>
      </c>
      <c r="CZ120" s="9">
        <v>0</v>
      </c>
      <c r="DA120" s="9">
        <v>1</v>
      </c>
      <c r="DB120" s="9">
        <v>1359039</v>
      </c>
      <c r="DC120" s="9">
        <v>0</v>
      </c>
      <c r="DD120" s="9">
        <v>0</v>
      </c>
      <c r="DE120" s="9">
        <v>182884</v>
      </c>
      <c r="DF120" s="9">
        <v>182884</v>
      </c>
      <c r="DG120" s="9">
        <v>139.67000000000002</v>
      </c>
      <c r="DH120" s="9">
        <v>0</v>
      </c>
      <c r="DI120" s="9">
        <v>0</v>
      </c>
      <c r="DJ120" s="9">
        <v>0</v>
      </c>
      <c r="DK120" s="9">
        <v>5392</v>
      </c>
      <c r="DL120" s="9">
        <v>0</v>
      </c>
      <c r="DM120" s="9">
        <v>149776</v>
      </c>
      <c r="DN120" s="9">
        <v>0</v>
      </c>
      <c r="DO120" s="9">
        <v>0</v>
      </c>
      <c r="DP120" s="9">
        <v>0</v>
      </c>
      <c r="DQ120" s="9">
        <v>0</v>
      </c>
      <c r="DR120" s="9">
        <v>0</v>
      </c>
      <c r="DS120" s="9">
        <v>0</v>
      </c>
      <c r="DT120" s="9">
        <v>0</v>
      </c>
      <c r="DU120" s="9">
        <v>0</v>
      </c>
      <c r="DV120" s="9">
        <v>0</v>
      </c>
      <c r="DW120" s="9">
        <v>0</v>
      </c>
      <c r="DX120" s="9">
        <v>0</v>
      </c>
      <c r="DY120" s="9">
        <v>0</v>
      </c>
      <c r="DZ120" s="9">
        <v>0</v>
      </c>
      <c r="EA120" s="9">
        <v>0</v>
      </c>
      <c r="EB120" s="9">
        <v>0</v>
      </c>
      <c r="EC120" s="9">
        <v>18.8</v>
      </c>
      <c r="ED120" s="9">
        <v>135392</v>
      </c>
      <c r="EE120" s="9">
        <v>0</v>
      </c>
      <c r="EF120" s="9">
        <v>0</v>
      </c>
      <c r="EG120" s="9">
        <v>0</v>
      </c>
      <c r="EH120" s="9">
        <v>14384</v>
      </c>
      <c r="EI120" s="9">
        <v>0</v>
      </c>
      <c r="EJ120" s="9">
        <v>0</v>
      </c>
      <c r="EK120" s="9">
        <v>0.36899999999999999</v>
      </c>
      <c r="EL120" s="9">
        <v>0</v>
      </c>
      <c r="EM120" s="9">
        <v>0</v>
      </c>
      <c r="EN120" s="9">
        <v>0.218</v>
      </c>
      <c r="EO120" s="9">
        <v>0</v>
      </c>
      <c r="EP120" s="9">
        <v>0</v>
      </c>
      <c r="EQ120" s="9">
        <v>0.58700000000000008</v>
      </c>
      <c r="ER120" s="9">
        <v>0</v>
      </c>
      <c r="ES120" s="9">
        <v>2.1970000000000001</v>
      </c>
      <c r="ET120" s="9">
        <v>0</v>
      </c>
      <c r="EU120" s="9">
        <v>69484</v>
      </c>
      <c r="EV120" s="9">
        <v>0</v>
      </c>
      <c r="EW120" s="9">
        <v>0</v>
      </c>
      <c r="EX120" s="9">
        <v>0</v>
      </c>
      <c r="EY120" s="9">
        <v>0</v>
      </c>
      <c r="EZ120" s="9">
        <v>1730195</v>
      </c>
      <c r="FA120" s="9">
        <v>0</v>
      </c>
      <c r="FB120" s="9">
        <v>1799679</v>
      </c>
      <c r="FC120" s="9">
        <v>0.97326799999999991</v>
      </c>
      <c r="FD120" s="9">
        <v>0</v>
      </c>
      <c r="FE120" s="9">
        <v>267269</v>
      </c>
      <c r="FF120" s="9">
        <v>56915</v>
      </c>
      <c r="FG120" s="9">
        <v>5.8088000000000001E-2</v>
      </c>
      <c r="FH120" s="9">
        <v>5.2622999999999996E-2</v>
      </c>
      <c r="FI120" s="9">
        <v>0</v>
      </c>
      <c r="FJ120" s="9">
        <v>0</v>
      </c>
      <c r="FK120" s="9">
        <v>338.51600000000002</v>
      </c>
      <c r="FL120" s="9">
        <v>2160560</v>
      </c>
      <c r="FM120" s="9">
        <v>0</v>
      </c>
      <c r="FN120" s="9">
        <v>0</v>
      </c>
      <c r="FO120" s="9">
        <v>24532</v>
      </c>
      <c r="FP120" s="9">
        <v>0</v>
      </c>
      <c r="FQ120" s="9">
        <v>24532</v>
      </c>
      <c r="FR120" s="9">
        <v>24532</v>
      </c>
      <c r="FS120" s="9">
        <v>0</v>
      </c>
      <c r="FT120" s="9">
        <v>0</v>
      </c>
      <c r="FU120" s="9">
        <v>0</v>
      </c>
      <c r="FV120" s="9">
        <v>0</v>
      </c>
      <c r="FW120" s="9">
        <v>0</v>
      </c>
      <c r="FX120" s="9">
        <v>0</v>
      </c>
      <c r="FY120" s="9">
        <v>0</v>
      </c>
      <c r="FZ120" s="9">
        <v>0</v>
      </c>
      <c r="GA120" s="9">
        <v>0</v>
      </c>
      <c r="GB120" s="9">
        <v>0</v>
      </c>
      <c r="GC120" s="9">
        <v>0</v>
      </c>
      <c r="GD120" s="9">
        <v>0</v>
      </c>
      <c r="GE120" s="9">
        <v>0</v>
      </c>
      <c r="GF120" s="9">
        <v>0</v>
      </c>
      <c r="GG120" s="9">
        <v>0</v>
      </c>
      <c r="GH120" s="9">
        <v>0</v>
      </c>
      <c r="GI120" s="9">
        <v>0</v>
      </c>
      <c r="GJ120" s="9">
        <v>0</v>
      </c>
      <c r="GK120" s="9">
        <v>0</v>
      </c>
      <c r="GL120" s="9">
        <v>0</v>
      </c>
      <c r="GM120" s="9">
        <v>0</v>
      </c>
      <c r="GN120" s="9">
        <v>0</v>
      </c>
      <c r="GO120" s="9">
        <v>0</v>
      </c>
      <c r="GP120" s="9">
        <v>2123863</v>
      </c>
      <c r="GQ120" s="9">
        <v>2123863</v>
      </c>
      <c r="GR120" s="9">
        <v>0</v>
      </c>
      <c r="GS120" s="9">
        <v>0</v>
      </c>
      <c r="GT120" s="9">
        <v>0</v>
      </c>
      <c r="GU120" s="9">
        <v>0</v>
      </c>
      <c r="GV120" s="9">
        <v>0</v>
      </c>
      <c r="GW120" s="9">
        <v>0</v>
      </c>
      <c r="GX120" s="9">
        <v>0</v>
      </c>
      <c r="GY120" s="9">
        <v>0</v>
      </c>
      <c r="GZ120" s="9">
        <v>0</v>
      </c>
      <c r="HA120" s="9">
        <v>0</v>
      </c>
      <c r="HB120" s="9">
        <v>300501363</v>
      </c>
      <c r="HC120" s="9">
        <v>4.4742999999999998E-2</v>
      </c>
      <c r="HD120" s="9">
        <v>36697</v>
      </c>
      <c r="HE120" s="9">
        <v>0</v>
      </c>
      <c r="HF120" s="9">
        <v>0</v>
      </c>
      <c r="HG120" s="9">
        <v>0</v>
      </c>
      <c r="HH120" s="9">
        <v>0</v>
      </c>
      <c r="HI120" s="9">
        <v>0</v>
      </c>
      <c r="HJ120" s="9">
        <v>0</v>
      </c>
      <c r="HK120" s="9">
        <v>0</v>
      </c>
      <c r="HL120" s="9">
        <v>0</v>
      </c>
      <c r="HM120" s="9">
        <v>0</v>
      </c>
      <c r="HN120" s="9">
        <v>0</v>
      </c>
      <c r="HO120" s="9">
        <v>0</v>
      </c>
      <c r="HP120" s="9">
        <v>0</v>
      </c>
      <c r="HQ120" s="9">
        <v>0</v>
      </c>
      <c r="HR120" s="9">
        <v>0</v>
      </c>
      <c r="HS120" s="9">
        <v>0</v>
      </c>
      <c r="HT120" s="9">
        <v>0</v>
      </c>
      <c r="HU120" s="9">
        <v>0</v>
      </c>
      <c r="HV120" s="9">
        <v>0</v>
      </c>
      <c r="HW120" s="9">
        <v>0</v>
      </c>
      <c r="HX120" s="9">
        <v>0</v>
      </c>
      <c r="HY120" s="9">
        <v>0</v>
      </c>
      <c r="HZ120" s="9">
        <v>0</v>
      </c>
      <c r="IA120" s="9">
        <v>0</v>
      </c>
      <c r="IB120" s="9">
        <v>0</v>
      </c>
      <c r="IC120" s="9">
        <v>0</v>
      </c>
      <c r="ID120" s="9">
        <v>0</v>
      </c>
      <c r="IE120" s="9">
        <v>0</v>
      </c>
      <c r="IF120" s="9">
        <v>0</v>
      </c>
      <c r="IG120" s="9">
        <v>0</v>
      </c>
      <c r="IH120" s="9">
        <v>0</v>
      </c>
      <c r="II120" s="9">
        <v>0</v>
      </c>
      <c r="IJ120" s="9">
        <v>0</v>
      </c>
      <c r="IK120" s="9">
        <v>0</v>
      </c>
      <c r="IL120" s="9">
        <v>0</v>
      </c>
      <c r="IM120" s="9">
        <v>0</v>
      </c>
      <c r="IN120" s="9">
        <v>0</v>
      </c>
      <c r="IO120" s="9">
        <v>0</v>
      </c>
      <c r="IP120" s="9">
        <v>0</v>
      </c>
      <c r="IQ120" s="9">
        <v>0</v>
      </c>
      <c r="IR120" s="9">
        <v>0</v>
      </c>
      <c r="IS120" s="9">
        <v>0</v>
      </c>
      <c r="IT120" s="9">
        <v>0</v>
      </c>
      <c r="IU120" s="9">
        <v>0</v>
      </c>
      <c r="IV120" s="9">
        <v>0</v>
      </c>
      <c r="IW120" s="9">
        <v>0</v>
      </c>
      <c r="IX120" s="9">
        <v>0</v>
      </c>
      <c r="IY120" s="9">
        <v>0</v>
      </c>
      <c r="IZ120" s="9">
        <v>0</v>
      </c>
      <c r="JA120" s="9">
        <v>0</v>
      </c>
      <c r="JB120" s="9">
        <v>0</v>
      </c>
      <c r="JC120" s="9">
        <v>0</v>
      </c>
      <c r="JD120" s="9">
        <v>0</v>
      </c>
      <c r="JE120" s="9">
        <v>0</v>
      </c>
      <c r="JF120" s="9">
        <v>0</v>
      </c>
      <c r="JG120" s="9">
        <v>0</v>
      </c>
      <c r="JH120" s="9">
        <v>0</v>
      </c>
      <c r="JI120" s="9">
        <v>0</v>
      </c>
      <c r="JJ120" s="9">
        <v>0</v>
      </c>
      <c r="JK120" s="9">
        <v>0</v>
      </c>
      <c r="JL120" s="9">
        <v>0</v>
      </c>
      <c r="JM120" s="9">
        <v>0</v>
      </c>
      <c r="JN120" s="9">
        <v>36832</v>
      </c>
      <c r="JO120" s="9">
        <v>0</v>
      </c>
      <c r="JP120" s="9">
        <v>0</v>
      </c>
      <c r="JQ120" s="9">
        <v>0</v>
      </c>
      <c r="JR120" s="9">
        <v>0</v>
      </c>
      <c r="JS120" s="9">
        <v>0</v>
      </c>
      <c r="JT120" s="9">
        <v>0</v>
      </c>
      <c r="JU120" s="9">
        <v>0</v>
      </c>
      <c r="JV120" s="9">
        <v>0</v>
      </c>
      <c r="JW120" s="9">
        <v>0</v>
      </c>
      <c r="JX120" s="9">
        <v>0</v>
      </c>
      <c r="JY120" s="9">
        <v>0</v>
      </c>
      <c r="JZ120" s="9">
        <v>0</v>
      </c>
      <c r="KA120" s="9">
        <v>0</v>
      </c>
      <c r="KB120" s="9">
        <v>0</v>
      </c>
      <c r="KC120" s="9">
        <v>0</v>
      </c>
      <c r="KD120" s="9">
        <v>0</v>
      </c>
      <c r="KE120" s="9">
        <v>0</v>
      </c>
      <c r="KF120" s="9">
        <v>0</v>
      </c>
      <c r="KG120" s="9">
        <v>0</v>
      </c>
      <c r="KH120" s="9">
        <v>0</v>
      </c>
      <c r="KI120" s="9">
        <v>0</v>
      </c>
    </row>
    <row r="121" spans="1:295" x14ac:dyDescent="0.25">
      <c r="A121" s="9">
        <v>101873</v>
      </c>
      <c r="B121" s="9">
        <v>36871</v>
      </c>
      <c r="C121" s="9">
        <v>35</v>
      </c>
      <c r="D121" s="9">
        <v>2023</v>
      </c>
      <c r="E121" s="9">
        <v>5392</v>
      </c>
      <c r="F121" s="9">
        <v>0</v>
      </c>
      <c r="G121" s="9">
        <v>0</v>
      </c>
      <c r="H121" s="9">
        <v>245.42200000000003</v>
      </c>
      <c r="I121" s="9">
        <v>245.42200000000003</v>
      </c>
      <c r="J121" s="9">
        <v>247.68800000000002</v>
      </c>
      <c r="K121" s="9">
        <v>0</v>
      </c>
      <c r="L121" s="9">
        <v>6547</v>
      </c>
      <c r="M121" s="9">
        <v>0</v>
      </c>
      <c r="N121" s="9">
        <v>0</v>
      </c>
      <c r="O121" s="9">
        <v>0</v>
      </c>
      <c r="P121" s="9">
        <v>243.84300000000002</v>
      </c>
      <c r="Q121" s="9">
        <v>0</v>
      </c>
      <c r="R121" s="9">
        <v>118733</v>
      </c>
      <c r="S121" s="9">
        <v>486.92200000000003</v>
      </c>
      <c r="T121" s="9">
        <v>0</v>
      </c>
      <c r="U121" s="9">
        <v>118733</v>
      </c>
      <c r="V121" s="9">
        <v>0</v>
      </c>
      <c r="W121" s="9">
        <v>0</v>
      </c>
      <c r="X121" s="9">
        <v>0</v>
      </c>
      <c r="Y121" s="9">
        <v>0</v>
      </c>
      <c r="Z121" s="9">
        <v>0</v>
      </c>
      <c r="AA121" s="9">
        <v>1</v>
      </c>
      <c r="AB121" s="9">
        <v>1</v>
      </c>
      <c r="AC121" s="9">
        <v>0</v>
      </c>
      <c r="AD121" s="9" t="s">
        <v>314</v>
      </c>
      <c r="AE121" s="9">
        <v>0</v>
      </c>
      <c r="AF121" s="9">
        <v>0</v>
      </c>
      <c r="AG121" s="9">
        <v>0</v>
      </c>
      <c r="AH121" s="9">
        <v>0</v>
      </c>
      <c r="AI121" s="9">
        <v>0</v>
      </c>
      <c r="AJ121" s="9">
        <v>5104</v>
      </c>
      <c r="AK121" s="9" t="s">
        <v>651</v>
      </c>
      <c r="AL121" s="9" t="s">
        <v>446</v>
      </c>
      <c r="AM121" s="9">
        <v>0</v>
      </c>
      <c r="AN121" s="9">
        <v>0</v>
      </c>
      <c r="AO121" s="9">
        <v>0</v>
      </c>
      <c r="AP121" s="9">
        <v>0</v>
      </c>
      <c r="AQ121" s="9">
        <v>0</v>
      </c>
      <c r="AR121" s="9">
        <v>0</v>
      </c>
      <c r="AS121" s="9">
        <v>0</v>
      </c>
      <c r="AT121" s="9">
        <v>0</v>
      </c>
      <c r="AU121" s="9">
        <v>0</v>
      </c>
      <c r="AV121" s="9">
        <v>-91506</v>
      </c>
      <c r="AW121" s="9">
        <v>2346158</v>
      </c>
      <c r="AX121" s="9">
        <v>2339221</v>
      </c>
      <c r="AY121" s="9">
        <v>1987664</v>
      </c>
      <c r="AZ121" s="9">
        <v>125670</v>
      </c>
      <c r="BA121" s="9">
        <v>0</v>
      </c>
      <c r="BB121" s="9">
        <v>0</v>
      </c>
      <c r="BC121" s="9">
        <v>0</v>
      </c>
      <c r="BD121" s="9">
        <v>0</v>
      </c>
      <c r="BE121" s="9">
        <v>0</v>
      </c>
      <c r="BF121" s="9">
        <v>2022830</v>
      </c>
      <c r="BG121" s="9">
        <v>0</v>
      </c>
      <c r="BH121" s="9">
        <v>25.226000000000003</v>
      </c>
      <c r="BI121" s="9">
        <v>6937</v>
      </c>
      <c r="BJ121" s="9">
        <v>12</v>
      </c>
      <c r="BK121" s="9">
        <v>0</v>
      </c>
      <c r="BL121" s="9">
        <v>0</v>
      </c>
      <c r="BM121" s="9">
        <v>0</v>
      </c>
      <c r="BN121" s="9">
        <v>0</v>
      </c>
      <c r="BO121" s="9">
        <v>0</v>
      </c>
      <c r="BP121" s="9">
        <v>0</v>
      </c>
      <c r="BQ121" s="9">
        <v>5392</v>
      </c>
      <c r="BR121" s="9">
        <v>1</v>
      </c>
      <c r="BS121" s="9">
        <v>0</v>
      </c>
      <c r="BT121" s="9">
        <v>0</v>
      </c>
      <c r="BU121" s="9">
        <v>0</v>
      </c>
      <c r="BV121" s="9">
        <v>0</v>
      </c>
      <c r="BW121" s="9">
        <v>0</v>
      </c>
      <c r="BX121" s="9">
        <v>0</v>
      </c>
      <c r="BY121" s="9">
        <v>0</v>
      </c>
      <c r="BZ121" s="9">
        <v>0</v>
      </c>
      <c r="CA121" s="9">
        <v>0</v>
      </c>
      <c r="CB121" s="9">
        <v>0</v>
      </c>
      <c r="CC121" s="9">
        <v>0</v>
      </c>
      <c r="CD121" s="9">
        <v>0</v>
      </c>
      <c r="CE121" s="9">
        <v>0</v>
      </c>
      <c r="CF121" s="9">
        <v>0</v>
      </c>
      <c r="CG121" s="9">
        <v>0</v>
      </c>
      <c r="CH121" s="9">
        <v>0</v>
      </c>
      <c r="CI121" s="9">
        <v>0</v>
      </c>
      <c r="CJ121" s="9">
        <v>4</v>
      </c>
      <c r="CK121" s="9">
        <v>0</v>
      </c>
      <c r="CL121" s="9">
        <v>0</v>
      </c>
      <c r="CM121" s="9">
        <v>0</v>
      </c>
      <c r="CN121" s="9">
        <v>0</v>
      </c>
      <c r="CO121" s="9">
        <v>0</v>
      </c>
      <c r="CP121" s="9">
        <v>0</v>
      </c>
      <c r="CQ121" s="9">
        <v>0</v>
      </c>
      <c r="CR121" s="9">
        <v>230.16800000000001</v>
      </c>
      <c r="CS121" s="9">
        <v>0</v>
      </c>
      <c r="CT121" s="9">
        <v>0</v>
      </c>
      <c r="CU121" s="9">
        <v>0</v>
      </c>
      <c r="CV121" s="9">
        <v>0</v>
      </c>
      <c r="CW121" s="9">
        <v>0</v>
      </c>
      <c r="CX121" s="9">
        <v>0</v>
      </c>
      <c r="CY121" s="9">
        <v>0</v>
      </c>
      <c r="CZ121" s="9">
        <v>0</v>
      </c>
      <c r="DA121" s="9">
        <v>1</v>
      </c>
      <c r="DB121" s="9">
        <v>1606778</v>
      </c>
      <c r="DC121" s="9">
        <v>0</v>
      </c>
      <c r="DD121" s="9">
        <v>0</v>
      </c>
      <c r="DE121" s="9">
        <v>347646</v>
      </c>
      <c r="DF121" s="9">
        <v>347646</v>
      </c>
      <c r="DG121" s="9">
        <v>265.5</v>
      </c>
      <c r="DH121" s="9">
        <v>0</v>
      </c>
      <c r="DI121" s="9">
        <v>0</v>
      </c>
      <c r="DJ121" s="9">
        <v>0</v>
      </c>
      <c r="DK121" s="9">
        <v>5392</v>
      </c>
      <c r="DL121" s="9">
        <v>0</v>
      </c>
      <c r="DM121" s="9">
        <v>123966</v>
      </c>
      <c r="DN121" s="9">
        <v>0</v>
      </c>
      <c r="DO121" s="9">
        <v>0</v>
      </c>
      <c r="DP121" s="9">
        <v>0</v>
      </c>
      <c r="DQ121" s="9">
        <v>0</v>
      </c>
      <c r="DR121" s="9">
        <v>0</v>
      </c>
      <c r="DS121" s="9">
        <v>0</v>
      </c>
      <c r="DT121" s="9">
        <v>0</v>
      </c>
      <c r="DU121" s="9">
        <v>0</v>
      </c>
      <c r="DV121" s="9">
        <v>0</v>
      </c>
      <c r="DW121" s="9">
        <v>0</v>
      </c>
      <c r="DX121" s="9">
        <v>0</v>
      </c>
      <c r="DY121" s="9">
        <v>0</v>
      </c>
      <c r="DZ121" s="9">
        <v>0</v>
      </c>
      <c r="EA121" s="9">
        <v>0</v>
      </c>
      <c r="EB121" s="9">
        <v>0</v>
      </c>
      <c r="EC121" s="9">
        <v>10.948</v>
      </c>
      <c r="ED121" s="9">
        <v>78844</v>
      </c>
      <c r="EE121" s="9">
        <v>0</v>
      </c>
      <c r="EF121" s="9">
        <v>0</v>
      </c>
      <c r="EG121" s="9">
        <v>0</v>
      </c>
      <c r="EH121" s="9">
        <v>45122</v>
      </c>
      <c r="EI121" s="9">
        <v>0</v>
      </c>
      <c r="EJ121" s="9">
        <v>0</v>
      </c>
      <c r="EK121" s="9">
        <v>1.905</v>
      </c>
      <c r="EL121" s="9">
        <v>0</v>
      </c>
      <c r="EM121" s="9">
        <v>0.314</v>
      </c>
      <c r="EN121" s="9">
        <v>4.7E-2</v>
      </c>
      <c r="EO121" s="9">
        <v>0</v>
      </c>
      <c r="EP121" s="9">
        <v>0</v>
      </c>
      <c r="EQ121" s="9">
        <v>2.266</v>
      </c>
      <c r="ER121" s="9">
        <v>0</v>
      </c>
      <c r="ES121" s="9">
        <v>6.8920000000000003</v>
      </c>
      <c r="ET121" s="9">
        <v>0</v>
      </c>
      <c r="EU121" s="9">
        <v>125670</v>
      </c>
      <c r="EV121" s="9">
        <v>0</v>
      </c>
      <c r="EW121" s="9">
        <v>0</v>
      </c>
      <c r="EX121" s="9">
        <v>0</v>
      </c>
      <c r="EY121" s="9">
        <v>0</v>
      </c>
      <c r="EZ121" s="9">
        <v>1959657</v>
      </c>
      <c r="FA121" s="9">
        <v>0</v>
      </c>
      <c r="FB121" s="9">
        <v>2085327</v>
      </c>
      <c r="FC121" s="9">
        <v>0.97326799999999991</v>
      </c>
      <c r="FD121" s="9">
        <v>0</v>
      </c>
      <c r="FE121" s="9">
        <v>312926</v>
      </c>
      <c r="FF121" s="9">
        <v>66638</v>
      </c>
      <c r="FG121" s="9">
        <v>5.8088000000000001E-2</v>
      </c>
      <c r="FH121" s="9">
        <v>5.2622999999999996E-2</v>
      </c>
      <c r="FI121" s="9">
        <v>0</v>
      </c>
      <c r="FJ121" s="9">
        <v>0</v>
      </c>
      <c r="FK121" s="9">
        <v>396.34399999999999</v>
      </c>
      <c r="FL121" s="9">
        <v>2464891</v>
      </c>
      <c r="FM121" s="9">
        <v>0</v>
      </c>
      <c r="FN121" s="9">
        <v>0</v>
      </c>
      <c r="FO121" s="9">
        <v>0</v>
      </c>
      <c r="FP121" s="9">
        <v>0</v>
      </c>
      <c r="FQ121" s="9">
        <v>0</v>
      </c>
      <c r="FR121" s="9">
        <v>0</v>
      </c>
      <c r="FS121" s="9">
        <v>0</v>
      </c>
      <c r="FT121" s="9">
        <v>0</v>
      </c>
      <c r="FU121" s="9">
        <v>0</v>
      </c>
      <c r="FV121" s="9">
        <v>0</v>
      </c>
      <c r="FW121" s="9">
        <v>0</v>
      </c>
      <c r="FX121" s="9">
        <v>0</v>
      </c>
      <c r="FY121" s="9">
        <v>0</v>
      </c>
      <c r="FZ121" s="9">
        <v>0</v>
      </c>
      <c r="GA121" s="9">
        <v>0</v>
      </c>
      <c r="GB121" s="9">
        <v>0</v>
      </c>
      <c r="GC121" s="9">
        <v>0</v>
      </c>
      <c r="GD121" s="9">
        <v>0</v>
      </c>
      <c r="GE121" s="9">
        <v>0</v>
      </c>
      <c r="GF121" s="9">
        <v>0</v>
      </c>
      <c r="GG121" s="9">
        <v>0</v>
      </c>
      <c r="GH121" s="9">
        <v>0</v>
      </c>
      <c r="GI121" s="9">
        <v>0</v>
      </c>
      <c r="GJ121" s="9">
        <v>0</v>
      </c>
      <c r="GK121" s="9">
        <v>0</v>
      </c>
      <c r="GL121" s="9">
        <v>0</v>
      </c>
      <c r="GM121" s="9">
        <v>0</v>
      </c>
      <c r="GN121" s="9">
        <v>0</v>
      </c>
      <c r="GO121" s="9">
        <v>0</v>
      </c>
      <c r="GP121" s="9">
        <v>2464891</v>
      </c>
      <c r="GQ121" s="9">
        <v>2464891</v>
      </c>
      <c r="GR121" s="9">
        <v>0</v>
      </c>
      <c r="GS121" s="9">
        <v>0</v>
      </c>
      <c r="GT121" s="9">
        <v>0</v>
      </c>
      <c r="GU121" s="9">
        <v>0</v>
      </c>
      <c r="GV121" s="9">
        <v>0</v>
      </c>
      <c r="GW121" s="9">
        <v>0</v>
      </c>
      <c r="GX121" s="9">
        <v>0</v>
      </c>
      <c r="GY121" s="9">
        <v>0</v>
      </c>
      <c r="GZ121" s="9">
        <v>0</v>
      </c>
      <c r="HA121" s="9">
        <v>0</v>
      </c>
      <c r="HB121" s="9">
        <v>0</v>
      </c>
      <c r="HC121" s="9">
        <v>0</v>
      </c>
      <c r="HD121" s="9">
        <v>0</v>
      </c>
      <c r="HE121" s="9">
        <v>0</v>
      </c>
      <c r="HF121" s="9">
        <v>0</v>
      </c>
      <c r="HG121" s="9">
        <v>0</v>
      </c>
      <c r="HH121" s="9">
        <v>0</v>
      </c>
      <c r="HI121" s="9">
        <v>0</v>
      </c>
      <c r="HJ121" s="9">
        <v>0</v>
      </c>
      <c r="HK121" s="9">
        <v>0</v>
      </c>
      <c r="HL121" s="9">
        <v>0</v>
      </c>
      <c r="HM121" s="9">
        <v>0</v>
      </c>
      <c r="HN121" s="9">
        <v>0</v>
      </c>
      <c r="HO121" s="9">
        <v>0</v>
      </c>
      <c r="HP121" s="9">
        <v>0</v>
      </c>
      <c r="HQ121" s="9">
        <v>0</v>
      </c>
      <c r="HR121" s="9">
        <v>0</v>
      </c>
      <c r="HS121" s="9">
        <v>0</v>
      </c>
      <c r="HT121" s="9">
        <v>0</v>
      </c>
      <c r="HU121" s="9">
        <v>0</v>
      </c>
      <c r="HV121" s="9">
        <v>0</v>
      </c>
      <c r="HW121" s="9">
        <v>0</v>
      </c>
      <c r="HX121" s="9">
        <v>0</v>
      </c>
      <c r="HY121" s="9">
        <v>0</v>
      </c>
      <c r="HZ121" s="9">
        <v>0</v>
      </c>
      <c r="IA121" s="9">
        <v>0</v>
      </c>
      <c r="IB121" s="9">
        <v>0</v>
      </c>
      <c r="IC121" s="9">
        <v>0</v>
      </c>
      <c r="ID121" s="9">
        <v>0</v>
      </c>
      <c r="IE121" s="9">
        <v>0</v>
      </c>
      <c r="IF121" s="9">
        <v>0</v>
      </c>
      <c r="IG121" s="9">
        <v>0</v>
      </c>
      <c r="IH121" s="9">
        <v>0</v>
      </c>
      <c r="II121" s="9">
        <v>0</v>
      </c>
      <c r="IJ121" s="9">
        <v>0</v>
      </c>
      <c r="IK121" s="9">
        <v>0</v>
      </c>
      <c r="IL121" s="9">
        <v>0</v>
      </c>
      <c r="IM121" s="9">
        <v>0</v>
      </c>
      <c r="IN121" s="9">
        <v>0</v>
      </c>
      <c r="IO121" s="9">
        <v>0</v>
      </c>
      <c r="IP121" s="9">
        <v>0</v>
      </c>
      <c r="IQ121" s="9">
        <v>0</v>
      </c>
      <c r="IR121" s="9">
        <v>0</v>
      </c>
      <c r="IS121" s="9">
        <v>0</v>
      </c>
      <c r="IT121" s="9">
        <v>0</v>
      </c>
      <c r="IU121" s="9">
        <v>0</v>
      </c>
      <c r="IV121" s="9">
        <v>0</v>
      </c>
      <c r="IW121" s="9">
        <v>0</v>
      </c>
      <c r="IX121" s="9">
        <v>0</v>
      </c>
      <c r="IY121" s="9">
        <v>0</v>
      </c>
      <c r="IZ121" s="9">
        <v>0</v>
      </c>
      <c r="JA121" s="9">
        <v>0</v>
      </c>
      <c r="JB121" s="9">
        <v>0</v>
      </c>
      <c r="JC121" s="9">
        <v>0</v>
      </c>
      <c r="JD121" s="9">
        <v>0</v>
      </c>
      <c r="JE121" s="9">
        <v>0</v>
      </c>
      <c r="JF121" s="9">
        <v>0</v>
      </c>
      <c r="JG121" s="9">
        <v>0</v>
      </c>
      <c r="JH121" s="9">
        <v>0</v>
      </c>
      <c r="JI121" s="9">
        <v>0</v>
      </c>
      <c r="JJ121" s="9">
        <v>0</v>
      </c>
      <c r="JK121" s="9">
        <v>0</v>
      </c>
      <c r="JL121" s="9">
        <v>0</v>
      </c>
      <c r="JM121" s="9">
        <v>0</v>
      </c>
      <c r="JN121" s="9">
        <v>36832</v>
      </c>
      <c r="JO121" s="9">
        <v>0</v>
      </c>
      <c r="JP121" s="9">
        <v>0</v>
      </c>
      <c r="JQ121" s="9">
        <v>0</v>
      </c>
      <c r="JR121" s="9">
        <v>0</v>
      </c>
      <c r="JS121" s="9">
        <v>0</v>
      </c>
      <c r="JT121" s="9">
        <v>0</v>
      </c>
      <c r="JU121" s="9">
        <v>0</v>
      </c>
      <c r="JV121" s="9">
        <v>0</v>
      </c>
      <c r="JW121" s="9">
        <v>0</v>
      </c>
      <c r="JX121" s="9">
        <v>0</v>
      </c>
      <c r="JY121" s="9">
        <v>0</v>
      </c>
      <c r="JZ121" s="9">
        <v>0</v>
      </c>
      <c r="KA121" s="9">
        <v>0</v>
      </c>
      <c r="KB121" s="9">
        <v>0</v>
      </c>
      <c r="KC121" s="9">
        <v>0</v>
      </c>
      <c r="KD121" s="9">
        <v>0</v>
      </c>
      <c r="KE121" s="9">
        <v>0</v>
      </c>
      <c r="KF121" s="9">
        <v>0</v>
      </c>
      <c r="KG121" s="9">
        <v>0</v>
      </c>
      <c r="KH121" s="9">
        <v>0</v>
      </c>
      <c r="KI121" s="9">
        <v>0</v>
      </c>
    </row>
    <row r="122" spans="1:295" x14ac:dyDescent="0.25">
      <c r="A122" s="9">
        <v>101874</v>
      </c>
      <c r="B122" s="9">
        <v>36871</v>
      </c>
      <c r="C122" s="9">
        <v>35</v>
      </c>
      <c r="D122" s="9">
        <v>2023</v>
      </c>
      <c r="E122" s="9">
        <v>5392</v>
      </c>
      <c r="F122" s="9">
        <v>0</v>
      </c>
      <c r="G122" s="9">
        <v>0</v>
      </c>
      <c r="H122" s="9">
        <v>349.11799999999999</v>
      </c>
      <c r="I122" s="9">
        <v>349.11799999999999</v>
      </c>
      <c r="J122" s="9">
        <v>380.55200000000002</v>
      </c>
      <c r="K122" s="9">
        <v>0</v>
      </c>
      <c r="L122" s="9">
        <v>6547</v>
      </c>
      <c r="M122" s="9">
        <v>0</v>
      </c>
      <c r="N122" s="9">
        <v>0</v>
      </c>
      <c r="O122" s="9">
        <v>0</v>
      </c>
      <c r="P122" s="9">
        <v>384.16</v>
      </c>
      <c r="Q122" s="9">
        <v>0</v>
      </c>
      <c r="R122" s="9">
        <v>187056</v>
      </c>
      <c r="S122" s="9">
        <v>486.92200000000003</v>
      </c>
      <c r="T122" s="9">
        <v>0</v>
      </c>
      <c r="U122" s="9">
        <v>187056</v>
      </c>
      <c r="V122" s="9">
        <v>3.774</v>
      </c>
      <c r="W122" s="9">
        <v>2471</v>
      </c>
      <c r="X122" s="9">
        <v>2471</v>
      </c>
      <c r="Y122" s="9">
        <v>0</v>
      </c>
      <c r="Z122" s="9">
        <v>0</v>
      </c>
      <c r="AA122" s="9">
        <v>1</v>
      </c>
      <c r="AB122" s="9">
        <v>1</v>
      </c>
      <c r="AC122" s="9">
        <v>0</v>
      </c>
      <c r="AD122" s="9" t="s">
        <v>314</v>
      </c>
      <c r="AE122" s="9">
        <v>0</v>
      </c>
      <c r="AF122" s="9">
        <v>0</v>
      </c>
      <c r="AG122" s="9">
        <v>0</v>
      </c>
      <c r="AH122" s="9">
        <v>0</v>
      </c>
      <c r="AI122" s="9">
        <v>0</v>
      </c>
      <c r="AJ122" s="9">
        <v>5104</v>
      </c>
      <c r="AK122" s="9" t="s">
        <v>651</v>
      </c>
      <c r="AL122" s="9" t="s">
        <v>439</v>
      </c>
      <c r="AM122" s="9">
        <v>0</v>
      </c>
      <c r="AN122" s="9">
        <v>0</v>
      </c>
      <c r="AO122" s="9">
        <v>0</v>
      </c>
      <c r="AP122" s="9">
        <v>0</v>
      </c>
      <c r="AQ122" s="9">
        <v>0</v>
      </c>
      <c r="AR122" s="9">
        <v>0</v>
      </c>
      <c r="AS122" s="9">
        <v>0</v>
      </c>
      <c r="AT122" s="9">
        <v>0</v>
      </c>
      <c r="AU122" s="9">
        <v>0</v>
      </c>
      <c r="AV122" s="9">
        <v>-76021</v>
      </c>
      <c r="AW122" s="9">
        <v>3269454</v>
      </c>
      <c r="AX122" s="9">
        <v>3216875</v>
      </c>
      <c r="AY122" s="9">
        <v>3123332</v>
      </c>
      <c r="AZ122" s="9">
        <v>239635</v>
      </c>
      <c r="BA122" s="9">
        <v>0</v>
      </c>
      <c r="BB122" s="9">
        <v>0</v>
      </c>
      <c r="BC122" s="9">
        <v>0</v>
      </c>
      <c r="BD122" s="9">
        <v>0</v>
      </c>
      <c r="BE122" s="9">
        <v>0</v>
      </c>
      <c r="BF122" s="9">
        <v>2801344</v>
      </c>
      <c r="BG122" s="9">
        <v>0</v>
      </c>
      <c r="BH122" s="9">
        <v>191.197</v>
      </c>
      <c r="BI122" s="9">
        <v>52579</v>
      </c>
      <c r="BJ122" s="9">
        <v>12</v>
      </c>
      <c r="BK122" s="9">
        <v>0</v>
      </c>
      <c r="BL122" s="9">
        <v>0</v>
      </c>
      <c r="BM122" s="9">
        <v>0</v>
      </c>
      <c r="BN122" s="9">
        <v>0</v>
      </c>
      <c r="BO122" s="9">
        <v>0</v>
      </c>
      <c r="BP122" s="9">
        <v>0</v>
      </c>
      <c r="BQ122" s="9">
        <v>5392</v>
      </c>
      <c r="BR122" s="9">
        <v>1</v>
      </c>
      <c r="BS122" s="9">
        <v>0</v>
      </c>
      <c r="BT122" s="9">
        <v>0</v>
      </c>
      <c r="BU122" s="9">
        <v>0</v>
      </c>
      <c r="BV122" s="9">
        <v>0</v>
      </c>
      <c r="BW122" s="9">
        <v>0</v>
      </c>
      <c r="BX122" s="9">
        <v>0</v>
      </c>
      <c r="BY122" s="9">
        <v>0</v>
      </c>
      <c r="BZ122" s="9">
        <v>0</v>
      </c>
      <c r="CA122" s="9">
        <v>0</v>
      </c>
      <c r="CB122" s="9">
        <v>0</v>
      </c>
      <c r="CC122" s="9">
        <v>0</v>
      </c>
      <c r="CD122" s="9">
        <v>0</v>
      </c>
      <c r="CE122" s="9">
        <v>0</v>
      </c>
      <c r="CF122" s="9">
        <v>0</v>
      </c>
      <c r="CG122" s="9">
        <v>0</v>
      </c>
      <c r="CH122" s="9">
        <v>0</v>
      </c>
      <c r="CI122" s="9">
        <v>0</v>
      </c>
      <c r="CJ122" s="9">
        <v>4</v>
      </c>
      <c r="CK122" s="9">
        <v>0</v>
      </c>
      <c r="CL122" s="9">
        <v>0</v>
      </c>
      <c r="CM122" s="9">
        <v>0</v>
      </c>
      <c r="CN122" s="9">
        <v>0</v>
      </c>
      <c r="CO122" s="9">
        <v>0</v>
      </c>
      <c r="CP122" s="9">
        <v>0</v>
      </c>
      <c r="CQ122" s="9">
        <v>0</v>
      </c>
      <c r="CR122" s="9">
        <v>379.572</v>
      </c>
      <c r="CS122" s="9">
        <v>0</v>
      </c>
      <c r="CT122" s="9">
        <v>0</v>
      </c>
      <c r="CU122" s="9">
        <v>0</v>
      </c>
      <c r="CV122" s="9">
        <v>0</v>
      </c>
      <c r="CW122" s="9">
        <v>0</v>
      </c>
      <c r="CX122" s="9">
        <v>0</v>
      </c>
      <c r="CY122" s="9">
        <v>0</v>
      </c>
      <c r="CZ122" s="9">
        <v>0</v>
      </c>
      <c r="DA122" s="9">
        <v>1</v>
      </c>
      <c r="DB122" s="9">
        <v>2285676</v>
      </c>
      <c r="DC122" s="9">
        <v>0</v>
      </c>
      <c r="DD122" s="9">
        <v>0</v>
      </c>
      <c r="DE122" s="9">
        <v>167381</v>
      </c>
      <c r="DF122" s="9">
        <v>167381</v>
      </c>
      <c r="DG122" s="9">
        <v>127.83</v>
      </c>
      <c r="DH122" s="9">
        <v>0</v>
      </c>
      <c r="DI122" s="9">
        <v>0</v>
      </c>
      <c r="DJ122" s="9">
        <v>0</v>
      </c>
      <c r="DK122" s="9">
        <v>5392</v>
      </c>
      <c r="DL122" s="9">
        <v>0</v>
      </c>
      <c r="DM122" s="9">
        <v>145248</v>
      </c>
      <c r="DN122" s="9">
        <v>0</v>
      </c>
      <c r="DO122" s="9">
        <v>0</v>
      </c>
      <c r="DP122" s="9">
        <v>0</v>
      </c>
      <c r="DQ122" s="9">
        <v>0</v>
      </c>
      <c r="DR122" s="9">
        <v>0</v>
      </c>
      <c r="DS122" s="9">
        <v>0</v>
      </c>
      <c r="DT122" s="9">
        <v>0</v>
      </c>
      <c r="DU122" s="9">
        <v>0</v>
      </c>
      <c r="DV122" s="9">
        <v>0</v>
      </c>
      <c r="DW122" s="9">
        <v>0</v>
      </c>
      <c r="DX122" s="9">
        <v>0</v>
      </c>
      <c r="DY122" s="9">
        <v>0</v>
      </c>
      <c r="DZ122" s="9">
        <v>0</v>
      </c>
      <c r="EA122" s="9">
        <v>0</v>
      </c>
      <c r="EB122" s="9">
        <v>0</v>
      </c>
      <c r="EC122" s="9">
        <v>20.005000000000003</v>
      </c>
      <c r="ED122" s="9">
        <v>144070</v>
      </c>
      <c r="EE122" s="9">
        <v>0</v>
      </c>
      <c r="EF122" s="9">
        <v>0</v>
      </c>
      <c r="EG122" s="9">
        <v>0</v>
      </c>
      <c r="EH122" s="9">
        <v>1178</v>
      </c>
      <c r="EI122" s="9">
        <v>0</v>
      </c>
      <c r="EJ122" s="9">
        <v>0</v>
      </c>
      <c r="EK122" s="9">
        <v>0</v>
      </c>
      <c r="EL122" s="9">
        <v>0</v>
      </c>
      <c r="EM122" s="9">
        <v>0</v>
      </c>
      <c r="EN122" s="9">
        <v>3.6000000000000004E-2</v>
      </c>
      <c r="EO122" s="9">
        <v>0</v>
      </c>
      <c r="EP122" s="9">
        <v>0</v>
      </c>
      <c r="EQ122" s="9">
        <v>3.6000000000000004E-2</v>
      </c>
      <c r="ER122" s="9">
        <v>0</v>
      </c>
      <c r="ES122" s="9">
        <v>0.18</v>
      </c>
      <c r="ET122" s="9">
        <v>0</v>
      </c>
      <c r="EU122" s="9">
        <v>239635</v>
      </c>
      <c r="EV122" s="9">
        <v>0</v>
      </c>
      <c r="EW122" s="9">
        <v>0</v>
      </c>
      <c r="EX122" s="9">
        <v>0</v>
      </c>
      <c r="EY122" s="9">
        <v>0</v>
      </c>
      <c r="EZ122" s="9">
        <v>2691230</v>
      </c>
      <c r="FA122" s="9">
        <v>0</v>
      </c>
      <c r="FB122" s="9">
        <v>2930865</v>
      </c>
      <c r="FC122" s="9">
        <v>0.97326799999999991</v>
      </c>
      <c r="FD122" s="9">
        <v>0</v>
      </c>
      <c r="FE122" s="9">
        <v>433361</v>
      </c>
      <c r="FF122" s="9">
        <v>92284</v>
      </c>
      <c r="FG122" s="9">
        <v>5.8088000000000001E-2</v>
      </c>
      <c r="FH122" s="9">
        <v>5.2622999999999996E-2</v>
      </c>
      <c r="FI122" s="9">
        <v>0</v>
      </c>
      <c r="FJ122" s="9">
        <v>0</v>
      </c>
      <c r="FK122" s="9">
        <v>548.88300000000004</v>
      </c>
      <c r="FL122" s="9">
        <v>3456510</v>
      </c>
      <c r="FM122" s="9">
        <v>0</v>
      </c>
      <c r="FN122" s="9">
        <v>0</v>
      </c>
      <c r="FO122" s="9">
        <v>0</v>
      </c>
      <c r="FP122" s="9">
        <v>0</v>
      </c>
      <c r="FQ122" s="9">
        <v>0</v>
      </c>
      <c r="FR122" s="9">
        <v>0</v>
      </c>
      <c r="FS122" s="9">
        <v>0</v>
      </c>
      <c r="FT122" s="9">
        <v>0</v>
      </c>
      <c r="FU122" s="9">
        <v>0</v>
      </c>
      <c r="FV122" s="9">
        <v>0</v>
      </c>
      <c r="FW122" s="9">
        <v>0</v>
      </c>
      <c r="FX122" s="9">
        <v>0</v>
      </c>
      <c r="FY122" s="9">
        <v>0</v>
      </c>
      <c r="FZ122" s="9">
        <v>0</v>
      </c>
      <c r="GA122" s="9">
        <v>0</v>
      </c>
      <c r="GB122" s="9">
        <v>277510</v>
      </c>
      <c r="GC122" s="9">
        <v>277510</v>
      </c>
      <c r="GD122" s="9">
        <v>31.398000000000003</v>
      </c>
      <c r="GE122" s="9">
        <v>0</v>
      </c>
      <c r="GF122" s="9">
        <v>0</v>
      </c>
      <c r="GG122" s="9">
        <v>0</v>
      </c>
      <c r="GH122" s="9">
        <v>0</v>
      </c>
      <c r="GI122" s="9">
        <v>0</v>
      </c>
      <c r="GJ122" s="9">
        <v>0</v>
      </c>
      <c r="GK122" s="9">
        <v>0</v>
      </c>
      <c r="GL122" s="9">
        <v>0</v>
      </c>
      <c r="GM122" s="9">
        <v>0</v>
      </c>
      <c r="GN122" s="9">
        <v>0</v>
      </c>
      <c r="GO122" s="9">
        <v>0</v>
      </c>
      <c r="GP122" s="9">
        <v>3456510</v>
      </c>
      <c r="GQ122" s="9">
        <v>3456510</v>
      </c>
      <c r="GR122" s="9">
        <v>0</v>
      </c>
      <c r="GS122" s="9">
        <v>0</v>
      </c>
      <c r="GT122" s="9">
        <v>0</v>
      </c>
      <c r="GU122" s="9">
        <v>0</v>
      </c>
      <c r="GV122" s="9">
        <v>0</v>
      </c>
      <c r="GW122" s="9">
        <v>0</v>
      </c>
      <c r="GX122" s="9">
        <v>0</v>
      </c>
      <c r="GY122" s="9">
        <v>0</v>
      </c>
      <c r="GZ122" s="9">
        <v>0</v>
      </c>
      <c r="HA122" s="9">
        <v>0</v>
      </c>
      <c r="HB122" s="9">
        <v>0</v>
      </c>
      <c r="HC122" s="9">
        <v>0</v>
      </c>
      <c r="HD122" s="9">
        <v>0</v>
      </c>
      <c r="HE122" s="9">
        <v>0</v>
      </c>
      <c r="HF122" s="9">
        <v>0</v>
      </c>
      <c r="HG122" s="9">
        <v>0</v>
      </c>
      <c r="HH122" s="9">
        <v>0</v>
      </c>
      <c r="HI122" s="9">
        <v>0</v>
      </c>
      <c r="HJ122" s="9">
        <v>0</v>
      </c>
      <c r="HK122" s="9">
        <v>0</v>
      </c>
      <c r="HL122" s="9">
        <v>0</v>
      </c>
      <c r="HM122" s="9">
        <v>0</v>
      </c>
      <c r="HN122" s="9">
        <v>0</v>
      </c>
      <c r="HO122" s="9">
        <v>0</v>
      </c>
      <c r="HP122" s="9">
        <v>0</v>
      </c>
      <c r="HQ122" s="9">
        <v>0</v>
      </c>
      <c r="HR122" s="9">
        <v>0</v>
      </c>
      <c r="HS122" s="9">
        <v>0</v>
      </c>
      <c r="HT122" s="9">
        <v>0</v>
      </c>
      <c r="HU122" s="9">
        <v>0</v>
      </c>
      <c r="HV122" s="9">
        <v>0</v>
      </c>
      <c r="HW122" s="9">
        <v>0</v>
      </c>
      <c r="HX122" s="9">
        <v>0</v>
      </c>
      <c r="HY122" s="9">
        <v>0</v>
      </c>
      <c r="HZ122" s="9">
        <v>0</v>
      </c>
      <c r="IA122" s="9">
        <v>0</v>
      </c>
      <c r="IB122" s="9">
        <v>0</v>
      </c>
      <c r="IC122" s="9">
        <v>0</v>
      </c>
      <c r="ID122" s="9">
        <v>0</v>
      </c>
      <c r="IE122" s="9">
        <v>0</v>
      </c>
      <c r="IF122" s="9">
        <v>0</v>
      </c>
      <c r="IG122" s="9">
        <v>0</v>
      </c>
      <c r="IH122" s="9">
        <v>0</v>
      </c>
      <c r="II122" s="9">
        <v>0</v>
      </c>
      <c r="IJ122" s="9">
        <v>0</v>
      </c>
      <c r="IK122" s="9">
        <v>0</v>
      </c>
      <c r="IL122" s="9">
        <v>0</v>
      </c>
      <c r="IM122" s="9">
        <v>0</v>
      </c>
      <c r="IN122" s="9">
        <v>0</v>
      </c>
      <c r="IO122" s="9">
        <v>0</v>
      </c>
      <c r="IP122" s="9">
        <v>0</v>
      </c>
      <c r="IQ122" s="9">
        <v>0</v>
      </c>
      <c r="IR122" s="9">
        <v>0</v>
      </c>
      <c r="IS122" s="9">
        <v>0</v>
      </c>
      <c r="IT122" s="9">
        <v>0</v>
      </c>
      <c r="IU122" s="9">
        <v>0</v>
      </c>
      <c r="IV122" s="9">
        <v>0</v>
      </c>
      <c r="IW122" s="9">
        <v>0</v>
      </c>
      <c r="IX122" s="9">
        <v>0</v>
      </c>
      <c r="IY122" s="9">
        <v>0</v>
      </c>
      <c r="IZ122" s="9">
        <v>0</v>
      </c>
      <c r="JA122" s="9">
        <v>0</v>
      </c>
      <c r="JB122" s="9">
        <v>0</v>
      </c>
      <c r="JC122" s="9">
        <v>0</v>
      </c>
      <c r="JD122" s="9">
        <v>0</v>
      </c>
      <c r="JE122" s="9">
        <v>0</v>
      </c>
      <c r="JF122" s="9">
        <v>0</v>
      </c>
      <c r="JG122" s="9">
        <v>0</v>
      </c>
      <c r="JH122" s="9">
        <v>0</v>
      </c>
      <c r="JI122" s="9">
        <v>0</v>
      </c>
      <c r="JJ122" s="9">
        <v>0</v>
      </c>
      <c r="JK122" s="9">
        <v>0</v>
      </c>
      <c r="JL122" s="9">
        <v>0</v>
      </c>
      <c r="JM122" s="9">
        <v>0</v>
      </c>
      <c r="JN122" s="9">
        <v>36832</v>
      </c>
      <c r="JO122" s="9">
        <v>0</v>
      </c>
      <c r="JP122" s="9">
        <v>0</v>
      </c>
      <c r="JQ122" s="9">
        <v>0</v>
      </c>
      <c r="JR122" s="9">
        <v>0</v>
      </c>
      <c r="JS122" s="9">
        <v>0</v>
      </c>
      <c r="JT122" s="9">
        <v>0</v>
      </c>
      <c r="JU122" s="9">
        <v>0</v>
      </c>
      <c r="JV122" s="9">
        <v>0</v>
      </c>
      <c r="JW122" s="9">
        <v>0</v>
      </c>
      <c r="JX122" s="9">
        <v>0</v>
      </c>
      <c r="JY122" s="9">
        <v>0</v>
      </c>
      <c r="JZ122" s="9">
        <v>0</v>
      </c>
      <c r="KA122" s="9">
        <v>0</v>
      </c>
      <c r="KB122" s="9">
        <v>0</v>
      </c>
      <c r="KC122" s="9">
        <v>0</v>
      </c>
      <c r="KD122" s="9">
        <v>0</v>
      </c>
      <c r="KE122" s="9">
        <v>0</v>
      </c>
      <c r="KF122" s="9">
        <v>0</v>
      </c>
      <c r="KG122" s="9">
        <v>0</v>
      </c>
      <c r="KH122" s="9">
        <v>0</v>
      </c>
      <c r="KI122" s="9">
        <v>0</v>
      </c>
    </row>
    <row r="123" spans="1:295" ht="13" x14ac:dyDescent="0.3">
      <c r="A123" s="9">
        <v>101875</v>
      </c>
      <c r="B123" s="9">
        <v>36871</v>
      </c>
      <c r="C123" s="9">
        <v>35</v>
      </c>
      <c r="D123" s="9">
        <v>2023</v>
      </c>
      <c r="E123" s="9">
        <v>5392</v>
      </c>
      <c r="F123" s="9">
        <v>0</v>
      </c>
      <c r="G123" s="9">
        <v>0</v>
      </c>
      <c r="H123" s="9">
        <v>77.597000000000008</v>
      </c>
      <c r="I123" s="9">
        <v>77.597000000000008</v>
      </c>
      <c r="J123" s="9">
        <v>78.587000000000003</v>
      </c>
      <c r="K123" s="9">
        <v>0</v>
      </c>
      <c r="L123" s="9">
        <v>6547</v>
      </c>
      <c r="M123" s="9">
        <v>0</v>
      </c>
      <c r="N123" s="9">
        <v>0</v>
      </c>
      <c r="O123" s="9">
        <v>0</v>
      </c>
      <c r="P123" s="9">
        <v>36.548999999999999</v>
      </c>
      <c r="Q123" s="9">
        <v>0</v>
      </c>
      <c r="R123" s="10">
        <v>17797</v>
      </c>
      <c r="S123" s="9">
        <v>486.92200000000003</v>
      </c>
      <c r="T123" s="9">
        <v>0</v>
      </c>
      <c r="U123" s="10">
        <v>17797</v>
      </c>
      <c r="V123" s="10">
        <v>0</v>
      </c>
      <c r="W123" s="10">
        <v>0</v>
      </c>
      <c r="X123" s="10">
        <v>0</v>
      </c>
      <c r="Y123" s="9">
        <v>0</v>
      </c>
      <c r="Z123" s="9">
        <v>0</v>
      </c>
      <c r="AA123" s="9">
        <v>1</v>
      </c>
      <c r="AB123" s="9">
        <v>1</v>
      </c>
      <c r="AC123" s="9">
        <v>0</v>
      </c>
      <c r="AD123" s="9" t="s">
        <v>314</v>
      </c>
      <c r="AE123" s="9">
        <v>0</v>
      </c>
      <c r="AF123" s="9">
        <v>0</v>
      </c>
      <c r="AG123" s="9">
        <v>0</v>
      </c>
      <c r="AH123" s="9">
        <v>0</v>
      </c>
      <c r="AI123" s="9">
        <v>0</v>
      </c>
      <c r="AJ123" s="9">
        <v>5104</v>
      </c>
      <c r="AK123" s="9" t="s">
        <v>651</v>
      </c>
      <c r="AL123" s="9" t="s">
        <v>458</v>
      </c>
      <c r="AM123" s="9">
        <v>0</v>
      </c>
      <c r="AN123" s="9">
        <v>0</v>
      </c>
      <c r="AO123" s="9">
        <v>0</v>
      </c>
      <c r="AP123" s="9">
        <v>0</v>
      </c>
      <c r="AQ123" s="9">
        <v>0</v>
      </c>
      <c r="AR123" s="9">
        <v>0</v>
      </c>
      <c r="AS123" s="9">
        <v>0</v>
      </c>
      <c r="AT123" s="9">
        <v>0</v>
      </c>
      <c r="AU123" s="9">
        <v>0</v>
      </c>
      <c r="AV123" s="9">
        <v>-41971</v>
      </c>
      <c r="AW123" s="9">
        <v>0</v>
      </c>
      <c r="AX123" s="9">
        <v>705471</v>
      </c>
      <c r="AY123" s="9">
        <v>865009</v>
      </c>
      <c r="AZ123" s="9">
        <v>17797</v>
      </c>
      <c r="BA123" s="10">
        <v>0</v>
      </c>
      <c r="BB123" s="9">
        <v>0</v>
      </c>
      <c r="BC123" s="9">
        <v>0</v>
      </c>
      <c r="BD123" s="9">
        <v>0</v>
      </c>
      <c r="BE123" s="9">
        <v>0</v>
      </c>
      <c r="BF123" s="9">
        <v>595229</v>
      </c>
      <c r="BG123" s="9">
        <v>0</v>
      </c>
      <c r="BH123" s="10">
        <v>0</v>
      </c>
      <c r="BI123" s="10">
        <v>0</v>
      </c>
      <c r="BJ123" s="9">
        <v>12</v>
      </c>
      <c r="BK123" s="9">
        <v>0</v>
      </c>
      <c r="BL123" s="9">
        <v>0</v>
      </c>
      <c r="BM123" s="9">
        <v>0</v>
      </c>
      <c r="BN123" s="9">
        <v>0</v>
      </c>
      <c r="BO123" s="9">
        <v>0</v>
      </c>
      <c r="BP123" s="9">
        <v>0</v>
      </c>
      <c r="BQ123" s="9">
        <v>5392</v>
      </c>
      <c r="BR123" s="9">
        <v>1</v>
      </c>
      <c r="BS123" s="9">
        <v>0</v>
      </c>
      <c r="BT123" s="9">
        <v>0</v>
      </c>
      <c r="BU123" s="9">
        <v>0</v>
      </c>
      <c r="BV123" s="9">
        <v>0</v>
      </c>
      <c r="BW123" s="9">
        <v>0</v>
      </c>
      <c r="BX123" s="9">
        <v>0</v>
      </c>
      <c r="BY123" s="9">
        <v>0</v>
      </c>
      <c r="BZ123" s="9">
        <v>0</v>
      </c>
      <c r="CA123" s="9">
        <v>0</v>
      </c>
      <c r="CB123" s="9">
        <v>0</v>
      </c>
      <c r="CC123" s="9">
        <v>0</v>
      </c>
      <c r="CD123" s="9">
        <v>0</v>
      </c>
      <c r="CE123" s="9">
        <v>0</v>
      </c>
      <c r="CF123" s="9">
        <v>0</v>
      </c>
      <c r="CG123" s="9">
        <v>0</v>
      </c>
      <c r="CH123" s="10">
        <v>0</v>
      </c>
      <c r="CI123" s="9">
        <v>0</v>
      </c>
      <c r="CJ123" s="9">
        <v>4</v>
      </c>
      <c r="CK123" s="9">
        <v>0</v>
      </c>
      <c r="CL123" s="9">
        <v>0</v>
      </c>
      <c r="CM123" s="9">
        <v>0</v>
      </c>
      <c r="CN123" s="9">
        <v>0</v>
      </c>
      <c r="CO123" s="9">
        <v>0</v>
      </c>
      <c r="CP123" s="9">
        <v>0</v>
      </c>
      <c r="CQ123" s="9">
        <v>0</v>
      </c>
      <c r="CR123" s="9">
        <v>35.143999999999998</v>
      </c>
      <c r="CS123" s="9">
        <v>0</v>
      </c>
      <c r="CT123" s="9">
        <v>0</v>
      </c>
      <c r="CU123" s="9">
        <v>0</v>
      </c>
      <c r="CV123" s="9">
        <v>0</v>
      </c>
      <c r="CW123" s="9">
        <v>0</v>
      </c>
      <c r="CX123" s="9">
        <v>0</v>
      </c>
      <c r="CY123" s="9">
        <v>0</v>
      </c>
      <c r="CZ123" s="9">
        <v>0</v>
      </c>
      <c r="DA123" s="9">
        <v>1</v>
      </c>
      <c r="DB123" s="9">
        <v>508028</v>
      </c>
      <c r="DC123" s="9">
        <v>0</v>
      </c>
      <c r="DD123" s="9">
        <v>0</v>
      </c>
      <c r="DE123" s="9">
        <v>55427</v>
      </c>
      <c r="DF123" s="9">
        <v>55427</v>
      </c>
      <c r="DG123" s="9">
        <v>42.33</v>
      </c>
      <c r="DH123" s="9">
        <v>0</v>
      </c>
      <c r="DI123" s="9">
        <v>0</v>
      </c>
      <c r="DJ123" s="9">
        <v>0</v>
      </c>
      <c r="DK123" s="9">
        <v>5392</v>
      </c>
      <c r="DL123" s="9">
        <v>0</v>
      </c>
      <c r="DM123" s="9">
        <v>48123</v>
      </c>
      <c r="DN123" s="9">
        <v>0</v>
      </c>
      <c r="DO123" s="9">
        <v>0</v>
      </c>
      <c r="DP123" s="9">
        <v>0</v>
      </c>
      <c r="DQ123" s="9">
        <v>0</v>
      </c>
      <c r="DR123" s="9">
        <v>0</v>
      </c>
      <c r="DS123" s="9">
        <v>0</v>
      </c>
      <c r="DT123" s="9">
        <v>0</v>
      </c>
      <c r="DU123" s="9">
        <v>0</v>
      </c>
      <c r="DV123" s="9">
        <v>0</v>
      </c>
      <c r="DW123" s="9">
        <v>0</v>
      </c>
      <c r="DX123" s="9">
        <v>0</v>
      </c>
      <c r="DY123" s="9">
        <v>0</v>
      </c>
      <c r="DZ123" s="9">
        <v>0</v>
      </c>
      <c r="EA123" s="9">
        <v>0</v>
      </c>
      <c r="EB123" s="9">
        <v>0</v>
      </c>
      <c r="EC123" s="9">
        <v>3.0130000000000003</v>
      </c>
      <c r="ED123" s="9">
        <v>21699</v>
      </c>
      <c r="EE123" s="9">
        <v>0</v>
      </c>
      <c r="EF123" s="9">
        <v>0</v>
      </c>
      <c r="EG123" s="9">
        <v>0</v>
      </c>
      <c r="EH123" s="9">
        <v>26424</v>
      </c>
      <c r="EI123" s="9">
        <v>0</v>
      </c>
      <c r="EJ123" s="9">
        <v>0</v>
      </c>
      <c r="EK123" s="9">
        <v>0.373</v>
      </c>
      <c r="EL123" s="9">
        <v>0</v>
      </c>
      <c r="EM123" s="9">
        <v>8.4000000000000005E-2</v>
      </c>
      <c r="EN123" s="9">
        <v>0.53300000000000003</v>
      </c>
      <c r="EO123" s="9">
        <v>0</v>
      </c>
      <c r="EP123" s="9">
        <v>0</v>
      </c>
      <c r="EQ123" s="9">
        <v>0.99</v>
      </c>
      <c r="ER123" s="9">
        <v>0</v>
      </c>
      <c r="ES123" s="9">
        <v>4.0360000000000005</v>
      </c>
      <c r="ET123" s="10">
        <v>0</v>
      </c>
      <c r="EU123" s="9">
        <v>17797</v>
      </c>
      <c r="EV123" s="9">
        <v>0</v>
      </c>
      <c r="EW123" s="9">
        <v>0</v>
      </c>
      <c r="EX123" s="9">
        <v>0</v>
      </c>
      <c r="EY123" s="9">
        <v>0</v>
      </c>
      <c r="EZ123" s="9">
        <v>593781</v>
      </c>
      <c r="FA123" s="9">
        <v>0</v>
      </c>
      <c r="FB123" s="10">
        <v>611578</v>
      </c>
      <c r="FC123" s="9">
        <v>0.97326799999999991</v>
      </c>
      <c r="FD123" s="9">
        <v>0</v>
      </c>
      <c r="FE123" s="9">
        <v>92081</v>
      </c>
      <c r="FF123" s="9">
        <v>19609</v>
      </c>
      <c r="FG123" s="9">
        <v>5.8088000000000001E-2</v>
      </c>
      <c r="FH123" s="9">
        <v>5.2622999999999996E-2</v>
      </c>
      <c r="FI123" s="9">
        <v>0</v>
      </c>
      <c r="FJ123" s="9">
        <v>0</v>
      </c>
      <c r="FK123" s="9">
        <v>116.62700000000001</v>
      </c>
      <c r="FL123" s="9">
        <v>0</v>
      </c>
      <c r="FM123" s="9">
        <v>0</v>
      </c>
      <c r="FN123" s="9">
        <v>0</v>
      </c>
      <c r="FO123" s="9">
        <v>0</v>
      </c>
      <c r="FP123" s="9">
        <v>0</v>
      </c>
      <c r="FQ123" s="9">
        <v>0</v>
      </c>
      <c r="FR123" s="9">
        <v>0</v>
      </c>
      <c r="FS123" s="9">
        <v>0</v>
      </c>
      <c r="FT123" s="9">
        <v>0</v>
      </c>
      <c r="FU123" s="9">
        <v>0</v>
      </c>
      <c r="FV123" s="9">
        <v>0</v>
      </c>
      <c r="FW123" s="9">
        <v>0</v>
      </c>
      <c r="FX123" s="9">
        <v>0</v>
      </c>
      <c r="FY123" s="9">
        <v>0</v>
      </c>
      <c r="FZ123" s="9">
        <v>0</v>
      </c>
      <c r="GA123" s="9">
        <v>0</v>
      </c>
      <c r="GB123" s="10">
        <v>0</v>
      </c>
      <c r="GC123" s="10">
        <v>0</v>
      </c>
      <c r="GD123" s="10">
        <v>0</v>
      </c>
      <c r="GE123" s="9">
        <v>0</v>
      </c>
      <c r="GF123" s="9">
        <v>0</v>
      </c>
      <c r="GG123" s="9">
        <v>0</v>
      </c>
      <c r="GH123" s="9">
        <v>0</v>
      </c>
      <c r="GI123" s="9">
        <v>0</v>
      </c>
      <c r="GJ123" s="9">
        <v>0</v>
      </c>
      <c r="GK123" s="9">
        <v>0</v>
      </c>
      <c r="GL123" s="9">
        <v>0</v>
      </c>
      <c r="GM123" s="9">
        <v>0</v>
      </c>
      <c r="GN123" s="9">
        <v>0</v>
      </c>
      <c r="GO123" s="9">
        <v>0</v>
      </c>
      <c r="GP123" s="9">
        <v>723268</v>
      </c>
      <c r="GQ123" s="9">
        <v>723268</v>
      </c>
      <c r="GR123" s="9">
        <v>0</v>
      </c>
      <c r="GS123" s="9">
        <v>0</v>
      </c>
      <c r="GT123" s="9">
        <v>0</v>
      </c>
      <c r="GU123" s="9">
        <v>0</v>
      </c>
      <c r="GV123" s="9">
        <v>0</v>
      </c>
      <c r="GW123" s="9">
        <v>0</v>
      </c>
      <c r="GX123" s="9">
        <v>0</v>
      </c>
      <c r="GY123" s="9">
        <v>0</v>
      </c>
      <c r="GZ123" s="9">
        <v>0</v>
      </c>
      <c r="HA123" s="9">
        <v>0</v>
      </c>
      <c r="HB123" s="9">
        <v>0</v>
      </c>
      <c r="HC123" s="9">
        <v>0</v>
      </c>
      <c r="HD123" s="10">
        <v>0</v>
      </c>
      <c r="HE123" s="9">
        <v>0</v>
      </c>
      <c r="HF123" s="9">
        <v>0</v>
      </c>
      <c r="HG123" s="9">
        <v>0</v>
      </c>
      <c r="HH123" s="9">
        <v>0</v>
      </c>
      <c r="HI123" s="9">
        <v>0</v>
      </c>
      <c r="HJ123" s="9">
        <v>0</v>
      </c>
      <c r="HK123" s="9">
        <v>0</v>
      </c>
      <c r="HL123" s="9">
        <v>0</v>
      </c>
      <c r="HM123" s="9">
        <v>0</v>
      </c>
      <c r="HN123" s="9">
        <v>0</v>
      </c>
      <c r="HO123" s="9">
        <v>0</v>
      </c>
      <c r="HP123" s="9">
        <v>0</v>
      </c>
      <c r="HQ123" s="9">
        <v>0</v>
      </c>
      <c r="HR123" s="9">
        <v>0</v>
      </c>
      <c r="HS123" s="9">
        <v>0</v>
      </c>
      <c r="HT123" s="9">
        <v>0</v>
      </c>
      <c r="HU123" s="9">
        <v>0</v>
      </c>
      <c r="HV123" s="9">
        <v>0</v>
      </c>
      <c r="HW123" s="9">
        <v>0</v>
      </c>
      <c r="HX123" s="9">
        <v>0</v>
      </c>
      <c r="HY123" s="9">
        <v>0</v>
      </c>
      <c r="HZ123" s="9">
        <v>0</v>
      </c>
      <c r="IA123" s="9">
        <v>0</v>
      </c>
      <c r="IB123" s="9">
        <v>0</v>
      </c>
      <c r="IC123" s="9">
        <v>0</v>
      </c>
      <c r="ID123" s="9">
        <v>0</v>
      </c>
      <c r="IE123" s="9">
        <v>0</v>
      </c>
      <c r="IF123" s="9">
        <v>0</v>
      </c>
      <c r="IG123" s="9">
        <v>0</v>
      </c>
      <c r="IH123" s="9">
        <v>0</v>
      </c>
      <c r="II123" s="9">
        <v>0</v>
      </c>
      <c r="IJ123" s="9">
        <v>0</v>
      </c>
      <c r="IK123" s="9">
        <v>0</v>
      </c>
      <c r="IL123" s="9">
        <v>0</v>
      </c>
      <c r="IM123" s="9">
        <v>0</v>
      </c>
      <c r="IN123" s="9">
        <v>0</v>
      </c>
      <c r="IO123" s="9">
        <v>0</v>
      </c>
      <c r="IP123" s="9">
        <v>0</v>
      </c>
      <c r="IQ123" s="9">
        <v>0</v>
      </c>
      <c r="IR123" s="9">
        <v>0</v>
      </c>
      <c r="IS123" s="9">
        <v>0</v>
      </c>
      <c r="IT123" s="9">
        <v>0</v>
      </c>
      <c r="IU123" s="9">
        <v>0</v>
      </c>
      <c r="IV123" s="9">
        <v>0</v>
      </c>
      <c r="IW123" s="9">
        <v>0</v>
      </c>
      <c r="IX123" s="9">
        <v>0</v>
      </c>
      <c r="IY123" s="9">
        <v>0</v>
      </c>
      <c r="IZ123" s="9">
        <v>0</v>
      </c>
      <c r="JA123" s="9">
        <v>0</v>
      </c>
      <c r="JB123" s="9">
        <v>0</v>
      </c>
      <c r="JC123" s="9">
        <v>0</v>
      </c>
      <c r="JD123" s="9">
        <v>0</v>
      </c>
      <c r="JE123" s="9">
        <v>0</v>
      </c>
      <c r="JF123" s="9">
        <v>0</v>
      </c>
      <c r="JG123" s="9">
        <v>0</v>
      </c>
      <c r="JH123" s="9">
        <v>0</v>
      </c>
      <c r="JI123" s="9">
        <v>0</v>
      </c>
      <c r="JJ123" s="9">
        <v>0</v>
      </c>
      <c r="JK123" s="9">
        <v>0</v>
      </c>
      <c r="JL123" s="9">
        <v>0</v>
      </c>
      <c r="JM123" s="9">
        <v>0</v>
      </c>
      <c r="JN123" s="9">
        <v>36832</v>
      </c>
      <c r="JO123" s="9">
        <v>0</v>
      </c>
      <c r="JP123" s="9">
        <v>0</v>
      </c>
      <c r="JQ123" s="9">
        <v>0</v>
      </c>
      <c r="JR123" s="9">
        <v>0</v>
      </c>
      <c r="JS123" s="9">
        <v>0</v>
      </c>
      <c r="JT123" s="9">
        <v>0</v>
      </c>
      <c r="JU123" s="9">
        <v>0</v>
      </c>
      <c r="JV123" s="9">
        <v>0</v>
      </c>
      <c r="JW123" s="9">
        <v>0</v>
      </c>
      <c r="JX123" s="9">
        <v>0</v>
      </c>
      <c r="JY123" s="9">
        <v>0</v>
      </c>
      <c r="JZ123" s="9">
        <v>0</v>
      </c>
      <c r="KA123" s="9">
        <v>0</v>
      </c>
      <c r="KB123" s="9">
        <v>0</v>
      </c>
      <c r="KC123" s="9">
        <v>0</v>
      </c>
      <c r="KD123" s="9">
        <v>0</v>
      </c>
      <c r="KE123" s="9">
        <v>0</v>
      </c>
      <c r="KF123" s="9">
        <v>0</v>
      </c>
      <c r="KG123" s="9">
        <v>0</v>
      </c>
      <c r="KH123" s="9">
        <v>0</v>
      </c>
      <c r="KI123" s="9">
        <v>0</v>
      </c>
    </row>
    <row r="124" spans="1:295" ht="13" x14ac:dyDescent="0.3">
      <c r="A124" s="9">
        <v>101876</v>
      </c>
      <c r="B124" s="9">
        <v>36871</v>
      </c>
      <c r="C124" s="9">
        <v>35</v>
      </c>
      <c r="D124" s="9">
        <v>2023</v>
      </c>
      <c r="E124" s="9">
        <v>5392</v>
      </c>
      <c r="F124" s="9">
        <v>0</v>
      </c>
      <c r="G124" s="9">
        <v>0</v>
      </c>
      <c r="H124" s="9">
        <v>107.498</v>
      </c>
      <c r="I124" s="9">
        <v>107.498</v>
      </c>
      <c r="J124" s="9">
        <v>107.87100000000001</v>
      </c>
      <c r="K124" s="9">
        <v>0</v>
      </c>
      <c r="L124" s="9">
        <v>6547</v>
      </c>
      <c r="M124" s="9">
        <v>0</v>
      </c>
      <c r="N124" s="9">
        <v>0</v>
      </c>
      <c r="O124" s="9">
        <v>0</v>
      </c>
      <c r="P124" s="9">
        <v>61.671000000000006</v>
      </c>
      <c r="Q124" s="9">
        <v>0</v>
      </c>
      <c r="R124" s="10">
        <v>30029</v>
      </c>
      <c r="S124" s="9">
        <v>486.92200000000003</v>
      </c>
      <c r="T124" s="9">
        <v>0</v>
      </c>
      <c r="U124" s="10">
        <v>30029</v>
      </c>
      <c r="V124" s="10">
        <v>28.534000000000002</v>
      </c>
      <c r="W124" s="10">
        <v>18681</v>
      </c>
      <c r="X124" s="10">
        <v>18681</v>
      </c>
      <c r="Y124" s="9">
        <v>0</v>
      </c>
      <c r="Z124" s="9">
        <v>0</v>
      </c>
      <c r="AA124" s="9">
        <v>1</v>
      </c>
      <c r="AB124" s="9">
        <v>1</v>
      </c>
      <c r="AC124" s="9">
        <v>0</v>
      </c>
      <c r="AD124" s="9" t="s">
        <v>314</v>
      </c>
      <c r="AE124" s="9">
        <v>0</v>
      </c>
      <c r="AF124" s="9">
        <v>0</v>
      </c>
      <c r="AG124" s="9">
        <v>0</v>
      </c>
      <c r="AH124" s="9">
        <v>0</v>
      </c>
      <c r="AI124" s="9">
        <v>0</v>
      </c>
      <c r="AJ124" s="9">
        <v>5104</v>
      </c>
      <c r="AK124" s="9" t="s">
        <v>651</v>
      </c>
      <c r="AL124" s="9" t="s">
        <v>459</v>
      </c>
      <c r="AM124" s="9">
        <v>0</v>
      </c>
      <c r="AN124" s="9">
        <v>0</v>
      </c>
      <c r="AO124" s="9">
        <v>0</v>
      </c>
      <c r="AP124" s="9">
        <v>0</v>
      </c>
      <c r="AQ124" s="9">
        <v>0</v>
      </c>
      <c r="AR124" s="9">
        <v>0</v>
      </c>
      <c r="AS124" s="9">
        <v>0</v>
      </c>
      <c r="AT124" s="9">
        <v>0</v>
      </c>
      <c r="AU124" s="9">
        <v>0</v>
      </c>
      <c r="AV124" s="9">
        <v>133148</v>
      </c>
      <c r="AW124" s="9">
        <v>0</v>
      </c>
      <c r="AX124" s="9">
        <v>965972</v>
      </c>
      <c r="AY124" s="9">
        <v>1372496</v>
      </c>
      <c r="AZ124" s="9">
        <v>30029</v>
      </c>
      <c r="BA124" s="10">
        <v>0</v>
      </c>
      <c r="BB124" s="9">
        <v>0</v>
      </c>
      <c r="BC124" s="9">
        <v>0</v>
      </c>
      <c r="BD124" s="9">
        <v>0</v>
      </c>
      <c r="BE124" s="9">
        <v>0</v>
      </c>
      <c r="BF124" s="9">
        <v>819681</v>
      </c>
      <c r="BG124" s="9">
        <v>0</v>
      </c>
      <c r="BH124" s="10">
        <v>0</v>
      </c>
      <c r="BI124" s="10">
        <v>0</v>
      </c>
      <c r="BJ124" s="9">
        <v>12</v>
      </c>
      <c r="BK124" s="9">
        <v>0</v>
      </c>
      <c r="BL124" s="9">
        <v>0</v>
      </c>
      <c r="BM124" s="9">
        <v>0</v>
      </c>
      <c r="BN124" s="9">
        <v>0</v>
      </c>
      <c r="BO124" s="9">
        <v>0</v>
      </c>
      <c r="BP124" s="9">
        <v>0</v>
      </c>
      <c r="BQ124" s="9">
        <v>5392</v>
      </c>
      <c r="BR124" s="9">
        <v>1</v>
      </c>
      <c r="BS124" s="9">
        <v>0</v>
      </c>
      <c r="BT124" s="9">
        <v>0</v>
      </c>
      <c r="BU124" s="9">
        <v>0</v>
      </c>
      <c r="BV124" s="9">
        <v>0</v>
      </c>
      <c r="BW124" s="9">
        <v>0</v>
      </c>
      <c r="BX124" s="9">
        <v>0</v>
      </c>
      <c r="BY124" s="9">
        <v>0</v>
      </c>
      <c r="BZ124" s="9">
        <v>0</v>
      </c>
      <c r="CA124" s="9">
        <v>0</v>
      </c>
      <c r="CB124" s="9">
        <v>0</v>
      </c>
      <c r="CC124" s="9">
        <v>0</v>
      </c>
      <c r="CD124" s="9">
        <v>0</v>
      </c>
      <c r="CE124" s="9">
        <v>0</v>
      </c>
      <c r="CF124" s="9">
        <v>0</v>
      </c>
      <c r="CG124" s="9">
        <v>0</v>
      </c>
      <c r="CH124" s="10">
        <v>0</v>
      </c>
      <c r="CI124" s="9">
        <v>0</v>
      </c>
      <c r="CJ124" s="9">
        <v>5</v>
      </c>
      <c r="CK124" s="9">
        <v>0</v>
      </c>
      <c r="CL124" s="9">
        <v>0</v>
      </c>
      <c r="CM124" s="9">
        <v>0</v>
      </c>
      <c r="CN124" s="9">
        <v>0</v>
      </c>
      <c r="CO124" s="9">
        <v>0</v>
      </c>
      <c r="CP124" s="9">
        <v>0</v>
      </c>
      <c r="CQ124" s="9">
        <v>0</v>
      </c>
      <c r="CR124" s="9">
        <v>59.582000000000001</v>
      </c>
      <c r="CS124" s="9">
        <v>0</v>
      </c>
      <c r="CT124" s="9">
        <v>0</v>
      </c>
      <c r="CU124" s="9">
        <v>0</v>
      </c>
      <c r="CV124" s="9">
        <v>0</v>
      </c>
      <c r="CW124" s="9">
        <v>0</v>
      </c>
      <c r="CX124" s="9">
        <v>0</v>
      </c>
      <c r="CY124" s="9">
        <v>0</v>
      </c>
      <c r="CZ124" s="9">
        <v>0</v>
      </c>
      <c r="DA124" s="9">
        <v>1</v>
      </c>
      <c r="DB124" s="9">
        <v>703789</v>
      </c>
      <c r="DC124" s="9">
        <v>0</v>
      </c>
      <c r="DD124" s="9">
        <v>0</v>
      </c>
      <c r="DE124" s="9">
        <v>78132</v>
      </c>
      <c r="DF124" s="9">
        <v>78132</v>
      </c>
      <c r="DG124" s="9">
        <v>59.67</v>
      </c>
      <c r="DH124" s="9">
        <v>0</v>
      </c>
      <c r="DI124" s="9">
        <v>0</v>
      </c>
      <c r="DJ124" s="9">
        <v>0</v>
      </c>
      <c r="DK124" s="9">
        <v>5392</v>
      </c>
      <c r="DL124" s="9">
        <v>0</v>
      </c>
      <c r="DM124" s="9">
        <v>41593</v>
      </c>
      <c r="DN124" s="9">
        <v>0</v>
      </c>
      <c r="DO124" s="9">
        <v>0</v>
      </c>
      <c r="DP124" s="9">
        <v>0</v>
      </c>
      <c r="DQ124" s="9">
        <v>0</v>
      </c>
      <c r="DR124" s="9">
        <v>0</v>
      </c>
      <c r="DS124" s="9">
        <v>0</v>
      </c>
      <c r="DT124" s="9">
        <v>0</v>
      </c>
      <c r="DU124" s="9">
        <v>0</v>
      </c>
      <c r="DV124" s="9">
        <v>0</v>
      </c>
      <c r="DW124" s="9">
        <v>0</v>
      </c>
      <c r="DX124" s="9">
        <v>0</v>
      </c>
      <c r="DY124" s="9">
        <v>0</v>
      </c>
      <c r="DZ124" s="9">
        <v>0</v>
      </c>
      <c r="EA124" s="9">
        <v>0</v>
      </c>
      <c r="EB124" s="9">
        <v>0</v>
      </c>
      <c r="EC124" s="9">
        <v>4.08</v>
      </c>
      <c r="ED124" s="9">
        <v>29383</v>
      </c>
      <c r="EE124" s="9">
        <v>0</v>
      </c>
      <c r="EF124" s="9">
        <v>0</v>
      </c>
      <c r="EG124" s="9">
        <v>0</v>
      </c>
      <c r="EH124" s="9">
        <v>12210</v>
      </c>
      <c r="EI124" s="9">
        <v>0</v>
      </c>
      <c r="EJ124" s="9">
        <v>0</v>
      </c>
      <c r="EK124" s="9">
        <v>0</v>
      </c>
      <c r="EL124" s="9">
        <v>0</v>
      </c>
      <c r="EM124" s="9">
        <v>0</v>
      </c>
      <c r="EN124" s="9">
        <v>0.373</v>
      </c>
      <c r="EO124" s="9">
        <v>0</v>
      </c>
      <c r="EP124" s="9">
        <v>0</v>
      </c>
      <c r="EQ124" s="9">
        <v>0.373</v>
      </c>
      <c r="ER124" s="9">
        <v>0</v>
      </c>
      <c r="ES124" s="9">
        <v>1.865</v>
      </c>
      <c r="ET124" s="10">
        <v>0</v>
      </c>
      <c r="EU124" s="9">
        <v>30029</v>
      </c>
      <c r="EV124" s="9">
        <v>0</v>
      </c>
      <c r="EW124" s="9">
        <v>0</v>
      </c>
      <c r="EX124" s="9">
        <v>0</v>
      </c>
      <c r="EY124" s="9">
        <v>0</v>
      </c>
      <c r="EZ124" s="9">
        <v>812166</v>
      </c>
      <c r="FA124" s="9">
        <v>0</v>
      </c>
      <c r="FB124" s="10">
        <v>842195</v>
      </c>
      <c r="FC124" s="9">
        <v>0.97326799999999991</v>
      </c>
      <c r="FD124" s="9">
        <v>0</v>
      </c>
      <c r="FE124" s="9">
        <v>126803</v>
      </c>
      <c r="FF124" s="9">
        <v>27003</v>
      </c>
      <c r="FG124" s="9">
        <v>5.8088000000000001E-2</v>
      </c>
      <c r="FH124" s="9">
        <v>5.2622999999999996E-2</v>
      </c>
      <c r="FI124" s="9">
        <v>0</v>
      </c>
      <c r="FJ124" s="9">
        <v>0</v>
      </c>
      <c r="FK124" s="9">
        <v>160.60500000000002</v>
      </c>
      <c r="FL124" s="9">
        <v>0</v>
      </c>
      <c r="FM124" s="9">
        <v>0</v>
      </c>
      <c r="FN124" s="9">
        <v>0</v>
      </c>
      <c r="FO124" s="9">
        <v>0</v>
      </c>
      <c r="FP124" s="9">
        <v>0</v>
      </c>
      <c r="FQ124" s="9">
        <v>0</v>
      </c>
      <c r="FR124" s="9">
        <v>0</v>
      </c>
      <c r="FS124" s="9">
        <v>0</v>
      </c>
      <c r="FT124" s="9">
        <v>0</v>
      </c>
      <c r="FU124" s="9">
        <v>0</v>
      </c>
      <c r="FV124" s="9">
        <v>0</v>
      </c>
      <c r="FW124" s="9">
        <v>0</v>
      </c>
      <c r="FX124" s="9">
        <v>0</v>
      </c>
      <c r="FY124" s="9">
        <v>0</v>
      </c>
      <c r="FZ124" s="9">
        <v>0</v>
      </c>
      <c r="GA124" s="9">
        <v>0</v>
      </c>
      <c r="GB124" s="10">
        <v>0</v>
      </c>
      <c r="GC124" s="10">
        <v>0</v>
      </c>
      <c r="GD124" s="10">
        <v>0</v>
      </c>
      <c r="GE124" s="9">
        <v>0</v>
      </c>
      <c r="GF124" s="9">
        <v>0</v>
      </c>
      <c r="GG124" s="9">
        <v>0</v>
      </c>
      <c r="GH124" s="9">
        <v>0</v>
      </c>
      <c r="GI124" s="9">
        <v>0</v>
      </c>
      <c r="GJ124" s="9">
        <v>0</v>
      </c>
      <c r="GK124" s="9">
        <v>0</v>
      </c>
      <c r="GL124" s="9">
        <v>0</v>
      </c>
      <c r="GM124" s="9">
        <v>0</v>
      </c>
      <c r="GN124" s="9">
        <v>0</v>
      </c>
      <c r="GO124" s="9">
        <v>0</v>
      </c>
      <c r="GP124" s="9">
        <v>996001</v>
      </c>
      <c r="GQ124" s="9">
        <v>996001</v>
      </c>
      <c r="GR124" s="9">
        <v>0</v>
      </c>
      <c r="GS124" s="9">
        <v>0</v>
      </c>
      <c r="GT124" s="9">
        <v>0</v>
      </c>
      <c r="GU124" s="9">
        <v>0</v>
      </c>
      <c r="GV124" s="9">
        <v>0</v>
      </c>
      <c r="GW124" s="9">
        <v>0</v>
      </c>
      <c r="GX124" s="9">
        <v>0</v>
      </c>
      <c r="GY124" s="9">
        <v>0</v>
      </c>
      <c r="GZ124" s="9">
        <v>0</v>
      </c>
      <c r="HA124" s="9">
        <v>0</v>
      </c>
      <c r="HB124" s="9">
        <v>0</v>
      </c>
      <c r="HC124" s="9">
        <v>0</v>
      </c>
      <c r="HD124" s="10">
        <v>0</v>
      </c>
      <c r="HE124" s="9">
        <v>0</v>
      </c>
      <c r="HF124" s="9">
        <v>0</v>
      </c>
      <c r="HG124" s="9">
        <v>0</v>
      </c>
      <c r="HH124" s="9">
        <v>0</v>
      </c>
      <c r="HI124" s="9">
        <v>0</v>
      </c>
      <c r="HJ124" s="9">
        <v>0</v>
      </c>
      <c r="HK124" s="9">
        <v>0</v>
      </c>
      <c r="HL124" s="9">
        <v>0</v>
      </c>
      <c r="HM124" s="9">
        <v>0</v>
      </c>
      <c r="HN124" s="9">
        <v>0</v>
      </c>
      <c r="HO124" s="9">
        <v>0</v>
      </c>
      <c r="HP124" s="9">
        <v>0</v>
      </c>
      <c r="HQ124" s="9">
        <v>0</v>
      </c>
      <c r="HR124" s="9">
        <v>0</v>
      </c>
      <c r="HS124" s="9">
        <v>0</v>
      </c>
      <c r="HT124" s="9">
        <v>0</v>
      </c>
      <c r="HU124" s="9">
        <v>0</v>
      </c>
      <c r="HV124" s="9">
        <v>0</v>
      </c>
      <c r="HW124" s="9">
        <v>0</v>
      </c>
      <c r="HX124" s="9">
        <v>0</v>
      </c>
      <c r="HY124" s="9">
        <v>0</v>
      </c>
      <c r="HZ124" s="9">
        <v>0</v>
      </c>
      <c r="IA124" s="9">
        <v>0</v>
      </c>
      <c r="IB124" s="9">
        <v>0</v>
      </c>
      <c r="IC124" s="9">
        <v>0</v>
      </c>
      <c r="ID124" s="9">
        <v>0</v>
      </c>
      <c r="IE124" s="9">
        <v>0</v>
      </c>
      <c r="IF124" s="9">
        <v>0</v>
      </c>
      <c r="IG124" s="9">
        <v>0</v>
      </c>
      <c r="IH124" s="9">
        <v>0</v>
      </c>
      <c r="II124" s="9">
        <v>0</v>
      </c>
      <c r="IJ124" s="9">
        <v>0</v>
      </c>
      <c r="IK124" s="9">
        <v>0</v>
      </c>
      <c r="IL124" s="9">
        <v>0</v>
      </c>
      <c r="IM124" s="9">
        <v>0</v>
      </c>
      <c r="IN124" s="9">
        <v>0</v>
      </c>
      <c r="IO124" s="9">
        <v>0</v>
      </c>
      <c r="IP124" s="9">
        <v>0</v>
      </c>
      <c r="IQ124" s="9">
        <v>0</v>
      </c>
      <c r="IR124" s="9">
        <v>0</v>
      </c>
      <c r="IS124" s="9">
        <v>0</v>
      </c>
      <c r="IT124" s="9">
        <v>0</v>
      </c>
      <c r="IU124" s="9">
        <v>0</v>
      </c>
      <c r="IV124" s="9">
        <v>0</v>
      </c>
      <c r="IW124" s="9">
        <v>0</v>
      </c>
      <c r="IX124" s="9">
        <v>0</v>
      </c>
      <c r="IY124" s="9">
        <v>0</v>
      </c>
      <c r="IZ124" s="9">
        <v>0</v>
      </c>
      <c r="JA124" s="9">
        <v>0</v>
      </c>
      <c r="JB124" s="9">
        <v>0</v>
      </c>
      <c r="JC124" s="9">
        <v>0</v>
      </c>
      <c r="JD124" s="9">
        <v>0</v>
      </c>
      <c r="JE124" s="9">
        <v>0</v>
      </c>
      <c r="JF124" s="9">
        <v>0</v>
      </c>
      <c r="JG124" s="9">
        <v>0</v>
      </c>
      <c r="JH124" s="9">
        <v>0</v>
      </c>
      <c r="JI124" s="9">
        <v>0</v>
      </c>
      <c r="JJ124" s="9">
        <v>0</v>
      </c>
      <c r="JK124" s="9">
        <v>0</v>
      </c>
      <c r="JL124" s="9">
        <v>0</v>
      </c>
      <c r="JM124" s="9">
        <v>0</v>
      </c>
      <c r="JN124" s="9">
        <v>36832</v>
      </c>
      <c r="JO124" s="9">
        <v>0</v>
      </c>
      <c r="JP124" s="9">
        <v>0</v>
      </c>
      <c r="JQ124" s="9">
        <v>0</v>
      </c>
      <c r="JR124" s="9">
        <v>0</v>
      </c>
      <c r="JS124" s="9">
        <v>0</v>
      </c>
      <c r="JT124" s="9">
        <v>0</v>
      </c>
      <c r="JU124" s="9">
        <v>0</v>
      </c>
      <c r="JV124" s="9">
        <v>0</v>
      </c>
      <c r="JW124" s="9">
        <v>0</v>
      </c>
      <c r="JX124" s="9">
        <v>0</v>
      </c>
      <c r="JY124" s="9">
        <v>0</v>
      </c>
      <c r="JZ124" s="9">
        <v>0</v>
      </c>
      <c r="KA124" s="9">
        <v>0</v>
      </c>
      <c r="KB124" s="9">
        <v>0</v>
      </c>
      <c r="KC124" s="9">
        <v>0</v>
      </c>
      <c r="KD124" s="9">
        <v>0</v>
      </c>
      <c r="KE124" s="9">
        <v>0</v>
      </c>
      <c r="KF124" s="9">
        <v>0</v>
      </c>
      <c r="KG124" s="9">
        <v>0</v>
      </c>
      <c r="KH124" s="9">
        <v>0</v>
      </c>
      <c r="KI124" s="9">
        <v>0</v>
      </c>
    </row>
    <row r="125" spans="1:295" ht="13" x14ac:dyDescent="0.3">
      <c r="A125" s="9">
        <v>101877</v>
      </c>
      <c r="B125" s="9">
        <v>0</v>
      </c>
      <c r="C125" s="9">
        <v>0</v>
      </c>
      <c r="D125" s="9">
        <v>0</v>
      </c>
      <c r="E125" s="9">
        <v>0</v>
      </c>
      <c r="F125" s="9">
        <v>0</v>
      </c>
      <c r="G125" s="9">
        <v>0</v>
      </c>
      <c r="H125" s="9">
        <v>0</v>
      </c>
      <c r="I125" s="9">
        <v>0</v>
      </c>
      <c r="J125" s="9">
        <v>0</v>
      </c>
      <c r="K125" s="9">
        <v>0</v>
      </c>
      <c r="L125" s="9">
        <v>0</v>
      </c>
      <c r="M125" s="9">
        <v>0</v>
      </c>
      <c r="N125" s="9">
        <v>0</v>
      </c>
      <c r="O125" s="9">
        <v>0</v>
      </c>
      <c r="P125" s="9">
        <v>0</v>
      </c>
      <c r="Q125" s="9">
        <v>0</v>
      </c>
      <c r="R125" s="10">
        <v>0</v>
      </c>
      <c r="S125" s="9">
        <v>0</v>
      </c>
      <c r="T125" s="9">
        <v>0</v>
      </c>
      <c r="U125" s="10">
        <v>0</v>
      </c>
      <c r="V125" s="10">
        <v>0</v>
      </c>
      <c r="W125" s="10">
        <v>0</v>
      </c>
      <c r="X125" s="10">
        <v>0</v>
      </c>
      <c r="Y125" s="9">
        <v>0</v>
      </c>
      <c r="Z125" s="9">
        <v>0</v>
      </c>
      <c r="AA125" s="9">
        <v>0</v>
      </c>
      <c r="AB125" s="9">
        <v>0</v>
      </c>
      <c r="AC125" s="9">
        <v>0</v>
      </c>
      <c r="AD125" s="9">
        <v>0</v>
      </c>
      <c r="AE125" s="9">
        <v>0</v>
      </c>
      <c r="AF125" s="9">
        <v>0</v>
      </c>
      <c r="AG125" s="9">
        <v>0</v>
      </c>
      <c r="AH125" s="9">
        <v>0</v>
      </c>
      <c r="AI125" s="9">
        <v>0</v>
      </c>
      <c r="AJ125" s="9">
        <v>0</v>
      </c>
      <c r="AK125" s="9">
        <v>0</v>
      </c>
      <c r="AL125" s="9">
        <v>0</v>
      </c>
      <c r="AM125" s="9">
        <v>0</v>
      </c>
      <c r="AN125" s="9">
        <v>0</v>
      </c>
      <c r="AO125" s="9">
        <v>0</v>
      </c>
      <c r="AP125" s="9">
        <v>0</v>
      </c>
      <c r="AQ125" s="9">
        <v>0</v>
      </c>
      <c r="AR125" s="9">
        <v>0</v>
      </c>
      <c r="AS125" s="9">
        <v>0</v>
      </c>
      <c r="AT125" s="9">
        <v>0</v>
      </c>
      <c r="AU125" s="9">
        <v>0</v>
      </c>
      <c r="AV125" s="9">
        <v>0</v>
      </c>
      <c r="AW125" s="9">
        <v>0</v>
      </c>
      <c r="AX125" s="9">
        <v>0</v>
      </c>
      <c r="AY125" s="9">
        <v>0</v>
      </c>
      <c r="AZ125" s="9">
        <v>0</v>
      </c>
      <c r="BA125" s="10">
        <v>0</v>
      </c>
      <c r="BB125" s="9">
        <v>0</v>
      </c>
      <c r="BC125" s="9">
        <v>0</v>
      </c>
      <c r="BD125" s="9">
        <v>0</v>
      </c>
      <c r="BE125" s="9">
        <v>0</v>
      </c>
      <c r="BF125" s="9">
        <v>0</v>
      </c>
      <c r="BG125" s="9">
        <v>0</v>
      </c>
      <c r="BH125" s="10">
        <v>0</v>
      </c>
      <c r="BI125" s="10">
        <v>0</v>
      </c>
      <c r="BJ125" s="9">
        <v>0</v>
      </c>
      <c r="BK125" s="9">
        <v>0</v>
      </c>
      <c r="BL125" s="9">
        <v>0</v>
      </c>
      <c r="BM125" s="9">
        <v>0</v>
      </c>
      <c r="BN125" s="9">
        <v>0</v>
      </c>
      <c r="BO125" s="9">
        <v>0</v>
      </c>
      <c r="BP125" s="9">
        <v>0</v>
      </c>
      <c r="BQ125" s="9">
        <v>0</v>
      </c>
      <c r="BR125" s="9">
        <v>0</v>
      </c>
      <c r="BS125" s="9">
        <v>0</v>
      </c>
      <c r="BT125" s="9">
        <v>0</v>
      </c>
      <c r="BU125" s="9">
        <v>0</v>
      </c>
      <c r="BV125" s="9">
        <v>0</v>
      </c>
      <c r="BW125" s="9">
        <v>0</v>
      </c>
      <c r="BX125" s="9">
        <v>0</v>
      </c>
      <c r="BY125" s="9">
        <v>0</v>
      </c>
      <c r="BZ125" s="9">
        <v>0</v>
      </c>
      <c r="CA125" s="9">
        <v>0</v>
      </c>
      <c r="CB125" s="9">
        <v>0</v>
      </c>
      <c r="CC125" s="9">
        <v>0</v>
      </c>
      <c r="CD125" s="9">
        <v>0</v>
      </c>
      <c r="CE125" s="9">
        <v>0</v>
      </c>
      <c r="CF125" s="9">
        <v>0</v>
      </c>
      <c r="CG125" s="9">
        <v>0</v>
      </c>
      <c r="CH125" s="10">
        <v>0</v>
      </c>
      <c r="CI125" s="9">
        <v>0</v>
      </c>
      <c r="CJ125" s="9">
        <v>0</v>
      </c>
      <c r="CK125" s="9">
        <v>0</v>
      </c>
      <c r="CL125" s="9">
        <v>0</v>
      </c>
      <c r="CM125" s="9">
        <v>0</v>
      </c>
      <c r="CN125" s="9">
        <v>0</v>
      </c>
      <c r="CO125" s="9">
        <v>0</v>
      </c>
      <c r="CP125" s="9">
        <v>0</v>
      </c>
      <c r="CQ125" s="9">
        <v>0</v>
      </c>
      <c r="CR125" s="9">
        <v>0</v>
      </c>
      <c r="CS125" s="9">
        <v>0</v>
      </c>
      <c r="CT125" s="9">
        <v>0</v>
      </c>
      <c r="CU125" s="9">
        <v>0</v>
      </c>
      <c r="CV125" s="9">
        <v>0</v>
      </c>
      <c r="CW125" s="9">
        <v>0</v>
      </c>
      <c r="CX125" s="9">
        <v>0</v>
      </c>
      <c r="CY125" s="9">
        <v>0</v>
      </c>
      <c r="CZ125" s="9">
        <v>0</v>
      </c>
      <c r="DA125" s="9">
        <v>0</v>
      </c>
      <c r="DB125" s="9">
        <v>0</v>
      </c>
      <c r="DC125" s="9">
        <v>0</v>
      </c>
      <c r="DD125" s="9">
        <v>0</v>
      </c>
      <c r="DE125" s="9">
        <v>0</v>
      </c>
      <c r="DF125" s="9">
        <v>0</v>
      </c>
      <c r="DG125" s="9">
        <v>0</v>
      </c>
      <c r="DH125" s="9">
        <v>0</v>
      </c>
      <c r="DI125" s="9">
        <v>0</v>
      </c>
      <c r="DJ125" s="9">
        <v>0</v>
      </c>
      <c r="DK125" s="9">
        <v>0</v>
      </c>
      <c r="DL125" s="9">
        <v>0</v>
      </c>
      <c r="DM125" s="9">
        <v>0</v>
      </c>
      <c r="DN125" s="9">
        <v>0</v>
      </c>
      <c r="DO125" s="9">
        <v>0</v>
      </c>
      <c r="DP125" s="9">
        <v>0</v>
      </c>
      <c r="DQ125" s="9">
        <v>0</v>
      </c>
      <c r="DR125" s="9">
        <v>0</v>
      </c>
      <c r="DS125" s="9">
        <v>0</v>
      </c>
      <c r="DT125" s="9">
        <v>0</v>
      </c>
      <c r="DU125" s="9">
        <v>0</v>
      </c>
      <c r="DV125" s="9">
        <v>0</v>
      </c>
      <c r="DW125" s="9">
        <v>0</v>
      </c>
      <c r="DX125" s="9">
        <v>0</v>
      </c>
      <c r="DY125" s="9">
        <v>0</v>
      </c>
      <c r="DZ125" s="9">
        <v>0</v>
      </c>
      <c r="EA125" s="9">
        <v>0</v>
      </c>
      <c r="EB125" s="9">
        <v>0</v>
      </c>
      <c r="EC125" s="9">
        <v>0</v>
      </c>
      <c r="ED125" s="9">
        <v>0</v>
      </c>
      <c r="EE125" s="9">
        <v>0</v>
      </c>
      <c r="EF125" s="9">
        <v>0</v>
      </c>
      <c r="EG125" s="9">
        <v>0</v>
      </c>
      <c r="EH125" s="9">
        <v>0</v>
      </c>
      <c r="EI125" s="9">
        <v>0</v>
      </c>
      <c r="EJ125" s="9">
        <v>0</v>
      </c>
      <c r="EK125" s="9">
        <v>0</v>
      </c>
      <c r="EL125" s="9">
        <v>0</v>
      </c>
      <c r="EM125" s="9">
        <v>0</v>
      </c>
      <c r="EN125" s="9">
        <v>0</v>
      </c>
      <c r="EO125" s="9">
        <v>0</v>
      </c>
      <c r="EP125" s="9">
        <v>0</v>
      </c>
      <c r="EQ125" s="9">
        <v>0</v>
      </c>
      <c r="ER125" s="9">
        <v>0</v>
      </c>
      <c r="ES125" s="9">
        <v>0</v>
      </c>
      <c r="ET125" s="10">
        <v>0</v>
      </c>
      <c r="EU125" s="9">
        <v>0</v>
      </c>
      <c r="EV125" s="9">
        <v>0</v>
      </c>
      <c r="EW125" s="9">
        <v>0</v>
      </c>
      <c r="EX125" s="9">
        <v>0</v>
      </c>
      <c r="EY125" s="9">
        <v>0</v>
      </c>
      <c r="EZ125" s="9">
        <v>0</v>
      </c>
      <c r="FA125" s="9">
        <v>0</v>
      </c>
      <c r="FB125" s="10">
        <v>0</v>
      </c>
      <c r="FC125" s="9">
        <v>0</v>
      </c>
      <c r="FD125" s="9">
        <v>0</v>
      </c>
      <c r="FE125" s="9">
        <v>0</v>
      </c>
      <c r="FF125" s="9">
        <v>0</v>
      </c>
      <c r="FG125" s="9">
        <v>0</v>
      </c>
      <c r="FH125" s="9">
        <v>0</v>
      </c>
      <c r="FI125" s="9">
        <v>0</v>
      </c>
      <c r="FJ125" s="9">
        <v>0</v>
      </c>
      <c r="FK125" s="9">
        <v>0</v>
      </c>
      <c r="FL125" s="9">
        <v>0</v>
      </c>
      <c r="FM125" s="9">
        <v>0</v>
      </c>
      <c r="FN125" s="9">
        <v>0</v>
      </c>
      <c r="FO125" s="9">
        <v>0</v>
      </c>
      <c r="FP125" s="9">
        <v>0</v>
      </c>
      <c r="FQ125" s="9">
        <v>0</v>
      </c>
      <c r="FR125" s="9">
        <v>0</v>
      </c>
      <c r="FS125" s="9">
        <v>0</v>
      </c>
      <c r="FT125" s="9">
        <v>0</v>
      </c>
      <c r="FU125" s="9">
        <v>0</v>
      </c>
      <c r="FV125" s="9">
        <v>0</v>
      </c>
      <c r="FW125" s="9">
        <v>0</v>
      </c>
      <c r="FX125" s="9">
        <v>0</v>
      </c>
      <c r="FY125" s="9">
        <v>0</v>
      </c>
      <c r="FZ125" s="9">
        <v>0</v>
      </c>
      <c r="GA125" s="9">
        <v>0</v>
      </c>
      <c r="GB125" s="10">
        <v>0</v>
      </c>
      <c r="GC125" s="10">
        <v>0</v>
      </c>
      <c r="GD125" s="10">
        <v>0</v>
      </c>
      <c r="GE125" s="9">
        <v>0</v>
      </c>
      <c r="GF125" s="9">
        <v>0</v>
      </c>
      <c r="GG125" s="9">
        <v>0</v>
      </c>
      <c r="GH125" s="9">
        <v>0</v>
      </c>
      <c r="GI125" s="9">
        <v>0</v>
      </c>
      <c r="GJ125" s="9">
        <v>0</v>
      </c>
      <c r="GK125" s="9">
        <v>0</v>
      </c>
      <c r="GL125" s="9">
        <v>0</v>
      </c>
      <c r="GM125" s="9">
        <v>0</v>
      </c>
      <c r="GN125" s="9">
        <v>0</v>
      </c>
      <c r="GO125" s="9">
        <v>0</v>
      </c>
      <c r="GP125" s="9">
        <v>0</v>
      </c>
      <c r="GQ125" s="9">
        <v>0</v>
      </c>
      <c r="GR125" s="9">
        <v>0</v>
      </c>
      <c r="GS125" s="9">
        <v>0</v>
      </c>
      <c r="GT125" s="9">
        <v>0</v>
      </c>
      <c r="GU125" s="9">
        <v>0</v>
      </c>
      <c r="GV125" s="9">
        <v>0</v>
      </c>
      <c r="GW125" s="9">
        <v>0</v>
      </c>
      <c r="GX125" s="9">
        <v>0</v>
      </c>
      <c r="GY125" s="9">
        <v>0</v>
      </c>
      <c r="GZ125" s="9">
        <v>0</v>
      </c>
      <c r="HA125" s="9">
        <v>0</v>
      </c>
      <c r="HB125" s="9">
        <v>0</v>
      </c>
      <c r="HC125" s="9">
        <v>0</v>
      </c>
      <c r="HD125" s="10">
        <v>0</v>
      </c>
      <c r="HE125" s="9">
        <v>0</v>
      </c>
      <c r="HF125" s="9">
        <v>0</v>
      </c>
      <c r="HG125" s="9">
        <v>0</v>
      </c>
      <c r="HH125" s="9">
        <v>0</v>
      </c>
      <c r="HI125" s="9">
        <v>0</v>
      </c>
      <c r="HJ125" s="9">
        <v>0</v>
      </c>
      <c r="HK125" s="9">
        <v>0</v>
      </c>
      <c r="HL125" s="9">
        <v>0</v>
      </c>
      <c r="HM125" s="9">
        <v>0</v>
      </c>
      <c r="HN125" s="9">
        <v>0</v>
      </c>
      <c r="HO125" s="9">
        <v>0</v>
      </c>
      <c r="HP125" s="9">
        <v>0</v>
      </c>
      <c r="HQ125" s="9">
        <v>0</v>
      </c>
      <c r="HR125" s="9">
        <v>0</v>
      </c>
      <c r="HS125" s="9">
        <v>0</v>
      </c>
      <c r="HT125" s="9">
        <v>0</v>
      </c>
      <c r="HU125" s="9">
        <v>0</v>
      </c>
      <c r="HV125" s="9">
        <v>0</v>
      </c>
      <c r="HW125" s="9">
        <v>0</v>
      </c>
      <c r="HX125" s="9">
        <v>0</v>
      </c>
      <c r="HY125" s="9">
        <v>0</v>
      </c>
      <c r="HZ125" s="9">
        <v>0</v>
      </c>
      <c r="IA125" s="9">
        <v>0</v>
      </c>
      <c r="IB125" s="9">
        <v>0</v>
      </c>
      <c r="IC125" s="9">
        <v>0</v>
      </c>
      <c r="ID125" s="9">
        <v>0</v>
      </c>
      <c r="IE125" s="9">
        <v>0</v>
      </c>
      <c r="IF125" s="9">
        <v>0</v>
      </c>
      <c r="IG125" s="9">
        <v>0</v>
      </c>
      <c r="IH125" s="9">
        <v>0</v>
      </c>
      <c r="II125" s="9">
        <v>0</v>
      </c>
      <c r="IJ125" s="9">
        <v>0</v>
      </c>
      <c r="IK125" s="9">
        <v>0</v>
      </c>
      <c r="IL125" s="9">
        <v>0</v>
      </c>
      <c r="IM125" s="9">
        <v>0</v>
      </c>
      <c r="IN125" s="9">
        <v>0</v>
      </c>
      <c r="IO125" s="9">
        <v>0</v>
      </c>
      <c r="IP125" s="9">
        <v>0</v>
      </c>
      <c r="IQ125" s="9">
        <v>0</v>
      </c>
      <c r="IR125" s="9">
        <v>0</v>
      </c>
      <c r="IS125" s="9">
        <v>0</v>
      </c>
      <c r="IT125" s="9">
        <v>0</v>
      </c>
      <c r="IU125" s="9">
        <v>0</v>
      </c>
      <c r="IV125" s="9">
        <v>0</v>
      </c>
      <c r="IW125" s="9">
        <v>0</v>
      </c>
      <c r="IX125" s="9">
        <v>0</v>
      </c>
      <c r="IY125" s="9">
        <v>0</v>
      </c>
      <c r="IZ125" s="9">
        <v>0</v>
      </c>
      <c r="JA125" s="9">
        <v>0</v>
      </c>
      <c r="JB125" s="9">
        <v>0</v>
      </c>
      <c r="JC125" s="9">
        <v>0</v>
      </c>
      <c r="JD125" s="9">
        <v>0</v>
      </c>
      <c r="JE125" s="9">
        <v>0</v>
      </c>
      <c r="JF125" s="9">
        <v>0</v>
      </c>
      <c r="JG125" s="9">
        <v>0</v>
      </c>
      <c r="JH125" s="9">
        <v>0</v>
      </c>
      <c r="JI125" s="9">
        <v>0</v>
      </c>
      <c r="JJ125" s="9">
        <v>0</v>
      </c>
      <c r="JK125" s="9">
        <v>0</v>
      </c>
      <c r="JL125" s="9">
        <v>0</v>
      </c>
      <c r="JM125" s="9">
        <v>0</v>
      </c>
      <c r="JN125" s="9">
        <v>0</v>
      </c>
      <c r="JO125" s="9">
        <v>0</v>
      </c>
      <c r="JP125" s="9">
        <v>0</v>
      </c>
      <c r="JQ125" s="9">
        <v>0</v>
      </c>
      <c r="JR125" s="9">
        <v>0</v>
      </c>
      <c r="JS125" s="9">
        <v>0</v>
      </c>
      <c r="JT125" s="9">
        <v>0</v>
      </c>
      <c r="JU125" s="9">
        <v>0</v>
      </c>
      <c r="JV125" s="9">
        <v>0</v>
      </c>
      <c r="JW125" s="9">
        <v>0</v>
      </c>
      <c r="JX125" s="9">
        <v>0</v>
      </c>
      <c r="JY125" s="9">
        <v>0</v>
      </c>
      <c r="JZ125" s="9">
        <v>0</v>
      </c>
      <c r="KA125" s="9">
        <v>0</v>
      </c>
      <c r="KB125" s="9">
        <v>0</v>
      </c>
      <c r="KC125" s="9">
        <v>0</v>
      </c>
      <c r="KD125" s="9">
        <v>0</v>
      </c>
      <c r="KE125" s="9">
        <v>0</v>
      </c>
      <c r="KF125" s="9">
        <v>0</v>
      </c>
      <c r="KG125" s="9">
        <v>0</v>
      </c>
      <c r="KH125" s="9">
        <v>0</v>
      </c>
      <c r="KI125" s="9">
        <v>0</v>
      </c>
    </row>
    <row r="126" spans="1:295" ht="13" x14ac:dyDescent="0.3">
      <c r="A126" s="9">
        <v>101877</v>
      </c>
      <c r="B126" s="9">
        <v>36871</v>
      </c>
      <c r="C126" s="9">
        <v>35</v>
      </c>
      <c r="D126" s="9">
        <v>2023</v>
      </c>
      <c r="E126" s="9">
        <v>5392</v>
      </c>
      <c r="F126" s="9">
        <v>0</v>
      </c>
      <c r="G126" s="9">
        <v>0</v>
      </c>
      <c r="H126" s="9">
        <v>0</v>
      </c>
      <c r="I126" s="9">
        <v>0</v>
      </c>
      <c r="J126" s="9">
        <v>0</v>
      </c>
      <c r="K126" s="9">
        <v>0</v>
      </c>
      <c r="L126" s="9">
        <v>6541</v>
      </c>
      <c r="M126" s="9">
        <v>0</v>
      </c>
      <c r="N126" s="9">
        <v>0</v>
      </c>
      <c r="O126" s="9">
        <v>0</v>
      </c>
      <c r="P126" s="9">
        <v>0</v>
      </c>
      <c r="Q126" s="9">
        <v>0</v>
      </c>
      <c r="R126" s="10">
        <v>0</v>
      </c>
      <c r="S126" s="9">
        <v>411.57400000000001</v>
      </c>
      <c r="T126" s="9">
        <v>0</v>
      </c>
      <c r="U126" s="10">
        <v>0</v>
      </c>
      <c r="V126" s="10">
        <v>0</v>
      </c>
      <c r="W126" s="10">
        <v>0</v>
      </c>
      <c r="X126" s="10">
        <v>0</v>
      </c>
      <c r="Y126" s="9">
        <v>0</v>
      </c>
      <c r="Z126" s="9">
        <v>0</v>
      </c>
      <c r="AA126" s="9">
        <v>1</v>
      </c>
      <c r="AB126" s="9">
        <v>1</v>
      </c>
      <c r="AC126" s="9">
        <v>0</v>
      </c>
      <c r="AD126" s="9" t="s">
        <v>314</v>
      </c>
      <c r="AE126" s="9">
        <v>0</v>
      </c>
      <c r="AF126" s="9">
        <v>0</v>
      </c>
      <c r="AG126" s="9">
        <v>0</v>
      </c>
      <c r="AH126" s="9">
        <v>0</v>
      </c>
      <c r="AI126" s="9">
        <v>0</v>
      </c>
      <c r="AJ126" s="9">
        <v>5104</v>
      </c>
      <c r="AK126" s="9" t="s">
        <v>651</v>
      </c>
      <c r="AL126" s="9" t="s">
        <v>539</v>
      </c>
      <c r="AM126" s="9">
        <v>0</v>
      </c>
      <c r="AN126" s="9">
        <v>0</v>
      </c>
      <c r="AO126" s="9">
        <v>0</v>
      </c>
      <c r="AP126" s="9">
        <v>0</v>
      </c>
      <c r="AQ126" s="9">
        <v>0</v>
      </c>
      <c r="AR126" s="9">
        <v>0</v>
      </c>
      <c r="AS126" s="9">
        <v>0</v>
      </c>
      <c r="AT126" s="9">
        <v>0</v>
      </c>
      <c r="AU126" s="9">
        <v>0</v>
      </c>
      <c r="AV126" s="9">
        <v>0</v>
      </c>
      <c r="AW126" s="9">
        <v>0</v>
      </c>
      <c r="AX126" s="9">
        <v>0</v>
      </c>
      <c r="AY126" s="9">
        <v>0</v>
      </c>
      <c r="AZ126" s="9">
        <v>0</v>
      </c>
      <c r="BA126" s="10">
        <v>0</v>
      </c>
      <c r="BB126" s="9">
        <v>0</v>
      </c>
      <c r="BC126" s="9">
        <v>0</v>
      </c>
      <c r="BD126" s="9">
        <v>0</v>
      </c>
      <c r="BE126" s="9">
        <v>0</v>
      </c>
      <c r="BF126" s="9">
        <v>0</v>
      </c>
      <c r="BG126" s="9">
        <v>0</v>
      </c>
      <c r="BH126" s="10">
        <v>0</v>
      </c>
      <c r="BI126" s="10">
        <v>0</v>
      </c>
      <c r="BJ126" s="9">
        <v>12</v>
      </c>
      <c r="BK126" s="9">
        <v>0</v>
      </c>
      <c r="BL126" s="9">
        <v>0</v>
      </c>
      <c r="BM126" s="9">
        <v>0</v>
      </c>
      <c r="BN126" s="9">
        <v>0</v>
      </c>
      <c r="BO126" s="9">
        <v>0</v>
      </c>
      <c r="BP126" s="9">
        <v>0</v>
      </c>
      <c r="BQ126" s="9">
        <v>5392</v>
      </c>
      <c r="BR126" s="9">
        <v>1</v>
      </c>
      <c r="BS126" s="9">
        <v>0</v>
      </c>
      <c r="BT126" s="9">
        <v>0</v>
      </c>
      <c r="BU126" s="9">
        <v>0</v>
      </c>
      <c r="BV126" s="9">
        <v>0</v>
      </c>
      <c r="BW126" s="9">
        <v>0</v>
      </c>
      <c r="BX126" s="9">
        <v>0</v>
      </c>
      <c r="BY126" s="9">
        <v>0</v>
      </c>
      <c r="BZ126" s="9">
        <v>0</v>
      </c>
      <c r="CA126" s="9">
        <v>0</v>
      </c>
      <c r="CB126" s="9">
        <v>0</v>
      </c>
      <c r="CC126" s="9">
        <v>0</v>
      </c>
      <c r="CD126" s="9">
        <v>0</v>
      </c>
      <c r="CE126" s="9">
        <v>0</v>
      </c>
      <c r="CF126" s="9">
        <v>0</v>
      </c>
      <c r="CG126" s="9">
        <v>0</v>
      </c>
      <c r="CH126" s="10">
        <v>0</v>
      </c>
      <c r="CI126" s="9">
        <v>0</v>
      </c>
      <c r="CJ126" s="9">
        <v>4</v>
      </c>
      <c r="CK126" s="9">
        <v>0</v>
      </c>
      <c r="CL126" s="9">
        <v>0</v>
      </c>
      <c r="CM126" s="9">
        <v>0</v>
      </c>
      <c r="CN126" s="9">
        <v>0</v>
      </c>
      <c r="CO126" s="9">
        <v>1</v>
      </c>
      <c r="CP126" s="9">
        <v>0</v>
      </c>
      <c r="CQ126" s="9">
        <v>0</v>
      </c>
      <c r="CR126" s="9">
        <v>0</v>
      </c>
      <c r="CS126" s="9">
        <v>0</v>
      </c>
      <c r="CT126" s="9">
        <v>0</v>
      </c>
      <c r="CU126" s="9">
        <v>0</v>
      </c>
      <c r="CV126" s="9">
        <v>0</v>
      </c>
      <c r="CW126" s="9">
        <v>0</v>
      </c>
      <c r="CX126" s="9">
        <v>0</v>
      </c>
      <c r="CY126" s="9">
        <v>0</v>
      </c>
      <c r="CZ126" s="9">
        <v>0</v>
      </c>
      <c r="DA126" s="9">
        <v>1</v>
      </c>
      <c r="DB126" s="9">
        <v>0</v>
      </c>
      <c r="DC126" s="9">
        <v>0</v>
      </c>
      <c r="DD126" s="9">
        <v>0</v>
      </c>
      <c r="DE126" s="9">
        <v>0</v>
      </c>
      <c r="DF126" s="9">
        <v>0</v>
      </c>
      <c r="DG126" s="9">
        <v>0</v>
      </c>
      <c r="DH126" s="9">
        <v>0</v>
      </c>
      <c r="DI126" s="9">
        <v>0</v>
      </c>
      <c r="DJ126" s="9">
        <v>0</v>
      </c>
      <c r="DK126" s="9">
        <v>5392</v>
      </c>
      <c r="DL126" s="9">
        <v>0</v>
      </c>
      <c r="DM126" s="9">
        <v>0</v>
      </c>
      <c r="DN126" s="9">
        <v>0</v>
      </c>
      <c r="DO126" s="9">
        <v>0</v>
      </c>
      <c r="DP126" s="9">
        <v>0</v>
      </c>
      <c r="DQ126" s="9">
        <v>0</v>
      </c>
      <c r="DR126" s="9">
        <v>0</v>
      </c>
      <c r="DS126" s="9">
        <v>0</v>
      </c>
      <c r="DT126" s="9">
        <v>0</v>
      </c>
      <c r="DU126" s="9">
        <v>0</v>
      </c>
      <c r="DV126" s="9">
        <v>0</v>
      </c>
      <c r="DW126" s="9">
        <v>0</v>
      </c>
      <c r="DX126" s="9">
        <v>0</v>
      </c>
      <c r="DY126" s="9">
        <v>0</v>
      </c>
      <c r="DZ126" s="9">
        <v>0</v>
      </c>
      <c r="EA126" s="9">
        <v>0</v>
      </c>
      <c r="EB126" s="9">
        <v>0</v>
      </c>
      <c r="EC126" s="9">
        <v>0</v>
      </c>
      <c r="ED126" s="9">
        <v>0</v>
      </c>
      <c r="EE126" s="9">
        <v>0</v>
      </c>
      <c r="EF126" s="9">
        <v>0</v>
      </c>
      <c r="EG126" s="9">
        <v>0</v>
      </c>
      <c r="EH126" s="9">
        <v>0</v>
      </c>
      <c r="EI126" s="9">
        <v>0</v>
      </c>
      <c r="EJ126" s="9">
        <v>0</v>
      </c>
      <c r="EK126" s="9">
        <v>0</v>
      </c>
      <c r="EL126" s="9">
        <v>0</v>
      </c>
      <c r="EM126" s="9">
        <v>0</v>
      </c>
      <c r="EN126" s="9">
        <v>0</v>
      </c>
      <c r="EO126" s="9">
        <v>0</v>
      </c>
      <c r="EP126" s="9">
        <v>0</v>
      </c>
      <c r="EQ126" s="9">
        <v>0</v>
      </c>
      <c r="ER126" s="9">
        <v>0</v>
      </c>
      <c r="ES126" s="9">
        <v>0</v>
      </c>
      <c r="ET126" s="10">
        <v>0</v>
      </c>
      <c r="EU126" s="9">
        <v>0</v>
      </c>
      <c r="EV126" s="9">
        <v>0</v>
      </c>
      <c r="EW126" s="9">
        <v>0</v>
      </c>
      <c r="EX126" s="9">
        <v>0</v>
      </c>
      <c r="EY126" s="9">
        <v>0</v>
      </c>
      <c r="EZ126" s="9">
        <v>0</v>
      </c>
      <c r="FA126" s="9">
        <v>0</v>
      </c>
      <c r="FB126" s="10">
        <v>0</v>
      </c>
      <c r="FC126" s="9">
        <v>0.97326799999999991</v>
      </c>
      <c r="FD126" s="9">
        <v>0</v>
      </c>
      <c r="FE126" s="9">
        <v>0</v>
      </c>
      <c r="FF126" s="9">
        <v>0</v>
      </c>
      <c r="FG126" s="9">
        <v>5.8479999999999997E-2</v>
      </c>
      <c r="FH126" s="9">
        <v>5.2403999999999999E-2</v>
      </c>
      <c r="FI126" s="9">
        <v>0</v>
      </c>
      <c r="FJ126" s="9">
        <v>0</v>
      </c>
      <c r="FK126" s="9">
        <v>0</v>
      </c>
      <c r="FL126" s="9">
        <v>0</v>
      </c>
      <c r="FM126" s="9">
        <v>0</v>
      </c>
      <c r="FN126" s="9">
        <v>0</v>
      </c>
      <c r="FO126" s="9">
        <v>0</v>
      </c>
      <c r="FP126" s="9">
        <v>0</v>
      </c>
      <c r="FQ126" s="9">
        <v>0</v>
      </c>
      <c r="FR126" s="9">
        <v>0</v>
      </c>
      <c r="FS126" s="9">
        <v>0</v>
      </c>
      <c r="FT126" s="9">
        <v>0</v>
      </c>
      <c r="FU126" s="9">
        <v>0</v>
      </c>
      <c r="FV126" s="9">
        <v>0</v>
      </c>
      <c r="FW126" s="9">
        <v>0</v>
      </c>
      <c r="FX126" s="9">
        <v>0</v>
      </c>
      <c r="FY126" s="9">
        <v>0</v>
      </c>
      <c r="FZ126" s="9">
        <v>0</v>
      </c>
      <c r="GA126" s="9">
        <v>0</v>
      </c>
      <c r="GB126" s="10">
        <v>0</v>
      </c>
      <c r="GC126" s="10">
        <v>0</v>
      </c>
      <c r="GD126" s="10">
        <v>0</v>
      </c>
      <c r="GE126" s="9">
        <v>0</v>
      </c>
      <c r="GF126" s="9">
        <v>0</v>
      </c>
      <c r="GG126" s="9">
        <v>0</v>
      </c>
      <c r="GH126" s="9">
        <v>0</v>
      </c>
      <c r="GI126" s="9">
        <v>0</v>
      </c>
      <c r="GJ126" s="9">
        <v>0</v>
      </c>
      <c r="GK126" s="9">
        <v>0</v>
      </c>
      <c r="GL126" s="9">
        <v>0</v>
      </c>
      <c r="GM126" s="9">
        <v>0</v>
      </c>
      <c r="GN126" s="9">
        <v>0</v>
      </c>
      <c r="GO126" s="9">
        <v>0</v>
      </c>
      <c r="GP126" s="9">
        <v>0</v>
      </c>
      <c r="GQ126" s="9">
        <v>0</v>
      </c>
      <c r="GR126" s="9">
        <v>0</v>
      </c>
      <c r="GS126" s="9">
        <v>0</v>
      </c>
      <c r="GT126" s="9">
        <v>0</v>
      </c>
      <c r="GU126" s="9">
        <v>0</v>
      </c>
      <c r="GV126" s="9">
        <v>0</v>
      </c>
      <c r="GW126" s="9">
        <v>0</v>
      </c>
      <c r="GX126" s="9">
        <v>0</v>
      </c>
      <c r="GY126" s="9">
        <v>0</v>
      </c>
      <c r="GZ126" s="9">
        <v>0</v>
      </c>
      <c r="HA126" s="9">
        <v>0</v>
      </c>
      <c r="HB126" s="9">
        <v>0</v>
      </c>
      <c r="HC126" s="9">
        <v>0</v>
      </c>
      <c r="HD126" s="10">
        <v>0</v>
      </c>
      <c r="HE126" s="9">
        <v>0</v>
      </c>
      <c r="HF126" s="9">
        <v>0</v>
      </c>
      <c r="HG126" s="9">
        <v>0</v>
      </c>
      <c r="HH126" s="9">
        <v>0</v>
      </c>
      <c r="HI126" s="9">
        <v>0</v>
      </c>
      <c r="HJ126" s="9">
        <v>0</v>
      </c>
      <c r="HK126" s="9">
        <v>0</v>
      </c>
      <c r="HL126" s="9">
        <v>0</v>
      </c>
      <c r="HM126" s="9">
        <v>0</v>
      </c>
      <c r="HN126" s="9">
        <v>0</v>
      </c>
      <c r="HO126" s="9">
        <v>0</v>
      </c>
      <c r="HP126" s="9">
        <v>0</v>
      </c>
      <c r="HQ126" s="9">
        <v>0</v>
      </c>
      <c r="HR126" s="9">
        <v>0</v>
      </c>
      <c r="HS126" s="9">
        <v>0</v>
      </c>
      <c r="HT126" s="9">
        <v>0</v>
      </c>
      <c r="HU126" s="9">
        <v>0</v>
      </c>
      <c r="HV126" s="9">
        <v>0</v>
      </c>
      <c r="HW126" s="9">
        <v>0</v>
      </c>
      <c r="HX126" s="9">
        <v>0</v>
      </c>
      <c r="HY126" s="9">
        <v>0</v>
      </c>
      <c r="HZ126" s="9">
        <v>0</v>
      </c>
      <c r="IA126" s="9">
        <v>0</v>
      </c>
      <c r="IB126" s="9">
        <v>0</v>
      </c>
      <c r="IC126" s="9">
        <v>0</v>
      </c>
      <c r="ID126" s="9">
        <v>0</v>
      </c>
      <c r="IE126" s="9">
        <v>0</v>
      </c>
      <c r="IF126" s="9">
        <v>0</v>
      </c>
      <c r="IG126" s="9">
        <v>0</v>
      </c>
      <c r="IH126" s="9">
        <v>0</v>
      </c>
      <c r="II126" s="9">
        <v>0</v>
      </c>
      <c r="IJ126" s="9">
        <v>0</v>
      </c>
      <c r="IK126" s="9">
        <v>0</v>
      </c>
      <c r="IL126" s="9">
        <v>0</v>
      </c>
      <c r="IM126" s="9">
        <v>0</v>
      </c>
      <c r="IN126" s="9">
        <v>0</v>
      </c>
      <c r="IO126" s="9">
        <v>0</v>
      </c>
      <c r="IP126" s="9">
        <v>0</v>
      </c>
      <c r="IQ126" s="9">
        <v>0</v>
      </c>
      <c r="IR126" s="9">
        <v>0</v>
      </c>
      <c r="IS126" s="9">
        <v>0</v>
      </c>
      <c r="IT126" s="9">
        <v>0</v>
      </c>
      <c r="IU126" s="9">
        <v>0</v>
      </c>
      <c r="IV126" s="9">
        <v>0</v>
      </c>
      <c r="IW126" s="9">
        <v>0</v>
      </c>
      <c r="IX126" s="9">
        <v>0</v>
      </c>
      <c r="IY126" s="9">
        <v>0</v>
      </c>
      <c r="IZ126" s="9">
        <v>0</v>
      </c>
      <c r="JA126" s="9">
        <v>0</v>
      </c>
      <c r="JB126" s="9">
        <v>0</v>
      </c>
      <c r="JC126" s="9">
        <v>0</v>
      </c>
      <c r="JD126" s="9">
        <v>0</v>
      </c>
      <c r="JE126" s="9">
        <v>0</v>
      </c>
      <c r="JF126" s="9">
        <v>0</v>
      </c>
      <c r="JG126" s="9">
        <v>0</v>
      </c>
      <c r="JH126" s="9">
        <v>0</v>
      </c>
      <c r="JI126" s="9">
        <v>0</v>
      </c>
      <c r="JJ126" s="9">
        <v>0</v>
      </c>
      <c r="JK126" s="9">
        <v>0</v>
      </c>
      <c r="JL126" s="9">
        <v>0</v>
      </c>
      <c r="JM126" s="9">
        <v>0</v>
      </c>
      <c r="JN126" s="9">
        <v>29137</v>
      </c>
      <c r="JO126" s="9">
        <v>0</v>
      </c>
      <c r="JP126" s="9">
        <v>0</v>
      </c>
      <c r="JQ126" s="9">
        <v>0</v>
      </c>
      <c r="JR126" s="9">
        <v>0</v>
      </c>
      <c r="JS126" s="9">
        <v>0</v>
      </c>
      <c r="JT126" s="9">
        <v>0</v>
      </c>
      <c r="JU126" s="9">
        <v>0</v>
      </c>
      <c r="JV126" s="9">
        <v>0</v>
      </c>
      <c r="JW126" s="9">
        <v>0</v>
      </c>
      <c r="JX126" s="9">
        <v>0</v>
      </c>
      <c r="JY126" s="9">
        <v>0</v>
      </c>
      <c r="JZ126" s="9">
        <v>0</v>
      </c>
      <c r="KA126" s="9">
        <v>0</v>
      </c>
      <c r="KB126" s="9">
        <v>0</v>
      </c>
      <c r="KC126" s="9">
        <v>0</v>
      </c>
      <c r="KD126" s="9">
        <v>0</v>
      </c>
      <c r="KE126" s="9">
        <v>0</v>
      </c>
      <c r="KF126" s="9">
        <v>0</v>
      </c>
      <c r="KG126" s="9">
        <v>0</v>
      </c>
      <c r="KH126" s="9">
        <v>0</v>
      </c>
      <c r="KI126" s="9">
        <v>0</v>
      </c>
    </row>
    <row r="127" spans="1:295" x14ac:dyDescent="0.25">
      <c r="A127" s="9">
        <v>101878</v>
      </c>
      <c r="B127" s="9">
        <v>36871</v>
      </c>
      <c r="C127" s="9">
        <v>35</v>
      </c>
      <c r="D127" s="9">
        <v>2023</v>
      </c>
      <c r="E127" s="9">
        <v>5392</v>
      </c>
      <c r="F127" s="9">
        <v>0</v>
      </c>
      <c r="G127" s="9">
        <v>0</v>
      </c>
      <c r="H127" s="9">
        <v>41.058</v>
      </c>
      <c r="I127" s="9">
        <v>41.058</v>
      </c>
      <c r="J127" s="9">
        <v>41.142000000000003</v>
      </c>
      <c r="K127" s="9">
        <v>0</v>
      </c>
      <c r="L127" s="9">
        <v>6547</v>
      </c>
      <c r="M127" s="9">
        <v>0</v>
      </c>
      <c r="N127" s="9">
        <v>0</v>
      </c>
      <c r="O127" s="9">
        <v>0</v>
      </c>
      <c r="P127" s="9">
        <v>0</v>
      </c>
      <c r="Q127" s="9">
        <v>0</v>
      </c>
      <c r="R127" s="9">
        <v>0</v>
      </c>
      <c r="S127" s="9">
        <v>486.92200000000003</v>
      </c>
      <c r="T127" s="9">
        <v>0</v>
      </c>
      <c r="U127" s="9">
        <v>0</v>
      </c>
      <c r="V127" s="9">
        <v>5.2520000000000007</v>
      </c>
      <c r="W127" s="9">
        <v>3438</v>
      </c>
      <c r="X127" s="9">
        <v>3438</v>
      </c>
      <c r="Y127" s="9">
        <v>0</v>
      </c>
      <c r="Z127" s="9">
        <v>0</v>
      </c>
      <c r="AA127" s="9">
        <v>1</v>
      </c>
      <c r="AB127" s="9">
        <v>1</v>
      </c>
      <c r="AC127" s="9">
        <v>0</v>
      </c>
      <c r="AD127" s="9" t="s">
        <v>314</v>
      </c>
      <c r="AE127" s="9">
        <v>0</v>
      </c>
      <c r="AF127" s="9">
        <v>0</v>
      </c>
      <c r="AG127" s="9">
        <v>0</v>
      </c>
      <c r="AH127" s="9">
        <v>0</v>
      </c>
      <c r="AI127" s="9">
        <v>0</v>
      </c>
      <c r="AJ127" s="9">
        <v>5104</v>
      </c>
      <c r="AK127" s="9" t="s">
        <v>651</v>
      </c>
      <c r="AL127" s="9" t="s">
        <v>540</v>
      </c>
      <c r="AM127" s="9">
        <v>0</v>
      </c>
      <c r="AN127" s="9">
        <v>0</v>
      </c>
      <c r="AO127" s="9">
        <v>0</v>
      </c>
      <c r="AP127" s="9">
        <v>0</v>
      </c>
      <c r="AQ127" s="9">
        <v>0</v>
      </c>
      <c r="AR127" s="9">
        <v>0</v>
      </c>
      <c r="AS127" s="9">
        <v>0</v>
      </c>
      <c r="AT127" s="9">
        <v>0</v>
      </c>
      <c r="AU127" s="9">
        <v>0</v>
      </c>
      <c r="AV127" s="9">
        <v>26</v>
      </c>
      <c r="AW127" s="9">
        <v>0</v>
      </c>
      <c r="AX127" s="9">
        <v>329594</v>
      </c>
      <c r="AY127" s="9">
        <v>550724</v>
      </c>
      <c r="AZ127" s="9">
        <v>0</v>
      </c>
      <c r="BA127" s="9">
        <v>0</v>
      </c>
      <c r="BB127" s="9">
        <v>0</v>
      </c>
      <c r="BC127" s="9">
        <v>0</v>
      </c>
      <c r="BD127" s="9">
        <v>0</v>
      </c>
      <c r="BE127" s="9">
        <v>0</v>
      </c>
      <c r="BF127" s="9">
        <v>271247</v>
      </c>
      <c r="BG127" s="9">
        <v>0</v>
      </c>
      <c r="BH127" s="9">
        <v>0</v>
      </c>
      <c r="BI127" s="9">
        <v>0</v>
      </c>
      <c r="BJ127" s="9">
        <v>12</v>
      </c>
      <c r="BK127" s="9">
        <v>0</v>
      </c>
      <c r="BL127" s="9">
        <v>0</v>
      </c>
      <c r="BM127" s="9">
        <v>0</v>
      </c>
      <c r="BN127" s="9">
        <v>0</v>
      </c>
      <c r="BO127" s="9">
        <v>0</v>
      </c>
      <c r="BP127" s="9">
        <v>0</v>
      </c>
      <c r="BQ127" s="9">
        <v>5392</v>
      </c>
      <c r="BR127" s="9">
        <v>1</v>
      </c>
      <c r="BS127" s="9">
        <v>0</v>
      </c>
      <c r="BT127" s="9">
        <v>0</v>
      </c>
      <c r="BU127" s="9">
        <v>0</v>
      </c>
      <c r="BV127" s="9">
        <v>0</v>
      </c>
      <c r="BW127" s="9">
        <v>0</v>
      </c>
      <c r="BX127" s="9">
        <v>0</v>
      </c>
      <c r="BY127" s="9">
        <v>0</v>
      </c>
      <c r="BZ127" s="9">
        <v>0</v>
      </c>
      <c r="CA127" s="9">
        <v>0</v>
      </c>
      <c r="CB127" s="9">
        <v>0</v>
      </c>
      <c r="CC127" s="9">
        <v>0</v>
      </c>
      <c r="CD127" s="9">
        <v>0</v>
      </c>
      <c r="CE127" s="9">
        <v>0</v>
      </c>
      <c r="CF127" s="9">
        <v>0</v>
      </c>
      <c r="CG127" s="9">
        <v>0</v>
      </c>
      <c r="CH127" s="9">
        <v>0</v>
      </c>
      <c r="CI127" s="9">
        <v>0</v>
      </c>
      <c r="CJ127" s="9">
        <v>4</v>
      </c>
      <c r="CK127" s="9">
        <v>0</v>
      </c>
      <c r="CL127" s="9">
        <v>0</v>
      </c>
      <c r="CM127" s="9">
        <v>0</v>
      </c>
      <c r="CN127" s="9">
        <v>0</v>
      </c>
      <c r="CO127" s="9">
        <v>0</v>
      </c>
      <c r="CP127" s="9">
        <v>0</v>
      </c>
      <c r="CQ127" s="9">
        <v>0</v>
      </c>
      <c r="CR127" s="9">
        <v>0</v>
      </c>
      <c r="CS127" s="9">
        <v>0</v>
      </c>
      <c r="CT127" s="9">
        <v>0</v>
      </c>
      <c r="CU127" s="9">
        <v>0</v>
      </c>
      <c r="CV127" s="9">
        <v>0</v>
      </c>
      <c r="CW127" s="9">
        <v>0</v>
      </c>
      <c r="CX127" s="9">
        <v>0</v>
      </c>
      <c r="CY127" s="9">
        <v>0</v>
      </c>
      <c r="CZ127" s="9">
        <v>0</v>
      </c>
      <c r="DA127" s="9">
        <v>1</v>
      </c>
      <c r="DB127" s="9">
        <v>268807</v>
      </c>
      <c r="DC127" s="9">
        <v>0</v>
      </c>
      <c r="DD127" s="9">
        <v>0</v>
      </c>
      <c r="DE127" s="9">
        <v>0</v>
      </c>
      <c r="DF127" s="9">
        <v>0</v>
      </c>
      <c r="DG127" s="9">
        <v>0</v>
      </c>
      <c r="DH127" s="9">
        <v>0</v>
      </c>
      <c r="DI127" s="9">
        <v>0</v>
      </c>
      <c r="DJ127" s="9">
        <v>0</v>
      </c>
      <c r="DK127" s="9">
        <v>5392</v>
      </c>
      <c r="DL127" s="9">
        <v>0</v>
      </c>
      <c r="DM127" s="9">
        <v>6452</v>
      </c>
      <c r="DN127" s="9">
        <v>0</v>
      </c>
      <c r="DO127" s="9">
        <v>0</v>
      </c>
      <c r="DP127" s="9">
        <v>0</v>
      </c>
      <c r="DQ127" s="9">
        <v>0</v>
      </c>
      <c r="DR127" s="9">
        <v>0</v>
      </c>
      <c r="DS127" s="9">
        <v>0</v>
      </c>
      <c r="DT127" s="9">
        <v>0</v>
      </c>
      <c r="DU127" s="9">
        <v>0</v>
      </c>
      <c r="DV127" s="9">
        <v>0</v>
      </c>
      <c r="DW127" s="9">
        <v>0</v>
      </c>
      <c r="DX127" s="9">
        <v>0</v>
      </c>
      <c r="DY127" s="9">
        <v>0</v>
      </c>
      <c r="DZ127" s="9">
        <v>0</v>
      </c>
      <c r="EA127" s="9">
        <v>0</v>
      </c>
      <c r="EB127" s="9">
        <v>0</v>
      </c>
      <c r="EC127" s="9">
        <v>0.51400000000000001</v>
      </c>
      <c r="ED127" s="9">
        <v>3702</v>
      </c>
      <c r="EE127" s="9">
        <v>0</v>
      </c>
      <c r="EF127" s="9">
        <v>0</v>
      </c>
      <c r="EG127" s="9">
        <v>0</v>
      </c>
      <c r="EH127" s="9">
        <v>2750</v>
      </c>
      <c r="EI127" s="9">
        <v>0</v>
      </c>
      <c r="EJ127" s="9">
        <v>0</v>
      </c>
      <c r="EK127" s="9">
        <v>0</v>
      </c>
      <c r="EL127" s="9">
        <v>0</v>
      </c>
      <c r="EM127" s="9">
        <v>0</v>
      </c>
      <c r="EN127" s="9">
        <v>8.4000000000000005E-2</v>
      </c>
      <c r="EO127" s="9">
        <v>0</v>
      </c>
      <c r="EP127" s="9">
        <v>0</v>
      </c>
      <c r="EQ127" s="9">
        <v>8.4000000000000005E-2</v>
      </c>
      <c r="ER127" s="9">
        <v>0</v>
      </c>
      <c r="ES127" s="9">
        <v>0.42</v>
      </c>
      <c r="ET127" s="9">
        <v>0</v>
      </c>
      <c r="EU127" s="9">
        <v>0</v>
      </c>
      <c r="EV127" s="9">
        <v>0</v>
      </c>
      <c r="EW127" s="9">
        <v>0</v>
      </c>
      <c r="EX127" s="9">
        <v>0</v>
      </c>
      <c r="EY127" s="9">
        <v>0</v>
      </c>
      <c r="EZ127" s="9">
        <v>278697</v>
      </c>
      <c r="FA127" s="9">
        <v>0</v>
      </c>
      <c r="FB127" s="9">
        <v>278697</v>
      </c>
      <c r="FC127" s="9">
        <v>0.97326799999999991</v>
      </c>
      <c r="FD127" s="9">
        <v>0</v>
      </c>
      <c r="FE127" s="9">
        <v>41961</v>
      </c>
      <c r="FF127" s="9">
        <v>8936</v>
      </c>
      <c r="FG127" s="9">
        <v>5.8088000000000001E-2</v>
      </c>
      <c r="FH127" s="9">
        <v>5.2622999999999996E-2</v>
      </c>
      <c r="FI127" s="9">
        <v>0</v>
      </c>
      <c r="FJ127" s="9">
        <v>0</v>
      </c>
      <c r="FK127" s="9">
        <v>53.147000000000006</v>
      </c>
      <c r="FL127" s="9">
        <v>0</v>
      </c>
      <c r="FM127" s="9">
        <v>0</v>
      </c>
      <c r="FN127" s="9">
        <v>0</v>
      </c>
      <c r="FO127" s="9">
        <v>0</v>
      </c>
      <c r="FP127" s="9">
        <v>0</v>
      </c>
      <c r="FQ127" s="9">
        <v>0</v>
      </c>
      <c r="FR127" s="9">
        <v>0</v>
      </c>
      <c r="FS127" s="9">
        <v>0</v>
      </c>
      <c r="FT127" s="9">
        <v>0</v>
      </c>
      <c r="FU127" s="9">
        <v>0</v>
      </c>
      <c r="FV127" s="9">
        <v>0</v>
      </c>
      <c r="FW127" s="9">
        <v>0</v>
      </c>
      <c r="FX127" s="9">
        <v>0</v>
      </c>
      <c r="FY127" s="9">
        <v>0</v>
      </c>
      <c r="FZ127" s="9">
        <v>0</v>
      </c>
      <c r="GA127" s="9">
        <v>0</v>
      </c>
      <c r="GB127" s="9">
        <v>0</v>
      </c>
      <c r="GC127" s="9">
        <v>0</v>
      </c>
      <c r="GD127" s="9">
        <v>0</v>
      </c>
      <c r="GE127" s="9">
        <v>0</v>
      </c>
      <c r="GF127" s="9">
        <v>0</v>
      </c>
      <c r="GG127" s="9">
        <v>0</v>
      </c>
      <c r="GH127" s="9">
        <v>0</v>
      </c>
      <c r="GI127" s="9">
        <v>0</v>
      </c>
      <c r="GJ127" s="9">
        <v>0</v>
      </c>
      <c r="GK127" s="9">
        <v>0</v>
      </c>
      <c r="GL127" s="9">
        <v>0</v>
      </c>
      <c r="GM127" s="9">
        <v>0</v>
      </c>
      <c r="GN127" s="9">
        <v>0</v>
      </c>
      <c r="GO127" s="9">
        <v>0</v>
      </c>
      <c r="GP127" s="9">
        <v>329594</v>
      </c>
      <c r="GQ127" s="9">
        <v>329594</v>
      </c>
      <c r="GR127" s="9">
        <v>0</v>
      </c>
      <c r="GS127" s="9">
        <v>0</v>
      </c>
      <c r="GT127" s="9">
        <v>0</v>
      </c>
      <c r="GU127" s="9">
        <v>0</v>
      </c>
      <c r="GV127" s="9">
        <v>0</v>
      </c>
      <c r="GW127" s="9">
        <v>0</v>
      </c>
      <c r="GX127" s="9">
        <v>0</v>
      </c>
      <c r="GY127" s="9">
        <v>0</v>
      </c>
      <c r="GZ127" s="9">
        <v>0</v>
      </c>
      <c r="HA127" s="9">
        <v>0</v>
      </c>
      <c r="HB127" s="9">
        <v>0</v>
      </c>
      <c r="HC127" s="9">
        <v>0</v>
      </c>
      <c r="HD127" s="9">
        <v>0</v>
      </c>
      <c r="HE127" s="9">
        <v>0</v>
      </c>
      <c r="HF127" s="9">
        <v>0</v>
      </c>
      <c r="HG127" s="9">
        <v>0</v>
      </c>
      <c r="HH127" s="9">
        <v>0</v>
      </c>
      <c r="HI127" s="9">
        <v>0</v>
      </c>
      <c r="HJ127" s="9">
        <v>0</v>
      </c>
      <c r="HK127" s="9">
        <v>0</v>
      </c>
      <c r="HL127" s="9">
        <v>0</v>
      </c>
      <c r="HM127" s="9">
        <v>0</v>
      </c>
      <c r="HN127" s="9">
        <v>0</v>
      </c>
      <c r="HO127" s="9">
        <v>0</v>
      </c>
      <c r="HP127" s="9">
        <v>0</v>
      </c>
      <c r="HQ127" s="9">
        <v>0</v>
      </c>
      <c r="HR127" s="9">
        <v>0</v>
      </c>
      <c r="HS127" s="9">
        <v>0</v>
      </c>
      <c r="HT127" s="9">
        <v>0</v>
      </c>
      <c r="HU127" s="9">
        <v>0</v>
      </c>
      <c r="HV127" s="9">
        <v>0</v>
      </c>
      <c r="HW127" s="9">
        <v>0</v>
      </c>
      <c r="HX127" s="9">
        <v>0</v>
      </c>
      <c r="HY127" s="9">
        <v>0</v>
      </c>
      <c r="HZ127" s="9">
        <v>0</v>
      </c>
      <c r="IA127" s="9">
        <v>0</v>
      </c>
      <c r="IB127" s="9">
        <v>0</v>
      </c>
      <c r="IC127" s="9">
        <v>0</v>
      </c>
      <c r="ID127" s="9">
        <v>0</v>
      </c>
      <c r="IE127" s="9">
        <v>0</v>
      </c>
      <c r="IF127" s="9">
        <v>0</v>
      </c>
      <c r="IG127" s="9">
        <v>0</v>
      </c>
      <c r="IH127" s="9">
        <v>0</v>
      </c>
      <c r="II127" s="9">
        <v>0</v>
      </c>
      <c r="IJ127" s="9">
        <v>0</v>
      </c>
      <c r="IK127" s="9">
        <v>0</v>
      </c>
      <c r="IL127" s="9">
        <v>0</v>
      </c>
      <c r="IM127" s="9">
        <v>0</v>
      </c>
      <c r="IN127" s="9">
        <v>0</v>
      </c>
      <c r="IO127" s="9">
        <v>0</v>
      </c>
      <c r="IP127" s="9">
        <v>0</v>
      </c>
      <c r="IQ127" s="9">
        <v>0</v>
      </c>
      <c r="IR127" s="9">
        <v>0</v>
      </c>
      <c r="IS127" s="9">
        <v>0</v>
      </c>
      <c r="IT127" s="9">
        <v>0</v>
      </c>
      <c r="IU127" s="9">
        <v>0</v>
      </c>
      <c r="IV127" s="9">
        <v>0</v>
      </c>
      <c r="IW127" s="9">
        <v>0</v>
      </c>
      <c r="IX127" s="9">
        <v>0</v>
      </c>
      <c r="IY127" s="9">
        <v>0</v>
      </c>
      <c r="IZ127" s="9">
        <v>0</v>
      </c>
      <c r="JA127" s="9">
        <v>0</v>
      </c>
      <c r="JB127" s="9">
        <v>0</v>
      </c>
      <c r="JC127" s="9">
        <v>0</v>
      </c>
      <c r="JD127" s="9">
        <v>0</v>
      </c>
      <c r="JE127" s="9">
        <v>0</v>
      </c>
      <c r="JF127" s="9">
        <v>0</v>
      </c>
      <c r="JG127" s="9">
        <v>0</v>
      </c>
      <c r="JH127" s="9">
        <v>0</v>
      </c>
      <c r="JI127" s="9">
        <v>0</v>
      </c>
      <c r="JJ127" s="9">
        <v>0</v>
      </c>
      <c r="JK127" s="9">
        <v>0</v>
      </c>
      <c r="JL127" s="9">
        <v>0</v>
      </c>
      <c r="JM127" s="9">
        <v>0</v>
      </c>
      <c r="JN127" s="9">
        <v>36832</v>
      </c>
      <c r="JO127" s="9">
        <v>0</v>
      </c>
      <c r="JP127" s="9">
        <v>0</v>
      </c>
      <c r="JQ127" s="9">
        <v>0</v>
      </c>
      <c r="JR127" s="9">
        <v>0</v>
      </c>
      <c r="JS127" s="9">
        <v>0</v>
      </c>
      <c r="JT127" s="9">
        <v>0</v>
      </c>
      <c r="JU127" s="9">
        <v>0</v>
      </c>
      <c r="JV127" s="9">
        <v>0</v>
      </c>
      <c r="JW127" s="9">
        <v>0</v>
      </c>
      <c r="JX127" s="9">
        <v>0</v>
      </c>
      <c r="JY127" s="9">
        <v>0</v>
      </c>
      <c r="JZ127" s="9">
        <v>0</v>
      </c>
      <c r="KA127" s="9">
        <v>0</v>
      </c>
      <c r="KB127" s="9">
        <v>0</v>
      </c>
      <c r="KC127" s="9">
        <v>0</v>
      </c>
      <c r="KD127" s="9">
        <v>0</v>
      </c>
      <c r="KE127" s="9">
        <v>0</v>
      </c>
      <c r="KF127" s="9">
        <v>0</v>
      </c>
      <c r="KG127" s="9">
        <v>0</v>
      </c>
      <c r="KH127" s="9">
        <v>0</v>
      </c>
      <c r="KI127" s="9">
        <v>0</v>
      </c>
    </row>
    <row r="128" spans="1:295" x14ac:dyDescent="0.25">
      <c r="A128" s="9">
        <v>105801</v>
      </c>
      <c r="B128" s="9">
        <v>36871</v>
      </c>
      <c r="C128" s="9">
        <v>35</v>
      </c>
      <c r="D128" s="9">
        <v>2023</v>
      </c>
      <c r="E128" s="9">
        <v>5392</v>
      </c>
      <c r="F128" s="9">
        <v>0</v>
      </c>
      <c r="G128" s="9">
        <v>0</v>
      </c>
      <c r="H128" s="9">
        <v>126.459</v>
      </c>
      <c r="I128" s="9">
        <v>126.459</v>
      </c>
      <c r="J128" s="9">
        <v>130.876</v>
      </c>
      <c r="K128" s="9">
        <v>0</v>
      </c>
      <c r="L128" s="9">
        <v>6547</v>
      </c>
      <c r="M128" s="9">
        <v>0</v>
      </c>
      <c r="N128" s="9">
        <v>0</v>
      </c>
      <c r="O128" s="9">
        <v>0</v>
      </c>
      <c r="P128" s="9">
        <v>131.249</v>
      </c>
      <c r="Q128" s="9">
        <v>0</v>
      </c>
      <c r="R128" s="9">
        <v>63908</v>
      </c>
      <c r="S128" s="9">
        <v>486.92200000000003</v>
      </c>
      <c r="T128" s="9">
        <v>0</v>
      </c>
      <c r="U128" s="9">
        <v>63908</v>
      </c>
      <c r="V128" s="9">
        <v>0</v>
      </c>
      <c r="W128" s="9">
        <v>0</v>
      </c>
      <c r="X128" s="9">
        <v>0</v>
      </c>
      <c r="Y128" s="9">
        <v>0</v>
      </c>
      <c r="Z128" s="9">
        <v>0</v>
      </c>
      <c r="AA128" s="9">
        <v>1</v>
      </c>
      <c r="AB128" s="9">
        <v>1</v>
      </c>
      <c r="AC128" s="9">
        <v>0</v>
      </c>
      <c r="AD128" s="9" t="s">
        <v>314</v>
      </c>
      <c r="AE128" s="9">
        <v>0</v>
      </c>
      <c r="AF128" s="9">
        <v>0</v>
      </c>
      <c r="AG128" s="9">
        <v>0</v>
      </c>
      <c r="AH128" s="9">
        <v>0</v>
      </c>
      <c r="AI128" s="9">
        <v>0</v>
      </c>
      <c r="AJ128" s="9">
        <v>5104</v>
      </c>
      <c r="AK128" s="9" t="s">
        <v>651</v>
      </c>
      <c r="AL128" s="9" t="s">
        <v>34</v>
      </c>
      <c r="AM128" s="9">
        <v>0</v>
      </c>
      <c r="AN128" s="9">
        <v>0</v>
      </c>
      <c r="AO128" s="9">
        <v>0</v>
      </c>
      <c r="AP128" s="9">
        <v>0</v>
      </c>
      <c r="AQ128" s="9">
        <v>0</v>
      </c>
      <c r="AR128" s="9">
        <v>0</v>
      </c>
      <c r="AS128" s="9">
        <v>0</v>
      </c>
      <c r="AT128" s="9">
        <v>0</v>
      </c>
      <c r="AU128" s="9">
        <v>0</v>
      </c>
      <c r="AV128" s="9">
        <v>-95064</v>
      </c>
      <c r="AW128" s="9">
        <v>1269881</v>
      </c>
      <c r="AX128" s="9">
        <v>1221027</v>
      </c>
      <c r="AY128" s="9">
        <v>1253379</v>
      </c>
      <c r="AZ128" s="9">
        <v>84356</v>
      </c>
      <c r="BA128" s="9">
        <v>8.1669999999999998</v>
      </c>
      <c r="BB128" s="9">
        <v>786</v>
      </c>
      <c r="BC128" s="9">
        <v>786</v>
      </c>
      <c r="BD128" s="9">
        <v>1</v>
      </c>
      <c r="BE128" s="9">
        <v>0</v>
      </c>
      <c r="BF128" s="9">
        <v>1057467</v>
      </c>
      <c r="BG128" s="9">
        <v>0</v>
      </c>
      <c r="BH128" s="9">
        <v>74.355000000000004</v>
      </c>
      <c r="BI128" s="9">
        <v>20448</v>
      </c>
      <c r="BJ128" s="9">
        <v>12</v>
      </c>
      <c r="BK128" s="9">
        <v>0</v>
      </c>
      <c r="BL128" s="9">
        <v>0</v>
      </c>
      <c r="BM128" s="9">
        <v>0</v>
      </c>
      <c r="BN128" s="9">
        <v>0</v>
      </c>
      <c r="BO128" s="9">
        <v>0</v>
      </c>
      <c r="BP128" s="9">
        <v>0</v>
      </c>
      <c r="BQ128" s="9">
        <v>5392</v>
      </c>
      <c r="BR128" s="9">
        <v>1</v>
      </c>
      <c r="BS128" s="9">
        <v>0</v>
      </c>
      <c r="BT128" s="9">
        <v>0</v>
      </c>
      <c r="BU128" s="9">
        <v>0</v>
      </c>
      <c r="BV128" s="9">
        <v>0</v>
      </c>
      <c r="BW128" s="9">
        <v>0</v>
      </c>
      <c r="BX128" s="9">
        <v>0</v>
      </c>
      <c r="BY128" s="9">
        <v>0</v>
      </c>
      <c r="BZ128" s="9">
        <v>0</v>
      </c>
      <c r="CA128" s="9">
        <v>0</v>
      </c>
      <c r="CB128" s="9">
        <v>0</v>
      </c>
      <c r="CC128" s="9">
        <v>0</v>
      </c>
      <c r="CD128" s="9">
        <v>0</v>
      </c>
      <c r="CE128" s="9">
        <v>0</v>
      </c>
      <c r="CF128" s="9">
        <v>0</v>
      </c>
      <c r="CG128" s="9">
        <v>0</v>
      </c>
      <c r="CH128" s="9">
        <v>28406</v>
      </c>
      <c r="CI128" s="9">
        <v>0</v>
      </c>
      <c r="CJ128" s="9">
        <v>4</v>
      </c>
      <c r="CK128" s="9">
        <v>0</v>
      </c>
      <c r="CL128" s="9">
        <v>0</v>
      </c>
      <c r="CM128" s="9">
        <v>0</v>
      </c>
      <c r="CN128" s="9">
        <v>0</v>
      </c>
      <c r="CO128" s="9">
        <v>0</v>
      </c>
      <c r="CP128" s="9">
        <v>0</v>
      </c>
      <c r="CQ128" s="9">
        <v>5</v>
      </c>
      <c r="CR128" s="9">
        <v>129.66900000000001</v>
      </c>
      <c r="CS128" s="9">
        <v>0</v>
      </c>
      <c r="CT128" s="9">
        <v>0</v>
      </c>
      <c r="CU128" s="9">
        <v>0</v>
      </c>
      <c r="CV128" s="9">
        <v>0</v>
      </c>
      <c r="CW128" s="9">
        <v>0</v>
      </c>
      <c r="CX128" s="9">
        <v>0</v>
      </c>
      <c r="CY128" s="9">
        <v>0</v>
      </c>
      <c r="CZ128" s="9">
        <v>0</v>
      </c>
      <c r="DA128" s="9">
        <v>1</v>
      </c>
      <c r="DB128" s="9">
        <v>827927</v>
      </c>
      <c r="DC128" s="9">
        <v>0</v>
      </c>
      <c r="DD128" s="9">
        <v>0</v>
      </c>
      <c r="DE128" s="9">
        <v>82492</v>
      </c>
      <c r="DF128" s="9">
        <v>82492</v>
      </c>
      <c r="DG128" s="9">
        <v>63</v>
      </c>
      <c r="DH128" s="9">
        <v>0</v>
      </c>
      <c r="DI128" s="9">
        <v>0</v>
      </c>
      <c r="DJ128" s="9">
        <v>0</v>
      </c>
      <c r="DK128" s="9">
        <v>5392</v>
      </c>
      <c r="DL128" s="9">
        <v>0</v>
      </c>
      <c r="DM128" s="9">
        <v>146617</v>
      </c>
      <c r="DN128" s="9">
        <v>0</v>
      </c>
      <c r="DO128" s="9">
        <v>0</v>
      </c>
      <c r="DP128" s="9">
        <v>0</v>
      </c>
      <c r="DQ128" s="9">
        <v>0</v>
      </c>
      <c r="DR128" s="9">
        <v>0</v>
      </c>
      <c r="DS128" s="9">
        <v>0</v>
      </c>
      <c r="DT128" s="9">
        <v>0</v>
      </c>
      <c r="DU128" s="9">
        <v>0</v>
      </c>
      <c r="DV128" s="9">
        <v>0</v>
      </c>
      <c r="DW128" s="9">
        <v>0</v>
      </c>
      <c r="DX128" s="9">
        <v>0</v>
      </c>
      <c r="DY128" s="9">
        <v>0</v>
      </c>
      <c r="DZ128" s="9">
        <v>0</v>
      </c>
      <c r="EA128" s="9">
        <v>0</v>
      </c>
      <c r="EB128" s="9">
        <v>0</v>
      </c>
      <c r="EC128" s="9">
        <v>17.164999999999999</v>
      </c>
      <c r="ED128" s="9">
        <v>123617</v>
      </c>
      <c r="EE128" s="9">
        <v>0</v>
      </c>
      <c r="EF128" s="9">
        <v>0</v>
      </c>
      <c r="EG128" s="9">
        <v>0</v>
      </c>
      <c r="EH128" s="9">
        <v>23000</v>
      </c>
      <c r="EI128" s="9">
        <v>0</v>
      </c>
      <c r="EJ128" s="9">
        <v>0</v>
      </c>
      <c r="EK128" s="9">
        <v>1.171</v>
      </c>
      <c r="EL128" s="9">
        <v>0</v>
      </c>
      <c r="EM128" s="9">
        <v>0</v>
      </c>
      <c r="EN128" s="9">
        <v>0</v>
      </c>
      <c r="EO128" s="9">
        <v>0</v>
      </c>
      <c r="EP128" s="9">
        <v>0</v>
      </c>
      <c r="EQ128" s="9">
        <v>1.171</v>
      </c>
      <c r="ER128" s="9">
        <v>0</v>
      </c>
      <c r="ES128" s="9">
        <v>3.5130000000000003</v>
      </c>
      <c r="ET128" s="9">
        <v>5334</v>
      </c>
      <c r="EU128" s="9">
        <v>84356</v>
      </c>
      <c r="EV128" s="9">
        <v>0</v>
      </c>
      <c r="EW128" s="9">
        <v>0</v>
      </c>
      <c r="EX128" s="9">
        <v>0</v>
      </c>
      <c r="EY128" s="9">
        <v>0</v>
      </c>
      <c r="EZ128" s="9">
        <v>1022604</v>
      </c>
      <c r="FA128" s="9">
        <v>0</v>
      </c>
      <c r="FB128" s="9">
        <v>1106960</v>
      </c>
      <c r="FC128" s="9">
        <v>0.97326799999999991</v>
      </c>
      <c r="FD128" s="9">
        <v>0</v>
      </c>
      <c r="FE128" s="9">
        <v>163587</v>
      </c>
      <c r="FF128" s="9">
        <v>34836</v>
      </c>
      <c r="FG128" s="9">
        <v>5.8088000000000001E-2</v>
      </c>
      <c r="FH128" s="9">
        <v>5.2622999999999996E-2</v>
      </c>
      <c r="FI128" s="9">
        <v>0</v>
      </c>
      <c r="FJ128" s="9">
        <v>0</v>
      </c>
      <c r="FK128" s="9">
        <v>207.19500000000002</v>
      </c>
      <c r="FL128" s="9">
        <v>1333789</v>
      </c>
      <c r="FM128" s="9">
        <v>0</v>
      </c>
      <c r="FN128" s="9">
        <v>0</v>
      </c>
      <c r="FO128" s="9">
        <v>0</v>
      </c>
      <c r="FP128" s="9">
        <v>0</v>
      </c>
      <c r="FQ128" s="9">
        <v>0</v>
      </c>
      <c r="FR128" s="9">
        <v>0</v>
      </c>
      <c r="FS128" s="9">
        <v>0</v>
      </c>
      <c r="FT128" s="9">
        <v>0</v>
      </c>
      <c r="FU128" s="9">
        <v>0</v>
      </c>
      <c r="FV128" s="9">
        <v>0</v>
      </c>
      <c r="FW128" s="9">
        <v>0</v>
      </c>
      <c r="FX128" s="9">
        <v>0</v>
      </c>
      <c r="FY128" s="9">
        <v>0</v>
      </c>
      <c r="FZ128" s="9">
        <v>0</v>
      </c>
      <c r="GA128" s="9">
        <v>0</v>
      </c>
      <c r="GB128" s="9">
        <v>28690</v>
      </c>
      <c r="GC128" s="9">
        <v>28690</v>
      </c>
      <c r="GD128" s="9">
        <v>3.246</v>
      </c>
      <c r="GE128" s="9">
        <v>0</v>
      </c>
      <c r="GF128" s="9">
        <v>0</v>
      </c>
      <c r="GG128" s="9">
        <v>0</v>
      </c>
      <c r="GH128" s="9">
        <v>0</v>
      </c>
      <c r="GI128" s="9">
        <v>0</v>
      </c>
      <c r="GJ128" s="9">
        <v>0</v>
      </c>
      <c r="GK128" s="9">
        <v>5779</v>
      </c>
      <c r="GL128" s="9">
        <v>3597</v>
      </c>
      <c r="GM128" s="9">
        <v>0</v>
      </c>
      <c r="GN128" s="9">
        <v>44710</v>
      </c>
      <c r="GO128" s="9">
        <v>0</v>
      </c>
      <c r="GP128" s="9">
        <v>1305383</v>
      </c>
      <c r="GQ128" s="9">
        <v>1305383</v>
      </c>
      <c r="GR128" s="9">
        <v>0</v>
      </c>
      <c r="GS128" s="9">
        <v>0</v>
      </c>
      <c r="GT128" s="9">
        <v>0</v>
      </c>
      <c r="GU128" s="9">
        <v>0</v>
      </c>
      <c r="GV128" s="9">
        <v>0</v>
      </c>
      <c r="GW128" s="9">
        <v>0</v>
      </c>
      <c r="GX128" s="9">
        <v>0</v>
      </c>
      <c r="GY128" s="9">
        <v>0</v>
      </c>
      <c r="GZ128" s="9">
        <v>0</v>
      </c>
      <c r="HA128" s="9">
        <v>0</v>
      </c>
      <c r="HB128" s="9">
        <v>300501363</v>
      </c>
      <c r="HC128" s="9">
        <v>4.4742999999999998E-2</v>
      </c>
      <c r="HD128" s="9">
        <v>23072</v>
      </c>
      <c r="HE128" s="9">
        <v>0</v>
      </c>
      <c r="HF128" s="9">
        <v>0</v>
      </c>
      <c r="HG128" s="9">
        <v>0</v>
      </c>
      <c r="HH128" s="9">
        <v>0</v>
      </c>
      <c r="HI128" s="9">
        <v>0</v>
      </c>
      <c r="HJ128" s="9">
        <v>0</v>
      </c>
      <c r="HK128" s="9">
        <v>0</v>
      </c>
      <c r="HL128" s="9">
        <v>0</v>
      </c>
      <c r="HM128" s="9">
        <v>0</v>
      </c>
      <c r="HN128" s="9">
        <v>0</v>
      </c>
      <c r="HO128" s="9">
        <v>0</v>
      </c>
      <c r="HP128" s="9">
        <v>0</v>
      </c>
      <c r="HQ128" s="9">
        <v>0</v>
      </c>
      <c r="HR128" s="9">
        <v>0</v>
      </c>
      <c r="HS128" s="9">
        <v>0</v>
      </c>
      <c r="HT128" s="9">
        <v>0</v>
      </c>
      <c r="HU128" s="9">
        <v>0</v>
      </c>
      <c r="HV128" s="9">
        <v>0</v>
      </c>
      <c r="HW128" s="9">
        <v>0</v>
      </c>
      <c r="HX128" s="9">
        <v>0</v>
      </c>
      <c r="HY128" s="9">
        <v>0</v>
      </c>
      <c r="HZ128" s="9">
        <v>0</v>
      </c>
      <c r="IA128" s="9">
        <v>0</v>
      </c>
      <c r="IB128" s="9">
        <v>0</v>
      </c>
      <c r="IC128" s="9">
        <v>0</v>
      </c>
      <c r="ID128" s="9">
        <v>0</v>
      </c>
      <c r="IE128" s="9">
        <v>0</v>
      </c>
      <c r="IF128" s="9">
        <v>0</v>
      </c>
      <c r="IG128" s="9">
        <v>0</v>
      </c>
      <c r="IH128" s="9">
        <v>0</v>
      </c>
      <c r="II128" s="9">
        <v>0</v>
      </c>
      <c r="IJ128" s="9">
        <v>0</v>
      </c>
      <c r="IK128" s="9">
        <v>0</v>
      </c>
      <c r="IL128" s="9">
        <v>0</v>
      </c>
      <c r="IM128" s="9">
        <v>0</v>
      </c>
      <c r="IN128" s="9">
        <v>0</v>
      </c>
      <c r="IO128" s="9">
        <v>0</v>
      </c>
      <c r="IP128" s="9">
        <v>0</v>
      </c>
      <c r="IQ128" s="9">
        <v>0</v>
      </c>
      <c r="IR128" s="9">
        <v>0</v>
      </c>
      <c r="IS128" s="9">
        <v>0</v>
      </c>
      <c r="IT128" s="9">
        <v>0</v>
      </c>
      <c r="IU128" s="9">
        <v>0</v>
      </c>
      <c r="IV128" s="9">
        <v>0</v>
      </c>
      <c r="IW128" s="9">
        <v>0</v>
      </c>
      <c r="IX128" s="9">
        <v>0</v>
      </c>
      <c r="IY128" s="9">
        <v>0</v>
      </c>
      <c r="IZ128" s="9">
        <v>0</v>
      </c>
      <c r="JA128" s="9">
        <v>0</v>
      </c>
      <c r="JB128" s="9">
        <v>0</v>
      </c>
      <c r="JC128" s="9">
        <v>0</v>
      </c>
      <c r="JD128" s="9">
        <v>0</v>
      </c>
      <c r="JE128" s="9">
        <v>0</v>
      </c>
      <c r="JF128" s="9">
        <v>0</v>
      </c>
      <c r="JG128" s="9">
        <v>0</v>
      </c>
      <c r="JH128" s="9">
        <v>0</v>
      </c>
      <c r="JI128" s="9">
        <v>0</v>
      </c>
      <c r="JJ128" s="9">
        <v>0</v>
      </c>
      <c r="JK128" s="9">
        <v>0</v>
      </c>
      <c r="JL128" s="9">
        <v>0</v>
      </c>
      <c r="JM128" s="9">
        <v>0</v>
      </c>
      <c r="JN128" s="9">
        <v>36832</v>
      </c>
      <c r="JO128" s="9">
        <v>0</v>
      </c>
      <c r="JP128" s="9">
        <v>0</v>
      </c>
      <c r="JQ128" s="9">
        <v>0</v>
      </c>
      <c r="JR128" s="9">
        <v>0</v>
      </c>
      <c r="JS128" s="9">
        <v>0</v>
      </c>
      <c r="JT128" s="9">
        <v>0</v>
      </c>
      <c r="JU128" s="9">
        <v>0</v>
      </c>
      <c r="JV128" s="9">
        <v>0</v>
      </c>
      <c r="JW128" s="9">
        <v>0</v>
      </c>
      <c r="JX128" s="9">
        <v>0</v>
      </c>
      <c r="JY128" s="9">
        <v>0</v>
      </c>
      <c r="JZ128" s="9">
        <v>0</v>
      </c>
      <c r="KA128" s="9">
        <v>0</v>
      </c>
      <c r="KB128" s="9">
        <v>0</v>
      </c>
      <c r="KC128" s="9">
        <v>0</v>
      </c>
      <c r="KD128" s="9">
        <v>0</v>
      </c>
      <c r="KE128" s="9">
        <v>0</v>
      </c>
      <c r="KF128" s="9">
        <v>0</v>
      </c>
      <c r="KG128" s="9">
        <v>0</v>
      </c>
      <c r="KH128" s="9">
        <v>0</v>
      </c>
      <c r="KI128" s="9">
        <v>0</v>
      </c>
    </row>
    <row r="129" spans="1:295" x14ac:dyDescent="0.25">
      <c r="A129" s="9">
        <v>105802</v>
      </c>
      <c r="B129" s="9">
        <v>36871</v>
      </c>
      <c r="C129" s="9">
        <v>35</v>
      </c>
      <c r="D129" s="9">
        <v>2023</v>
      </c>
      <c r="E129" s="9">
        <v>5392</v>
      </c>
      <c r="F129" s="9">
        <v>0</v>
      </c>
      <c r="G129" s="9">
        <v>0</v>
      </c>
      <c r="H129" s="9">
        <v>157.81700000000001</v>
      </c>
      <c r="I129" s="9">
        <v>157.81700000000001</v>
      </c>
      <c r="J129" s="9">
        <v>158.13</v>
      </c>
      <c r="K129" s="9">
        <v>0</v>
      </c>
      <c r="L129" s="9">
        <v>6547</v>
      </c>
      <c r="M129" s="9">
        <v>0</v>
      </c>
      <c r="N129" s="9">
        <v>0</v>
      </c>
      <c r="O129" s="9">
        <v>0</v>
      </c>
      <c r="P129" s="9">
        <v>179.64400000000001</v>
      </c>
      <c r="Q129" s="9">
        <v>0</v>
      </c>
      <c r="R129" s="9">
        <v>87473</v>
      </c>
      <c r="S129" s="9">
        <v>486.92200000000003</v>
      </c>
      <c r="T129" s="9">
        <v>0</v>
      </c>
      <c r="U129" s="9">
        <v>87473</v>
      </c>
      <c r="V129" s="9">
        <v>0</v>
      </c>
      <c r="W129" s="9">
        <v>0</v>
      </c>
      <c r="X129" s="9">
        <v>0</v>
      </c>
      <c r="Y129" s="9">
        <v>0</v>
      </c>
      <c r="Z129" s="9">
        <v>0</v>
      </c>
      <c r="AA129" s="9">
        <v>1</v>
      </c>
      <c r="AB129" s="9">
        <v>1</v>
      </c>
      <c r="AC129" s="9">
        <v>0</v>
      </c>
      <c r="AD129" s="9" t="s">
        <v>314</v>
      </c>
      <c r="AE129" s="9">
        <v>0</v>
      </c>
      <c r="AF129" s="9">
        <v>0</v>
      </c>
      <c r="AG129" s="9">
        <v>0</v>
      </c>
      <c r="AH129" s="9">
        <v>0</v>
      </c>
      <c r="AI129" s="9">
        <v>0</v>
      </c>
      <c r="AJ129" s="9">
        <v>5104</v>
      </c>
      <c r="AK129" s="9" t="s">
        <v>651</v>
      </c>
      <c r="AL129" s="9" t="s">
        <v>3</v>
      </c>
      <c r="AM129" s="9">
        <v>0</v>
      </c>
      <c r="AN129" s="9">
        <v>0</v>
      </c>
      <c r="AO129" s="9">
        <v>0</v>
      </c>
      <c r="AP129" s="9">
        <v>0</v>
      </c>
      <c r="AQ129" s="9">
        <v>0</v>
      </c>
      <c r="AR129" s="9">
        <v>0</v>
      </c>
      <c r="AS129" s="9">
        <v>0</v>
      </c>
      <c r="AT129" s="9">
        <v>0</v>
      </c>
      <c r="AU129" s="9">
        <v>0</v>
      </c>
      <c r="AV129" s="9">
        <v>-57551</v>
      </c>
      <c r="AW129" s="9">
        <v>1578963</v>
      </c>
      <c r="AX129" s="9">
        <v>1570109</v>
      </c>
      <c r="AY129" s="9">
        <v>1458564</v>
      </c>
      <c r="AZ129" s="9">
        <v>87473</v>
      </c>
      <c r="BA129" s="9">
        <v>15</v>
      </c>
      <c r="BB129" s="9">
        <v>0</v>
      </c>
      <c r="BC129" s="9">
        <v>0</v>
      </c>
      <c r="BD129" s="9">
        <v>0</v>
      </c>
      <c r="BE129" s="9">
        <v>0</v>
      </c>
      <c r="BF129" s="9">
        <v>1350144</v>
      </c>
      <c r="BG129" s="9">
        <v>0</v>
      </c>
      <c r="BH129" s="9">
        <v>0</v>
      </c>
      <c r="BI129" s="9">
        <v>0</v>
      </c>
      <c r="BJ129" s="9">
        <v>12</v>
      </c>
      <c r="BK129" s="9">
        <v>0</v>
      </c>
      <c r="BL129" s="9">
        <v>0</v>
      </c>
      <c r="BM129" s="9">
        <v>0</v>
      </c>
      <c r="BN129" s="9">
        <v>0</v>
      </c>
      <c r="BO129" s="9">
        <v>0</v>
      </c>
      <c r="BP129" s="9">
        <v>0</v>
      </c>
      <c r="BQ129" s="9">
        <v>5392</v>
      </c>
      <c r="BR129" s="9">
        <v>1</v>
      </c>
      <c r="BS129" s="9">
        <v>0</v>
      </c>
      <c r="BT129" s="9">
        <v>0</v>
      </c>
      <c r="BU129" s="9">
        <v>0</v>
      </c>
      <c r="BV129" s="9">
        <v>0</v>
      </c>
      <c r="BW129" s="9">
        <v>0</v>
      </c>
      <c r="BX129" s="9">
        <v>0</v>
      </c>
      <c r="BY129" s="9">
        <v>0</v>
      </c>
      <c r="BZ129" s="9">
        <v>0</v>
      </c>
      <c r="CA129" s="9">
        <v>0</v>
      </c>
      <c r="CB129" s="9">
        <v>0</v>
      </c>
      <c r="CC129" s="9">
        <v>0</v>
      </c>
      <c r="CD129" s="9">
        <v>0</v>
      </c>
      <c r="CE129" s="9">
        <v>0</v>
      </c>
      <c r="CF129" s="9">
        <v>0</v>
      </c>
      <c r="CG129" s="9">
        <v>0</v>
      </c>
      <c r="CH129" s="9">
        <v>8854</v>
      </c>
      <c r="CI129" s="9">
        <v>0</v>
      </c>
      <c r="CJ129" s="9">
        <v>4</v>
      </c>
      <c r="CK129" s="9">
        <v>0</v>
      </c>
      <c r="CL129" s="9">
        <v>0</v>
      </c>
      <c r="CM129" s="9">
        <v>0</v>
      </c>
      <c r="CN129" s="9">
        <v>0</v>
      </c>
      <c r="CO129" s="9">
        <v>0</v>
      </c>
      <c r="CP129" s="9">
        <v>0</v>
      </c>
      <c r="CQ129" s="9">
        <v>5.4170000000000007</v>
      </c>
      <c r="CR129" s="9">
        <v>173.892</v>
      </c>
      <c r="CS129" s="9">
        <v>0</v>
      </c>
      <c r="CT129" s="9">
        <v>0</v>
      </c>
      <c r="CU129" s="9">
        <v>0</v>
      </c>
      <c r="CV129" s="9">
        <v>0</v>
      </c>
      <c r="CW129" s="9">
        <v>0</v>
      </c>
      <c r="CX129" s="9">
        <v>0</v>
      </c>
      <c r="CY129" s="9">
        <v>0</v>
      </c>
      <c r="CZ129" s="9">
        <v>0</v>
      </c>
      <c r="DA129" s="9">
        <v>1</v>
      </c>
      <c r="DB129" s="9">
        <v>1033228</v>
      </c>
      <c r="DC129" s="9">
        <v>0</v>
      </c>
      <c r="DD129" s="9">
        <v>0</v>
      </c>
      <c r="DE129" s="9">
        <v>258607</v>
      </c>
      <c r="DF129" s="9">
        <v>258607</v>
      </c>
      <c r="DG129" s="9">
        <v>197.5</v>
      </c>
      <c r="DH129" s="9">
        <v>0</v>
      </c>
      <c r="DI129" s="9">
        <v>0</v>
      </c>
      <c r="DJ129" s="9">
        <v>0</v>
      </c>
      <c r="DK129" s="9">
        <v>5392</v>
      </c>
      <c r="DL129" s="9">
        <v>0</v>
      </c>
      <c r="DM129" s="9">
        <v>95392</v>
      </c>
      <c r="DN129" s="9">
        <v>0</v>
      </c>
      <c r="DO129" s="9">
        <v>0</v>
      </c>
      <c r="DP129" s="9">
        <v>0</v>
      </c>
      <c r="DQ129" s="9">
        <v>0</v>
      </c>
      <c r="DR129" s="9">
        <v>0</v>
      </c>
      <c r="DS129" s="9">
        <v>0</v>
      </c>
      <c r="DT129" s="9">
        <v>0</v>
      </c>
      <c r="DU129" s="9">
        <v>0</v>
      </c>
      <c r="DV129" s="9">
        <v>0</v>
      </c>
      <c r="DW129" s="9">
        <v>0</v>
      </c>
      <c r="DX129" s="9">
        <v>0</v>
      </c>
      <c r="DY129" s="9">
        <v>0</v>
      </c>
      <c r="DZ129" s="9">
        <v>0</v>
      </c>
      <c r="EA129" s="9">
        <v>0</v>
      </c>
      <c r="EB129" s="9">
        <v>0</v>
      </c>
      <c r="EC129" s="9">
        <v>11.823</v>
      </c>
      <c r="ED129" s="9">
        <v>85146</v>
      </c>
      <c r="EE129" s="9">
        <v>0</v>
      </c>
      <c r="EF129" s="9">
        <v>0</v>
      </c>
      <c r="EG129" s="9">
        <v>0</v>
      </c>
      <c r="EH129" s="9">
        <v>10246</v>
      </c>
      <c r="EI129" s="9">
        <v>0</v>
      </c>
      <c r="EJ129" s="9">
        <v>0</v>
      </c>
      <c r="EK129" s="9">
        <v>0</v>
      </c>
      <c r="EL129" s="9">
        <v>0</v>
      </c>
      <c r="EM129" s="9">
        <v>0</v>
      </c>
      <c r="EN129" s="9">
        <v>0.313</v>
      </c>
      <c r="EO129" s="9">
        <v>0</v>
      </c>
      <c r="EP129" s="9">
        <v>0</v>
      </c>
      <c r="EQ129" s="9">
        <v>0.313</v>
      </c>
      <c r="ER129" s="9">
        <v>0</v>
      </c>
      <c r="ES129" s="9">
        <v>1.5650000000000002</v>
      </c>
      <c r="ET129" s="9">
        <v>8854</v>
      </c>
      <c r="EU129" s="9">
        <v>87473</v>
      </c>
      <c r="EV129" s="9">
        <v>0</v>
      </c>
      <c r="EW129" s="9">
        <v>0</v>
      </c>
      <c r="EX129" s="9">
        <v>0</v>
      </c>
      <c r="EY129" s="9">
        <v>0</v>
      </c>
      <c r="EZ129" s="9">
        <v>1316768</v>
      </c>
      <c r="FA129" s="9">
        <v>0</v>
      </c>
      <c r="FB129" s="9">
        <v>1404241</v>
      </c>
      <c r="FC129" s="9">
        <v>0.97326799999999991</v>
      </c>
      <c r="FD129" s="9">
        <v>0</v>
      </c>
      <c r="FE129" s="9">
        <v>208864</v>
      </c>
      <c r="FF129" s="9">
        <v>44477</v>
      </c>
      <c r="FG129" s="9">
        <v>5.8088000000000001E-2</v>
      </c>
      <c r="FH129" s="9">
        <v>5.2622999999999996E-2</v>
      </c>
      <c r="FI129" s="9">
        <v>0</v>
      </c>
      <c r="FJ129" s="9">
        <v>0</v>
      </c>
      <c r="FK129" s="9">
        <v>264.541</v>
      </c>
      <c r="FL129" s="9">
        <v>1666436</v>
      </c>
      <c r="FM129" s="9">
        <v>0</v>
      </c>
      <c r="FN129" s="9">
        <v>0</v>
      </c>
      <c r="FO129" s="9">
        <v>17014</v>
      </c>
      <c r="FP129" s="9">
        <v>0</v>
      </c>
      <c r="FQ129" s="9">
        <v>17014</v>
      </c>
      <c r="FR129" s="9">
        <v>17014</v>
      </c>
      <c r="FS129" s="9">
        <v>0</v>
      </c>
      <c r="FT129" s="9">
        <v>0</v>
      </c>
      <c r="FU129" s="9">
        <v>0</v>
      </c>
      <c r="FV129" s="9">
        <v>0</v>
      </c>
      <c r="FW129" s="9">
        <v>0</v>
      </c>
      <c r="FX129" s="9">
        <v>0</v>
      </c>
      <c r="FY129" s="9">
        <v>0</v>
      </c>
      <c r="FZ129" s="9">
        <v>0</v>
      </c>
      <c r="GA129" s="9">
        <v>0</v>
      </c>
      <c r="GB129" s="9">
        <v>0</v>
      </c>
      <c r="GC129" s="9">
        <v>0</v>
      </c>
      <c r="GD129" s="9">
        <v>0</v>
      </c>
      <c r="GE129" s="9">
        <v>0</v>
      </c>
      <c r="GF129" s="9">
        <v>0</v>
      </c>
      <c r="GG129" s="9">
        <v>0</v>
      </c>
      <c r="GH129" s="9">
        <v>0</v>
      </c>
      <c r="GI129" s="9">
        <v>0</v>
      </c>
      <c r="GJ129" s="9">
        <v>0</v>
      </c>
      <c r="GK129" s="9">
        <v>5083</v>
      </c>
      <c r="GL129" s="9">
        <v>2925</v>
      </c>
      <c r="GM129" s="9">
        <v>0</v>
      </c>
      <c r="GN129" s="9">
        <v>0</v>
      </c>
      <c r="GO129" s="9">
        <v>0</v>
      </c>
      <c r="GP129" s="9">
        <v>1657582</v>
      </c>
      <c r="GQ129" s="9">
        <v>1657582</v>
      </c>
      <c r="GR129" s="9">
        <v>0</v>
      </c>
      <c r="GS129" s="9">
        <v>0</v>
      </c>
      <c r="GT129" s="9">
        <v>0</v>
      </c>
      <c r="GU129" s="9">
        <v>0</v>
      </c>
      <c r="GV129" s="9">
        <v>0</v>
      </c>
      <c r="GW129" s="9">
        <v>0</v>
      </c>
      <c r="GX129" s="9">
        <v>0</v>
      </c>
      <c r="GY129" s="9">
        <v>0</v>
      </c>
      <c r="GZ129" s="9">
        <v>0</v>
      </c>
      <c r="HA129" s="9">
        <v>0</v>
      </c>
      <c r="HB129" s="9">
        <v>0</v>
      </c>
      <c r="HC129" s="9">
        <v>0</v>
      </c>
      <c r="HD129" s="9">
        <v>0</v>
      </c>
      <c r="HE129" s="9">
        <v>0</v>
      </c>
      <c r="HF129" s="9">
        <v>0</v>
      </c>
      <c r="HG129" s="9">
        <v>0</v>
      </c>
      <c r="HH129" s="9">
        <v>0</v>
      </c>
      <c r="HI129" s="9">
        <v>0</v>
      </c>
      <c r="HJ129" s="9">
        <v>0</v>
      </c>
      <c r="HK129" s="9">
        <v>0</v>
      </c>
      <c r="HL129" s="9">
        <v>0</v>
      </c>
      <c r="HM129" s="9">
        <v>0</v>
      </c>
      <c r="HN129" s="9">
        <v>0</v>
      </c>
      <c r="HO129" s="9">
        <v>0</v>
      </c>
      <c r="HP129" s="9">
        <v>0</v>
      </c>
      <c r="HQ129" s="9">
        <v>0</v>
      </c>
      <c r="HR129" s="9">
        <v>0</v>
      </c>
      <c r="HS129" s="9">
        <v>0</v>
      </c>
      <c r="HT129" s="9">
        <v>0</v>
      </c>
      <c r="HU129" s="9">
        <v>0</v>
      </c>
      <c r="HV129" s="9">
        <v>0</v>
      </c>
      <c r="HW129" s="9">
        <v>0</v>
      </c>
      <c r="HX129" s="9">
        <v>0</v>
      </c>
      <c r="HY129" s="9">
        <v>0</v>
      </c>
      <c r="HZ129" s="9">
        <v>0</v>
      </c>
      <c r="IA129" s="9">
        <v>0</v>
      </c>
      <c r="IB129" s="9">
        <v>0</v>
      </c>
      <c r="IC129" s="9">
        <v>0</v>
      </c>
      <c r="ID129" s="9">
        <v>0</v>
      </c>
      <c r="IE129" s="9">
        <v>0</v>
      </c>
      <c r="IF129" s="9">
        <v>0</v>
      </c>
      <c r="IG129" s="9">
        <v>0</v>
      </c>
      <c r="IH129" s="9">
        <v>0</v>
      </c>
      <c r="II129" s="9">
        <v>0</v>
      </c>
      <c r="IJ129" s="9">
        <v>0</v>
      </c>
      <c r="IK129" s="9">
        <v>0</v>
      </c>
      <c r="IL129" s="9">
        <v>0</v>
      </c>
      <c r="IM129" s="9">
        <v>0</v>
      </c>
      <c r="IN129" s="9">
        <v>0</v>
      </c>
      <c r="IO129" s="9">
        <v>0</v>
      </c>
      <c r="IP129" s="9">
        <v>0</v>
      </c>
      <c r="IQ129" s="9">
        <v>0</v>
      </c>
      <c r="IR129" s="9">
        <v>0</v>
      </c>
      <c r="IS129" s="9">
        <v>0</v>
      </c>
      <c r="IT129" s="9">
        <v>0</v>
      </c>
      <c r="IU129" s="9">
        <v>0</v>
      </c>
      <c r="IV129" s="9">
        <v>0</v>
      </c>
      <c r="IW129" s="9">
        <v>0</v>
      </c>
      <c r="IX129" s="9">
        <v>0</v>
      </c>
      <c r="IY129" s="9">
        <v>0</v>
      </c>
      <c r="IZ129" s="9">
        <v>0</v>
      </c>
      <c r="JA129" s="9">
        <v>0</v>
      </c>
      <c r="JB129" s="9">
        <v>0</v>
      </c>
      <c r="JC129" s="9">
        <v>0</v>
      </c>
      <c r="JD129" s="9">
        <v>0</v>
      </c>
      <c r="JE129" s="9">
        <v>0</v>
      </c>
      <c r="JF129" s="9">
        <v>0</v>
      </c>
      <c r="JG129" s="9">
        <v>0</v>
      </c>
      <c r="JH129" s="9">
        <v>0</v>
      </c>
      <c r="JI129" s="9">
        <v>0</v>
      </c>
      <c r="JJ129" s="9">
        <v>0</v>
      </c>
      <c r="JK129" s="9">
        <v>0</v>
      </c>
      <c r="JL129" s="9">
        <v>0</v>
      </c>
      <c r="JM129" s="9">
        <v>0</v>
      </c>
      <c r="JN129" s="9">
        <v>36832</v>
      </c>
      <c r="JO129" s="9">
        <v>0</v>
      </c>
      <c r="JP129" s="9">
        <v>0</v>
      </c>
      <c r="JQ129" s="9">
        <v>0</v>
      </c>
      <c r="JR129" s="9">
        <v>0</v>
      </c>
      <c r="JS129" s="9">
        <v>0</v>
      </c>
      <c r="JT129" s="9">
        <v>0</v>
      </c>
      <c r="JU129" s="9">
        <v>0</v>
      </c>
      <c r="JV129" s="9">
        <v>0</v>
      </c>
      <c r="JW129" s="9">
        <v>0</v>
      </c>
      <c r="JX129" s="9">
        <v>0</v>
      </c>
      <c r="JY129" s="9">
        <v>0</v>
      </c>
      <c r="JZ129" s="9">
        <v>0</v>
      </c>
      <c r="KA129" s="9">
        <v>0</v>
      </c>
      <c r="KB129" s="9">
        <v>0</v>
      </c>
      <c r="KC129" s="9">
        <v>0</v>
      </c>
      <c r="KD129" s="9">
        <v>0</v>
      </c>
      <c r="KE129" s="9">
        <v>0</v>
      </c>
      <c r="KF129" s="9">
        <v>0</v>
      </c>
      <c r="KG129" s="9">
        <v>0</v>
      </c>
      <c r="KH129" s="9">
        <v>0</v>
      </c>
      <c r="KI129" s="9">
        <v>0</v>
      </c>
    </row>
    <row r="130" spans="1:295" x14ac:dyDescent="0.25">
      <c r="A130" s="9">
        <v>105803</v>
      </c>
      <c r="B130" s="9">
        <v>36871</v>
      </c>
      <c r="C130" s="9">
        <v>35</v>
      </c>
      <c r="D130" s="9">
        <v>2023</v>
      </c>
      <c r="E130" s="9">
        <v>5392</v>
      </c>
      <c r="F130" s="9">
        <v>0</v>
      </c>
      <c r="G130" s="9">
        <v>0</v>
      </c>
      <c r="H130" s="9">
        <v>168.23699999999999</v>
      </c>
      <c r="I130" s="9">
        <v>168.23699999999999</v>
      </c>
      <c r="J130" s="9">
        <v>270.36599999999999</v>
      </c>
      <c r="K130" s="9">
        <v>0</v>
      </c>
      <c r="L130" s="9">
        <v>6547</v>
      </c>
      <c r="M130" s="9">
        <v>0</v>
      </c>
      <c r="N130" s="9">
        <v>0</v>
      </c>
      <c r="O130" s="9">
        <v>0</v>
      </c>
      <c r="P130" s="9">
        <v>181.41900000000001</v>
      </c>
      <c r="Q130" s="9">
        <v>0</v>
      </c>
      <c r="R130" s="9">
        <v>88337</v>
      </c>
      <c r="S130" s="9">
        <v>486.92200000000003</v>
      </c>
      <c r="T130" s="9">
        <v>0</v>
      </c>
      <c r="U130" s="9">
        <v>88337</v>
      </c>
      <c r="V130" s="9">
        <v>0.28600000000000003</v>
      </c>
      <c r="W130" s="9">
        <v>187</v>
      </c>
      <c r="X130" s="9">
        <v>187</v>
      </c>
      <c r="Y130" s="9">
        <v>0</v>
      </c>
      <c r="Z130" s="9">
        <v>0</v>
      </c>
      <c r="AA130" s="9">
        <v>1</v>
      </c>
      <c r="AB130" s="9">
        <v>1</v>
      </c>
      <c r="AC130" s="9">
        <v>0</v>
      </c>
      <c r="AD130" s="9" t="s">
        <v>314</v>
      </c>
      <c r="AE130" s="9">
        <v>0</v>
      </c>
      <c r="AF130" s="9">
        <v>0</v>
      </c>
      <c r="AG130" s="9">
        <v>0</v>
      </c>
      <c r="AH130" s="9">
        <v>0</v>
      </c>
      <c r="AI130" s="9">
        <v>0</v>
      </c>
      <c r="AJ130" s="9">
        <v>5104</v>
      </c>
      <c r="AK130" s="9" t="s">
        <v>651</v>
      </c>
      <c r="AL130" s="9" t="s">
        <v>369</v>
      </c>
      <c r="AM130" s="9">
        <v>0</v>
      </c>
      <c r="AN130" s="9">
        <v>0</v>
      </c>
      <c r="AO130" s="9">
        <v>0</v>
      </c>
      <c r="AP130" s="9">
        <v>0</v>
      </c>
      <c r="AQ130" s="9">
        <v>0</v>
      </c>
      <c r="AR130" s="9">
        <v>0</v>
      </c>
      <c r="AS130" s="9">
        <v>0</v>
      </c>
      <c r="AT130" s="9">
        <v>0</v>
      </c>
      <c r="AU130" s="9">
        <v>0</v>
      </c>
      <c r="AV130" s="9">
        <v>-85</v>
      </c>
      <c r="AW130" s="9">
        <v>4660112</v>
      </c>
      <c r="AX130" s="9">
        <v>4579474</v>
      </c>
      <c r="AY130" s="9">
        <v>4715432</v>
      </c>
      <c r="AZ130" s="9">
        <v>121313</v>
      </c>
      <c r="BA130" s="9">
        <v>0</v>
      </c>
      <c r="BB130" s="9">
        <v>0</v>
      </c>
      <c r="BC130" s="9">
        <v>0</v>
      </c>
      <c r="BD130" s="9">
        <v>0</v>
      </c>
      <c r="BE130" s="9">
        <v>0</v>
      </c>
      <c r="BF130" s="9">
        <v>3841484</v>
      </c>
      <c r="BG130" s="9">
        <v>0</v>
      </c>
      <c r="BH130" s="9">
        <v>119.914</v>
      </c>
      <c r="BI130" s="9">
        <v>32976</v>
      </c>
      <c r="BJ130" s="9">
        <v>12</v>
      </c>
      <c r="BK130" s="9">
        <v>0</v>
      </c>
      <c r="BL130" s="9">
        <v>0</v>
      </c>
      <c r="BM130" s="9">
        <v>0</v>
      </c>
      <c r="BN130" s="9">
        <v>0</v>
      </c>
      <c r="BO130" s="9">
        <v>0</v>
      </c>
      <c r="BP130" s="9">
        <v>0</v>
      </c>
      <c r="BQ130" s="9">
        <v>5392</v>
      </c>
      <c r="BR130" s="9">
        <v>1</v>
      </c>
      <c r="BS130" s="9">
        <v>0</v>
      </c>
      <c r="BT130" s="9">
        <v>0</v>
      </c>
      <c r="BU130" s="9">
        <v>0</v>
      </c>
      <c r="BV130" s="9">
        <v>0</v>
      </c>
      <c r="BW130" s="9">
        <v>0</v>
      </c>
      <c r="BX130" s="9">
        <v>0</v>
      </c>
      <c r="BY130" s="9">
        <v>0</v>
      </c>
      <c r="BZ130" s="9">
        <v>0</v>
      </c>
      <c r="CA130" s="9">
        <v>0</v>
      </c>
      <c r="CB130" s="9">
        <v>0</v>
      </c>
      <c r="CC130" s="9">
        <v>0</v>
      </c>
      <c r="CD130" s="9">
        <v>0</v>
      </c>
      <c r="CE130" s="9">
        <v>0</v>
      </c>
      <c r="CF130" s="9">
        <v>0</v>
      </c>
      <c r="CG130" s="9">
        <v>0</v>
      </c>
      <c r="CH130" s="9">
        <v>47662</v>
      </c>
      <c r="CI130" s="9">
        <v>0</v>
      </c>
      <c r="CJ130" s="9">
        <v>4</v>
      </c>
      <c r="CK130" s="9">
        <v>0</v>
      </c>
      <c r="CL130" s="9">
        <v>0</v>
      </c>
      <c r="CM130" s="9">
        <v>0</v>
      </c>
      <c r="CN130" s="9">
        <v>0</v>
      </c>
      <c r="CO130" s="9">
        <v>0</v>
      </c>
      <c r="CP130" s="9">
        <v>0</v>
      </c>
      <c r="CQ130" s="9">
        <v>0</v>
      </c>
      <c r="CR130" s="9">
        <v>178.90600000000001</v>
      </c>
      <c r="CS130" s="9">
        <v>0</v>
      </c>
      <c r="CT130" s="9">
        <v>0</v>
      </c>
      <c r="CU130" s="9">
        <v>0</v>
      </c>
      <c r="CV130" s="9">
        <v>0</v>
      </c>
      <c r="CW130" s="9">
        <v>0</v>
      </c>
      <c r="CX130" s="9">
        <v>0</v>
      </c>
      <c r="CY130" s="9">
        <v>0</v>
      </c>
      <c r="CZ130" s="9">
        <v>0</v>
      </c>
      <c r="DA130" s="9">
        <v>1</v>
      </c>
      <c r="DB130" s="9">
        <v>1101448</v>
      </c>
      <c r="DC130" s="9">
        <v>0</v>
      </c>
      <c r="DD130" s="9">
        <v>0</v>
      </c>
      <c r="DE130" s="9">
        <v>268427</v>
      </c>
      <c r="DF130" s="9">
        <v>268427</v>
      </c>
      <c r="DG130" s="9">
        <v>205</v>
      </c>
      <c r="DH130" s="9">
        <v>0</v>
      </c>
      <c r="DI130" s="9">
        <v>0</v>
      </c>
      <c r="DJ130" s="9">
        <v>0</v>
      </c>
      <c r="DK130" s="9">
        <v>5392</v>
      </c>
      <c r="DL130" s="9">
        <v>0</v>
      </c>
      <c r="DM130" s="9">
        <v>2516902</v>
      </c>
      <c r="DN130" s="9">
        <v>0</v>
      </c>
      <c r="DO130" s="9">
        <v>0</v>
      </c>
      <c r="DP130" s="9">
        <v>0</v>
      </c>
      <c r="DQ130" s="9">
        <v>0</v>
      </c>
      <c r="DR130" s="9">
        <v>0</v>
      </c>
      <c r="DS130" s="9">
        <v>0</v>
      </c>
      <c r="DT130" s="9">
        <v>0</v>
      </c>
      <c r="DU130" s="9">
        <v>0</v>
      </c>
      <c r="DV130" s="9">
        <v>0</v>
      </c>
      <c r="DW130" s="9">
        <v>0</v>
      </c>
      <c r="DX130" s="9">
        <v>0</v>
      </c>
      <c r="DY130" s="9">
        <v>0</v>
      </c>
      <c r="DZ130" s="9">
        <v>0</v>
      </c>
      <c r="EA130" s="9">
        <v>4.0000000000000001E-3</v>
      </c>
      <c r="EB130" s="9">
        <v>0</v>
      </c>
      <c r="EC130" s="9">
        <v>3.4390000000000001</v>
      </c>
      <c r="ED130" s="9">
        <v>24767</v>
      </c>
      <c r="EE130" s="9">
        <v>0</v>
      </c>
      <c r="EF130" s="9">
        <v>0</v>
      </c>
      <c r="EG130" s="9">
        <v>0</v>
      </c>
      <c r="EH130" s="9">
        <v>71945</v>
      </c>
      <c r="EI130" s="9">
        <v>2420190</v>
      </c>
      <c r="EJ130" s="9">
        <v>92.416000000000011</v>
      </c>
      <c r="EK130" s="9">
        <v>1.8080000000000001</v>
      </c>
      <c r="EL130" s="9">
        <v>0</v>
      </c>
      <c r="EM130" s="9">
        <v>0</v>
      </c>
      <c r="EN130" s="9">
        <v>1.109</v>
      </c>
      <c r="EO130" s="9">
        <v>0</v>
      </c>
      <c r="EP130" s="9">
        <v>0</v>
      </c>
      <c r="EQ130" s="9">
        <v>95.337000000000003</v>
      </c>
      <c r="ER130" s="9">
        <v>0</v>
      </c>
      <c r="ES130" s="9">
        <v>10.989000000000001</v>
      </c>
      <c r="ET130" s="9">
        <v>0</v>
      </c>
      <c r="EU130" s="9">
        <v>121313</v>
      </c>
      <c r="EV130" s="9">
        <v>0</v>
      </c>
      <c r="EW130" s="9">
        <v>0</v>
      </c>
      <c r="EX130" s="9">
        <v>0</v>
      </c>
      <c r="EY130" s="9">
        <v>0</v>
      </c>
      <c r="EZ130" s="9">
        <v>3858658</v>
      </c>
      <c r="FA130" s="9">
        <v>0</v>
      </c>
      <c r="FB130" s="9">
        <v>3979971</v>
      </c>
      <c r="FC130" s="9">
        <v>0.97326799999999991</v>
      </c>
      <c r="FD130" s="9">
        <v>0</v>
      </c>
      <c r="FE130" s="9">
        <v>594267</v>
      </c>
      <c r="FF130" s="9">
        <v>126549</v>
      </c>
      <c r="FG130" s="9">
        <v>5.8088000000000001E-2</v>
      </c>
      <c r="FH130" s="9">
        <v>5.2622999999999996E-2</v>
      </c>
      <c r="FI130" s="9">
        <v>0</v>
      </c>
      <c r="FJ130" s="9">
        <v>0</v>
      </c>
      <c r="FK130" s="9">
        <v>752.68299999999999</v>
      </c>
      <c r="FL130" s="9">
        <v>4748449</v>
      </c>
      <c r="FM130" s="9">
        <v>0</v>
      </c>
      <c r="FN130" s="9">
        <v>0</v>
      </c>
      <c r="FO130" s="9">
        <v>0</v>
      </c>
      <c r="FP130" s="9">
        <v>0</v>
      </c>
      <c r="FQ130" s="9">
        <v>0</v>
      </c>
      <c r="FR130" s="9">
        <v>0</v>
      </c>
      <c r="FS130" s="9">
        <v>0</v>
      </c>
      <c r="FT130" s="9">
        <v>0</v>
      </c>
      <c r="FU130" s="9">
        <v>0</v>
      </c>
      <c r="FV130" s="9">
        <v>0</v>
      </c>
      <c r="FW130" s="9">
        <v>0</v>
      </c>
      <c r="FX130" s="9">
        <v>0</v>
      </c>
      <c r="FY130" s="9">
        <v>0</v>
      </c>
      <c r="FZ130" s="9">
        <v>0</v>
      </c>
      <c r="GA130" s="9">
        <v>0</v>
      </c>
      <c r="GB130" s="9">
        <v>60031</v>
      </c>
      <c r="GC130" s="9">
        <v>60031</v>
      </c>
      <c r="GD130" s="9">
        <v>6.7920000000000007</v>
      </c>
      <c r="GE130" s="9">
        <v>0</v>
      </c>
      <c r="GF130" s="9">
        <v>0</v>
      </c>
      <c r="GG130" s="9">
        <v>0</v>
      </c>
      <c r="GH130" s="9">
        <v>0</v>
      </c>
      <c r="GI130" s="9">
        <v>0</v>
      </c>
      <c r="GJ130" s="9">
        <v>0</v>
      </c>
      <c r="GK130" s="9">
        <v>0</v>
      </c>
      <c r="GL130" s="9">
        <v>0</v>
      </c>
      <c r="GM130" s="9">
        <v>0</v>
      </c>
      <c r="GN130" s="9">
        <v>0</v>
      </c>
      <c r="GO130" s="9">
        <v>0</v>
      </c>
      <c r="GP130" s="9">
        <v>4700787</v>
      </c>
      <c r="GQ130" s="9">
        <v>4700787</v>
      </c>
      <c r="GR130" s="9">
        <v>0</v>
      </c>
      <c r="GS130" s="9">
        <v>0</v>
      </c>
      <c r="GT130" s="9">
        <v>0</v>
      </c>
      <c r="GU130" s="9">
        <v>0</v>
      </c>
      <c r="GV130" s="9">
        <v>0</v>
      </c>
      <c r="GW130" s="9">
        <v>0</v>
      </c>
      <c r="GX130" s="9">
        <v>0</v>
      </c>
      <c r="GY130" s="9">
        <v>0</v>
      </c>
      <c r="GZ130" s="9">
        <v>0</v>
      </c>
      <c r="HA130" s="9">
        <v>0</v>
      </c>
      <c r="HB130" s="9">
        <v>300501363</v>
      </c>
      <c r="HC130" s="9">
        <v>4.4742999999999998E-2</v>
      </c>
      <c r="HD130" s="9">
        <v>47662</v>
      </c>
      <c r="HE130" s="9">
        <v>0</v>
      </c>
      <c r="HF130" s="9">
        <v>0</v>
      </c>
      <c r="HG130" s="9">
        <v>0</v>
      </c>
      <c r="HH130" s="9">
        <v>0</v>
      </c>
      <c r="HI130" s="9">
        <v>0</v>
      </c>
      <c r="HJ130" s="9">
        <v>0</v>
      </c>
      <c r="HK130" s="9">
        <v>0</v>
      </c>
      <c r="HL130" s="9">
        <v>0</v>
      </c>
      <c r="HM130" s="9">
        <v>0</v>
      </c>
      <c r="HN130" s="9">
        <v>0</v>
      </c>
      <c r="HO130" s="9">
        <v>0</v>
      </c>
      <c r="HP130" s="9">
        <v>0</v>
      </c>
      <c r="HQ130" s="9">
        <v>0</v>
      </c>
      <c r="HR130" s="9">
        <v>0</v>
      </c>
      <c r="HS130" s="9">
        <v>0</v>
      </c>
      <c r="HT130" s="9">
        <v>0</v>
      </c>
      <c r="HU130" s="9">
        <v>0</v>
      </c>
      <c r="HV130" s="9">
        <v>0</v>
      </c>
      <c r="HW130" s="9">
        <v>0</v>
      </c>
      <c r="HX130" s="9">
        <v>0</v>
      </c>
      <c r="HY130" s="9">
        <v>0</v>
      </c>
      <c r="HZ130" s="9">
        <v>0</v>
      </c>
      <c r="IA130" s="9">
        <v>0</v>
      </c>
      <c r="IB130" s="9">
        <v>0</v>
      </c>
      <c r="IC130" s="9">
        <v>0</v>
      </c>
      <c r="ID130" s="9">
        <v>0</v>
      </c>
      <c r="IE130" s="9">
        <v>0</v>
      </c>
      <c r="IF130" s="9">
        <v>0</v>
      </c>
      <c r="IG130" s="9">
        <v>0</v>
      </c>
      <c r="IH130" s="9">
        <v>0</v>
      </c>
      <c r="II130" s="9">
        <v>0</v>
      </c>
      <c r="IJ130" s="9">
        <v>0</v>
      </c>
      <c r="IK130" s="9">
        <v>0</v>
      </c>
      <c r="IL130" s="9">
        <v>0</v>
      </c>
      <c r="IM130" s="9">
        <v>0</v>
      </c>
      <c r="IN130" s="9">
        <v>0</v>
      </c>
      <c r="IO130" s="9">
        <v>0</v>
      </c>
      <c r="IP130" s="9">
        <v>0</v>
      </c>
      <c r="IQ130" s="9">
        <v>0</v>
      </c>
      <c r="IR130" s="9">
        <v>0</v>
      </c>
      <c r="IS130" s="9">
        <v>0</v>
      </c>
      <c r="IT130" s="9">
        <v>0</v>
      </c>
      <c r="IU130" s="9">
        <v>0</v>
      </c>
      <c r="IV130" s="9">
        <v>0</v>
      </c>
      <c r="IW130" s="9">
        <v>0</v>
      </c>
      <c r="IX130" s="9">
        <v>0</v>
      </c>
      <c r="IY130" s="9">
        <v>0</v>
      </c>
      <c r="IZ130" s="9">
        <v>0</v>
      </c>
      <c r="JA130" s="9">
        <v>0</v>
      </c>
      <c r="JB130" s="9">
        <v>0</v>
      </c>
      <c r="JC130" s="9">
        <v>0</v>
      </c>
      <c r="JD130" s="9">
        <v>0</v>
      </c>
      <c r="JE130" s="9">
        <v>0</v>
      </c>
      <c r="JF130" s="9">
        <v>0</v>
      </c>
      <c r="JG130" s="9">
        <v>0</v>
      </c>
      <c r="JH130" s="9">
        <v>0</v>
      </c>
      <c r="JI130" s="9">
        <v>0</v>
      </c>
      <c r="JJ130" s="9">
        <v>0</v>
      </c>
      <c r="JK130" s="9">
        <v>0</v>
      </c>
      <c r="JL130" s="9">
        <v>0</v>
      </c>
      <c r="JM130" s="9">
        <v>0</v>
      </c>
      <c r="JN130" s="9">
        <v>36832</v>
      </c>
      <c r="JO130" s="9">
        <v>0</v>
      </c>
      <c r="JP130" s="9">
        <v>0</v>
      </c>
      <c r="JQ130" s="9">
        <v>0</v>
      </c>
      <c r="JR130" s="9">
        <v>0</v>
      </c>
      <c r="JS130" s="9">
        <v>0</v>
      </c>
      <c r="JT130" s="9">
        <v>0</v>
      </c>
      <c r="JU130" s="9">
        <v>0</v>
      </c>
      <c r="JV130" s="9">
        <v>0</v>
      </c>
      <c r="JW130" s="9">
        <v>0</v>
      </c>
      <c r="JX130" s="9">
        <v>0</v>
      </c>
      <c r="JY130" s="9">
        <v>0</v>
      </c>
      <c r="JZ130" s="9">
        <v>0</v>
      </c>
      <c r="KA130" s="9">
        <v>0</v>
      </c>
      <c r="KB130" s="9">
        <v>0</v>
      </c>
      <c r="KC130" s="9">
        <v>0</v>
      </c>
      <c r="KD130" s="9">
        <v>0</v>
      </c>
      <c r="KE130" s="9">
        <v>0</v>
      </c>
      <c r="KF130" s="9">
        <v>0</v>
      </c>
      <c r="KG130" s="9">
        <v>0</v>
      </c>
      <c r="KH130" s="9">
        <v>0</v>
      </c>
      <c r="KI130" s="9">
        <v>0</v>
      </c>
    </row>
    <row r="131" spans="1:295" ht="13" x14ac:dyDescent="0.3">
      <c r="A131" s="9">
        <v>105804</v>
      </c>
      <c r="B131" s="9">
        <v>0</v>
      </c>
      <c r="C131" s="9">
        <v>0</v>
      </c>
      <c r="D131" s="9">
        <v>0</v>
      </c>
      <c r="E131" s="9">
        <v>0</v>
      </c>
      <c r="F131" s="9">
        <v>0</v>
      </c>
      <c r="G131" s="9">
        <v>0</v>
      </c>
      <c r="H131" s="9">
        <v>0</v>
      </c>
      <c r="I131" s="9">
        <v>0</v>
      </c>
      <c r="J131" s="9">
        <v>0</v>
      </c>
      <c r="K131" s="9">
        <v>0</v>
      </c>
      <c r="L131" s="9">
        <v>0</v>
      </c>
      <c r="M131" s="9">
        <v>0</v>
      </c>
      <c r="N131" s="9">
        <v>0</v>
      </c>
      <c r="O131" s="9">
        <v>0</v>
      </c>
      <c r="P131" s="9">
        <v>0</v>
      </c>
      <c r="Q131" s="9">
        <v>0</v>
      </c>
      <c r="R131" s="10">
        <v>0</v>
      </c>
      <c r="S131" s="9">
        <v>0</v>
      </c>
      <c r="T131" s="9">
        <v>0</v>
      </c>
      <c r="U131" s="10">
        <v>0</v>
      </c>
      <c r="V131" s="10">
        <v>0</v>
      </c>
      <c r="W131" s="10">
        <v>0</v>
      </c>
      <c r="X131" s="10">
        <v>0</v>
      </c>
      <c r="Y131" s="9">
        <v>0</v>
      </c>
      <c r="Z131" s="9">
        <v>0</v>
      </c>
      <c r="AA131" s="9">
        <v>0</v>
      </c>
      <c r="AB131" s="9">
        <v>0</v>
      </c>
      <c r="AC131" s="9">
        <v>0</v>
      </c>
      <c r="AD131" s="9">
        <v>0</v>
      </c>
      <c r="AE131" s="9">
        <v>0</v>
      </c>
      <c r="AF131" s="9">
        <v>0</v>
      </c>
      <c r="AG131" s="9">
        <v>0</v>
      </c>
      <c r="AH131" s="9">
        <v>0</v>
      </c>
      <c r="AI131" s="9">
        <v>0</v>
      </c>
      <c r="AJ131" s="9">
        <v>0</v>
      </c>
      <c r="AK131" s="9">
        <v>0</v>
      </c>
      <c r="AL131" s="9">
        <v>0</v>
      </c>
      <c r="AM131" s="9">
        <v>0</v>
      </c>
      <c r="AN131" s="9">
        <v>0</v>
      </c>
      <c r="AO131" s="9">
        <v>0</v>
      </c>
      <c r="AP131" s="9">
        <v>0</v>
      </c>
      <c r="AQ131" s="9">
        <v>0</v>
      </c>
      <c r="AR131" s="9">
        <v>0</v>
      </c>
      <c r="AS131" s="9">
        <v>0</v>
      </c>
      <c r="AT131" s="9">
        <v>0</v>
      </c>
      <c r="AU131" s="9">
        <v>0</v>
      </c>
      <c r="AV131" s="9">
        <v>0</v>
      </c>
      <c r="AW131" s="9">
        <v>0</v>
      </c>
      <c r="AX131" s="9">
        <v>0</v>
      </c>
      <c r="AY131" s="9">
        <v>0</v>
      </c>
      <c r="AZ131" s="9">
        <v>0</v>
      </c>
      <c r="BA131" s="10">
        <v>0</v>
      </c>
      <c r="BB131" s="9">
        <v>0</v>
      </c>
      <c r="BC131" s="9">
        <v>0</v>
      </c>
      <c r="BD131" s="9">
        <v>0</v>
      </c>
      <c r="BE131" s="9">
        <v>0</v>
      </c>
      <c r="BF131" s="9">
        <v>0</v>
      </c>
      <c r="BG131" s="9">
        <v>0</v>
      </c>
      <c r="BH131" s="10">
        <v>0</v>
      </c>
      <c r="BI131" s="10">
        <v>0</v>
      </c>
      <c r="BJ131" s="9">
        <v>0</v>
      </c>
      <c r="BK131" s="9">
        <v>0</v>
      </c>
      <c r="BL131" s="9">
        <v>0</v>
      </c>
      <c r="BM131" s="9">
        <v>0</v>
      </c>
      <c r="BN131" s="9">
        <v>0</v>
      </c>
      <c r="BO131" s="9">
        <v>0</v>
      </c>
      <c r="BP131" s="9">
        <v>0</v>
      </c>
      <c r="BQ131" s="9">
        <v>0</v>
      </c>
      <c r="BR131" s="9">
        <v>0</v>
      </c>
      <c r="BS131" s="9">
        <v>0</v>
      </c>
      <c r="BT131" s="9">
        <v>0</v>
      </c>
      <c r="BU131" s="9">
        <v>0</v>
      </c>
      <c r="BV131" s="9">
        <v>0</v>
      </c>
      <c r="BW131" s="9">
        <v>0</v>
      </c>
      <c r="BX131" s="9">
        <v>0</v>
      </c>
      <c r="BY131" s="9">
        <v>0</v>
      </c>
      <c r="BZ131" s="9">
        <v>0</v>
      </c>
      <c r="CA131" s="9">
        <v>0</v>
      </c>
      <c r="CB131" s="9">
        <v>0</v>
      </c>
      <c r="CC131" s="9">
        <v>0</v>
      </c>
      <c r="CD131" s="9">
        <v>0</v>
      </c>
      <c r="CE131" s="9">
        <v>0</v>
      </c>
      <c r="CF131" s="9">
        <v>0</v>
      </c>
      <c r="CG131" s="9">
        <v>0</v>
      </c>
      <c r="CH131" s="10">
        <v>0</v>
      </c>
      <c r="CI131" s="9">
        <v>0</v>
      </c>
      <c r="CJ131" s="9">
        <v>0</v>
      </c>
      <c r="CK131" s="9">
        <v>0</v>
      </c>
      <c r="CL131" s="9">
        <v>0</v>
      </c>
      <c r="CM131" s="9">
        <v>0</v>
      </c>
      <c r="CN131" s="9">
        <v>0</v>
      </c>
      <c r="CO131" s="9">
        <v>0</v>
      </c>
      <c r="CP131" s="9">
        <v>0</v>
      </c>
      <c r="CQ131" s="9">
        <v>0</v>
      </c>
      <c r="CR131" s="9">
        <v>0</v>
      </c>
      <c r="CS131" s="9">
        <v>0</v>
      </c>
      <c r="CT131" s="9">
        <v>0</v>
      </c>
      <c r="CU131" s="9">
        <v>0</v>
      </c>
      <c r="CV131" s="9">
        <v>0</v>
      </c>
      <c r="CW131" s="9">
        <v>0</v>
      </c>
      <c r="CX131" s="9">
        <v>0</v>
      </c>
      <c r="CY131" s="9">
        <v>0</v>
      </c>
      <c r="CZ131" s="9">
        <v>0</v>
      </c>
      <c r="DA131" s="9">
        <v>0</v>
      </c>
      <c r="DB131" s="9">
        <v>0</v>
      </c>
      <c r="DC131" s="9">
        <v>0</v>
      </c>
      <c r="DD131" s="9">
        <v>0</v>
      </c>
      <c r="DE131" s="9">
        <v>0</v>
      </c>
      <c r="DF131" s="9">
        <v>0</v>
      </c>
      <c r="DG131" s="9">
        <v>0</v>
      </c>
      <c r="DH131" s="9">
        <v>0</v>
      </c>
      <c r="DI131" s="9">
        <v>0</v>
      </c>
      <c r="DJ131" s="9">
        <v>0</v>
      </c>
      <c r="DK131" s="9">
        <v>0</v>
      </c>
      <c r="DL131" s="9">
        <v>0</v>
      </c>
      <c r="DM131" s="9">
        <v>0</v>
      </c>
      <c r="DN131" s="9">
        <v>0</v>
      </c>
      <c r="DO131" s="9">
        <v>0</v>
      </c>
      <c r="DP131" s="9">
        <v>0</v>
      </c>
      <c r="DQ131" s="9">
        <v>0</v>
      </c>
      <c r="DR131" s="9">
        <v>0</v>
      </c>
      <c r="DS131" s="9">
        <v>0</v>
      </c>
      <c r="DT131" s="9">
        <v>0</v>
      </c>
      <c r="DU131" s="9">
        <v>0</v>
      </c>
      <c r="DV131" s="9">
        <v>0</v>
      </c>
      <c r="DW131" s="9">
        <v>0</v>
      </c>
      <c r="DX131" s="9">
        <v>0</v>
      </c>
      <c r="DY131" s="9">
        <v>0</v>
      </c>
      <c r="DZ131" s="9">
        <v>0</v>
      </c>
      <c r="EA131" s="9">
        <v>0</v>
      </c>
      <c r="EB131" s="9">
        <v>0</v>
      </c>
      <c r="EC131" s="9">
        <v>0</v>
      </c>
      <c r="ED131" s="9">
        <v>0</v>
      </c>
      <c r="EE131" s="9">
        <v>0</v>
      </c>
      <c r="EF131" s="9">
        <v>0</v>
      </c>
      <c r="EG131" s="9">
        <v>0</v>
      </c>
      <c r="EH131" s="9">
        <v>0</v>
      </c>
      <c r="EI131" s="9">
        <v>0</v>
      </c>
      <c r="EJ131" s="9">
        <v>0</v>
      </c>
      <c r="EK131" s="9">
        <v>0</v>
      </c>
      <c r="EL131" s="9">
        <v>0</v>
      </c>
      <c r="EM131" s="9">
        <v>0</v>
      </c>
      <c r="EN131" s="9">
        <v>0</v>
      </c>
      <c r="EO131" s="9">
        <v>0</v>
      </c>
      <c r="EP131" s="9">
        <v>0</v>
      </c>
      <c r="EQ131" s="9">
        <v>0</v>
      </c>
      <c r="ER131" s="9">
        <v>0</v>
      </c>
      <c r="ES131" s="9">
        <v>0</v>
      </c>
      <c r="ET131" s="10">
        <v>0</v>
      </c>
      <c r="EU131" s="9">
        <v>0</v>
      </c>
      <c r="EV131" s="9">
        <v>0</v>
      </c>
      <c r="EW131" s="9">
        <v>0</v>
      </c>
      <c r="EX131" s="9">
        <v>0</v>
      </c>
      <c r="EY131" s="9">
        <v>0</v>
      </c>
      <c r="EZ131" s="9">
        <v>0</v>
      </c>
      <c r="FA131" s="9">
        <v>0</v>
      </c>
      <c r="FB131" s="10">
        <v>0</v>
      </c>
      <c r="FC131" s="9">
        <v>0</v>
      </c>
      <c r="FD131" s="9">
        <v>0</v>
      </c>
      <c r="FE131" s="9">
        <v>0</v>
      </c>
      <c r="FF131" s="9">
        <v>0</v>
      </c>
      <c r="FG131" s="9">
        <v>0</v>
      </c>
      <c r="FH131" s="9">
        <v>0</v>
      </c>
      <c r="FI131" s="9">
        <v>0</v>
      </c>
      <c r="FJ131" s="9">
        <v>0</v>
      </c>
      <c r="FK131" s="9">
        <v>0</v>
      </c>
      <c r="FL131" s="9">
        <v>0</v>
      </c>
      <c r="FM131" s="9">
        <v>0</v>
      </c>
      <c r="FN131" s="9">
        <v>0</v>
      </c>
      <c r="FO131" s="9">
        <v>0</v>
      </c>
      <c r="FP131" s="9">
        <v>0</v>
      </c>
      <c r="FQ131" s="9">
        <v>0</v>
      </c>
      <c r="FR131" s="9">
        <v>0</v>
      </c>
      <c r="FS131" s="9">
        <v>0</v>
      </c>
      <c r="FT131" s="9">
        <v>0</v>
      </c>
      <c r="FU131" s="9">
        <v>0</v>
      </c>
      <c r="FV131" s="9">
        <v>0</v>
      </c>
      <c r="FW131" s="9">
        <v>0</v>
      </c>
      <c r="FX131" s="9">
        <v>0</v>
      </c>
      <c r="FY131" s="9">
        <v>0</v>
      </c>
      <c r="FZ131" s="9">
        <v>0</v>
      </c>
      <c r="GA131" s="9">
        <v>0</v>
      </c>
      <c r="GB131" s="10">
        <v>0</v>
      </c>
      <c r="GC131" s="10">
        <v>0</v>
      </c>
      <c r="GD131" s="10">
        <v>0</v>
      </c>
      <c r="GE131" s="9">
        <v>0</v>
      </c>
      <c r="GF131" s="9">
        <v>0</v>
      </c>
      <c r="GG131" s="9">
        <v>0</v>
      </c>
      <c r="GH131" s="9">
        <v>0</v>
      </c>
      <c r="GI131" s="9">
        <v>0</v>
      </c>
      <c r="GJ131" s="9">
        <v>0</v>
      </c>
      <c r="GK131" s="9">
        <v>0</v>
      </c>
      <c r="GL131" s="9">
        <v>0</v>
      </c>
      <c r="GM131" s="9">
        <v>0</v>
      </c>
      <c r="GN131" s="9">
        <v>0</v>
      </c>
      <c r="GO131" s="9">
        <v>0</v>
      </c>
      <c r="GP131" s="9">
        <v>0</v>
      </c>
      <c r="GQ131" s="9">
        <v>0</v>
      </c>
      <c r="GR131" s="9">
        <v>0</v>
      </c>
      <c r="GS131" s="9">
        <v>0</v>
      </c>
      <c r="GT131" s="9">
        <v>0</v>
      </c>
      <c r="GU131" s="9">
        <v>0</v>
      </c>
      <c r="GV131" s="9">
        <v>0</v>
      </c>
      <c r="GW131" s="9">
        <v>0</v>
      </c>
      <c r="GX131" s="9">
        <v>0</v>
      </c>
      <c r="GY131" s="9">
        <v>0</v>
      </c>
      <c r="GZ131" s="9">
        <v>0</v>
      </c>
      <c r="HA131" s="9">
        <v>0</v>
      </c>
      <c r="HB131" s="9">
        <v>0</v>
      </c>
      <c r="HC131" s="9">
        <v>0</v>
      </c>
      <c r="HD131" s="10">
        <v>0</v>
      </c>
      <c r="HE131" s="9">
        <v>0</v>
      </c>
      <c r="HF131" s="9">
        <v>0</v>
      </c>
      <c r="HG131" s="9">
        <v>0</v>
      </c>
      <c r="HH131" s="9">
        <v>0</v>
      </c>
      <c r="HI131" s="9">
        <v>0</v>
      </c>
      <c r="HJ131" s="9">
        <v>0</v>
      </c>
      <c r="HK131" s="9">
        <v>0</v>
      </c>
      <c r="HL131" s="9">
        <v>0</v>
      </c>
      <c r="HM131" s="9">
        <v>0</v>
      </c>
      <c r="HN131" s="9">
        <v>0</v>
      </c>
      <c r="HO131" s="9">
        <v>0</v>
      </c>
      <c r="HP131" s="9">
        <v>0</v>
      </c>
      <c r="HQ131" s="9">
        <v>0</v>
      </c>
      <c r="HR131" s="9">
        <v>0</v>
      </c>
      <c r="HS131" s="9">
        <v>0</v>
      </c>
      <c r="HT131" s="9">
        <v>0</v>
      </c>
      <c r="HU131" s="9">
        <v>0</v>
      </c>
      <c r="HV131" s="9">
        <v>0</v>
      </c>
      <c r="HW131" s="9">
        <v>0</v>
      </c>
      <c r="HX131" s="9">
        <v>0</v>
      </c>
      <c r="HY131" s="9">
        <v>0</v>
      </c>
      <c r="HZ131" s="9">
        <v>0</v>
      </c>
      <c r="IA131" s="9">
        <v>0</v>
      </c>
      <c r="IB131" s="9">
        <v>0</v>
      </c>
      <c r="IC131" s="9">
        <v>0</v>
      </c>
      <c r="ID131" s="9">
        <v>0</v>
      </c>
      <c r="IE131" s="9">
        <v>0</v>
      </c>
      <c r="IF131" s="9">
        <v>0</v>
      </c>
      <c r="IG131" s="9">
        <v>0</v>
      </c>
      <c r="IH131" s="9">
        <v>0</v>
      </c>
      <c r="II131" s="9">
        <v>0</v>
      </c>
      <c r="IJ131" s="9">
        <v>0</v>
      </c>
      <c r="IK131" s="9">
        <v>0</v>
      </c>
      <c r="IL131" s="9">
        <v>0</v>
      </c>
      <c r="IM131" s="9">
        <v>0</v>
      </c>
      <c r="IN131" s="9">
        <v>0</v>
      </c>
      <c r="IO131" s="9">
        <v>0</v>
      </c>
      <c r="IP131" s="9">
        <v>0</v>
      </c>
      <c r="IQ131" s="9">
        <v>0</v>
      </c>
      <c r="IR131" s="9">
        <v>0</v>
      </c>
      <c r="IS131" s="9">
        <v>0</v>
      </c>
      <c r="IT131" s="9">
        <v>0</v>
      </c>
      <c r="IU131" s="9">
        <v>0</v>
      </c>
      <c r="IV131" s="9">
        <v>0</v>
      </c>
      <c r="IW131" s="9">
        <v>0</v>
      </c>
      <c r="IX131" s="9">
        <v>0</v>
      </c>
      <c r="IY131" s="9">
        <v>0</v>
      </c>
      <c r="IZ131" s="9">
        <v>0</v>
      </c>
      <c r="JA131" s="9">
        <v>0</v>
      </c>
      <c r="JB131" s="9">
        <v>0</v>
      </c>
      <c r="JC131" s="9">
        <v>0</v>
      </c>
      <c r="JD131" s="9">
        <v>0</v>
      </c>
      <c r="JE131" s="9">
        <v>0</v>
      </c>
      <c r="JF131" s="9">
        <v>0</v>
      </c>
      <c r="JG131" s="9">
        <v>0</v>
      </c>
      <c r="JH131" s="9">
        <v>0</v>
      </c>
      <c r="JI131" s="9">
        <v>0</v>
      </c>
      <c r="JJ131" s="9">
        <v>0</v>
      </c>
      <c r="JK131" s="9">
        <v>0</v>
      </c>
      <c r="JL131" s="9">
        <v>0</v>
      </c>
      <c r="JM131" s="9">
        <v>0</v>
      </c>
      <c r="JN131" s="9">
        <v>0</v>
      </c>
      <c r="JO131" s="9">
        <v>0</v>
      </c>
      <c r="JP131" s="9">
        <v>0</v>
      </c>
      <c r="JQ131" s="9">
        <v>0</v>
      </c>
      <c r="JR131" s="9">
        <v>0</v>
      </c>
      <c r="JS131" s="9">
        <v>0</v>
      </c>
      <c r="JT131" s="9">
        <v>0</v>
      </c>
      <c r="JU131" s="9">
        <v>0</v>
      </c>
      <c r="JV131" s="9">
        <v>0</v>
      </c>
      <c r="JW131" s="9">
        <v>0</v>
      </c>
      <c r="JX131" s="9">
        <v>0</v>
      </c>
      <c r="JY131" s="9">
        <v>0</v>
      </c>
      <c r="JZ131" s="9">
        <v>0</v>
      </c>
      <c r="KA131" s="9">
        <v>0</v>
      </c>
      <c r="KB131" s="9">
        <v>0</v>
      </c>
      <c r="KC131" s="9">
        <v>0</v>
      </c>
      <c r="KD131" s="9">
        <v>0</v>
      </c>
      <c r="KE131" s="9">
        <v>0</v>
      </c>
      <c r="KF131" s="9">
        <v>0</v>
      </c>
      <c r="KG131" s="9">
        <v>0</v>
      </c>
      <c r="KH131" s="9">
        <v>0</v>
      </c>
      <c r="KI131" s="9">
        <v>0</v>
      </c>
    </row>
    <row r="132" spans="1:295" x14ac:dyDescent="0.25">
      <c r="A132" s="9">
        <v>108802</v>
      </c>
      <c r="B132" s="9">
        <v>36871</v>
      </c>
      <c r="C132" s="9">
        <v>35</v>
      </c>
      <c r="D132" s="9">
        <v>2023</v>
      </c>
      <c r="E132" s="9">
        <v>5392</v>
      </c>
      <c r="F132" s="9">
        <v>0</v>
      </c>
      <c r="G132" s="9">
        <v>0</v>
      </c>
      <c r="H132" s="9">
        <v>1030.21</v>
      </c>
      <c r="I132" s="9">
        <v>1030.21</v>
      </c>
      <c r="J132" s="9">
        <v>1045.7150000000001</v>
      </c>
      <c r="K132" s="9">
        <v>0</v>
      </c>
      <c r="L132" s="9">
        <v>6547</v>
      </c>
      <c r="M132" s="9">
        <v>0</v>
      </c>
      <c r="N132" s="9">
        <v>0</v>
      </c>
      <c r="O132" s="9">
        <v>0</v>
      </c>
      <c r="P132" s="9">
        <v>951.55400000000009</v>
      </c>
      <c r="Q132" s="9">
        <v>0</v>
      </c>
      <c r="R132" s="9">
        <v>463333</v>
      </c>
      <c r="S132" s="9">
        <v>486.92200000000003</v>
      </c>
      <c r="T132" s="9">
        <v>0</v>
      </c>
      <c r="U132" s="9">
        <v>463333</v>
      </c>
      <c r="V132" s="9">
        <v>318.16500000000002</v>
      </c>
      <c r="W132" s="9">
        <v>208303</v>
      </c>
      <c r="X132" s="9">
        <v>208303</v>
      </c>
      <c r="Y132" s="9">
        <v>0</v>
      </c>
      <c r="Z132" s="9">
        <v>0</v>
      </c>
      <c r="AA132" s="9">
        <v>1</v>
      </c>
      <c r="AB132" s="9">
        <v>1</v>
      </c>
      <c r="AC132" s="9">
        <v>0</v>
      </c>
      <c r="AD132" s="9" t="s">
        <v>314</v>
      </c>
      <c r="AE132" s="9">
        <v>0</v>
      </c>
      <c r="AF132" s="9">
        <v>0</v>
      </c>
      <c r="AG132" s="9">
        <v>0</v>
      </c>
      <c r="AH132" s="9">
        <v>0</v>
      </c>
      <c r="AI132" s="9">
        <v>0</v>
      </c>
      <c r="AJ132" s="9">
        <v>5104</v>
      </c>
      <c r="AK132" s="9" t="s">
        <v>651</v>
      </c>
      <c r="AL132" s="9" t="s">
        <v>352</v>
      </c>
      <c r="AM132" s="9">
        <v>0</v>
      </c>
      <c r="AN132" s="9">
        <v>0</v>
      </c>
      <c r="AO132" s="9">
        <v>0</v>
      </c>
      <c r="AP132" s="9">
        <v>0</v>
      </c>
      <c r="AQ132" s="9">
        <v>0</v>
      </c>
      <c r="AR132" s="9">
        <v>0</v>
      </c>
      <c r="AS132" s="9">
        <v>0</v>
      </c>
      <c r="AT132" s="9">
        <v>0</v>
      </c>
      <c r="AU132" s="9">
        <v>0</v>
      </c>
      <c r="AV132" s="9">
        <v>-346655</v>
      </c>
      <c r="AW132" s="9">
        <v>10428615</v>
      </c>
      <c r="AX132" s="9">
        <v>10080265</v>
      </c>
      <c r="AY132" s="9">
        <v>10604615</v>
      </c>
      <c r="AZ132" s="9">
        <v>572212</v>
      </c>
      <c r="BA132" s="9">
        <v>107.417</v>
      </c>
      <c r="BB132" s="9">
        <v>35354</v>
      </c>
      <c r="BC132" s="9">
        <v>35354</v>
      </c>
      <c r="BD132" s="9">
        <v>45</v>
      </c>
      <c r="BE132" s="9">
        <v>0</v>
      </c>
      <c r="BF132" s="9">
        <v>8677099</v>
      </c>
      <c r="BG132" s="9">
        <v>0</v>
      </c>
      <c r="BH132" s="9">
        <v>0</v>
      </c>
      <c r="BI132" s="9">
        <v>0</v>
      </c>
      <c r="BJ132" s="9">
        <v>12</v>
      </c>
      <c r="BK132" s="9">
        <v>0</v>
      </c>
      <c r="BL132" s="9">
        <v>0</v>
      </c>
      <c r="BM132" s="9">
        <v>0</v>
      </c>
      <c r="BN132" s="9">
        <v>0</v>
      </c>
      <c r="BO132" s="9">
        <v>0</v>
      </c>
      <c r="BP132" s="9">
        <v>0</v>
      </c>
      <c r="BQ132" s="9">
        <v>5392</v>
      </c>
      <c r="BR132" s="9">
        <v>1</v>
      </c>
      <c r="BS132" s="9">
        <v>0</v>
      </c>
      <c r="BT132" s="9">
        <v>0</v>
      </c>
      <c r="BU132" s="9">
        <v>0</v>
      </c>
      <c r="BV132" s="9">
        <v>0</v>
      </c>
      <c r="BW132" s="9">
        <v>0</v>
      </c>
      <c r="BX132" s="9">
        <v>0</v>
      </c>
      <c r="BY132" s="9">
        <v>0</v>
      </c>
      <c r="BZ132" s="9">
        <v>0</v>
      </c>
      <c r="CA132" s="9">
        <v>108.879</v>
      </c>
      <c r="CB132" s="9">
        <v>108879</v>
      </c>
      <c r="CC132" s="9">
        <v>0</v>
      </c>
      <c r="CD132" s="9">
        <v>0</v>
      </c>
      <c r="CE132" s="9">
        <v>0</v>
      </c>
      <c r="CF132" s="9">
        <v>0</v>
      </c>
      <c r="CG132" s="9">
        <v>0</v>
      </c>
      <c r="CH132" s="9">
        <v>239471</v>
      </c>
      <c r="CI132" s="9">
        <v>0</v>
      </c>
      <c r="CJ132" s="9">
        <v>4</v>
      </c>
      <c r="CK132" s="9">
        <v>0</v>
      </c>
      <c r="CL132" s="9">
        <v>0</v>
      </c>
      <c r="CM132" s="9">
        <v>0</v>
      </c>
      <c r="CN132" s="9">
        <v>0</v>
      </c>
      <c r="CO132" s="9">
        <v>0</v>
      </c>
      <c r="CP132" s="9">
        <v>0</v>
      </c>
      <c r="CQ132" s="9">
        <v>5.6670000000000007</v>
      </c>
      <c r="CR132" s="9">
        <v>917.06500000000005</v>
      </c>
      <c r="CS132" s="9">
        <v>0</v>
      </c>
      <c r="CT132" s="9">
        <v>0</v>
      </c>
      <c r="CU132" s="9">
        <v>0</v>
      </c>
      <c r="CV132" s="9">
        <v>0</v>
      </c>
      <c r="CW132" s="9">
        <v>0</v>
      </c>
      <c r="CX132" s="9">
        <v>0</v>
      </c>
      <c r="CY132" s="9">
        <v>0</v>
      </c>
      <c r="CZ132" s="9">
        <v>0</v>
      </c>
      <c r="DA132" s="9">
        <v>1</v>
      </c>
      <c r="DB132" s="9">
        <v>6744785</v>
      </c>
      <c r="DC132" s="9">
        <v>0</v>
      </c>
      <c r="DD132" s="9">
        <v>0</v>
      </c>
      <c r="DE132" s="9">
        <v>1425937</v>
      </c>
      <c r="DF132" s="9">
        <v>1425937</v>
      </c>
      <c r="DG132" s="9">
        <v>1089</v>
      </c>
      <c r="DH132" s="9">
        <v>0</v>
      </c>
      <c r="DI132" s="9">
        <v>0</v>
      </c>
      <c r="DJ132" s="9">
        <v>0</v>
      </c>
      <c r="DK132" s="9">
        <v>5392</v>
      </c>
      <c r="DL132" s="9">
        <v>0</v>
      </c>
      <c r="DM132" s="9">
        <v>501048</v>
      </c>
      <c r="DN132" s="9">
        <v>0</v>
      </c>
      <c r="DO132" s="9">
        <v>0</v>
      </c>
      <c r="DP132" s="9">
        <v>0</v>
      </c>
      <c r="DQ132" s="9">
        <v>0</v>
      </c>
      <c r="DR132" s="9">
        <v>0</v>
      </c>
      <c r="DS132" s="9">
        <v>0</v>
      </c>
      <c r="DT132" s="9">
        <v>0</v>
      </c>
      <c r="DU132" s="9">
        <v>0</v>
      </c>
      <c r="DV132" s="9">
        <v>0</v>
      </c>
      <c r="DW132" s="9">
        <v>0</v>
      </c>
      <c r="DX132" s="9">
        <v>0</v>
      </c>
      <c r="DY132" s="9">
        <v>0</v>
      </c>
      <c r="DZ132" s="9">
        <v>0</v>
      </c>
      <c r="EA132" s="9">
        <v>0</v>
      </c>
      <c r="EB132" s="9">
        <v>0</v>
      </c>
      <c r="EC132" s="9">
        <v>24.118000000000002</v>
      </c>
      <c r="ED132" s="9">
        <v>173691</v>
      </c>
      <c r="EE132" s="9">
        <v>0</v>
      </c>
      <c r="EF132" s="9">
        <v>0</v>
      </c>
      <c r="EG132" s="9">
        <v>0</v>
      </c>
      <c r="EH132" s="9">
        <v>327357</v>
      </c>
      <c r="EI132" s="9">
        <v>0</v>
      </c>
      <c r="EJ132" s="9">
        <v>0</v>
      </c>
      <c r="EK132" s="9">
        <v>13.762</v>
      </c>
      <c r="EL132" s="9">
        <v>0</v>
      </c>
      <c r="EM132" s="9">
        <v>0</v>
      </c>
      <c r="EN132" s="9">
        <v>1.7430000000000001</v>
      </c>
      <c r="EO132" s="9">
        <v>0</v>
      </c>
      <c r="EP132" s="9">
        <v>0</v>
      </c>
      <c r="EQ132" s="9">
        <v>15.505000000000001</v>
      </c>
      <c r="ER132" s="9">
        <v>0</v>
      </c>
      <c r="ES132" s="9">
        <v>50.001000000000005</v>
      </c>
      <c r="ET132" s="9">
        <v>55125</v>
      </c>
      <c r="EU132" s="9">
        <v>572212</v>
      </c>
      <c r="EV132" s="9">
        <v>0</v>
      </c>
      <c r="EW132" s="9">
        <v>0</v>
      </c>
      <c r="EX132" s="9">
        <v>0</v>
      </c>
      <c r="EY132" s="9">
        <v>0</v>
      </c>
      <c r="EZ132" s="9">
        <v>8452094</v>
      </c>
      <c r="FA132" s="9">
        <v>0</v>
      </c>
      <c r="FB132" s="9">
        <v>9024306</v>
      </c>
      <c r="FC132" s="9">
        <v>0.97326799999999991</v>
      </c>
      <c r="FD132" s="9">
        <v>0</v>
      </c>
      <c r="FE132" s="9">
        <v>1342324</v>
      </c>
      <c r="FF132" s="9">
        <v>285847</v>
      </c>
      <c r="FG132" s="9">
        <v>5.8088000000000001E-2</v>
      </c>
      <c r="FH132" s="9">
        <v>5.2622999999999996E-2</v>
      </c>
      <c r="FI132" s="9">
        <v>0</v>
      </c>
      <c r="FJ132" s="9">
        <v>0</v>
      </c>
      <c r="FK132" s="9">
        <v>1700.1510000000001</v>
      </c>
      <c r="FL132" s="9">
        <v>10891948</v>
      </c>
      <c r="FM132" s="9">
        <v>0</v>
      </c>
      <c r="FN132" s="9">
        <v>0</v>
      </c>
      <c r="FO132" s="9">
        <v>0</v>
      </c>
      <c r="FP132" s="9">
        <v>0</v>
      </c>
      <c r="FQ132" s="9">
        <v>0</v>
      </c>
      <c r="FR132" s="9">
        <v>0</v>
      </c>
      <c r="FS132" s="9">
        <v>0</v>
      </c>
      <c r="FT132" s="9">
        <v>0</v>
      </c>
      <c r="FU132" s="9">
        <v>0</v>
      </c>
      <c r="FV132" s="9">
        <v>0</v>
      </c>
      <c r="FW132" s="9">
        <v>0</v>
      </c>
      <c r="FX132" s="9">
        <v>0</v>
      </c>
      <c r="FY132" s="9">
        <v>0</v>
      </c>
      <c r="FZ132" s="9">
        <v>0</v>
      </c>
      <c r="GA132" s="9">
        <v>0</v>
      </c>
      <c r="GB132" s="9">
        <v>0</v>
      </c>
      <c r="GC132" s="9">
        <v>0</v>
      </c>
      <c r="GD132" s="9">
        <v>0</v>
      </c>
      <c r="GE132" s="9">
        <v>0</v>
      </c>
      <c r="GF132" s="9">
        <v>0</v>
      </c>
      <c r="GG132" s="9">
        <v>0</v>
      </c>
      <c r="GH132" s="9">
        <v>0</v>
      </c>
      <c r="GI132" s="9">
        <v>0</v>
      </c>
      <c r="GJ132" s="9">
        <v>0</v>
      </c>
      <c r="GK132" s="9">
        <v>4978</v>
      </c>
      <c r="GL132" s="9">
        <v>16256</v>
      </c>
      <c r="GM132" s="9">
        <v>0</v>
      </c>
      <c r="GN132" s="9">
        <v>0</v>
      </c>
      <c r="GO132" s="9">
        <v>0</v>
      </c>
      <c r="GP132" s="9">
        <v>10652477</v>
      </c>
      <c r="GQ132" s="9">
        <v>10652477</v>
      </c>
      <c r="GR132" s="9">
        <v>0</v>
      </c>
      <c r="GS132" s="9">
        <v>0</v>
      </c>
      <c r="GT132" s="9">
        <v>0</v>
      </c>
      <c r="GU132" s="9">
        <v>0</v>
      </c>
      <c r="GV132" s="9">
        <v>0</v>
      </c>
      <c r="GW132" s="9">
        <v>0</v>
      </c>
      <c r="GX132" s="9">
        <v>0</v>
      </c>
      <c r="GY132" s="9">
        <v>0</v>
      </c>
      <c r="GZ132" s="9">
        <v>0</v>
      </c>
      <c r="HA132" s="9">
        <v>0</v>
      </c>
      <c r="HB132" s="9">
        <v>300501363</v>
      </c>
      <c r="HC132" s="9">
        <v>4.4742999999999998E-2</v>
      </c>
      <c r="HD132" s="9">
        <v>184346</v>
      </c>
      <c r="HE132" s="9">
        <v>0</v>
      </c>
      <c r="HF132" s="9">
        <v>0</v>
      </c>
      <c r="HG132" s="9">
        <v>0</v>
      </c>
      <c r="HH132" s="9">
        <v>0</v>
      </c>
      <c r="HI132" s="9">
        <v>0</v>
      </c>
      <c r="HJ132" s="9">
        <v>0</v>
      </c>
      <c r="HK132" s="9">
        <v>0</v>
      </c>
      <c r="HL132" s="9">
        <v>0</v>
      </c>
      <c r="HM132" s="9">
        <v>0</v>
      </c>
      <c r="HN132" s="9">
        <v>0</v>
      </c>
      <c r="HO132" s="9">
        <v>0</v>
      </c>
      <c r="HP132" s="9">
        <v>0</v>
      </c>
      <c r="HQ132" s="9">
        <v>0</v>
      </c>
      <c r="HR132" s="9">
        <v>0</v>
      </c>
      <c r="HS132" s="9">
        <v>0</v>
      </c>
      <c r="HT132" s="9">
        <v>0</v>
      </c>
      <c r="HU132" s="9">
        <v>0</v>
      </c>
      <c r="HV132" s="9">
        <v>0</v>
      </c>
      <c r="HW132" s="9">
        <v>0</v>
      </c>
      <c r="HX132" s="9">
        <v>0</v>
      </c>
      <c r="HY132" s="9">
        <v>0</v>
      </c>
      <c r="HZ132" s="9">
        <v>0</v>
      </c>
      <c r="IA132" s="9">
        <v>0</v>
      </c>
      <c r="IB132" s="9">
        <v>0</v>
      </c>
      <c r="IC132" s="9">
        <v>0</v>
      </c>
      <c r="ID132" s="9">
        <v>0</v>
      </c>
      <c r="IE132" s="9">
        <v>0</v>
      </c>
      <c r="IF132" s="9">
        <v>0</v>
      </c>
      <c r="IG132" s="9">
        <v>0</v>
      </c>
      <c r="IH132" s="9">
        <v>0</v>
      </c>
      <c r="II132" s="9">
        <v>0</v>
      </c>
      <c r="IJ132" s="9">
        <v>0</v>
      </c>
      <c r="IK132" s="9">
        <v>0</v>
      </c>
      <c r="IL132" s="9">
        <v>0</v>
      </c>
      <c r="IM132" s="9">
        <v>0</v>
      </c>
      <c r="IN132" s="9">
        <v>0</v>
      </c>
      <c r="IO132" s="9">
        <v>0</v>
      </c>
      <c r="IP132" s="9">
        <v>0</v>
      </c>
      <c r="IQ132" s="9">
        <v>0</v>
      </c>
      <c r="IR132" s="9">
        <v>0</v>
      </c>
      <c r="IS132" s="9">
        <v>0</v>
      </c>
      <c r="IT132" s="9">
        <v>0</v>
      </c>
      <c r="IU132" s="9">
        <v>0</v>
      </c>
      <c r="IV132" s="9">
        <v>0</v>
      </c>
      <c r="IW132" s="9">
        <v>0</v>
      </c>
      <c r="IX132" s="9">
        <v>0</v>
      </c>
      <c r="IY132" s="9">
        <v>0</v>
      </c>
      <c r="IZ132" s="9">
        <v>0</v>
      </c>
      <c r="JA132" s="9">
        <v>0</v>
      </c>
      <c r="JB132" s="9">
        <v>0</v>
      </c>
      <c r="JC132" s="9">
        <v>0</v>
      </c>
      <c r="JD132" s="9">
        <v>0</v>
      </c>
      <c r="JE132" s="9">
        <v>0</v>
      </c>
      <c r="JF132" s="9">
        <v>0</v>
      </c>
      <c r="JG132" s="9">
        <v>0</v>
      </c>
      <c r="JH132" s="9">
        <v>0</v>
      </c>
      <c r="JI132" s="9">
        <v>0</v>
      </c>
      <c r="JJ132" s="9">
        <v>0</v>
      </c>
      <c r="JK132" s="9">
        <v>0</v>
      </c>
      <c r="JL132" s="9">
        <v>0</v>
      </c>
      <c r="JM132" s="9">
        <v>0</v>
      </c>
      <c r="JN132" s="9">
        <v>36832</v>
      </c>
      <c r="JO132" s="9">
        <v>0</v>
      </c>
      <c r="JP132" s="9">
        <v>0</v>
      </c>
      <c r="JQ132" s="9">
        <v>0</v>
      </c>
      <c r="JR132" s="9">
        <v>0</v>
      </c>
      <c r="JS132" s="9">
        <v>0</v>
      </c>
      <c r="JT132" s="9">
        <v>0</v>
      </c>
      <c r="JU132" s="9">
        <v>0</v>
      </c>
      <c r="JV132" s="9">
        <v>0</v>
      </c>
      <c r="JW132" s="9">
        <v>0</v>
      </c>
      <c r="JX132" s="9">
        <v>0</v>
      </c>
      <c r="JY132" s="9">
        <v>0</v>
      </c>
      <c r="JZ132" s="9">
        <v>0</v>
      </c>
      <c r="KA132" s="9">
        <v>0</v>
      </c>
      <c r="KB132" s="9">
        <v>0</v>
      </c>
      <c r="KC132" s="9">
        <v>0</v>
      </c>
      <c r="KD132" s="9">
        <v>0</v>
      </c>
      <c r="KE132" s="9">
        <v>0</v>
      </c>
      <c r="KF132" s="9">
        <v>0</v>
      </c>
      <c r="KG132" s="9">
        <v>0</v>
      </c>
      <c r="KH132" s="9">
        <v>0</v>
      </c>
      <c r="KI132" s="9">
        <v>0</v>
      </c>
    </row>
    <row r="133" spans="1:295" x14ac:dyDescent="0.25">
      <c r="A133" s="9">
        <v>108804</v>
      </c>
      <c r="B133" s="9">
        <v>36871</v>
      </c>
      <c r="C133" s="9">
        <v>35</v>
      </c>
      <c r="D133" s="9">
        <v>2023</v>
      </c>
      <c r="E133" s="9">
        <v>5392</v>
      </c>
      <c r="F133" s="9">
        <v>0</v>
      </c>
      <c r="G133" s="9">
        <v>0</v>
      </c>
      <c r="H133" s="9">
        <v>409.93700000000001</v>
      </c>
      <c r="I133" s="9">
        <v>409.93700000000001</v>
      </c>
      <c r="J133" s="9">
        <v>443.09399999999999</v>
      </c>
      <c r="K133" s="9">
        <v>0</v>
      </c>
      <c r="L133" s="9">
        <v>6547</v>
      </c>
      <c r="M133" s="9">
        <v>0</v>
      </c>
      <c r="N133" s="9">
        <v>0</v>
      </c>
      <c r="O133" s="9">
        <v>0</v>
      </c>
      <c r="P133" s="9">
        <v>408.74600000000004</v>
      </c>
      <c r="Q133" s="9">
        <v>0</v>
      </c>
      <c r="R133" s="9">
        <v>199027</v>
      </c>
      <c r="S133" s="9">
        <v>486.92200000000003</v>
      </c>
      <c r="T133" s="9">
        <v>0</v>
      </c>
      <c r="U133" s="9">
        <v>199027</v>
      </c>
      <c r="V133" s="9">
        <v>94.11</v>
      </c>
      <c r="W133" s="9">
        <v>61614</v>
      </c>
      <c r="X133" s="9">
        <v>61614</v>
      </c>
      <c r="Y133" s="9">
        <v>0</v>
      </c>
      <c r="Z133" s="9">
        <v>0</v>
      </c>
      <c r="AA133" s="9">
        <v>1</v>
      </c>
      <c r="AB133" s="9">
        <v>1</v>
      </c>
      <c r="AC133" s="9">
        <v>0</v>
      </c>
      <c r="AD133" s="9" t="s">
        <v>314</v>
      </c>
      <c r="AE133" s="9">
        <v>0</v>
      </c>
      <c r="AF133" s="9">
        <v>0</v>
      </c>
      <c r="AG133" s="9">
        <v>0</v>
      </c>
      <c r="AH133" s="9">
        <v>0</v>
      </c>
      <c r="AI133" s="9">
        <v>0</v>
      </c>
      <c r="AJ133" s="9">
        <v>5104</v>
      </c>
      <c r="AK133" s="9" t="s">
        <v>651</v>
      </c>
      <c r="AL133" s="9" t="s">
        <v>460</v>
      </c>
      <c r="AM133" s="9">
        <v>0</v>
      </c>
      <c r="AN133" s="9">
        <v>0</v>
      </c>
      <c r="AO133" s="9">
        <v>0</v>
      </c>
      <c r="AP133" s="9">
        <v>0</v>
      </c>
      <c r="AQ133" s="9">
        <v>0</v>
      </c>
      <c r="AR133" s="9">
        <v>0</v>
      </c>
      <c r="AS133" s="9">
        <v>0</v>
      </c>
      <c r="AT133" s="9">
        <v>0</v>
      </c>
      <c r="AU133" s="9">
        <v>0</v>
      </c>
      <c r="AV133" s="9">
        <v>-118756</v>
      </c>
      <c r="AW133" s="9">
        <v>4813393</v>
      </c>
      <c r="AX133" s="9">
        <v>4600263</v>
      </c>
      <c r="AY133" s="9">
        <v>4917930</v>
      </c>
      <c r="AZ133" s="9">
        <v>320878</v>
      </c>
      <c r="BA133" s="9">
        <v>20.5</v>
      </c>
      <c r="BB133" s="9">
        <v>2357</v>
      </c>
      <c r="BC133" s="9">
        <v>2357</v>
      </c>
      <c r="BD133" s="9">
        <v>3</v>
      </c>
      <c r="BE133" s="9">
        <v>0</v>
      </c>
      <c r="BF133" s="9">
        <v>3949688</v>
      </c>
      <c r="BG133" s="9">
        <v>0</v>
      </c>
      <c r="BH133" s="9">
        <v>443.09399999999999</v>
      </c>
      <c r="BI133" s="9">
        <v>121851</v>
      </c>
      <c r="BJ133" s="9">
        <v>12</v>
      </c>
      <c r="BK133" s="9">
        <v>0</v>
      </c>
      <c r="BL133" s="9">
        <v>0</v>
      </c>
      <c r="BM133" s="9">
        <v>0</v>
      </c>
      <c r="BN133" s="9">
        <v>0</v>
      </c>
      <c r="BO133" s="9">
        <v>0</v>
      </c>
      <c r="BP133" s="9">
        <v>0</v>
      </c>
      <c r="BQ133" s="9">
        <v>5392</v>
      </c>
      <c r="BR133" s="9">
        <v>1</v>
      </c>
      <c r="BS133" s="9">
        <v>0</v>
      </c>
      <c r="BT133" s="9">
        <v>0</v>
      </c>
      <c r="BU133" s="9">
        <v>0</v>
      </c>
      <c r="BV133" s="9">
        <v>0</v>
      </c>
      <c r="BW133" s="9">
        <v>0</v>
      </c>
      <c r="BX133" s="9">
        <v>0</v>
      </c>
      <c r="BY133" s="9">
        <v>0</v>
      </c>
      <c r="BZ133" s="9">
        <v>0</v>
      </c>
      <c r="CA133" s="9">
        <v>0</v>
      </c>
      <c r="CB133" s="9">
        <v>0</v>
      </c>
      <c r="CC133" s="9">
        <v>0</v>
      </c>
      <c r="CD133" s="9">
        <v>0</v>
      </c>
      <c r="CE133" s="9">
        <v>0</v>
      </c>
      <c r="CF133" s="9">
        <v>0</v>
      </c>
      <c r="CG133" s="9">
        <v>0</v>
      </c>
      <c r="CH133" s="9">
        <v>91279</v>
      </c>
      <c r="CI133" s="9">
        <v>0</v>
      </c>
      <c r="CJ133" s="9">
        <v>4</v>
      </c>
      <c r="CK133" s="9">
        <v>0</v>
      </c>
      <c r="CL133" s="9">
        <v>0</v>
      </c>
      <c r="CM133" s="9">
        <v>0</v>
      </c>
      <c r="CN133" s="9">
        <v>0</v>
      </c>
      <c r="CO133" s="9">
        <v>0</v>
      </c>
      <c r="CP133" s="9">
        <v>3.843</v>
      </c>
      <c r="CQ133" s="9">
        <v>11.667</v>
      </c>
      <c r="CR133" s="9">
        <v>392.113</v>
      </c>
      <c r="CS133" s="9">
        <v>0</v>
      </c>
      <c r="CT133" s="9">
        <v>0</v>
      </c>
      <c r="CU133" s="9">
        <v>0</v>
      </c>
      <c r="CV133" s="9">
        <v>0</v>
      </c>
      <c r="CW133" s="9">
        <v>0</v>
      </c>
      <c r="CX133" s="9">
        <v>0</v>
      </c>
      <c r="CY133" s="9">
        <v>0</v>
      </c>
      <c r="CZ133" s="9">
        <v>0</v>
      </c>
      <c r="DA133" s="9">
        <v>1</v>
      </c>
      <c r="DB133" s="9">
        <v>2683858</v>
      </c>
      <c r="DC133" s="9">
        <v>0</v>
      </c>
      <c r="DD133" s="9">
        <v>0</v>
      </c>
      <c r="DE133" s="9">
        <v>546020</v>
      </c>
      <c r="DF133" s="9">
        <v>606656</v>
      </c>
      <c r="DG133" s="9">
        <v>417</v>
      </c>
      <c r="DH133" s="9">
        <v>0</v>
      </c>
      <c r="DI133" s="9">
        <v>60636</v>
      </c>
      <c r="DJ133" s="9">
        <v>0</v>
      </c>
      <c r="DK133" s="9">
        <v>5392</v>
      </c>
      <c r="DL133" s="9">
        <v>0</v>
      </c>
      <c r="DM133" s="9">
        <v>415155</v>
      </c>
      <c r="DN133" s="9">
        <v>0</v>
      </c>
      <c r="DO133" s="9">
        <v>0</v>
      </c>
      <c r="DP133" s="9">
        <v>0</v>
      </c>
      <c r="DQ133" s="9">
        <v>0</v>
      </c>
      <c r="DR133" s="9">
        <v>0</v>
      </c>
      <c r="DS133" s="9">
        <v>0</v>
      </c>
      <c r="DT133" s="9">
        <v>0</v>
      </c>
      <c r="DU133" s="9">
        <v>0</v>
      </c>
      <c r="DV133" s="9">
        <v>0</v>
      </c>
      <c r="DW133" s="9">
        <v>0</v>
      </c>
      <c r="DX133" s="9">
        <v>0</v>
      </c>
      <c r="DY133" s="9">
        <v>0</v>
      </c>
      <c r="DZ133" s="9">
        <v>0</v>
      </c>
      <c r="EA133" s="9">
        <v>5.5E-2</v>
      </c>
      <c r="EB133" s="9">
        <v>0</v>
      </c>
      <c r="EC133" s="9">
        <v>55.865000000000002</v>
      </c>
      <c r="ED133" s="9">
        <v>402323</v>
      </c>
      <c r="EE133" s="9">
        <v>0</v>
      </c>
      <c r="EF133" s="9">
        <v>0</v>
      </c>
      <c r="EG133" s="9">
        <v>0</v>
      </c>
      <c r="EH133" s="9">
        <v>12832</v>
      </c>
      <c r="EI133" s="9">
        <v>0</v>
      </c>
      <c r="EJ133" s="9">
        <v>0</v>
      </c>
      <c r="EK133" s="9">
        <v>0.3</v>
      </c>
      <c r="EL133" s="9">
        <v>0</v>
      </c>
      <c r="EM133" s="9">
        <v>0</v>
      </c>
      <c r="EN133" s="9">
        <v>0.157</v>
      </c>
      <c r="EO133" s="9">
        <v>0</v>
      </c>
      <c r="EP133" s="9">
        <v>0</v>
      </c>
      <c r="EQ133" s="9">
        <v>0.51200000000000001</v>
      </c>
      <c r="ER133" s="9">
        <v>0</v>
      </c>
      <c r="ES133" s="9">
        <v>1.96</v>
      </c>
      <c r="ET133" s="9">
        <v>13167</v>
      </c>
      <c r="EU133" s="9">
        <v>320878</v>
      </c>
      <c r="EV133" s="9">
        <v>0</v>
      </c>
      <c r="EW133" s="9">
        <v>0</v>
      </c>
      <c r="EX133" s="9">
        <v>0</v>
      </c>
      <c r="EY133" s="9">
        <v>0</v>
      </c>
      <c r="EZ133" s="9">
        <v>3859144</v>
      </c>
      <c r="FA133" s="9">
        <v>0</v>
      </c>
      <c r="FB133" s="9">
        <v>4180022</v>
      </c>
      <c r="FC133" s="9">
        <v>0.97326799999999991</v>
      </c>
      <c r="FD133" s="9">
        <v>0</v>
      </c>
      <c r="FE133" s="9">
        <v>611006</v>
      </c>
      <c r="FF133" s="9">
        <v>130113</v>
      </c>
      <c r="FG133" s="9">
        <v>5.8088000000000001E-2</v>
      </c>
      <c r="FH133" s="9">
        <v>5.2622999999999996E-2</v>
      </c>
      <c r="FI133" s="9">
        <v>0</v>
      </c>
      <c r="FJ133" s="9">
        <v>0</v>
      </c>
      <c r="FK133" s="9">
        <v>773.88400000000001</v>
      </c>
      <c r="FL133" s="9">
        <v>5012420</v>
      </c>
      <c r="FM133" s="9">
        <v>0</v>
      </c>
      <c r="FN133" s="9">
        <v>0</v>
      </c>
      <c r="FO133" s="9">
        <v>0</v>
      </c>
      <c r="FP133" s="9">
        <v>0</v>
      </c>
      <c r="FQ133" s="9">
        <v>0</v>
      </c>
      <c r="FR133" s="9">
        <v>0</v>
      </c>
      <c r="FS133" s="9">
        <v>0</v>
      </c>
      <c r="FT133" s="9">
        <v>0</v>
      </c>
      <c r="FU133" s="9">
        <v>0</v>
      </c>
      <c r="FV133" s="9">
        <v>0</v>
      </c>
      <c r="FW133" s="9">
        <v>0</v>
      </c>
      <c r="FX133" s="9">
        <v>0</v>
      </c>
      <c r="FY133" s="9">
        <v>0</v>
      </c>
      <c r="FZ133" s="9">
        <v>0</v>
      </c>
      <c r="GA133" s="9">
        <v>0</v>
      </c>
      <c r="GB133" s="9">
        <v>288531</v>
      </c>
      <c r="GC133" s="9">
        <v>288531</v>
      </c>
      <c r="GD133" s="9">
        <v>32.645000000000003</v>
      </c>
      <c r="GE133" s="9">
        <v>0</v>
      </c>
      <c r="GF133" s="9">
        <v>0</v>
      </c>
      <c r="GG133" s="9">
        <v>0</v>
      </c>
      <c r="GH133" s="9">
        <v>0</v>
      </c>
      <c r="GI133" s="9">
        <v>0</v>
      </c>
      <c r="GJ133" s="9">
        <v>0</v>
      </c>
      <c r="GK133" s="9">
        <v>5153</v>
      </c>
      <c r="GL133" s="9">
        <v>9199</v>
      </c>
      <c r="GM133" s="9">
        <v>0</v>
      </c>
      <c r="GN133" s="9">
        <v>0</v>
      </c>
      <c r="GO133" s="9">
        <v>0</v>
      </c>
      <c r="GP133" s="9">
        <v>4921141</v>
      </c>
      <c r="GQ133" s="9">
        <v>4921141</v>
      </c>
      <c r="GR133" s="9">
        <v>0</v>
      </c>
      <c r="GS133" s="9">
        <v>0</v>
      </c>
      <c r="GT133" s="9">
        <v>0</v>
      </c>
      <c r="GU133" s="9">
        <v>0</v>
      </c>
      <c r="GV133" s="9">
        <v>0</v>
      </c>
      <c r="GW133" s="9">
        <v>0</v>
      </c>
      <c r="GX133" s="9">
        <v>0</v>
      </c>
      <c r="GY133" s="9">
        <v>0</v>
      </c>
      <c r="GZ133" s="9">
        <v>0</v>
      </c>
      <c r="HA133" s="9">
        <v>0</v>
      </c>
      <c r="HB133" s="9">
        <v>300501363</v>
      </c>
      <c r="HC133" s="9">
        <v>4.4742999999999998E-2</v>
      </c>
      <c r="HD133" s="9">
        <v>78112</v>
      </c>
      <c r="HE133" s="9">
        <v>0</v>
      </c>
      <c r="HF133" s="9">
        <v>0</v>
      </c>
      <c r="HG133" s="9">
        <v>0</v>
      </c>
      <c r="HH133" s="9">
        <v>0</v>
      </c>
      <c r="HI133" s="9">
        <v>0</v>
      </c>
      <c r="HJ133" s="9">
        <v>0</v>
      </c>
      <c r="HK133" s="9">
        <v>0</v>
      </c>
      <c r="HL133" s="9">
        <v>0</v>
      </c>
      <c r="HM133" s="9">
        <v>0</v>
      </c>
      <c r="HN133" s="9">
        <v>0</v>
      </c>
      <c r="HO133" s="9">
        <v>0</v>
      </c>
      <c r="HP133" s="9">
        <v>0</v>
      </c>
      <c r="HQ133" s="9">
        <v>0</v>
      </c>
      <c r="HR133" s="9">
        <v>0</v>
      </c>
      <c r="HS133" s="9">
        <v>0</v>
      </c>
      <c r="HT133" s="9">
        <v>0</v>
      </c>
      <c r="HU133" s="9">
        <v>0</v>
      </c>
      <c r="HV133" s="9">
        <v>0</v>
      </c>
      <c r="HW133" s="9">
        <v>0</v>
      </c>
      <c r="HX133" s="9">
        <v>0</v>
      </c>
      <c r="HY133" s="9">
        <v>0</v>
      </c>
      <c r="HZ133" s="9">
        <v>0</v>
      </c>
      <c r="IA133" s="9">
        <v>0</v>
      </c>
      <c r="IB133" s="9">
        <v>0</v>
      </c>
      <c r="IC133" s="9">
        <v>0</v>
      </c>
      <c r="ID133" s="9">
        <v>0</v>
      </c>
      <c r="IE133" s="9">
        <v>0</v>
      </c>
      <c r="IF133" s="9">
        <v>0</v>
      </c>
      <c r="IG133" s="9">
        <v>0</v>
      </c>
      <c r="IH133" s="9">
        <v>0</v>
      </c>
      <c r="II133" s="9">
        <v>0</v>
      </c>
      <c r="IJ133" s="9">
        <v>0</v>
      </c>
      <c r="IK133" s="9">
        <v>0</v>
      </c>
      <c r="IL133" s="9">
        <v>0</v>
      </c>
      <c r="IM133" s="9">
        <v>0</v>
      </c>
      <c r="IN133" s="9">
        <v>0</v>
      </c>
      <c r="IO133" s="9">
        <v>0</v>
      </c>
      <c r="IP133" s="9">
        <v>0</v>
      </c>
      <c r="IQ133" s="9">
        <v>0</v>
      </c>
      <c r="IR133" s="9">
        <v>0</v>
      </c>
      <c r="IS133" s="9">
        <v>0</v>
      </c>
      <c r="IT133" s="9">
        <v>0</v>
      </c>
      <c r="IU133" s="9">
        <v>0</v>
      </c>
      <c r="IV133" s="9">
        <v>0</v>
      </c>
      <c r="IW133" s="9">
        <v>0</v>
      </c>
      <c r="IX133" s="9">
        <v>0</v>
      </c>
      <c r="IY133" s="9">
        <v>0</v>
      </c>
      <c r="IZ133" s="9">
        <v>0</v>
      </c>
      <c r="JA133" s="9">
        <v>0</v>
      </c>
      <c r="JB133" s="9">
        <v>0</v>
      </c>
      <c r="JC133" s="9">
        <v>0</v>
      </c>
      <c r="JD133" s="9">
        <v>0</v>
      </c>
      <c r="JE133" s="9">
        <v>0</v>
      </c>
      <c r="JF133" s="9">
        <v>0</v>
      </c>
      <c r="JG133" s="9">
        <v>0</v>
      </c>
      <c r="JH133" s="9">
        <v>0</v>
      </c>
      <c r="JI133" s="9">
        <v>0</v>
      </c>
      <c r="JJ133" s="9">
        <v>0</v>
      </c>
      <c r="JK133" s="9">
        <v>0</v>
      </c>
      <c r="JL133" s="9">
        <v>0</v>
      </c>
      <c r="JM133" s="9">
        <v>0</v>
      </c>
      <c r="JN133" s="9">
        <v>36832</v>
      </c>
      <c r="JO133" s="9">
        <v>0</v>
      </c>
      <c r="JP133" s="9">
        <v>0</v>
      </c>
      <c r="JQ133" s="9">
        <v>0</v>
      </c>
      <c r="JR133" s="9">
        <v>0</v>
      </c>
      <c r="JS133" s="9">
        <v>0</v>
      </c>
      <c r="JT133" s="9">
        <v>0</v>
      </c>
      <c r="JU133" s="9">
        <v>0</v>
      </c>
      <c r="JV133" s="9">
        <v>0</v>
      </c>
      <c r="JW133" s="9">
        <v>0</v>
      </c>
      <c r="JX133" s="9">
        <v>0</v>
      </c>
      <c r="JY133" s="9">
        <v>0</v>
      </c>
      <c r="JZ133" s="9">
        <v>0</v>
      </c>
      <c r="KA133" s="9">
        <v>0</v>
      </c>
      <c r="KB133" s="9">
        <v>0</v>
      </c>
      <c r="KC133" s="9">
        <v>0</v>
      </c>
      <c r="KD133" s="9">
        <v>0</v>
      </c>
      <c r="KE133" s="9">
        <v>0</v>
      </c>
      <c r="KF133" s="9">
        <v>0</v>
      </c>
      <c r="KG133" s="9">
        <v>0</v>
      </c>
      <c r="KH133" s="9">
        <v>0</v>
      </c>
      <c r="KI133" s="9">
        <v>0</v>
      </c>
    </row>
    <row r="134" spans="1:295" x14ac:dyDescent="0.25">
      <c r="A134" s="9">
        <v>108807</v>
      </c>
      <c r="B134" s="9">
        <v>36871</v>
      </c>
      <c r="C134" s="9">
        <v>35</v>
      </c>
      <c r="D134" s="9">
        <v>2023</v>
      </c>
      <c r="E134" s="9">
        <v>5392</v>
      </c>
      <c r="F134" s="9">
        <v>0</v>
      </c>
      <c r="G134" s="9">
        <v>0</v>
      </c>
      <c r="H134" s="9">
        <v>57042.146999999997</v>
      </c>
      <c r="I134" s="9">
        <v>57042.146999999997</v>
      </c>
      <c r="J134" s="9">
        <v>58245.595000000001</v>
      </c>
      <c r="K134" s="9">
        <v>0</v>
      </c>
      <c r="L134" s="9">
        <v>6547</v>
      </c>
      <c r="M134" s="9">
        <v>0</v>
      </c>
      <c r="N134" s="9">
        <v>0</v>
      </c>
      <c r="O134" s="9">
        <v>0</v>
      </c>
      <c r="P134" s="9">
        <v>45921.092000000004</v>
      </c>
      <c r="Q134" s="9">
        <v>0</v>
      </c>
      <c r="R134" s="9">
        <v>22359990</v>
      </c>
      <c r="S134" s="9">
        <v>486.92200000000003</v>
      </c>
      <c r="T134" s="9">
        <v>0</v>
      </c>
      <c r="U134" s="9">
        <v>22359990</v>
      </c>
      <c r="V134" s="9">
        <v>21673.835999999999</v>
      </c>
      <c r="W134" s="9">
        <v>14189860</v>
      </c>
      <c r="X134" s="9">
        <v>14189860</v>
      </c>
      <c r="Y134" s="9">
        <v>0</v>
      </c>
      <c r="Z134" s="9">
        <v>0</v>
      </c>
      <c r="AA134" s="9">
        <v>1</v>
      </c>
      <c r="AB134" s="9">
        <v>1</v>
      </c>
      <c r="AC134" s="9">
        <v>0</v>
      </c>
      <c r="AD134" s="9" t="s">
        <v>314</v>
      </c>
      <c r="AE134" s="9">
        <v>0</v>
      </c>
      <c r="AF134" s="9">
        <v>0</v>
      </c>
      <c r="AG134" s="9">
        <v>0</v>
      </c>
      <c r="AH134" s="9">
        <v>0</v>
      </c>
      <c r="AI134" s="9">
        <v>0</v>
      </c>
      <c r="AJ134" s="9">
        <v>5104</v>
      </c>
      <c r="AK134" s="9" t="s">
        <v>651</v>
      </c>
      <c r="AL134" s="9" t="s">
        <v>95</v>
      </c>
      <c r="AM134" s="9">
        <v>0</v>
      </c>
      <c r="AN134" s="9">
        <v>0</v>
      </c>
      <c r="AO134" s="9">
        <v>0</v>
      </c>
      <c r="AP134" s="9">
        <v>0</v>
      </c>
      <c r="AQ134" s="9">
        <v>0</v>
      </c>
      <c r="AR134" s="9">
        <v>0</v>
      </c>
      <c r="AS134" s="9">
        <v>0</v>
      </c>
      <c r="AT134" s="9">
        <v>0</v>
      </c>
      <c r="AU134" s="9">
        <v>0</v>
      </c>
      <c r="AV134" s="9">
        <v>-5804944</v>
      </c>
      <c r="AW134" s="9">
        <v>580892968</v>
      </c>
      <c r="AX134" s="9">
        <v>557383288</v>
      </c>
      <c r="AY134" s="9">
        <v>624823407</v>
      </c>
      <c r="AZ134" s="9">
        <v>34362789</v>
      </c>
      <c r="BA134" s="9">
        <v>2384.25</v>
      </c>
      <c r="BB134" s="9">
        <v>0</v>
      </c>
      <c r="BC134" s="9">
        <v>0</v>
      </c>
      <c r="BD134" s="9">
        <v>0</v>
      </c>
      <c r="BE134" s="9">
        <v>0</v>
      </c>
      <c r="BF134" s="9">
        <v>475828061</v>
      </c>
      <c r="BG134" s="9">
        <v>0</v>
      </c>
      <c r="BH134" s="9">
        <v>9212.6580000000013</v>
      </c>
      <c r="BI134" s="9">
        <v>2533481</v>
      </c>
      <c r="BJ134" s="9">
        <v>12</v>
      </c>
      <c r="BK134" s="9">
        <v>0</v>
      </c>
      <c r="BL134" s="9">
        <v>0</v>
      </c>
      <c r="BM134" s="9">
        <v>0</v>
      </c>
      <c r="BN134" s="9">
        <v>0</v>
      </c>
      <c r="BO134" s="9">
        <v>0</v>
      </c>
      <c r="BP134" s="9">
        <v>0</v>
      </c>
      <c r="BQ134" s="9">
        <v>5392</v>
      </c>
      <c r="BR134" s="9">
        <v>1</v>
      </c>
      <c r="BS134" s="9">
        <v>0</v>
      </c>
      <c r="BT134" s="9">
        <v>0</v>
      </c>
      <c r="BU134" s="9">
        <v>0</v>
      </c>
      <c r="BV134" s="9">
        <v>0</v>
      </c>
      <c r="BW134" s="9">
        <v>0</v>
      </c>
      <c r="BX134" s="9">
        <v>0</v>
      </c>
      <c r="BY134" s="9">
        <v>0</v>
      </c>
      <c r="BZ134" s="9">
        <v>0</v>
      </c>
      <c r="CA134" s="9">
        <v>9469.3180000000011</v>
      </c>
      <c r="CB134" s="9">
        <v>9469318</v>
      </c>
      <c r="CC134" s="9">
        <v>0</v>
      </c>
      <c r="CD134" s="9">
        <v>0</v>
      </c>
      <c r="CE134" s="9">
        <v>0</v>
      </c>
      <c r="CF134" s="9">
        <v>0</v>
      </c>
      <c r="CG134" s="9">
        <v>0</v>
      </c>
      <c r="CH134" s="9">
        <v>11506881</v>
      </c>
      <c r="CI134" s="9">
        <v>0</v>
      </c>
      <c r="CJ134" s="9">
        <v>5</v>
      </c>
      <c r="CK134" s="9">
        <v>0</v>
      </c>
      <c r="CL134" s="9">
        <v>0</v>
      </c>
      <c r="CM134" s="9">
        <v>0</v>
      </c>
      <c r="CN134" s="9">
        <v>0</v>
      </c>
      <c r="CO134" s="9">
        <v>0</v>
      </c>
      <c r="CP134" s="9">
        <v>0.28200000000000003</v>
      </c>
      <c r="CQ134" s="9">
        <v>187.25</v>
      </c>
      <c r="CR134" s="9">
        <v>44347.131000000001</v>
      </c>
      <c r="CS134" s="9">
        <v>0</v>
      </c>
      <c r="CT134" s="9">
        <v>0</v>
      </c>
      <c r="CU134" s="9">
        <v>0</v>
      </c>
      <c r="CV134" s="9">
        <v>0</v>
      </c>
      <c r="CW134" s="9">
        <v>0</v>
      </c>
      <c r="CX134" s="9">
        <v>0</v>
      </c>
      <c r="CY134" s="9">
        <v>0</v>
      </c>
      <c r="CZ134" s="9">
        <v>0</v>
      </c>
      <c r="DA134" s="9">
        <v>1</v>
      </c>
      <c r="DB134" s="9">
        <v>373454936</v>
      </c>
      <c r="DC134" s="9">
        <v>0</v>
      </c>
      <c r="DD134" s="9">
        <v>0</v>
      </c>
      <c r="DE134" s="9">
        <v>67554342</v>
      </c>
      <c r="DF134" s="9">
        <v>67558791</v>
      </c>
      <c r="DG134" s="9">
        <v>51591.83</v>
      </c>
      <c r="DH134" s="9">
        <v>0</v>
      </c>
      <c r="DI134" s="9">
        <v>4449</v>
      </c>
      <c r="DJ134" s="9">
        <v>0</v>
      </c>
      <c r="DK134" s="9">
        <v>5392</v>
      </c>
      <c r="DL134" s="9">
        <v>0</v>
      </c>
      <c r="DM134" s="9">
        <v>31733450</v>
      </c>
      <c r="DN134" s="9">
        <v>0</v>
      </c>
      <c r="DO134" s="9">
        <v>0</v>
      </c>
      <c r="DP134" s="9">
        <v>0</v>
      </c>
      <c r="DQ134" s="9">
        <v>0</v>
      </c>
      <c r="DR134" s="9">
        <v>0</v>
      </c>
      <c r="DS134" s="9">
        <v>0</v>
      </c>
      <c r="DT134" s="9">
        <v>0</v>
      </c>
      <c r="DU134" s="9">
        <v>0</v>
      </c>
      <c r="DV134" s="9">
        <v>0</v>
      </c>
      <c r="DW134" s="9">
        <v>0</v>
      </c>
      <c r="DX134" s="9">
        <v>0</v>
      </c>
      <c r="DY134" s="9">
        <v>0</v>
      </c>
      <c r="DZ134" s="9">
        <v>0</v>
      </c>
      <c r="EA134" s="9">
        <v>1.2690000000000001</v>
      </c>
      <c r="EB134" s="9">
        <v>0</v>
      </c>
      <c r="EC134" s="9">
        <v>1548.857</v>
      </c>
      <c r="ED134" s="9">
        <v>11154403</v>
      </c>
      <c r="EE134" s="9">
        <v>0</v>
      </c>
      <c r="EF134" s="9">
        <v>0</v>
      </c>
      <c r="EG134" s="9">
        <v>0</v>
      </c>
      <c r="EH134" s="9">
        <v>20572055</v>
      </c>
      <c r="EI134" s="9">
        <v>6992</v>
      </c>
      <c r="EJ134" s="9">
        <v>0.26700000000000002</v>
      </c>
      <c r="EK134" s="9">
        <v>459.18200000000002</v>
      </c>
      <c r="EL134" s="9">
        <v>9.8250000000000011</v>
      </c>
      <c r="EM134" s="9">
        <v>423.2</v>
      </c>
      <c r="EN134" s="9">
        <v>97.744</v>
      </c>
      <c r="EO134" s="9">
        <v>0</v>
      </c>
      <c r="EP134" s="9">
        <v>0</v>
      </c>
      <c r="EQ134" s="9">
        <v>981.66200000000003</v>
      </c>
      <c r="ER134" s="9">
        <v>0</v>
      </c>
      <c r="ES134" s="9">
        <v>3142.2110000000002</v>
      </c>
      <c r="ET134" s="9">
        <v>1238938</v>
      </c>
      <c r="EU134" s="9">
        <v>34362789</v>
      </c>
      <c r="EV134" s="9">
        <v>0</v>
      </c>
      <c r="EW134" s="9">
        <v>0</v>
      </c>
      <c r="EX134" s="9">
        <v>0</v>
      </c>
      <c r="EY134" s="9">
        <v>0</v>
      </c>
      <c r="EZ134" s="9">
        <v>468098889</v>
      </c>
      <c r="FA134" s="9">
        <v>0</v>
      </c>
      <c r="FB134" s="9">
        <v>502461678</v>
      </c>
      <c r="FC134" s="9">
        <v>0.97326799999999991</v>
      </c>
      <c r="FD134" s="9">
        <v>0</v>
      </c>
      <c r="FE134" s="9">
        <v>73609328</v>
      </c>
      <c r="FF134" s="9">
        <v>15675071</v>
      </c>
      <c r="FG134" s="9">
        <v>5.8088000000000001E-2</v>
      </c>
      <c r="FH134" s="9">
        <v>5.2622999999999996E-2</v>
      </c>
      <c r="FI134" s="9">
        <v>0</v>
      </c>
      <c r="FJ134" s="9">
        <v>0</v>
      </c>
      <c r="FK134" s="9">
        <v>93231.584000000003</v>
      </c>
      <c r="FL134" s="9">
        <v>603252958</v>
      </c>
      <c r="FM134" s="9">
        <v>0</v>
      </c>
      <c r="FN134" s="9">
        <v>0</v>
      </c>
      <c r="FO134" s="9">
        <v>1236164</v>
      </c>
      <c r="FP134" s="9">
        <v>325434</v>
      </c>
      <c r="FQ134" s="9">
        <v>1561598</v>
      </c>
      <c r="FR134" s="9">
        <v>1236164</v>
      </c>
      <c r="FS134" s="9">
        <v>0</v>
      </c>
      <c r="FT134" s="9">
        <v>0</v>
      </c>
      <c r="FU134" s="9">
        <v>0</v>
      </c>
      <c r="FV134" s="9">
        <v>0</v>
      </c>
      <c r="FW134" s="9">
        <v>0</v>
      </c>
      <c r="FX134" s="9">
        <v>0</v>
      </c>
      <c r="FY134" s="9">
        <v>0</v>
      </c>
      <c r="FZ134" s="9">
        <v>0</v>
      </c>
      <c r="GA134" s="9">
        <v>0</v>
      </c>
      <c r="GB134" s="9">
        <v>1960244</v>
      </c>
      <c r="GC134" s="9">
        <v>1960244</v>
      </c>
      <c r="GD134" s="9">
        <v>221.786</v>
      </c>
      <c r="GE134" s="9">
        <v>0</v>
      </c>
      <c r="GF134" s="9">
        <v>0</v>
      </c>
      <c r="GG134" s="9">
        <v>0</v>
      </c>
      <c r="GH134" s="9">
        <v>0</v>
      </c>
      <c r="GI134" s="9">
        <v>0</v>
      </c>
      <c r="GJ134" s="9">
        <v>0</v>
      </c>
      <c r="GK134" s="9">
        <v>5071</v>
      </c>
      <c r="GL134" s="9">
        <v>120568</v>
      </c>
      <c r="GM134" s="9">
        <v>0</v>
      </c>
      <c r="GN134" s="9">
        <v>563496</v>
      </c>
      <c r="GO134" s="9">
        <v>0</v>
      </c>
      <c r="GP134" s="9">
        <v>591746077</v>
      </c>
      <c r="GQ134" s="9">
        <v>591746077</v>
      </c>
      <c r="GR134" s="9">
        <v>0</v>
      </c>
      <c r="GS134" s="9">
        <v>0</v>
      </c>
      <c r="GT134" s="9">
        <v>0</v>
      </c>
      <c r="GU134" s="9">
        <v>0</v>
      </c>
      <c r="GV134" s="9">
        <v>0</v>
      </c>
      <c r="GW134" s="9">
        <v>0</v>
      </c>
      <c r="GX134" s="9">
        <v>0</v>
      </c>
      <c r="GY134" s="9">
        <v>0</v>
      </c>
      <c r="GZ134" s="9">
        <v>0</v>
      </c>
      <c r="HA134" s="9">
        <v>0</v>
      </c>
      <c r="HB134" s="9">
        <v>300501363</v>
      </c>
      <c r="HC134" s="9">
        <v>4.4742999999999998E-2</v>
      </c>
      <c r="HD134" s="9">
        <v>10267943</v>
      </c>
      <c r="HE134" s="9">
        <v>0</v>
      </c>
      <c r="HF134" s="9">
        <v>0</v>
      </c>
      <c r="HG134" s="9">
        <v>0</v>
      </c>
      <c r="HH134" s="9">
        <v>0</v>
      </c>
      <c r="HI134" s="9">
        <v>0</v>
      </c>
      <c r="HJ134" s="9">
        <v>0</v>
      </c>
      <c r="HK134" s="9">
        <v>0</v>
      </c>
      <c r="HL134" s="9">
        <v>0</v>
      </c>
      <c r="HM134" s="9">
        <v>0</v>
      </c>
      <c r="HN134" s="9">
        <v>0</v>
      </c>
      <c r="HO134" s="9">
        <v>0</v>
      </c>
      <c r="HP134" s="9">
        <v>0</v>
      </c>
      <c r="HQ134" s="9">
        <v>0</v>
      </c>
      <c r="HR134" s="9">
        <v>0</v>
      </c>
      <c r="HS134" s="9">
        <v>0</v>
      </c>
      <c r="HT134" s="9">
        <v>0</v>
      </c>
      <c r="HU134" s="9">
        <v>0</v>
      </c>
      <c r="HV134" s="9">
        <v>0</v>
      </c>
      <c r="HW134" s="9">
        <v>0</v>
      </c>
      <c r="HX134" s="9">
        <v>0</v>
      </c>
      <c r="HY134" s="9">
        <v>0</v>
      </c>
      <c r="HZ134" s="9">
        <v>0</v>
      </c>
      <c r="IA134" s="9">
        <v>0</v>
      </c>
      <c r="IB134" s="9">
        <v>0</v>
      </c>
      <c r="IC134" s="9">
        <v>0</v>
      </c>
      <c r="ID134" s="9">
        <v>0</v>
      </c>
      <c r="IE134" s="9">
        <v>4.6960000000000006</v>
      </c>
      <c r="IF134" s="9">
        <v>0</v>
      </c>
      <c r="IG134" s="9">
        <v>0</v>
      </c>
      <c r="IH134" s="9">
        <v>0</v>
      </c>
      <c r="II134" s="9">
        <v>0</v>
      </c>
      <c r="IJ134" s="9">
        <v>0</v>
      </c>
      <c r="IK134" s="9">
        <v>0</v>
      </c>
      <c r="IL134" s="9">
        <v>0</v>
      </c>
      <c r="IM134" s="9">
        <v>0</v>
      </c>
      <c r="IN134" s="9">
        <v>0</v>
      </c>
      <c r="IO134" s="9">
        <v>0</v>
      </c>
      <c r="IP134" s="9">
        <v>0</v>
      </c>
      <c r="IQ134" s="9">
        <v>0</v>
      </c>
      <c r="IR134" s="9">
        <v>0</v>
      </c>
      <c r="IS134" s="9">
        <v>0</v>
      </c>
      <c r="IT134" s="9">
        <v>0</v>
      </c>
      <c r="IU134" s="9">
        <v>0</v>
      </c>
      <c r="IV134" s="9">
        <v>0</v>
      </c>
      <c r="IW134" s="9">
        <v>0</v>
      </c>
      <c r="IX134" s="9">
        <v>0</v>
      </c>
      <c r="IY134" s="9">
        <v>0</v>
      </c>
      <c r="IZ134" s="9">
        <v>0</v>
      </c>
      <c r="JA134" s="9">
        <v>0</v>
      </c>
      <c r="JB134" s="9">
        <v>0</v>
      </c>
      <c r="JC134" s="9">
        <v>0</v>
      </c>
      <c r="JD134" s="9">
        <v>0</v>
      </c>
      <c r="JE134" s="9">
        <v>0</v>
      </c>
      <c r="JF134" s="9">
        <v>0</v>
      </c>
      <c r="JG134" s="9">
        <v>0</v>
      </c>
      <c r="JH134" s="9">
        <v>0</v>
      </c>
      <c r="JI134" s="9">
        <v>0</v>
      </c>
      <c r="JJ134" s="9">
        <v>0</v>
      </c>
      <c r="JK134" s="9">
        <v>0</v>
      </c>
      <c r="JL134" s="9">
        <v>0</v>
      </c>
      <c r="JM134" s="9">
        <v>0</v>
      </c>
      <c r="JN134" s="9">
        <v>36832</v>
      </c>
      <c r="JO134" s="9">
        <v>0</v>
      </c>
      <c r="JP134" s="9">
        <v>0</v>
      </c>
      <c r="JQ134" s="9">
        <v>0</v>
      </c>
      <c r="JR134" s="9">
        <v>0</v>
      </c>
      <c r="JS134" s="9">
        <v>0</v>
      </c>
      <c r="JT134" s="9">
        <v>0</v>
      </c>
      <c r="JU134" s="9">
        <v>0</v>
      </c>
      <c r="JV134" s="9">
        <v>0</v>
      </c>
      <c r="JW134" s="9">
        <v>0</v>
      </c>
      <c r="JX134" s="9">
        <v>0</v>
      </c>
      <c r="JY134" s="9">
        <v>0</v>
      </c>
      <c r="JZ134" s="9">
        <v>0</v>
      </c>
      <c r="KA134" s="9">
        <v>0</v>
      </c>
      <c r="KB134" s="9">
        <v>0</v>
      </c>
      <c r="KC134" s="9">
        <v>0</v>
      </c>
      <c r="KD134" s="9">
        <v>0</v>
      </c>
      <c r="KE134" s="9">
        <v>0</v>
      </c>
      <c r="KF134" s="9">
        <v>0</v>
      </c>
      <c r="KG134" s="9">
        <v>0</v>
      </c>
      <c r="KH134" s="9">
        <v>0</v>
      </c>
      <c r="KI134" s="9">
        <v>0</v>
      </c>
    </row>
    <row r="135" spans="1:295" x14ac:dyDescent="0.25">
      <c r="A135" s="9">
        <v>108808</v>
      </c>
      <c r="B135" s="9">
        <v>36871</v>
      </c>
      <c r="C135" s="9">
        <v>35</v>
      </c>
      <c r="D135" s="9">
        <v>2023</v>
      </c>
      <c r="E135" s="9">
        <v>5392</v>
      </c>
      <c r="F135" s="9">
        <v>0</v>
      </c>
      <c r="G135" s="9">
        <v>0</v>
      </c>
      <c r="H135" s="9">
        <v>4329.1689999999999</v>
      </c>
      <c r="I135" s="9">
        <v>4329.1689999999999</v>
      </c>
      <c r="J135" s="9">
        <v>4631.6400000000003</v>
      </c>
      <c r="K135" s="9">
        <v>0</v>
      </c>
      <c r="L135" s="9">
        <v>6547</v>
      </c>
      <c r="M135" s="9">
        <v>0</v>
      </c>
      <c r="N135" s="9">
        <v>0</v>
      </c>
      <c r="O135" s="9">
        <v>0</v>
      </c>
      <c r="P135" s="9">
        <v>4032.7270000000003</v>
      </c>
      <c r="Q135" s="9">
        <v>0</v>
      </c>
      <c r="R135" s="9">
        <v>1963623</v>
      </c>
      <c r="S135" s="9">
        <v>486.92200000000003</v>
      </c>
      <c r="T135" s="9">
        <v>0</v>
      </c>
      <c r="U135" s="9">
        <v>1963623</v>
      </c>
      <c r="V135" s="9">
        <v>1252.518</v>
      </c>
      <c r="W135" s="9">
        <v>820024</v>
      </c>
      <c r="X135" s="9">
        <v>820024</v>
      </c>
      <c r="Y135" s="9">
        <v>0</v>
      </c>
      <c r="Z135" s="9">
        <v>0</v>
      </c>
      <c r="AA135" s="9">
        <v>1</v>
      </c>
      <c r="AB135" s="9">
        <v>1</v>
      </c>
      <c r="AC135" s="9">
        <v>0</v>
      </c>
      <c r="AD135" s="9" t="s">
        <v>314</v>
      </c>
      <c r="AE135" s="9">
        <v>0</v>
      </c>
      <c r="AF135" s="9">
        <v>0</v>
      </c>
      <c r="AG135" s="9">
        <v>0</v>
      </c>
      <c r="AH135" s="9">
        <v>0</v>
      </c>
      <c r="AI135" s="9">
        <v>0</v>
      </c>
      <c r="AJ135" s="9">
        <v>5104</v>
      </c>
      <c r="AK135" s="9" t="s">
        <v>651</v>
      </c>
      <c r="AL135" s="9" t="s">
        <v>88</v>
      </c>
      <c r="AM135" s="9">
        <v>0</v>
      </c>
      <c r="AN135" s="9">
        <v>0</v>
      </c>
      <c r="AO135" s="9">
        <v>0</v>
      </c>
      <c r="AP135" s="9">
        <v>0</v>
      </c>
      <c r="AQ135" s="9">
        <v>0</v>
      </c>
      <c r="AR135" s="9">
        <v>0</v>
      </c>
      <c r="AS135" s="9">
        <v>0</v>
      </c>
      <c r="AT135" s="9">
        <v>0</v>
      </c>
      <c r="AU135" s="9">
        <v>0</v>
      </c>
      <c r="AV135" s="9">
        <v>-993393</v>
      </c>
      <c r="AW135" s="9">
        <v>44479346</v>
      </c>
      <c r="AX135" s="9">
        <v>43452927</v>
      </c>
      <c r="AY135" s="9">
        <v>45594583</v>
      </c>
      <c r="AZ135" s="9">
        <v>2173544</v>
      </c>
      <c r="BA135" s="9">
        <v>0</v>
      </c>
      <c r="BB135" s="9">
        <v>181940</v>
      </c>
      <c r="BC135" s="9">
        <v>181940</v>
      </c>
      <c r="BD135" s="9">
        <v>231.58200000000002</v>
      </c>
      <c r="BE135" s="9">
        <v>0</v>
      </c>
      <c r="BF135" s="9">
        <v>37363749</v>
      </c>
      <c r="BG135" s="9">
        <v>0</v>
      </c>
      <c r="BH135" s="9">
        <v>763.34800000000007</v>
      </c>
      <c r="BI135" s="9">
        <v>209921</v>
      </c>
      <c r="BJ135" s="9">
        <v>12</v>
      </c>
      <c r="BK135" s="9">
        <v>0</v>
      </c>
      <c r="BL135" s="9">
        <v>0</v>
      </c>
      <c r="BM135" s="9">
        <v>0</v>
      </c>
      <c r="BN135" s="9">
        <v>0</v>
      </c>
      <c r="BO135" s="9">
        <v>0</v>
      </c>
      <c r="BP135" s="9">
        <v>0</v>
      </c>
      <c r="BQ135" s="9">
        <v>5392</v>
      </c>
      <c r="BR135" s="9">
        <v>1</v>
      </c>
      <c r="BS135" s="9">
        <v>0</v>
      </c>
      <c r="BT135" s="9">
        <v>0</v>
      </c>
      <c r="BU135" s="9">
        <v>0</v>
      </c>
      <c r="BV135" s="9">
        <v>0</v>
      </c>
      <c r="BW135" s="9">
        <v>0</v>
      </c>
      <c r="BX135" s="9">
        <v>0</v>
      </c>
      <c r="BY135" s="9">
        <v>0</v>
      </c>
      <c r="BZ135" s="9">
        <v>0</v>
      </c>
      <c r="CA135" s="9">
        <v>0</v>
      </c>
      <c r="CB135" s="9">
        <v>0</v>
      </c>
      <c r="CC135" s="9">
        <v>0</v>
      </c>
      <c r="CD135" s="9">
        <v>0</v>
      </c>
      <c r="CE135" s="9">
        <v>0</v>
      </c>
      <c r="CF135" s="9">
        <v>0</v>
      </c>
      <c r="CG135" s="9">
        <v>0</v>
      </c>
      <c r="CH135" s="9">
        <v>816498</v>
      </c>
      <c r="CI135" s="9">
        <v>0</v>
      </c>
      <c r="CJ135" s="9">
        <v>4</v>
      </c>
      <c r="CK135" s="9">
        <v>0</v>
      </c>
      <c r="CL135" s="9">
        <v>0</v>
      </c>
      <c r="CM135" s="9">
        <v>0</v>
      </c>
      <c r="CN135" s="9">
        <v>0</v>
      </c>
      <c r="CO135" s="9">
        <v>0</v>
      </c>
      <c r="CP135" s="9">
        <v>0</v>
      </c>
      <c r="CQ135" s="9">
        <v>0</v>
      </c>
      <c r="CR135" s="9">
        <v>3888.0370000000003</v>
      </c>
      <c r="CS135" s="9">
        <v>0</v>
      </c>
      <c r="CT135" s="9">
        <v>0</v>
      </c>
      <c r="CU135" s="9">
        <v>0</v>
      </c>
      <c r="CV135" s="9">
        <v>0</v>
      </c>
      <c r="CW135" s="9">
        <v>0</v>
      </c>
      <c r="CX135" s="9">
        <v>0</v>
      </c>
      <c r="CY135" s="9">
        <v>0</v>
      </c>
      <c r="CZ135" s="9">
        <v>0</v>
      </c>
      <c r="DA135" s="9">
        <v>1</v>
      </c>
      <c r="DB135" s="9">
        <v>28343069</v>
      </c>
      <c r="DC135" s="9">
        <v>0</v>
      </c>
      <c r="DD135" s="9">
        <v>0</v>
      </c>
      <c r="DE135" s="9">
        <v>5179764</v>
      </c>
      <c r="DF135" s="9">
        <v>5179764</v>
      </c>
      <c r="DG135" s="9">
        <v>3955.83</v>
      </c>
      <c r="DH135" s="9">
        <v>0</v>
      </c>
      <c r="DI135" s="9">
        <v>0</v>
      </c>
      <c r="DJ135" s="9">
        <v>0</v>
      </c>
      <c r="DK135" s="9">
        <v>5392</v>
      </c>
      <c r="DL135" s="9">
        <v>0</v>
      </c>
      <c r="DM135" s="9">
        <v>2001617</v>
      </c>
      <c r="DN135" s="9">
        <v>0</v>
      </c>
      <c r="DO135" s="9">
        <v>781</v>
      </c>
      <c r="DP135" s="9">
        <v>0</v>
      </c>
      <c r="DQ135" s="9">
        <v>0</v>
      </c>
      <c r="DR135" s="9">
        <v>0</v>
      </c>
      <c r="DS135" s="9">
        <v>0</v>
      </c>
      <c r="DT135" s="9">
        <v>4.0000000000000001E-3</v>
      </c>
      <c r="DU135" s="9">
        <v>0</v>
      </c>
      <c r="DV135" s="9">
        <v>4.9000000000000002E-2</v>
      </c>
      <c r="DW135" s="9">
        <v>0</v>
      </c>
      <c r="DX135" s="9">
        <v>0</v>
      </c>
      <c r="DY135" s="9">
        <v>0</v>
      </c>
      <c r="DZ135" s="9">
        <v>0.159</v>
      </c>
      <c r="EA135" s="9">
        <v>3.0000000000000001E-3</v>
      </c>
      <c r="EB135" s="9">
        <v>0</v>
      </c>
      <c r="EC135" s="9">
        <v>16.561</v>
      </c>
      <c r="ED135" s="9">
        <v>119267</v>
      </c>
      <c r="EE135" s="9">
        <v>0</v>
      </c>
      <c r="EF135" s="9">
        <v>0</v>
      </c>
      <c r="EG135" s="9">
        <v>0</v>
      </c>
      <c r="EH135" s="9">
        <v>1881569</v>
      </c>
      <c r="EI135" s="9">
        <v>0</v>
      </c>
      <c r="EJ135" s="9">
        <v>0</v>
      </c>
      <c r="EK135" s="9">
        <v>77.798000000000002</v>
      </c>
      <c r="EL135" s="9">
        <v>0</v>
      </c>
      <c r="EM135" s="9">
        <v>7.5600000000000005</v>
      </c>
      <c r="EN135" s="9">
        <v>6.2610000000000001</v>
      </c>
      <c r="EO135" s="9">
        <v>0</v>
      </c>
      <c r="EP135" s="9">
        <v>0</v>
      </c>
      <c r="EQ135" s="9">
        <v>91.622</v>
      </c>
      <c r="ER135" s="9">
        <v>0</v>
      </c>
      <c r="ES135" s="9">
        <v>287.39400000000001</v>
      </c>
      <c r="ET135" s="9">
        <v>0</v>
      </c>
      <c r="EU135" s="9">
        <v>2173544</v>
      </c>
      <c r="EV135" s="9">
        <v>0</v>
      </c>
      <c r="EW135" s="9">
        <v>0</v>
      </c>
      <c r="EX135" s="9">
        <v>0</v>
      </c>
      <c r="EY135" s="9">
        <v>0</v>
      </c>
      <c r="EZ135" s="9">
        <v>36441991</v>
      </c>
      <c r="FA135" s="9">
        <v>0</v>
      </c>
      <c r="FB135" s="9">
        <v>38615535</v>
      </c>
      <c r="FC135" s="9">
        <v>0.97326799999999991</v>
      </c>
      <c r="FD135" s="9">
        <v>0</v>
      </c>
      <c r="FE135" s="9">
        <v>5780072</v>
      </c>
      <c r="FF135" s="9">
        <v>1230864</v>
      </c>
      <c r="FG135" s="9">
        <v>5.8088000000000001E-2</v>
      </c>
      <c r="FH135" s="9">
        <v>5.2622999999999996E-2</v>
      </c>
      <c r="FI135" s="9">
        <v>0</v>
      </c>
      <c r="FJ135" s="9">
        <v>0</v>
      </c>
      <c r="FK135" s="9">
        <v>7320.8830000000007</v>
      </c>
      <c r="FL135" s="9">
        <v>46442969</v>
      </c>
      <c r="FM135" s="9">
        <v>0</v>
      </c>
      <c r="FN135" s="9">
        <v>0</v>
      </c>
      <c r="FO135" s="9">
        <v>9922</v>
      </c>
      <c r="FP135" s="9">
        <v>0</v>
      </c>
      <c r="FQ135" s="9">
        <v>15622</v>
      </c>
      <c r="FR135" s="9">
        <v>9922</v>
      </c>
      <c r="FS135" s="9">
        <v>5700</v>
      </c>
      <c r="FT135" s="9">
        <v>0</v>
      </c>
      <c r="FU135" s="9">
        <v>0</v>
      </c>
      <c r="FV135" s="9">
        <v>0</v>
      </c>
      <c r="FW135" s="9">
        <v>0</v>
      </c>
      <c r="FX135" s="9">
        <v>0</v>
      </c>
      <c r="FY135" s="9">
        <v>0</v>
      </c>
      <c r="FZ135" s="9">
        <v>0</v>
      </c>
      <c r="GA135" s="9">
        <v>0</v>
      </c>
      <c r="GB135" s="9">
        <v>1863578</v>
      </c>
      <c r="GC135" s="9">
        <v>1863578</v>
      </c>
      <c r="GD135" s="9">
        <v>210.84900000000002</v>
      </c>
      <c r="GE135" s="9">
        <v>0</v>
      </c>
      <c r="GF135" s="9">
        <v>0</v>
      </c>
      <c r="GG135" s="9">
        <v>0</v>
      </c>
      <c r="GH135" s="9">
        <v>0</v>
      </c>
      <c r="GI135" s="9">
        <v>0</v>
      </c>
      <c r="GJ135" s="9">
        <v>0</v>
      </c>
      <c r="GK135" s="9">
        <v>4955</v>
      </c>
      <c r="GL135" s="9">
        <v>19656</v>
      </c>
      <c r="GM135" s="9">
        <v>0</v>
      </c>
      <c r="GN135" s="9">
        <v>0</v>
      </c>
      <c r="GO135" s="9">
        <v>0</v>
      </c>
      <c r="GP135" s="9">
        <v>45626471</v>
      </c>
      <c r="GQ135" s="9">
        <v>45626471</v>
      </c>
      <c r="GR135" s="9">
        <v>0</v>
      </c>
      <c r="GS135" s="9">
        <v>0</v>
      </c>
      <c r="GT135" s="9">
        <v>0</v>
      </c>
      <c r="GU135" s="9">
        <v>0</v>
      </c>
      <c r="GV135" s="9">
        <v>0</v>
      </c>
      <c r="GW135" s="9">
        <v>0</v>
      </c>
      <c r="GX135" s="9">
        <v>0</v>
      </c>
      <c r="GY135" s="9">
        <v>0</v>
      </c>
      <c r="GZ135" s="9">
        <v>0</v>
      </c>
      <c r="HA135" s="9">
        <v>0</v>
      </c>
      <c r="HB135" s="9">
        <v>300501363</v>
      </c>
      <c r="HC135" s="9">
        <v>4.4742999999999998E-2</v>
      </c>
      <c r="HD135" s="9">
        <v>816498</v>
      </c>
      <c r="HE135" s="9">
        <v>0</v>
      </c>
      <c r="HF135" s="9">
        <v>0</v>
      </c>
      <c r="HG135" s="9">
        <v>0</v>
      </c>
      <c r="HH135" s="9">
        <v>0</v>
      </c>
      <c r="HI135" s="9">
        <v>0</v>
      </c>
      <c r="HJ135" s="9">
        <v>0</v>
      </c>
      <c r="HK135" s="9">
        <v>0</v>
      </c>
      <c r="HL135" s="9">
        <v>0</v>
      </c>
      <c r="HM135" s="9">
        <v>0</v>
      </c>
      <c r="HN135" s="9">
        <v>0</v>
      </c>
      <c r="HO135" s="9">
        <v>0</v>
      </c>
      <c r="HP135" s="9">
        <v>0</v>
      </c>
      <c r="HQ135" s="9">
        <v>0</v>
      </c>
      <c r="HR135" s="9">
        <v>0</v>
      </c>
      <c r="HS135" s="9">
        <v>0</v>
      </c>
      <c r="HT135" s="9">
        <v>0</v>
      </c>
      <c r="HU135" s="9">
        <v>0</v>
      </c>
      <c r="HV135" s="9">
        <v>0</v>
      </c>
      <c r="HW135" s="9">
        <v>0</v>
      </c>
      <c r="HX135" s="9">
        <v>0</v>
      </c>
      <c r="HY135" s="9">
        <v>0</v>
      </c>
      <c r="HZ135" s="9">
        <v>0</v>
      </c>
      <c r="IA135" s="9">
        <v>0</v>
      </c>
      <c r="IB135" s="9">
        <v>0</v>
      </c>
      <c r="IC135" s="9">
        <v>0</v>
      </c>
      <c r="ID135" s="9">
        <v>0</v>
      </c>
      <c r="IE135" s="9">
        <v>0</v>
      </c>
      <c r="IF135" s="9">
        <v>0</v>
      </c>
      <c r="IG135" s="9">
        <v>0</v>
      </c>
      <c r="IH135" s="9">
        <v>0</v>
      </c>
      <c r="II135" s="9">
        <v>0</v>
      </c>
      <c r="IJ135" s="9">
        <v>0</v>
      </c>
      <c r="IK135" s="9">
        <v>0</v>
      </c>
      <c r="IL135" s="9">
        <v>0</v>
      </c>
      <c r="IM135" s="9">
        <v>0</v>
      </c>
      <c r="IN135" s="9">
        <v>0</v>
      </c>
      <c r="IO135" s="9">
        <v>0</v>
      </c>
      <c r="IP135" s="9">
        <v>0</v>
      </c>
      <c r="IQ135" s="9">
        <v>0</v>
      </c>
      <c r="IR135" s="9">
        <v>0</v>
      </c>
      <c r="IS135" s="9">
        <v>0</v>
      </c>
      <c r="IT135" s="9">
        <v>0</v>
      </c>
      <c r="IU135" s="9">
        <v>0</v>
      </c>
      <c r="IV135" s="9">
        <v>0</v>
      </c>
      <c r="IW135" s="9">
        <v>0</v>
      </c>
      <c r="IX135" s="9">
        <v>0</v>
      </c>
      <c r="IY135" s="9">
        <v>0</v>
      </c>
      <c r="IZ135" s="9">
        <v>0</v>
      </c>
      <c r="JA135" s="9">
        <v>0</v>
      </c>
      <c r="JB135" s="9">
        <v>0</v>
      </c>
      <c r="JC135" s="9">
        <v>0</v>
      </c>
      <c r="JD135" s="9">
        <v>0</v>
      </c>
      <c r="JE135" s="9">
        <v>0</v>
      </c>
      <c r="JF135" s="9">
        <v>0</v>
      </c>
      <c r="JG135" s="9">
        <v>0</v>
      </c>
      <c r="JH135" s="9">
        <v>0</v>
      </c>
      <c r="JI135" s="9">
        <v>0</v>
      </c>
      <c r="JJ135" s="9">
        <v>0</v>
      </c>
      <c r="JK135" s="9">
        <v>0</v>
      </c>
      <c r="JL135" s="9">
        <v>0</v>
      </c>
      <c r="JM135" s="9">
        <v>0</v>
      </c>
      <c r="JN135" s="9">
        <v>36832</v>
      </c>
      <c r="JO135" s="9">
        <v>0</v>
      </c>
      <c r="JP135" s="9">
        <v>0</v>
      </c>
      <c r="JQ135" s="9">
        <v>0</v>
      </c>
      <c r="JR135" s="9">
        <v>0</v>
      </c>
      <c r="JS135" s="9">
        <v>0</v>
      </c>
      <c r="JT135" s="9">
        <v>0</v>
      </c>
      <c r="JU135" s="9">
        <v>0</v>
      </c>
      <c r="JV135" s="9">
        <v>0</v>
      </c>
      <c r="JW135" s="9">
        <v>0</v>
      </c>
      <c r="JX135" s="9">
        <v>0</v>
      </c>
      <c r="JY135" s="9">
        <v>0</v>
      </c>
      <c r="JZ135" s="9">
        <v>0</v>
      </c>
      <c r="KA135" s="9">
        <v>0</v>
      </c>
      <c r="KB135" s="9">
        <v>0</v>
      </c>
      <c r="KC135" s="9">
        <v>0</v>
      </c>
      <c r="KD135" s="9">
        <v>0</v>
      </c>
      <c r="KE135" s="9">
        <v>0</v>
      </c>
      <c r="KF135" s="9">
        <v>0</v>
      </c>
      <c r="KG135" s="9">
        <v>0</v>
      </c>
      <c r="KH135" s="9">
        <v>0</v>
      </c>
      <c r="KI135" s="9">
        <v>0</v>
      </c>
    </row>
    <row r="136" spans="1:295" x14ac:dyDescent="0.25">
      <c r="A136" s="9">
        <v>108809</v>
      </c>
      <c r="B136" s="9">
        <v>36871</v>
      </c>
      <c r="C136" s="9">
        <v>35</v>
      </c>
      <c r="D136" s="9">
        <v>2023</v>
      </c>
      <c r="E136" s="9">
        <v>5392</v>
      </c>
      <c r="F136" s="9">
        <v>0</v>
      </c>
      <c r="G136" s="9">
        <v>0</v>
      </c>
      <c r="H136" s="9">
        <v>296.16800000000001</v>
      </c>
      <c r="I136" s="9">
        <v>296.16800000000001</v>
      </c>
      <c r="J136" s="9">
        <v>308.32499999999999</v>
      </c>
      <c r="K136" s="9">
        <v>0</v>
      </c>
      <c r="L136" s="9">
        <v>6547</v>
      </c>
      <c r="M136" s="9">
        <v>0</v>
      </c>
      <c r="N136" s="9">
        <v>0</v>
      </c>
      <c r="O136" s="9">
        <v>0</v>
      </c>
      <c r="P136" s="9">
        <v>270.94600000000003</v>
      </c>
      <c r="Q136" s="9">
        <v>0</v>
      </c>
      <c r="R136" s="9">
        <v>131930</v>
      </c>
      <c r="S136" s="9">
        <v>486.92200000000003</v>
      </c>
      <c r="T136" s="9">
        <v>0</v>
      </c>
      <c r="U136" s="9">
        <v>131930</v>
      </c>
      <c r="V136" s="9">
        <v>166.92700000000002</v>
      </c>
      <c r="W136" s="9">
        <v>109287</v>
      </c>
      <c r="X136" s="9">
        <v>109287</v>
      </c>
      <c r="Y136" s="9">
        <v>0</v>
      </c>
      <c r="Z136" s="9">
        <v>0</v>
      </c>
      <c r="AA136" s="9">
        <v>1</v>
      </c>
      <c r="AB136" s="9">
        <v>1</v>
      </c>
      <c r="AC136" s="9">
        <v>0</v>
      </c>
      <c r="AD136" s="9" t="s">
        <v>314</v>
      </c>
      <c r="AE136" s="9">
        <v>0</v>
      </c>
      <c r="AF136" s="9">
        <v>0</v>
      </c>
      <c r="AG136" s="9">
        <v>0</v>
      </c>
      <c r="AH136" s="9">
        <v>0</v>
      </c>
      <c r="AI136" s="9">
        <v>0</v>
      </c>
      <c r="AJ136" s="9">
        <v>5104</v>
      </c>
      <c r="AK136" s="9" t="s">
        <v>651</v>
      </c>
      <c r="AL136" s="9" t="s">
        <v>116</v>
      </c>
      <c r="AM136" s="9">
        <v>0</v>
      </c>
      <c r="AN136" s="9">
        <v>0</v>
      </c>
      <c r="AO136" s="9">
        <v>0</v>
      </c>
      <c r="AP136" s="9">
        <v>0</v>
      </c>
      <c r="AQ136" s="9">
        <v>0</v>
      </c>
      <c r="AR136" s="9">
        <v>0</v>
      </c>
      <c r="AS136" s="9">
        <v>0</v>
      </c>
      <c r="AT136" s="9">
        <v>0</v>
      </c>
      <c r="AU136" s="9">
        <v>0</v>
      </c>
      <c r="AV136" s="9">
        <v>-118760</v>
      </c>
      <c r="AW136" s="9">
        <v>3134835</v>
      </c>
      <c r="AX136" s="9">
        <v>3080481</v>
      </c>
      <c r="AY136" s="9">
        <v>2968325</v>
      </c>
      <c r="AZ136" s="9">
        <v>131930</v>
      </c>
      <c r="BA136" s="9">
        <v>0</v>
      </c>
      <c r="BB136" s="9">
        <v>6285</v>
      </c>
      <c r="BC136" s="9">
        <v>6285</v>
      </c>
      <c r="BD136" s="9">
        <v>8</v>
      </c>
      <c r="BE136" s="9">
        <v>0</v>
      </c>
      <c r="BF136" s="9">
        <v>2643728</v>
      </c>
      <c r="BG136" s="9">
        <v>0</v>
      </c>
      <c r="BH136" s="9">
        <v>0</v>
      </c>
      <c r="BI136" s="9">
        <v>0</v>
      </c>
      <c r="BJ136" s="9">
        <v>12</v>
      </c>
      <c r="BK136" s="9">
        <v>0</v>
      </c>
      <c r="BL136" s="9">
        <v>0</v>
      </c>
      <c r="BM136" s="9">
        <v>0</v>
      </c>
      <c r="BN136" s="9">
        <v>0</v>
      </c>
      <c r="BO136" s="9">
        <v>0</v>
      </c>
      <c r="BP136" s="9">
        <v>0</v>
      </c>
      <c r="BQ136" s="9">
        <v>5392</v>
      </c>
      <c r="BR136" s="9">
        <v>1</v>
      </c>
      <c r="BS136" s="9">
        <v>0</v>
      </c>
      <c r="BT136" s="9">
        <v>0</v>
      </c>
      <c r="BU136" s="9">
        <v>0</v>
      </c>
      <c r="BV136" s="9">
        <v>0</v>
      </c>
      <c r="BW136" s="9">
        <v>0</v>
      </c>
      <c r="BX136" s="9">
        <v>0</v>
      </c>
      <c r="BY136" s="9">
        <v>0</v>
      </c>
      <c r="BZ136" s="9">
        <v>0</v>
      </c>
      <c r="CA136" s="9">
        <v>0</v>
      </c>
      <c r="CB136" s="9">
        <v>0</v>
      </c>
      <c r="CC136" s="9">
        <v>0</v>
      </c>
      <c r="CD136" s="9">
        <v>0</v>
      </c>
      <c r="CE136" s="9">
        <v>0</v>
      </c>
      <c r="CF136" s="9">
        <v>0</v>
      </c>
      <c r="CG136" s="9">
        <v>0</v>
      </c>
      <c r="CH136" s="9">
        <v>54354</v>
      </c>
      <c r="CI136" s="9">
        <v>0</v>
      </c>
      <c r="CJ136" s="9">
        <v>4</v>
      </c>
      <c r="CK136" s="9">
        <v>0</v>
      </c>
      <c r="CL136" s="9">
        <v>0</v>
      </c>
      <c r="CM136" s="9">
        <v>0</v>
      </c>
      <c r="CN136" s="9">
        <v>0</v>
      </c>
      <c r="CO136" s="9">
        <v>0</v>
      </c>
      <c r="CP136" s="9">
        <v>0</v>
      </c>
      <c r="CQ136" s="9">
        <v>0</v>
      </c>
      <c r="CR136" s="9">
        <v>259.25700000000001</v>
      </c>
      <c r="CS136" s="9">
        <v>0</v>
      </c>
      <c r="CT136" s="9">
        <v>0</v>
      </c>
      <c r="CU136" s="9">
        <v>0</v>
      </c>
      <c r="CV136" s="9">
        <v>0</v>
      </c>
      <c r="CW136" s="9">
        <v>0</v>
      </c>
      <c r="CX136" s="9">
        <v>0</v>
      </c>
      <c r="CY136" s="9">
        <v>0</v>
      </c>
      <c r="CZ136" s="9">
        <v>0</v>
      </c>
      <c r="DA136" s="9">
        <v>1</v>
      </c>
      <c r="DB136" s="9">
        <v>1939012</v>
      </c>
      <c r="DC136" s="9">
        <v>0</v>
      </c>
      <c r="DD136" s="9">
        <v>0</v>
      </c>
      <c r="DE136" s="9">
        <v>397835</v>
      </c>
      <c r="DF136" s="9">
        <v>397835</v>
      </c>
      <c r="DG136" s="9">
        <v>303.83</v>
      </c>
      <c r="DH136" s="9">
        <v>0</v>
      </c>
      <c r="DI136" s="9">
        <v>0</v>
      </c>
      <c r="DJ136" s="9">
        <v>0</v>
      </c>
      <c r="DK136" s="9">
        <v>5392</v>
      </c>
      <c r="DL136" s="9">
        <v>0</v>
      </c>
      <c r="DM136" s="9">
        <v>263922</v>
      </c>
      <c r="DN136" s="9">
        <v>0</v>
      </c>
      <c r="DO136" s="9">
        <v>167</v>
      </c>
      <c r="DP136" s="9">
        <v>0</v>
      </c>
      <c r="DQ136" s="9">
        <v>0</v>
      </c>
      <c r="DR136" s="9">
        <v>0</v>
      </c>
      <c r="DS136" s="9">
        <v>0</v>
      </c>
      <c r="DT136" s="9">
        <v>8.0000000000000002E-3</v>
      </c>
      <c r="DU136" s="9">
        <v>0</v>
      </c>
      <c r="DV136" s="9">
        <v>0</v>
      </c>
      <c r="DW136" s="9">
        <v>2E-3</v>
      </c>
      <c r="DX136" s="9">
        <v>0</v>
      </c>
      <c r="DY136" s="9">
        <v>0</v>
      </c>
      <c r="DZ136" s="9">
        <v>3.4000000000000002E-2</v>
      </c>
      <c r="EA136" s="9">
        <v>0</v>
      </c>
      <c r="EB136" s="9">
        <v>0</v>
      </c>
      <c r="EC136" s="9">
        <v>1.903</v>
      </c>
      <c r="ED136" s="9">
        <v>13705</v>
      </c>
      <c r="EE136" s="9">
        <v>0</v>
      </c>
      <c r="EF136" s="9">
        <v>0</v>
      </c>
      <c r="EG136" s="9">
        <v>0</v>
      </c>
      <c r="EH136" s="9">
        <v>250050</v>
      </c>
      <c r="EI136" s="9">
        <v>0</v>
      </c>
      <c r="EJ136" s="9">
        <v>0</v>
      </c>
      <c r="EK136" s="9">
        <v>11.296000000000001</v>
      </c>
      <c r="EL136" s="9">
        <v>0</v>
      </c>
      <c r="EM136" s="9">
        <v>0</v>
      </c>
      <c r="EN136" s="9">
        <v>0.86099999999999999</v>
      </c>
      <c r="EO136" s="9">
        <v>0</v>
      </c>
      <c r="EP136" s="9">
        <v>0</v>
      </c>
      <c r="EQ136" s="9">
        <v>12.157</v>
      </c>
      <c r="ER136" s="9">
        <v>0</v>
      </c>
      <c r="ES136" s="9">
        <v>38.193000000000005</v>
      </c>
      <c r="ET136" s="9">
        <v>0</v>
      </c>
      <c r="EU136" s="9">
        <v>131930</v>
      </c>
      <c r="EV136" s="9">
        <v>0</v>
      </c>
      <c r="EW136" s="9">
        <v>0</v>
      </c>
      <c r="EX136" s="9">
        <v>0</v>
      </c>
      <c r="EY136" s="9">
        <v>0</v>
      </c>
      <c r="EZ136" s="9">
        <v>2584411</v>
      </c>
      <c r="FA136" s="9">
        <v>0</v>
      </c>
      <c r="FB136" s="9">
        <v>2716341</v>
      </c>
      <c r="FC136" s="9">
        <v>0.97326799999999991</v>
      </c>
      <c r="FD136" s="9">
        <v>0</v>
      </c>
      <c r="FE136" s="9">
        <v>408978</v>
      </c>
      <c r="FF136" s="9">
        <v>87092</v>
      </c>
      <c r="FG136" s="9">
        <v>5.8088000000000001E-2</v>
      </c>
      <c r="FH136" s="9">
        <v>5.2622999999999996E-2</v>
      </c>
      <c r="FI136" s="9">
        <v>0</v>
      </c>
      <c r="FJ136" s="9">
        <v>0</v>
      </c>
      <c r="FK136" s="9">
        <v>518</v>
      </c>
      <c r="FL136" s="9">
        <v>3266765</v>
      </c>
      <c r="FM136" s="9">
        <v>0</v>
      </c>
      <c r="FN136" s="9">
        <v>0</v>
      </c>
      <c r="FO136" s="9">
        <v>0</v>
      </c>
      <c r="FP136" s="9">
        <v>0</v>
      </c>
      <c r="FQ136" s="9">
        <v>0</v>
      </c>
      <c r="FR136" s="9">
        <v>0</v>
      </c>
      <c r="FS136" s="9">
        <v>0</v>
      </c>
      <c r="FT136" s="9">
        <v>0</v>
      </c>
      <c r="FU136" s="9">
        <v>0</v>
      </c>
      <c r="FV136" s="9">
        <v>0</v>
      </c>
      <c r="FW136" s="9">
        <v>0</v>
      </c>
      <c r="FX136" s="9">
        <v>0</v>
      </c>
      <c r="FY136" s="9">
        <v>0</v>
      </c>
      <c r="FZ136" s="9">
        <v>0</v>
      </c>
      <c r="GA136" s="9">
        <v>0</v>
      </c>
      <c r="GB136" s="9">
        <v>0</v>
      </c>
      <c r="GC136" s="9">
        <v>0</v>
      </c>
      <c r="GD136" s="9">
        <v>0</v>
      </c>
      <c r="GE136" s="9">
        <v>0</v>
      </c>
      <c r="GF136" s="9">
        <v>0</v>
      </c>
      <c r="GG136" s="9">
        <v>0</v>
      </c>
      <c r="GH136" s="9">
        <v>0</v>
      </c>
      <c r="GI136" s="9">
        <v>0</v>
      </c>
      <c r="GJ136" s="9">
        <v>0</v>
      </c>
      <c r="GK136" s="9">
        <v>4971</v>
      </c>
      <c r="GL136" s="9">
        <v>0</v>
      </c>
      <c r="GM136" s="9">
        <v>0</v>
      </c>
      <c r="GN136" s="9">
        <v>0</v>
      </c>
      <c r="GO136" s="9">
        <v>0</v>
      </c>
      <c r="GP136" s="9">
        <v>3212411</v>
      </c>
      <c r="GQ136" s="9">
        <v>3212411</v>
      </c>
      <c r="GR136" s="9">
        <v>0</v>
      </c>
      <c r="GS136" s="9">
        <v>0</v>
      </c>
      <c r="GT136" s="9">
        <v>0</v>
      </c>
      <c r="GU136" s="9">
        <v>0</v>
      </c>
      <c r="GV136" s="9">
        <v>0</v>
      </c>
      <c r="GW136" s="9">
        <v>0</v>
      </c>
      <c r="GX136" s="9">
        <v>0</v>
      </c>
      <c r="GY136" s="9">
        <v>0</v>
      </c>
      <c r="GZ136" s="9">
        <v>0</v>
      </c>
      <c r="HA136" s="9">
        <v>0</v>
      </c>
      <c r="HB136" s="9">
        <v>300501363</v>
      </c>
      <c r="HC136" s="9">
        <v>4.4742999999999998E-2</v>
      </c>
      <c r="HD136" s="9">
        <v>54354</v>
      </c>
      <c r="HE136" s="9">
        <v>0</v>
      </c>
      <c r="HF136" s="9">
        <v>0</v>
      </c>
      <c r="HG136" s="9">
        <v>0</v>
      </c>
      <c r="HH136" s="9">
        <v>0</v>
      </c>
      <c r="HI136" s="9">
        <v>0</v>
      </c>
      <c r="HJ136" s="9">
        <v>0</v>
      </c>
      <c r="HK136" s="9">
        <v>0</v>
      </c>
      <c r="HL136" s="9">
        <v>0</v>
      </c>
      <c r="HM136" s="9">
        <v>0</v>
      </c>
      <c r="HN136" s="9">
        <v>0</v>
      </c>
      <c r="HO136" s="9">
        <v>0</v>
      </c>
      <c r="HP136" s="9">
        <v>0</v>
      </c>
      <c r="HQ136" s="9">
        <v>0</v>
      </c>
      <c r="HR136" s="9">
        <v>0</v>
      </c>
      <c r="HS136" s="9">
        <v>0</v>
      </c>
      <c r="HT136" s="9">
        <v>0</v>
      </c>
      <c r="HU136" s="9">
        <v>0</v>
      </c>
      <c r="HV136" s="9">
        <v>0</v>
      </c>
      <c r="HW136" s="9">
        <v>0</v>
      </c>
      <c r="HX136" s="9">
        <v>0</v>
      </c>
      <c r="HY136" s="9">
        <v>0</v>
      </c>
      <c r="HZ136" s="9">
        <v>0</v>
      </c>
      <c r="IA136" s="9">
        <v>0</v>
      </c>
      <c r="IB136" s="9">
        <v>0</v>
      </c>
      <c r="IC136" s="9">
        <v>0</v>
      </c>
      <c r="ID136" s="9">
        <v>0</v>
      </c>
      <c r="IE136" s="9">
        <v>0</v>
      </c>
      <c r="IF136" s="9">
        <v>0</v>
      </c>
      <c r="IG136" s="9">
        <v>0</v>
      </c>
      <c r="IH136" s="9">
        <v>0</v>
      </c>
      <c r="II136" s="9">
        <v>0</v>
      </c>
      <c r="IJ136" s="9">
        <v>0</v>
      </c>
      <c r="IK136" s="9">
        <v>0</v>
      </c>
      <c r="IL136" s="9">
        <v>0</v>
      </c>
      <c r="IM136" s="9">
        <v>0</v>
      </c>
      <c r="IN136" s="9">
        <v>0</v>
      </c>
      <c r="IO136" s="9">
        <v>0</v>
      </c>
      <c r="IP136" s="9">
        <v>0</v>
      </c>
      <c r="IQ136" s="9">
        <v>0</v>
      </c>
      <c r="IR136" s="9">
        <v>0</v>
      </c>
      <c r="IS136" s="9">
        <v>0</v>
      </c>
      <c r="IT136" s="9">
        <v>0</v>
      </c>
      <c r="IU136" s="9">
        <v>0</v>
      </c>
      <c r="IV136" s="9">
        <v>0</v>
      </c>
      <c r="IW136" s="9">
        <v>0</v>
      </c>
      <c r="IX136" s="9">
        <v>0</v>
      </c>
      <c r="IY136" s="9">
        <v>0</v>
      </c>
      <c r="IZ136" s="9">
        <v>0</v>
      </c>
      <c r="JA136" s="9">
        <v>0</v>
      </c>
      <c r="JB136" s="9">
        <v>0</v>
      </c>
      <c r="JC136" s="9">
        <v>0</v>
      </c>
      <c r="JD136" s="9">
        <v>0</v>
      </c>
      <c r="JE136" s="9">
        <v>0</v>
      </c>
      <c r="JF136" s="9">
        <v>0</v>
      </c>
      <c r="JG136" s="9">
        <v>0</v>
      </c>
      <c r="JH136" s="9">
        <v>0</v>
      </c>
      <c r="JI136" s="9">
        <v>0</v>
      </c>
      <c r="JJ136" s="9">
        <v>0</v>
      </c>
      <c r="JK136" s="9">
        <v>0</v>
      </c>
      <c r="JL136" s="9">
        <v>0</v>
      </c>
      <c r="JM136" s="9">
        <v>0</v>
      </c>
      <c r="JN136" s="9">
        <v>36832</v>
      </c>
      <c r="JO136" s="9">
        <v>0</v>
      </c>
      <c r="JP136" s="9">
        <v>0</v>
      </c>
      <c r="JQ136" s="9">
        <v>0</v>
      </c>
      <c r="JR136" s="9">
        <v>0</v>
      </c>
      <c r="JS136" s="9">
        <v>0</v>
      </c>
      <c r="JT136" s="9">
        <v>0</v>
      </c>
      <c r="JU136" s="9">
        <v>0</v>
      </c>
      <c r="JV136" s="9">
        <v>0</v>
      </c>
      <c r="JW136" s="9">
        <v>0</v>
      </c>
      <c r="JX136" s="9">
        <v>0</v>
      </c>
      <c r="JY136" s="9">
        <v>0</v>
      </c>
      <c r="JZ136" s="9">
        <v>0</v>
      </c>
      <c r="KA136" s="9">
        <v>0</v>
      </c>
      <c r="KB136" s="9">
        <v>0</v>
      </c>
      <c r="KC136" s="9">
        <v>0</v>
      </c>
      <c r="KD136" s="9">
        <v>0</v>
      </c>
      <c r="KE136" s="9">
        <v>0</v>
      </c>
      <c r="KF136" s="9">
        <v>0</v>
      </c>
      <c r="KG136" s="9">
        <v>0</v>
      </c>
      <c r="KH136" s="9">
        <v>0</v>
      </c>
      <c r="KI136" s="9">
        <v>0</v>
      </c>
    </row>
    <row r="137" spans="1:295" x14ac:dyDescent="0.25">
      <c r="A137" s="9">
        <v>111801</v>
      </c>
      <c r="B137" s="9">
        <v>36871</v>
      </c>
      <c r="C137" s="9">
        <v>35</v>
      </c>
      <c r="D137" s="9">
        <v>2023</v>
      </c>
      <c r="E137" s="9">
        <v>5392</v>
      </c>
      <c r="F137" s="9">
        <v>0</v>
      </c>
      <c r="G137" s="9">
        <v>0</v>
      </c>
      <c r="H137" s="9">
        <v>63.494</v>
      </c>
      <c r="I137" s="9">
        <v>63.494</v>
      </c>
      <c r="J137" s="9">
        <v>76.313000000000002</v>
      </c>
      <c r="K137" s="9">
        <v>0</v>
      </c>
      <c r="L137" s="9">
        <v>6547</v>
      </c>
      <c r="M137" s="9">
        <v>0</v>
      </c>
      <c r="N137" s="9">
        <v>0</v>
      </c>
      <c r="O137" s="9">
        <v>0</v>
      </c>
      <c r="P137" s="9">
        <v>81.09</v>
      </c>
      <c r="Q137" s="9">
        <v>0</v>
      </c>
      <c r="R137" s="9">
        <v>39485</v>
      </c>
      <c r="S137" s="9">
        <v>486.92200000000003</v>
      </c>
      <c r="T137" s="9">
        <v>0</v>
      </c>
      <c r="U137" s="9">
        <v>39485</v>
      </c>
      <c r="V137" s="9">
        <v>1.123</v>
      </c>
      <c r="W137" s="9">
        <v>735</v>
      </c>
      <c r="X137" s="9">
        <v>735</v>
      </c>
      <c r="Y137" s="9">
        <v>0</v>
      </c>
      <c r="Z137" s="9">
        <v>0</v>
      </c>
      <c r="AA137" s="9">
        <v>1</v>
      </c>
      <c r="AB137" s="9">
        <v>1</v>
      </c>
      <c r="AC137" s="9">
        <v>0</v>
      </c>
      <c r="AD137" s="9" t="s">
        <v>314</v>
      </c>
      <c r="AE137" s="9">
        <v>0</v>
      </c>
      <c r="AF137" s="9">
        <v>0</v>
      </c>
      <c r="AG137" s="9">
        <v>0</v>
      </c>
      <c r="AH137" s="9">
        <v>0</v>
      </c>
      <c r="AI137" s="9">
        <v>0</v>
      </c>
      <c r="AJ137" s="9">
        <v>5104</v>
      </c>
      <c r="AK137" s="9" t="s">
        <v>651</v>
      </c>
      <c r="AL137" s="9" t="s">
        <v>461</v>
      </c>
      <c r="AM137" s="9">
        <v>0</v>
      </c>
      <c r="AN137" s="9">
        <v>0</v>
      </c>
      <c r="AO137" s="9">
        <v>0</v>
      </c>
      <c r="AP137" s="9">
        <v>0</v>
      </c>
      <c r="AQ137" s="9">
        <v>0</v>
      </c>
      <c r="AR137" s="9">
        <v>0</v>
      </c>
      <c r="AS137" s="9">
        <v>0</v>
      </c>
      <c r="AT137" s="9">
        <v>0</v>
      </c>
      <c r="AU137" s="9">
        <v>0</v>
      </c>
      <c r="AV137" s="9">
        <v>23270</v>
      </c>
      <c r="AW137" s="9">
        <v>819600</v>
      </c>
      <c r="AX137" s="9">
        <v>790689</v>
      </c>
      <c r="AY137" s="9">
        <v>865464</v>
      </c>
      <c r="AZ137" s="9">
        <v>54943</v>
      </c>
      <c r="BA137" s="9">
        <v>0</v>
      </c>
      <c r="BB137" s="9">
        <v>0</v>
      </c>
      <c r="BC137" s="9">
        <v>0</v>
      </c>
      <c r="BD137" s="9">
        <v>0</v>
      </c>
      <c r="BE137" s="9">
        <v>0</v>
      </c>
      <c r="BF137" s="9">
        <v>683211</v>
      </c>
      <c r="BG137" s="9">
        <v>0</v>
      </c>
      <c r="BH137" s="9">
        <v>56.212000000000003</v>
      </c>
      <c r="BI137" s="9">
        <v>15458</v>
      </c>
      <c r="BJ137" s="9">
        <v>12</v>
      </c>
      <c r="BK137" s="9">
        <v>0</v>
      </c>
      <c r="BL137" s="9">
        <v>0</v>
      </c>
      <c r="BM137" s="9">
        <v>0</v>
      </c>
      <c r="BN137" s="9">
        <v>0</v>
      </c>
      <c r="BO137" s="9">
        <v>0</v>
      </c>
      <c r="BP137" s="9">
        <v>0</v>
      </c>
      <c r="BQ137" s="9">
        <v>5392</v>
      </c>
      <c r="BR137" s="9">
        <v>1</v>
      </c>
      <c r="BS137" s="9">
        <v>0</v>
      </c>
      <c r="BT137" s="9">
        <v>0</v>
      </c>
      <c r="BU137" s="9">
        <v>0</v>
      </c>
      <c r="BV137" s="9">
        <v>0</v>
      </c>
      <c r="BW137" s="9">
        <v>0</v>
      </c>
      <c r="BX137" s="9">
        <v>0</v>
      </c>
      <c r="BY137" s="9">
        <v>0</v>
      </c>
      <c r="BZ137" s="9">
        <v>0</v>
      </c>
      <c r="CA137" s="9">
        <v>0</v>
      </c>
      <c r="CB137" s="9">
        <v>0</v>
      </c>
      <c r="CC137" s="9">
        <v>0</v>
      </c>
      <c r="CD137" s="9">
        <v>0</v>
      </c>
      <c r="CE137" s="9">
        <v>0</v>
      </c>
      <c r="CF137" s="9">
        <v>0</v>
      </c>
      <c r="CG137" s="9">
        <v>0</v>
      </c>
      <c r="CH137" s="9">
        <v>13453</v>
      </c>
      <c r="CI137" s="9">
        <v>0</v>
      </c>
      <c r="CJ137" s="9">
        <v>4</v>
      </c>
      <c r="CK137" s="9">
        <v>0</v>
      </c>
      <c r="CL137" s="9">
        <v>0</v>
      </c>
      <c r="CM137" s="9">
        <v>0</v>
      </c>
      <c r="CN137" s="9">
        <v>0</v>
      </c>
      <c r="CO137" s="9">
        <v>0</v>
      </c>
      <c r="CP137" s="9">
        <v>0</v>
      </c>
      <c r="CQ137" s="9">
        <v>0</v>
      </c>
      <c r="CR137" s="9">
        <v>81.09</v>
      </c>
      <c r="CS137" s="9">
        <v>0</v>
      </c>
      <c r="CT137" s="9">
        <v>0</v>
      </c>
      <c r="CU137" s="9">
        <v>0</v>
      </c>
      <c r="CV137" s="9">
        <v>0</v>
      </c>
      <c r="CW137" s="9">
        <v>0</v>
      </c>
      <c r="CX137" s="9">
        <v>0</v>
      </c>
      <c r="CY137" s="9">
        <v>0</v>
      </c>
      <c r="CZ137" s="9">
        <v>0</v>
      </c>
      <c r="DA137" s="9">
        <v>1</v>
      </c>
      <c r="DB137" s="9">
        <v>415695</v>
      </c>
      <c r="DC137" s="9">
        <v>0</v>
      </c>
      <c r="DD137" s="9">
        <v>0</v>
      </c>
      <c r="DE137" s="9">
        <v>0</v>
      </c>
      <c r="DF137" s="9">
        <v>0</v>
      </c>
      <c r="DG137" s="9">
        <v>0</v>
      </c>
      <c r="DH137" s="9">
        <v>0</v>
      </c>
      <c r="DI137" s="9">
        <v>0</v>
      </c>
      <c r="DJ137" s="9">
        <v>0</v>
      </c>
      <c r="DK137" s="9">
        <v>5392</v>
      </c>
      <c r="DL137" s="9">
        <v>0</v>
      </c>
      <c r="DM137" s="9">
        <v>259994</v>
      </c>
      <c r="DN137" s="9">
        <v>0</v>
      </c>
      <c r="DO137" s="9">
        <v>0</v>
      </c>
      <c r="DP137" s="9">
        <v>0</v>
      </c>
      <c r="DQ137" s="9">
        <v>0</v>
      </c>
      <c r="DR137" s="9">
        <v>0</v>
      </c>
      <c r="DS137" s="9">
        <v>0</v>
      </c>
      <c r="DT137" s="9">
        <v>0</v>
      </c>
      <c r="DU137" s="9">
        <v>0</v>
      </c>
      <c r="DV137" s="9">
        <v>0</v>
      </c>
      <c r="DW137" s="9">
        <v>0</v>
      </c>
      <c r="DX137" s="9">
        <v>0</v>
      </c>
      <c r="DY137" s="9">
        <v>0</v>
      </c>
      <c r="DZ137" s="9">
        <v>0</v>
      </c>
      <c r="EA137" s="9">
        <v>0</v>
      </c>
      <c r="EB137" s="9">
        <v>0</v>
      </c>
      <c r="EC137" s="9">
        <v>0</v>
      </c>
      <c r="ED137" s="9">
        <v>0</v>
      </c>
      <c r="EE137" s="9">
        <v>0</v>
      </c>
      <c r="EF137" s="9">
        <v>0</v>
      </c>
      <c r="EG137" s="9">
        <v>0</v>
      </c>
      <c r="EH137" s="9">
        <v>0</v>
      </c>
      <c r="EI137" s="9">
        <v>259994</v>
      </c>
      <c r="EJ137" s="9">
        <v>9.9280000000000008</v>
      </c>
      <c r="EK137" s="9">
        <v>0</v>
      </c>
      <c r="EL137" s="9">
        <v>0</v>
      </c>
      <c r="EM137" s="9">
        <v>0</v>
      </c>
      <c r="EN137" s="9">
        <v>0</v>
      </c>
      <c r="EO137" s="9">
        <v>0</v>
      </c>
      <c r="EP137" s="9">
        <v>0</v>
      </c>
      <c r="EQ137" s="9">
        <v>9.9280000000000008</v>
      </c>
      <c r="ER137" s="9">
        <v>0</v>
      </c>
      <c r="ES137" s="9">
        <v>0</v>
      </c>
      <c r="ET137" s="9">
        <v>0</v>
      </c>
      <c r="EU137" s="9">
        <v>54943</v>
      </c>
      <c r="EV137" s="9">
        <v>0</v>
      </c>
      <c r="EW137" s="9">
        <v>0</v>
      </c>
      <c r="EX137" s="9">
        <v>0</v>
      </c>
      <c r="EY137" s="9">
        <v>0</v>
      </c>
      <c r="EZ137" s="9">
        <v>662491</v>
      </c>
      <c r="FA137" s="9">
        <v>0</v>
      </c>
      <c r="FB137" s="9">
        <v>717434</v>
      </c>
      <c r="FC137" s="9">
        <v>0.97326799999999991</v>
      </c>
      <c r="FD137" s="9">
        <v>0</v>
      </c>
      <c r="FE137" s="9">
        <v>105691</v>
      </c>
      <c r="FF137" s="9">
        <v>22507</v>
      </c>
      <c r="FG137" s="9">
        <v>5.8088000000000001E-2</v>
      </c>
      <c r="FH137" s="9">
        <v>5.2622999999999996E-2</v>
      </c>
      <c r="FI137" s="9">
        <v>0</v>
      </c>
      <c r="FJ137" s="9">
        <v>0</v>
      </c>
      <c r="FK137" s="9">
        <v>133.86500000000001</v>
      </c>
      <c r="FL137" s="9">
        <v>859085</v>
      </c>
      <c r="FM137" s="9">
        <v>0</v>
      </c>
      <c r="FN137" s="9">
        <v>0</v>
      </c>
      <c r="FO137" s="9">
        <v>0</v>
      </c>
      <c r="FP137" s="9">
        <v>0</v>
      </c>
      <c r="FQ137" s="9">
        <v>0</v>
      </c>
      <c r="FR137" s="9">
        <v>0</v>
      </c>
      <c r="FS137" s="9">
        <v>0</v>
      </c>
      <c r="FT137" s="9">
        <v>0</v>
      </c>
      <c r="FU137" s="9">
        <v>0</v>
      </c>
      <c r="FV137" s="9">
        <v>0</v>
      </c>
      <c r="FW137" s="9">
        <v>0</v>
      </c>
      <c r="FX137" s="9">
        <v>0</v>
      </c>
      <c r="FY137" s="9">
        <v>0</v>
      </c>
      <c r="FZ137" s="9">
        <v>0</v>
      </c>
      <c r="GA137" s="9">
        <v>0</v>
      </c>
      <c r="GB137" s="9">
        <v>25552</v>
      </c>
      <c r="GC137" s="9">
        <v>25552</v>
      </c>
      <c r="GD137" s="9">
        <v>2.891</v>
      </c>
      <c r="GE137" s="9">
        <v>0</v>
      </c>
      <c r="GF137" s="9">
        <v>0</v>
      </c>
      <c r="GG137" s="9">
        <v>0</v>
      </c>
      <c r="GH137" s="9">
        <v>0</v>
      </c>
      <c r="GI137" s="9">
        <v>0</v>
      </c>
      <c r="GJ137" s="9">
        <v>0</v>
      </c>
      <c r="GK137" s="9">
        <v>0</v>
      </c>
      <c r="GL137" s="9">
        <v>0</v>
      </c>
      <c r="GM137" s="9">
        <v>0</v>
      </c>
      <c r="GN137" s="9">
        <v>0</v>
      </c>
      <c r="GO137" s="9">
        <v>0</v>
      </c>
      <c r="GP137" s="9">
        <v>845632</v>
      </c>
      <c r="GQ137" s="9">
        <v>845632</v>
      </c>
      <c r="GR137" s="9">
        <v>0</v>
      </c>
      <c r="GS137" s="9">
        <v>0</v>
      </c>
      <c r="GT137" s="9">
        <v>0</v>
      </c>
      <c r="GU137" s="9">
        <v>0</v>
      </c>
      <c r="GV137" s="9">
        <v>0</v>
      </c>
      <c r="GW137" s="9">
        <v>0</v>
      </c>
      <c r="GX137" s="9">
        <v>0</v>
      </c>
      <c r="GY137" s="9">
        <v>0</v>
      </c>
      <c r="GZ137" s="9">
        <v>0</v>
      </c>
      <c r="HA137" s="9">
        <v>0</v>
      </c>
      <c r="HB137" s="9">
        <v>300501363</v>
      </c>
      <c r="HC137" s="9">
        <v>4.4742999999999998E-2</v>
      </c>
      <c r="HD137" s="9">
        <v>13453</v>
      </c>
      <c r="HE137" s="9">
        <v>0</v>
      </c>
      <c r="HF137" s="9">
        <v>0</v>
      </c>
      <c r="HG137" s="9">
        <v>0</v>
      </c>
      <c r="HH137" s="9">
        <v>0</v>
      </c>
      <c r="HI137" s="9">
        <v>0</v>
      </c>
      <c r="HJ137" s="9">
        <v>0</v>
      </c>
      <c r="HK137" s="9">
        <v>0</v>
      </c>
      <c r="HL137" s="9">
        <v>0</v>
      </c>
      <c r="HM137" s="9">
        <v>0</v>
      </c>
      <c r="HN137" s="9">
        <v>0</v>
      </c>
      <c r="HO137" s="9">
        <v>0</v>
      </c>
      <c r="HP137" s="9">
        <v>0</v>
      </c>
      <c r="HQ137" s="9">
        <v>0</v>
      </c>
      <c r="HR137" s="9">
        <v>0</v>
      </c>
      <c r="HS137" s="9">
        <v>0</v>
      </c>
      <c r="HT137" s="9">
        <v>0</v>
      </c>
      <c r="HU137" s="9">
        <v>0</v>
      </c>
      <c r="HV137" s="9">
        <v>0</v>
      </c>
      <c r="HW137" s="9">
        <v>0</v>
      </c>
      <c r="HX137" s="9">
        <v>0</v>
      </c>
      <c r="HY137" s="9">
        <v>0</v>
      </c>
      <c r="HZ137" s="9">
        <v>0</v>
      </c>
      <c r="IA137" s="9">
        <v>0</v>
      </c>
      <c r="IB137" s="9">
        <v>0</v>
      </c>
      <c r="IC137" s="9">
        <v>0</v>
      </c>
      <c r="ID137" s="9">
        <v>0</v>
      </c>
      <c r="IE137" s="9">
        <v>0</v>
      </c>
      <c r="IF137" s="9">
        <v>0</v>
      </c>
      <c r="IG137" s="9">
        <v>0</v>
      </c>
      <c r="IH137" s="9">
        <v>0</v>
      </c>
      <c r="II137" s="9">
        <v>0</v>
      </c>
      <c r="IJ137" s="9">
        <v>0</v>
      </c>
      <c r="IK137" s="9">
        <v>0</v>
      </c>
      <c r="IL137" s="9">
        <v>0</v>
      </c>
      <c r="IM137" s="9">
        <v>0</v>
      </c>
      <c r="IN137" s="9">
        <v>0</v>
      </c>
      <c r="IO137" s="9">
        <v>0</v>
      </c>
      <c r="IP137" s="9">
        <v>0</v>
      </c>
      <c r="IQ137" s="9">
        <v>0</v>
      </c>
      <c r="IR137" s="9">
        <v>0</v>
      </c>
      <c r="IS137" s="9">
        <v>0</v>
      </c>
      <c r="IT137" s="9">
        <v>0</v>
      </c>
      <c r="IU137" s="9">
        <v>0</v>
      </c>
      <c r="IV137" s="9">
        <v>0</v>
      </c>
      <c r="IW137" s="9">
        <v>0</v>
      </c>
      <c r="IX137" s="9">
        <v>0</v>
      </c>
      <c r="IY137" s="9">
        <v>0</v>
      </c>
      <c r="IZ137" s="9">
        <v>0</v>
      </c>
      <c r="JA137" s="9">
        <v>0</v>
      </c>
      <c r="JB137" s="9">
        <v>0</v>
      </c>
      <c r="JC137" s="9">
        <v>0</v>
      </c>
      <c r="JD137" s="9">
        <v>0</v>
      </c>
      <c r="JE137" s="9">
        <v>0</v>
      </c>
      <c r="JF137" s="9">
        <v>0</v>
      </c>
      <c r="JG137" s="9">
        <v>0</v>
      </c>
      <c r="JH137" s="9">
        <v>0</v>
      </c>
      <c r="JI137" s="9">
        <v>0</v>
      </c>
      <c r="JJ137" s="9">
        <v>0</v>
      </c>
      <c r="JK137" s="9">
        <v>0</v>
      </c>
      <c r="JL137" s="9">
        <v>0</v>
      </c>
      <c r="JM137" s="9">
        <v>0</v>
      </c>
      <c r="JN137" s="9">
        <v>36832</v>
      </c>
      <c r="JO137" s="9">
        <v>0</v>
      </c>
      <c r="JP137" s="9">
        <v>0</v>
      </c>
      <c r="JQ137" s="9">
        <v>0</v>
      </c>
      <c r="JR137" s="9">
        <v>0</v>
      </c>
      <c r="JS137" s="9">
        <v>0</v>
      </c>
      <c r="JT137" s="9">
        <v>0</v>
      </c>
      <c r="JU137" s="9">
        <v>0</v>
      </c>
      <c r="JV137" s="9">
        <v>0</v>
      </c>
      <c r="JW137" s="9">
        <v>0</v>
      </c>
      <c r="JX137" s="9">
        <v>0</v>
      </c>
      <c r="JY137" s="9">
        <v>0</v>
      </c>
      <c r="JZ137" s="9">
        <v>0</v>
      </c>
      <c r="KA137" s="9">
        <v>0</v>
      </c>
      <c r="KB137" s="9">
        <v>0</v>
      </c>
      <c r="KC137" s="9">
        <v>0</v>
      </c>
      <c r="KD137" s="9">
        <v>0</v>
      </c>
      <c r="KE137" s="9">
        <v>0</v>
      </c>
      <c r="KF137" s="9">
        <v>0</v>
      </c>
      <c r="KG137" s="9">
        <v>0</v>
      </c>
      <c r="KH137" s="9">
        <v>0</v>
      </c>
      <c r="KI137" s="9">
        <v>0</v>
      </c>
    </row>
    <row r="138" spans="1:295" x14ac:dyDescent="0.25">
      <c r="A138" s="9">
        <v>123803</v>
      </c>
      <c r="B138" s="9">
        <v>36871</v>
      </c>
      <c r="C138" s="9">
        <v>35</v>
      </c>
      <c r="D138" s="9">
        <v>2023</v>
      </c>
      <c r="E138" s="9">
        <v>5392</v>
      </c>
      <c r="F138" s="9">
        <v>0</v>
      </c>
      <c r="G138" s="9">
        <v>0</v>
      </c>
      <c r="H138" s="9">
        <v>364.78500000000003</v>
      </c>
      <c r="I138" s="9">
        <v>364.78500000000003</v>
      </c>
      <c r="J138" s="9">
        <v>377.7</v>
      </c>
      <c r="K138" s="9">
        <v>0</v>
      </c>
      <c r="L138" s="9">
        <v>6547</v>
      </c>
      <c r="M138" s="9">
        <v>0</v>
      </c>
      <c r="N138" s="9">
        <v>0</v>
      </c>
      <c r="O138" s="9">
        <v>0</v>
      </c>
      <c r="P138" s="9">
        <v>361.31600000000003</v>
      </c>
      <c r="Q138" s="9">
        <v>0</v>
      </c>
      <c r="R138" s="9">
        <v>175933</v>
      </c>
      <c r="S138" s="9">
        <v>486.92200000000003</v>
      </c>
      <c r="T138" s="9">
        <v>0</v>
      </c>
      <c r="U138" s="9">
        <v>175933</v>
      </c>
      <c r="V138" s="9">
        <v>0</v>
      </c>
      <c r="W138" s="9">
        <v>0</v>
      </c>
      <c r="X138" s="9">
        <v>0</v>
      </c>
      <c r="Y138" s="9">
        <v>0</v>
      </c>
      <c r="Z138" s="9">
        <v>0</v>
      </c>
      <c r="AA138" s="9">
        <v>1</v>
      </c>
      <c r="AB138" s="9">
        <v>1</v>
      </c>
      <c r="AC138" s="9">
        <v>0</v>
      </c>
      <c r="AD138" s="9" t="s">
        <v>314</v>
      </c>
      <c r="AE138" s="9">
        <v>0</v>
      </c>
      <c r="AF138" s="9">
        <v>0</v>
      </c>
      <c r="AG138" s="9">
        <v>0</v>
      </c>
      <c r="AH138" s="9">
        <v>0</v>
      </c>
      <c r="AI138" s="9">
        <v>0</v>
      </c>
      <c r="AJ138" s="9">
        <v>5104</v>
      </c>
      <c r="AK138" s="9" t="s">
        <v>651</v>
      </c>
      <c r="AL138" s="9" t="s">
        <v>354</v>
      </c>
      <c r="AM138" s="9">
        <v>0</v>
      </c>
      <c r="AN138" s="9">
        <v>0</v>
      </c>
      <c r="AO138" s="9">
        <v>0</v>
      </c>
      <c r="AP138" s="9">
        <v>0</v>
      </c>
      <c r="AQ138" s="9">
        <v>0</v>
      </c>
      <c r="AR138" s="9">
        <v>0</v>
      </c>
      <c r="AS138" s="9">
        <v>0</v>
      </c>
      <c r="AT138" s="9">
        <v>0</v>
      </c>
      <c r="AU138" s="9">
        <v>0</v>
      </c>
      <c r="AV138" s="9">
        <v>-186425</v>
      </c>
      <c r="AW138" s="9">
        <v>3659908</v>
      </c>
      <c r="AX138" s="9">
        <v>3550328</v>
      </c>
      <c r="AY138" s="9">
        <v>3770429</v>
      </c>
      <c r="AZ138" s="9">
        <v>201533</v>
      </c>
      <c r="BA138" s="9">
        <v>34</v>
      </c>
      <c r="BB138" s="9">
        <v>0</v>
      </c>
      <c r="BC138" s="9">
        <v>0</v>
      </c>
      <c r="BD138" s="9">
        <v>0</v>
      </c>
      <c r="BE138" s="9">
        <v>0</v>
      </c>
      <c r="BF138" s="9">
        <v>3048301</v>
      </c>
      <c r="BG138" s="9">
        <v>0</v>
      </c>
      <c r="BH138" s="9">
        <v>93.091999999999999</v>
      </c>
      <c r="BI138" s="9">
        <v>25600</v>
      </c>
      <c r="BJ138" s="9">
        <v>12</v>
      </c>
      <c r="BK138" s="9">
        <v>0</v>
      </c>
      <c r="BL138" s="9">
        <v>0</v>
      </c>
      <c r="BM138" s="9">
        <v>0</v>
      </c>
      <c r="BN138" s="9">
        <v>0</v>
      </c>
      <c r="BO138" s="9">
        <v>0</v>
      </c>
      <c r="BP138" s="9">
        <v>0</v>
      </c>
      <c r="BQ138" s="9">
        <v>5392</v>
      </c>
      <c r="BR138" s="9">
        <v>1</v>
      </c>
      <c r="BS138" s="9">
        <v>0</v>
      </c>
      <c r="BT138" s="9">
        <v>0</v>
      </c>
      <c r="BU138" s="9">
        <v>0</v>
      </c>
      <c r="BV138" s="9">
        <v>0</v>
      </c>
      <c r="BW138" s="9">
        <v>0</v>
      </c>
      <c r="BX138" s="9">
        <v>0</v>
      </c>
      <c r="BY138" s="9">
        <v>0</v>
      </c>
      <c r="BZ138" s="9">
        <v>0</v>
      </c>
      <c r="CA138" s="9">
        <v>0</v>
      </c>
      <c r="CB138" s="9">
        <v>0</v>
      </c>
      <c r="CC138" s="9">
        <v>0</v>
      </c>
      <c r="CD138" s="9">
        <v>0</v>
      </c>
      <c r="CE138" s="9">
        <v>0</v>
      </c>
      <c r="CF138" s="9">
        <v>0</v>
      </c>
      <c r="CG138" s="9">
        <v>0</v>
      </c>
      <c r="CH138" s="9">
        <v>83980</v>
      </c>
      <c r="CI138" s="9">
        <v>0</v>
      </c>
      <c r="CJ138" s="9">
        <v>4</v>
      </c>
      <c r="CK138" s="9">
        <v>0</v>
      </c>
      <c r="CL138" s="9">
        <v>0</v>
      </c>
      <c r="CM138" s="9">
        <v>0</v>
      </c>
      <c r="CN138" s="9">
        <v>0</v>
      </c>
      <c r="CO138" s="9">
        <v>0</v>
      </c>
      <c r="CP138" s="9">
        <v>0</v>
      </c>
      <c r="CQ138" s="9">
        <v>1.5830000000000002</v>
      </c>
      <c r="CR138" s="9">
        <v>343.32900000000001</v>
      </c>
      <c r="CS138" s="9">
        <v>0</v>
      </c>
      <c r="CT138" s="9">
        <v>0</v>
      </c>
      <c r="CU138" s="9">
        <v>0</v>
      </c>
      <c r="CV138" s="9">
        <v>0</v>
      </c>
      <c r="CW138" s="9">
        <v>0</v>
      </c>
      <c r="CX138" s="9">
        <v>0</v>
      </c>
      <c r="CY138" s="9">
        <v>0</v>
      </c>
      <c r="CZ138" s="9">
        <v>0</v>
      </c>
      <c r="DA138" s="9">
        <v>1</v>
      </c>
      <c r="DB138" s="9">
        <v>2388247</v>
      </c>
      <c r="DC138" s="9">
        <v>0</v>
      </c>
      <c r="DD138" s="9">
        <v>0</v>
      </c>
      <c r="DE138" s="9">
        <v>563474</v>
      </c>
      <c r="DF138" s="9">
        <v>563474</v>
      </c>
      <c r="DG138" s="9">
        <v>430.33</v>
      </c>
      <c r="DH138" s="9">
        <v>0</v>
      </c>
      <c r="DI138" s="9">
        <v>0</v>
      </c>
      <c r="DJ138" s="9">
        <v>0</v>
      </c>
      <c r="DK138" s="9">
        <v>5392</v>
      </c>
      <c r="DL138" s="9">
        <v>0</v>
      </c>
      <c r="DM138" s="9">
        <v>66828</v>
      </c>
      <c r="DN138" s="9">
        <v>0</v>
      </c>
      <c r="DO138" s="9">
        <v>0</v>
      </c>
      <c r="DP138" s="9">
        <v>0</v>
      </c>
      <c r="DQ138" s="9">
        <v>0</v>
      </c>
      <c r="DR138" s="9">
        <v>0</v>
      </c>
      <c r="DS138" s="9">
        <v>0</v>
      </c>
      <c r="DT138" s="9">
        <v>0</v>
      </c>
      <c r="DU138" s="9">
        <v>0</v>
      </c>
      <c r="DV138" s="9">
        <v>0</v>
      </c>
      <c r="DW138" s="9">
        <v>0</v>
      </c>
      <c r="DX138" s="9">
        <v>0</v>
      </c>
      <c r="DY138" s="9">
        <v>0</v>
      </c>
      <c r="DZ138" s="9">
        <v>0</v>
      </c>
      <c r="EA138" s="9">
        <v>0</v>
      </c>
      <c r="EB138" s="9">
        <v>0</v>
      </c>
      <c r="EC138" s="9">
        <v>8.9340000000000011</v>
      </c>
      <c r="ED138" s="9">
        <v>64340</v>
      </c>
      <c r="EE138" s="9">
        <v>0</v>
      </c>
      <c r="EF138" s="9">
        <v>0</v>
      </c>
      <c r="EG138" s="9">
        <v>0</v>
      </c>
      <c r="EH138" s="9">
        <v>2488</v>
      </c>
      <c r="EI138" s="9">
        <v>0</v>
      </c>
      <c r="EJ138" s="9">
        <v>0</v>
      </c>
      <c r="EK138" s="9">
        <v>0</v>
      </c>
      <c r="EL138" s="9">
        <v>0</v>
      </c>
      <c r="EM138" s="9">
        <v>0</v>
      </c>
      <c r="EN138" s="9">
        <v>7.5999999999999998E-2</v>
      </c>
      <c r="EO138" s="9">
        <v>0</v>
      </c>
      <c r="EP138" s="9">
        <v>0</v>
      </c>
      <c r="EQ138" s="9">
        <v>7.5999999999999998E-2</v>
      </c>
      <c r="ER138" s="9">
        <v>0</v>
      </c>
      <c r="ES138" s="9">
        <v>0.38</v>
      </c>
      <c r="ET138" s="9">
        <v>17396</v>
      </c>
      <c r="EU138" s="9">
        <v>201533</v>
      </c>
      <c r="EV138" s="9">
        <v>0</v>
      </c>
      <c r="EW138" s="9">
        <v>0</v>
      </c>
      <c r="EX138" s="9">
        <v>0</v>
      </c>
      <c r="EY138" s="9">
        <v>0</v>
      </c>
      <c r="EZ138" s="9">
        <v>2978345</v>
      </c>
      <c r="FA138" s="9">
        <v>0</v>
      </c>
      <c r="FB138" s="9">
        <v>3179878</v>
      </c>
      <c r="FC138" s="9">
        <v>0.97326799999999991</v>
      </c>
      <c r="FD138" s="9">
        <v>0</v>
      </c>
      <c r="FE138" s="9">
        <v>471564</v>
      </c>
      <c r="FF138" s="9">
        <v>100419</v>
      </c>
      <c r="FG138" s="9">
        <v>5.8088000000000001E-2</v>
      </c>
      <c r="FH138" s="9">
        <v>5.2622999999999996E-2</v>
      </c>
      <c r="FI138" s="9">
        <v>0</v>
      </c>
      <c r="FJ138" s="9">
        <v>0</v>
      </c>
      <c r="FK138" s="9">
        <v>597.27</v>
      </c>
      <c r="FL138" s="9">
        <v>3835841</v>
      </c>
      <c r="FM138" s="9">
        <v>0</v>
      </c>
      <c r="FN138" s="9">
        <v>0</v>
      </c>
      <c r="FO138" s="9">
        <v>22252</v>
      </c>
      <c r="FP138" s="9">
        <v>0</v>
      </c>
      <c r="FQ138" s="9">
        <v>22252</v>
      </c>
      <c r="FR138" s="9">
        <v>22252</v>
      </c>
      <c r="FS138" s="9">
        <v>0</v>
      </c>
      <c r="FT138" s="9">
        <v>0</v>
      </c>
      <c r="FU138" s="9">
        <v>0</v>
      </c>
      <c r="FV138" s="9">
        <v>0</v>
      </c>
      <c r="FW138" s="9">
        <v>0</v>
      </c>
      <c r="FX138" s="9">
        <v>0</v>
      </c>
      <c r="FY138" s="9">
        <v>0</v>
      </c>
      <c r="FZ138" s="9">
        <v>0</v>
      </c>
      <c r="GA138" s="9">
        <v>0</v>
      </c>
      <c r="GB138" s="9">
        <v>113477</v>
      </c>
      <c r="GC138" s="9">
        <v>113477</v>
      </c>
      <c r="GD138" s="9">
        <v>12.839</v>
      </c>
      <c r="GE138" s="9">
        <v>0</v>
      </c>
      <c r="GF138" s="9">
        <v>0</v>
      </c>
      <c r="GG138" s="9">
        <v>0</v>
      </c>
      <c r="GH138" s="9">
        <v>0</v>
      </c>
      <c r="GI138" s="9">
        <v>0</v>
      </c>
      <c r="GJ138" s="9">
        <v>0</v>
      </c>
      <c r="GK138" s="9">
        <v>5375</v>
      </c>
      <c r="GL138" s="9">
        <v>12000</v>
      </c>
      <c r="GM138" s="9">
        <v>0</v>
      </c>
      <c r="GN138" s="9">
        <v>44080</v>
      </c>
      <c r="GO138" s="9">
        <v>0</v>
      </c>
      <c r="GP138" s="9">
        <v>3751861</v>
      </c>
      <c r="GQ138" s="9">
        <v>3751861</v>
      </c>
      <c r="GR138" s="9">
        <v>0</v>
      </c>
      <c r="GS138" s="9">
        <v>0</v>
      </c>
      <c r="GT138" s="9">
        <v>0</v>
      </c>
      <c r="GU138" s="9">
        <v>0</v>
      </c>
      <c r="GV138" s="9">
        <v>0</v>
      </c>
      <c r="GW138" s="9">
        <v>0</v>
      </c>
      <c r="GX138" s="9">
        <v>0</v>
      </c>
      <c r="GY138" s="9">
        <v>0</v>
      </c>
      <c r="GZ138" s="9">
        <v>0</v>
      </c>
      <c r="HA138" s="9">
        <v>0</v>
      </c>
      <c r="HB138" s="9">
        <v>300501363</v>
      </c>
      <c r="HC138" s="9">
        <v>4.4742999999999998E-2</v>
      </c>
      <c r="HD138" s="9">
        <v>66584</v>
      </c>
      <c r="HE138" s="9">
        <v>0</v>
      </c>
      <c r="HF138" s="9">
        <v>0</v>
      </c>
      <c r="HG138" s="9">
        <v>0</v>
      </c>
      <c r="HH138" s="9">
        <v>0</v>
      </c>
      <c r="HI138" s="9">
        <v>0</v>
      </c>
      <c r="HJ138" s="9">
        <v>0</v>
      </c>
      <c r="HK138" s="9">
        <v>0</v>
      </c>
      <c r="HL138" s="9">
        <v>0</v>
      </c>
      <c r="HM138" s="9">
        <v>0</v>
      </c>
      <c r="HN138" s="9">
        <v>0</v>
      </c>
      <c r="HO138" s="9">
        <v>0</v>
      </c>
      <c r="HP138" s="9">
        <v>0</v>
      </c>
      <c r="HQ138" s="9">
        <v>0</v>
      </c>
      <c r="HR138" s="9">
        <v>0</v>
      </c>
      <c r="HS138" s="9">
        <v>0</v>
      </c>
      <c r="HT138" s="9">
        <v>0</v>
      </c>
      <c r="HU138" s="9">
        <v>0</v>
      </c>
      <c r="HV138" s="9">
        <v>0</v>
      </c>
      <c r="HW138" s="9">
        <v>0</v>
      </c>
      <c r="HX138" s="9">
        <v>0</v>
      </c>
      <c r="HY138" s="9">
        <v>0</v>
      </c>
      <c r="HZ138" s="9">
        <v>0</v>
      </c>
      <c r="IA138" s="9">
        <v>0</v>
      </c>
      <c r="IB138" s="9">
        <v>0</v>
      </c>
      <c r="IC138" s="9">
        <v>0</v>
      </c>
      <c r="ID138" s="9">
        <v>0</v>
      </c>
      <c r="IE138" s="9">
        <v>0</v>
      </c>
      <c r="IF138" s="9">
        <v>0</v>
      </c>
      <c r="IG138" s="9">
        <v>0</v>
      </c>
      <c r="IH138" s="9">
        <v>0</v>
      </c>
      <c r="II138" s="9">
        <v>0</v>
      </c>
      <c r="IJ138" s="9">
        <v>0</v>
      </c>
      <c r="IK138" s="9">
        <v>0</v>
      </c>
      <c r="IL138" s="9">
        <v>0</v>
      </c>
      <c r="IM138" s="9">
        <v>0</v>
      </c>
      <c r="IN138" s="9">
        <v>0</v>
      </c>
      <c r="IO138" s="9">
        <v>0</v>
      </c>
      <c r="IP138" s="9">
        <v>0</v>
      </c>
      <c r="IQ138" s="9">
        <v>0</v>
      </c>
      <c r="IR138" s="9">
        <v>0</v>
      </c>
      <c r="IS138" s="9">
        <v>0</v>
      </c>
      <c r="IT138" s="9">
        <v>0</v>
      </c>
      <c r="IU138" s="9">
        <v>0</v>
      </c>
      <c r="IV138" s="9">
        <v>0</v>
      </c>
      <c r="IW138" s="9">
        <v>0</v>
      </c>
      <c r="IX138" s="9">
        <v>0</v>
      </c>
      <c r="IY138" s="9">
        <v>0</v>
      </c>
      <c r="IZ138" s="9">
        <v>0</v>
      </c>
      <c r="JA138" s="9">
        <v>0</v>
      </c>
      <c r="JB138" s="9">
        <v>0</v>
      </c>
      <c r="JC138" s="9">
        <v>0</v>
      </c>
      <c r="JD138" s="9">
        <v>0</v>
      </c>
      <c r="JE138" s="9">
        <v>0</v>
      </c>
      <c r="JF138" s="9">
        <v>0</v>
      </c>
      <c r="JG138" s="9">
        <v>0</v>
      </c>
      <c r="JH138" s="9">
        <v>0</v>
      </c>
      <c r="JI138" s="9">
        <v>0</v>
      </c>
      <c r="JJ138" s="9">
        <v>0</v>
      </c>
      <c r="JK138" s="9">
        <v>0</v>
      </c>
      <c r="JL138" s="9">
        <v>0</v>
      </c>
      <c r="JM138" s="9">
        <v>0</v>
      </c>
      <c r="JN138" s="9">
        <v>36832</v>
      </c>
      <c r="JO138" s="9">
        <v>0</v>
      </c>
      <c r="JP138" s="9">
        <v>0</v>
      </c>
      <c r="JQ138" s="9">
        <v>0</v>
      </c>
      <c r="JR138" s="9">
        <v>0</v>
      </c>
      <c r="JS138" s="9">
        <v>0</v>
      </c>
      <c r="JT138" s="9">
        <v>0</v>
      </c>
      <c r="JU138" s="9">
        <v>0</v>
      </c>
      <c r="JV138" s="9">
        <v>0</v>
      </c>
      <c r="JW138" s="9">
        <v>0</v>
      </c>
      <c r="JX138" s="9">
        <v>0</v>
      </c>
      <c r="JY138" s="9">
        <v>0</v>
      </c>
      <c r="JZ138" s="9">
        <v>0</v>
      </c>
      <c r="KA138" s="9">
        <v>0</v>
      </c>
      <c r="KB138" s="9">
        <v>0</v>
      </c>
      <c r="KC138" s="9">
        <v>0</v>
      </c>
      <c r="KD138" s="9">
        <v>0</v>
      </c>
      <c r="KE138" s="9">
        <v>0</v>
      </c>
      <c r="KF138" s="9">
        <v>0</v>
      </c>
      <c r="KG138" s="9">
        <v>0</v>
      </c>
      <c r="KH138" s="9">
        <v>0</v>
      </c>
      <c r="KI138" s="9">
        <v>0</v>
      </c>
    </row>
    <row r="139" spans="1:295" x14ac:dyDescent="0.25">
      <c r="A139" s="9">
        <v>123805</v>
      </c>
      <c r="B139" s="9">
        <v>36871</v>
      </c>
      <c r="C139" s="9">
        <v>35</v>
      </c>
      <c r="D139" s="9">
        <v>2023</v>
      </c>
      <c r="E139" s="9">
        <v>5392</v>
      </c>
      <c r="F139" s="9">
        <v>0</v>
      </c>
      <c r="G139" s="9">
        <v>0</v>
      </c>
      <c r="H139" s="9">
        <v>457.71899999999999</v>
      </c>
      <c r="I139" s="9">
        <v>457.71899999999999</v>
      </c>
      <c r="J139" s="9">
        <v>462.43</v>
      </c>
      <c r="K139" s="9">
        <v>0</v>
      </c>
      <c r="L139" s="9">
        <v>6547</v>
      </c>
      <c r="M139" s="9">
        <v>0</v>
      </c>
      <c r="N139" s="9">
        <v>0</v>
      </c>
      <c r="O139" s="9">
        <v>0</v>
      </c>
      <c r="P139" s="9">
        <v>429.21899999999999</v>
      </c>
      <c r="Q139" s="9">
        <v>0</v>
      </c>
      <c r="R139" s="9">
        <v>208996</v>
      </c>
      <c r="S139" s="9">
        <v>486.92200000000003</v>
      </c>
      <c r="T139" s="9">
        <v>0</v>
      </c>
      <c r="U139" s="9">
        <v>208996</v>
      </c>
      <c r="V139" s="9">
        <v>254.30700000000002</v>
      </c>
      <c r="W139" s="9">
        <v>166495</v>
      </c>
      <c r="X139" s="9">
        <v>166495</v>
      </c>
      <c r="Y139" s="9">
        <v>0</v>
      </c>
      <c r="Z139" s="9">
        <v>0</v>
      </c>
      <c r="AA139" s="9">
        <v>1</v>
      </c>
      <c r="AB139" s="9">
        <v>1</v>
      </c>
      <c r="AC139" s="9">
        <v>0</v>
      </c>
      <c r="AD139" s="9" t="s">
        <v>314</v>
      </c>
      <c r="AE139" s="9">
        <v>0</v>
      </c>
      <c r="AF139" s="9">
        <v>0</v>
      </c>
      <c r="AG139" s="9">
        <v>0</v>
      </c>
      <c r="AH139" s="9">
        <v>0</v>
      </c>
      <c r="AI139" s="9">
        <v>0</v>
      </c>
      <c r="AJ139" s="9">
        <v>5104</v>
      </c>
      <c r="AK139" s="9" t="s">
        <v>651</v>
      </c>
      <c r="AL139" s="9" t="s">
        <v>4</v>
      </c>
      <c r="AM139" s="9">
        <v>0</v>
      </c>
      <c r="AN139" s="9">
        <v>0</v>
      </c>
      <c r="AO139" s="9">
        <v>0</v>
      </c>
      <c r="AP139" s="9">
        <v>0</v>
      </c>
      <c r="AQ139" s="9">
        <v>0</v>
      </c>
      <c r="AR139" s="9">
        <v>0</v>
      </c>
      <c r="AS139" s="9">
        <v>0</v>
      </c>
      <c r="AT139" s="9">
        <v>0</v>
      </c>
      <c r="AU139" s="9">
        <v>0</v>
      </c>
      <c r="AV139" s="9">
        <v>-91039</v>
      </c>
      <c r="AW139" s="9">
        <v>4655442</v>
      </c>
      <c r="AX139" s="9">
        <v>4573422</v>
      </c>
      <c r="AY139" s="9">
        <v>4923528</v>
      </c>
      <c r="AZ139" s="9">
        <v>208996</v>
      </c>
      <c r="BA139" s="9">
        <v>1</v>
      </c>
      <c r="BB139" s="9">
        <v>12570</v>
      </c>
      <c r="BC139" s="9">
        <v>12570</v>
      </c>
      <c r="BD139" s="9">
        <v>16</v>
      </c>
      <c r="BE139" s="9">
        <v>0</v>
      </c>
      <c r="BF139" s="9">
        <v>3935802</v>
      </c>
      <c r="BG139" s="9">
        <v>0</v>
      </c>
      <c r="BH139" s="9">
        <v>0</v>
      </c>
      <c r="BI139" s="9">
        <v>0</v>
      </c>
      <c r="BJ139" s="9">
        <v>12</v>
      </c>
      <c r="BK139" s="9">
        <v>0</v>
      </c>
      <c r="BL139" s="9">
        <v>0</v>
      </c>
      <c r="BM139" s="9">
        <v>0</v>
      </c>
      <c r="BN139" s="9">
        <v>0</v>
      </c>
      <c r="BO139" s="9">
        <v>0</v>
      </c>
      <c r="BP139" s="9">
        <v>0</v>
      </c>
      <c r="BQ139" s="9">
        <v>5392</v>
      </c>
      <c r="BR139" s="9">
        <v>1</v>
      </c>
      <c r="BS139" s="9">
        <v>0</v>
      </c>
      <c r="BT139" s="9">
        <v>0</v>
      </c>
      <c r="BU139" s="9">
        <v>0</v>
      </c>
      <c r="BV139" s="9">
        <v>0</v>
      </c>
      <c r="BW139" s="9">
        <v>0</v>
      </c>
      <c r="BX139" s="9">
        <v>0</v>
      </c>
      <c r="BY139" s="9">
        <v>0</v>
      </c>
      <c r="BZ139" s="9">
        <v>0</v>
      </c>
      <c r="CA139" s="9">
        <v>0</v>
      </c>
      <c r="CB139" s="9">
        <v>0</v>
      </c>
      <c r="CC139" s="9">
        <v>0</v>
      </c>
      <c r="CD139" s="9">
        <v>0</v>
      </c>
      <c r="CE139" s="9">
        <v>0</v>
      </c>
      <c r="CF139" s="9">
        <v>0</v>
      </c>
      <c r="CG139" s="9">
        <v>0</v>
      </c>
      <c r="CH139" s="9">
        <v>82020</v>
      </c>
      <c r="CI139" s="9">
        <v>0</v>
      </c>
      <c r="CJ139" s="9">
        <v>4</v>
      </c>
      <c r="CK139" s="9">
        <v>0</v>
      </c>
      <c r="CL139" s="9">
        <v>0</v>
      </c>
      <c r="CM139" s="9">
        <v>0</v>
      </c>
      <c r="CN139" s="9">
        <v>0</v>
      </c>
      <c r="CO139" s="9">
        <v>0</v>
      </c>
      <c r="CP139" s="9">
        <v>0</v>
      </c>
      <c r="CQ139" s="9">
        <v>0</v>
      </c>
      <c r="CR139" s="9">
        <v>412.529</v>
      </c>
      <c r="CS139" s="9">
        <v>0</v>
      </c>
      <c r="CT139" s="9">
        <v>0</v>
      </c>
      <c r="CU139" s="9">
        <v>0</v>
      </c>
      <c r="CV139" s="9">
        <v>0</v>
      </c>
      <c r="CW139" s="9">
        <v>0</v>
      </c>
      <c r="CX139" s="9">
        <v>0</v>
      </c>
      <c r="CY139" s="9">
        <v>0</v>
      </c>
      <c r="CZ139" s="9">
        <v>0</v>
      </c>
      <c r="DA139" s="9">
        <v>1</v>
      </c>
      <c r="DB139" s="9">
        <v>2996686</v>
      </c>
      <c r="DC139" s="9">
        <v>0</v>
      </c>
      <c r="DD139" s="9">
        <v>0</v>
      </c>
      <c r="DE139" s="9">
        <v>570898</v>
      </c>
      <c r="DF139" s="9">
        <v>570898</v>
      </c>
      <c r="DG139" s="9">
        <v>436</v>
      </c>
      <c r="DH139" s="9">
        <v>0</v>
      </c>
      <c r="DI139" s="9">
        <v>0</v>
      </c>
      <c r="DJ139" s="9">
        <v>0</v>
      </c>
      <c r="DK139" s="9">
        <v>5392</v>
      </c>
      <c r="DL139" s="9">
        <v>0</v>
      </c>
      <c r="DM139" s="9">
        <v>297255</v>
      </c>
      <c r="DN139" s="9">
        <v>0</v>
      </c>
      <c r="DO139" s="9">
        <v>0</v>
      </c>
      <c r="DP139" s="9">
        <v>0</v>
      </c>
      <c r="DQ139" s="9">
        <v>0</v>
      </c>
      <c r="DR139" s="9">
        <v>0</v>
      </c>
      <c r="DS139" s="9">
        <v>0</v>
      </c>
      <c r="DT139" s="9">
        <v>0</v>
      </c>
      <c r="DU139" s="9">
        <v>0</v>
      </c>
      <c r="DV139" s="9">
        <v>0</v>
      </c>
      <c r="DW139" s="9">
        <v>0</v>
      </c>
      <c r="DX139" s="9">
        <v>0</v>
      </c>
      <c r="DY139" s="9">
        <v>0</v>
      </c>
      <c r="DZ139" s="9">
        <v>0</v>
      </c>
      <c r="EA139" s="9">
        <v>0</v>
      </c>
      <c r="EB139" s="9">
        <v>0</v>
      </c>
      <c r="EC139" s="9">
        <v>24.602</v>
      </c>
      <c r="ED139" s="9">
        <v>177176</v>
      </c>
      <c r="EE139" s="9">
        <v>0</v>
      </c>
      <c r="EF139" s="9">
        <v>0</v>
      </c>
      <c r="EG139" s="9">
        <v>0</v>
      </c>
      <c r="EH139" s="9">
        <v>41567</v>
      </c>
      <c r="EI139" s="9">
        <v>78512</v>
      </c>
      <c r="EJ139" s="9">
        <v>2.9980000000000002</v>
      </c>
      <c r="EK139" s="9">
        <v>1.1080000000000001</v>
      </c>
      <c r="EL139" s="9">
        <v>0</v>
      </c>
      <c r="EM139" s="9">
        <v>0</v>
      </c>
      <c r="EN139" s="9">
        <v>0.60499999999999998</v>
      </c>
      <c r="EO139" s="9">
        <v>0</v>
      </c>
      <c r="EP139" s="9">
        <v>0</v>
      </c>
      <c r="EQ139" s="9">
        <v>4.7110000000000003</v>
      </c>
      <c r="ER139" s="9">
        <v>0</v>
      </c>
      <c r="ES139" s="9">
        <v>6.3490000000000002</v>
      </c>
      <c r="ET139" s="9">
        <v>500</v>
      </c>
      <c r="EU139" s="9">
        <v>208996</v>
      </c>
      <c r="EV139" s="9">
        <v>0</v>
      </c>
      <c r="EW139" s="9">
        <v>0</v>
      </c>
      <c r="EX139" s="9">
        <v>0</v>
      </c>
      <c r="EY139" s="9">
        <v>0</v>
      </c>
      <c r="EZ139" s="9">
        <v>3834908</v>
      </c>
      <c r="FA139" s="9">
        <v>0</v>
      </c>
      <c r="FB139" s="9">
        <v>4043904</v>
      </c>
      <c r="FC139" s="9">
        <v>0.97326799999999991</v>
      </c>
      <c r="FD139" s="9">
        <v>0</v>
      </c>
      <c r="FE139" s="9">
        <v>608858</v>
      </c>
      <c r="FF139" s="9">
        <v>129656</v>
      </c>
      <c r="FG139" s="9">
        <v>5.8088000000000001E-2</v>
      </c>
      <c r="FH139" s="9">
        <v>5.2622999999999996E-2</v>
      </c>
      <c r="FI139" s="9">
        <v>0</v>
      </c>
      <c r="FJ139" s="9">
        <v>0</v>
      </c>
      <c r="FK139" s="9">
        <v>771.16300000000001</v>
      </c>
      <c r="FL139" s="9">
        <v>4864438</v>
      </c>
      <c r="FM139" s="9">
        <v>0</v>
      </c>
      <c r="FN139" s="9">
        <v>0</v>
      </c>
      <c r="FO139" s="9">
        <v>0</v>
      </c>
      <c r="FP139" s="9">
        <v>0</v>
      </c>
      <c r="FQ139" s="9">
        <v>0</v>
      </c>
      <c r="FR139" s="9">
        <v>0</v>
      </c>
      <c r="FS139" s="9">
        <v>0</v>
      </c>
      <c r="FT139" s="9">
        <v>0</v>
      </c>
      <c r="FU139" s="9">
        <v>0</v>
      </c>
      <c r="FV139" s="9">
        <v>0</v>
      </c>
      <c r="FW139" s="9">
        <v>0</v>
      </c>
      <c r="FX139" s="9">
        <v>0</v>
      </c>
      <c r="FY139" s="9">
        <v>0</v>
      </c>
      <c r="FZ139" s="9">
        <v>0</v>
      </c>
      <c r="GA139" s="9">
        <v>0</v>
      </c>
      <c r="GB139" s="9">
        <v>0</v>
      </c>
      <c r="GC139" s="9">
        <v>0</v>
      </c>
      <c r="GD139" s="9">
        <v>0</v>
      </c>
      <c r="GE139" s="9">
        <v>0</v>
      </c>
      <c r="GF139" s="9">
        <v>0</v>
      </c>
      <c r="GG139" s="9">
        <v>0</v>
      </c>
      <c r="GH139" s="9">
        <v>0</v>
      </c>
      <c r="GI139" s="9">
        <v>0</v>
      </c>
      <c r="GJ139" s="9">
        <v>0</v>
      </c>
      <c r="GK139" s="9">
        <v>5176</v>
      </c>
      <c r="GL139" s="9">
        <v>6273</v>
      </c>
      <c r="GM139" s="9">
        <v>0</v>
      </c>
      <c r="GN139" s="9">
        <v>0</v>
      </c>
      <c r="GO139" s="9">
        <v>0</v>
      </c>
      <c r="GP139" s="9">
        <v>4782418</v>
      </c>
      <c r="GQ139" s="9">
        <v>4782418</v>
      </c>
      <c r="GR139" s="9">
        <v>0</v>
      </c>
      <c r="GS139" s="9">
        <v>0</v>
      </c>
      <c r="GT139" s="9">
        <v>0</v>
      </c>
      <c r="GU139" s="9">
        <v>0</v>
      </c>
      <c r="GV139" s="9">
        <v>0</v>
      </c>
      <c r="GW139" s="9">
        <v>0</v>
      </c>
      <c r="GX139" s="9">
        <v>0</v>
      </c>
      <c r="GY139" s="9">
        <v>0</v>
      </c>
      <c r="GZ139" s="9">
        <v>0</v>
      </c>
      <c r="HA139" s="9">
        <v>0</v>
      </c>
      <c r="HB139" s="9">
        <v>300501363</v>
      </c>
      <c r="HC139" s="9">
        <v>4.4742999999999998E-2</v>
      </c>
      <c r="HD139" s="9">
        <v>81520</v>
      </c>
      <c r="HE139" s="9">
        <v>0</v>
      </c>
      <c r="HF139" s="9">
        <v>0</v>
      </c>
      <c r="HG139" s="9">
        <v>0</v>
      </c>
      <c r="HH139" s="9">
        <v>0</v>
      </c>
      <c r="HI139" s="9">
        <v>0</v>
      </c>
      <c r="HJ139" s="9">
        <v>0</v>
      </c>
      <c r="HK139" s="9">
        <v>0</v>
      </c>
      <c r="HL139" s="9">
        <v>0</v>
      </c>
      <c r="HM139" s="9">
        <v>0</v>
      </c>
      <c r="HN139" s="9">
        <v>0</v>
      </c>
      <c r="HO139" s="9">
        <v>0</v>
      </c>
      <c r="HP139" s="9">
        <v>0</v>
      </c>
      <c r="HQ139" s="9">
        <v>0</v>
      </c>
      <c r="HR139" s="9">
        <v>0</v>
      </c>
      <c r="HS139" s="9">
        <v>0</v>
      </c>
      <c r="HT139" s="9">
        <v>0</v>
      </c>
      <c r="HU139" s="9">
        <v>0</v>
      </c>
      <c r="HV139" s="9">
        <v>0</v>
      </c>
      <c r="HW139" s="9">
        <v>0</v>
      </c>
      <c r="HX139" s="9">
        <v>0</v>
      </c>
      <c r="HY139" s="9">
        <v>0</v>
      </c>
      <c r="HZ139" s="9">
        <v>0</v>
      </c>
      <c r="IA139" s="9">
        <v>0</v>
      </c>
      <c r="IB139" s="9">
        <v>0</v>
      </c>
      <c r="IC139" s="9">
        <v>0</v>
      </c>
      <c r="ID139" s="9">
        <v>0</v>
      </c>
      <c r="IE139" s="9">
        <v>0</v>
      </c>
      <c r="IF139" s="9">
        <v>0</v>
      </c>
      <c r="IG139" s="9">
        <v>0</v>
      </c>
      <c r="IH139" s="9">
        <v>0</v>
      </c>
      <c r="II139" s="9">
        <v>0</v>
      </c>
      <c r="IJ139" s="9">
        <v>0</v>
      </c>
      <c r="IK139" s="9">
        <v>0</v>
      </c>
      <c r="IL139" s="9">
        <v>0</v>
      </c>
      <c r="IM139" s="9">
        <v>0</v>
      </c>
      <c r="IN139" s="9">
        <v>0</v>
      </c>
      <c r="IO139" s="9">
        <v>0</v>
      </c>
      <c r="IP139" s="9">
        <v>0</v>
      </c>
      <c r="IQ139" s="9">
        <v>0</v>
      </c>
      <c r="IR139" s="9">
        <v>0</v>
      </c>
      <c r="IS139" s="9">
        <v>0</v>
      </c>
      <c r="IT139" s="9">
        <v>0</v>
      </c>
      <c r="IU139" s="9">
        <v>0</v>
      </c>
      <c r="IV139" s="9">
        <v>0</v>
      </c>
      <c r="IW139" s="9">
        <v>0</v>
      </c>
      <c r="IX139" s="9">
        <v>0</v>
      </c>
      <c r="IY139" s="9">
        <v>0</v>
      </c>
      <c r="IZ139" s="9">
        <v>0</v>
      </c>
      <c r="JA139" s="9">
        <v>0</v>
      </c>
      <c r="JB139" s="9">
        <v>0</v>
      </c>
      <c r="JC139" s="9">
        <v>0</v>
      </c>
      <c r="JD139" s="9">
        <v>0</v>
      </c>
      <c r="JE139" s="9">
        <v>0</v>
      </c>
      <c r="JF139" s="9">
        <v>0</v>
      </c>
      <c r="JG139" s="9">
        <v>0</v>
      </c>
      <c r="JH139" s="9">
        <v>0</v>
      </c>
      <c r="JI139" s="9">
        <v>0</v>
      </c>
      <c r="JJ139" s="9">
        <v>0</v>
      </c>
      <c r="JK139" s="9">
        <v>0</v>
      </c>
      <c r="JL139" s="9">
        <v>0</v>
      </c>
      <c r="JM139" s="9">
        <v>0</v>
      </c>
      <c r="JN139" s="9">
        <v>36832</v>
      </c>
      <c r="JO139" s="9">
        <v>0</v>
      </c>
      <c r="JP139" s="9">
        <v>0</v>
      </c>
      <c r="JQ139" s="9">
        <v>0</v>
      </c>
      <c r="JR139" s="9">
        <v>0</v>
      </c>
      <c r="JS139" s="9">
        <v>0</v>
      </c>
      <c r="JT139" s="9">
        <v>0</v>
      </c>
      <c r="JU139" s="9">
        <v>0</v>
      </c>
      <c r="JV139" s="9">
        <v>0</v>
      </c>
      <c r="JW139" s="9">
        <v>0</v>
      </c>
      <c r="JX139" s="9">
        <v>0</v>
      </c>
      <c r="JY139" s="9">
        <v>0</v>
      </c>
      <c r="JZ139" s="9">
        <v>0</v>
      </c>
      <c r="KA139" s="9">
        <v>0</v>
      </c>
      <c r="KB139" s="9">
        <v>0</v>
      </c>
      <c r="KC139" s="9">
        <v>0</v>
      </c>
      <c r="KD139" s="9">
        <v>0</v>
      </c>
      <c r="KE139" s="9">
        <v>0</v>
      </c>
      <c r="KF139" s="9">
        <v>0</v>
      </c>
      <c r="KG139" s="9">
        <v>0</v>
      </c>
      <c r="KH139" s="9">
        <v>0</v>
      </c>
      <c r="KI139" s="9">
        <v>0</v>
      </c>
    </row>
    <row r="140" spans="1:295" ht="13" x14ac:dyDescent="0.3">
      <c r="A140" s="9">
        <v>123807</v>
      </c>
      <c r="B140" s="9">
        <v>36871</v>
      </c>
      <c r="C140" s="9">
        <v>35</v>
      </c>
      <c r="D140" s="9">
        <v>2023</v>
      </c>
      <c r="E140" s="9">
        <v>5392</v>
      </c>
      <c r="F140" s="9">
        <v>0</v>
      </c>
      <c r="G140" s="9">
        <v>0</v>
      </c>
      <c r="H140" s="9">
        <v>1908.7350000000001</v>
      </c>
      <c r="I140" s="9">
        <v>1908.7350000000001</v>
      </c>
      <c r="J140" s="9">
        <v>2064.0700000000002</v>
      </c>
      <c r="K140" s="9">
        <v>0</v>
      </c>
      <c r="L140" s="9">
        <v>6547</v>
      </c>
      <c r="M140" s="9">
        <v>0</v>
      </c>
      <c r="N140" s="9">
        <v>0</v>
      </c>
      <c r="O140" s="9">
        <v>0</v>
      </c>
      <c r="P140" s="9">
        <v>1632.4350000000002</v>
      </c>
      <c r="Q140" s="9">
        <v>0</v>
      </c>
      <c r="R140" s="10">
        <v>794869</v>
      </c>
      <c r="S140" s="9">
        <v>486.92200000000003</v>
      </c>
      <c r="T140" s="9">
        <v>0</v>
      </c>
      <c r="U140" s="10">
        <v>794869</v>
      </c>
      <c r="V140" s="10">
        <v>689.01</v>
      </c>
      <c r="W140" s="10">
        <v>451095</v>
      </c>
      <c r="X140" s="10">
        <v>451095</v>
      </c>
      <c r="Y140" s="9">
        <v>0</v>
      </c>
      <c r="Z140" s="9">
        <v>0</v>
      </c>
      <c r="AA140" s="9">
        <v>1</v>
      </c>
      <c r="AB140" s="9">
        <v>1</v>
      </c>
      <c r="AC140" s="9">
        <v>0</v>
      </c>
      <c r="AD140" s="9" t="s">
        <v>314</v>
      </c>
      <c r="AE140" s="9">
        <v>0</v>
      </c>
      <c r="AF140" s="9">
        <v>0</v>
      </c>
      <c r="AG140" s="9">
        <v>0</v>
      </c>
      <c r="AH140" s="9">
        <v>0</v>
      </c>
      <c r="AI140" s="9">
        <v>0</v>
      </c>
      <c r="AJ140" s="9">
        <v>5104</v>
      </c>
      <c r="AK140" s="9" t="s">
        <v>651</v>
      </c>
      <c r="AL140" s="9" t="s">
        <v>355</v>
      </c>
      <c r="AM140" s="9">
        <v>0</v>
      </c>
      <c r="AN140" s="9">
        <v>0</v>
      </c>
      <c r="AO140" s="9">
        <v>0</v>
      </c>
      <c r="AP140" s="9">
        <v>0</v>
      </c>
      <c r="AQ140" s="9">
        <v>0</v>
      </c>
      <c r="AR140" s="9">
        <v>0</v>
      </c>
      <c r="AS140" s="9">
        <v>0</v>
      </c>
      <c r="AT140" s="9">
        <v>0</v>
      </c>
      <c r="AU140" s="9">
        <v>0</v>
      </c>
      <c r="AV140" s="9">
        <v>-455</v>
      </c>
      <c r="AW140" s="9">
        <v>20176818</v>
      </c>
      <c r="AX140" s="9">
        <v>19689497</v>
      </c>
      <c r="AY140" s="9">
        <v>22050636</v>
      </c>
      <c r="AZ140" s="9">
        <v>918321</v>
      </c>
      <c r="BA140" s="10">
        <v>0</v>
      </c>
      <c r="BB140" s="9">
        <v>0</v>
      </c>
      <c r="BC140" s="9">
        <v>0</v>
      </c>
      <c r="BD140" s="9">
        <v>0</v>
      </c>
      <c r="BE140" s="9">
        <v>0</v>
      </c>
      <c r="BF140" s="9">
        <v>16824737</v>
      </c>
      <c r="BG140" s="9">
        <v>0</v>
      </c>
      <c r="BH140" s="10">
        <v>448.916</v>
      </c>
      <c r="BI140" s="10">
        <v>123452</v>
      </c>
      <c r="BJ140" s="9">
        <v>12</v>
      </c>
      <c r="BK140" s="9">
        <v>0</v>
      </c>
      <c r="BL140" s="9">
        <v>0</v>
      </c>
      <c r="BM140" s="9">
        <v>0</v>
      </c>
      <c r="BN140" s="9">
        <v>0</v>
      </c>
      <c r="BO140" s="9">
        <v>0</v>
      </c>
      <c r="BP140" s="9">
        <v>0</v>
      </c>
      <c r="BQ140" s="9">
        <v>5392</v>
      </c>
      <c r="BR140" s="9">
        <v>1</v>
      </c>
      <c r="BS140" s="9">
        <v>0</v>
      </c>
      <c r="BT140" s="9">
        <v>0</v>
      </c>
      <c r="BU140" s="9">
        <v>0</v>
      </c>
      <c r="BV140" s="9">
        <v>0</v>
      </c>
      <c r="BW140" s="9">
        <v>0</v>
      </c>
      <c r="BX140" s="9">
        <v>0</v>
      </c>
      <c r="BY140" s="9">
        <v>0</v>
      </c>
      <c r="BZ140" s="9">
        <v>0</v>
      </c>
      <c r="CA140" s="9">
        <v>0</v>
      </c>
      <c r="CB140" s="9">
        <v>0</v>
      </c>
      <c r="CC140" s="9">
        <v>0</v>
      </c>
      <c r="CD140" s="9">
        <v>0</v>
      </c>
      <c r="CE140" s="9">
        <v>0</v>
      </c>
      <c r="CF140" s="9">
        <v>0</v>
      </c>
      <c r="CG140" s="9">
        <v>0</v>
      </c>
      <c r="CH140" s="10">
        <v>363869</v>
      </c>
      <c r="CI140" s="9">
        <v>0</v>
      </c>
      <c r="CJ140" s="9">
        <v>4</v>
      </c>
      <c r="CK140" s="9">
        <v>0</v>
      </c>
      <c r="CL140" s="9">
        <v>0</v>
      </c>
      <c r="CM140" s="9">
        <v>0</v>
      </c>
      <c r="CN140" s="9">
        <v>0</v>
      </c>
      <c r="CO140" s="9">
        <v>0</v>
      </c>
      <c r="CP140" s="9">
        <v>0</v>
      </c>
      <c r="CQ140" s="9">
        <v>0</v>
      </c>
      <c r="CR140" s="9">
        <v>1586.8030000000001</v>
      </c>
      <c r="CS140" s="9">
        <v>0</v>
      </c>
      <c r="CT140" s="9">
        <v>0</v>
      </c>
      <c r="CU140" s="9">
        <v>0</v>
      </c>
      <c r="CV140" s="9">
        <v>0</v>
      </c>
      <c r="CW140" s="9">
        <v>0</v>
      </c>
      <c r="CX140" s="9">
        <v>0</v>
      </c>
      <c r="CY140" s="9">
        <v>0</v>
      </c>
      <c r="CZ140" s="9">
        <v>0</v>
      </c>
      <c r="DA140" s="9">
        <v>1</v>
      </c>
      <c r="DB140" s="9">
        <v>12496488</v>
      </c>
      <c r="DC140" s="9">
        <v>0</v>
      </c>
      <c r="DD140" s="9">
        <v>0</v>
      </c>
      <c r="DE140" s="9">
        <v>2514925</v>
      </c>
      <c r="DF140" s="9">
        <v>2514925</v>
      </c>
      <c r="DG140" s="9">
        <v>1920.67</v>
      </c>
      <c r="DH140" s="9">
        <v>0</v>
      </c>
      <c r="DI140" s="9">
        <v>0</v>
      </c>
      <c r="DJ140" s="9">
        <v>0</v>
      </c>
      <c r="DK140" s="9">
        <v>5392</v>
      </c>
      <c r="DL140" s="9">
        <v>0</v>
      </c>
      <c r="DM140" s="9">
        <v>759804</v>
      </c>
      <c r="DN140" s="9">
        <v>0</v>
      </c>
      <c r="DO140" s="9">
        <v>0</v>
      </c>
      <c r="DP140" s="9">
        <v>0</v>
      </c>
      <c r="DQ140" s="9">
        <v>0</v>
      </c>
      <c r="DR140" s="9">
        <v>0</v>
      </c>
      <c r="DS140" s="9">
        <v>0</v>
      </c>
      <c r="DT140" s="9">
        <v>0</v>
      </c>
      <c r="DU140" s="9">
        <v>0</v>
      </c>
      <c r="DV140" s="9">
        <v>0</v>
      </c>
      <c r="DW140" s="9">
        <v>0</v>
      </c>
      <c r="DX140" s="9">
        <v>0</v>
      </c>
      <c r="DY140" s="9">
        <v>0</v>
      </c>
      <c r="DZ140" s="9">
        <v>0</v>
      </c>
      <c r="EA140" s="9">
        <v>0</v>
      </c>
      <c r="EB140" s="9">
        <v>0</v>
      </c>
      <c r="EC140" s="9">
        <v>7.2080000000000002</v>
      </c>
      <c r="ED140" s="9">
        <v>51910</v>
      </c>
      <c r="EE140" s="9">
        <v>0</v>
      </c>
      <c r="EF140" s="9">
        <v>0</v>
      </c>
      <c r="EG140" s="9">
        <v>0</v>
      </c>
      <c r="EH140" s="9">
        <v>707894</v>
      </c>
      <c r="EI140" s="9">
        <v>0</v>
      </c>
      <c r="EJ140" s="9">
        <v>0</v>
      </c>
      <c r="EK140" s="9">
        <v>25.646000000000001</v>
      </c>
      <c r="EL140" s="9">
        <v>0</v>
      </c>
      <c r="EM140" s="9">
        <v>7.5190000000000001</v>
      </c>
      <c r="EN140" s="9">
        <v>1.726</v>
      </c>
      <c r="EO140" s="9">
        <v>0</v>
      </c>
      <c r="EP140" s="9">
        <v>0</v>
      </c>
      <c r="EQ140" s="9">
        <v>34.890999999999998</v>
      </c>
      <c r="ER140" s="9">
        <v>0</v>
      </c>
      <c r="ES140" s="9">
        <v>108.125</v>
      </c>
      <c r="ET140" s="10">
        <v>0</v>
      </c>
      <c r="EU140" s="9">
        <v>918321</v>
      </c>
      <c r="EV140" s="9">
        <v>0</v>
      </c>
      <c r="EW140" s="9">
        <v>0</v>
      </c>
      <c r="EX140" s="9">
        <v>0</v>
      </c>
      <c r="EY140" s="9">
        <v>0</v>
      </c>
      <c r="EZ140" s="9">
        <v>16532502</v>
      </c>
      <c r="FA140" s="9">
        <v>0</v>
      </c>
      <c r="FB140" s="10">
        <v>17450823</v>
      </c>
      <c r="FC140" s="9">
        <v>0.97326799999999991</v>
      </c>
      <c r="FD140" s="9">
        <v>0</v>
      </c>
      <c r="FE140" s="9">
        <v>2602742</v>
      </c>
      <c r="FF140" s="9">
        <v>554253</v>
      </c>
      <c r="FG140" s="9">
        <v>5.8088000000000001E-2</v>
      </c>
      <c r="FH140" s="9">
        <v>5.2622999999999996E-2</v>
      </c>
      <c r="FI140" s="9">
        <v>0</v>
      </c>
      <c r="FJ140" s="9">
        <v>0</v>
      </c>
      <c r="FK140" s="9">
        <v>3296.5620000000004</v>
      </c>
      <c r="FL140" s="9">
        <v>20971687</v>
      </c>
      <c r="FM140" s="9">
        <v>0</v>
      </c>
      <c r="FN140" s="9">
        <v>0</v>
      </c>
      <c r="FO140" s="9">
        <v>24080</v>
      </c>
      <c r="FP140" s="9">
        <v>16441</v>
      </c>
      <c r="FQ140" s="9">
        <v>40521</v>
      </c>
      <c r="FR140" s="9">
        <v>24080</v>
      </c>
      <c r="FS140" s="9">
        <v>0</v>
      </c>
      <c r="FT140" s="9">
        <v>0</v>
      </c>
      <c r="FU140" s="9">
        <v>0</v>
      </c>
      <c r="FV140" s="9">
        <v>0</v>
      </c>
      <c r="FW140" s="9">
        <v>0</v>
      </c>
      <c r="FX140" s="9">
        <v>0</v>
      </c>
      <c r="FY140" s="9">
        <v>0</v>
      </c>
      <c r="FZ140" s="9">
        <v>0</v>
      </c>
      <c r="GA140" s="9">
        <v>0</v>
      </c>
      <c r="GB140" s="10">
        <v>1064538</v>
      </c>
      <c r="GC140" s="10">
        <v>1064538</v>
      </c>
      <c r="GD140" s="10">
        <v>120.444</v>
      </c>
      <c r="GE140" s="9">
        <v>0</v>
      </c>
      <c r="GF140" s="9">
        <v>0</v>
      </c>
      <c r="GG140" s="9">
        <v>0</v>
      </c>
      <c r="GH140" s="9">
        <v>0</v>
      </c>
      <c r="GI140" s="9">
        <v>0</v>
      </c>
      <c r="GJ140" s="9">
        <v>0</v>
      </c>
      <c r="GK140" s="9">
        <v>4971</v>
      </c>
      <c r="GL140" s="9">
        <v>0</v>
      </c>
      <c r="GM140" s="9">
        <v>0</v>
      </c>
      <c r="GN140" s="9">
        <v>0</v>
      </c>
      <c r="GO140" s="9">
        <v>0</v>
      </c>
      <c r="GP140" s="9">
        <v>20607818</v>
      </c>
      <c r="GQ140" s="9">
        <v>20607818</v>
      </c>
      <c r="GR140" s="9">
        <v>0</v>
      </c>
      <c r="GS140" s="9">
        <v>0</v>
      </c>
      <c r="GT140" s="9">
        <v>0</v>
      </c>
      <c r="GU140" s="9">
        <v>0</v>
      </c>
      <c r="GV140" s="9">
        <v>0</v>
      </c>
      <c r="GW140" s="9">
        <v>0</v>
      </c>
      <c r="GX140" s="9">
        <v>0</v>
      </c>
      <c r="GY140" s="9">
        <v>0</v>
      </c>
      <c r="GZ140" s="9">
        <v>0</v>
      </c>
      <c r="HA140" s="9">
        <v>0</v>
      </c>
      <c r="HB140" s="9">
        <v>300501363</v>
      </c>
      <c r="HC140" s="9">
        <v>4.4742999999999998E-2</v>
      </c>
      <c r="HD140" s="10">
        <v>363869</v>
      </c>
      <c r="HE140" s="9">
        <v>0</v>
      </c>
      <c r="HF140" s="9">
        <v>0</v>
      </c>
      <c r="HG140" s="9">
        <v>0</v>
      </c>
      <c r="HH140" s="9">
        <v>0</v>
      </c>
      <c r="HI140" s="9">
        <v>0</v>
      </c>
      <c r="HJ140" s="9">
        <v>0</v>
      </c>
      <c r="HK140" s="9">
        <v>0</v>
      </c>
      <c r="HL140" s="9">
        <v>0</v>
      </c>
      <c r="HM140" s="9">
        <v>0</v>
      </c>
      <c r="HN140" s="9">
        <v>0</v>
      </c>
      <c r="HO140" s="9">
        <v>0</v>
      </c>
      <c r="HP140" s="9">
        <v>0</v>
      </c>
      <c r="HQ140" s="9">
        <v>0</v>
      </c>
      <c r="HR140" s="9">
        <v>0</v>
      </c>
      <c r="HS140" s="9">
        <v>0</v>
      </c>
      <c r="HT140" s="9">
        <v>0</v>
      </c>
      <c r="HU140" s="9">
        <v>0</v>
      </c>
      <c r="HV140" s="9">
        <v>0</v>
      </c>
      <c r="HW140" s="9">
        <v>0</v>
      </c>
      <c r="HX140" s="9">
        <v>0</v>
      </c>
      <c r="HY140" s="9">
        <v>0</v>
      </c>
      <c r="HZ140" s="9">
        <v>0</v>
      </c>
      <c r="IA140" s="9">
        <v>0</v>
      </c>
      <c r="IB140" s="9">
        <v>0</v>
      </c>
      <c r="IC140" s="9">
        <v>0</v>
      </c>
      <c r="ID140" s="9">
        <v>0</v>
      </c>
      <c r="IE140" s="9">
        <v>0</v>
      </c>
      <c r="IF140" s="9">
        <v>0</v>
      </c>
      <c r="IG140" s="9">
        <v>0</v>
      </c>
      <c r="IH140" s="9">
        <v>0</v>
      </c>
      <c r="II140" s="9">
        <v>0</v>
      </c>
      <c r="IJ140" s="9">
        <v>0</v>
      </c>
      <c r="IK140" s="9">
        <v>0</v>
      </c>
      <c r="IL140" s="9">
        <v>0</v>
      </c>
      <c r="IM140" s="9">
        <v>0</v>
      </c>
      <c r="IN140" s="9">
        <v>0</v>
      </c>
      <c r="IO140" s="9">
        <v>0</v>
      </c>
      <c r="IP140" s="9">
        <v>0</v>
      </c>
      <c r="IQ140" s="9">
        <v>0</v>
      </c>
      <c r="IR140" s="9">
        <v>0</v>
      </c>
      <c r="IS140" s="9">
        <v>0</v>
      </c>
      <c r="IT140" s="9">
        <v>0</v>
      </c>
      <c r="IU140" s="9">
        <v>0</v>
      </c>
      <c r="IV140" s="9">
        <v>0</v>
      </c>
      <c r="IW140" s="9">
        <v>0</v>
      </c>
      <c r="IX140" s="9">
        <v>0</v>
      </c>
      <c r="IY140" s="9">
        <v>0</v>
      </c>
      <c r="IZ140" s="9">
        <v>0</v>
      </c>
      <c r="JA140" s="9">
        <v>0</v>
      </c>
      <c r="JB140" s="9">
        <v>0</v>
      </c>
      <c r="JC140" s="9">
        <v>0</v>
      </c>
      <c r="JD140" s="9">
        <v>0</v>
      </c>
      <c r="JE140" s="9">
        <v>0</v>
      </c>
      <c r="JF140" s="9">
        <v>0</v>
      </c>
      <c r="JG140" s="9">
        <v>0</v>
      </c>
      <c r="JH140" s="9">
        <v>0</v>
      </c>
      <c r="JI140" s="9">
        <v>0</v>
      </c>
      <c r="JJ140" s="9">
        <v>0</v>
      </c>
      <c r="JK140" s="9">
        <v>0</v>
      </c>
      <c r="JL140" s="9">
        <v>0</v>
      </c>
      <c r="JM140" s="9">
        <v>0</v>
      </c>
      <c r="JN140" s="9">
        <v>36832</v>
      </c>
      <c r="JO140" s="9">
        <v>0</v>
      </c>
      <c r="JP140" s="9">
        <v>0</v>
      </c>
      <c r="JQ140" s="9">
        <v>0</v>
      </c>
      <c r="JR140" s="9">
        <v>0</v>
      </c>
      <c r="JS140" s="9">
        <v>0</v>
      </c>
      <c r="JT140" s="9">
        <v>0</v>
      </c>
      <c r="JU140" s="9">
        <v>0</v>
      </c>
      <c r="JV140" s="9">
        <v>0</v>
      </c>
      <c r="JW140" s="9">
        <v>0</v>
      </c>
      <c r="JX140" s="9">
        <v>0</v>
      </c>
      <c r="JY140" s="9">
        <v>0</v>
      </c>
      <c r="JZ140" s="9">
        <v>0</v>
      </c>
      <c r="KA140" s="9">
        <v>0</v>
      </c>
      <c r="KB140" s="9">
        <v>0</v>
      </c>
      <c r="KC140" s="9">
        <v>0</v>
      </c>
      <c r="KD140" s="9">
        <v>0</v>
      </c>
      <c r="KE140" s="9">
        <v>0</v>
      </c>
      <c r="KF140" s="9">
        <v>0</v>
      </c>
      <c r="KG140" s="9">
        <v>0</v>
      </c>
      <c r="KH140" s="9">
        <v>0</v>
      </c>
      <c r="KI140" s="9">
        <v>0</v>
      </c>
    </row>
    <row r="141" spans="1:295" x14ac:dyDescent="0.25">
      <c r="A141" s="9">
        <v>130801</v>
      </c>
      <c r="B141" s="9">
        <v>36871</v>
      </c>
      <c r="C141" s="9">
        <v>35</v>
      </c>
      <c r="D141" s="9">
        <v>2023</v>
      </c>
      <c r="E141" s="9">
        <v>5392</v>
      </c>
      <c r="F141" s="9">
        <v>0</v>
      </c>
      <c r="G141" s="9">
        <v>0</v>
      </c>
      <c r="H141" s="9">
        <v>51.116</v>
      </c>
      <c r="I141" s="9">
        <v>51.116</v>
      </c>
      <c r="J141" s="9">
        <v>77.87700000000001</v>
      </c>
      <c r="K141" s="9">
        <v>0</v>
      </c>
      <c r="L141" s="9">
        <v>6547</v>
      </c>
      <c r="M141" s="9">
        <v>0</v>
      </c>
      <c r="N141" s="9">
        <v>0</v>
      </c>
      <c r="O141" s="9">
        <v>0</v>
      </c>
      <c r="P141" s="9">
        <v>86.275000000000006</v>
      </c>
      <c r="Q141" s="9">
        <v>0</v>
      </c>
      <c r="R141" s="9">
        <v>42009</v>
      </c>
      <c r="S141" s="9">
        <v>486.92200000000003</v>
      </c>
      <c r="T141" s="9">
        <v>0</v>
      </c>
      <c r="U141" s="9">
        <v>42009</v>
      </c>
      <c r="V141" s="9">
        <v>0</v>
      </c>
      <c r="W141" s="9">
        <v>0</v>
      </c>
      <c r="X141" s="9">
        <v>0</v>
      </c>
      <c r="Y141" s="9">
        <v>0</v>
      </c>
      <c r="Z141" s="9">
        <v>0</v>
      </c>
      <c r="AA141" s="9">
        <v>1</v>
      </c>
      <c r="AB141" s="9">
        <v>1</v>
      </c>
      <c r="AC141" s="9">
        <v>0</v>
      </c>
      <c r="AD141" s="9" t="s">
        <v>314</v>
      </c>
      <c r="AE141" s="9">
        <v>0</v>
      </c>
      <c r="AF141" s="9">
        <v>0</v>
      </c>
      <c r="AG141" s="9">
        <v>0</v>
      </c>
      <c r="AH141" s="9">
        <v>0</v>
      </c>
      <c r="AI141" s="9">
        <v>0</v>
      </c>
      <c r="AJ141" s="9">
        <v>5104</v>
      </c>
      <c r="AK141" s="9" t="s">
        <v>651</v>
      </c>
      <c r="AL141" s="9" t="s">
        <v>441</v>
      </c>
      <c r="AM141" s="9">
        <v>0</v>
      </c>
      <c r="AN141" s="9">
        <v>0</v>
      </c>
      <c r="AO141" s="9">
        <v>0</v>
      </c>
      <c r="AP141" s="9">
        <v>0</v>
      </c>
      <c r="AQ141" s="9">
        <v>0</v>
      </c>
      <c r="AR141" s="9">
        <v>0</v>
      </c>
      <c r="AS141" s="9">
        <v>0</v>
      </c>
      <c r="AT141" s="9">
        <v>0</v>
      </c>
      <c r="AU141" s="9">
        <v>0</v>
      </c>
      <c r="AV141" s="9">
        <v>-121742</v>
      </c>
      <c r="AW141" s="9">
        <v>1335258</v>
      </c>
      <c r="AX141" s="9">
        <v>1314895</v>
      </c>
      <c r="AY141" s="9">
        <v>1213491</v>
      </c>
      <c r="AZ141" s="9">
        <v>48643</v>
      </c>
      <c r="BA141" s="9">
        <v>0</v>
      </c>
      <c r="BB141" s="9">
        <v>786</v>
      </c>
      <c r="BC141" s="9">
        <v>786</v>
      </c>
      <c r="BD141" s="9">
        <v>1</v>
      </c>
      <c r="BE141" s="9">
        <v>0</v>
      </c>
      <c r="BF141" s="9">
        <v>1116696</v>
      </c>
      <c r="BG141" s="9">
        <v>0</v>
      </c>
      <c r="BH141" s="9">
        <v>24.124000000000002</v>
      </c>
      <c r="BI141" s="9">
        <v>6634</v>
      </c>
      <c r="BJ141" s="9">
        <v>12</v>
      </c>
      <c r="BK141" s="9">
        <v>0</v>
      </c>
      <c r="BL141" s="9">
        <v>0</v>
      </c>
      <c r="BM141" s="9">
        <v>0</v>
      </c>
      <c r="BN141" s="9">
        <v>0</v>
      </c>
      <c r="BO141" s="9">
        <v>0</v>
      </c>
      <c r="BP141" s="9">
        <v>0</v>
      </c>
      <c r="BQ141" s="9">
        <v>5392</v>
      </c>
      <c r="BR141" s="9">
        <v>1</v>
      </c>
      <c r="BS141" s="9">
        <v>0</v>
      </c>
      <c r="BT141" s="9">
        <v>0</v>
      </c>
      <c r="BU141" s="9">
        <v>0</v>
      </c>
      <c r="BV141" s="9">
        <v>0</v>
      </c>
      <c r="BW141" s="9">
        <v>0</v>
      </c>
      <c r="BX141" s="9">
        <v>0</v>
      </c>
      <c r="BY141" s="9">
        <v>0</v>
      </c>
      <c r="BZ141" s="9">
        <v>0</v>
      </c>
      <c r="CA141" s="9">
        <v>0</v>
      </c>
      <c r="CB141" s="9">
        <v>0</v>
      </c>
      <c r="CC141" s="9">
        <v>0</v>
      </c>
      <c r="CD141" s="9">
        <v>0</v>
      </c>
      <c r="CE141" s="9">
        <v>0</v>
      </c>
      <c r="CF141" s="9">
        <v>0</v>
      </c>
      <c r="CG141" s="9">
        <v>0</v>
      </c>
      <c r="CH141" s="9">
        <v>13729</v>
      </c>
      <c r="CI141" s="9">
        <v>0</v>
      </c>
      <c r="CJ141" s="9">
        <v>4</v>
      </c>
      <c r="CK141" s="9">
        <v>0</v>
      </c>
      <c r="CL141" s="9">
        <v>0</v>
      </c>
      <c r="CM141" s="9">
        <v>0</v>
      </c>
      <c r="CN141" s="9">
        <v>0</v>
      </c>
      <c r="CO141" s="9">
        <v>0</v>
      </c>
      <c r="CP141" s="9">
        <v>0</v>
      </c>
      <c r="CQ141" s="9">
        <v>0</v>
      </c>
      <c r="CR141" s="9">
        <v>77.606999999999999</v>
      </c>
      <c r="CS141" s="9">
        <v>0</v>
      </c>
      <c r="CT141" s="9">
        <v>0</v>
      </c>
      <c r="CU141" s="9">
        <v>0</v>
      </c>
      <c r="CV141" s="9">
        <v>0</v>
      </c>
      <c r="CW141" s="9">
        <v>0</v>
      </c>
      <c r="CX141" s="9">
        <v>0</v>
      </c>
      <c r="CY141" s="9">
        <v>0</v>
      </c>
      <c r="CZ141" s="9">
        <v>0</v>
      </c>
      <c r="DA141" s="9">
        <v>1</v>
      </c>
      <c r="DB141" s="9">
        <v>334656</v>
      </c>
      <c r="DC141" s="9">
        <v>0</v>
      </c>
      <c r="DD141" s="9">
        <v>0</v>
      </c>
      <c r="DE141" s="9">
        <v>135523</v>
      </c>
      <c r="DF141" s="9">
        <v>135523</v>
      </c>
      <c r="DG141" s="9">
        <v>103.5</v>
      </c>
      <c r="DH141" s="9">
        <v>0</v>
      </c>
      <c r="DI141" s="9">
        <v>0</v>
      </c>
      <c r="DJ141" s="9">
        <v>0</v>
      </c>
      <c r="DK141" s="9">
        <v>5392</v>
      </c>
      <c r="DL141" s="9">
        <v>0</v>
      </c>
      <c r="DM141" s="9">
        <v>662747</v>
      </c>
      <c r="DN141" s="9">
        <v>0</v>
      </c>
      <c r="DO141" s="9">
        <v>0</v>
      </c>
      <c r="DP141" s="9">
        <v>0</v>
      </c>
      <c r="DQ141" s="9">
        <v>0</v>
      </c>
      <c r="DR141" s="9">
        <v>0</v>
      </c>
      <c r="DS141" s="9">
        <v>0</v>
      </c>
      <c r="DT141" s="9">
        <v>0</v>
      </c>
      <c r="DU141" s="9">
        <v>0</v>
      </c>
      <c r="DV141" s="9">
        <v>0</v>
      </c>
      <c r="DW141" s="9">
        <v>0</v>
      </c>
      <c r="DX141" s="9">
        <v>0</v>
      </c>
      <c r="DY141" s="9">
        <v>0</v>
      </c>
      <c r="DZ141" s="9">
        <v>0</v>
      </c>
      <c r="EA141" s="9">
        <v>0</v>
      </c>
      <c r="EB141" s="9">
        <v>6.5000000000000002E-2</v>
      </c>
      <c r="EC141" s="9">
        <v>1.621</v>
      </c>
      <c r="ED141" s="9">
        <v>11674</v>
      </c>
      <c r="EE141" s="9">
        <v>0</v>
      </c>
      <c r="EF141" s="9">
        <v>0</v>
      </c>
      <c r="EG141" s="9">
        <v>0</v>
      </c>
      <c r="EH141" s="9">
        <v>34084</v>
      </c>
      <c r="EI141" s="9">
        <v>616989</v>
      </c>
      <c r="EJ141" s="9">
        <v>23.56</v>
      </c>
      <c r="EK141" s="9">
        <v>0.78200000000000003</v>
      </c>
      <c r="EL141" s="9">
        <v>0</v>
      </c>
      <c r="EM141" s="9">
        <v>0.69000000000000006</v>
      </c>
      <c r="EN141" s="9">
        <v>0.11900000000000001</v>
      </c>
      <c r="EO141" s="9">
        <v>0</v>
      </c>
      <c r="EP141" s="9">
        <v>0</v>
      </c>
      <c r="EQ141" s="9">
        <v>25.216000000000001</v>
      </c>
      <c r="ER141" s="9">
        <v>0</v>
      </c>
      <c r="ES141" s="9">
        <v>5.2060000000000004</v>
      </c>
      <c r="ET141" s="9">
        <v>0</v>
      </c>
      <c r="EU141" s="9">
        <v>48643</v>
      </c>
      <c r="EV141" s="9">
        <v>0</v>
      </c>
      <c r="EW141" s="9">
        <v>0</v>
      </c>
      <c r="EX141" s="9">
        <v>0</v>
      </c>
      <c r="EY141" s="9">
        <v>0</v>
      </c>
      <c r="EZ141" s="9">
        <v>1105358</v>
      </c>
      <c r="FA141" s="9">
        <v>0</v>
      </c>
      <c r="FB141" s="9">
        <v>1154001</v>
      </c>
      <c r="FC141" s="9">
        <v>0.97326799999999991</v>
      </c>
      <c r="FD141" s="9">
        <v>0</v>
      </c>
      <c r="FE141" s="9">
        <v>172750</v>
      </c>
      <c r="FF141" s="9">
        <v>36787</v>
      </c>
      <c r="FG141" s="9">
        <v>5.8088000000000001E-2</v>
      </c>
      <c r="FH141" s="9">
        <v>5.2622999999999996E-2</v>
      </c>
      <c r="FI141" s="9">
        <v>0</v>
      </c>
      <c r="FJ141" s="9">
        <v>0</v>
      </c>
      <c r="FK141" s="9">
        <v>218.8</v>
      </c>
      <c r="FL141" s="9">
        <v>1377267</v>
      </c>
      <c r="FM141" s="9">
        <v>0</v>
      </c>
      <c r="FN141" s="9">
        <v>0</v>
      </c>
      <c r="FO141" s="9">
        <v>0</v>
      </c>
      <c r="FP141" s="9">
        <v>0</v>
      </c>
      <c r="FQ141" s="9">
        <v>0</v>
      </c>
      <c r="FR141" s="9">
        <v>0</v>
      </c>
      <c r="FS141" s="9">
        <v>0</v>
      </c>
      <c r="FT141" s="9">
        <v>0</v>
      </c>
      <c r="FU141" s="9">
        <v>0</v>
      </c>
      <c r="FV141" s="9">
        <v>0</v>
      </c>
      <c r="FW141" s="9">
        <v>0</v>
      </c>
      <c r="FX141" s="9">
        <v>0</v>
      </c>
      <c r="FY141" s="9">
        <v>0</v>
      </c>
      <c r="FZ141" s="9">
        <v>0</v>
      </c>
      <c r="GA141" s="9">
        <v>0</v>
      </c>
      <c r="GB141" s="9">
        <v>13655</v>
      </c>
      <c r="GC141" s="9">
        <v>13655</v>
      </c>
      <c r="GD141" s="9">
        <v>1.5450000000000002</v>
      </c>
      <c r="GE141" s="9">
        <v>0</v>
      </c>
      <c r="GF141" s="9">
        <v>0</v>
      </c>
      <c r="GG141" s="9">
        <v>0</v>
      </c>
      <c r="GH141" s="9">
        <v>0</v>
      </c>
      <c r="GI141" s="9">
        <v>0</v>
      </c>
      <c r="GJ141" s="9">
        <v>0</v>
      </c>
      <c r="GK141" s="9">
        <v>5022</v>
      </c>
      <c r="GL141" s="9">
        <v>2399</v>
      </c>
      <c r="GM141" s="9">
        <v>0</v>
      </c>
      <c r="GN141" s="9">
        <v>0</v>
      </c>
      <c r="GO141" s="9">
        <v>0</v>
      </c>
      <c r="GP141" s="9">
        <v>1363538</v>
      </c>
      <c r="GQ141" s="9">
        <v>1363538</v>
      </c>
      <c r="GR141" s="9">
        <v>0</v>
      </c>
      <c r="GS141" s="9">
        <v>0</v>
      </c>
      <c r="GT141" s="9">
        <v>0</v>
      </c>
      <c r="GU141" s="9">
        <v>0</v>
      </c>
      <c r="GV141" s="9">
        <v>0</v>
      </c>
      <c r="GW141" s="9">
        <v>0</v>
      </c>
      <c r="GX141" s="9">
        <v>0</v>
      </c>
      <c r="GY141" s="9">
        <v>0</v>
      </c>
      <c r="GZ141" s="9">
        <v>0</v>
      </c>
      <c r="HA141" s="9">
        <v>0</v>
      </c>
      <c r="HB141" s="9">
        <v>300501363</v>
      </c>
      <c r="HC141" s="9">
        <v>4.4742999999999998E-2</v>
      </c>
      <c r="HD141" s="9">
        <v>13729</v>
      </c>
      <c r="HE141" s="9">
        <v>0</v>
      </c>
      <c r="HF141" s="9">
        <v>0</v>
      </c>
      <c r="HG141" s="9">
        <v>0</v>
      </c>
      <c r="HH141" s="9">
        <v>0</v>
      </c>
      <c r="HI141" s="9">
        <v>0</v>
      </c>
      <c r="HJ141" s="9">
        <v>0</v>
      </c>
      <c r="HK141" s="9">
        <v>0</v>
      </c>
      <c r="HL141" s="9">
        <v>0</v>
      </c>
      <c r="HM141" s="9">
        <v>0</v>
      </c>
      <c r="HN141" s="9">
        <v>0</v>
      </c>
      <c r="HO141" s="9">
        <v>0</v>
      </c>
      <c r="HP141" s="9">
        <v>0</v>
      </c>
      <c r="HQ141" s="9">
        <v>0</v>
      </c>
      <c r="HR141" s="9">
        <v>0</v>
      </c>
      <c r="HS141" s="9">
        <v>0</v>
      </c>
      <c r="HT141" s="9">
        <v>0</v>
      </c>
      <c r="HU141" s="9">
        <v>0</v>
      </c>
      <c r="HV141" s="9">
        <v>0</v>
      </c>
      <c r="HW141" s="9">
        <v>0</v>
      </c>
      <c r="HX141" s="9">
        <v>0</v>
      </c>
      <c r="HY141" s="9">
        <v>0</v>
      </c>
      <c r="HZ141" s="9">
        <v>0</v>
      </c>
      <c r="IA141" s="9">
        <v>0</v>
      </c>
      <c r="IB141" s="9">
        <v>0</v>
      </c>
      <c r="IC141" s="9">
        <v>0</v>
      </c>
      <c r="ID141" s="9">
        <v>0</v>
      </c>
      <c r="IE141" s="9">
        <v>0</v>
      </c>
      <c r="IF141" s="9">
        <v>0</v>
      </c>
      <c r="IG141" s="9">
        <v>0</v>
      </c>
      <c r="IH141" s="9">
        <v>0</v>
      </c>
      <c r="II141" s="9">
        <v>0</v>
      </c>
      <c r="IJ141" s="9">
        <v>0</v>
      </c>
      <c r="IK141" s="9">
        <v>0</v>
      </c>
      <c r="IL141" s="9">
        <v>0</v>
      </c>
      <c r="IM141" s="9">
        <v>0</v>
      </c>
      <c r="IN141" s="9">
        <v>0</v>
      </c>
      <c r="IO141" s="9">
        <v>0</v>
      </c>
      <c r="IP141" s="9">
        <v>0</v>
      </c>
      <c r="IQ141" s="9">
        <v>0</v>
      </c>
      <c r="IR141" s="9">
        <v>0</v>
      </c>
      <c r="IS141" s="9">
        <v>0</v>
      </c>
      <c r="IT141" s="9">
        <v>0</v>
      </c>
      <c r="IU141" s="9">
        <v>0</v>
      </c>
      <c r="IV141" s="9">
        <v>0</v>
      </c>
      <c r="IW141" s="9">
        <v>0</v>
      </c>
      <c r="IX141" s="9">
        <v>0</v>
      </c>
      <c r="IY141" s="9">
        <v>0</v>
      </c>
      <c r="IZ141" s="9">
        <v>0</v>
      </c>
      <c r="JA141" s="9">
        <v>0</v>
      </c>
      <c r="JB141" s="9">
        <v>0</v>
      </c>
      <c r="JC141" s="9">
        <v>0</v>
      </c>
      <c r="JD141" s="9">
        <v>0</v>
      </c>
      <c r="JE141" s="9">
        <v>0</v>
      </c>
      <c r="JF141" s="9">
        <v>0</v>
      </c>
      <c r="JG141" s="9">
        <v>0</v>
      </c>
      <c r="JH141" s="9">
        <v>0</v>
      </c>
      <c r="JI141" s="9">
        <v>0</v>
      </c>
      <c r="JJ141" s="9">
        <v>0</v>
      </c>
      <c r="JK141" s="9">
        <v>0</v>
      </c>
      <c r="JL141" s="9">
        <v>0</v>
      </c>
      <c r="JM141" s="9">
        <v>0</v>
      </c>
      <c r="JN141" s="9">
        <v>36832</v>
      </c>
      <c r="JO141" s="9">
        <v>0</v>
      </c>
      <c r="JP141" s="9">
        <v>0</v>
      </c>
      <c r="JQ141" s="9">
        <v>0</v>
      </c>
      <c r="JR141" s="9">
        <v>0</v>
      </c>
      <c r="JS141" s="9">
        <v>0</v>
      </c>
      <c r="JT141" s="9">
        <v>0</v>
      </c>
      <c r="JU141" s="9">
        <v>0</v>
      </c>
      <c r="JV141" s="9">
        <v>0</v>
      </c>
      <c r="JW141" s="9">
        <v>0</v>
      </c>
      <c r="JX141" s="9">
        <v>0</v>
      </c>
      <c r="JY141" s="9">
        <v>0</v>
      </c>
      <c r="JZ141" s="9">
        <v>0</v>
      </c>
      <c r="KA141" s="9">
        <v>0</v>
      </c>
      <c r="KB141" s="9">
        <v>0</v>
      </c>
      <c r="KC141" s="9">
        <v>0</v>
      </c>
      <c r="KD141" s="9">
        <v>0</v>
      </c>
      <c r="KE141" s="9">
        <v>0</v>
      </c>
      <c r="KF141" s="9">
        <v>0</v>
      </c>
      <c r="KG141" s="9">
        <v>0</v>
      </c>
      <c r="KH141" s="9">
        <v>0</v>
      </c>
      <c r="KI141" s="9">
        <v>0</v>
      </c>
    </row>
    <row r="142" spans="1:295" x14ac:dyDescent="0.25">
      <c r="A142" s="9">
        <v>152802</v>
      </c>
      <c r="B142" s="9">
        <v>36871</v>
      </c>
      <c r="C142" s="9">
        <v>35</v>
      </c>
      <c r="D142" s="9">
        <v>2023</v>
      </c>
      <c r="E142" s="9">
        <v>5392</v>
      </c>
      <c r="F142" s="9">
        <v>0</v>
      </c>
      <c r="G142" s="9">
        <v>0</v>
      </c>
      <c r="H142" s="9">
        <v>242.68700000000001</v>
      </c>
      <c r="I142" s="9">
        <v>242.68700000000001</v>
      </c>
      <c r="J142" s="9">
        <v>246.96300000000002</v>
      </c>
      <c r="K142" s="9">
        <v>0</v>
      </c>
      <c r="L142" s="9">
        <v>6547</v>
      </c>
      <c r="M142" s="9">
        <v>0</v>
      </c>
      <c r="N142" s="9">
        <v>0</v>
      </c>
      <c r="O142" s="9">
        <v>0</v>
      </c>
      <c r="P142" s="9">
        <v>244.02700000000002</v>
      </c>
      <c r="Q142" s="9">
        <v>0</v>
      </c>
      <c r="R142" s="9">
        <v>118822</v>
      </c>
      <c r="S142" s="9">
        <v>486.92200000000003</v>
      </c>
      <c r="T142" s="9">
        <v>0</v>
      </c>
      <c r="U142" s="9">
        <v>118822</v>
      </c>
      <c r="V142" s="9">
        <v>0</v>
      </c>
      <c r="W142" s="9">
        <v>0</v>
      </c>
      <c r="X142" s="9">
        <v>0</v>
      </c>
      <c r="Y142" s="9">
        <v>0</v>
      </c>
      <c r="Z142" s="9">
        <v>0</v>
      </c>
      <c r="AA142" s="9">
        <v>1</v>
      </c>
      <c r="AB142" s="9">
        <v>1</v>
      </c>
      <c r="AC142" s="9">
        <v>0</v>
      </c>
      <c r="AD142" s="9" t="s">
        <v>314</v>
      </c>
      <c r="AE142" s="9">
        <v>0</v>
      </c>
      <c r="AF142" s="9">
        <v>0</v>
      </c>
      <c r="AG142" s="9">
        <v>0</v>
      </c>
      <c r="AH142" s="9">
        <v>0</v>
      </c>
      <c r="AI142" s="9">
        <v>0</v>
      </c>
      <c r="AJ142" s="9">
        <v>5104</v>
      </c>
      <c r="AK142" s="9" t="s">
        <v>651</v>
      </c>
      <c r="AL142" s="9" t="s">
        <v>89</v>
      </c>
      <c r="AM142" s="9">
        <v>0</v>
      </c>
      <c r="AN142" s="9">
        <v>0</v>
      </c>
      <c r="AO142" s="9">
        <v>0</v>
      </c>
      <c r="AP142" s="9">
        <v>0</v>
      </c>
      <c r="AQ142" s="9">
        <v>0</v>
      </c>
      <c r="AR142" s="9">
        <v>0</v>
      </c>
      <c r="AS142" s="9">
        <v>0</v>
      </c>
      <c r="AT142" s="9">
        <v>0</v>
      </c>
      <c r="AU142" s="9">
        <v>0</v>
      </c>
      <c r="AV142" s="9">
        <v>-108185</v>
      </c>
      <c r="AW142" s="9">
        <v>2343094</v>
      </c>
      <c r="AX142" s="9">
        <v>2293808</v>
      </c>
      <c r="AY142" s="9">
        <v>2309509</v>
      </c>
      <c r="AZ142" s="9">
        <v>118822</v>
      </c>
      <c r="BA142" s="9">
        <v>11.25</v>
      </c>
      <c r="BB142" s="9">
        <v>0</v>
      </c>
      <c r="BC142" s="9">
        <v>0</v>
      </c>
      <c r="BD142" s="9">
        <v>0</v>
      </c>
      <c r="BE142" s="9">
        <v>0</v>
      </c>
      <c r="BF142" s="9">
        <v>1985530</v>
      </c>
      <c r="BG142" s="9">
        <v>0</v>
      </c>
      <c r="BH142" s="9">
        <v>0</v>
      </c>
      <c r="BI142" s="9">
        <v>0</v>
      </c>
      <c r="BJ142" s="9">
        <v>12</v>
      </c>
      <c r="BK142" s="9">
        <v>0</v>
      </c>
      <c r="BL142" s="9">
        <v>0</v>
      </c>
      <c r="BM142" s="9">
        <v>0</v>
      </c>
      <c r="BN142" s="9">
        <v>0</v>
      </c>
      <c r="BO142" s="9">
        <v>0</v>
      </c>
      <c r="BP142" s="9">
        <v>0</v>
      </c>
      <c r="BQ142" s="9">
        <v>5392</v>
      </c>
      <c r="BR142" s="9">
        <v>1</v>
      </c>
      <c r="BS142" s="9">
        <v>0</v>
      </c>
      <c r="BT142" s="9">
        <v>0</v>
      </c>
      <c r="BU142" s="9">
        <v>0</v>
      </c>
      <c r="BV142" s="9">
        <v>0</v>
      </c>
      <c r="BW142" s="9">
        <v>0</v>
      </c>
      <c r="BX142" s="9">
        <v>0</v>
      </c>
      <c r="BY142" s="9">
        <v>0</v>
      </c>
      <c r="BZ142" s="9">
        <v>0</v>
      </c>
      <c r="CA142" s="9">
        <v>0</v>
      </c>
      <c r="CB142" s="9">
        <v>0</v>
      </c>
      <c r="CC142" s="9">
        <v>0</v>
      </c>
      <c r="CD142" s="9">
        <v>0</v>
      </c>
      <c r="CE142" s="9">
        <v>0</v>
      </c>
      <c r="CF142" s="9">
        <v>0</v>
      </c>
      <c r="CG142" s="9">
        <v>0</v>
      </c>
      <c r="CH142" s="9">
        <v>49286</v>
      </c>
      <c r="CI142" s="9">
        <v>0</v>
      </c>
      <c r="CJ142" s="9">
        <v>4</v>
      </c>
      <c r="CK142" s="9">
        <v>0</v>
      </c>
      <c r="CL142" s="9">
        <v>0</v>
      </c>
      <c r="CM142" s="9">
        <v>0</v>
      </c>
      <c r="CN142" s="9">
        <v>0</v>
      </c>
      <c r="CO142" s="9">
        <v>0</v>
      </c>
      <c r="CP142" s="9">
        <v>0</v>
      </c>
      <c r="CQ142" s="9">
        <v>0.5</v>
      </c>
      <c r="CR142" s="9">
        <v>234.464</v>
      </c>
      <c r="CS142" s="9">
        <v>0</v>
      </c>
      <c r="CT142" s="9">
        <v>0</v>
      </c>
      <c r="CU142" s="9">
        <v>0</v>
      </c>
      <c r="CV142" s="9">
        <v>0</v>
      </c>
      <c r="CW142" s="9">
        <v>0</v>
      </c>
      <c r="CX142" s="9">
        <v>0</v>
      </c>
      <c r="CY142" s="9">
        <v>0</v>
      </c>
      <c r="CZ142" s="9">
        <v>0</v>
      </c>
      <c r="DA142" s="9">
        <v>1</v>
      </c>
      <c r="DB142" s="9">
        <v>1588872</v>
      </c>
      <c r="DC142" s="9">
        <v>0</v>
      </c>
      <c r="DD142" s="9">
        <v>0</v>
      </c>
      <c r="DE142" s="9">
        <v>349610</v>
      </c>
      <c r="DF142" s="9">
        <v>349610</v>
      </c>
      <c r="DG142" s="9">
        <v>267</v>
      </c>
      <c r="DH142" s="9">
        <v>0</v>
      </c>
      <c r="DI142" s="9">
        <v>0</v>
      </c>
      <c r="DJ142" s="9">
        <v>0</v>
      </c>
      <c r="DK142" s="9">
        <v>5392</v>
      </c>
      <c r="DL142" s="9">
        <v>0</v>
      </c>
      <c r="DM142" s="9">
        <v>101583</v>
      </c>
      <c r="DN142" s="9">
        <v>0</v>
      </c>
      <c r="DO142" s="9">
        <v>0</v>
      </c>
      <c r="DP142" s="9">
        <v>0</v>
      </c>
      <c r="DQ142" s="9">
        <v>0</v>
      </c>
      <c r="DR142" s="9">
        <v>0</v>
      </c>
      <c r="DS142" s="9">
        <v>0</v>
      </c>
      <c r="DT142" s="9">
        <v>0</v>
      </c>
      <c r="DU142" s="9">
        <v>0</v>
      </c>
      <c r="DV142" s="9">
        <v>0</v>
      </c>
      <c r="DW142" s="9">
        <v>0</v>
      </c>
      <c r="DX142" s="9">
        <v>0</v>
      </c>
      <c r="DY142" s="9">
        <v>0</v>
      </c>
      <c r="DZ142" s="9">
        <v>0</v>
      </c>
      <c r="EA142" s="9">
        <v>0</v>
      </c>
      <c r="EB142" s="9">
        <v>0</v>
      </c>
      <c r="EC142" s="9">
        <v>0</v>
      </c>
      <c r="ED142" s="9">
        <v>0</v>
      </c>
      <c r="EE142" s="9">
        <v>0</v>
      </c>
      <c r="EF142" s="9">
        <v>0</v>
      </c>
      <c r="EG142" s="9">
        <v>0</v>
      </c>
      <c r="EH142" s="9">
        <v>101583</v>
      </c>
      <c r="EI142" s="9">
        <v>0</v>
      </c>
      <c r="EJ142" s="9">
        <v>0</v>
      </c>
      <c r="EK142" s="9">
        <v>2.9319999999999999</v>
      </c>
      <c r="EL142" s="9">
        <v>0</v>
      </c>
      <c r="EM142" s="9">
        <v>0</v>
      </c>
      <c r="EN142" s="9">
        <v>1.3440000000000001</v>
      </c>
      <c r="EO142" s="9">
        <v>0</v>
      </c>
      <c r="EP142" s="9">
        <v>0</v>
      </c>
      <c r="EQ142" s="9">
        <v>4.2759999999999998</v>
      </c>
      <c r="ER142" s="9">
        <v>0</v>
      </c>
      <c r="ES142" s="9">
        <v>15.516</v>
      </c>
      <c r="ET142" s="9">
        <v>5750</v>
      </c>
      <c r="EU142" s="9">
        <v>118822</v>
      </c>
      <c r="EV142" s="9">
        <v>0</v>
      </c>
      <c r="EW142" s="9">
        <v>0</v>
      </c>
      <c r="EX142" s="9">
        <v>0</v>
      </c>
      <c r="EY142" s="9">
        <v>0</v>
      </c>
      <c r="EZ142" s="9">
        <v>1921243</v>
      </c>
      <c r="FA142" s="9">
        <v>0</v>
      </c>
      <c r="FB142" s="9">
        <v>2040065</v>
      </c>
      <c r="FC142" s="9">
        <v>0.97326799999999991</v>
      </c>
      <c r="FD142" s="9">
        <v>0</v>
      </c>
      <c r="FE142" s="9">
        <v>307156</v>
      </c>
      <c r="FF142" s="9">
        <v>65409</v>
      </c>
      <c r="FG142" s="9">
        <v>5.8088000000000001E-2</v>
      </c>
      <c r="FH142" s="9">
        <v>5.2622999999999996E-2</v>
      </c>
      <c r="FI142" s="9">
        <v>0</v>
      </c>
      <c r="FJ142" s="9">
        <v>0</v>
      </c>
      <c r="FK142" s="9">
        <v>389.036</v>
      </c>
      <c r="FL142" s="9">
        <v>2461916</v>
      </c>
      <c r="FM142" s="9">
        <v>0</v>
      </c>
      <c r="FN142" s="9">
        <v>0</v>
      </c>
      <c r="FO142" s="9">
        <v>0</v>
      </c>
      <c r="FP142" s="9">
        <v>0</v>
      </c>
      <c r="FQ142" s="9">
        <v>0</v>
      </c>
      <c r="FR142" s="9">
        <v>0</v>
      </c>
      <c r="FS142" s="9">
        <v>0</v>
      </c>
      <c r="FT142" s="9">
        <v>0</v>
      </c>
      <c r="FU142" s="9">
        <v>0</v>
      </c>
      <c r="FV142" s="9">
        <v>0</v>
      </c>
      <c r="FW142" s="9">
        <v>0</v>
      </c>
      <c r="FX142" s="9">
        <v>0</v>
      </c>
      <c r="FY142" s="9">
        <v>0</v>
      </c>
      <c r="FZ142" s="9">
        <v>0</v>
      </c>
      <c r="GA142" s="9">
        <v>0</v>
      </c>
      <c r="GB142" s="9">
        <v>0</v>
      </c>
      <c r="GC142" s="9">
        <v>0</v>
      </c>
      <c r="GD142" s="9">
        <v>0</v>
      </c>
      <c r="GE142" s="9">
        <v>0</v>
      </c>
      <c r="GF142" s="9">
        <v>0</v>
      </c>
      <c r="GG142" s="9">
        <v>0</v>
      </c>
      <c r="GH142" s="9">
        <v>0</v>
      </c>
      <c r="GI142" s="9">
        <v>0</v>
      </c>
      <c r="GJ142" s="9">
        <v>0</v>
      </c>
      <c r="GK142" s="9">
        <v>4972</v>
      </c>
      <c r="GL142" s="9">
        <v>6719</v>
      </c>
      <c r="GM142" s="9">
        <v>0</v>
      </c>
      <c r="GN142" s="9">
        <v>0</v>
      </c>
      <c r="GO142" s="9">
        <v>0</v>
      </c>
      <c r="GP142" s="9">
        <v>2412630</v>
      </c>
      <c r="GQ142" s="9">
        <v>2412630</v>
      </c>
      <c r="GR142" s="9">
        <v>0</v>
      </c>
      <c r="GS142" s="9">
        <v>0</v>
      </c>
      <c r="GT142" s="9">
        <v>0</v>
      </c>
      <c r="GU142" s="9">
        <v>0</v>
      </c>
      <c r="GV142" s="9">
        <v>0</v>
      </c>
      <c r="GW142" s="9">
        <v>0</v>
      </c>
      <c r="GX142" s="9">
        <v>0</v>
      </c>
      <c r="GY142" s="9">
        <v>0</v>
      </c>
      <c r="GZ142" s="9">
        <v>0</v>
      </c>
      <c r="HA142" s="9">
        <v>0</v>
      </c>
      <c r="HB142" s="9">
        <v>300501363</v>
      </c>
      <c r="HC142" s="9">
        <v>4.4742999999999998E-2</v>
      </c>
      <c r="HD142" s="9">
        <v>43536</v>
      </c>
      <c r="HE142" s="9">
        <v>0</v>
      </c>
      <c r="HF142" s="9">
        <v>0</v>
      </c>
      <c r="HG142" s="9">
        <v>0</v>
      </c>
      <c r="HH142" s="9">
        <v>0</v>
      </c>
      <c r="HI142" s="9">
        <v>0</v>
      </c>
      <c r="HJ142" s="9">
        <v>0</v>
      </c>
      <c r="HK142" s="9">
        <v>0</v>
      </c>
      <c r="HL142" s="9">
        <v>0</v>
      </c>
      <c r="HM142" s="9">
        <v>0</v>
      </c>
      <c r="HN142" s="9">
        <v>0</v>
      </c>
      <c r="HO142" s="9">
        <v>0</v>
      </c>
      <c r="HP142" s="9">
        <v>0</v>
      </c>
      <c r="HQ142" s="9">
        <v>0</v>
      </c>
      <c r="HR142" s="9">
        <v>0</v>
      </c>
      <c r="HS142" s="9">
        <v>0</v>
      </c>
      <c r="HT142" s="9">
        <v>0</v>
      </c>
      <c r="HU142" s="9">
        <v>0</v>
      </c>
      <c r="HV142" s="9">
        <v>0</v>
      </c>
      <c r="HW142" s="9">
        <v>0</v>
      </c>
      <c r="HX142" s="9">
        <v>0</v>
      </c>
      <c r="HY142" s="9">
        <v>0</v>
      </c>
      <c r="HZ142" s="9">
        <v>0</v>
      </c>
      <c r="IA142" s="9">
        <v>0</v>
      </c>
      <c r="IB142" s="9">
        <v>0</v>
      </c>
      <c r="IC142" s="9">
        <v>0</v>
      </c>
      <c r="ID142" s="9">
        <v>0</v>
      </c>
      <c r="IE142" s="9">
        <v>0</v>
      </c>
      <c r="IF142" s="9">
        <v>0</v>
      </c>
      <c r="IG142" s="9">
        <v>0</v>
      </c>
      <c r="IH142" s="9">
        <v>0</v>
      </c>
      <c r="II142" s="9">
        <v>0</v>
      </c>
      <c r="IJ142" s="9">
        <v>0</v>
      </c>
      <c r="IK142" s="9">
        <v>0</v>
      </c>
      <c r="IL142" s="9">
        <v>0</v>
      </c>
      <c r="IM142" s="9">
        <v>0</v>
      </c>
      <c r="IN142" s="9">
        <v>0</v>
      </c>
      <c r="IO142" s="9">
        <v>0</v>
      </c>
      <c r="IP142" s="9">
        <v>0</v>
      </c>
      <c r="IQ142" s="9">
        <v>0</v>
      </c>
      <c r="IR142" s="9">
        <v>0</v>
      </c>
      <c r="IS142" s="9">
        <v>0</v>
      </c>
      <c r="IT142" s="9">
        <v>0</v>
      </c>
      <c r="IU142" s="9">
        <v>0</v>
      </c>
      <c r="IV142" s="9">
        <v>0</v>
      </c>
      <c r="IW142" s="9">
        <v>0</v>
      </c>
      <c r="IX142" s="9">
        <v>0</v>
      </c>
      <c r="IY142" s="9">
        <v>0</v>
      </c>
      <c r="IZ142" s="9">
        <v>0</v>
      </c>
      <c r="JA142" s="9">
        <v>0</v>
      </c>
      <c r="JB142" s="9">
        <v>0</v>
      </c>
      <c r="JC142" s="9">
        <v>0</v>
      </c>
      <c r="JD142" s="9">
        <v>0</v>
      </c>
      <c r="JE142" s="9">
        <v>0</v>
      </c>
      <c r="JF142" s="9">
        <v>0</v>
      </c>
      <c r="JG142" s="9">
        <v>0</v>
      </c>
      <c r="JH142" s="9">
        <v>0</v>
      </c>
      <c r="JI142" s="9">
        <v>0</v>
      </c>
      <c r="JJ142" s="9">
        <v>0</v>
      </c>
      <c r="JK142" s="9">
        <v>0</v>
      </c>
      <c r="JL142" s="9">
        <v>0</v>
      </c>
      <c r="JM142" s="9">
        <v>0</v>
      </c>
      <c r="JN142" s="9">
        <v>36832</v>
      </c>
      <c r="JO142" s="9">
        <v>0</v>
      </c>
      <c r="JP142" s="9">
        <v>0</v>
      </c>
      <c r="JQ142" s="9">
        <v>0</v>
      </c>
      <c r="JR142" s="9">
        <v>0</v>
      </c>
      <c r="JS142" s="9">
        <v>0</v>
      </c>
      <c r="JT142" s="9">
        <v>0</v>
      </c>
      <c r="JU142" s="9">
        <v>0</v>
      </c>
      <c r="JV142" s="9">
        <v>0</v>
      </c>
      <c r="JW142" s="9">
        <v>0</v>
      </c>
      <c r="JX142" s="9">
        <v>0</v>
      </c>
      <c r="JY142" s="9">
        <v>0</v>
      </c>
      <c r="JZ142" s="9">
        <v>0</v>
      </c>
      <c r="KA142" s="9">
        <v>0</v>
      </c>
      <c r="KB142" s="9">
        <v>0</v>
      </c>
      <c r="KC142" s="9">
        <v>0</v>
      </c>
      <c r="KD142" s="9">
        <v>0</v>
      </c>
      <c r="KE142" s="9">
        <v>0</v>
      </c>
      <c r="KF142" s="9">
        <v>0</v>
      </c>
      <c r="KG142" s="9">
        <v>0</v>
      </c>
      <c r="KH142" s="9">
        <v>0</v>
      </c>
      <c r="KI142" s="9">
        <v>0</v>
      </c>
    </row>
    <row r="143" spans="1:295" x14ac:dyDescent="0.25">
      <c r="A143" s="9">
        <v>152803</v>
      </c>
      <c r="B143" s="9">
        <v>36871</v>
      </c>
      <c r="C143" s="9">
        <v>35</v>
      </c>
      <c r="D143" s="9">
        <v>2023</v>
      </c>
      <c r="E143" s="9">
        <v>5392</v>
      </c>
      <c r="F143" s="9">
        <v>0</v>
      </c>
      <c r="G143" s="9">
        <v>0</v>
      </c>
      <c r="H143" s="9">
        <v>156.59399999999999</v>
      </c>
      <c r="I143" s="9">
        <v>156.59399999999999</v>
      </c>
      <c r="J143" s="9">
        <v>170.232</v>
      </c>
      <c r="K143" s="9">
        <v>0</v>
      </c>
      <c r="L143" s="9">
        <v>6547</v>
      </c>
      <c r="M143" s="9">
        <v>0</v>
      </c>
      <c r="N143" s="9">
        <v>0</v>
      </c>
      <c r="O143" s="9">
        <v>0</v>
      </c>
      <c r="P143" s="9">
        <v>165.52700000000002</v>
      </c>
      <c r="Q143" s="9">
        <v>0</v>
      </c>
      <c r="R143" s="9">
        <v>80599</v>
      </c>
      <c r="S143" s="9">
        <v>486.92200000000003</v>
      </c>
      <c r="T143" s="9">
        <v>0</v>
      </c>
      <c r="U143" s="9">
        <v>80599</v>
      </c>
      <c r="V143" s="9">
        <v>3.11</v>
      </c>
      <c r="W143" s="9">
        <v>2036</v>
      </c>
      <c r="X143" s="9">
        <v>2036</v>
      </c>
      <c r="Y143" s="9">
        <v>0</v>
      </c>
      <c r="Z143" s="9">
        <v>0</v>
      </c>
      <c r="AA143" s="9">
        <v>1</v>
      </c>
      <c r="AB143" s="9">
        <v>1</v>
      </c>
      <c r="AC143" s="9">
        <v>0</v>
      </c>
      <c r="AD143" s="9" t="s">
        <v>314</v>
      </c>
      <c r="AE143" s="9">
        <v>0</v>
      </c>
      <c r="AF143" s="9">
        <v>0</v>
      </c>
      <c r="AG143" s="9">
        <v>0</v>
      </c>
      <c r="AH143" s="9">
        <v>0</v>
      </c>
      <c r="AI143" s="9">
        <v>0</v>
      </c>
      <c r="AJ143" s="9">
        <v>5104</v>
      </c>
      <c r="AK143" s="9" t="s">
        <v>651</v>
      </c>
      <c r="AL143" s="9" t="s">
        <v>466</v>
      </c>
      <c r="AM143" s="9">
        <v>0</v>
      </c>
      <c r="AN143" s="9">
        <v>0</v>
      </c>
      <c r="AO143" s="9">
        <v>0</v>
      </c>
      <c r="AP143" s="9">
        <v>0</v>
      </c>
      <c r="AQ143" s="9">
        <v>0</v>
      </c>
      <c r="AR143" s="9">
        <v>0</v>
      </c>
      <c r="AS143" s="9">
        <v>0</v>
      </c>
      <c r="AT143" s="9">
        <v>0</v>
      </c>
      <c r="AU143" s="9">
        <v>0</v>
      </c>
      <c r="AV143" s="9">
        <v>-138727</v>
      </c>
      <c r="AW143" s="9">
        <v>1820117</v>
      </c>
      <c r="AX143" s="9">
        <v>1743308</v>
      </c>
      <c r="AY143" s="9">
        <v>1579672</v>
      </c>
      <c r="AZ143" s="9">
        <v>122398</v>
      </c>
      <c r="BA143" s="9">
        <v>4</v>
      </c>
      <c r="BB143" s="9">
        <v>0</v>
      </c>
      <c r="BC143" s="9">
        <v>0</v>
      </c>
      <c r="BD143" s="9">
        <v>0</v>
      </c>
      <c r="BE143" s="9">
        <v>0</v>
      </c>
      <c r="BF143" s="9">
        <v>1501026</v>
      </c>
      <c r="BG143" s="9">
        <v>0</v>
      </c>
      <c r="BH143" s="9">
        <v>151.995</v>
      </c>
      <c r="BI143" s="9">
        <v>41799</v>
      </c>
      <c r="BJ143" s="9">
        <v>12</v>
      </c>
      <c r="BK143" s="9">
        <v>0</v>
      </c>
      <c r="BL143" s="9">
        <v>0</v>
      </c>
      <c r="BM143" s="9">
        <v>0</v>
      </c>
      <c r="BN143" s="9">
        <v>0</v>
      </c>
      <c r="BO143" s="9">
        <v>0</v>
      </c>
      <c r="BP143" s="9">
        <v>0</v>
      </c>
      <c r="BQ143" s="9">
        <v>5392</v>
      </c>
      <c r="BR143" s="9">
        <v>1</v>
      </c>
      <c r="BS143" s="9">
        <v>0</v>
      </c>
      <c r="BT143" s="9">
        <v>0</v>
      </c>
      <c r="BU143" s="9">
        <v>0</v>
      </c>
      <c r="BV143" s="9">
        <v>0</v>
      </c>
      <c r="BW143" s="9">
        <v>0</v>
      </c>
      <c r="BX143" s="9">
        <v>0</v>
      </c>
      <c r="BY143" s="9">
        <v>0</v>
      </c>
      <c r="BZ143" s="9">
        <v>0</v>
      </c>
      <c r="CA143" s="9">
        <v>0</v>
      </c>
      <c r="CB143" s="9">
        <v>0</v>
      </c>
      <c r="CC143" s="9">
        <v>0</v>
      </c>
      <c r="CD143" s="9">
        <v>0</v>
      </c>
      <c r="CE143" s="9">
        <v>0</v>
      </c>
      <c r="CF143" s="9">
        <v>0</v>
      </c>
      <c r="CG143" s="9">
        <v>0</v>
      </c>
      <c r="CH143" s="9">
        <v>35010</v>
      </c>
      <c r="CI143" s="9">
        <v>0</v>
      </c>
      <c r="CJ143" s="9">
        <v>4</v>
      </c>
      <c r="CK143" s="9">
        <v>0</v>
      </c>
      <c r="CL143" s="9">
        <v>0</v>
      </c>
      <c r="CM143" s="9">
        <v>0</v>
      </c>
      <c r="CN143" s="9">
        <v>0</v>
      </c>
      <c r="CO143" s="9">
        <v>0</v>
      </c>
      <c r="CP143" s="9">
        <v>2.605</v>
      </c>
      <c r="CQ143" s="9">
        <v>12</v>
      </c>
      <c r="CR143" s="9">
        <v>158.52800000000002</v>
      </c>
      <c r="CS143" s="9">
        <v>0</v>
      </c>
      <c r="CT143" s="9">
        <v>0</v>
      </c>
      <c r="CU143" s="9">
        <v>0</v>
      </c>
      <c r="CV143" s="9">
        <v>0</v>
      </c>
      <c r="CW143" s="9">
        <v>0</v>
      </c>
      <c r="CX143" s="9">
        <v>0</v>
      </c>
      <c r="CY143" s="9">
        <v>0</v>
      </c>
      <c r="CZ143" s="9">
        <v>0</v>
      </c>
      <c r="DA143" s="9">
        <v>1</v>
      </c>
      <c r="DB143" s="9">
        <v>1025221</v>
      </c>
      <c r="DC143" s="9">
        <v>0</v>
      </c>
      <c r="DD143" s="9">
        <v>0</v>
      </c>
      <c r="DE143" s="9">
        <v>172618</v>
      </c>
      <c r="DF143" s="9">
        <v>213720</v>
      </c>
      <c r="DG143" s="9">
        <v>131.83000000000001</v>
      </c>
      <c r="DH143" s="9">
        <v>0</v>
      </c>
      <c r="DI143" s="9">
        <v>41102</v>
      </c>
      <c r="DJ143" s="9">
        <v>0</v>
      </c>
      <c r="DK143" s="9">
        <v>5392</v>
      </c>
      <c r="DL143" s="9">
        <v>0</v>
      </c>
      <c r="DM143" s="9">
        <v>182789</v>
      </c>
      <c r="DN143" s="9">
        <v>0</v>
      </c>
      <c r="DO143" s="9">
        <v>0</v>
      </c>
      <c r="DP143" s="9">
        <v>0</v>
      </c>
      <c r="DQ143" s="9">
        <v>0</v>
      </c>
      <c r="DR143" s="9">
        <v>0</v>
      </c>
      <c r="DS143" s="9">
        <v>0</v>
      </c>
      <c r="DT143" s="9">
        <v>0</v>
      </c>
      <c r="DU143" s="9">
        <v>0</v>
      </c>
      <c r="DV143" s="9">
        <v>0</v>
      </c>
      <c r="DW143" s="9">
        <v>0</v>
      </c>
      <c r="DX143" s="9">
        <v>0</v>
      </c>
      <c r="DY143" s="9">
        <v>0</v>
      </c>
      <c r="DZ143" s="9">
        <v>0</v>
      </c>
      <c r="EA143" s="9">
        <v>0</v>
      </c>
      <c r="EB143" s="9">
        <v>0</v>
      </c>
      <c r="EC143" s="9">
        <v>24.676000000000002</v>
      </c>
      <c r="ED143" s="9">
        <v>177709</v>
      </c>
      <c r="EE143" s="9">
        <v>0</v>
      </c>
      <c r="EF143" s="9">
        <v>0</v>
      </c>
      <c r="EG143" s="9">
        <v>0</v>
      </c>
      <c r="EH143" s="9">
        <v>5080</v>
      </c>
      <c r="EI143" s="9">
        <v>0</v>
      </c>
      <c r="EJ143" s="9">
        <v>0</v>
      </c>
      <c r="EK143" s="9">
        <v>0.192</v>
      </c>
      <c r="EL143" s="9">
        <v>0</v>
      </c>
      <c r="EM143" s="9">
        <v>0</v>
      </c>
      <c r="EN143" s="9">
        <v>0.04</v>
      </c>
      <c r="EO143" s="9">
        <v>0</v>
      </c>
      <c r="EP143" s="9">
        <v>0</v>
      </c>
      <c r="EQ143" s="9">
        <v>0.23200000000000001</v>
      </c>
      <c r="ER143" s="9">
        <v>0</v>
      </c>
      <c r="ES143" s="9">
        <v>0.77600000000000002</v>
      </c>
      <c r="ET143" s="9">
        <v>5000</v>
      </c>
      <c r="EU143" s="9">
        <v>122398</v>
      </c>
      <c r="EV143" s="9">
        <v>0</v>
      </c>
      <c r="EW143" s="9">
        <v>0</v>
      </c>
      <c r="EX143" s="9">
        <v>0</v>
      </c>
      <c r="EY143" s="9">
        <v>0</v>
      </c>
      <c r="EZ143" s="9">
        <v>1461655</v>
      </c>
      <c r="FA143" s="9">
        <v>0</v>
      </c>
      <c r="FB143" s="9">
        <v>1584053</v>
      </c>
      <c r="FC143" s="9">
        <v>0.97326799999999991</v>
      </c>
      <c r="FD143" s="9">
        <v>0</v>
      </c>
      <c r="FE143" s="9">
        <v>232205</v>
      </c>
      <c r="FF143" s="9">
        <v>49448</v>
      </c>
      <c r="FG143" s="9">
        <v>5.8088000000000001E-2</v>
      </c>
      <c r="FH143" s="9">
        <v>5.2622999999999996E-2</v>
      </c>
      <c r="FI143" s="9">
        <v>0</v>
      </c>
      <c r="FJ143" s="9">
        <v>0</v>
      </c>
      <c r="FK143" s="9">
        <v>294.10400000000004</v>
      </c>
      <c r="FL143" s="9">
        <v>1900716</v>
      </c>
      <c r="FM143" s="9">
        <v>0</v>
      </c>
      <c r="FN143" s="9">
        <v>0</v>
      </c>
      <c r="FO143" s="9">
        <v>0</v>
      </c>
      <c r="FP143" s="9">
        <v>0</v>
      </c>
      <c r="FQ143" s="9">
        <v>0</v>
      </c>
      <c r="FR143" s="9">
        <v>0</v>
      </c>
      <c r="FS143" s="9">
        <v>0</v>
      </c>
      <c r="FT143" s="9">
        <v>0</v>
      </c>
      <c r="FU143" s="9">
        <v>0</v>
      </c>
      <c r="FV143" s="9">
        <v>0</v>
      </c>
      <c r="FW143" s="9">
        <v>0</v>
      </c>
      <c r="FX143" s="9">
        <v>0</v>
      </c>
      <c r="FY143" s="9">
        <v>0</v>
      </c>
      <c r="FZ143" s="9">
        <v>0</v>
      </c>
      <c r="GA143" s="9">
        <v>0</v>
      </c>
      <c r="GB143" s="9">
        <v>118488</v>
      </c>
      <c r="GC143" s="9">
        <v>118488</v>
      </c>
      <c r="GD143" s="9">
        <v>13.406000000000001</v>
      </c>
      <c r="GE143" s="9">
        <v>0</v>
      </c>
      <c r="GF143" s="9">
        <v>0</v>
      </c>
      <c r="GG143" s="9">
        <v>0</v>
      </c>
      <c r="GH143" s="9">
        <v>0</v>
      </c>
      <c r="GI143" s="9">
        <v>0</v>
      </c>
      <c r="GJ143" s="9">
        <v>0</v>
      </c>
      <c r="GK143" s="9">
        <v>5105</v>
      </c>
      <c r="GL143" s="9">
        <v>4357</v>
      </c>
      <c r="GM143" s="9">
        <v>0</v>
      </c>
      <c r="GN143" s="9">
        <v>0</v>
      </c>
      <c r="GO143" s="9">
        <v>0</v>
      </c>
      <c r="GP143" s="9">
        <v>1865706</v>
      </c>
      <c r="GQ143" s="9">
        <v>1865706</v>
      </c>
      <c r="GR143" s="9">
        <v>0</v>
      </c>
      <c r="GS143" s="9">
        <v>0</v>
      </c>
      <c r="GT143" s="9">
        <v>0</v>
      </c>
      <c r="GU143" s="9">
        <v>0</v>
      </c>
      <c r="GV143" s="9">
        <v>0</v>
      </c>
      <c r="GW143" s="9">
        <v>0</v>
      </c>
      <c r="GX143" s="9">
        <v>0</v>
      </c>
      <c r="GY143" s="9">
        <v>0</v>
      </c>
      <c r="GZ143" s="9">
        <v>0</v>
      </c>
      <c r="HA143" s="9">
        <v>0</v>
      </c>
      <c r="HB143" s="9">
        <v>300501363</v>
      </c>
      <c r="HC143" s="9">
        <v>4.4742999999999998E-2</v>
      </c>
      <c r="HD143" s="9">
        <v>30010</v>
      </c>
      <c r="HE143" s="9">
        <v>0</v>
      </c>
      <c r="HF143" s="9">
        <v>0</v>
      </c>
      <c r="HG143" s="9">
        <v>0</v>
      </c>
      <c r="HH143" s="9">
        <v>0</v>
      </c>
      <c r="HI143" s="9">
        <v>0</v>
      </c>
      <c r="HJ143" s="9">
        <v>0</v>
      </c>
      <c r="HK143" s="9">
        <v>0</v>
      </c>
      <c r="HL143" s="9">
        <v>0</v>
      </c>
      <c r="HM143" s="9">
        <v>0</v>
      </c>
      <c r="HN143" s="9">
        <v>0</v>
      </c>
      <c r="HO143" s="9">
        <v>0</v>
      </c>
      <c r="HP143" s="9">
        <v>0</v>
      </c>
      <c r="HQ143" s="9">
        <v>0</v>
      </c>
      <c r="HR143" s="9">
        <v>0</v>
      </c>
      <c r="HS143" s="9">
        <v>0</v>
      </c>
      <c r="HT143" s="9">
        <v>0</v>
      </c>
      <c r="HU143" s="9">
        <v>0</v>
      </c>
      <c r="HV143" s="9">
        <v>0</v>
      </c>
      <c r="HW143" s="9">
        <v>0</v>
      </c>
      <c r="HX143" s="9">
        <v>0</v>
      </c>
      <c r="HY143" s="9">
        <v>0</v>
      </c>
      <c r="HZ143" s="9">
        <v>0</v>
      </c>
      <c r="IA143" s="9">
        <v>0</v>
      </c>
      <c r="IB143" s="9">
        <v>0</v>
      </c>
      <c r="IC143" s="9">
        <v>0</v>
      </c>
      <c r="ID143" s="9">
        <v>0</v>
      </c>
      <c r="IE143" s="9">
        <v>0</v>
      </c>
      <c r="IF143" s="9">
        <v>0</v>
      </c>
      <c r="IG143" s="9">
        <v>0</v>
      </c>
      <c r="IH143" s="9">
        <v>0</v>
      </c>
      <c r="II143" s="9">
        <v>0</v>
      </c>
      <c r="IJ143" s="9">
        <v>0</v>
      </c>
      <c r="IK143" s="9">
        <v>0</v>
      </c>
      <c r="IL143" s="9">
        <v>0</v>
      </c>
      <c r="IM143" s="9">
        <v>0</v>
      </c>
      <c r="IN143" s="9">
        <v>0</v>
      </c>
      <c r="IO143" s="9">
        <v>0</v>
      </c>
      <c r="IP143" s="9">
        <v>0</v>
      </c>
      <c r="IQ143" s="9">
        <v>0</v>
      </c>
      <c r="IR143" s="9">
        <v>0</v>
      </c>
      <c r="IS143" s="9">
        <v>0</v>
      </c>
      <c r="IT143" s="9">
        <v>0</v>
      </c>
      <c r="IU143" s="9">
        <v>0</v>
      </c>
      <c r="IV143" s="9">
        <v>0</v>
      </c>
      <c r="IW143" s="9">
        <v>0</v>
      </c>
      <c r="IX143" s="9">
        <v>0</v>
      </c>
      <c r="IY143" s="9">
        <v>0</v>
      </c>
      <c r="IZ143" s="9">
        <v>0</v>
      </c>
      <c r="JA143" s="9">
        <v>0</v>
      </c>
      <c r="JB143" s="9">
        <v>0</v>
      </c>
      <c r="JC143" s="9">
        <v>0</v>
      </c>
      <c r="JD143" s="9">
        <v>0</v>
      </c>
      <c r="JE143" s="9">
        <v>0</v>
      </c>
      <c r="JF143" s="9">
        <v>0</v>
      </c>
      <c r="JG143" s="9">
        <v>0</v>
      </c>
      <c r="JH143" s="9">
        <v>0</v>
      </c>
      <c r="JI143" s="9">
        <v>0</v>
      </c>
      <c r="JJ143" s="9">
        <v>0</v>
      </c>
      <c r="JK143" s="9">
        <v>0</v>
      </c>
      <c r="JL143" s="9">
        <v>0</v>
      </c>
      <c r="JM143" s="9">
        <v>0</v>
      </c>
      <c r="JN143" s="9">
        <v>36832</v>
      </c>
      <c r="JO143" s="9">
        <v>0</v>
      </c>
      <c r="JP143" s="9">
        <v>0</v>
      </c>
      <c r="JQ143" s="9">
        <v>0</v>
      </c>
      <c r="JR143" s="9">
        <v>0</v>
      </c>
      <c r="JS143" s="9">
        <v>0</v>
      </c>
      <c r="JT143" s="9">
        <v>0</v>
      </c>
      <c r="JU143" s="9">
        <v>0</v>
      </c>
      <c r="JV143" s="9">
        <v>0</v>
      </c>
      <c r="JW143" s="9">
        <v>0</v>
      </c>
      <c r="JX143" s="9">
        <v>0</v>
      </c>
      <c r="JY143" s="9">
        <v>0</v>
      </c>
      <c r="JZ143" s="9">
        <v>0</v>
      </c>
      <c r="KA143" s="9">
        <v>0</v>
      </c>
      <c r="KB143" s="9">
        <v>0</v>
      </c>
      <c r="KC143" s="9">
        <v>0</v>
      </c>
      <c r="KD143" s="9">
        <v>0</v>
      </c>
      <c r="KE143" s="9">
        <v>0</v>
      </c>
      <c r="KF143" s="9">
        <v>0</v>
      </c>
      <c r="KG143" s="9">
        <v>0</v>
      </c>
      <c r="KH143" s="9">
        <v>0</v>
      </c>
      <c r="KI143" s="9">
        <v>0</v>
      </c>
    </row>
    <row r="144" spans="1:295" x14ac:dyDescent="0.25">
      <c r="A144" s="9">
        <v>152806</v>
      </c>
      <c r="B144" s="9">
        <v>36871</v>
      </c>
      <c r="C144" s="9">
        <v>35</v>
      </c>
      <c r="D144" s="9">
        <v>2023</v>
      </c>
      <c r="E144" s="9">
        <v>5392</v>
      </c>
      <c r="F144" s="9">
        <v>0</v>
      </c>
      <c r="G144" s="9">
        <v>0</v>
      </c>
      <c r="H144" s="9">
        <v>120.90900000000001</v>
      </c>
      <c r="I144" s="9">
        <v>120.90900000000001</v>
      </c>
      <c r="J144" s="9">
        <v>134.57599999999999</v>
      </c>
      <c r="K144" s="9">
        <v>0</v>
      </c>
      <c r="L144" s="9">
        <v>6547</v>
      </c>
      <c r="M144" s="9">
        <v>0</v>
      </c>
      <c r="N144" s="9">
        <v>0</v>
      </c>
      <c r="O144" s="9">
        <v>0</v>
      </c>
      <c r="P144" s="9">
        <v>65.165999999999997</v>
      </c>
      <c r="Q144" s="9">
        <v>0</v>
      </c>
      <c r="R144" s="9">
        <v>31731</v>
      </c>
      <c r="S144" s="9">
        <v>486.92200000000003</v>
      </c>
      <c r="T144" s="9">
        <v>0</v>
      </c>
      <c r="U144" s="9">
        <v>31731</v>
      </c>
      <c r="V144" s="9">
        <v>0</v>
      </c>
      <c r="W144" s="9">
        <v>0</v>
      </c>
      <c r="X144" s="9">
        <v>0</v>
      </c>
      <c r="Y144" s="9">
        <v>0</v>
      </c>
      <c r="Z144" s="9">
        <v>0</v>
      </c>
      <c r="AA144" s="9">
        <v>1</v>
      </c>
      <c r="AB144" s="9">
        <v>1</v>
      </c>
      <c r="AC144" s="9">
        <v>0</v>
      </c>
      <c r="AD144" s="9" t="s">
        <v>314</v>
      </c>
      <c r="AE144" s="9">
        <v>0</v>
      </c>
      <c r="AF144" s="9">
        <v>0</v>
      </c>
      <c r="AG144" s="9">
        <v>0</v>
      </c>
      <c r="AH144" s="9">
        <v>0</v>
      </c>
      <c r="AI144" s="9">
        <v>0</v>
      </c>
      <c r="AJ144" s="9">
        <v>5104</v>
      </c>
      <c r="AK144" s="9" t="s">
        <v>651</v>
      </c>
      <c r="AL144" s="9" t="s">
        <v>535</v>
      </c>
      <c r="AM144" s="9">
        <v>0</v>
      </c>
      <c r="AN144" s="9">
        <v>0</v>
      </c>
      <c r="AO144" s="9">
        <v>0</v>
      </c>
      <c r="AP144" s="9">
        <v>0</v>
      </c>
      <c r="AQ144" s="9">
        <v>0</v>
      </c>
      <c r="AR144" s="9">
        <v>0</v>
      </c>
      <c r="AS144" s="9">
        <v>0</v>
      </c>
      <c r="AT144" s="9">
        <v>0</v>
      </c>
      <c r="AU144" s="9">
        <v>0</v>
      </c>
      <c r="AV144" s="9">
        <v>-18168</v>
      </c>
      <c r="AW144" s="9">
        <v>0</v>
      </c>
      <c r="AX144" s="9">
        <v>1396888</v>
      </c>
      <c r="AY144" s="9">
        <v>1603693</v>
      </c>
      <c r="AZ144" s="9">
        <v>31731</v>
      </c>
      <c r="BA144" s="9">
        <v>0</v>
      </c>
      <c r="BB144" s="9">
        <v>0</v>
      </c>
      <c r="BC144" s="9">
        <v>0</v>
      </c>
      <c r="BD144" s="9">
        <v>0</v>
      </c>
      <c r="BE144" s="9">
        <v>0</v>
      </c>
      <c r="BF144" s="9">
        <v>1175715</v>
      </c>
      <c r="BG144" s="9">
        <v>0</v>
      </c>
      <c r="BH144" s="9">
        <v>0</v>
      </c>
      <c r="BI144" s="9">
        <v>0</v>
      </c>
      <c r="BJ144" s="9">
        <v>12</v>
      </c>
      <c r="BK144" s="9">
        <v>0</v>
      </c>
      <c r="BL144" s="9">
        <v>0</v>
      </c>
      <c r="BM144" s="9">
        <v>0</v>
      </c>
      <c r="BN144" s="9">
        <v>0</v>
      </c>
      <c r="BO144" s="9">
        <v>0</v>
      </c>
      <c r="BP144" s="9">
        <v>0</v>
      </c>
      <c r="BQ144" s="9">
        <v>5392</v>
      </c>
      <c r="BR144" s="9">
        <v>1</v>
      </c>
      <c r="BS144" s="9">
        <v>0</v>
      </c>
      <c r="BT144" s="9">
        <v>0</v>
      </c>
      <c r="BU144" s="9">
        <v>0</v>
      </c>
      <c r="BV144" s="9">
        <v>0</v>
      </c>
      <c r="BW144" s="9">
        <v>0</v>
      </c>
      <c r="BX144" s="9">
        <v>0</v>
      </c>
      <c r="BY144" s="9">
        <v>0</v>
      </c>
      <c r="BZ144" s="9">
        <v>0</v>
      </c>
      <c r="CA144" s="9">
        <v>0</v>
      </c>
      <c r="CB144" s="9">
        <v>0</v>
      </c>
      <c r="CC144" s="9">
        <v>0</v>
      </c>
      <c r="CD144" s="9">
        <v>0</v>
      </c>
      <c r="CE144" s="9">
        <v>0</v>
      </c>
      <c r="CF144" s="9">
        <v>0</v>
      </c>
      <c r="CG144" s="9">
        <v>0</v>
      </c>
      <c r="CH144" s="9">
        <v>0</v>
      </c>
      <c r="CI144" s="9">
        <v>0</v>
      </c>
      <c r="CJ144" s="9">
        <v>4</v>
      </c>
      <c r="CK144" s="9">
        <v>0</v>
      </c>
      <c r="CL144" s="9">
        <v>0</v>
      </c>
      <c r="CM144" s="9">
        <v>0</v>
      </c>
      <c r="CN144" s="9">
        <v>0</v>
      </c>
      <c r="CO144" s="9">
        <v>0</v>
      </c>
      <c r="CP144" s="9">
        <v>0</v>
      </c>
      <c r="CQ144" s="9">
        <v>0</v>
      </c>
      <c r="CR144" s="9">
        <v>72.105000000000004</v>
      </c>
      <c r="CS144" s="9">
        <v>0</v>
      </c>
      <c r="CT144" s="9">
        <v>0</v>
      </c>
      <c r="CU144" s="9">
        <v>0</v>
      </c>
      <c r="CV144" s="9">
        <v>0</v>
      </c>
      <c r="CW144" s="9">
        <v>0</v>
      </c>
      <c r="CX144" s="9">
        <v>0</v>
      </c>
      <c r="CY144" s="9">
        <v>0</v>
      </c>
      <c r="CZ144" s="9">
        <v>0</v>
      </c>
      <c r="DA144" s="9">
        <v>1</v>
      </c>
      <c r="DB144" s="9">
        <v>791591</v>
      </c>
      <c r="DC144" s="9">
        <v>0</v>
      </c>
      <c r="DD144" s="9">
        <v>0</v>
      </c>
      <c r="DE144" s="9">
        <v>78128</v>
      </c>
      <c r="DF144" s="9">
        <v>78128</v>
      </c>
      <c r="DG144" s="9">
        <v>59.667000000000002</v>
      </c>
      <c r="DH144" s="9">
        <v>0</v>
      </c>
      <c r="DI144" s="9">
        <v>0</v>
      </c>
      <c r="DJ144" s="9">
        <v>0</v>
      </c>
      <c r="DK144" s="9">
        <v>5392</v>
      </c>
      <c r="DL144" s="9">
        <v>0</v>
      </c>
      <c r="DM144" s="9">
        <v>338289</v>
      </c>
      <c r="DN144" s="9">
        <v>0</v>
      </c>
      <c r="DO144" s="9">
        <v>0</v>
      </c>
      <c r="DP144" s="9">
        <v>0</v>
      </c>
      <c r="DQ144" s="9">
        <v>0</v>
      </c>
      <c r="DR144" s="9">
        <v>0</v>
      </c>
      <c r="DS144" s="9">
        <v>0</v>
      </c>
      <c r="DT144" s="9">
        <v>0</v>
      </c>
      <c r="DU144" s="9">
        <v>0</v>
      </c>
      <c r="DV144" s="9">
        <v>0</v>
      </c>
      <c r="DW144" s="9">
        <v>0</v>
      </c>
      <c r="DX144" s="9">
        <v>0</v>
      </c>
      <c r="DY144" s="9">
        <v>0</v>
      </c>
      <c r="DZ144" s="9">
        <v>0</v>
      </c>
      <c r="EA144" s="9">
        <v>0</v>
      </c>
      <c r="EB144" s="9">
        <v>0</v>
      </c>
      <c r="EC144" s="9">
        <v>8.3290000000000006</v>
      </c>
      <c r="ED144" s="9">
        <v>59983</v>
      </c>
      <c r="EE144" s="9">
        <v>0</v>
      </c>
      <c r="EF144" s="9">
        <v>0</v>
      </c>
      <c r="EG144" s="9">
        <v>0</v>
      </c>
      <c r="EH144" s="9">
        <v>278306</v>
      </c>
      <c r="EI144" s="9">
        <v>0</v>
      </c>
      <c r="EJ144" s="9">
        <v>0</v>
      </c>
      <c r="EK144" s="9">
        <v>12.913</v>
      </c>
      <c r="EL144" s="9">
        <v>0</v>
      </c>
      <c r="EM144" s="9">
        <v>0</v>
      </c>
      <c r="EN144" s="9">
        <v>0.754</v>
      </c>
      <c r="EO144" s="9">
        <v>0</v>
      </c>
      <c r="EP144" s="9">
        <v>0</v>
      </c>
      <c r="EQ144" s="9">
        <v>13.667</v>
      </c>
      <c r="ER144" s="9">
        <v>0</v>
      </c>
      <c r="ES144" s="9">
        <v>42.509</v>
      </c>
      <c r="ET144" s="9">
        <v>0</v>
      </c>
      <c r="EU144" s="9">
        <v>31731</v>
      </c>
      <c r="EV144" s="9">
        <v>0</v>
      </c>
      <c r="EW144" s="9">
        <v>0</v>
      </c>
      <c r="EX144" s="9">
        <v>0</v>
      </c>
      <c r="EY144" s="9">
        <v>0</v>
      </c>
      <c r="EZ144" s="9">
        <v>1176277</v>
      </c>
      <c r="FA144" s="9">
        <v>0</v>
      </c>
      <c r="FB144" s="9">
        <v>1208008</v>
      </c>
      <c r="FC144" s="9">
        <v>0.97326799999999991</v>
      </c>
      <c r="FD144" s="9">
        <v>0</v>
      </c>
      <c r="FE144" s="9">
        <v>181880</v>
      </c>
      <c r="FF144" s="9">
        <v>38731</v>
      </c>
      <c r="FG144" s="9">
        <v>5.8088000000000001E-2</v>
      </c>
      <c r="FH144" s="9">
        <v>5.2622999999999996E-2</v>
      </c>
      <c r="FI144" s="9">
        <v>0</v>
      </c>
      <c r="FJ144" s="9">
        <v>0</v>
      </c>
      <c r="FK144" s="9">
        <v>230.364</v>
      </c>
      <c r="FL144" s="9">
        <v>0</v>
      </c>
      <c r="FM144" s="9">
        <v>0</v>
      </c>
      <c r="FN144" s="9">
        <v>0</v>
      </c>
      <c r="FO144" s="9">
        <v>0</v>
      </c>
      <c r="FP144" s="9">
        <v>0</v>
      </c>
      <c r="FQ144" s="9">
        <v>0</v>
      </c>
      <c r="FR144" s="9">
        <v>0</v>
      </c>
      <c r="FS144" s="9">
        <v>0</v>
      </c>
      <c r="FT144" s="9">
        <v>0</v>
      </c>
      <c r="FU144" s="9">
        <v>0</v>
      </c>
      <c r="FV144" s="9">
        <v>0</v>
      </c>
      <c r="FW144" s="9">
        <v>0</v>
      </c>
      <c r="FX144" s="9">
        <v>0</v>
      </c>
      <c r="FY144" s="9">
        <v>0</v>
      </c>
      <c r="FZ144" s="9">
        <v>0</v>
      </c>
      <c r="GA144" s="9">
        <v>0</v>
      </c>
      <c r="GB144" s="9">
        <v>0</v>
      </c>
      <c r="GC144" s="9">
        <v>0</v>
      </c>
      <c r="GD144" s="9">
        <v>0</v>
      </c>
      <c r="GE144" s="9">
        <v>0</v>
      </c>
      <c r="GF144" s="9">
        <v>0</v>
      </c>
      <c r="GG144" s="9">
        <v>0</v>
      </c>
      <c r="GH144" s="9">
        <v>0</v>
      </c>
      <c r="GI144" s="9">
        <v>0</v>
      </c>
      <c r="GJ144" s="9">
        <v>0</v>
      </c>
      <c r="GK144" s="9">
        <v>0</v>
      </c>
      <c r="GL144" s="9">
        <v>0</v>
      </c>
      <c r="GM144" s="9">
        <v>0</v>
      </c>
      <c r="GN144" s="9">
        <v>0</v>
      </c>
      <c r="GO144" s="9">
        <v>0</v>
      </c>
      <c r="GP144" s="9">
        <v>1428619</v>
      </c>
      <c r="GQ144" s="9">
        <v>1428619</v>
      </c>
      <c r="GR144" s="9">
        <v>0</v>
      </c>
      <c r="GS144" s="9">
        <v>0</v>
      </c>
      <c r="GT144" s="9">
        <v>0</v>
      </c>
      <c r="GU144" s="9">
        <v>0</v>
      </c>
      <c r="GV144" s="9">
        <v>0</v>
      </c>
      <c r="GW144" s="9">
        <v>0</v>
      </c>
      <c r="GX144" s="9">
        <v>0</v>
      </c>
      <c r="GY144" s="9">
        <v>0</v>
      </c>
      <c r="GZ144" s="9">
        <v>0</v>
      </c>
      <c r="HA144" s="9">
        <v>0</v>
      </c>
      <c r="HB144" s="9">
        <v>0</v>
      </c>
      <c r="HC144" s="9">
        <v>0</v>
      </c>
      <c r="HD144" s="9">
        <v>0</v>
      </c>
      <c r="HE144" s="9">
        <v>0</v>
      </c>
      <c r="HF144" s="9">
        <v>0</v>
      </c>
      <c r="HG144" s="9">
        <v>0</v>
      </c>
      <c r="HH144" s="9">
        <v>0</v>
      </c>
      <c r="HI144" s="9">
        <v>0</v>
      </c>
      <c r="HJ144" s="9">
        <v>0</v>
      </c>
      <c r="HK144" s="9">
        <v>0</v>
      </c>
      <c r="HL144" s="9">
        <v>0</v>
      </c>
      <c r="HM144" s="9">
        <v>0</v>
      </c>
      <c r="HN144" s="9">
        <v>0</v>
      </c>
      <c r="HO144" s="9">
        <v>0</v>
      </c>
      <c r="HP144" s="9">
        <v>0</v>
      </c>
      <c r="HQ144" s="9">
        <v>0</v>
      </c>
      <c r="HR144" s="9">
        <v>0</v>
      </c>
      <c r="HS144" s="9">
        <v>0</v>
      </c>
      <c r="HT144" s="9">
        <v>0</v>
      </c>
      <c r="HU144" s="9">
        <v>0</v>
      </c>
      <c r="HV144" s="9">
        <v>0</v>
      </c>
      <c r="HW144" s="9">
        <v>0</v>
      </c>
      <c r="HX144" s="9">
        <v>0</v>
      </c>
      <c r="HY144" s="9">
        <v>0</v>
      </c>
      <c r="HZ144" s="9">
        <v>0</v>
      </c>
      <c r="IA144" s="9">
        <v>0</v>
      </c>
      <c r="IB144" s="9">
        <v>0</v>
      </c>
      <c r="IC144" s="9">
        <v>0</v>
      </c>
      <c r="ID144" s="9">
        <v>0</v>
      </c>
      <c r="IE144" s="9">
        <v>0</v>
      </c>
      <c r="IF144" s="9">
        <v>0</v>
      </c>
      <c r="IG144" s="9">
        <v>0</v>
      </c>
      <c r="IH144" s="9">
        <v>0</v>
      </c>
      <c r="II144" s="9">
        <v>0</v>
      </c>
      <c r="IJ144" s="9">
        <v>0</v>
      </c>
      <c r="IK144" s="9">
        <v>0</v>
      </c>
      <c r="IL144" s="9">
        <v>0</v>
      </c>
      <c r="IM144" s="9">
        <v>0</v>
      </c>
      <c r="IN144" s="9">
        <v>0</v>
      </c>
      <c r="IO144" s="9">
        <v>0</v>
      </c>
      <c r="IP144" s="9">
        <v>0</v>
      </c>
      <c r="IQ144" s="9">
        <v>0</v>
      </c>
      <c r="IR144" s="9">
        <v>0</v>
      </c>
      <c r="IS144" s="9">
        <v>0</v>
      </c>
      <c r="IT144" s="9">
        <v>0</v>
      </c>
      <c r="IU144" s="9">
        <v>0</v>
      </c>
      <c r="IV144" s="9">
        <v>0</v>
      </c>
      <c r="IW144" s="9">
        <v>0</v>
      </c>
      <c r="IX144" s="9">
        <v>0</v>
      </c>
      <c r="IY144" s="9">
        <v>0</v>
      </c>
      <c r="IZ144" s="9">
        <v>0</v>
      </c>
      <c r="JA144" s="9">
        <v>0</v>
      </c>
      <c r="JB144" s="9">
        <v>0</v>
      </c>
      <c r="JC144" s="9">
        <v>0</v>
      </c>
      <c r="JD144" s="9">
        <v>0</v>
      </c>
      <c r="JE144" s="9">
        <v>0</v>
      </c>
      <c r="JF144" s="9">
        <v>0</v>
      </c>
      <c r="JG144" s="9">
        <v>0</v>
      </c>
      <c r="JH144" s="9">
        <v>0</v>
      </c>
      <c r="JI144" s="9">
        <v>0</v>
      </c>
      <c r="JJ144" s="9">
        <v>0</v>
      </c>
      <c r="JK144" s="9">
        <v>0</v>
      </c>
      <c r="JL144" s="9">
        <v>0</v>
      </c>
      <c r="JM144" s="9">
        <v>0</v>
      </c>
      <c r="JN144" s="9">
        <v>36832</v>
      </c>
      <c r="JO144" s="9">
        <v>0</v>
      </c>
      <c r="JP144" s="9">
        <v>0</v>
      </c>
      <c r="JQ144" s="9">
        <v>0</v>
      </c>
      <c r="JR144" s="9">
        <v>0</v>
      </c>
      <c r="JS144" s="9">
        <v>0</v>
      </c>
      <c r="JT144" s="9">
        <v>0</v>
      </c>
      <c r="JU144" s="9">
        <v>0</v>
      </c>
      <c r="JV144" s="9">
        <v>0</v>
      </c>
      <c r="JW144" s="9">
        <v>0</v>
      </c>
      <c r="JX144" s="9">
        <v>0</v>
      </c>
      <c r="JY144" s="9">
        <v>0</v>
      </c>
      <c r="JZ144" s="9">
        <v>0</v>
      </c>
      <c r="KA144" s="9">
        <v>0</v>
      </c>
      <c r="KB144" s="9">
        <v>0</v>
      </c>
      <c r="KC144" s="9">
        <v>0</v>
      </c>
      <c r="KD144" s="9">
        <v>0</v>
      </c>
      <c r="KE144" s="9">
        <v>0</v>
      </c>
      <c r="KF144" s="9">
        <v>0</v>
      </c>
      <c r="KG144" s="9">
        <v>0</v>
      </c>
      <c r="KH144" s="9">
        <v>0</v>
      </c>
      <c r="KI144" s="9">
        <v>0</v>
      </c>
    </row>
    <row r="145" spans="1:295" x14ac:dyDescent="0.25">
      <c r="A145" s="9">
        <v>161801</v>
      </c>
      <c r="B145" s="9">
        <v>36871</v>
      </c>
      <c r="C145" s="9">
        <v>35</v>
      </c>
      <c r="D145" s="9">
        <v>2023</v>
      </c>
      <c r="E145" s="9">
        <v>5392</v>
      </c>
      <c r="F145" s="9">
        <v>0</v>
      </c>
      <c r="G145" s="9">
        <v>0</v>
      </c>
      <c r="H145" s="9">
        <v>216.46800000000002</v>
      </c>
      <c r="I145" s="9">
        <v>216.46800000000002</v>
      </c>
      <c r="J145" s="9">
        <v>221.435</v>
      </c>
      <c r="K145" s="9">
        <v>0</v>
      </c>
      <c r="L145" s="9">
        <v>6547</v>
      </c>
      <c r="M145" s="9">
        <v>0</v>
      </c>
      <c r="N145" s="9">
        <v>0</v>
      </c>
      <c r="O145" s="9">
        <v>0</v>
      </c>
      <c r="P145" s="9">
        <v>211.17000000000002</v>
      </c>
      <c r="Q145" s="9">
        <v>0</v>
      </c>
      <c r="R145" s="9">
        <v>102823</v>
      </c>
      <c r="S145" s="9">
        <v>486.92200000000003</v>
      </c>
      <c r="T145" s="9">
        <v>0</v>
      </c>
      <c r="U145" s="9">
        <v>102823</v>
      </c>
      <c r="V145" s="9">
        <v>55.9</v>
      </c>
      <c r="W145" s="9">
        <v>36598</v>
      </c>
      <c r="X145" s="9">
        <v>36598</v>
      </c>
      <c r="Y145" s="9">
        <v>0</v>
      </c>
      <c r="Z145" s="9">
        <v>0</v>
      </c>
      <c r="AA145" s="9">
        <v>1</v>
      </c>
      <c r="AB145" s="9">
        <v>1</v>
      </c>
      <c r="AC145" s="9">
        <v>0</v>
      </c>
      <c r="AD145" s="9" t="s">
        <v>314</v>
      </c>
      <c r="AE145" s="9">
        <v>0</v>
      </c>
      <c r="AF145" s="9">
        <v>0</v>
      </c>
      <c r="AG145" s="9">
        <v>0</v>
      </c>
      <c r="AH145" s="9">
        <v>0</v>
      </c>
      <c r="AI145" s="9">
        <v>0</v>
      </c>
      <c r="AJ145" s="9">
        <v>5104</v>
      </c>
      <c r="AK145" s="9" t="s">
        <v>651</v>
      </c>
      <c r="AL145" s="9" t="s">
        <v>5</v>
      </c>
      <c r="AM145" s="9">
        <v>0</v>
      </c>
      <c r="AN145" s="9">
        <v>0</v>
      </c>
      <c r="AO145" s="9">
        <v>0</v>
      </c>
      <c r="AP145" s="9">
        <v>0</v>
      </c>
      <c r="AQ145" s="9">
        <v>0</v>
      </c>
      <c r="AR145" s="9">
        <v>0</v>
      </c>
      <c r="AS145" s="9">
        <v>0</v>
      </c>
      <c r="AT145" s="9">
        <v>0</v>
      </c>
      <c r="AU145" s="9">
        <v>0</v>
      </c>
      <c r="AV145" s="9">
        <v>-62968</v>
      </c>
      <c r="AW145" s="9">
        <v>2161308</v>
      </c>
      <c r="AX145" s="9">
        <v>2122272</v>
      </c>
      <c r="AY145" s="9">
        <v>2158186</v>
      </c>
      <c r="AZ145" s="9">
        <v>102823</v>
      </c>
      <c r="BA145" s="9">
        <v>0</v>
      </c>
      <c r="BB145" s="9">
        <v>6285</v>
      </c>
      <c r="BC145" s="9">
        <v>6285</v>
      </c>
      <c r="BD145" s="9">
        <v>8</v>
      </c>
      <c r="BE145" s="9">
        <v>0</v>
      </c>
      <c r="BF145" s="9">
        <v>1831193</v>
      </c>
      <c r="BG145" s="9">
        <v>0</v>
      </c>
      <c r="BH145" s="9">
        <v>0</v>
      </c>
      <c r="BI145" s="9">
        <v>0</v>
      </c>
      <c r="BJ145" s="9">
        <v>12</v>
      </c>
      <c r="BK145" s="9">
        <v>0</v>
      </c>
      <c r="BL145" s="9">
        <v>0</v>
      </c>
      <c r="BM145" s="9">
        <v>0</v>
      </c>
      <c r="BN145" s="9">
        <v>0</v>
      </c>
      <c r="BO145" s="9">
        <v>0</v>
      </c>
      <c r="BP145" s="9">
        <v>0</v>
      </c>
      <c r="BQ145" s="9">
        <v>5392</v>
      </c>
      <c r="BR145" s="9">
        <v>1</v>
      </c>
      <c r="BS145" s="9">
        <v>0</v>
      </c>
      <c r="BT145" s="9">
        <v>0</v>
      </c>
      <c r="BU145" s="9">
        <v>0</v>
      </c>
      <c r="BV145" s="9">
        <v>0</v>
      </c>
      <c r="BW145" s="9">
        <v>0</v>
      </c>
      <c r="BX145" s="9">
        <v>0</v>
      </c>
      <c r="BY145" s="9">
        <v>0</v>
      </c>
      <c r="BZ145" s="9">
        <v>0</v>
      </c>
      <c r="CA145" s="9">
        <v>0</v>
      </c>
      <c r="CB145" s="9">
        <v>0</v>
      </c>
      <c r="CC145" s="9">
        <v>0</v>
      </c>
      <c r="CD145" s="9">
        <v>0</v>
      </c>
      <c r="CE145" s="9">
        <v>0</v>
      </c>
      <c r="CF145" s="9">
        <v>0</v>
      </c>
      <c r="CG145" s="9">
        <v>0</v>
      </c>
      <c r="CH145" s="9">
        <v>39036</v>
      </c>
      <c r="CI145" s="9">
        <v>0</v>
      </c>
      <c r="CJ145" s="9">
        <v>4</v>
      </c>
      <c r="CK145" s="9">
        <v>0</v>
      </c>
      <c r="CL145" s="9">
        <v>0</v>
      </c>
      <c r="CM145" s="9">
        <v>0</v>
      </c>
      <c r="CN145" s="9">
        <v>0</v>
      </c>
      <c r="CO145" s="9">
        <v>0</v>
      </c>
      <c r="CP145" s="9">
        <v>0</v>
      </c>
      <c r="CQ145" s="9">
        <v>0</v>
      </c>
      <c r="CR145" s="9">
        <v>200.666</v>
      </c>
      <c r="CS145" s="9">
        <v>0</v>
      </c>
      <c r="CT145" s="9">
        <v>0</v>
      </c>
      <c r="CU145" s="9">
        <v>0</v>
      </c>
      <c r="CV145" s="9">
        <v>0</v>
      </c>
      <c r="CW145" s="9">
        <v>0</v>
      </c>
      <c r="CX145" s="9">
        <v>0</v>
      </c>
      <c r="CY145" s="9">
        <v>0</v>
      </c>
      <c r="CZ145" s="9">
        <v>0</v>
      </c>
      <c r="DA145" s="9">
        <v>1</v>
      </c>
      <c r="DB145" s="9">
        <v>1417216</v>
      </c>
      <c r="DC145" s="9">
        <v>0</v>
      </c>
      <c r="DD145" s="9">
        <v>0</v>
      </c>
      <c r="DE145" s="9">
        <v>314033</v>
      </c>
      <c r="DF145" s="9">
        <v>314033</v>
      </c>
      <c r="DG145" s="9">
        <v>239.83</v>
      </c>
      <c r="DH145" s="9">
        <v>0</v>
      </c>
      <c r="DI145" s="9">
        <v>0</v>
      </c>
      <c r="DJ145" s="9">
        <v>0</v>
      </c>
      <c r="DK145" s="9">
        <v>5392</v>
      </c>
      <c r="DL145" s="9">
        <v>0</v>
      </c>
      <c r="DM145" s="9">
        <v>107357</v>
      </c>
      <c r="DN145" s="9">
        <v>0</v>
      </c>
      <c r="DO145" s="9">
        <v>191</v>
      </c>
      <c r="DP145" s="9">
        <v>0</v>
      </c>
      <c r="DQ145" s="9">
        <v>0</v>
      </c>
      <c r="DR145" s="9">
        <v>0</v>
      </c>
      <c r="DS145" s="9">
        <v>0</v>
      </c>
      <c r="DT145" s="9">
        <v>1.3000000000000001E-2</v>
      </c>
      <c r="DU145" s="9">
        <v>0</v>
      </c>
      <c r="DV145" s="9">
        <v>0</v>
      </c>
      <c r="DW145" s="9">
        <v>0</v>
      </c>
      <c r="DX145" s="9">
        <v>0</v>
      </c>
      <c r="DY145" s="9">
        <v>0</v>
      </c>
      <c r="DZ145" s="9">
        <v>3.9E-2</v>
      </c>
      <c r="EA145" s="9">
        <v>0</v>
      </c>
      <c r="EB145" s="9">
        <v>0</v>
      </c>
      <c r="EC145" s="9">
        <v>0.47800000000000004</v>
      </c>
      <c r="ED145" s="9">
        <v>3442</v>
      </c>
      <c r="EE145" s="9">
        <v>0</v>
      </c>
      <c r="EF145" s="9">
        <v>0</v>
      </c>
      <c r="EG145" s="9">
        <v>0</v>
      </c>
      <c r="EH145" s="9">
        <v>103724</v>
      </c>
      <c r="EI145" s="9">
        <v>0</v>
      </c>
      <c r="EJ145" s="9">
        <v>0</v>
      </c>
      <c r="EK145" s="9">
        <v>4.4960000000000004</v>
      </c>
      <c r="EL145" s="9">
        <v>0</v>
      </c>
      <c r="EM145" s="9">
        <v>0</v>
      </c>
      <c r="EN145" s="9">
        <v>0.47100000000000003</v>
      </c>
      <c r="EO145" s="9">
        <v>0</v>
      </c>
      <c r="EP145" s="9">
        <v>0</v>
      </c>
      <c r="EQ145" s="9">
        <v>4.9670000000000005</v>
      </c>
      <c r="ER145" s="9">
        <v>0</v>
      </c>
      <c r="ES145" s="9">
        <v>15.843</v>
      </c>
      <c r="ET145" s="9">
        <v>0</v>
      </c>
      <c r="EU145" s="9">
        <v>102823</v>
      </c>
      <c r="EV145" s="9">
        <v>0</v>
      </c>
      <c r="EW145" s="9">
        <v>0</v>
      </c>
      <c r="EX145" s="9">
        <v>0</v>
      </c>
      <c r="EY145" s="9">
        <v>0</v>
      </c>
      <c r="EZ145" s="9">
        <v>1778666</v>
      </c>
      <c r="FA145" s="9">
        <v>0</v>
      </c>
      <c r="FB145" s="9">
        <v>1881489</v>
      </c>
      <c r="FC145" s="9">
        <v>0.97326799999999991</v>
      </c>
      <c r="FD145" s="9">
        <v>0</v>
      </c>
      <c r="FE145" s="9">
        <v>283281</v>
      </c>
      <c r="FF145" s="9">
        <v>60325</v>
      </c>
      <c r="FG145" s="9">
        <v>5.8088000000000001E-2</v>
      </c>
      <c r="FH145" s="9">
        <v>5.2622999999999996E-2</v>
      </c>
      <c r="FI145" s="9">
        <v>0</v>
      </c>
      <c r="FJ145" s="9">
        <v>0</v>
      </c>
      <c r="FK145" s="9">
        <v>358.79599999999999</v>
      </c>
      <c r="FL145" s="9">
        <v>2264131</v>
      </c>
      <c r="FM145" s="9">
        <v>0</v>
      </c>
      <c r="FN145" s="9">
        <v>0</v>
      </c>
      <c r="FO145" s="9">
        <v>0</v>
      </c>
      <c r="FP145" s="9">
        <v>0</v>
      </c>
      <c r="FQ145" s="9">
        <v>0</v>
      </c>
      <c r="FR145" s="9">
        <v>0</v>
      </c>
      <c r="FS145" s="9">
        <v>0</v>
      </c>
      <c r="FT145" s="9">
        <v>0</v>
      </c>
      <c r="FU145" s="9">
        <v>0</v>
      </c>
      <c r="FV145" s="9">
        <v>0</v>
      </c>
      <c r="FW145" s="9">
        <v>0</v>
      </c>
      <c r="FX145" s="9">
        <v>0</v>
      </c>
      <c r="FY145" s="9">
        <v>0</v>
      </c>
      <c r="FZ145" s="9">
        <v>0</v>
      </c>
      <c r="GA145" s="9">
        <v>0</v>
      </c>
      <c r="GB145" s="9">
        <v>0</v>
      </c>
      <c r="GC145" s="9">
        <v>0</v>
      </c>
      <c r="GD145" s="9">
        <v>0</v>
      </c>
      <c r="GE145" s="9">
        <v>0</v>
      </c>
      <c r="GF145" s="9">
        <v>0</v>
      </c>
      <c r="GG145" s="9">
        <v>0</v>
      </c>
      <c r="GH145" s="9">
        <v>0</v>
      </c>
      <c r="GI145" s="9">
        <v>0</v>
      </c>
      <c r="GJ145" s="9">
        <v>0</v>
      </c>
      <c r="GK145" s="9">
        <v>4957</v>
      </c>
      <c r="GL145" s="9">
        <v>5949</v>
      </c>
      <c r="GM145" s="9">
        <v>0</v>
      </c>
      <c r="GN145" s="9">
        <v>0</v>
      </c>
      <c r="GO145" s="9">
        <v>0</v>
      </c>
      <c r="GP145" s="9">
        <v>2225095</v>
      </c>
      <c r="GQ145" s="9">
        <v>2225095</v>
      </c>
      <c r="GR145" s="9">
        <v>0</v>
      </c>
      <c r="GS145" s="9">
        <v>0</v>
      </c>
      <c r="GT145" s="9">
        <v>0</v>
      </c>
      <c r="GU145" s="9">
        <v>0</v>
      </c>
      <c r="GV145" s="9">
        <v>0</v>
      </c>
      <c r="GW145" s="9">
        <v>0</v>
      </c>
      <c r="GX145" s="9">
        <v>0</v>
      </c>
      <c r="GY145" s="9">
        <v>0</v>
      </c>
      <c r="GZ145" s="9">
        <v>0</v>
      </c>
      <c r="HA145" s="9">
        <v>0</v>
      </c>
      <c r="HB145" s="9">
        <v>300501363</v>
      </c>
      <c r="HC145" s="9">
        <v>4.4742999999999998E-2</v>
      </c>
      <c r="HD145" s="9">
        <v>39036</v>
      </c>
      <c r="HE145" s="9">
        <v>0</v>
      </c>
      <c r="HF145" s="9">
        <v>0</v>
      </c>
      <c r="HG145" s="9">
        <v>0</v>
      </c>
      <c r="HH145" s="9">
        <v>0</v>
      </c>
      <c r="HI145" s="9">
        <v>0</v>
      </c>
      <c r="HJ145" s="9">
        <v>0</v>
      </c>
      <c r="HK145" s="9">
        <v>0</v>
      </c>
      <c r="HL145" s="9">
        <v>0</v>
      </c>
      <c r="HM145" s="9">
        <v>0</v>
      </c>
      <c r="HN145" s="9">
        <v>0</v>
      </c>
      <c r="HO145" s="9">
        <v>0</v>
      </c>
      <c r="HP145" s="9">
        <v>0</v>
      </c>
      <c r="HQ145" s="9">
        <v>0</v>
      </c>
      <c r="HR145" s="9">
        <v>0</v>
      </c>
      <c r="HS145" s="9">
        <v>0</v>
      </c>
      <c r="HT145" s="9">
        <v>0</v>
      </c>
      <c r="HU145" s="9">
        <v>0</v>
      </c>
      <c r="HV145" s="9">
        <v>0</v>
      </c>
      <c r="HW145" s="9">
        <v>0</v>
      </c>
      <c r="HX145" s="9">
        <v>0</v>
      </c>
      <c r="HY145" s="9">
        <v>0</v>
      </c>
      <c r="HZ145" s="9">
        <v>0</v>
      </c>
      <c r="IA145" s="9">
        <v>0</v>
      </c>
      <c r="IB145" s="9">
        <v>0</v>
      </c>
      <c r="IC145" s="9">
        <v>0</v>
      </c>
      <c r="ID145" s="9">
        <v>0</v>
      </c>
      <c r="IE145" s="9">
        <v>0</v>
      </c>
      <c r="IF145" s="9">
        <v>0</v>
      </c>
      <c r="IG145" s="9">
        <v>0</v>
      </c>
      <c r="IH145" s="9">
        <v>0</v>
      </c>
      <c r="II145" s="9">
        <v>0</v>
      </c>
      <c r="IJ145" s="9">
        <v>0</v>
      </c>
      <c r="IK145" s="9">
        <v>0</v>
      </c>
      <c r="IL145" s="9">
        <v>0</v>
      </c>
      <c r="IM145" s="9">
        <v>0</v>
      </c>
      <c r="IN145" s="9">
        <v>0</v>
      </c>
      <c r="IO145" s="9">
        <v>0</v>
      </c>
      <c r="IP145" s="9">
        <v>0</v>
      </c>
      <c r="IQ145" s="9">
        <v>0</v>
      </c>
      <c r="IR145" s="9">
        <v>0</v>
      </c>
      <c r="IS145" s="9">
        <v>0</v>
      </c>
      <c r="IT145" s="9">
        <v>0</v>
      </c>
      <c r="IU145" s="9">
        <v>0</v>
      </c>
      <c r="IV145" s="9">
        <v>0</v>
      </c>
      <c r="IW145" s="9">
        <v>0</v>
      </c>
      <c r="IX145" s="9">
        <v>0</v>
      </c>
      <c r="IY145" s="9">
        <v>0</v>
      </c>
      <c r="IZ145" s="9">
        <v>0</v>
      </c>
      <c r="JA145" s="9">
        <v>0</v>
      </c>
      <c r="JB145" s="9">
        <v>0</v>
      </c>
      <c r="JC145" s="9">
        <v>0</v>
      </c>
      <c r="JD145" s="9">
        <v>0</v>
      </c>
      <c r="JE145" s="9">
        <v>0</v>
      </c>
      <c r="JF145" s="9">
        <v>0</v>
      </c>
      <c r="JG145" s="9">
        <v>0</v>
      </c>
      <c r="JH145" s="9">
        <v>0</v>
      </c>
      <c r="JI145" s="9">
        <v>0</v>
      </c>
      <c r="JJ145" s="9">
        <v>0</v>
      </c>
      <c r="JK145" s="9">
        <v>0</v>
      </c>
      <c r="JL145" s="9">
        <v>0</v>
      </c>
      <c r="JM145" s="9">
        <v>0</v>
      </c>
      <c r="JN145" s="9">
        <v>36832</v>
      </c>
      <c r="JO145" s="9">
        <v>0</v>
      </c>
      <c r="JP145" s="9">
        <v>0</v>
      </c>
      <c r="JQ145" s="9">
        <v>0</v>
      </c>
      <c r="JR145" s="9">
        <v>0</v>
      </c>
      <c r="JS145" s="9">
        <v>0</v>
      </c>
      <c r="JT145" s="9">
        <v>0</v>
      </c>
      <c r="JU145" s="9">
        <v>0</v>
      </c>
      <c r="JV145" s="9">
        <v>0</v>
      </c>
      <c r="JW145" s="9">
        <v>0</v>
      </c>
      <c r="JX145" s="9">
        <v>0</v>
      </c>
      <c r="JY145" s="9">
        <v>0</v>
      </c>
      <c r="JZ145" s="9">
        <v>0</v>
      </c>
      <c r="KA145" s="9">
        <v>0</v>
      </c>
      <c r="KB145" s="9">
        <v>0</v>
      </c>
      <c r="KC145" s="9">
        <v>0</v>
      </c>
      <c r="KD145" s="9">
        <v>0</v>
      </c>
      <c r="KE145" s="9">
        <v>0</v>
      </c>
      <c r="KF145" s="9">
        <v>0</v>
      </c>
      <c r="KG145" s="9">
        <v>0</v>
      </c>
      <c r="KH145" s="9">
        <v>0</v>
      </c>
      <c r="KI145" s="9">
        <v>0</v>
      </c>
    </row>
    <row r="146" spans="1:295" x14ac:dyDescent="0.25">
      <c r="A146" s="9">
        <v>161802</v>
      </c>
      <c r="B146" s="9">
        <v>36871</v>
      </c>
      <c r="C146" s="9">
        <v>35</v>
      </c>
      <c r="D146" s="9">
        <v>2023</v>
      </c>
      <c r="E146" s="9">
        <v>5392</v>
      </c>
      <c r="F146" s="9">
        <v>0</v>
      </c>
      <c r="G146" s="9">
        <v>0</v>
      </c>
      <c r="H146" s="9">
        <v>697.06299999999999</v>
      </c>
      <c r="I146" s="9">
        <v>697.06299999999999</v>
      </c>
      <c r="J146" s="9">
        <v>756.71699999999998</v>
      </c>
      <c r="K146" s="9">
        <v>0</v>
      </c>
      <c r="L146" s="9">
        <v>6547</v>
      </c>
      <c r="M146" s="9">
        <v>0</v>
      </c>
      <c r="N146" s="9">
        <v>0</v>
      </c>
      <c r="O146" s="9">
        <v>0</v>
      </c>
      <c r="P146" s="9">
        <v>755.81100000000004</v>
      </c>
      <c r="Q146" s="9">
        <v>0</v>
      </c>
      <c r="R146" s="9">
        <v>368021</v>
      </c>
      <c r="S146" s="9">
        <v>486.92200000000003</v>
      </c>
      <c r="T146" s="9">
        <v>0</v>
      </c>
      <c r="U146" s="9">
        <v>368021</v>
      </c>
      <c r="V146" s="9">
        <v>64.655000000000001</v>
      </c>
      <c r="W146" s="9">
        <v>42330</v>
      </c>
      <c r="X146" s="9">
        <v>42330</v>
      </c>
      <c r="Y146" s="9">
        <v>0</v>
      </c>
      <c r="Z146" s="9">
        <v>0</v>
      </c>
      <c r="AA146" s="9">
        <v>1</v>
      </c>
      <c r="AB146" s="9">
        <v>1</v>
      </c>
      <c r="AC146" s="9">
        <v>0</v>
      </c>
      <c r="AD146" s="9" t="s">
        <v>314</v>
      </c>
      <c r="AE146" s="9">
        <v>0</v>
      </c>
      <c r="AF146" s="9">
        <v>0</v>
      </c>
      <c r="AG146" s="9">
        <v>0</v>
      </c>
      <c r="AH146" s="9">
        <v>0</v>
      </c>
      <c r="AI146" s="9">
        <v>0</v>
      </c>
      <c r="AJ146" s="9">
        <v>5104</v>
      </c>
      <c r="AK146" s="9" t="s">
        <v>651</v>
      </c>
      <c r="AL146" s="9" t="s">
        <v>357</v>
      </c>
      <c r="AM146" s="9">
        <v>0</v>
      </c>
      <c r="AN146" s="9">
        <v>0</v>
      </c>
      <c r="AO146" s="9">
        <v>0</v>
      </c>
      <c r="AP146" s="9">
        <v>0</v>
      </c>
      <c r="AQ146" s="9">
        <v>0</v>
      </c>
      <c r="AR146" s="9">
        <v>0</v>
      </c>
      <c r="AS146" s="9">
        <v>0</v>
      </c>
      <c r="AT146" s="9">
        <v>0</v>
      </c>
      <c r="AU146" s="9">
        <v>0</v>
      </c>
      <c r="AV146" s="9">
        <v>-169893</v>
      </c>
      <c r="AW146" s="9">
        <v>7837243</v>
      </c>
      <c r="AX146" s="9">
        <v>7657115</v>
      </c>
      <c r="AY146" s="9">
        <v>8093720</v>
      </c>
      <c r="AZ146" s="9">
        <v>414750</v>
      </c>
      <c r="BA146" s="9">
        <v>0</v>
      </c>
      <c r="BB146" s="9">
        <v>0</v>
      </c>
      <c r="BC146" s="9">
        <v>0</v>
      </c>
      <c r="BD146" s="9">
        <v>0</v>
      </c>
      <c r="BE146" s="9">
        <v>0</v>
      </c>
      <c r="BF146" s="9">
        <v>6604473</v>
      </c>
      <c r="BG146" s="9">
        <v>0</v>
      </c>
      <c r="BH146" s="9">
        <v>169.922</v>
      </c>
      <c r="BI146" s="9">
        <v>46729</v>
      </c>
      <c r="BJ146" s="9">
        <v>12</v>
      </c>
      <c r="BK146" s="9">
        <v>0</v>
      </c>
      <c r="BL146" s="9">
        <v>0</v>
      </c>
      <c r="BM146" s="9">
        <v>0</v>
      </c>
      <c r="BN146" s="9">
        <v>0</v>
      </c>
      <c r="BO146" s="9">
        <v>0</v>
      </c>
      <c r="BP146" s="9">
        <v>0</v>
      </c>
      <c r="BQ146" s="9">
        <v>5392</v>
      </c>
      <c r="BR146" s="9">
        <v>1</v>
      </c>
      <c r="BS146" s="9">
        <v>0</v>
      </c>
      <c r="BT146" s="9">
        <v>0</v>
      </c>
      <c r="BU146" s="9">
        <v>0</v>
      </c>
      <c r="BV146" s="9">
        <v>0</v>
      </c>
      <c r="BW146" s="9">
        <v>0</v>
      </c>
      <c r="BX146" s="9">
        <v>0</v>
      </c>
      <c r="BY146" s="9">
        <v>0</v>
      </c>
      <c r="BZ146" s="9">
        <v>0</v>
      </c>
      <c r="CA146" s="9">
        <v>0</v>
      </c>
      <c r="CB146" s="9">
        <v>0</v>
      </c>
      <c r="CC146" s="9">
        <v>0</v>
      </c>
      <c r="CD146" s="9">
        <v>0</v>
      </c>
      <c r="CE146" s="9">
        <v>0</v>
      </c>
      <c r="CF146" s="9">
        <v>0</v>
      </c>
      <c r="CG146" s="9">
        <v>0</v>
      </c>
      <c r="CH146" s="9">
        <v>133399</v>
      </c>
      <c r="CI146" s="9">
        <v>0</v>
      </c>
      <c r="CJ146" s="9">
        <v>4</v>
      </c>
      <c r="CK146" s="9">
        <v>0</v>
      </c>
      <c r="CL146" s="9">
        <v>0</v>
      </c>
      <c r="CM146" s="9">
        <v>0</v>
      </c>
      <c r="CN146" s="9">
        <v>0</v>
      </c>
      <c r="CO146" s="9">
        <v>0</v>
      </c>
      <c r="CP146" s="9">
        <v>0</v>
      </c>
      <c r="CQ146" s="9">
        <v>0</v>
      </c>
      <c r="CR146" s="9">
        <v>730.69</v>
      </c>
      <c r="CS146" s="9">
        <v>0</v>
      </c>
      <c r="CT146" s="9">
        <v>0</v>
      </c>
      <c r="CU146" s="9">
        <v>0</v>
      </c>
      <c r="CV146" s="9">
        <v>0</v>
      </c>
      <c r="CW146" s="9">
        <v>0</v>
      </c>
      <c r="CX146" s="9">
        <v>0</v>
      </c>
      <c r="CY146" s="9">
        <v>0</v>
      </c>
      <c r="CZ146" s="9">
        <v>0</v>
      </c>
      <c r="DA146" s="9">
        <v>1</v>
      </c>
      <c r="DB146" s="9">
        <v>4563671</v>
      </c>
      <c r="DC146" s="9">
        <v>0</v>
      </c>
      <c r="DD146" s="9">
        <v>0</v>
      </c>
      <c r="DE146" s="9">
        <v>913961</v>
      </c>
      <c r="DF146" s="9">
        <v>913961</v>
      </c>
      <c r="DG146" s="9">
        <v>698</v>
      </c>
      <c r="DH146" s="9">
        <v>0</v>
      </c>
      <c r="DI146" s="9">
        <v>0</v>
      </c>
      <c r="DJ146" s="9">
        <v>0</v>
      </c>
      <c r="DK146" s="9">
        <v>5392</v>
      </c>
      <c r="DL146" s="9">
        <v>0</v>
      </c>
      <c r="DM146" s="9">
        <v>877938</v>
      </c>
      <c r="DN146" s="9">
        <v>0</v>
      </c>
      <c r="DO146" s="9">
        <v>0</v>
      </c>
      <c r="DP146" s="9">
        <v>0</v>
      </c>
      <c r="DQ146" s="9">
        <v>0</v>
      </c>
      <c r="DR146" s="9">
        <v>0</v>
      </c>
      <c r="DS146" s="9">
        <v>0</v>
      </c>
      <c r="DT146" s="9">
        <v>0</v>
      </c>
      <c r="DU146" s="9">
        <v>0</v>
      </c>
      <c r="DV146" s="9">
        <v>0</v>
      </c>
      <c r="DW146" s="9">
        <v>0</v>
      </c>
      <c r="DX146" s="9">
        <v>0</v>
      </c>
      <c r="DY146" s="9">
        <v>0</v>
      </c>
      <c r="DZ146" s="9">
        <v>0</v>
      </c>
      <c r="EA146" s="9">
        <v>0</v>
      </c>
      <c r="EB146" s="9">
        <v>0</v>
      </c>
      <c r="EC146" s="9">
        <v>75.106999999999999</v>
      </c>
      <c r="ED146" s="9">
        <v>540898</v>
      </c>
      <c r="EE146" s="9">
        <v>0</v>
      </c>
      <c r="EF146" s="9">
        <v>0</v>
      </c>
      <c r="EG146" s="9">
        <v>0</v>
      </c>
      <c r="EH146" s="9">
        <v>337040</v>
      </c>
      <c r="EI146" s="9">
        <v>0</v>
      </c>
      <c r="EJ146" s="9">
        <v>0</v>
      </c>
      <c r="EK146" s="9">
        <v>12.693000000000001</v>
      </c>
      <c r="EL146" s="9">
        <v>0</v>
      </c>
      <c r="EM146" s="9">
        <v>0.96200000000000008</v>
      </c>
      <c r="EN146" s="9">
        <v>2.1030000000000002</v>
      </c>
      <c r="EO146" s="9">
        <v>0</v>
      </c>
      <c r="EP146" s="9">
        <v>0</v>
      </c>
      <c r="EQ146" s="9">
        <v>15.758000000000001</v>
      </c>
      <c r="ER146" s="9">
        <v>0</v>
      </c>
      <c r="ES146" s="9">
        <v>51.480000000000004</v>
      </c>
      <c r="ET146" s="9">
        <v>0</v>
      </c>
      <c r="EU146" s="9">
        <v>414750</v>
      </c>
      <c r="EV146" s="9">
        <v>0</v>
      </c>
      <c r="EW146" s="9">
        <v>0</v>
      </c>
      <c r="EX146" s="9">
        <v>0</v>
      </c>
      <c r="EY146" s="9">
        <v>0</v>
      </c>
      <c r="EZ146" s="9">
        <v>6417852</v>
      </c>
      <c r="FA146" s="9">
        <v>0</v>
      </c>
      <c r="FB146" s="9">
        <v>6832602</v>
      </c>
      <c r="FC146" s="9">
        <v>0.97326799999999991</v>
      </c>
      <c r="FD146" s="9">
        <v>0</v>
      </c>
      <c r="FE146" s="9">
        <v>1021694</v>
      </c>
      <c r="FF146" s="9">
        <v>217569</v>
      </c>
      <c r="FG146" s="9">
        <v>5.8088000000000001E-2</v>
      </c>
      <c r="FH146" s="9">
        <v>5.2622999999999996E-2</v>
      </c>
      <c r="FI146" s="9">
        <v>0</v>
      </c>
      <c r="FJ146" s="9">
        <v>0</v>
      </c>
      <c r="FK146" s="9">
        <v>1294.05</v>
      </c>
      <c r="FL146" s="9">
        <v>8205264</v>
      </c>
      <c r="FM146" s="9">
        <v>0</v>
      </c>
      <c r="FN146" s="9">
        <v>0</v>
      </c>
      <c r="FO146" s="9">
        <v>0</v>
      </c>
      <c r="FP146" s="9">
        <v>0</v>
      </c>
      <c r="FQ146" s="9">
        <v>0</v>
      </c>
      <c r="FR146" s="9">
        <v>0</v>
      </c>
      <c r="FS146" s="9">
        <v>0</v>
      </c>
      <c r="FT146" s="9">
        <v>0</v>
      </c>
      <c r="FU146" s="9">
        <v>0</v>
      </c>
      <c r="FV146" s="9">
        <v>0</v>
      </c>
      <c r="FW146" s="9">
        <v>0</v>
      </c>
      <c r="FX146" s="9">
        <v>0</v>
      </c>
      <c r="FY146" s="9">
        <v>0</v>
      </c>
      <c r="FZ146" s="9">
        <v>0</v>
      </c>
      <c r="GA146" s="9">
        <v>0</v>
      </c>
      <c r="GB146" s="9">
        <v>387973</v>
      </c>
      <c r="GC146" s="9">
        <v>387973</v>
      </c>
      <c r="GD146" s="9">
        <v>43.896000000000001</v>
      </c>
      <c r="GE146" s="9">
        <v>0</v>
      </c>
      <c r="GF146" s="9">
        <v>0</v>
      </c>
      <c r="GG146" s="9">
        <v>0</v>
      </c>
      <c r="GH146" s="9">
        <v>0</v>
      </c>
      <c r="GI146" s="9">
        <v>0</v>
      </c>
      <c r="GJ146" s="9">
        <v>0</v>
      </c>
      <c r="GK146" s="9">
        <v>5181</v>
      </c>
      <c r="GL146" s="9">
        <v>11424</v>
      </c>
      <c r="GM146" s="9">
        <v>0</v>
      </c>
      <c r="GN146" s="9">
        <v>0</v>
      </c>
      <c r="GO146" s="9">
        <v>0</v>
      </c>
      <c r="GP146" s="9">
        <v>8071865</v>
      </c>
      <c r="GQ146" s="9">
        <v>8071865</v>
      </c>
      <c r="GR146" s="9">
        <v>0</v>
      </c>
      <c r="GS146" s="9">
        <v>0</v>
      </c>
      <c r="GT146" s="9">
        <v>0</v>
      </c>
      <c r="GU146" s="9">
        <v>0</v>
      </c>
      <c r="GV146" s="9">
        <v>0</v>
      </c>
      <c r="GW146" s="9">
        <v>0</v>
      </c>
      <c r="GX146" s="9">
        <v>0</v>
      </c>
      <c r="GY146" s="9">
        <v>0</v>
      </c>
      <c r="GZ146" s="9">
        <v>0</v>
      </c>
      <c r="HA146" s="9">
        <v>0</v>
      </c>
      <c r="HB146" s="9">
        <v>300501363</v>
      </c>
      <c r="HC146" s="9">
        <v>4.4742999999999998E-2</v>
      </c>
      <c r="HD146" s="9">
        <v>133399</v>
      </c>
      <c r="HE146" s="9">
        <v>0</v>
      </c>
      <c r="HF146" s="9">
        <v>0</v>
      </c>
      <c r="HG146" s="9">
        <v>0</v>
      </c>
      <c r="HH146" s="9">
        <v>0</v>
      </c>
      <c r="HI146" s="9">
        <v>0</v>
      </c>
      <c r="HJ146" s="9">
        <v>0</v>
      </c>
      <c r="HK146" s="9">
        <v>0</v>
      </c>
      <c r="HL146" s="9">
        <v>0</v>
      </c>
      <c r="HM146" s="9">
        <v>0</v>
      </c>
      <c r="HN146" s="9">
        <v>0</v>
      </c>
      <c r="HO146" s="9">
        <v>0</v>
      </c>
      <c r="HP146" s="9">
        <v>0</v>
      </c>
      <c r="HQ146" s="9">
        <v>0</v>
      </c>
      <c r="HR146" s="9">
        <v>0</v>
      </c>
      <c r="HS146" s="9">
        <v>0</v>
      </c>
      <c r="HT146" s="9">
        <v>0</v>
      </c>
      <c r="HU146" s="9">
        <v>0</v>
      </c>
      <c r="HV146" s="9">
        <v>0</v>
      </c>
      <c r="HW146" s="9">
        <v>0</v>
      </c>
      <c r="HX146" s="9">
        <v>0</v>
      </c>
      <c r="HY146" s="9">
        <v>0</v>
      </c>
      <c r="HZ146" s="9">
        <v>0</v>
      </c>
      <c r="IA146" s="9">
        <v>0</v>
      </c>
      <c r="IB146" s="9">
        <v>0</v>
      </c>
      <c r="IC146" s="9">
        <v>0</v>
      </c>
      <c r="ID146" s="9">
        <v>0</v>
      </c>
      <c r="IE146" s="9">
        <v>0</v>
      </c>
      <c r="IF146" s="9">
        <v>0</v>
      </c>
      <c r="IG146" s="9">
        <v>0</v>
      </c>
      <c r="IH146" s="9">
        <v>0</v>
      </c>
      <c r="II146" s="9">
        <v>0</v>
      </c>
      <c r="IJ146" s="9">
        <v>0</v>
      </c>
      <c r="IK146" s="9">
        <v>0</v>
      </c>
      <c r="IL146" s="9">
        <v>0</v>
      </c>
      <c r="IM146" s="9">
        <v>0</v>
      </c>
      <c r="IN146" s="9">
        <v>0</v>
      </c>
      <c r="IO146" s="9">
        <v>0</v>
      </c>
      <c r="IP146" s="9">
        <v>0</v>
      </c>
      <c r="IQ146" s="9">
        <v>0</v>
      </c>
      <c r="IR146" s="9">
        <v>0</v>
      </c>
      <c r="IS146" s="9">
        <v>0</v>
      </c>
      <c r="IT146" s="9">
        <v>0</v>
      </c>
      <c r="IU146" s="9">
        <v>0</v>
      </c>
      <c r="IV146" s="9">
        <v>0</v>
      </c>
      <c r="IW146" s="9">
        <v>0</v>
      </c>
      <c r="IX146" s="9">
        <v>0</v>
      </c>
      <c r="IY146" s="9">
        <v>0</v>
      </c>
      <c r="IZ146" s="9">
        <v>0</v>
      </c>
      <c r="JA146" s="9">
        <v>0</v>
      </c>
      <c r="JB146" s="9">
        <v>0</v>
      </c>
      <c r="JC146" s="9">
        <v>0</v>
      </c>
      <c r="JD146" s="9">
        <v>0</v>
      </c>
      <c r="JE146" s="9">
        <v>0</v>
      </c>
      <c r="JF146" s="9">
        <v>0</v>
      </c>
      <c r="JG146" s="9">
        <v>0</v>
      </c>
      <c r="JH146" s="9">
        <v>0</v>
      </c>
      <c r="JI146" s="9">
        <v>0</v>
      </c>
      <c r="JJ146" s="9">
        <v>0</v>
      </c>
      <c r="JK146" s="9">
        <v>0</v>
      </c>
      <c r="JL146" s="9">
        <v>0</v>
      </c>
      <c r="JM146" s="9">
        <v>0</v>
      </c>
      <c r="JN146" s="9">
        <v>36832</v>
      </c>
      <c r="JO146" s="9">
        <v>0</v>
      </c>
      <c r="JP146" s="9">
        <v>0</v>
      </c>
      <c r="JQ146" s="9">
        <v>0</v>
      </c>
      <c r="JR146" s="9">
        <v>0</v>
      </c>
      <c r="JS146" s="9">
        <v>0</v>
      </c>
      <c r="JT146" s="9">
        <v>0</v>
      </c>
      <c r="JU146" s="9">
        <v>0</v>
      </c>
      <c r="JV146" s="9">
        <v>0</v>
      </c>
      <c r="JW146" s="9">
        <v>0</v>
      </c>
      <c r="JX146" s="9">
        <v>0</v>
      </c>
      <c r="JY146" s="9">
        <v>0</v>
      </c>
      <c r="JZ146" s="9">
        <v>0</v>
      </c>
      <c r="KA146" s="9">
        <v>0</v>
      </c>
      <c r="KB146" s="9">
        <v>0</v>
      </c>
      <c r="KC146" s="9">
        <v>0</v>
      </c>
      <c r="KD146" s="9">
        <v>0</v>
      </c>
      <c r="KE146" s="9">
        <v>0</v>
      </c>
      <c r="KF146" s="9">
        <v>0</v>
      </c>
      <c r="KG146" s="9">
        <v>0</v>
      </c>
      <c r="KH146" s="9">
        <v>0</v>
      </c>
      <c r="KI146" s="9">
        <v>0</v>
      </c>
    </row>
    <row r="147" spans="1:295" x14ac:dyDescent="0.25">
      <c r="A147" s="9">
        <v>161807</v>
      </c>
      <c r="B147" s="9">
        <v>36871</v>
      </c>
      <c r="C147" s="9">
        <v>35</v>
      </c>
      <c r="D147" s="9">
        <v>2023</v>
      </c>
      <c r="E147" s="9">
        <v>5392</v>
      </c>
      <c r="F147" s="9">
        <v>0</v>
      </c>
      <c r="G147" s="9">
        <v>0</v>
      </c>
      <c r="H147" s="9">
        <v>8686.1769999999997</v>
      </c>
      <c r="I147" s="9">
        <v>8686.1769999999997</v>
      </c>
      <c r="J147" s="9">
        <v>9538.2240000000002</v>
      </c>
      <c r="K147" s="9">
        <v>0</v>
      </c>
      <c r="L147" s="9">
        <v>6547</v>
      </c>
      <c r="M147" s="9">
        <v>0</v>
      </c>
      <c r="N147" s="9">
        <v>0</v>
      </c>
      <c r="O147" s="9">
        <v>0</v>
      </c>
      <c r="P147" s="9">
        <v>9112.2650000000012</v>
      </c>
      <c r="Q147" s="9">
        <v>0</v>
      </c>
      <c r="R147" s="9">
        <v>4436962</v>
      </c>
      <c r="S147" s="9">
        <v>486.92200000000003</v>
      </c>
      <c r="T147" s="9">
        <v>0</v>
      </c>
      <c r="U147" s="9">
        <v>4436962</v>
      </c>
      <c r="V147" s="9">
        <v>2655.7060000000001</v>
      </c>
      <c r="W147" s="9">
        <v>1738691</v>
      </c>
      <c r="X147" s="9">
        <v>1738691</v>
      </c>
      <c r="Y147" s="9">
        <v>0</v>
      </c>
      <c r="Z147" s="9">
        <v>0</v>
      </c>
      <c r="AA147" s="9">
        <v>1</v>
      </c>
      <c r="AB147" s="9">
        <v>1</v>
      </c>
      <c r="AC147" s="9">
        <v>0</v>
      </c>
      <c r="AD147" s="9" t="s">
        <v>314</v>
      </c>
      <c r="AE147" s="9">
        <v>0</v>
      </c>
      <c r="AF147" s="9">
        <v>0</v>
      </c>
      <c r="AG147" s="9">
        <v>0</v>
      </c>
      <c r="AH147" s="9">
        <v>0</v>
      </c>
      <c r="AI147" s="9">
        <v>0</v>
      </c>
      <c r="AJ147" s="9">
        <v>5104</v>
      </c>
      <c r="AK147" s="9" t="s">
        <v>651</v>
      </c>
      <c r="AL147" s="9" t="s">
        <v>358</v>
      </c>
      <c r="AM147" s="9">
        <v>0</v>
      </c>
      <c r="AN147" s="9">
        <v>0</v>
      </c>
      <c r="AO147" s="9">
        <v>0</v>
      </c>
      <c r="AP147" s="9">
        <v>0</v>
      </c>
      <c r="AQ147" s="9">
        <v>0</v>
      </c>
      <c r="AR147" s="9">
        <v>0</v>
      </c>
      <c r="AS147" s="9">
        <v>0</v>
      </c>
      <c r="AT147" s="9">
        <v>0</v>
      </c>
      <c r="AU147" s="9">
        <v>0</v>
      </c>
      <c r="AV147" s="9">
        <v>-903708</v>
      </c>
      <c r="AW147" s="9">
        <v>92547904</v>
      </c>
      <c r="AX147" s="9">
        <v>90093464</v>
      </c>
      <c r="AY147" s="9">
        <v>97682179</v>
      </c>
      <c r="AZ147" s="9">
        <v>5130103</v>
      </c>
      <c r="BA147" s="9">
        <v>159.667</v>
      </c>
      <c r="BB147" s="9">
        <v>374681</v>
      </c>
      <c r="BC147" s="9">
        <v>374681</v>
      </c>
      <c r="BD147" s="9">
        <v>476.911</v>
      </c>
      <c r="BE147" s="9">
        <v>0</v>
      </c>
      <c r="BF147" s="9">
        <v>77796013</v>
      </c>
      <c r="BG147" s="9">
        <v>0</v>
      </c>
      <c r="BH147" s="9">
        <v>2520.5129999999999</v>
      </c>
      <c r="BI147" s="9">
        <v>693141</v>
      </c>
      <c r="BJ147" s="9">
        <v>12</v>
      </c>
      <c r="BK147" s="9">
        <v>0</v>
      </c>
      <c r="BL147" s="9">
        <v>0</v>
      </c>
      <c r="BM147" s="9">
        <v>0</v>
      </c>
      <c r="BN147" s="9">
        <v>0</v>
      </c>
      <c r="BO147" s="9">
        <v>0</v>
      </c>
      <c r="BP147" s="9">
        <v>0</v>
      </c>
      <c r="BQ147" s="9">
        <v>5392</v>
      </c>
      <c r="BR147" s="9">
        <v>1</v>
      </c>
      <c r="BS147" s="9">
        <v>0</v>
      </c>
      <c r="BT147" s="9">
        <v>0</v>
      </c>
      <c r="BU147" s="9">
        <v>0</v>
      </c>
      <c r="BV147" s="9">
        <v>0</v>
      </c>
      <c r="BW147" s="9">
        <v>0</v>
      </c>
      <c r="BX147" s="9">
        <v>0</v>
      </c>
      <c r="BY147" s="9">
        <v>0</v>
      </c>
      <c r="BZ147" s="9">
        <v>0</v>
      </c>
      <c r="CA147" s="9">
        <v>0</v>
      </c>
      <c r="CB147" s="9">
        <v>0</v>
      </c>
      <c r="CC147" s="9">
        <v>0</v>
      </c>
      <c r="CD147" s="9">
        <v>0</v>
      </c>
      <c r="CE147" s="9">
        <v>0</v>
      </c>
      <c r="CF147" s="9">
        <v>0</v>
      </c>
      <c r="CG147" s="9">
        <v>0</v>
      </c>
      <c r="CH147" s="9">
        <v>1761299</v>
      </c>
      <c r="CI147" s="9">
        <v>0</v>
      </c>
      <c r="CJ147" s="9">
        <v>4</v>
      </c>
      <c r="CK147" s="9">
        <v>0</v>
      </c>
      <c r="CL147" s="9">
        <v>0</v>
      </c>
      <c r="CM147" s="9">
        <v>0</v>
      </c>
      <c r="CN147" s="9">
        <v>0</v>
      </c>
      <c r="CO147" s="9">
        <v>0</v>
      </c>
      <c r="CP147" s="9">
        <v>0</v>
      </c>
      <c r="CQ147" s="9">
        <v>0</v>
      </c>
      <c r="CR147" s="9">
        <v>8855.7970000000005</v>
      </c>
      <c r="CS147" s="9">
        <v>0</v>
      </c>
      <c r="CT147" s="9">
        <v>0</v>
      </c>
      <c r="CU147" s="9">
        <v>0</v>
      </c>
      <c r="CV147" s="9">
        <v>0</v>
      </c>
      <c r="CW147" s="9">
        <v>0</v>
      </c>
      <c r="CX147" s="9">
        <v>0</v>
      </c>
      <c r="CY147" s="9">
        <v>0</v>
      </c>
      <c r="CZ147" s="9">
        <v>0</v>
      </c>
      <c r="DA147" s="9">
        <v>1</v>
      </c>
      <c r="DB147" s="9">
        <v>56868401</v>
      </c>
      <c r="DC147" s="9">
        <v>0</v>
      </c>
      <c r="DD147" s="9">
        <v>0</v>
      </c>
      <c r="DE147" s="9">
        <v>8401110</v>
      </c>
      <c r="DF147" s="9">
        <v>8401110</v>
      </c>
      <c r="DG147" s="9">
        <v>6416</v>
      </c>
      <c r="DH147" s="9">
        <v>0</v>
      </c>
      <c r="DI147" s="9">
        <v>0</v>
      </c>
      <c r="DJ147" s="9">
        <v>0</v>
      </c>
      <c r="DK147" s="9">
        <v>5392</v>
      </c>
      <c r="DL147" s="9">
        <v>0</v>
      </c>
      <c r="DM147" s="9">
        <v>8149497</v>
      </c>
      <c r="DN147" s="9">
        <v>0</v>
      </c>
      <c r="DO147" s="9">
        <v>3899</v>
      </c>
      <c r="DP147" s="9">
        <v>0</v>
      </c>
      <c r="DQ147" s="9">
        <v>0</v>
      </c>
      <c r="DR147" s="9">
        <v>0</v>
      </c>
      <c r="DS147" s="9">
        <v>0</v>
      </c>
      <c r="DT147" s="9">
        <v>0</v>
      </c>
      <c r="DU147" s="9">
        <v>0</v>
      </c>
      <c r="DV147" s="9">
        <v>0.25800000000000001</v>
      </c>
      <c r="DW147" s="9">
        <v>4.0000000000000001E-3</v>
      </c>
      <c r="DX147" s="9">
        <v>0</v>
      </c>
      <c r="DY147" s="9">
        <v>0</v>
      </c>
      <c r="DZ147" s="9">
        <v>0.79400000000000004</v>
      </c>
      <c r="EA147" s="9">
        <v>6.0000000000000001E-3</v>
      </c>
      <c r="EB147" s="9">
        <v>0</v>
      </c>
      <c r="EC147" s="9">
        <v>134.74800000000002</v>
      </c>
      <c r="ED147" s="9">
        <v>970415</v>
      </c>
      <c r="EE147" s="9">
        <v>0</v>
      </c>
      <c r="EF147" s="9">
        <v>0</v>
      </c>
      <c r="EG147" s="9">
        <v>0</v>
      </c>
      <c r="EH147" s="9">
        <v>7175183</v>
      </c>
      <c r="EI147" s="9">
        <v>0</v>
      </c>
      <c r="EJ147" s="9">
        <v>0</v>
      </c>
      <c r="EK147" s="9">
        <v>302.11700000000002</v>
      </c>
      <c r="EL147" s="9">
        <v>0</v>
      </c>
      <c r="EM147" s="9">
        <v>34.356999999999999</v>
      </c>
      <c r="EN147" s="9">
        <v>16.961000000000002</v>
      </c>
      <c r="EO147" s="9">
        <v>0</v>
      </c>
      <c r="EP147" s="9">
        <v>0</v>
      </c>
      <c r="EQ147" s="9">
        <v>354.17700000000002</v>
      </c>
      <c r="ER147" s="9">
        <v>0.73599999999999999</v>
      </c>
      <c r="ES147" s="9">
        <v>1095.95</v>
      </c>
      <c r="ET147" s="9">
        <v>79834</v>
      </c>
      <c r="EU147" s="9">
        <v>5130103</v>
      </c>
      <c r="EV147" s="9">
        <v>0</v>
      </c>
      <c r="EW147" s="9">
        <v>0</v>
      </c>
      <c r="EX147" s="9">
        <v>0</v>
      </c>
      <c r="EY147" s="9">
        <v>0</v>
      </c>
      <c r="EZ147" s="9">
        <v>75495817</v>
      </c>
      <c r="FA147" s="9">
        <v>0</v>
      </c>
      <c r="FB147" s="9">
        <v>80625920</v>
      </c>
      <c r="FC147" s="9">
        <v>0.97326799999999991</v>
      </c>
      <c r="FD147" s="9">
        <v>0</v>
      </c>
      <c r="FE147" s="9">
        <v>12034835</v>
      </c>
      <c r="FF147" s="9">
        <v>2562812</v>
      </c>
      <c r="FG147" s="9">
        <v>5.8088000000000001E-2</v>
      </c>
      <c r="FH147" s="9">
        <v>5.2622999999999996E-2</v>
      </c>
      <c r="FI147" s="9">
        <v>0</v>
      </c>
      <c r="FJ147" s="9">
        <v>0</v>
      </c>
      <c r="FK147" s="9">
        <v>15242.996999999999</v>
      </c>
      <c r="FL147" s="9">
        <v>96984866</v>
      </c>
      <c r="FM147" s="9">
        <v>0</v>
      </c>
      <c r="FN147" s="9">
        <v>0</v>
      </c>
      <c r="FO147" s="9">
        <v>0</v>
      </c>
      <c r="FP147" s="9">
        <v>0</v>
      </c>
      <c r="FQ147" s="9">
        <v>0</v>
      </c>
      <c r="FR147" s="9">
        <v>0</v>
      </c>
      <c r="FS147" s="9">
        <v>0</v>
      </c>
      <c r="FT147" s="9">
        <v>0</v>
      </c>
      <c r="FU147" s="9">
        <v>0</v>
      </c>
      <c r="FV147" s="9">
        <v>0</v>
      </c>
      <c r="FW147" s="9">
        <v>0</v>
      </c>
      <c r="FX147" s="9">
        <v>0</v>
      </c>
      <c r="FY147" s="9">
        <v>0</v>
      </c>
      <c r="FZ147" s="9">
        <v>0</v>
      </c>
      <c r="GA147" s="9">
        <v>0</v>
      </c>
      <c r="GB147" s="9">
        <v>4400399</v>
      </c>
      <c r="GC147" s="9">
        <v>4400399</v>
      </c>
      <c r="GD147" s="9">
        <v>497.87</v>
      </c>
      <c r="GE147" s="9">
        <v>0</v>
      </c>
      <c r="GF147" s="9">
        <v>0</v>
      </c>
      <c r="GG147" s="9">
        <v>0</v>
      </c>
      <c r="GH147" s="9">
        <v>0</v>
      </c>
      <c r="GI147" s="9">
        <v>0</v>
      </c>
      <c r="GJ147" s="9">
        <v>0</v>
      </c>
      <c r="GK147" s="9">
        <v>5114</v>
      </c>
      <c r="GL147" s="9">
        <v>11682</v>
      </c>
      <c r="GM147" s="9">
        <v>0</v>
      </c>
      <c r="GN147" s="9">
        <v>0</v>
      </c>
      <c r="GO147" s="9">
        <v>0</v>
      </c>
      <c r="GP147" s="9">
        <v>95223567</v>
      </c>
      <c r="GQ147" s="9">
        <v>95223567</v>
      </c>
      <c r="GR147" s="9">
        <v>0</v>
      </c>
      <c r="GS147" s="9">
        <v>0</v>
      </c>
      <c r="GT147" s="9">
        <v>0</v>
      </c>
      <c r="GU147" s="9">
        <v>0</v>
      </c>
      <c r="GV147" s="9">
        <v>0</v>
      </c>
      <c r="GW147" s="9">
        <v>0</v>
      </c>
      <c r="GX147" s="9">
        <v>0</v>
      </c>
      <c r="GY147" s="9">
        <v>0</v>
      </c>
      <c r="GZ147" s="9">
        <v>0</v>
      </c>
      <c r="HA147" s="9">
        <v>0</v>
      </c>
      <c r="HB147" s="9">
        <v>300501363</v>
      </c>
      <c r="HC147" s="9">
        <v>4.4742999999999998E-2</v>
      </c>
      <c r="HD147" s="9">
        <v>1681465</v>
      </c>
      <c r="HE147" s="9">
        <v>0</v>
      </c>
      <c r="HF147" s="9">
        <v>0</v>
      </c>
      <c r="HG147" s="9">
        <v>0</v>
      </c>
      <c r="HH147" s="9">
        <v>0</v>
      </c>
      <c r="HI147" s="9">
        <v>0</v>
      </c>
      <c r="HJ147" s="9">
        <v>0</v>
      </c>
      <c r="HK147" s="9">
        <v>0</v>
      </c>
      <c r="HL147" s="9">
        <v>0</v>
      </c>
      <c r="HM147" s="9">
        <v>0</v>
      </c>
      <c r="HN147" s="9">
        <v>0</v>
      </c>
      <c r="HO147" s="9">
        <v>0</v>
      </c>
      <c r="HP147" s="9">
        <v>0</v>
      </c>
      <c r="HQ147" s="9">
        <v>0</v>
      </c>
      <c r="HR147" s="9">
        <v>0</v>
      </c>
      <c r="HS147" s="9">
        <v>0</v>
      </c>
      <c r="HT147" s="9">
        <v>0</v>
      </c>
      <c r="HU147" s="9">
        <v>0</v>
      </c>
      <c r="HV147" s="9">
        <v>0</v>
      </c>
      <c r="HW147" s="9">
        <v>0</v>
      </c>
      <c r="HX147" s="9">
        <v>0</v>
      </c>
      <c r="HY147" s="9">
        <v>0</v>
      </c>
      <c r="HZ147" s="9">
        <v>0</v>
      </c>
      <c r="IA147" s="9">
        <v>0</v>
      </c>
      <c r="IB147" s="9">
        <v>0</v>
      </c>
      <c r="IC147" s="9">
        <v>0</v>
      </c>
      <c r="ID147" s="9">
        <v>0</v>
      </c>
      <c r="IE147" s="9">
        <v>0</v>
      </c>
      <c r="IF147" s="9">
        <v>0</v>
      </c>
      <c r="IG147" s="9">
        <v>0</v>
      </c>
      <c r="IH147" s="9">
        <v>0</v>
      </c>
      <c r="II147" s="9">
        <v>0</v>
      </c>
      <c r="IJ147" s="9">
        <v>0</v>
      </c>
      <c r="IK147" s="9">
        <v>0</v>
      </c>
      <c r="IL147" s="9">
        <v>0</v>
      </c>
      <c r="IM147" s="9">
        <v>0</v>
      </c>
      <c r="IN147" s="9">
        <v>0</v>
      </c>
      <c r="IO147" s="9">
        <v>0</v>
      </c>
      <c r="IP147" s="9">
        <v>0</v>
      </c>
      <c r="IQ147" s="9">
        <v>0</v>
      </c>
      <c r="IR147" s="9">
        <v>0</v>
      </c>
      <c r="IS147" s="9">
        <v>0</v>
      </c>
      <c r="IT147" s="9">
        <v>0</v>
      </c>
      <c r="IU147" s="9">
        <v>0</v>
      </c>
      <c r="IV147" s="9">
        <v>0</v>
      </c>
      <c r="IW147" s="9">
        <v>0</v>
      </c>
      <c r="IX147" s="9">
        <v>0</v>
      </c>
      <c r="IY147" s="9">
        <v>0</v>
      </c>
      <c r="IZ147" s="9">
        <v>0</v>
      </c>
      <c r="JA147" s="9">
        <v>0</v>
      </c>
      <c r="JB147" s="9">
        <v>0</v>
      </c>
      <c r="JC147" s="9">
        <v>0</v>
      </c>
      <c r="JD147" s="9">
        <v>0</v>
      </c>
      <c r="JE147" s="9">
        <v>0</v>
      </c>
      <c r="JF147" s="9">
        <v>0</v>
      </c>
      <c r="JG147" s="9">
        <v>0</v>
      </c>
      <c r="JH147" s="9">
        <v>0</v>
      </c>
      <c r="JI147" s="9">
        <v>0</v>
      </c>
      <c r="JJ147" s="9">
        <v>0</v>
      </c>
      <c r="JK147" s="9">
        <v>0</v>
      </c>
      <c r="JL147" s="9">
        <v>0</v>
      </c>
      <c r="JM147" s="9">
        <v>0</v>
      </c>
      <c r="JN147" s="9">
        <v>36832</v>
      </c>
      <c r="JO147" s="9">
        <v>0</v>
      </c>
      <c r="JP147" s="9">
        <v>0</v>
      </c>
      <c r="JQ147" s="9">
        <v>0</v>
      </c>
      <c r="JR147" s="9">
        <v>0</v>
      </c>
      <c r="JS147" s="9">
        <v>0</v>
      </c>
      <c r="JT147" s="9">
        <v>0</v>
      </c>
      <c r="JU147" s="9">
        <v>0</v>
      </c>
      <c r="JV147" s="9">
        <v>0</v>
      </c>
      <c r="JW147" s="9">
        <v>0</v>
      </c>
      <c r="JX147" s="9">
        <v>0</v>
      </c>
      <c r="JY147" s="9">
        <v>0</v>
      </c>
      <c r="JZ147" s="9">
        <v>0</v>
      </c>
      <c r="KA147" s="9">
        <v>0</v>
      </c>
      <c r="KB147" s="9">
        <v>0</v>
      </c>
      <c r="KC147" s="9">
        <v>0</v>
      </c>
      <c r="KD147" s="9">
        <v>0</v>
      </c>
      <c r="KE147" s="9">
        <v>0</v>
      </c>
      <c r="KF147" s="9">
        <v>0</v>
      </c>
      <c r="KG147" s="9">
        <v>0</v>
      </c>
      <c r="KH147" s="9">
        <v>0</v>
      </c>
      <c r="KI147" s="9">
        <v>0</v>
      </c>
    </row>
    <row r="148" spans="1:295" x14ac:dyDescent="0.25">
      <c r="A148" s="9">
        <v>165802</v>
      </c>
      <c r="B148" s="9">
        <v>36871</v>
      </c>
      <c r="C148" s="9">
        <v>35</v>
      </c>
      <c r="D148" s="9">
        <v>2023</v>
      </c>
      <c r="E148" s="9">
        <v>5392</v>
      </c>
      <c r="F148" s="9">
        <v>0</v>
      </c>
      <c r="G148" s="9">
        <v>0</v>
      </c>
      <c r="H148" s="9">
        <v>351.529</v>
      </c>
      <c r="I148" s="9">
        <v>351.529</v>
      </c>
      <c r="J148" s="9">
        <v>353.59700000000004</v>
      </c>
      <c r="K148" s="9">
        <v>0</v>
      </c>
      <c r="L148" s="9">
        <v>6547</v>
      </c>
      <c r="M148" s="9">
        <v>0</v>
      </c>
      <c r="N148" s="9">
        <v>0</v>
      </c>
      <c r="O148" s="9">
        <v>0</v>
      </c>
      <c r="P148" s="9">
        <v>361.23200000000003</v>
      </c>
      <c r="Q148" s="9">
        <v>0</v>
      </c>
      <c r="R148" s="9">
        <v>175892</v>
      </c>
      <c r="S148" s="9">
        <v>486.92200000000003</v>
      </c>
      <c r="T148" s="9">
        <v>0</v>
      </c>
      <c r="U148" s="9">
        <v>175892</v>
      </c>
      <c r="V148" s="9">
        <v>17.137</v>
      </c>
      <c r="W148" s="9">
        <v>11220</v>
      </c>
      <c r="X148" s="9">
        <v>11220</v>
      </c>
      <c r="Y148" s="9">
        <v>0</v>
      </c>
      <c r="Z148" s="9">
        <v>0</v>
      </c>
      <c r="AA148" s="9">
        <v>1</v>
      </c>
      <c r="AB148" s="9">
        <v>1</v>
      </c>
      <c r="AC148" s="9">
        <v>0</v>
      </c>
      <c r="AD148" s="9" t="s">
        <v>314</v>
      </c>
      <c r="AE148" s="9">
        <v>0</v>
      </c>
      <c r="AF148" s="9">
        <v>0</v>
      </c>
      <c r="AG148" s="9">
        <v>0</v>
      </c>
      <c r="AH148" s="9">
        <v>0</v>
      </c>
      <c r="AI148" s="9">
        <v>0</v>
      </c>
      <c r="AJ148" s="9">
        <v>5104</v>
      </c>
      <c r="AK148" s="9" t="s">
        <v>651</v>
      </c>
      <c r="AL148" s="9" t="s">
        <v>90</v>
      </c>
      <c r="AM148" s="9">
        <v>0</v>
      </c>
      <c r="AN148" s="9">
        <v>0</v>
      </c>
      <c r="AO148" s="9">
        <v>0</v>
      </c>
      <c r="AP148" s="9">
        <v>0</v>
      </c>
      <c r="AQ148" s="9">
        <v>0</v>
      </c>
      <c r="AR148" s="9">
        <v>0</v>
      </c>
      <c r="AS148" s="9">
        <v>0</v>
      </c>
      <c r="AT148" s="9">
        <v>0</v>
      </c>
      <c r="AU148" s="9">
        <v>0</v>
      </c>
      <c r="AV148" s="9">
        <v>-33007</v>
      </c>
      <c r="AW148" s="9">
        <v>2987256</v>
      </c>
      <c r="AX148" s="9">
        <v>2918212</v>
      </c>
      <c r="AY148" s="9">
        <v>3096031</v>
      </c>
      <c r="AZ148" s="9">
        <v>175892</v>
      </c>
      <c r="BA148" s="9">
        <v>13.417</v>
      </c>
      <c r="BB148" s="9">
        <v>13890</v>
      </c>
      <c r="BC148" s="9">
        <v>13890</v>
      </c>
      <c r="BD148" s="9">
        <v>17.68</v>
      </c>
      <c r="BE148" s="9">
        <v>0</v>
      </c>
      <c r="BF148" s="9">
        <v>2546365</v>
      </c>
      <c r="BG148" s="9">
        <v>0</v>
      </c>
      <c r="BH148" s="9">
        <v>0</v>
      </c>
      <c r="BI148" s="9">
        <v>0</v>
      </c>
      <c r="BJ148" s="9">
        <v>12</v>
      </c>
      <c r="BK148" s="9">
        <v>0</v>
      </c>
      <c r="BL148" s="9">
        <v>0</v>
      </c>
      <c r="BM148" s="9">
        <v>0</v>
      </c>
      <c r="BN148" s="9">
        <v>0</v>
      </c>
      <c r="BO148" s="9">
        <v>0</v>
      </c>
      <c r="BP148" s="9">
        <v>0</v>
      </c>
      <c r="BQ148" s="9">
        <v>5392</v>
      </c>
      <c r="BR148" s="9">
        <v>1</v>
      </c>
      <c r="BS148" s="9">
        <v>0</v>
      </c>
      <c r="BT148" s="9">
        <v>0</v>
      </c>
      <c r="BU148" s="9">
        <v>0</v>
      </c>
      <c r="BV148" s="9">
        <v>0</v>
      </c>
      <c r="BW148" s="9">
        <v>0</v>
      </c>
      <c r="BX148" s="9">
        <v>0</v>
      </c>
      <c r="BY148" s="9">
        <v>0</v>
      </c>
      <c r="BZ148" s="9">
        <v>0</v>
      </c>
      <c r="CA148" s="9">
        <v>0</v>
      </c>
      <c r="CB148" s="9">
        <v>0</v>
      </c>
      <c r="CC148" s="9">
        <v>0</v>
      </c>
      <c r="CD148" s="9">
        <v>0</v>
      </c>
      <c r="CE148" s="9">
        <v>0</v>
      </c>
      <c r="CF148" s="9">
        <v>0</v>
      </c>
      <c r="CG148" s="9">
        <v>0</v>
      </c>
      <c r="CH148" s="9">
        <v>69044</v>
      </c>
      <c r="CI148" s="9">
        <v>0</v>
      </c>
      <c r="CJ148" s="9">
        <v>4</v>
      </c>
      <c r="CK148" s="9">
        <v>0</v>
      </c>
      <c r="CL148" s="9">
        <v>0</v>
      </c>
      <c r="CM148" s="9">
        <v>0</v>
      </c>
      <c r="CN148" s="9">
        <v>0</v>
      </c>
      <c r="CO148" s="9">
        <v>0</v>
      </c>
      <c r="CP148" s="9">
        <v>0</v>
      </c>
      <c r="CQ148" s="9">
        <v>0</v>
      </c>
      <c r="CR148" s="9">
        <v>353.91200000000003</v>
      </c>
      <c r="CS148" s="9">
        <v>0</v>
      </c>
      <c r="CT148" s="9">
        <v>0</v>
      </c>
      <c r="CU148" s="9">
        <v>0</v>
      </c>
      <c r="CV148" s="9">
        <v>0</v>
      </c>
      <c r="CW148" s="9">
        <v>0</v>
      </c>
      <c r="CX148" s="9">
        <v>0</v>
      </c>
      <c r="CY148" s="9">
        <v>0</v>
      </c>
      <c r="CZ148" s="9">
        <v>0</v>
      </c>
      <c r="DA148" s="9">
        <v>1</v>
      </c>
      <c r="DB148" s="9">
        <v>2301460</v>
      </c>
      <c r="DC148" s="9">
        <v>0</v>
      </c>
      <c r="DD148" s="9">
        <v>0</v>
      </c>
      <c r="DE148" s="9">
        <v>235260</v>
      </c>
      <c r="DF148" s="9">
        <v>235260</v>
      </c>
      <c r="DG148" s="9">
        <v>179.67000000000002</v>
      </c>
      <c r="DH148" s="9">
        <v>0</v>
      </c>
      <c r="DI148" s="9">
        <v>0</v>
      </c>
      <c r="DJ148" s="9">
        <v>0</v>
      </c>
      <c r="DK148" s="9">
        <v>5392</v>
      </c>
      <c r="DL148" s="9">
        <v>0</v>
      </c>
      <c r="DM148" s="9">
        <v>54474</v>
      </c>
      <c r="DN148" s="9">
        <v>0</v>
      </c>
      <c r="DO148" s="9">
        <v>0</v>
      </c>
      <c r="DP148" s="9">
        <v>0</v>
      </c>
      <c r="DQ148" s="9">
        <v>0</v>
      </c>
      <c r="DR148" s="9">
        <v>0</v>
      </c>
      <c r="DS148" s="9">
        <v>0</v>
      </c>
      <c r="DT148" s="9">
        <v>0</v>
      </c>
      <c r="DU148" s="9">
        <v>0</v>
      </c>
      <c r="DV148" s="9">
        <v>0</v>
      </c>
      <c r="DW148" s="9">
        <v>0</v>
      </c>
      <c r="DX148" s="9">
        <v>0</v>
      </c>
      <c r="DY148" s="9">
        <v>0</v>
      </c>
      <c r="DZ148" s="9">
        <v>0</v>
      </c>
      <c r="EA148" s="9">
        <v>0</v>
      </c>
      <c r="EB148" s="9">
        <v>0</v>
      </c>
      <c r="EC148" s="9">
        <v>1.4550000000000001</v>
      </c>
      <c r="ED148" s="9">
        <v>10478</v>
      </c>
      <c r="EE148" s="9">
        <v>0</v>
      </c>
      <c r="EF148" s="9">
        <v>0</v>
      </c>
      <c r="EG148" s="9">
        <v>0</v>
      </c>
      <c r="EH148" s="9">
        <v>43996</v>
      </c>
      <c r="EI148" s="9">
        <v>0</v>
      </c>
      <c r="EJ148" s="9">
        <v>0</v>
      </c>
      <c r="EK148" s="9">
        <v>1.81</v>
      </c>
      <c r="EL148" s="9">
        <v>0</v>
      </c>
      <c r="EM148" s="9">
        <v>0</v>
      </c>
      <c r="EN148" s="9">
        <v>0.25800000000000001</v>
      </c>
      <c r="EO148" s="9">
        <v>0</v>
      </c>
      <c r="EP148" s="9">
        <v>0</v>
      </c>
      <c r="EQ148" s="9">
        <v>2.0680000000000001</v>
      </c>
      <c r="ER148" s="9">
        <v>0</v>
      </c>
      <c r="ES148" s="9">
        <v>6.72</v>
      </c>
      <c r="ET148" s="9">
        <v>6709</v>
      </c>
      <c r="EU148" s="9">
        <v>175892</v>
      </c>
      <c r="EV148" s="9">
        <v>0</v>
      </c>
      <c r="EW148" s="9">
        <v>0</v>
      </c>
      <c r="EX148" s="9">
        <v>0</v>
      </c>
      <c r="EY148" s="9">
        <v>0</v>
      </c>
      <c r="EZ148" s="9">
        <v>2440412</v>
      </c>
      <c r="FA148" s="9">
        <v>0</v>
      </c>
      <c r="FB148" s="9">
        <v>2616304</v>
      </c>
      <c r="FC148" s="9">
        <v>0.97326799999999991</v>
      </c>
      <c r="FD148" s="9">
        <v>0</v>
      </c>
      <c r="FE148" s="9">
        <v>393916</v>
      </c>
      <c r="FF148" s="9">
        <v>83884</v>
      </c>
      <c r="FG148" s="9">
        <v>5.8088000000000001E-2</v>
      </c>
      <c r="FH148" s="9">
        <v>5.2622999999999996E-2</v>
      </c>
      <c r="FI148" s="9">
        <v>0</v>
      </c>
      <c r="FJ148" s="9">
        <v>0</v>
      </c>
      <c r="FK148" s="9">
        <v>498.923</v>
      </c>
      <c r="FL148" s="9">
        <v>3163148</v>
      </c>
      <c r="FM148" s="9">
        <v>0</v>
      </c>
      <c r="FN148" s="9">
        <v>0</v>
      </c>
      <c r="FO148" s="9">
        <v>0</v>
      </c>
      <c r="FP148" s="9">
        <v>0</v>
      </c>
      <c r="FQ148" s="9">
        <v>0</v>
      </c>
      <c r="FR148" s="9">
        <v>0</v>
      </c>
      <c r="FS148" s="9">
        <v>0</v>
      </c>
      <c r="FT148" s="9">
        <v>0</v>
      </c>
      <c r="FU148" s="9">
        <v>0</v>
      </c>
      <c r="FV148" s="9">
        <v>0</v>
      </c>
      <c r="FW148" s="9">
        <v>0</v>
      </c>
      <c r="FX148" s="9">
        <v>0</v>
      </c>
      <c r="FY148" s="9">
        <v>0</v>
      </c>
      <c r="FZ148" s="9">
        <v>0</v>
      </c>
      <c r="GA148" s="9">
        <v>0</v>
      </c>
      <c r="GB148" s="9">
        <v>0</v>
      </c>
      <c r="GC148" s="9">
        <v>0</v>
      </c>
      <c r="GD148" s="9">
        <v>0</v>
      </c>
      <c r="GE148" s="9">
        <v>0</v>
      </c>
      <c r="GF148" s="9">
        <v>0</v>
      </c>
      <c r="GG148" s="9">
        <v>0</v>
      </c>
      <c r="GH148" s="9">
        <v>0</v>
      </c>
      <c r="GI148" s="9">
        <v>0</v>
      </c>
      <c r="GJ148" s="9">
        <v>0</v>
      </c>
      <c r="GK148" s="9">
        <v>5107</v>
      </c>
      <c r="GL148" s="9">
        <v>15234</v>
      </c>
      <c r="GM148" s="9">
        <v>0</v>
      </c>
      <c r="GN148" s="9">
        <v>0</v>
      </c>
      <c r="GO148" s="9">
        <v>0</v>
      </c>
      <c r="GP148" s="9">
        <v>3094104</v>
      </c>
      <c r="GQ148" s="9">
        <v>3094104</v>
      </c>
      <c r="GR148" s="9">
        <v>0</v>
      </c>
      <c r="GS148" s="9">
        <v>0</v>
      </c>
      <c r="GT148" s="9">
        <v>0</v>
      </c>
      <c r="GU148" s="9">
        <v>0</v>
      </c>
      <c r="GV148" s="9">
        <v>0</v>
      </c>
      <c r="GW148" s="9">
        <v>0</v>
      </c>
      <c r="GX148" s="9">
        <v>0</v>
      </c>
      <c r="GY148" s="9">
        <v>0</v>
      </c>
      <c r="GZ148" s="9">
        <v>0</v>
      </c>
      <c r="HA148" s="9">
        <v>0</v>
      </c>
      <c r="HB148" s="9">
        <v>300501363</v>
      </c>
      <c r="HC148" s="9">
        <v>4.4742999999999998E-2</v>
      </c>
      <c r="HD148" s="9">
        <v>62335</v>
      </c>
      <c r="HE148" s="9">
        <v>0</v>
      </c>
      <c r="HF148" s="9">
        <v>0</v>
      </c>
      <c r="HG148" s="9">
        <v>0</v>
      </c>
      <c r="HH148" s="9">
        <v>0</v>
      </c>
      <c r="HI148" s="9">
        <v>0</v>
      </c>
      <c r="HJ148" s="9">
        <v>0</v>
      </c>
      <c r="HK148" s="9">
        <v>0</v>
      </c>
      <c r="HL148" s="9">
        <v>0</v>
      </c>
      <c r="HM148" s="9">
        <v>0</v>
      </c>
      <c r="HN148" s="9">
        <v>0</v>
      </c>
      <c r="HO148" s="9">
        <v>0</v>
      </c>
      <c r="HP148" s="9">
        <v>0</v>
      </c>
      <c r="HQ148" s="9">
        <v>0</v>
      </c>
      <c r="HR148" s="9">
        <v>0</v>
      </c>
      <c r="HS148" s="9">
        <v>0</v>
      </c>
      <c r="HT148" s="9">
        <v>0</v>
      </c>
      <c r="HU148" s="9">
        <v>0</v>
      </c>
      <c r="HV148" s="9">
        <v>0</v>
      </c>
      <c r="HW148" s="9">
        <v>0</v>
      </c>
      <c r="HX148" s="9">
        <v>0</v>
      </c>
      <c r="HY148" s="9">
        <v>0</v>
      </c>
      <c r="HZ148" s="9">
        <v>0</v>
      </c>
      <c r="IA148" s="9">
        <v>0</v>
      </c>
      <c r="IB148" s="9">
        <v>0</v>
      </c>
      <c r="IC148" s="9">
        <v>0</v>
      </c>
      <c r="ID148" s="9">
        <v>0</v>
      </c>
      <c r="IE148" s="9">
        <v>0</v>
      </c>
      <c r="IF148" s="9">
        <v>0</v>
      </c>
      <c r="IG148" s="9">
        <v>0</v>
      </c>
      <c r="IH148" s="9">
        <v>0</v>
      </c>
      <c r="II148" s="9">
        <v>0</v>
      </c>
      <c r="IJ148" s="9">
        <v>0</v>
      </c>
      <c r="IK148" s="9">
        <v>0</v>
      </c>
      <c r="IL148" s="9">
        <v>0</v>
      </c>
      <c r="IM148" s="9">
        <v>0</v>
      </c>
      <c r="IN148" s="9">
        <v>0</v>
      </c>
      <c r="IO148" s="9">
        <v>0</v>
      </c>
      <c r="IP148" s="9">
        <v>0</v>
      </c>
      <c r="IQ148" s="9">
        <v>0</v>
      </c>
      <c r="IR148" s="9">
        <v>0</v>
      </c>
      <c r="IS148" s="9">
        <v>0</v>
      </c>
      <c r="IT148" s="9">
        <v>0</v>
      </c>
      <c r="IU148" s="9">
        <v>0</v>
      </c>
      <c r="IV148" s="9">
        <v>0</v>
      </c>
      <c r="IW148" s="9">
        <v>0</v>
      </c>
      <c r="IX148" s="9">
        <v>0</v>
      </c>
      <c r="IY148" s="9">
        <v>0</v>
      </c>
      <c r="IZ148" s="9">
        <v>0</v>
      </c>
      <c r="JA148" s="9">
        <v>0</v>
      </c>
      <c r="JB148" s="9">
        <v>0</v>
      </c>
      <c r="JC148" s="9">
        <v>0</v>
      </c>
      <c r="JD148" s="9">
        <v>0</v>
      </c>
      <c r="JE148" s="9">
        <v>0</v>
      </c>
      <c r="JF148" s="9">
        <v>0</v>
      </c>
      <c r="JG148" s="9">
        <v>0</v>
      </c>
      <c r="JH148" s="9">
        <v>0</v>
      </c>
      <c r="JI148" s="9">
        <v>0</v>
      </c>
      <c r="JJ148" s="9">
        <v>0</v>
      </c>
      <c r="JK148" s="9">
        <v>0</v>
      </c>
      <c r="JL148" s="9">
        <v>0</v>
      </c>
      <c r="JM148" s="9">
        <v>0</v>
      </c>
      <c r="JN148" s="9">
        <v>36832</v>
      </c>
      <c r="JO148" s="9">
        <v>0</v>
      </c>
      <c r="JP148" s="9">
        <v>0</v>
      </c>
      <c r="JQ148" s="9">
        <v>0</v>
      </c>
      <c r="JR148" s="9">
        <v>0</v>
      </c>
      <c r="JS148" s="9">
        <v>0</v>
      </c>
      <c r="JT148" s="9">
        <v>0</v>
      </c>
      <c r="JU148" s="9">
        <v>0</v>
      </c>
      <c r="JV148" s="9">
        <v>0</v>
      </c>
      <c r="JW148" s="9">
        <v>0</v>
      </c>
      <c r="JX148" s="9">
        <v>0</v>
      </c>
      <c r="JY148" s="9">
        <v>0</v>
      </c>
      <c r="JZ148" s="9">
        <v>0</v>
      </c>
      <c r="KA148" s="9">
        <v>0</v>
      </c>
      <c r="KB148" s="9">
        <v>0</v>
      </c>
      <c r="KC148" s="9">
        <v>0</v>
      </c>
      <c r="KD148" s="9">
        <v>0</v>
      </c>
      <c r="KE148" s="9">
        <v>0</v>
      </c>
      <c r="KF148" s="9">
        <v>0</v>
      </c>
      <c r="KG148" s="9">
        <v>0</v>
      </c>
      <c r="KH148" s="9">
        <v>0</v>
      </c>
      <c r="KI148" s="9">
        <v>0</v>
      </c>
    </row>
    <row r="149" spans="1:295" x14ac:dyDescent="0.25">
      <c r="A149" s="9">
        <v>170801</v>
      </c>
      <c r="B149" s="9">
        <v>36871</v>
      </c>
      <c r="C149" s="9">
        <v>35</v>
      </c>
      <c r="D149" s="9">
        <v>2023</v>
      </c>
      <c r="E149" s="9">
        <v>5392</v>
      </c>
      <c r="F149" s="9">
        <v>0</v>
      </c>
      <c r="G149" s="9">
        <v>0</v>
      </c>
      <c r="H149" s="9">
        <v>386.209</v>
      </c>
      <c r="I149" s="9">
        <v>386.209</v>
      </c>
      <c r="J149" s="9">
        <v>393.01800000000003</v>
      </c>
      <c r="K149" s="9">
        <v>0</v>
      </c>
      <c r="L149" s="9">
        <v>6547</v>
      </c>
      <c r="M149" s="9">
        <v>0</v>
      </c>
      <c r="N149" s="9">
        <v>0</v>
      </c>
      <c r="O149" s="9">
        <v>0</v>
      </c>
      <c r="P149" s="9">
        <v>441.57500000000005</v>
      </c>
      <c r="Q149" s="9">
        <v>0</v>
      </c>
      <c r="R149" s="9">
        <v>215013</v>
      </c>
      <c r="S149" s="9">
        <v>486.92200000000003</v>
      </c>
      <c r="T149" s="9">
        <v>0</v>
      </c>
      <c r="U149" s="9">
        <v>215013</v>
      </c>
      <c r="V149" s="9">
        <v>88.968000000000004</v>
      </c>
      <c r="W149" s="9">
        <v>58247</v>
      </c>
      <c r="X149" s="9">
        <v>58247</v>
      </c>
      <c r="Y149" s="9">
        <v>0</v>
      </c>
      <c r="Z149" s="9">
        <v>0</v>
      </c>
      <c r="AA149" s="9">
        <v>1</v>
      </c>
      <c r="AB149" s="9">
        <v>1</v>
      </c>
      <c r="AC149" s="9">
        <v>0</v>
      </c>
      <c r="AD149" s="9" t="s">
        <v>314</v>
      </c>
      <c r="AE149" s="9">
        <v>0</v>
      </c>
      <c r="AF149" s="9">
        <v>0</v>
      </c>
      <c r="AG149" s="9">
        <v>0</v>
      </c>
      <c r="AH149" s="9">
        <v>0</v>
      </c>
      <c r="AI149" s="9">
        <v>0</v>
      </c>
      <c r="AJ149" s="9">
        <v>5104</v>
      </c>
      <c r="AK149" s="9" t="s">
        <v>651</v>
      </c>
      <c r="AL149" s="9" t="s">
        <v>70</v>
      </c>
      <c r="AM149" s="9">
        <v>0</v>
      </c>
      <c r="AN149" s="9">
        <v>0</v>
      </c>
      <c r="AO149" s="9">
        <v>0</v>
      </c>
      <c r="AP149" s="9">
        <v>0</v>
      </c>
      <c r="AQ149" s="9">
        <v>0</v>
      </c>
      <c r="AR149" s="9">
        <v>0</v>
      </c>
      <c r="AS149" s="9">
        <v>0</v>
      </c>
      <c r="AT149" s="9">
        <v>0</v>
      </c>
      <c r="AU149" s="9">
        <v>0</v>
      </c>
      <c r="AV149" s="9">
        <v>274758</v>
      </c>
      <c r="AW149" s="9">
        <v>4118482</v>
      </c>
      <c r="AX149" s="9">
        <v>4035864</v>
      </c>
      <c r="AY149" s="9">
        <v>4624106</v>
      </c>
      <c r="AZ149" s="9">
        <v>215013</v>
      </c>
      <c r="BA149" s="9">
        <v>26.667000000000002</v>
      </c>
      <c r="BB149" s="9">
        <v>0</v>
      </c>
      <c r="BC149" s="9">
        <v>0</v>
      </c>
      <c r="BD149" s="9">
        <v>0</v>
      </c>
      <c r="BE149" s="9">
        <v>0</v>
      </c>
      <c r="BF149" s="9">
        <v>3385833</v>
      </c>
      <c r="BG149" s="9">
        <v>0</v>
      </c>
      <c r="BH149" s="9">
        <v>0</v>
      </c>
      <c r="BI149" s="9">
        <v>0</v>
      </c>
      <c r="BJ149" s="9">
        <v>12</v>
      </c>
      <c r="BK149" s="9">
        <v>0</v>
      </c>
      <c r="BL149" s="9">
        <v>0</v>
      </c>
      <c r="BM149" s="9">
        <v>0</v>
      </c>
      <c r="BN149" s="9">
        <v>0</v>
      </c>
      <c r="BO149" s="9">
        <v>0</v>
      </c>
      <c r="BP149" s="9">
        <v>0</v>
      </c>
      <c r="BQ149" s="9">
        <v>5392</v>
      </c>
      <c r="BR149" s="9">
        <v>1</v>
      </c>
      <c r="BS149" s="9">
        <v>0</v>
      </c>
      <c r="BT149" s="9">
        <v>0</v>
      </c>
      <c r="BU149" s="9">
        <v>0</v>
      </c>
      <c r="BV149" s="9">
        <v>0</v>
      </c>
      <c r="BW149" s="9">
        <v>0</v>
      </c>
      <c r="BX149" s="9">
        <v>0</v>
      </c>
      <c r="BY149" s="9">
        <v>0</v>
      </c>
      <c r="BZ149" s="9">
        <v>0</v>
      </c>
      <c r="CA149" s="9">
        <v>0</v>
      </c>
      <c r="CB149" s="9">
        <v>0</v>
      </c>
      <c r="CC149" s="9">
        <v>0</v>
      </c>
      <c r="CD149" s="9">
        <v>0</v>
      </c>
      <c r="CE149" s="9">
        <v>0</v>
      </c>
      <c r="CF149" s="9">
        <v>0</v>
      </c>
      <c r="CG149" s="9">
        <v>0</v>
      </c>
      <c r="CH149" s="9">
        <v>82618</v>
      </c>
      <c r="CI149" s="9">
        <v>0</v>
      </c>
      <c r="CJ149" s="9">
        <v>4</v>
      </c>
      <c r="CK149" s="9">
        <v>0</v>
      </c>
      <c r="CL149" s="9">
        <v>0</v>
      </c>
      <c r="CM149" s="9">
        <v>0</v>
      </c>
      <c r="CN149" s="9">
        <v>0</v>
      </c>
      <c r="CO149" s="9">
        <v>0</v>
      </c>
      <c r="CP149" s="9">
        <v>0</v>
      </c>
      <c r="CQ149" s="9">
        <v>0</v>
      </c>
      <c r="CR149" s="9">
        <v>416.86700000000002</v>
      </c>
      <c r="CS149" s="9">
        <v>0</v>
      </c>
      <c r="CT149" s="9">
        <v>0</v>
      </c>
      <c r="CU149" s="9">
        <v>0</v>
      </c>
      <c r="CV149" s="9">
        <v>0</v>
      </c>
      <c r="CW149" s="9">
        <v>0</v>
      </c>
      <c r="CX149" s="9">
        <v>0</v>
      </c>
      <c r="CY149" s="9">
        <v>0</v>
      </c>
      <c r="CZ149" s="9">
        <v>0</v>
      </c>
      <c r="DA149" s="9">
        <v>1</v>
      </c>
      <c r="DB149" s="9">
        <v>2528510</v>
      </c>
      <c r="DC149" s="9">
        <v>0</v>
      </c>
      <c r="DD149" s="9">
        <v>0</v>
      </c>
      <c r="DE149" s="9">
        <v>647066</v>
      </c>
      <c r="DF149" s="9">
        <v>647066</v>
      </c>
      <c r="DG149" s="9">
        <v>494.17</v>
      </c>
      <c r="DH149" s="9">
        <v>0</v>
      </c>
      <c r="DI149" s="9">
        <v>0</v>
      </c>
      <c r="DJ149" s="9">
        <v>0</v>
      </c>
      <c r="DK149" s="9">
        <v>5392</v>
      </c>
      <c r="DL149" s="9">
        <v>0</v>
      </c>
      <c r="DM149" s="9">
        <v>245006</v>
      </c>
      <c r="DN149" s="9">
        <v>0</v>
      </c>
      <c r="DO149" s="9">
        <v>0</v>
      </c>
      <c r="DP149" s="9">
        <v>0</v>
      </c>
      <c r="DQ149" s="9">
        <v>0</v>
      </c>
      <c r="DR149" s="9">
        <v>0</v>
      </c>
      <c r="DS149" s="9">
        <v>0</v>
      </c>
      <c r="DT149" s="9">
        <v>0</v>
      </c>
      <c r="DU149" s="9">
        <v>0</v>
      </c>
      <c r="DV149" s="9">
        <v>0</v>
      </c>
      <c r="DW149" s="9">
        <v>0</v>
      </c>
      <c r="DX149" s="9">
        <v>0</v>
      </c>
      <c r="DY149" s="9">
        <v>0</v>
      </c>
      <c r="DZ149" s="9">
        <v>0</v>
      </c>
      <c r="EA149" s="9">
        <v>0</v>
      </c>
      <c r="EB149" s="9">
        <v>0</v>
      </c>
      <c r="EC149" s="9">
        <v>14.716000000000001</v>
      </c>
      <c r="ED149" s="9">
        <v>105980</v>
      </c>
      <c r="EE149" s="9">
        <v>0</v>
      </c>
      <c r="EF149" s="9">
        <v>0</v>
      </c>
      <c r="EG149" s="9">
        <v>0</v>
      </c>
      <c r="EH149" s="9">
        <v>139026</v>
      </c>
      <c r="EI149" s="9">
        <v>0</v>
      </c>
      <c r="EJ149" s="9">
        <v>0</v>
      </c>
      <c r="EK149" s="9">
        <v>6.4050000000000002</v>
      </c>
      <c r="EL149" s="9">
        <v>0</v>
      </c>
      <c r="EM149" s="9">
        <v>0</v>
      </c>
      <c r="EN149" s="9">
        <v>0.40400000000000003</v>
      </c>
      <c r="EO149" s="9">
        <v>0</v>
      </c>
      <c r="EP149" s="9">
        <v>0</v>
      </c>
      <c r="EQ149" s="9">
        <v>6.8090000000000002</v>
      </c>
      <c r="ER149" s="9">
        <v>0</v>
      </c>
      <c r="ES149" s="9">
        <v>21.234999999999999</v>
      </c>
      <c r="ET149" s="9">
        <v>13334</v>
      </c>
      <c r="EU149" s="9">
        <v>215013</v>
      </c>
      <c r="EV149" s="9">
        <v>0</v>
      </c>
      <c r="EW149" s="9">
        <v>0</v>
      </c>
      <c r="EX149" s="9">
        <v>0</v>
      </c>
      <c r="EY149" s="9">
        <v>0</v>
      </c>
      <c r="EZ149" s="9">
        <v>3400545</v>
      </c>
      <c r="FA149" s="9">
        <v>0</v>
      </c>
      <c r="FB149" s="9">
        <v>3615558</v>
      </c>
      <c r="FC149" s="9">
        <v>0.97326799999999991</v>
      </c>
      <c r="FD149" s="9">
        <v>0</v>
      </c>
      <c r="FE149" s="9">
        <v>523780</v>
      </c>
      <c r="FF149" s="9">
        <v>111539</v>
      </c>
      <c r="FG149" s="9">
        <v>5.8088000000000001E-2</v>
      </c>
      <c r="FH149" s="9">
        <v>5.2622999999999996E-2</v>
      </c>
      <c r="FI149" s="9">
        <v>0</v>
      </c>
      <c r="FJ149" s="9">
        <v>0</v>
      </c>
      <c r="FK149" s="9">
        <v>663.40500000000009</v>
      </c>
      <c r="FL149" s="9">
        <v>4333495</v>
      </c>
      <c r="FM149" s="9">
        <v>0</v>
      </c>
      <c r="FN149" s="9">
        <v>0</v>
      </c>
      <c r="FO149" s="9">
        <v>136729</v>
      </c>
      <c r="FP149" s="9">
        <v>0</v>
      </c>
      <c r="FQ149" s="9">
        <v>136729</v>
      </c>
      <c r="FR149" s="9">
        <v>136729</v>
      </c>
      <c r="FS149" s="9">
        <v>0</v>
      </c>
      <c r="FT149" s="9">
        <v>0</v>
      </c>
      <c r="FU149" s="9">
        <v>0</v>
      </c>
      <c r="FV149" s="9">
        <v>0</v>
      </c>
      <c r="FW149" s="9">
        <v>0</v>
      </c>
      <c r="FX149" s="9">
        <v>0</v>
      </c>
      <c r="FY149" s="9">
        <v>0</v>
      </c>
      <c r="FZ149" s="9">
        <v>0</v>
      </c>
      <c r="GA149" s="9">
        <v>0</v>
      </c>
      <c r="GB149" s="9">
        <v>0</v>
      </c>
      <c r="GC149" s="9">
        <v>0</v>
      </c>
      <c r="GD149" s="9">
        <v>0</v>
      </c>
      <c r="GE149" s="9">
        <v>0</v>
      </c>
      <c r="GF149" s="9">
        <v>0</v>
      </c>
      <c r="GG149" s="9">
        <v>0</v>
      </c>
      <c r="GH149" s="9">
        <v>0</v>
      </c>
      <c r="GI149" s="9">
        <v>0</v>
      </c>
      <c r="GJ149" s="9">
        <v>0</v>
      </c>
      <c r="GK149" s="9">
        <v>5116</v>
      </c>
      <c r="GL149" s="9">
        <v>11276</v>
      </c>
      <c r="GM149" s="9">
        <v>0</v>
      </c>
      <c r="GN149" s="9">
        <v>43177</v>
      </c>
      <c r="GO149" s="9">
        <v>0</v>
      </c>
      <c r="GP149" s="9">
        <v>4250877</v>
      </c>
      <c r="GQ149" s="9">
        <v>4250877</v>
      </c>
      <c r="GR149" s="9">
        <v>0</v>
      </c>
      <c r="GS149" s="9">
        <v>0</v>
      </c>
      <c r="GT149" s="9">
        <v>0</v>
      </c>
      <c r="GU149" s="9">
        <v>0</v>
      </c>
      <c r="GV149" s="9">
        <v>0</v>
      </c>
      <c r="GW149" s="9">
        <v>0</v>
      </c>
      <c r="GX149" s="9">
        <v>0</v>
      </c>
      <c r="GY149" s="9">
        <v>0</v>
      </c>
      <c r="GZ149" s="9">
        <v>0</v>
      </c>
      <c r="HA149" s="9">
        <v>0</v>
      </c>
      <c r="HB149" s="9">
        <v>300501363</v>
      </c>
      <c r="HC149" s="9">
        <v>4.4742999999999998E-2</v>
      </c>
      <c r="HD149" s="9">
        <v>69284</v>
      </c>
      <c r="HE149" s="9">
        <v>0</v>
      </c>
      <c r="HF149" s="9">
        <v>0</v>
      </c>
      <c r="HG149" s="9">
        <v>0</v>
      </c>
      <c r="HH149" s="9">
        <v>0</v>
      </c>
      <c r="HI149" s="9">
        <v>0</v>
      </c>
      <c r="HJ149" s="9">
        <v>0</v>
      </c>
      <c r="HK149" s="9">
        <v>0</v>
      </c>
      <c r="HL149" s="9">
        <v>0</v>
      </c>
      <c r="HM149" s="9">
        <v>0</v>
      </c>
      <c r="HN149" s="9">
        <v>0</v>
      </c>
      <c r="HO149" s="9">
        <v>0</v>
      </c>
      <c r="HP149" s="9">
        <v>0</v>
      </c>
      <c r="HQ149" s="9">
        <v>0</v>
      </c>
      <c r="HR149" s="9">
        <v>0</v>
      </c>
      <c r="HS149" s="9">
        <v>0</v>
      </c>
      <c r="HT149" s="9">
        <v>0</v>
      </c>
      <c r="HU149" s="9">
        <v>0</v>
      </c>
      <c r="HV149" s="9">
        <v>0</v>
      </c>
      <c r="HW149" s="9">
        <v>0</v>
      </c>
      <c r="HX149" s="9">
        <v>0</v>
      </c>
      <c r="HY149" s="9">
        <v>0</v>
      </c>
      <c r="HZ149" s="9">
        <v>0</v>
      </c>
      <c r="IA149" s="9">
        <v>0</v>
      </c>
      <c r="IB149" s="9">
        <v>0</v>
      </c>
      <c r="IC149" s="9">
        <v>0</v>
      </c>
      <c r="ID149" s="9">
        <v>0</v>
      </c>
      <c r="IE149" s="9">
        <v>0</v>
      </c>
      <c r="IF149" s="9">
        <v>0</v>
      </c>
      <c r="IG149" s="9">
        <v>0</v>
      </c>
      <c r="IH149" s="9">
        <v>0</v>
      </c>
      <c r="II149" s="9">
        <v>0</v>
      </c>
      <c r="IJ149" s="9">
        <v>0</v>
      </c>
      <c r="IK149" s="9">
        <v>0</v>
      </c>
      <c r="IL149" s="9">
        <v>0</v>
      </c>
      <c r="IM149" s="9">
        <v>0</v>
      </c>
      <c r="IN149" s="9">
        <v>0</v>
      </c>
      <c r="IO149" s="9">
        <v>0</v>
      </c>
      <c r="IP149" s="9">
        <v>0</v>
      </c>
      <c r="IQ149" s="9">
        <v>0</v>
      </c>
      <c r="IR149" s="9">
        <v>0</v>
      </c>
      <c r="IS149" s="9">
        <v>0</v>
      </c>
      <c r="IT149" s="9">
        <v>0</v>
      </c>
      <c r="IU149" s="9">
        <v>0</v>
      </c>
      <c r="IV149" s="9">
        <v>0</v>
      </c>
      <c r="IW149" s="9">
        <v>0</v>
      </c>
      <c r="IX149" s="9">
        <v>0</v>
      </c>
      <c r="IY149" s="9">
        <v>0</v>
      </c>
      <c r="IZ149" s="9">
        <v>0</v>
      </c>
      <c r="JA149" s="9">
        <v>0</v>
      </c>
      <c r="JB149" s="9">
        <v>0</v>
      </c>
      <c r="JC149" s="9">
        <v>0</v>
      </c>
      <c r="JD149" s="9">
        <v>0</v>
      </c>
      <c r="JE149" s="9">
        <v>0</v>
      </c>
      <c r="JF149" s="9">
        <v>0</v>
      </c>
      <c r="JG149" s="9">
        <v>0</v>
      </c>
      <c r="JH149" s="9">
        <v>0</v>
      </c>
      <c r="JI149" s="9">
        <v>0</v>
      </c>
      <c r="JJ149" s="9">
        <v>0</v>
      </c>
      <c r="JK149" s="9">
        <v>0</v>
      </c>
      <c r="JL149" s="9">
        <v>0</v>
      </c>
      <c r="JM149" s="9">
        <v>0</v>
      </c>
      <c r="JN149" s="9">
        <v>36832</v>
      </c>
      <c r="JO149" s="9">
        <v>0</v>
      </c>
      <c r="JP149" s="9">
        <v>0</v>
      </c>
      <c r="JQ149" s="9">
        <v>0</v>
      </c>
      <c r="JR149" s="9">
        <v>0</v>
      </c>
      <c r="JS149" s="9">
        <v>0</v>
      </c>
      <c r="JT149" s="9">
        <v>0</v>
      </c>
      <c r="JU149" s="9">
        <v>0</v>
      </c>
      <c r="JV149" s="9">
        <v>0</v>
      </c>
      <c r="JW149" s="9">
        <v>0</v>
      </c>
      <c r="JX149" s="9">
        <v>0</v>
      </c>
      <c r="JY149" s="9">
        <v>0</v>
      </c>
      <c r="JZ149" s="9">
        <v>0</v>
      </c>
      <c r="KA149" s="9">
        <v>0</v>
      </c>
      <c r="KB149" s="9">
        <v>0</v>
      </c>
      <c r="KC149" s="9">
        <v>0</v>
      </c>
      <c r="KD149" s="9">
        <v>0</v>
      </c>
      <c r="KE149" s="9">
        <v>0</v>
      </c>
      <c r="KF149" s="9">
        <v>0</v>
      </c>
      <c r="KG149" s="9">
        <v>0</v>
      </c>
      <c r="KH149" s="9">
        <v>0</v>
      </c>
      <c r="KI149" s="9">
        <v>0</v>
      </c>
    </row>
    <row r="150" spans="1:295" ht="13" x14ac:dyDescent="0.3">
      <c r="A150" s="9">
        <v>170802</v>
      </c>
      <c r="B150" s="9">
        <v>0</v>
      </c>
      <c r="C150" s="9">
        <v>0</v>
      </c>
      <c r="D150" s="9">
        <v>0</v>
      </c>
      <c r="E150" s="9">
        <v>0</v>
      </c>
      <c r="F150" s="9">
        <v>0</v>
      </c>
      <c r="G150" s="9">
        <v>0</v>
      </c>
      <c r="H150" s="9">
        <v>0</v>
      </c>
      <c r="I150" s="9">
        <v>0</v>
      </c>
      <c r="J150" s="9">
        <v>0</v>
      </c>
      <c r="K150" s="9">
        <v>0</v>
      </c>
      <c r="L150" s="9">
        <v>0</v>
      </c>
      <c r="M150" s="9">
        <v>0</v>
      </c>
      <c r="N150" s="9">
        <v>0</v>
      </c>
      <c r="O150" s="9">
        <v>0</v>
      </c>
      <c r="P150" s="9">
        <v>0</v>
      </c>
      <c r="Q150" s="9">
        <v>0</v>
      </c>
      <c r="R150" s="10">
        <v>0</v>
      </c>
      <c r="S150" s="9">
        <v>0</v>
      </c>
      <c r="T150" s="9">
        <v>0</v>
      </c>
      <c r="U150" s="10">
        <v>0</v>
      </c>
      <c r="V150" s="10">
        <v>0</v>
      </c>
      <c r="W150" s="10">
        <v>0</v>
      </c>
      <c r="X150" s="10">
        <v>0</v>
      </c>
      <c r="Y150" s="9">
        <v>0</v>
      </c>
      <c r="Z150" s="9">
        <v>0</v>
      </c>
      <c r="AA150" s="9">
        <v>0</v>
      </c>
      <c r="AB150" s="9">
        <v>0</v>
      </c>
      <c r="AC150" s="9">
        <v>0</v>
      </c>
      <c r="AD150" s="9">
        <v>0</v>
      </c>
      <c r="AE150" s="9">
        <v>0</v>
      </c>
      <c r="AF150" s="9">
        <v>0</v>
      </c>
      <c r="AG150" s="9">
        <v>0</v>
      </c>
      <c r="AH150" s="9">
        <v>0</v>
      </c>
      <c r="AI150" s="9">
        <v>0</v>
      </c>
      <c r="AJ150" s="9">
        <v>0</v>
      </c>
      <c r="AK150" s="9">
        <v>0</v>
      </c>
      <c r="AL150" s="9">
        <v>0</v>
      </c>
      <c r="AM150" s="9">
        <v>0</v>
      </c>
      <c r="AN150" s="9">
        <v>0</v>
      </c>
      <c r="AO150" s="9">
        <v>0</v>
      </c>
      <c r="AP150" s="9">
        <v>0</v>
      </c>
      <c r="AQ150" s="9">
        <v>0</v>
      </c>
      <c r="AR150" s="9">
        <v>0</v>
      </c>
      <c r="AS150" s="9">
        <v>0</v>
      </c>
      <c r="AT150" s="9">
        <v>0</v>
      </c>
      <c r="AU150" s="9">
        <v>0</v>
      </c>
      <c r="AV150" s="9">
        <v>0</v>
      </c>
      <c r="AW150" s="9">
        <v>0</v>
      </c>
      <c r="AX150" s="9">
        <v>0</v>
      </c>
      <c r="AY150" s="9">
        <v>0</v>
      </c>
      <c r="AZ150" s="9">
        <v>0</v>
      </c>
      <c r="BA150" s="10">
        <v>0</v>
      </c>
      <c r="BB150" s="9">
        <v>0</v>
      </c>
      <c r="BC150" s="9">
        <v>0</v>
      </c>
      <c r="BD150" s="9">
        <v>0</v>
      </c>
      <c r="BE150" s="9">
        <v>0</v>
      </c>
      <c r="BF150" s="9">
        <v>0</v>
      </c>
      <c r="BG150" s="9">
        <v>0</v>
      </c>
      <c r="BH150" s="10">
        <v>0</v>
      </c>
      <c r="BI150" s="10">
        <v>0</v>
      </c>
      <c r="BJ150" s="9">
        <v>0</v>
      </c>
      <c r="BK150" s="9">
        <v>0</v>
      </c>
      <c r="BL150" s="9">
        <v>0</v>
      </c>
      <c r="BM150" s="9">
        <v>0</v>
      </c>
      <c r="BN150" s="9">
        <v>0</v>
      </c>
      <c r="BO150" s="9">
        <v>0</v>
      </c>
      <c r="BP150" s="9">
        <v>0</v>
      </c>
      <c r="BQ150" s="9">
        <v>0</v>
      </c>
      <c r="BR150" s="9">
        <v>0</v>
      </c>
      <c r="BS150" s="9">
        <v>0</v>
      </c>
      <c r="BT150" s="9">
        <v>0</v>
      </c>
      <c r="BU150" s="9">
        <v>0</v>
      </c>
      <c r="BV150" s="9">
        <v>0</v>
      </c>
      <c r="BW150" s="9">
        <v>0</v>
      </c>
      <c r="BX150" s="9">
        <v>0</v>
      </c>
      <c r="BY150" s="9">
        <v>0</v>
      </c>
      <c r="BZ150" s="9">
        <v>0</v>
      </c>
      <c r="CA150" s="9">
        <v>0</v>
      </c>
      <c r="CB150" s="9">
        <v>0</v>
      </c>
      <c r="CC150" s="9">
        <v>0</v>
      </c>
      <c r="CD150" s="9">
        <v>0</v>
      </c>
      <c r="CE150" s="9">
        <v>0</v>
      </c>
      <c r="CF150" s="9">
        <v>0</v>
      </c>
      <c r="CG150" s="9">
        <v>0</v>
      </c>
      <c r="CH150" s="10">
        <v>0</v>
      </c>
      <c r="CI150" s="9">
        <v>0</v>
      </c>
      <c r="CJ150" s="9">
        <v>0</v>
      </c>
      <c r="CK150" s="9">
        <v>0</v>
      </c>
      <c r="CL150" s="9">
        <v>0</v>
      </c>
      <c r="CM150" s="9">
        <v>0</v>
      </c>
      <c r="CN150" s="9">
        <v>0</v>
      </c>
      <c r="CO150" s="9">
        <v>0</v>
      </c>
      <c r="CP150" s="9">
        <v>0</v>
      </c>
      <c r="CQ150" s="9">
        <v>0</v>
      </c>
      <c r="CR150" s="9">
        <v>0</v>
      </c>
      <c r="CS150" s="9">
        <v>0</v>
      </c>
      <c r="CT150" s="9">
        <v>0</v>
      </c>
      <c r="CU150" s="9">
        <v>0</v>
      </c>
      <c r="CV150" s="9">
        <v>0</v>
      </c>
      <c r="CW150" s="9">
        <v>0</v>
      </c>
      <c r="CX150" s="9">
        <v>0</v>
      </c>
      <c r="CY150" s="9">
        <v>0</v>
      </c>
      <c r="CZ150" s="9">
        <v>0</v>
      </c>
      <c r="DA150" s="9">
        <v>0</v>
      </c>
      <c r="DB150" s="9">
        <v>0</v>
      </c>
      <c r="DC150" s="9">
        <v>0</v>
      </c>
      <c r="DD150" s="9">
        <v>0</v>
      </c>
      <c r="DE150" s="9">
        <v>0</v>
      </c>
      <c r="DF150" s="9">
        <v>0</v>
      </c>
      <c r="DG150" s="9">
        <v>0</v>
      </c>
      <c r="DH150" s="9">
        <v>0</v>
      </c>
      <c r="DI150" s="9">
        <v>0</v>
      </c>
      <c r="DJ150" s="9">
        <v>0</v>
      </c>
      <c r="DK150" s="9">
        <v>0</v>
      </c>
      <c r="DL150" s="9">
        <v>0</v>
      </c>
      <c r="DM150" s="9">
        <v>0</v>
      </c>
      <c r="DN150" s="9">
        <v>0</v>
      </c>
      <c r="DO150" s="9">
        <v>0</v>
      </c>
      <c r="DP150" s="9">
        <v>0</v>
      </c>
      <c r="DQ150" s="9">
        <v>0</v>
      </c>
      <c r="DR150" s="9">
        <v>0</v>
      </c>
      <c r="DS150" s="9">
        <v>0</v>
      </c>
      <c r="DT150" s="9">
        <v>0</v>
      </c>
      <c r="DU150" s="9">
        <v>0</v>
      </c>
      <c r="DV150" s="9">
        <v>0</v>
      </c>
      <c r="DW150" s="9">
        <v>0</v>
      </c>
      <c r="DX150" s="9">
        <v>0</v>
      </c>
      <c r="DY150" s="9">
        <v>0</v>
      </c>
      <c r="DZ150" s="9">
        <v>0</v>
      </c>
      <c r="EA150" s="9">
        <v>0</v>
      </c>
      <c r="EB150" s="9">
        <v>0</v>
      </c>
      <c r="EC150" s="9">
        <v>0</v>
      </c>
      <c r="ED150" s="9">
        <v>0</v>
      </c>
      <c r="EE150" s="9">
        <v>0</v>
      </c>
      <c r="EF150" s="9">
        <v>0</v>
      </c>
      <c r="EG150" s="9">
        <v>0</v>
      </c>
      <c r="EH150" s="9">
        <v>0</v>
      </c>
      <c r="EI150" s="9">
        <v>0</v>
      </c>
      <c r="EJ150" s="9">
        <v>0</v>
      </c>
      <c r="EK150" s="9">
        <v>0</v>
      </c>
      <c r="EL150" s="9">
        <v>0</v>
      </c>
      <c r="EM150" s="9">
        <v>0</v>
      </c>
      <c r="EN150" s="9">
        <v>0</v>
      </c>
      <c r="EO150" s="9">
        <v>0</v>
      </c>
      <c r="EP150" s="9">
        <v>0</v>
      </c>
      <c r="EQ150" s="9">
        <v>0</v>
      </c>
      <c r="ER150" s="9">
        <v>0</v>
      </c>
      <c r="ES150" s="9">
        <v>0</v>
      </c>
      <c r="ET150" s="10">
        <v>0</v>
      </c>
      <c r="EU150" s="9">
        <v>0</v>
      </c>
      <c r="EV150" s="9">
        <v>0</v>
      </c>
      <c r="EW150" s="9">
        <v>0</v>
      </c>
      <c r="EX150" s="9">
        <v>0</v>
      </c>
      <c r="EY150" s="9">
        <v>0</v>
      </c>
      <c r="EZ150" s="9">
        <v>0</v>
      </c>
      <c r="FA150" s="9">
        <v>0</v>
      </c>
      <c r="FB150" s="10">
        <v>0</v>
      </c>
      <c r="FC150" s="9">
        <v>0</v>
      </c>
      <c r="FD150" s="9">
        <v>0</v>
      </c>
      <c r="FE150" s="9">
        <v>0</v>
      </c>
      <c r="FF150" s="9">
        <v>0</v>
      </c>
      <c r="FG150" s="9">
        <v>0</v>
      </c>
      <c r="FH150" s="9">
        <v>0</v>
      </c>
      <c r="FI150" s="9">
        <v>0</v>
      </c>
      <c r="FJ150" s="9">
        <v>0</v>
      </c>
      <c r="FK150" s="9">
        <v>0</v>
      </c>
      <c r="FL150" s="9">
        <v>0</v>
      </c>
      <c r="FM150" s="9">
        <v>0</v>
      </c>
      <c r="FN150" s="9">
        <v>0</v>
      </c>
      <c r="FO150" s="9">
        <v>0</v>
      </c>
      <c r="FP150" s="9">
        <v>0</v>
      </c>
      <c r="FQ150" s="9">
        <v>0</v>
      </c>
      <c r="FR150" s="9">
        <v>0</v>
      </c>
      <c r="FS150" s="9">
        <v>0</v>
      </c>
      <c r="FT150" s="9">
        <v>0</v>
      </c>
      <c r="FU150" s="9">
        <v>0</v>
      </c>
      <c r="FV150" s="9">
        <v>0</v>
      </c>
      <c r="FW150" s="9">
        <v>0</v>
      </c>
      <c r="FX150" s="9">
        <v>0</v>
      </c>
      <c r="FY150" s="9">
        <v>0</v>
      </c>
      <c r="FZ150" s="9">
        <v>0</v>
      </c>
      <c r="GA150" s="9">
        <v>0</v>
      </c>
      <c r="GB150" s="10">
        <v>0</v>
      </c>
      <c r="GC150" s="10">
        <v>0</v>
      </c>
      <c r="GD150" s="10">
        <v>0</v>
      </c>
      <c r="GE150" s="9">
        <v>0</v>
      </c>
      <c r="GF150" s="9">
        <v>0</v>
      </c>
      <c r="GG150" s="9">
        <v>0</v>
      </c>
      <c r="GH150" s="9">
        <v>0</v>
      </c>
      <c r="GI150" s="9">
        <v>0</v>
      </c>
      <c r="GJ150" s="9">
        <v>0</v>
      </c>
      <c r="GK150" s="9">
        <v>0</v>
      </c>
      <c r="GL150" s="9">
        <v>0</v>
      </c>
      <c r="GM150" s="9">
        <v>0</v>
      </c>
      <c r="GN150" s="9">
        <v>0</v>
      </c>
      <c r="GO150" s="9">
        <v>0</v>
      </c>
      <c r="GP150" s="9">
        <v>0</v>
      </c>
      <c r="GQ150" s="9">
        <v>0</v>
      </c>
      <c r="GR150" s="9">
        <v>0</v>
      </c>
      <c r="GS150" s="9">
        <v>0</v>
      </c>
      <c r="GT150" s="9">
        <v>0</v>
      </c>
      <c r="GU150" s="9">
        <v>0</v>
      </c>
      <c r="GV150" s="9">
        <v>0</v>
      </c>
      <c r="GW150" s="9">
        <v>0</v>
      </c>
      <c r="GX150" s="9">
        <v>0</v>
      </c>
      <c r="GY150" s="9">
        <v>0</v>
      </c>
      <c r="GZ150" s="9">
        <v>0</v>
      </c>
      <c r="HA150" s="9">
        <v>0</v>
      </c>
      <c r="HB150" s="9">
        <v>0</v>
      </c>
      <c r="HC150" s="9">
        <v>0</v>
      </c>
      <c r="HD150" s="10">
        <v>0</v>
      </c>
      <c r="HE150" s="9">
        <v>0</v>
      </c>
      <c r="HF150" s="9">
        <v>0</v>
      </c>
      <c r="HG150" s="9">
        <v>0</v>
      </c>
      <c r="HH150" s="9">
        <v>0</v>
      </c>
      <c r="HI150" s="9">
        <v>0</v>
      </c>
      <c r="HJ150" s="9">
        <v>0</v>
      </c>
      <c r="HK150" s="9">
        <v>0</v>
      </c>
      <c r="HL150" s="9">
        <v>0</v>
      </c>
      <c r="HM150" s="9">
        <v>0</v>
      </c>
      <c r="HN150" s="9">
        <v>0</v>
      </c>
      <c r="HO150" s="9">
        <v>0</v>
      </c>
      <c r="HP150" s="9">
        <v>0</v>
      </c>
      <c r="HQ150" s="9">
        <v>0</v>
      </c>
      <c r="HR150" s="9">
        <v>0</v>
      </c>
      <c r="HS150" s="9">
        <v>0</v>
      </c>
      <c r="HT150" s="9">
        <v>0</v>
      </c>
      <c r="HU150" s="9">
        <v>0</v>
      </c>
      <c r="HV150" s="9">
        <v>0</v>
      </c>
      <c r="HW150" s="9">
        <v>0</v>
      </c>
      <c r="HX150" s="9">
        <v>0</v>
      </c>
      <c r="HY150" s="9">
        <v>0</v>
      </c>
      <c r="HZ150" s="9">
        <v>0</v>
      </c>
      <c r="IA150" s="9">
        <v>0</v>
      </c>
      <c r="IB150" s="9">
        <v>0</v>
      </c>
      <c r="IC150" s="9">
        <v>0</v>
      </c>
      <c r="ID150" s="9">
        <v>0</v>
      </c>
      <c r="IE150" s="9">
        <v>0</v>
      </c>
      <c r="IF150" s="9">
        <v>0</v>
      </c>
      <c r="IG150" s="9">
        <v>0</v>
      </c>
      <c r="IH150" s="9">
        <v>0</v>
      </c>
      <c r="II150" s="9">
        <v>0</v>
      </c>
      <c r="IJ150" s="9">
        <v>0</v>
      </c>
      <c r="IK150" s="9">
        <v>0</v>
      </c>
      <c r="IL150" s="9">
        <v>0</v>
      </c>
      <c r="IM150" s="9">
        <v>0</v>
      </c>
      <c r="IN150" s="9">
        <v>0</v>
      </c>
      <c r="IO150" s="9">
        <v>0</v>
      </c>
      <c r="IP150" s="9">
        <v>0</v>
      </c>
      <c r="IQ150" s="9">
        <v>0</v>
      </c>
      <c r="IR150" s="9">
        <v>0</v>
      </c>
      <c r="IS150" s="9">
        <v>0</v>
      </c>
      <c r="IT150" s="9">
        <v>0</v>
      </c>
      <c r="IU150" s="9">
        <v>0</v>
      </c>
      <c r="IV150" s="9">
        <v>0</v>
      </c>
      <c r="IW150" s="9">
        <v>0</v>
      </c>
      <c r="IX150" s="9">
        <v>0</v>
      </c>
      <c r="IY150" s="9">
        <v>0</v>
      </c>
      <c r="IZ150" s="9">
        <v>0</v>
      </c>
      <c r="JA150" s="9">
        <v>0</v>
      </c>
      <c r="JB150" s="9">
        <v>0</v>
      </c>
      <c r="JC150" s="9">
        <v>0</v>
      </c>
      <c r="JD150" s="9">
        <v>0</v>
      </c>
      <c r="JE150" s="9">
        <v>0</v>
      </c>
      <c r="JF150" s="9">
        <v>0</v>
      </c>
      <c r="JG150" s="9">
        <v>0</v>
      </c>
      <c r="JH150" s="9">
        <v>0</v>
      </c>
      <c r="JI150" s="9">
        <v>0</v>
      </c>
      <c r="JJ150" s="9">
        <v>0</v>
      </c>
      <c r="JK150" s="9">
        <v>0</v>
      </c>
      <c r="JL150" s="9">
        <v>0</v>
      </c>
      <c r="JM150" s="9">
        <v>0</v>
      </c>
      <c r="JN150" s="9">
        <v>0</v>
      </c>
      <c r="JO150" s="9">
        <v>0</v>
      </c>
      <c r="JP150" s="9">
        <v>0</v>
      </c>
      <c r="JQ150" s="9">
        <v>0</v>
      </c>
      <c r="JR150" s="9">
        <v>0</v>
      </c>
      <c r="JS150" s="9">
        <v>0</v>
      </c>
      <c r="JT150" s="9">
        <v>0</v>
      </c>
      <c r="JU150" s="9">
        <v>0</v>
      </c>
      <c r="JV150" s="9">
        <v>0</v>
      </c>
      <c r="JW150" s="9">
        <v>0</v>
      </c>
      <c r="JX150" s="9">
        <v>0</v>
      </c>
      <c r="JY150" s="9">
        <v>0</v>
      </c>
      <c r="JZ150" s="9">
        <v>0</v>
      </c>
      <c r="KA150" s="9">
        <v>0</v>
      </c>
      <c r="KB150" s="9">
        <v>0</v>
      </c>
      <c r="KC150" s="9">
        <v>0</v>
      </c>
      <c r="KD150" s="9">
        <v>0</v>
      </c>
      <c r="KE150" s="9">
        <v>0</v>
      </c>
      <c r="KF150" s="9">
        <v>0</v>
      </c>
      <c r="KG150" s="9">
        <v>0</v>
      </c>
      <c r="KH150" s="9">
        <v>0</v>
      </c>
      <c r="KI150" s="9">
        <v>0</v>
      </c>
    </row>
    <row r="151" spans="1:295" x14ac:dyDescent="0.25">
      <c r="A151" s="9">
        <v>174801</v>
      </c>
      <c r="B151" s="9">
        <v>36871</v>
      </c>
      <c r="C151" s="9">
        <v>35</v>
      </c>
      <c r="D151" s="9">
        <v>2023</v>
      </c>
      <c r="E151" s="9">
        <v>5392</v>
      </c>
      <c r="F151" s="9">
        <v>0</v>
      </c>
      <c r="G151" s="9">
        <v>0</v>
      </c>
      <c r="H151" s="9">
        <v>248.14000000000001</v>
      </c>
      <c r="I151" s="9">
        <v>248.14000000000001</v>
      </c>
      <c r="J151" s="9">
        <v>250.74200000000002</v>
      </c>
      <c r="K151" s="9">
        <v>0</v>
      </c>
      <c r="L151" s="9">
        <v>6547</v>
      </c>
      <c r="M151" s="9">
        <v>0</v>
      </c>
      <c r="N151" s="9">
        <v>0</v>
      </c>
      <c r="O151" s="9">
        <v>0</v>
      </c>
      <c r="P151" s="9">
        <v>248.584</v>
      </c>
      <c r="Q151" s="9">
        <v>0</v>
      </c>
      <c r="R151" s="9">
        <v>121041</v>
      </c>
      <c r="S151" s="9">
        <v>486.92200000000003</v>
      </c>
      <c r="T151" s="9">
        <v>0</v>
      </c>
      <c r="U151" s="9">
        <v>121041</v>
      </c>
      <c r="V151" s="9">
        <v>8.7799999999999994</v>
      </c>
      <c r="W151" s="9">
        <v>5748</v>
      </c>
      <c r="X151" s="9">
        <v>5748</v>
      </c>
      <c r="Y151" s="9">
        <v>0</v>
      </c>
      <c r="Z151" s="9">
        <v>0</v>
      </c>
      <c r="AA151" s="9">
        <v>1</v>
      </c>
      <c r="AB151" s="9">
        <v>1</v>
      </c>
      <c r="AC151" s="9">
        <v>0</v>
      </c>
      <c r="AD151" s="9" t="s">
        <v>314</v>
      </c>
      <c r="AE151" s="9">
        <v>0</v>
      </c>
      <c r="AF151" s="9">
        <v>0</v>
      </c>
      <c r="AG151" s="9">
        <v>0</v>
      </c>
      <c r="AH151" s="9">
        <v>0</v>
      </c>
      <c r="AI151" s="9">
        <v>0</v>
      </c>
      <c r="AJ151" s="9">
        <v>5104</v>
      </c>
      <c r="AK151" s="9" t="s">
        <v>651</v>
      </c>
      <c r="AL151" s="9" t="s">
        <v>359</v>
      </c>
      <c r="AM151" s="9">
        <v>0</v>
      </c>
      <c r="AN151" s="9">
        <v>0</v>
      </c>
      <c r="AO151" s="9">
        <v>0</v>
      </c>
      <c r="AP151" s="9">
        <v>0</v>
      </c>
      <c r="AQ151" s="9">
        <v>0</v>
      </c>
      <c r="AR151" s="9">
        <v>0</v>
      </c>
      <c r="AS151" s="9">
        <v>0</v>
      </c>
      <c r="AT151" s="9">
        <v>0</v>
      </c>
      <c r="AU151" s="9">
        <v>0</v>
      </c>
      <c r="AV151" s="9">
        <v>-43</v>
      </c>
      <c r="AW151" s="9">
        <v>1975615</v>
      </c>
      <c r="AX151" s="9">
        <v>1931412</v>
      </c>
      <c r="AY151" s="9">
        <v>2099551</v>
      </c>
      <c r="AZ151" s="9">
        <v>121041</v>
      </c>
      <c r="BA151" s="9">
        <v>0</v>
      </c>
      <c r="BB151" s="9">
        <v>0</v>
      </c>
      <c r="BC151" s="9">
        <v>0</v>
      </c>
      <c r="BD151" s="9">
        <v>0</v>
      </c>
      <c r="BE151" s="9">
        <v>0</v>
      </c>
      <c r="BF151" s="9">
        <v>1689114</v>
      </c>
      <c r="BG151" s="9">
        <v>0</v>
      </c>
      <c r="BH151" s="9">
        <v>0</v>
      </c>
      <c r="BI151" s="9">
        <v>0</v>
      </c>
      <c r="BJ151" s="9">
        <v>12</v>
      </c>
      <c r="BK151" s="9">
        <v>0</v>
      </c>
      <c r="BL151" s="9">
        <v>0</v>
      </c>
      <c r="BM151" s="9">
        <v>0</v>
      </c>
      <c r="BN151" s="9">
        <v>0</v>
      </c>
      <c r="BO151" s="9">
        <v>0</v>
      </c>
      <c r="BP151" s="9">
        <v>0</v>
      </c>
      <c r="BQ151" s="9">
        <v>5392</v>
      </c>
      <c r="BR151" s="9">
        <v>1</v>
      </c>
      <c r="BS151" s="9">
        <v>0</v>
      </c>
      <c r="BT151" s="9">
        <v>0</v>
      </c>
      <c r="BU151" s="9">
        <v>0</v>
      </c>
      <c r="BV151" s="9">
        <v>0</v>
      </c>
      <c r="BW151" s="9">
        <v>0</v>
      </c>
      <c r="BX151" s="9">
        <v>0</v>
      </c>
      <c r="BY151" s="9">
        <v>0</v>
      </c>
      <c r="BZ151" s="9">
        <v>0</v>
      </c>
      <c r="CA151" s="9">
        <v>0</v>
      </c>
      <c r="CB151" s="9">
        <v>0</v>
      </c>
      <c r="CC151" s="9">
        <v>0</v>
      </c>
      <c r="CD151" s="9">
        <v>0</v>
      </c>
      <c r="CE151" s="9">
        <v>0</v>
      </c>
      <c r="CF151" s="9">
        <v>0</v>
      </c>
      <c r="CG151" s="9">
        <v>0</v>
      </c>
      <c r="CH151" s="9">
        <v>44203</v>
      </c>
      <c r="CI151" s="9">
        <v>0</v>
      </c>
      <c r="CJ151" s="9">
        <v>4</v>
      </c>
      <c r="CK151" s="9">
        <v>0</v>
      </c>
      <c r="CL151" s="9">
        <v>0</v>
      </c>
      <c r="CM151" s="9">
        <v>0</v>
      </c>
      <c r="CN151" s="9">
        <v>0</v>
      </c>
      <c r="CO151" s="9">
        <v>0</v>
      </c>
      <c r="CP151" s="9">
        <v>0</v>
      </c>
      <c r="CQ151" s="9">
        <v>0</v>
      </c>
      <c r="CR151" s="9">
        <v>248.584</v>
      </c>
      <c r="CS151" s="9">
        <v>0</v>
      </c>
      <c r="CT151" s="9">
        <v>0</v>
      </c>
      <c r="CU151" s="9">
        <v>0</v>
      </c>
      <c r="CV151" s="9">
        <v>0</v>
      </c>
      <c r="CW151" s="9">
        <v>0</v>
      </c>
      <c r="CX151" s="9">
        <v>0</v>
      </c>
      <c r="CY151" s="9">
        <v>0</v>
      </c>
      <c r="CZ151" s="9">
        <v>0</v>
      </c>
      <c r="DA151" s="9">
        <v>1</v>
      </c>
      <c r="DB151" s="9">
        <v>1624573</v>
      </c>
      <c r="DC151" s="9">
        <v>0</v>
      </c>
      <c r="DD151" s="9">
        <v>0</v>
      </c>
      <c r="DE151" s="9">
        <v>27065</v>
      </c>
      <c r="DF151" s="9">
        <v>27065</v>
      </c>
      <c r="DG151" s="9">
        <v>20.67</v>
      </c>
      <c r="DH151" s="9">
        <v>0</v>
      </c>
      <c r="DI151" s="9">
        <v>0</v>
      </c>
      <c r="DJ151" s="9">
        <v>0</v>
      </c>
      <c r="DK151" s="9">
        <v>5392</v>
      </c>
      <c r="DL151" s="9">
        <v>0</v>
      </c>
      <c r="DM151" s="9">
        <v>78122</v>
      </c>
      <c r="DN151" s="9">
        <v>0</v>
      </c>
      <c r="DO151" s="9">
        <v>0</v>
      </c>
      <c r="DP151" s="9">
        <v>0</v>
      </c>
      <c r="DQ151" s="9">
        <v>0</v>
      </c>
      <c r="DR151" s="9">
        <v>0</v>
      </c>
      <c r="DS151" s="9">
        <v>0</v>
      </c>
      <c r="DT151" s="9">
        <v>0</v>
      </c>
      <c r="DU151" s="9">
        <v>0</v>
      </c>
      <c r="DV151" s="9">
        <v>0</v>
      </c>
      <c r="DW151" s="9">
        <v>0</v>
      </c>
      <c r="DX151" s="9">
        <v>0</v>
      </c>
      <c r="DY151" s="9">
        <v>0</v>
      </c>
      <c r="DZ151" s="9">
        <v>0</v>
      </c>
      <c r="EA151" s="9">
        <v>0</v>
      </c>
      <c r="EB151" s="9">
        <v>0</v>
      </c>
      <c r="EC151" s="9">
        <v>2.9860000000000002</v>
      </c>
      <c r="ED151" s="9">
        <v>21504</v>
      </c>
      <c r="EE151" s="9">
        <v>0</v>
      </c>
      <c r="EF151" s="9">
        <v>0</v>
      </c>
      <c r="EG151" s="9">
        <v>0</v>
      </c>
      <c r="EH151" s="9">
        <v>56618</v>
      </c>
      <c r="EI151" s="9">
        <v>0</v>
      </c>
      <c r="EJ151" s="9">
        <v>0</v>
      </c>
      <c r="EK151" s="9">
        <v>2.181</v>
      </c>
      <c r="EL151" s="9">
        <v>0</v>
      </c>
      <c r="EM151" s="9">
        <v>0</v>
      </c>
      <c r="EN151" s="9">
        <v>0.42100000000000004</v>
      </c>
      <c r="EO151" s="9">
        <v>0</v>
      </c>
      <c r="EP151" s="9">
        <v>0</v>
      </c>
      <c r="EQ151" s="9">
        <v>2.6020000000000003</v>
      </c>
      <c r="ER151" s="9">
        <v>0</v>
      </c>
      <c r="ES151" s="9">
        <v>8.6479999999999997</v>
      </c>
      <c r="ET151" s="9">
        <v>0</v>
      </c>
      <c r="EU151" s="9">
        <v>121041</v>
      </c>
      <c r="EV151" s="9">
        <v>0</v>
      </c>
      <c r="EW151" s="9">
        <v>0</v>
      </c>
      <c r="EX151" s="9">
        <v>0</v>
      </c>
      <c r="EY151" s="9">
        <v>0</v>
      </c>
      <c r="EZ151" s="9">
        <v>1614467</v>
      </c>
      <c r="FA151" s="9">
        <v>0</v>
      </c>
      <c r="FB151" s="9">
        <v>1735508</v>
      </c>
      <c r="FC151" s="9">
        <v>0.97326799999999991</v>
      </c>
      <c r="FD151" s="9">
        <v>0</v>
      </c>
      <c r="FE151" s="9">
        <v>261301</v>
      </c>
      <c r="FF151" s="9">
        <v>55644</v>
      </c>
      <c r="FG151" s="9">
        <v>5.8088000000000001E-2</v>
      </c>
      <c r="FH151" s="9">
        <v>5.2622999999999996E-2</v>
      </c>
      <c r="FI151" s="9">
        <v>0</v>
      </c>
      <c r="FJ151" s="9">
        <v>0</v>
      </c>
      <c r="FK151" s="9">
        <v>330.95699999999999</v>
      </c>
      <c r="FL151" s="9">
        <v>2096656</v>
      </c>
      <c r="FM151" s="9">
        <v>0</v>
      </c>
      <c r="FN151" s="9">
        <v>0</v>
      </c>
      <c r="FO151" s="9">
        <v>0</v>
      </c>
      <c r="FP151" s="9">
        <v>0</v>
      </c>
      <c r="FQ151" s="9">
        <v>0</v>
      </c>
      <c r="FR151" s="9">
        <v>0</v>
      </c>
      <c r="FS151" s="9">
        <v>0</v>
      </c>
      <c r="FT151" s="9">
        <v>0</v>
      </c>
      <c r="FU151" s="9">
        <v>0</v>
      </c>
      <c r="FV151" s="9">
        <v>0</v>
      </c>
      <c r="FW151" s="9">
        <v>0</v>
      </c>
      <c r="FX151" s="9">
        <v>0</v>
      </c>
      <c r="FY151" s="9">
        <v>0</v>
      </c>
      <c r="FZ151" s="9">
        <v>0</v>
      </c>
      <c r="GA151" s="9">
        <v>0</v>
      </c>
      <c r="GB151" s="9">
        <v>0</v>
      </c>
      <c r="GC151" s="9">
        <v>0</v>
      </c>
      <c r="GD151" s="9">
        <v>0</v>
      </c>
      <c r="GE151" s="9">
        <v>0</v>
      </c>
      <c r="GF151" s="9">
        <v>0</v>
      </c>
      <c r="GG151" s="9">
        <v>0</v>
      </c>
      <c r="GH151" s="9">
        <v>0</v>
      </c>
      <c r="GI151" s="9">
        <v>0</v>
      </c>
      <c r="GJ151" s="9">
        <v>0</v>
      </c>
      <c r="GK151" s="9">
        <v>4971</v>
      </c>
      <c r="GL151" s="9">
        <v>4602</v>
      </c>
      <c r="GM151" s="9">
        <v>0</v>
      </c>
      <c r="GN151" s="9">
        <v>0</v>
      </c>
      <c r="GO151" s="9">
        <v>0</v>
      </c>
      <c r="GP151" s="9">
        <v>2052453</v>
      </c>
      <c r="GQ151" s="9">
        <v>2052453</v>
      </c>
      <c r="GR151" s="9">
        <v>0</v>
      </c>
      <c r="GS151" s="9">
        <v>0</v>
      </c>
      <c r="GT151" s="9">
        <v>0</v>
      </c>
      <c r="GU151" s="9">
        <v>0</v>
      </c>
      <c r="GV151" s="9">
        <v>0</v>
      </c>
      <c r="GW151" s="9">
        <v>0</v>
      </c>
      <c r="GX151" s="9">
        <v>0</v>
      </c>
      <c r="GY151" s="9">
        <v>0</v>
      </c>
      <c r="GZ151" s="9">
        <v>0</v>
      </c>
      <c r="HA151" s="9">
        <v>0</v>
      </c>
      <c r="HB151" s="9">
        <v>300501363</v>
      </c>
      <c r="HC151" s="9">
        <v>4.4742999999999998E-2</v>
      </c>
      <c r="HD151" s="9">
        <v>44203</v>
      </c>
      <c r="HE151" s="9">
        <v>0</v>
      </c>
      <c r="HF151" s="9">
        <v>0</v>
      </c>
      <c r="HG151" s="9">
        <v>0</v>
      </c>
      <c r="HH151" s="9">
        <v>0</v>
      </c>
      <c r="HI151" s="9">
        <v>0</v>
      </c>
      <c r="HJ151" s="9">
        <v>0</v>
      </c>
      <c r="HK151" s="9">
        <v>0</v>
      </c>
      <c r="HL151" s="9">
        <v>0</v>
      </c>
      <c r="HM151" s="9">
        <v>0</v>
      </c>
      <c r="HN151" s="9">
        <v>0</v>
      </c>
      <c r="HO151" s="9">
        <v>0</v>
      </c>
      <c r="HP151" s="9">
        <v>0</v>
      </c>
      <c r="HQ151" s="9">
        <v>0</v>
      </c>
      <c r="HR151" s="9">
        <v>0</v>
      </c>
      <c r="HS151" s="9">
        <v>0</v>
      </c>
      <c r="HT151" s="9">
        <v>0</v>
      </c>
      <c r="HU151" s="9">
        <v>0</v>
      </c>
      <c r="HV151" s="9">
        <v>0</v>
      </c>
      <c r="HW151" s="9">
        <v>0</v>
      </c>
      <c r="HX151" s="9">
        <v>0</v>
      </c>
      <c r="HY151" s="9">
        <v>0</v>
      </c>
      <c r="HZ151" s="9">
        <v>0</v>
      </c>
      <c r="IA151" s="9">
        <v>0</v>
      </c>
      <c r="IB151" s="9">
        <v>0</v>
      </c>
      <c r="IC151" s="9">
        <v>0</v>
      </c>
      <c r="ID151" s="9">
        <v>0</v>
      </c>
      <c r="IE151" s="9">
        <v>0</v>
      </c>
      <c r="IF151" s="9">
        <v>0</v>
      </c>
      <c r="IG151" s="9">
        <v>0</v>
      </c>
      <c r="IH151" s="9">
        <v>0</v>
      </c>
      <c r="II151" s="9">
        <v>0</v>
      </c>
      <c r="IJ151" s="9">
        <v>0</v>
      </c>
      <c r="IK151" s="9">
        <v>0</v>
      </c>
      <c r="IL151" s="9">
        <v>0</v>
      </c>
      <c r="IM151" s="9">
        <v>0</v>
      </c>
      <c r="IN151" s="9">
        <v>0</v>
      </c>
      <c r="IO151" s="9">
        <v>0</v>
      </c>
      <c r="IP151" s="9">
        <v>0</v>
      </c>
      <c r="IQ151" s="9">
        <v>0</v>
      </c>
      <c r="IR151" s="9">
        <v>0</v>
      </c>
      <c r="IS151" s="9">
        <v>0</v>
      </c>
      <c r="IT151" s="9">
        <v>0</v>
      </c>
      <c r="IU151" s="9">
        <v>0</v>
      </c>
      <c r="IV151" s="9">
        <v>0</v>
      </c>
      <c r="IW151" s="9">
        <v>0</v>
      </c>
      <c r="IX151" s="9">
        <v>0</v>
      </c>
      <c r="IY151" s="9">
        <v>0</v>
      </c>
      <c r="IZ151" s="9">
        <v>0</v>
      </c>
      <c r="JA151" s="9">
        <v>0</v>
      </c>
      <c r="JB151" s="9">
        <v>0</v>
      </c>
      <c r="JC151" s="9">
        <v>0</v>
      </c>
      <c r="JD151" s="9">
        <v>0</v>
      </c>
      <c r="JE151" s="9">
        <v>0</v>
      </c>
      <c r="JF151" s="9">
        <v>0</v>
      </c>
      <c r="JG151" s="9">
        <v>0</v>
      </c>
      <c r="JH151" s="9">
        <v>0</v>
      </c>
      <c r="JI151" s="9">
        <v>0</v>
      </c>
      <c r="JJ151" s="9">
        <v>0</v>
      </c>
      <c r="JK151" s="9">
        <v>0</v>
      </c>
      <c r="JL151" s="9">
        <v>0</v>
      </c>
      <c r="JM151" s="9">
        <v>0</v>
      </c>
      <c r="JN151" s="9">
        <v>36832</v>
      </c>
      <c r="JO151" s="9">
        <v>0</v>
      </c>
      <c r="JP151" s="9">
        <v>0</v>
      </c>
      <c r="JQ151" s="9">
        <v>0</v>
      </c>
      <c r="JR151" s="9">
        <v>0</v>
      </c>
      <c r="JS151" s="9">
        <v>0</v>
      </c>
      <c r="JT151" s="9">
        <v>0</v>
      </c>
      <c r="JU151" s="9">
        <v>0</v>
      </c>
      <c r="JV151" s="9">
        <v>0</v>
      </c>
      <c r="JW151" s="9">
        <v>0</v>
      </c>
      <c r="JX151" s="9">
        <v>0</v>
      </c>
      <c r="JY151" s="9">
        <v>0</v>
      </c>
      <c r="JZ151" s="9">
        <v>0</v>
      </c>
      <c r="KA151" s="9">
        <v>0</v>
      </c>
      <c r="KB151" s="9">
        <v>0</v>
      </c>
      <c r="KC151" s="9">
        <v>0</v>
      </c>
      <c r="KD151" s="9">
        <v>0</v>
      </c>
      <c r="KE151" s="9">
        <v>0</v>
      </c>
      <c r="KF151" s="9">
        <v>0</v>
      </c>
      <c r="KG151" s="9">
        <v>0</v>
      </c>
      <c r="KH151" s="9">
        <v>0</v>
      </c>
      <c r="KI151" s="9">
        <v>0</v>
      </c>
    </row>
    <row r="152" spans="1:295" x14ac:dyDescent="0.25">
      <c r="A152" s="9">
        <v>178801</v>
      </c>
      <c r="B152" s="9">
        <v>36871</v>
      </c>
      <c r="C152" s="9">
        <v>35</v>
      </c>
      <c r="D152" s="9">
        <v>2023</v>
      </c>
      <c r="E152" s="9">
        <v>5392</v>
      </c>
      <c r="F152" s="9">
        <v>0</v>
      </c>
      <c r="G152" s="9">
        <v>0</v>
      </c>
      <c r="H152" s="9">
        <v>196.77500000000001</v>
      </c>
      <c r="I152" s="9">
        <v>196.77500000000001</v>
      </c>
      <c r="J152" s="9">
        <v>197.006</v>
      </c>
      <c r="K152" s="9">
        <v>0</v>
      </c>
      <c r="L152" s="9">
        <v>6547</v>
      </c>
      <c r="M152" s="9">
        <v>0</v>
      </c>
      <c r="N152" s="9">
        <v>0</v>
      </c>
      <c r="O152" s="9">
        <v>0</v>
      </c>
      <c r="P152" s="9">
        <v>202.04</v>
      </c>
      <c r="Q152" s="9">
        <v>0</v>
      </c>
      <c r="R152" s="9">
        <v>98378</v>
      </c>
      <c r="S152" s="9">
        <v>486.92200000000003</v>
      </c>
      <c r="T152" s="9">
        <v>0</v>
      </c>
      <c r="U152" s="9">
        <v>98378</v>
      </c>
      <c r="V152" s="9">
        <v>29.957000000000001</v>
      </c>
      <c r="W152" s="9">
        <v>19613</v>
      </c>
      <c r="X152" s="9">
        <v>19613</v>
      </c>
      <c r="Y152" s="9">
        <v>0</v>
      </c>
      <c r="Z152" s="9">
        <v>0</v>
      </c>
      <c r="AA152" s="9">
        <v>1</v>
      </c>
      <c r="AB152" s="9">
        <v>1</v>
      </c>
      <c r="AC152" s="9">
        <v>0</v>
      </c>
      <c r="AD152" s="9" t="s">
        <v>314</v>
      </c>
      <c r="AE152" s="9">
        <v>0</v>
      </c>
      <c r="AF152" s="9">
        <v>0</v>
      </c>
      <c r="AG152" s="9">
        <v>0</v>
      </c>
      <c r="AH152" s="9">
        <v>0</v>
      </c>
      <c r="AI152" s="9">
        <v>0</v>
      </c>
      <c r="AJ152" s="9">
        <v>5104</v>
      </c>
      <c r="AK152" s="9" t="s">
        <v>651</v>
      </c>
      <c r="AL152" s="9" t="s">
        <v>93</v>
      </c>
      <c r="AM152" s="9">
        <v>0</v>
      </c>
      <c r="AN152" s="9">
        <v>0</v>
      </c>
      <c r="AO152" s="9">
        <v>0</v>
      </c>
      <c r="AP152" s="9">
        <v>0</v>
      </c>
      <c r="AQ152" s="9">
        <v>0</v>
      </c>
      <c r="AR152" s="9">
        <v>0</v>
      </c>
      <c r="AS152" s="9">
        <v>0</v>
      </c>
      <c r="AT152" s="9">
        <v>0</v>
      </c>
      <c r="AU152" s="9">
        <v>0</v>
      </c>
      <c r="AV152" s="9">
        <v>-59561</v>
      </c>
      <c r="AW152" s="9">
        <v>1950571</v>
      </c>
      <c r="AX152" s="9">
        <v>1909133</v>
      </c>
      <c r="AY152" s="9">
        <v>2081604</v>
      </c>
      <c r="AZ152" s="9">
        <v>98378</v>
      </c>
      <c r="BA152" s="9">
        <v>12.75</v>
      </c>
      <c r="BB152" s="9">
        <v>0</v>
      </c>
      <c r="BC152" s="9">
        <v>0</v>
      </c>
      <c r="BD152" s="9">
        <v>0</v>
      </c>
      <c r="BE152" s="9">
        <v>0</v>
      </c>
      <c r="BF152" s="9">
        <v>1652128</v>
      </c>
      <c r="BG152" s="9">
        <v>0</v>
      </c>
      <c r="BH152" s="9">
        <v>0</v>
      </c>
      <c r="BI152" s="9">
        <v>0</v>
      </c>
      <c r="BJ152" s="9">
        <v>12</v>
      </c>
      <c r="BK152" s="9">
        <v>0</v>
      </c>
      <c r="BL152" s="9">
        <v>0</v>
      </c>
      <c r="BM152" s="9">
        <v>0</v>
      </c>
      <c r="BN152" s="9">
        <v>0</v>
      </c>
      <c r="BO152" s="9">
        <v>0</v>
      </c>
      <c r="BP152" s="9">
        <v>0</v>
      </c>
      <c r="BQ152" s="9">
        <v>5392</v>
      </c>
      <c r="BR152" s="9">
        <v>1</v>
      </c>
      <c r="BS152" s="9">
        <v>0</v>
      </c>
      <c r="BT152" s="9">
        <v>0</v>
      </c>
      <c r="BU152" s="9">
        <v>0</v>
      </c>
      <c r="BV152" s="9">
        <v>0</v>
      </c>
      <c r="BW152" s="9">
        <v>0</v>
      </c>
      <c r="BX152" s="9">
        <v>0</v>
      </c>
      <c r="BY152" s="9">
        <v>0</v>
      </c>
      <c r="BZ152" s="9">
        <v>0</v>
      </c>
      <c r="CA152" s="9">
        <v>0</v>
      </c>
      <c r="CB152" s="9">
        <v>0</v>
      </c>
      <c r="CC152" s="9">
        <v>0</v>
      </c>
      <c r="CD152" s="9">
        <v>0</v>
      </c>
      <c r="CE152" s="9">
        <v>0</v>
      </c>
      <c r="CF152" s="9">
        <v>0</v>
      </c>
      <c r="CG152" s="9">
        <v>0</v>
      </c>
      <c r="CH152" s="9">
        <v>41438</v>
      </c>
      <c r="CI152" s="9">
        <v>0</v>
      </c>
      <c r="CJ152" s="9">
        <v>4</v>
      </c>
      <c r="CK152" s="9">
        <v>0</v>
      </c>
      <c r="CL152" s="9">
        <v>0</v>
      </c>
      <c r="CM152" s="9">
        <v>0</v>
      </c>
      <c r="CN152" s="9">
        <v>0</v>
      </c>
      <c r="CO152" s="9">
        <v>0</v>
      </c>
      <c r="CP152" s="9">
        <v>0</v>
      </c>
      <c r="CQ152" s="9">
        <v>1.333</v>
      </c>
      <c r="CR152" s="9">
        <v>191.464</v>
      </c>
      <c r="CS152" s="9">
        <v>0</v>
      </c>
      <c r="CT152" s="9">
        <v>0</v>
      </c>
      <c r="CU152" s="9">
        <v>0</v>
      </c>
      <c r="CV152" s="9">
        <v>0</v>
      </c>
      <c r="CW152" s="9">
        <v>0</v>
      </c>
      <c r="CX152" s="9">
        <v>0</v>
      </c>
      <c r="CY152" s="9">
        <v>0</v>
      </c>
      <c r="CZ152" s="9">
        <v>0</v>
      </c>
      <c r="DA152" s="9">
        <v>1</v>
      </c>
      <c r="DB152" s="9">
        <v>1288286</v>
      </c>
      <c r="DC152" s="9">
        <v>0</v>
      </c>
      <c r="DD152" s="9">
        <v>0</v>
      </c>
      <c r="DE152" s="9">
        <v>307932</v>
      </c>
      <c r="DF152" s="9">
        <v>307932</v>
      </c>
      <c r="DG152" s="9">
        <v>235.17000000000002</v>
      </c>
      <c r="DH152" s="9">
        <v>0</v>
      </c>
      <c r="DI152" s="9">
        <v>0</v>
      </c>
      <c r="DJ152" s="9">
        <v>0</v>
      </c>
      <c r="DK152" s="9">
        <v>5392</v>
      </c>
      <c r="DL152" s="9">
        <v>0</v>
      </c>
      <c r="DM152" s="9">
        <v>81675</v>
      </c>
      <c r="DN152" s="9">
        <v>0</v>
      </c>
      <c r="DO152" s="9">
        <v>0</v>
      </c>
      <c r="DP152" s="9">
        <v>0</v>
      </c>
      <c r="DQ152" s="9">
        <v>0</v>
      </c>
      <c r="DR152" s="9">
        <v>0</v>
      </c>
      <c r="DS152" s="9">
        <v>0</v>
      </c>
      <c r="DT152" s="9">
        <v>0</v>
      </c>
      <c r="DU152" s="9">
        <v>0</v>
      </c>
      <c r="DV152" s="9">
        <v>0</v>
      </c>
      <c r="DW152" s="9">
        <v>0</v>
      </c>
      <c r="DX152" s="9">
        <v>0</v>
      </c>
      <c r="DY152" s="9">
        <v>0</v>
      </c>
      <c r="DZ152" s="9">
        <v>0</v>
      </c>
      <c r="EA152" s="9">
        <v>0</v>
      </c>
      <c r="EB152" s="9">
        <v>0</v>
      </c>
      <c r="EC152" s="9">
        <v>10.291</v>
      </c>
      <c r="ED152" s="9">
        <v>74113</v>
      </c>
      <c r="EE152" s="9">
        <v>0</v>
      </c>
      <c r="EF152" s="9">
        <v>0</v>
      </c>
      <c r="EG152" s="9">
        <v>0</v>
      </c>
      <c r="EH152" s="9">
        <v>7562</v>
      </c>
      <c r="EI152" s="9">
        <v>0</v>
      </c>
      <c r="EJ152" s="9">
        <v>0</v>
      </c>
      <c r="EK152" s="9">
        <v>0</v>
      </c>
      <c r="EL152" s="9">
        <v>0</v>
      </c>
      <c r="EM152" s="9">
        <v>0</v>
      </c>
      <c r="EN152" s="9">
        <v>0.23100000000000001</v>
      </c>
      <c r="EO152" s="9">
        <v>0</v>
      </c>
      <c r="EP152" s="9">
        <v>0</v>
      </c>
      <c r="EQ152" s="9">
        <v>0.23100000000000001</v>
      </c>
      <c r="ER152" s="9">
        <v>0</v>
      </c>
      <c r="ES152" s="9">
        <v>1.155</v>
      </c>
      <c r="ET152" s="9">
        <v>6708</v>
      </c>
      <c r="EU152" s="9">
        <v>98378</v>
      </c>
      <c r="EV152" s="9">
        <v>0</v>
      </c>
      <c r="EW152" s="9">
        <v>0</v>
      </c>
      <c r="EX152" s="9">
        <v>0</v>
      </c>
      <c r="EY152" s="9">
        <v>0</v>
      </c>
      <c r="EZ152" s="9">
        <v>1599128</v>
      </c>
      <c r="FA152" s="9">
        <v>0</v>
      </c>
      <c r="FB152" s="9">
        <v>1697506</v>
      </c>
      <c r="FC152" s="9">
        <v>0.97326799999999991</v>
      </c>
      <c r="FD152" s="9">
        <v>0</v>
      </c>
      <c r="FE152" s="9">
        <v>255579</v>
      </c>
      <c r="FF152" s="9">
        <v>54426</v>
      </c>
      <c r="FG152" s="9">
        <v>5.8088000000000001E-2</v>
      </c>
      <c r="FH152" s="9">
        <v>5.2622999999999996E-2</v>
      </c>
      <c r="FI152" s="9">
        <v>0</v>
      </c>
      <c r="FJ152" s="9">
        <v>0</v>
      </c>
      <c r="FK152" s="9">
        <v>323.70999999999998</v>
      </c>
      <c r="FL152" s="9">
        <v>2048949</v>
      </c>
      <c r="FM152" s="9">
        <v>0</v>
      </c>
      <c r="FN152" s="9">
        <v>0</v>
      </c>
      <c r="FO152" s="9">
        <v>0</v>
      </c>
      <c r="FP152" s="9">
        <v>0</v>
      </c>
      <c r="FQ152" s="9">
        <v>0</v>
      </c>
      <c r="FR152" s="9">
        <v>0</v>
      </c>
      <c r="FS152" s="9">
        <v>0</v>
      </c>
      <c r="FT152" s="9">
        <v>0</v>
      </c>
      <c r="FU152" s="9">
        <v>0</v>
      </c>
      <c r="FV152" s="9">
        <v>0</v>
      </c>
      <c r="FW152" s="9">
        <v>0</v>
      </c>
      <c r="FX152" s="9">
        <v>0</v>
      </c>
      <c r="FY152" s="9">
        <v>0</v>
      </c>
      <c r="FZ152" s="9">
        <v>0</v>
      </c>
      <c r="GA152" s="9">
        <v>0</v>
      </c>
      <c r="GB152" s="9">
        <v>0</v>
      </c>
      <c r="GC152" s="9">
        <v>0</v>
      </c>
      <c r="GD152" s="9">
        <v>0</v>
      </c>
      <c r="GE152" s="9">
        <v>0</v>
      </c>
      <c r="GF152" s="9">
        <v>0</v>
      </c>
      <c r="GG152" s="9">
        <v>0</v>
      </c>
      <c r="GH152" s="9">
        <v>0</v>
      </c>
      <c r="GI152" s="9">
        <v>0</v>
      </c>
      <c r="GJ152" s="9">
        <v>0</v>
      </c>
      <c r="GK152" s="9">
        <v>5062</v>
      </c>
      <c r="GL152" s="9">
        <v>7574</v>
      </c>
      <c r="GM152" s="9">
        <v>0</v>
      </c>
      <c r="GN152" s="9">
        <v>0</v>
      </c>
      <c r="GO152" s="9">
        <v>0</v>
      </c>
      <c r="GP152" s="9">
        <v>2007511</v>
      </c>
      <c r="GQ152" s="9">
        <v>2007511</v>
      </c>
      <c r="GR152" s="9">
        <v>0</v>
      </c>
      <c r="GS152" s="9">
        <v>0</v>
      </c>
      <c r="GT152" s="9">
        <v>0</v>
      </c>
      <c r="GU152" s="9">
        <v>0</v>
      </c>
      <c r="GV152" s="9">
        <v>0</v>
      </c>
      <c r="GW152" s="9">
        <v>0</v>
      </c>
      <c r="GX152" s="9">
        <v>0</v>
      </c>
      <c r="GY152" s="9">
        <v>0</v>
      </c>
      <c r="GZ152" s="9">
        <v>0</v>
      </c>
      <c r="HA152" s="9">
        <v>0</v>
      </c>
      <c r="HB152" s="9">
        <v>300501363</v>
      </c>
      <c r="HC152" s="9">
        <v>4.4742999999999998E-2</v>
      </c>
      <c r="HD152" s="9">
        <v>34730</v>
      </c>
      <c r="HE152" s="9">
        <v>0</v>
      </c>
      <c r="HF152" s="9">
        <v>0</v>
      </c>
      <c r="HG152" s="9">
        <v>0</v>
      </c>
      <c r="HH152" s="9">
        <v>0</v>
      </c>
      <c r="HI152" s="9">
        <v>0</v>
      </c>
      <c r="HJ152" s="9">
        <v>0</v>
      </c>
      <c r="HK152" s="9">
        <v>0</v>
      </c>
      <c r="HL152" s="9">
        <v>0</v>
      </c>
      <c r="HM152" s="9">
        <v>0</v>
      </c>
      <c r="HN152" s="9">
        <v>0</v>
      </c>
      <c r="HO152" s="9">
        <v>0</v>
      </c>
      <c r="HP152" s="9">
        <v>0</v>
      </c>
      <c r="HQ152" s="9">
        <v>0</v>
      </c>
      <c r="HR152" s="9">
        <v>0</v>
      </c>
      <c r="HS152" s="9">
        <v>0</v>
      </c>
      <c r="HT152" s="9">
        <v>0</v>
      </c>
      <c r="HU152" s="9">
        <v>0</v>
      </c>
      <c r="HV152" s="9">
        <v>0</v>
      </c>
      <c r="HW152" s="9">
        <v>0</v>
      </c>
      <c r="HX152" s="9">
        <v>0</v>
      </c>
      <c r="HY152" s="9">
        <v>0</v>
      </c>
      <c r="HZ152" s="9">
        <v>0</v>
      </c>
      <c r="IA152" s="9">
        <v>0</v>
      </c>
      <c r="IB152" s="9">
        <v>0</v>
      </c>
      <c r="IC152" s="9">
        <v>0</v>
      </c>
      <c r="ID152" s="9">
        <v>0</v>
      </c>
      <c r="IE152" s="9">
        <v>0</v>
      </c>
      <c r="IF152" s="9">
        <v>0</v>
      </c>
      <c r="IG152" s="9">
        <v>0</v>
      </c>
      <c r="IH152" s="9">
        <v>0</v>
      </c>
      <c r="II152" s="9">
        <v>0</v>
      </c>
      <c r="IJ152" s="9">
        <v>0</v>
      </c>
      <c r="IK152" s="9">
        <v>0</v>
      </c>
      <c r="IL152" s="9">
        <v>0</v>
      </c>
      <c r="IM152" s="9">
        <v>0</v>
      </c>
      <c r="IN152" s="9">
        <v>0</v>
      </c>
      <c r="IO152" s="9">
        <v>0</v>
      </c>
      <c r="IP152" s="9">
        <v>0</v>
      </c>
      <c r="IQ152" s="9">
        <v>0</v>
      </c>
      <c r="IR152" s="9">
        <v>0</v>
      </c>
      <c r="IS152" s="9">
        <v>0</v>
      </c>
      <c r="IT152" s="9">
        <v>0</v>
      </c>
      <c r="IU152" s="9">
        <v>0</v>
      </c>
      <c r="IV152" s="9">
        <v>0</v>
      </c>
      <c r="IW152" s="9">
        <v>0</v>
      </c>
      <c r="IX152" s="9">
        <v>0</v>
      </c>
      <c r="IY152" s="9">
        <v>0</v>
      </c>
      <c r="IZ152" s="9">
        <v>0</v>
      </c>
      <c r="JA152" s="9">
        <v>0</v>
      </c>
      <c r="JB152" s="9">
        <v>0</v>
      </c>
      <c r="JC152" s="9">
        <v>0</v>
      </c>
      <c r="JD152" s="9">
        <v>0</v>
      </c>
      <c r="JE152" s="9">
        <v>0</v>
      </c>
      <c r="JF152" s="9">
        <v>0</v>
      </c>
      <c r="JG152" s="9">
        <v>0</v>
      </c>
      <c r="JH152" s="9">
        <v>0</v>
      </c>
      <c r="JI152" s="9">
        <v>0</v>
      </c>
      <c r="JJ152" s="9">
        <v>0</v>
      </c>
      <c r="JK152" s="9">
        <v>0</v>
      </c>
      <c r="JL152" s="9">
        <v>0</v>
      </c>
      <c r="JM152" s="9">
        <v>0</v>
      </c>
      <c r="JN152" s="9">
        <v>36832</v>
      </c>
      <c r="JO152" s="9">
        <v>0</v>
      </c>
      <c r="JP152" s="9">
        <v>0</v>
      </c>
      <c r="JQ152" s="9">
        <v>0</v>
      </c>
      <c r="JR152" s="9">
        <v>0</v>
      </c>
      <c r="JS152" s="9">
        <v>0</v>
      </c>
      <c r="JT152" s="9">
        <v>0</v>
      </c>
      <c r="JU152" s="9">
        <v>0</v>
      </c>
      <c r="JV152" s="9">
        <v>0</v>
      </c>
      <c r="JW152" s="9">
        <v>0</v>
      </c>
      <c r="JX152" s="9">
        <v>0</v>
      </c>
      <c r="JY152" s="9">
        <v>0</v>
      </c>
      <c r="JZ152" s="9">
        <v>0</v>
      </c>
      <c r="KA152" s="9">
        <v>0</v>
      </c>
      <c r="KB152" s="9">
        <v>0</v>
      </c>
      <c r="KC152" s="9">
        <v>0</v>
      </c>
      <c r="KD152" s="9">
        <v>0</v>
      </c>
      <c r="KE152" s="9">
        <v>0</v>
      </c>
      <c r="KF152" s="9">
        <v>0</v>
      </c>
      <c r="KG152" s="9">
        <v>0</v>
      </c>
      <c r="KH152" s="9">
        <v>0</v>
      </c>
      <c r="KI152" s="9">
        <v>0</v>
      </c>
    </row>
    <row r="153" spans="1:295" x14ac:dyDescent="0.25">
      <c r="A153" s="9">
        <v>178807</v>
      </c>
      <c r="B153" s="9">
        <v>36871</v>
      </c>
      <c r="C153" s="9">
        <v>35</v>
      </c>
      <c r="D153" s="9">
        <v>2023</v>
      </c>
      <c r="E153" s="9">
        <v>5392</v>
      </c>
      <c r="F153" s="9">
        <v>0</v>
      </c>
      <c r="G153" s="9">
        <v>0</v>
      </c>
      <c r="H153" s="9">
        <v>121.40700000000001</v>
      </c>
      <c r="I153" s="9">
        <v>121.40700000000001</v>
      </c>
      <c r="J153" s="9">
        <v>125.55500000000001</v>
      </c>
      <c r="K153" s="9">
        <v>0</v>
      </c>
      <c r="L153" s="9">
        <v>6547</v>
      </c>
      <c r="M153" s="9">
        <v>0</v>
      </c>
      <c r="N153" s="9">
        <v>0</v>
      </c>
      <c r="O153" s="9">
        <v>0</v>
      </c>
      <c r="P153" s="9">
        <v>131.58600000000001</v>
      </c>
      <c r="Q153" s="9">
        <v>0</v>
      </c>
      <c r="R153" s="9">
        <v>64072</v>
      </c>
      <c r="S153" s="9">
        <v>486.92200000000003</v>
      </c>
      <c r="T153" s="9">
        <v>0</v>
      </c>
      <c r="U153" s="9">
        <v>64072</v>
      </c>
      <c r="V153" s="9">
        <v>5.673</v>
      </c>
      <c r="W153" s="9">
        <v>3714</v>
      </c>
      <c r="X153" s="9">
        <v>3714</v>
      </c>
      <c r="Y153" s="9">
        <v>0</v>
      </c>
      <c r="Z153" s="9">
        <v>0</v>
      </c>
      <c r="AA153" s="9">
        <v>1</v>
      </c>
      <c r="AB153" s="9">
        <v>1</v>
      </c>
      <c r="AC153" s="9">
        <v>0</v>
      </c>
      <c r="AD153" s="9" t="s">
        <v>314</v>
      </c>
      <c r="AE153" s="9">
        <v>0</v>
      </c>
      <c r="AF153" s="9">
        <v>0</v>
      </c>
      <c r="AG153" s="9">
        <v>0</v>
      </c>
      <c r="AH153" s="9">
        <v>0</v>
      </c>
      <c r="AI153" s="9">
        <v>0</v>
      </c>
      <c r="AJ153" s="9">
        <v>5104</v>
      </c>
      <c r="AK153" s="9" t="s">
        <v>651</v>
      </c>
      <c r="AL153" s="9" t="s">
        <v>68</v>
      </c>
      <c r="AM153" s="9">
        <v>0</v>
      </c>
      <c r="AN153" s="9">
        <v>0</v>
      </c>
      <c r="AO153" s="9">
        <v>0</v>
      </c>
      <c r="AP153" s="9">
        <v>0</v>
      </c>
      <c r="AQ153" s="9">
        <v>0</v>
      </c>
      <c r="AR153" s="9">
        <v>0</v>
      </c>
      <c r="AS153" s="9">
        <v>0</v>
      </c>
      <c r="AT153" s="9">
        <v>0</v>
      </c>
      <c r="AU153" s="9">
        <v>0</v>
      </c>
      <c r="AV153" s="9">
        <v>708</v>
      </c>
      <c r="AW153" s="9">
        <v>1039031</v>
      </c>
      <c r="AX153" s="9">
        <v>1016897</v>
      </c>
      <c r="AY153" s="9">
        <v>1143754</v>
      </c>
      <c r="AZ153" s="9">
        <v>64072</v>
      </c>
      <c r="BA153" s="9">
        <v>0</v>
      </c>
      <c r="BB153" s="9">
        <v>0</v>
      </c>
      <c r="BC153" s="9">
        <v>0</v>
      </c>
      <c r="BD153" s="9">
        <v>0</v>
      </c>
      <c r="BE153" s="9">
        <v>0</v>
      </c>
      <c r="BF153" s="9">
        <v>889609</v>
      </c>
      <c r="BG153" s="9">
        <v>0</v>
      </c>
      <c r="BH153" s="9">
        <v>0</v>
      </c>
      <c r="BI153" s="9">
        <v>0</v>
      </c>
      <c r="BJ153" s="9">
        <v>12</v>
      </c>
      <c r="BK153" s="9">
        <v>0</v>
      </c>
      <c r="BL153" s="9">
        <v>0</v>
      </c>
      <c r="BM153" s="9">
        <v>0</v>
      </c>
      <c r="BN153" s="9">
        <v>0</v>
      </c>
      <c r="BO153" s="9">
        <v>0</v>
      </c>
      <c r="BP153" s="9">
        <v>0</v>
      </c>
      <c r="BQ153" s="9">
        <v>5392</v>
      </c>
      <c r="BR153" s="9">
        <v>1</v>
      </c>
      <c r="BS153" s="9">
        <v>0</v>
      </c>
      <c r="BT153" s="9">
        <v>0</v>
      </c>
      <c r="BU153" s="9">
        <v>0</v>
      </c>
      <c r="BV153" s="9">
        <v>0</v>
      </c>
      <c r="BW153" s="9">
        <v>0</v>
      </c>
      <c r="BX153" s="9">
        <v>0</v>
      </c>
      <c r="BY153" s="9">
        <v>0</v>
      </c>
      <c r="BZ153" s="9">
        <v>0</v>
      </c>
      <c r="CA153" s="9">
        <v>0</v>
      </c>
      <c r="CB153" s="9">
        <v>0</v>
      </c>
      <c r="CC153" s="9">
        <v>0</v>
      </c>
      <c r="CD153" s="9">
        <v>0</v>
      </c>
      <c r="CE153" s="9">
        <v>0</v>
      </c>
      <c r="CF153" s="9">
        <v>0</v>
      </c>
      <c r="CG153" s="9">
        <v>0</v>
      </c>
      <c r="CH153" s="9">
        <v>22134</v>
      </c>
      <c r="CI153" s="9">
        <v>0</v>
      </c>
      <c r="CJ153" s="9">
        <v>4</v>
      </c>
      <c r="CK153" s="9">
        <v>0</v>
      </c>
      <c r="CL153" s="9">
        <v>0</v>
      </c>
      <c r="CM153" s="9">
        <v>0</v>
      </c>
      <c r="CN153" s="9">
        <v>0</v>
      </c>
      <c r="CO153" s="9">
        <v>0</v>
      </c>
      <c r="CP153" s="9">
        <v>0</v>
      </c>
      <c r="CQ153" s="9">
        <v>0</v>
      </c>
      <c r="CR153" s="9">
        <v>131.58600000000001</v>
      </c>
      <c r="CS153" s="9">
        <v>0</v>
      </c>
      <c r="CT153" s="9">
        <v>0</v>
      </c>
      <c r="CU153" s="9">
        <v>0</v>
      </c>
      <c r="CV153" s="9">
        <v>0</v>
      </c>
      <c r="CW153" s="9">
        <v>0</v>
      </c>
      <c r="CX153" s="9">
        <v>0</v>
      </c>
      <c r="CY153" s="9">
        <v>0</v>
      </c>
      <c r="CZ153" s="9">
        <v>0</v>
      </c>
      <c r="DA153" s="9">
        <v>1</v>
      </c>
      <c r="DB153" s="9">
        <v>794852</v>
      </c>
      <c r="DC153" s="9">
        <v>0</v>
      </c>
      <c r="DD153" s="9">
        <v>0</v>
      </c>
      <c r="DE153" s="9">
        <v>22482</v>
      </c>
      <c r="DF153" s="9">
        <v>22482</v>
      </c>
      <c r="DG153" s="9">
        <v>17.170000000000002</v>
      </c>
      <c r="DH153" s="9">
        <v>0</v>
      </c>
      <c r="DI153" s="9">
        <v>0</v>
      </c>
      <c r="DJ153" s="9">
        <v>0</v>
      </c>
      <c r="DK153" s="9">
        <v>5392</v>
      </c>
      <c r="DL153" s="9">
        <v>0</v>
      </c>
      <c r="DM153" s="9">
        <v>92995</v>
      </c>
      <c r="DN153" s="9">
        <v>0</v>
      </c>
      <c r="DO153" s="9">
        <v>0</v>
      </c>
      <c r="DP153" s="9">
        <v>0</v>
      </c>
      <c r="DQ153" s="9">
        <v>0</v>
      </c>
      <c r="DR153" s="9">
        <v>0</v>
      </c>
      <c r="DS153" s="9">
        <v>0</v>
      </c>
      <c r="DT153" s="9">
        <v>0</v>
      </c>
      <c r="DU153" s="9">
        <v>0</v>
      </c>
      <c r="DV153" s="9">
        <v>0</v>
      </c>
      <c r="DW153" s="9">
        <v>0</v>
      </c>
      <c r="DX153" s="9">
        <v>0</v>
      </c>
      <c r="DY153" s="9">
        <v>0</v>
      </c>
      <c r="DZ153" s="9">
        <v>0</v>
      </c>
      <c r="EA153" s="9">
        <v>0</v>
      </c>
      <c r="EB153" s="9">
        <v>0</v>
      </c>
      <c r="EC153" s="9">
        <v>0.95300000000000007</v>
      </c>
      <c r="ED153" s="9">
        <v>6863</v>
      </c>
      <c r="EE153" s="9">
        <v>0</v>
      </c>
      <c r="EF153" s="9">
        <v>0</v>
      </c>
      <c r="EG153" s="9">
        <v>0</v>
      </c>
      <c r="EH153" s="9">
        <v>86132</v>
      </c>
      <c r="EI153" s="9">
        <v>0</v>
      </c>
      <c r="EJ153" s="9">
        <v>0</v>
      </c>
      <c r="EK153" s="9">
        <v>3.7920000000000003</v>
      </c>
      <c r="EL153" s="9">
        <v>0</v>
      </c>
      <c r="EM153" s="9">
        <v>0</v>
      </c>
      <c r="EN153" s="9">
        <v>0.35600000000000004</v>
      </c>
      <c r="EO153" s="9">
        <v>0</v>
      </c>
      <c r="EP153" s="9">
        <v>0</v>
      </c>
      <c r="EQ153" s="9">
        <v>4.1480000000000006</v>
      </c>
      <c r="ER153" s="9">
        <v>0</v>
      </c>
      <c r="ES153" s="9">
        <v>13.156000000000001</v>
      </c>
      <c r="ET153" s="9">
        <v>0</v>
      </c>
      <c r="EU153" s="9">
        <v>64072</v>
      </c>
      <c r="EV153" s="9">
        <v>0</v>
      </c>
      <c r="EW153" s="9">
        <v>0</v>
      </c>
      <c r="EX153" s="9">
        <v>0</v>
      </c>
      <c r="EY153" s="9">
        <v>0</v>
      </c>
      <c r="EZ153" s="9">
        <v>849971</v>
      </c>
      <c r="FA153" s="9">
        <v>0</v>
      </c>
      <c r="FB153" s="9">
        <v>914043</v>
      </c>
      <c r="FC153" s="9">
        <v>0.97326799999999991</v>
      </c>
      <c r="FD153" s="9">
        <v>0</v>
      </c>
      <c r="FE153" s="9">
        <v>137620</v>
      </c>
      <c r="FF153" s="9">
        <v>29306</v>
      </c>
      <c r="FG153" s="9">
        <v>5.8088000000000001E-2</v>
      </c>
      <c r="FH153" s="9">
        <v>5.2622999999999996E-2</v>
      </c>
      <c r="FI153" s="9">
        <v>0</v>
      </c>
      <c r="FJ153" s="9">
        <v>0</v>
      </c>
      <c r="FK153" s="9">
        <v>174.30600000000001</v>
      </c>
      <c r="FL153" s="9">
        <v>1103103</v>
      </c>
      <c r="FM153" s="9">
        <v>0</v>
      </c>
      <c r="FN153" s="9">
        <v>0</v>
      </c>
      <c r="FO153" s="9">
        <v>0</v>
      </c>
      <c r="FP153" s="9">
        <v>0</v>
      </c>
      <c r="FQ153" s="9">
        <v>0</v>
      </c>
      <c r="FR153" s="9">
        <v>0</v>
      </c>
      <c r="FS153" s="9">
        <v>0</v>
      </c>
      <c r="FT153" s="9">
        <v>0</v>
      </c>
      <c r="FU153" s="9">
        <v>0</v>
      </c>
      <c r="FV153" s="9">
        <v>0</v>
      </c>
      <c r="FW153" s="9">
        <v>0</v>
      </c>
      <c r="FX153" s="9">
        <v>0</v>
      </c>
      <c r="FY153" s="9">
        <v>0</v>
      </c>
      <c r="FZ153" s="9">
        <v>0</v>
      </c>
      <c r="GA153" s="9">
        <v>0</v>
      </c>
      <c r="GB153" s="9">
        <v>0</v>
      </c>
      <c r="GC153" s="9">
        <v>0</v>
      </c>
      <c r="GD153" s="9">
        <v>0</v>
      </c>
      <c r="GE153" s="9">
        <v>0</v>
      </c>
      <c r="GF153" s="9">
        <v>0</v>
      </c>
      <c r="GG153" s="9">
        <v>0</v>
      </c>
      <c r="GH153" s="9">
        <v>0</v>
      </c>
      <c r="GI153" s="9">
        <v>0</v>
      </c>
      <c r="GJ153" s="9">
        <v>0</v>
      </c>
      <c r="GK153" s="9">
        <v>5051</v>
      </c>
      <c r="GL153" s="9">
        <v>4804</v>
      </c>
      <c r="GM153" s="9">
        <v>0</v>
      </c>
      <c r="GN153" s="9">
        <v>0</v>
      </c>
      <c r="GO153" s="9">
        <v>0</v>
      </c>
      <c r="GP153" s="9">
        <v>1080969</v>
      </c>
      <c r="GQ153" s="9">
        <v>1080969</v>
      </c>
      <c r="GR153" s="9">
        <v>0</v>
      </c>
      <c r="GS153" s="9">
        <v>0</v>
      </c>
      <c r="GT153" s="9">
        <v>0</v>
      </c>
      <c r="GU153" s="9">
        <v>0</v>
      </c>
      <c r="GV153" s="9">
        <v>0</v>
      </c>
      <c r="GW153" s="9">
        <v>0</v>
      </c>
      <c r="GX153" s="9">
        <v>0</v>
      </c>
      <c r="GY153" s="9">
        <v>0</v>
      </c>
      <c r="GZ153" s="9">
        <v>0</v>
      </c>
      <c r="HA153" s="9">
        <v>0</v>
      </c>
      <c r="HB153" s="9">
        <v>300501363</v>
      </c>
      <c r="HC153" s="9">
        <v>4.4742999999999998E-2</v>
      </c>
      <c r="HD153" s="9">
        <v>22134</v>
      </c>
      <c r="HE153" s="9">
        <v>0</v>
      </c>
      <c r="HF153" s="9">
        <v>0</v>
      </c>
      <c r="HG153" s="9">
        <v>0</v>
      </c>
      <c r="HH153" s="9">
        <v>0</v>
      </c>
      <c r="HI153" s="9">
        <v>0</v>
      </c>
      <c r="HJ153" s="9">
        <v>0</v>
      </c>
      <c r="HK153" s="9">
        <v>0</v>
      </c>
      <c r="HL153" s="9">
        <v>0</v>
      </c>
      <c r="HM153" s="9">
        <v>0</v>
      </c>
      <c r="HN153" s="9">
        <v>0</v>
      </c>
      <c r="HO153" s="9">
        <v>0</v>
      </c>
      <c r="HP153" s="9">
        <v>0</v>
      </c>
      <c r="HQ153" s="9">
        <v>0</v>
      </c>
      <c r="HR153" s="9">
        <v>0</v>
      </c>
      <c r="HS153" s="9">
        <v>0</v>
      </c>
      <c r="HT153" s="9">
        <v>0</v>
      </c>
      <c r="HU153" s="9">
        <v>0</v>
      </c>
      <c r="HV153" s="9">
        <v>0</v>
      </c>
      <c r="HW153" s="9">
        <v>0</v>
      </c>
      <c r="HX153" s="9">
        <v>0</v>
      </c>
      <c r="HY153" s="9">
        <v>0</v>
      </c>
      <c r="HZ153" s="9">
        <v>0</v>
      </c>
      <c r="IA153" s="9">
        <v>0</v>
      </c>
      <c r="IB153" s="9">
        <v>0</v>
      </c>
      <c r="IC153" s="9">
        <v>0</v>
      </c>
      <c r="ID153" s="9">
        <v>0</v>
      </c>
      <c r="IE153" s="9">
        <v>0</v>
      </c>
      <c r="IF153" s="9">
        <v>0</v>
      </c>
      <c r="IG153" s="9">
        <v>0</v>
      </c>
      <c r="IH153" s="9">
        <v>0</v>
      </c>
      <c r="II153" s="9">
        <v>0</v>
      </c>
      <c r="IJ153" s="9">
        <v>0</v>
      </c>
      <c r="IK153" s="9">
        <v>0</v>
      </c>
      <c r="IL153" s="9">
        <v>0</v>
      </c>
      <c r="IM153" s="9">
        <v>0</v>
      </c>
      <c r="IN153" s="9">
        <v>0</v>
      </c>
      <c r="IO153" s="9">
        <v>0</v>
      </c>
      <c r="IP153" s="9">
        <v>0</v>
      </c>
      <c r="IQ153" s="9">
        <v>0</v>
      </c>
      <c r="IR153" s="9">
        <v>0</v>
      </c>
      <c r="IS153" s="9">
        <v>0</v>
      </c>
      <c r="IT153" s="9">
        <v>0</v>
      </c>
      <c r="IU153" s="9">
        <v>0</v>
      </c>
      <c r="IV153" s="9">
        <v>0</v>
      </c>
      <c r="IW153" s="9">
        <v>0</v>
      </c>
      <c r="IX153" s="9">
        <v>0</v>
      </c>
      <c r="IY153" s="9">
        <v>0</v>
      </c>
      <c r="IZ153" s="9">
        <v>0</v>
      </c>
      <c r="JA153" s="9">
        <v>0</v>
      </c>
      <c r="JB153" s="9">
        <v>0</v>
      </c>
      <c r="JC153" s="9">
        <v>0</v>
      </c>
      <c r="JD153" s="9">
        <v>0</v>
      </c>
      <c r="JE153" s="9">
        <v>0</v>
      </c>
      <c r="JF153" s="9">
        <v>0</v>
      </c>
      <c r="JG153" s="9">
        <v>0</v>
      </c>
      <c r="JH153" s="9">
        <v>0</v>
      </c>
      <c r="JI153" s="9">
        <v>0</v>
      </c>
      <c r="JJ153" s="9">
        <v>0</v>
      </c>
      <c r="JK153" s="9">
        <v>0</v>
      </c>
      <c r="JL153" s="9">
        <v>0</v>
      </c>
      <c r="JM153" s="9">
        <v>0</v>
      </c>
      <c r="JN153" s="9">
        <v>36832</v>
      </c>
      <c r="JO153" s="9">
        <v>0</v>
      </c>
      <c r="JP153" s="9">
        <v>0</v>
      </c>
      <c r="JQ153" s="9">
        <v>0</v>
      </c>
      <c r="JR153" s="9">
        <v>0</v>
      </c>
      <c r="JS153" s="9">
        <v>0</v>
      </c>
      <c r="JT153" s="9">
        <v>0</v>
      </c>
      <c r="JU153" s="9">
        <v>0</v>
      </c>
      <c r="JV153" s="9">
        <v>0</v>
      </c>
      <c r="JW153" s="9">
        <v>0</v>
      </c>
      <c r="JX153" s="9">
        <v>0</v>
      </c>
      <c r="JY153" s="9">
        <v>0</v>
      </c>
      <c r="JZ153" s="9">
        <v>0</v>
      </c>
      <c r="KA153" s="9">
        <v>0</v>
      </c>
      <c r="KB153" s="9">
        <v>0</v>
      </c>
      <c r="KC153" s="9">
        <v>0</v>
      </c>
      <c r="KD153" s="9">
        <v>0</v>
      </c>
      <c r="KE153" s="9">
        <v>0</v>
      </c>
      <c r="KF153" s="9">
        <v>0</v>
      </c>
      <c r="KG153" s="9">
        <v>0</v>
      </c>
      <c r="KH153" s="9">
        <v>0</v>
      </c>
      <c r="KI153" s="9">
        <v>0</v>
      </c>
    </row>
    <row r="154" spans="1:295" x14ac:dyDescent="0.25">
      <c r="A154" s="9">
        <v>178808</v>
      </c>
      <c r="B154" s="9">
        <v>36871</v>
      </c>
      <c r="C154" s="9">
        <v>35</v>
      </c>
      <c r="D154" s="9">
        <v>2023</v>
      </c>
      <c r="E154" s="9">
        <v>5392</v>
      </c>
      <c r="F154" s="9">
        <v>0</v>
      </c>
      <c r="G154" s="9">
        <v>0</v>
      </c>
      <c r="H154" s="9">
        <v>474.16</v>
      </c>
      <c r="I154" s="9">
        <v>474.16</v>
      </c>
      <c r="J154" s="9">
        <v>480.54200000000003</v>
      </c>
      <c r="K154" s="9">
        <v>0</v>
      </c>
      <c r="L154" s="9">
        <v>6547</v>
      </c>
      <c r="M154" s="9">
        <v>0</v>
      </c>
      <c r="N154" s="9">
        <v>0</v>
      </c>
      <c r="O154" s="9">
        <v>0</v>
      </c>
      <c r="P154" s="9">
        <v>478.49600000000004</v>
      </c>
      <c r="Q154" s="9">
        <v>0</v>
      </c>
      <c r="R154" s="9">
        <v>232990</v>
      </c>
      <c r="S154" s="9">
        <v>486.92200000000003</v>
      </c>
      <c r="T154" s="9">
        <v>0</v>
      </c>
      <c r="U154" s="9">
        <v>232990</v>
      </c>
      <c r="V154" s="9">
        <v>0.32300000000000001</v>
      </c>
      <c r="W154" s="9">
        <v>211</v>
      </c>
      <c r="X154" s="9">
        <v>211</v>
      </c>
      <c r="Y154" s="9">
        <v>0</v>
      </c>
      <c r="Z154" s="9">
        <v>0</v>
      </c>
      <c r="AA154" s="9">
        <v>1</v>
      </c>
      <c r="AB154" s="9">
        <v>1</v>
      </c>
      <c r="AC154" s="9">
        <v>0</v>
      </c>
      <c r="AD154" s="9" t="s">
        <v>314</v>
      </c>
      <c r="AE154" s="9">
        <v>0</v>
      </c>
      <c r="AF154" s="9">
        <v>0</v>
      </c>
      <c r="AG154" s="9">
        <v>0</v>
      </c>
      <c r="AH154" s="9">
        <v>0</v>
      </c>
      <c r="AI154" s="9">
        <v>0</v>
      </c>
      <c r="AJ154" s="9">
        <v>5104</v>
      </c>
      <c r="AK154" s="9" t="s">
        <v>651</v>
      </c>
      <c r="AL154" s="9" t="s">
        <v>99</v>
      </c>
      <c r="AM154" s="9">
        <v>0</v>
      </c>
      <c r="AN154" s="9">
        <v>0</v>
      </c>
      <c r="AO154" s="9">
        <v>0</v>
      </c>
      <c r="AP154" s="9">
        <v>0</v>
      </c>
      <c r="AQ154" s="9">
        <v>0</v>
      </c>
      <c r="AR154" s="9">
        <v>0</v>
      </c>
      <c r="AS154" s="9">
        <v>0</v>
      </c>
      <c r="AT154" s="9">
        <v>0</v>
      </c>
      <c r="AU154" s="9">
        <v>0</v>
      </c>
      <c r="AV154" s="9">
        <v>46798</v>
      </c>
      <c r="AW154" s="9">
        <v>3826044</v>
      </c>
      <c r="AX154" s="9">
        <v>3741331</v>
      </c>
      <c r="AY154" s="9">
        <v>4068379</v>
      </c>
      <c r="AZ154" s="9">
        <v>232990</v>
      </c>
      <c r="BA154" s="9">
        <v>0</v>
      </c>
      <c r="BB154" s="9">
        <v>18877</v>
      </c>
      <c r="BC154" s="9">
        <v>18877</v>
      </c>
      <c r="BD154" s="9">
        <v>24.027000000000001</v>
      </c>
      <c r="BE154" s="9">
        <v>0</v>
      </c>
      <c r="BF154" s="9">
        <v>3270759</v>
      </c>
      <c r="BG154" s="9">
        <v>0</v>
      </c>
      <c r="BH154" s="9">
        <v>0</v>
      </c>
      <c r="BI154" s="9">
        <v>0</v>
      </c>
      <c r="BJ154" s="9">
        <v>12</v>
      </c>
      <c r="BK154" s="9">
        <v>0</v>
      </c>
      <c r="BL154" s="9">
        <v>0</v>
      </c>
      <c r="BM154" s="9">
        <v>0</v>
      </c>
      <c r="BN154" s="9">
        <v>0</v>
      </c>
      <c r="BO154" s="9">
        <v>0</v>
      </c>
      <c r="BP154" s="9">
        <v>0</v>
      </c>
      <c r="BQ154" s="9">
        <v>5392</v>
      </c>
      <c r="BR154" s="9">
        <v>1</v>
      </c>
      <c r="BS154" s="9">
        <v>0</v>
      </c>
      <c r="BT154" s="9">
        <v>0</v>
      </c>
      <c r="BU154" s="9">
        <v>0</v>
      </c>
      <c r="BV154" s="9">
        <v>0</v>
      </c>
      <c r="BW154" s="9">
        <v>0</v>
      </c>
      <c r="BX154" s="9">
        <v>0</v>
      </c>
      <c r="BY154" s="9">
        <v>0</v>
      </c>
      <c r="BZ154" s="9">
        <v>0</v>
      </c>
      <c r="CA154" s="9">
        <v>0</v>
      </c>
      <c r="CB154" s="9">
        <v>0</v>
      </c>
      <c r="CC154" s="9">
        <v>0</v>
      </c>
      <c r="CD154" s="9">
        <v>0</v>
      </c>
      <c r="CE154" s="9">
        <v>0</v>
      </c>
      <c r="CF154" s="9">
        <v>0</v>
      </c>
      <c r="CG154" s="9">
        <v>0</v>
      </c>
      <c r="CH154" s="9">
        <v>84713</v>
      </c>
      <c r="CI154" s="9">
        <v>0</v>
      </c>
      <c r="CJ154" s="9">
        <v>4</v>
      </c>
      <c r="CK154" s="9">
        <v>0</v>
      </c>
      <c r="CL154" s="9">
        <v>0</v>
      </c>
      <c r="CM154" s="9">
        <v>0</v>
      </c>
      <c r="CN154" s="9">
        <v>0</v>
      </c>
      <c r="CO154" s="9">
        <v>0</v>
      </c>
      <c r="CP154" s="9">
        <v>0</v>
      </c>
      <c r="CQ154" s="9">
        <v>0</v>
      </c>
      <c r="CR154" s="9">
        <v>478.49600000000004</v>
      </c>
      <c r="CS154" s="9">
        <v>0</v>
      </c>
      <c r="CT154" s="9">
        <v>0</v>
      </c>
      <c r="CU154" s="9">
        <v>0</v>
      </c>
      <c r="CV154" s="9">
        <v>0</v>
      </c>
      <c r="CW154" s="9">
        <v>0</v>
      </c>
      <c r="CX154" s="9">
        <v>0</v>
      </c>
      <c r="CY154" s="9">
        <v>0</v>
      </c>
      <c r="CZ154" s="9">
        <v>0</v>
      </c>
      <c r="DA154" s="9">
        <v>1</v>
      </c>
      <c r="DB154" s="9">
        <v>3104326</v>
      </c>
      <c r="DC154" s="9">
        <v>0</v>
      </c>
      <c r="DD154" s="9">
        <v>0</v>
      </c>
      <c r="DE154" s="9">
        <v>0</v>
      </c>
      <c r="DF154" s="9">
        <v>0</v>
      </c>
      <c r="DG154" s="9">
        <v>0</v>
      </c>
      <c r="DH154" s="9">
        <v>0</v>
      </c>
      <c r="DI154" s="9">
        <v>0</v>
      </c>
      <c r="DJ154" s="9">
        <v>0</v>
      </c>
      <c r="DK154" s="9">
        <v>5392</v>
      </c>
      <c r="DL154" s="9">
        <v>0</v>
      </c>
      <c r="DM154" s="9">
        <v>237181</v>
      </c>
      <c r="DN154" s="9">
        <v>0</v>
      </c>
      <c r="DO154" s="9">
        <v>437</v>
      </c>
      <c r="DP154" s="9">
        <v>0</v>
      </c>
      <c r="DQ154" s="9">
        <v>0</v>
      </c>
      <c r="DR154" s="9">
        <v>0</v>
      </c>
      <c r="DS154" s="9">
        <v>0</v>
      </c>
      <c r="DT154" s="9">
        <v>2.8000000000000001E-2</v>
      </c>
      <c r="DU154" s="9">
        <v>0</v>
      </c>
      <c r="DV154" s="9">
        <v>0</v>
      </c>
      <c r="DW154" s="9">
        <v>1E-3</v>
      </c>
      <c r="DX154" s="9">
        <v>0</v>
      </c>
      <c r="DY154" s="9">
        <v>0</v>
      </c>
      <c r="DZ154" s="9">
        <v>8.900000000000001E-2</v>
      </c>
      <c r="EA154" s="9">
        <v>0</v>
      </c>
      <c r="EB154" s="9">
        <v>0</v>
      </c>
      <c r="EC154" s="9">
        <v>13.497</v>
      </c>
      <c r="ED154" s="9">
        <v>97201</v>
      </c>
      <c r="EE154" s="9">
        <v>0</v>
      </c>
      <c r="EF154" s="9">
        <v>0</v>
      </c>
      <c r="EG154" s="9">
        <v>0</v>
      </c>
      <c r="EH154" s="9">
        <v>139543</v>
      </c>
      <c r="EI154" s="9">
        <v>0</v>
      </c>
      <c r="EJ154" s="9">
        <v>0</v>
      </c>
      <c r="EK154" s="9">
        <v>5.298</v>
      </c>
      <c r="EL154" s="9">
        <v>0</v>
      </c>
      <c r="EM154" s="9">
        <v>0</v>
      </c>
      <c r="EN154" s="9">
        <v>1.0840000000000001</v>
      </c>
      <c r="EO154" s="9">
        <v>0</v>
      </c>
      <c r="EP154" s="9">
        <v>0</v>
      </c>
      <c r="EQ154" s="9">
        <v>6.3820000000000006</v>
      </c>
      <c r="ER154" s="9">
        <v>0</v>
      </c>
      <c r="ES154" s="9">
        <v>21.314</v>
      </c>
      <c r="ET154" s="9">
        <v>0</v>
      </c>
      <c r="EU154" s="9">
        <v>232990</v>
      </c>
      <c r="EV154" s="9">
        <v>0</v>
      </c>
      <c r="EW154" s="9">
        <v>0</v>
      </c>
      <c r="EX154" s="9">
        <v>0</v>
      </c>
      <c r="EY154" s="9">
        <v>0</v>
      </c>
      <c r="EZ154" s="9">
        <v>3127605</v>
      </c>
      <c r="FA154" s="9">
        <v>0</v>
      </c>
      <c r="FB154" s="9">
        <v>3360595</v>
      </c>
      <c r="FC154" s="9">
        <v>0.97326799999999991</v>
      </c>
      <c r="FD154" s="9">
        <v>0</v>
      </c>
      <c r="FE154" s="9">
        <v>505978</v>
      </c>
      <c r="FF154" s="9">
        <v>107748</v>
      </c>
      <c r="FG154" s="9">
        <v>5.8088000000000001E-2</v>
      </c>
      <c r="FH154" s="9">
        <v>5.2622999999999996E-2</v>
      </c>
      <c r="FI154" s="9">
        <v>0</v>
      </c>
      <c r="FJ154" s="9">
        <v>0</v>
      </c>
      <c r="FK154" s="9">
        <v>640.85800000000006</v>
      </c>
      <c r="FL154" s="9">
        <v>4059034</v>
      </c>
      <c r="FM154" s="9">
        <v>0</v>
      </c>
      <c r="FN154" s="9">
        <v>0</v>
      </c>
      <c r="FO154" s="9">
        <v>0</v>
      </c>
      <c r="FP154" s="9">
        <v>0</v>
      </c>
      <c r="FQ154" s="9">
        <v>0</v>
      </c>
      <c r="FR154" s="9">
        <v>0</v>
      </c>
      <c r="FS154" s="9">
        <v>0</v>
      </c>
      <c r="FT154" s="9">
        <v>0</v>
      </c>
      <c r="FU154" s="9">
        <v>0</v>
      </c>
      <c r="FV154" s="9">
        <v>0</v>
      </c>
      <c r="FW154" s="9">
        <v>0</v>
      </c>
      <c r="FX154" s="9">
        <v>0</v>
      </c>
      <c r="FY154" s="9">
        <v>0</v>
      </c>
      <c r="FZ154" s="9">
        <v>0</v>
      </c>
      <c r="GA154" s="9">
        <v>0</v>
      </c>
      <c r="GB154" s="9">
        <v>0</v>
      </c>
      <c r="GC154" s="9">
        <v>0</v>
      </c>
      <c r="GD154" s="9">
        <v>0</v>
      </c>
      <c r="GE154" s="9">
        <v>0</v>
      </c>
      <c r="GF154" s="9">
        <v>0</v>
      </c>
      <c r="GG154" s="9">
        <v>0</v>
      </c>
      <c r="GH154" s="9">
        <v>0</v>
      </c>
      <c r="GI154" s="9">
        <v>0</v>
      </c>
      <c r="GJ154" s="9">
        <v>0</v>
      </c>
      <c r="GK154" s="9">
        <v>5073.7610000000004</v>
      </c>
      <c r="GL154" s="9">
        <v>3679</v>
      </c>
      <c r="GM154" s="9">
        <v>0</v>
      </c>
      <c r="GN154" s="9">
        <v>0</v>
      </c>
      <c r="GO154" s="9">
        <v>0</v>
      </c>
      <c r="GP154" s="9">
        <v>3974321</v>
      </c>
      <c r="GQ154" s="9">
        <v>3974321</v>
      </c>
      <c r="GR154" s="9">
        <v>0</v>
      </c>
      <c r="GS154" s="9">
        <v>0</v>
      </c>
      <c r="GT154" s="9">
        <v>0</v>
      </c>
      <c r="GU154" s="9">
        <v>0</v>
      </c>
      <c r="GV154" s="9">
        <v>0</v>
      </c>
      <c r="GW154" s="9">
        <v>0</v>
      </c>
      <c r="GX154" s="9">
        <v>0</v>
      </c>
      <c r="GY154" s="9">
        <v>0</v>
      </c>
      <c r="GZ154" s="9">
        <v>0</v>
      </c>
      <c r="HA154" s="9">
        <v>0</v>
      </c>
      <c r="HB154" s="9">
        <v>300501363</v>
      </c>
      <c r="HC154" s="9">
        <v>4.4742999999999998E-2</v>
      </c>
      <c r="HD154" s="9">
        <v>84713</v>
      </c>
      <c r="HE154" s="9">
        <v>0</v>
      </c>
      <c r="HF154" s="9">
        <v>0</v>
      </c>
      <c r="HG154" s="9">
        <v>0</v>
      </c>
      <c r="HH154" s="9">
        <v>0</v>
      </c>
      <c r="HI154" s="9">
        <v>0</v>
      </c>
      <c r="HJ154" s="9">
        <v>0</v>
      </c>
      <c r="HK154" s="9">
        <v>0</v>
      </c>
      <c r="HL154" s="9">
        <v>0</v>
      </c>
      <c r="HM154" s="9">
        <v>0</v>
      </c>
      <c r="HN154" s="9">
        <v>0</v>
      </c>
      <c r="HO154" s="9">
        <v>0</v>
      </c>
      <c r="HP154" s="9">
        <v>0</v>
      </c>
      <c r="HQ154" s="9">
        <v>0</v>
      </c>
      <c r="HR154" s="9">
        <v>0</v>
      </c>
      <c r="HS154" s="9">
        <v>0</v>
      </c>
      <c r="HT154" s="9">
        <v>0</v>
      </c>
      <c r="HU154" s="9">
        <v>0</v>
      </c>
      <c r="HV154" s="9">
        <v>0</v>
      </c>
      <c r="HW154" s="9">
        <v>0</v>
      </c>
      <c r="HX154" s="9">
        <v>0</v>
      </c>
      <c r="HY154" s="9">
        <v>0</v>
      </c>
      <c r="HZ154" s="9">
        <v>0</v>
      </c>
      <c r="IA154" s="9">
        <v>0</v>
      </c>
      <c r="IB154" s="9">
        <v>0</v>
      </c>
      <c r="IC154" s="9">
        <v>0</v>
      </c>
      <c r="ID154" s="9">
        <v>0</v>
      </c>
      <c r="IE154" s="9">
        <v>0</v>
      </c>
      <c r="IF154" s="9">
        <v>0</v>
      </c>
      <c r="IG154" s="9">
        <v>0</v>
      </c>
      <c r="IH154" s="9">
        <v>0</v>
      </c>
      <c r="II154" s="9">
        <v>0</v>
      </c>
      <c r="IJ154" s="9">
        <v>0</v>
      </c>
      <c r="IK154" s="9">
        <v>0</v>
      </c>
      <c r="IL154" s="9">
        <v>0</v>
      </c>
      <c r="IM154" s="9">
        <v>0</v>
      </c>
      <c r="IN154" s="9">
        <v>0</v>
      </c>
      <c r="IO154" s="9">
        <v>0</v>
      </c>
      <c r="IP154" s="9">
        <v>0</v>
      </c>
      <c r="IQ154" s="9">
        <v>0</v>
      </c>
      <c r="IR154" s="9">
        <v>0</v>
      </c>
      <c r="IS154" s="9">
        <v>0</v>
      </c>
      <c r="IT154" s="9">
        <v>0</v>
      </c>
      <c r="IU154" s="9">
        <v>0</v>
      </c>
      <c r="IV154" s="9">
        <v>0</v>
      </c>
      <c r="IW154" s="9">
        <v>0</v>
      </c>
      <c r="IX154" s="9">
        <v>0</v>
      </c>
      <c r="IY154" s="9">
        <v>0</v>
      </c>
      <c r="IZ154" s="9">
        <v>0</v>
      </c>
      <c r="JA154" s="9">
        <v>0</v>
      </c>
      <c r="JB154" s="9">
        <v>0</v>
      </c>
      <c r="JC154" s="9">
        <v>0</v>
      </c>
      <c r="JD154" s="9">
        <v>0</v>
      </c>
      <c r="JE154" s="9">
        <v>0</v>
      </c>
      <c r="JF154" s="9">
        <v>0</v>
      </c>
      <c r="JG154" s="9">
        <v>0</v>
      </c>
      <c r="JH154" s="9">
        <v>0</v>
      </c>
      <c r="JI154" s="9">
        <v>0</v>
      </c>
      <c r="JJ154" s="9">
        <v>0</v>
      </c>
      <c r="JK154" s="9">
        <v>0</v>
      </c>
      <c r="JL154" s="9">
        <v>0</v>
      </c>
      <c r="JM154" s="9">
        <v>0</v>
      </c>
      <c r="JN154" s="9">
        <v>36832</v>
      </c>
      <c r="JO154" s="9">
        <v>0</v>
      </c>
      <c r="JP154" s="9">
        <v>0</v>
      </c>
      <c r="JQ154" s="9">
        <v>0</v>
      </c>
      <c r="JR154" s="9">
        <v>0</v>
      </c>
      <c r="JS154" s="9">
        <v>0</v>
      </c>
      <c r="JT154" s="9">
        <v>0</v>
      </c>
      <c r="JU154" s="9">
        <v>0</v>
      </c>
      <c r="JV154" s="9">
        <v>0</v>
      </c>
      <c r="JW154" s="9">
        <v>0</v>
      </c>
      <c r="JX154" s="9">
        <v>0</v>
      </c>
      <c r="JY154" s="9">
        <v>0</v>
      </c>
      <c r="JZ154" s="9">
        <v>0</v>
      </c>
      <c r="KA154" s="9">
        <v>0</v>
      </c>
      <c r="KB154" s="9">
        <v>0</v>
      </c>
      <c r="KC154" s="9">
        <v>0</v>
      </c>
      <c r="KD154" s="9">
        <v>0</v>
      </c>
      <c r="KE154" s="9">
        <v>0</v>
      </c>
      <c r="KF154" s="9">
        <v>0</v>
      </c>
      <c r="KG154" s="9">
        <v>0</v>
      </c>
      <c r="KH154" s="9">
        <v>0</v>
      </c>
      <c r="KI154" s="9">
        <v>0</v>
      </c>
    </row>
    <row r="155" spans="1:295" x14ac:dyDescent="0.25">
      <c r="A155" s="9">
        <v>183801</v>
      </c>
      <c r="B155" s="9">
        <v>36871</v>
      </c>
      <c r="C155" s="9">
        <v>35</v>
      </c>
      <c r="D155" s="9">
        <v>2023</v>
      </c>
      <c r="E155" s="9">
        <v>5392</v>
      </c>
      <c r="F155" s="9">
        <v>0</v>
      </c>
      <c r="G155" s="9">
        <v>0</v>
      </c>
      <c r="H155" s="9">
        <v>166.19400000000002</v>
      </c>
      <c r="I155" s="9">
        <v>166.19400000000002</v>
      </c>
      <c r="J155" s="9">
        <v>182.94500000000002</v>
      </c>
      <c r="K155" s="9">
        <v>0</v>
      </c>
      <c r="L155" s="9">
        <v>6547</v>
      </c>
      <c r="M155" s="9">
        <v>0</v>
      </c>
      <c r="N155" s="9">
        <v>0</v>
      </c>
      <c r="O155" s="9">
        <v>0</v>
      </c>
      <c r="P155" s="9">
        <v>152.84200000000001</v>
      </c>
      <c r="Q155" s="9">
        <v>0</v>
      </c>
      <c r="R155" s="9">
        <v>74422</v>
      </c>
      <c r="S155" s="9">
        <v>486.92200000000003</v>
      </c>
      <c r="T155" s="9">
        <v>0</v>
      </c>
      <c r="U155" s="9">
        <v>74422</v>
      </c>
      <c r="V155" s="9">
        <v>0</v>
      </c>
      <c r="W155" s="9">
        <v>0</v>
      </c>
      <c r="X155" s="9">
        <v>0</v>
      </c>
      <c r="Y155" s="9">
        <v>0</v>
      </c>
      <c r="Z155" s="9">
        <v>0</v>
      </c>
      <c r="AA155" s="9">
        <v>1</v>
      </c>
      <c r="AB155" s="9">
        <v>1</v>
      </c>
      <c r="AC155" s="9">
        <v>0</v>
      </c>
      <c r="AD155" s="9" t="s">
        <v>314</v>
      </c>
      <c r="AE155" s="9">
        <v>0</v>
      </c>
      <c r="AF155" s="9">
        <v>0</v>
      </c>
      <c r="AG155" s="9">
        <v>0</v>
      </c>
      <c r="AH155" s="9">
        <v>0</v>
      </c>
      <c r="AI155" s="9">
        <v>0</v>
      </c>
      <c r="AJ155" s="9">
        <v>5104</v>
      </c>
      <c r="AK155" s="9" t="s">
        <v>651</v>
      </c>
      <c r="AL155" s="9" t="s">
        <v>71</v>
      </c>
      <c r="AM155" s="9">
        <v>0</v>
      </c>
      <c r="AN155" s="9">
        <v>0</v>
      </c>
      <c r="AO155" s="9">
        <v>0</v>
      </c>
      <c r="AP155" s="9">
        <v>0</v>
      </c>
      <c r="AQ155" s="9">
        <v>0</v>
      </c>
      <c r="AR155" s="9">
        <v>0</v>
      </c>
      <c r="AS155" s="9">
        <v>0</v>
      </c>
      <c r="AT155" s="9">
        <v>0</v>
      </c>
      <c r="AU155" s="9">
        <v>0</v>
      </c>
      <c r="AV155" s="9">
        <v>18134</v>
      </c>
      <c r="AW155" s="9">
        <v>1669624</v>
      </c>
      <c r="AX155" s="9">
        <v>1587746</v>
      </c>
      <c r="AY155" s="9">
        <v>1856219</v>
      </c>
      <c r="AZ155" s="9">
        <v>116882</v>
      </c>
      <c r="BA155" s="9">
        <v>11.583</v>
      </c>
      <c r="BB155" s="9">
        <v>7186</v>
      </c>
      <c r="BC155" s="9">
        <v>7186</v>
      </c>
      <c r="BD155" s="9">
        <v>9.1470000000000002</v>
      </c>
      <c r="BE155" s="9">
        <v>0</v>
      </c>
      <c r="BF155" s="9">
        <v>1367919</v>
      </c>
      <c r="BG155" s="9">
        <v>0</v>
      </c>
      <c r="BH155" s="9">
        <v>154.4</v>
      </c>
      <c r="BI155" s="9">
        <v>42460</v>
      </c>
      <c r="BJ155" s="9">
        <v>12</v>
      </c>
      <c r="BK155" s="9">
        <v>0</v>
      </c>
      <c r="BL155" s="9">
        <v>0</v>
      </c>
      <c r="BM155" s="9">
        <v>0</v>
      </c>
      <c r="BN155" s="9">
        <v>0</v>
      </c>
      <c r="BO155" s="9">
        <v>0</v>
      </c>
      <c r="BP155" s="9">
        <v>0</v>
      </c>
      <c r="BQ155" s="9">
        <v>5392</v>
      </c>
      <c r="BR155" s="9">
        <v>1</v>
      </c>
      <c r="BS155" s="9">
        <v>0</v>
      </c>
      <c r="BT155" s="9">
        <v>0</v>
      </c>
      <c r="BU155" s="9">
        <v>0</v>
      </c>
      <c r="BV155" s="9">
        <v>0</v>
      </c>
      <c r="BW155" s="9">
        <v>0</v>
      </c>
      <c r="BX155" s="9">
        <v>0</v>
      </c>
      <c r="BY155" s="9">
        <v>0</v>
      </c>
      <c r="BZ155" s="9">
        <v>0</v>
      </c>
      <c r="CA155" s="9">
        <v>0</v>
      </c>
      <c r="CB155" s="9">
        <v>0</v>
      </c>
      <c r="CC155" s="9">
        <v>0</v>
      </c>
      <c r="CD155" s="9">
        <v>0</v>
      </c>
      <c r="CE155" s="9">
        <v>0</v>
      </c>
      <c r="CF155" s="9">
        <v>0</v>
      </c>
      <c r="CG155" s="9">
        <v>0</v>
      </c>
      <c r="CH155" s="9">
        <v>39418</v>
      </c>
      <c r="CI155" s="9">
        <v>0</v>
      </c>
      <c r="CJ155" s="9">
        <v>4</v>
      </c>
      <c r="CK155" s="9">
        <v>0</v>
      </c>
      <c r="CL155" s="9">
        <v>0</v>
      </c>
      <c r="CM155" s="9">
        <v>0</v>
      </c>
      <c r="CN155" s="9">
        <v>0</v>
      </c>
      <c r="CO155" s="9">
        <v>0</v>
      </c>
      <c r="CP155" s="9">
        <v>0</v>
      </c>
      <c r="CQ155" s="9">
        <v>5.5</v>
      </c>
      <c r="CR155" s="9">
        <v>152.84200000000001</v>
      </c>
      <c r="CS155" s="9">
        <v>0</v>
      </c>
      <c r="CT155" s="9">
        <v>0</v>
      </c>
      <c r="CU155" s="9">
        <v>0</v>
      </c>
      <c r="CV155" s="9">
        <v>0</v>
      </c>
      <c r="CW155" s="9">
        <v>0</v>
      </c>
      <c r="CX155" s="9">
        <v>0</v>
      </c>
      <c r="CY155" s="9">
        <v>0</v>
      </c>
      <c r="CZ155" s="9">
        <v>0</v>
      </c>
      <c r="DA155" s="9">
        <v>1</v>
      </c>
      <c r="DB155" s="9">
        <v>1088072</v>
      </c>
      <c r="DC155" s="9">
        <v>0</v>
      </c>
      <c r="DD155" s="9">
        <v>0</v>
      </c>
      <c r="DE155" s="9">
        <v>74413</v>
      </c>
      <c r="DF155" s="9">
        <v>74413</v>
      </c>
      <c r="DG155" s="9">
        <v>56.83</v>
      </c>
      <c r="DH155" s="9">
        <v>0</v>
      </c>
      <c r="DI155" s="9">
        <v>0</v>
      </c>
      <c r="DJ155" s="9">
        <v>0</v>
      </c>
      <c r="DK155" s="9">
        <v>5392</v>
      </c>
      <c r="DL155" s="9">
        <v>0</v>
      </c>
      <c r="DM155" s="9">
        <v>89234</v>
      </c>
      <c r="DN155" s="9">
        <v>0</v>
      </c>
      <c r="DO155" s="9">
        <v>0</v>
      </c>
      <c r="DP155" s="9">
        <v>0</v>
      </c>
      <c r="DQ155" s="9">
        <v>0</v>
      </c>
      <c r="DR155" s="9">
        <v>0</v>
      </c>
      <c r="DS155" s="9">
        <v>0</v>
      </c>
      <c r="DT155" s="9">
        <v>0</v>
      </c>
      <c r="DU155" s="9">
        <v>0</v>
      </c>
      <c r="DV155" s="9">
        <v>0</v>
      </c>
      <c r="DW155" s="9">
        <v>0</v>
      </c>
      <c r="DX155" s="9">
        <v>0</v>
      </c>
      <c r="DY155" s="9">
        <v>0</v>
      </c>
      <c r="DZ155" s="9">
        <v>0</v>
      </c>
      <c r="EA155" s="9">
        <v>0</v>
      </c>
      <c r="EB155" s="9">
        <v>0</v>
      </c>
      <c r="EC155" s="9">
        <v>11.887</v>
      </c>
      <c r="ED155" s="9">
        <v>85607</v>
      </c>
      <c r="EE155" s="9">
        <v>0</v>
      </c>
      <c r="EF155" s="9">
        <v>0</v>
      </c>
      <c r="EG155" s="9">
        <v>0</v>
      </c>
      <c r="EH155" s="9">
        <v>3627</v>
      </c>
      <c r="EI155" s="9">
        <v>0</v>
      </c>
      <c r="EJ155" s="9">
        <v>0</v>
      </c>
      <c r="EK155" s="9">
        <v>0.13800000000000001</v>
      </c>
      <c r="EL155" s="9">
        <v>0</v>
      </c>
      <c r="EM155" s="9">
        <v>0</v>
      </c>
      <c r="EN155" s="9">
        <v>2.8000000000000001E-2</v>
      </c>
      <c r="EO155" s="9">
        <v>0</v>
      </c>
      <c r="EP155" s="9">
        <v>0</v>
      </c>
      <c r="EQ155" s="9">
        <v>0.16600000000000001</v>
      </c>
      <c r="ER155" s="9">
        <v>0</v>
      </c>
      <c r="ES155" s="9">
        <v>0.55400000000000005</v>
      </c>
      <c r="ET155" s="9">
        <v>7167</v>
      </c>
      <c r="EU155" s="9">
        <v>116882</v>
      </c>
      <c r="EV155" s="9">
        <v>0</v>
      </c>
      <c r="EW155" s="9">
        <v>0</v>
      </c>
      <c r="EX155" s="9">
        <v>0</v>
      </c>
      <c r="EY155" s="9">
        <v>0</v>
      </c>
      <c r="EZ155" s="9">
        <v>1331069</v>
      </c>
      <c r="FA155" s="9">
        <v>0</v>
      </c>
      <c r="FB155" s="9">
        <v>1447951</v>
      </c>
      <c r="FC155" s="9">
        <v>0.97326799999999991</v>
      </c>
      <c r="FD155" s="9">
        <v>0</v>
      </c>
      <c r="FE155" s="9">
        <v>211614</v>
      </c>
      <c r="FF155" s="9">
        <v>45063</v>
      </c>
      <c r="FG155" s="9">
        <v>5.8088000000000001E-2</v>
      </c>
      <c r="FH155" s="9">
        <v>5.2622999999999996E-2</v>
      </c>
      <c r="FI155" s="9">
        <v>0</v>
      </c>
      <c r="FJ155" s="9">
        <v>0</v>
      </c>
      <c r="FK155" s="9">
        <v>268.024</v>
      </c>
      <c r="FL155" s="9">
        <v>1744046</v>
      </c>
      <c r="FM155" s="9">
        <v>0</v>
      </c>
      <c r="FN155" s="9">
        <v>0</v>
      </c>
      <c r="FO155" s="9">
        <v>0</v>
      </c>
      <c r="FP155" s="9">
        <v>0</v>
      </c>
      <c r="FQ155" s="9">
        <v>0</v>
      </c>
      <c r="FR155" s="9">
        <v>0</v>
      </c>
      <c r="FS155" s="9">
        <v>0</v>
      </c>
      <c r="FT155" s="9">
        <v>0</v>
      </c>
      <c r="FU155" s="9">
        <v>0</v>
      </c>
      <c r="FV155" s="9">
        <v>0</v>
      </c>
      <c r="FW155" s="9">
        <v>0</v>
      </c>
      <c r="FX155" s="9">
        <v>0</v>
      </c>
      <c r="FY155" s="9">
        <v>0</v>
      </c>
      <c r="FZ155" s="9">
        <v>0</v>
      </c>
      <c r="GA155" s="9">
        <v>0</v>
      </c>
      <c r="GB155" s="9">
        <v>146586</v>
      </c>
      <c r="GC155" s="9">
        <v>146586</v>
      </c>
      <c r="GD155" s="9">
        <v>16.585000000000001</v>
      </c>
      <c r="GE155" s="9">
        <v>0</v>
      </c>
      <c r="GF155" s="9">
        <v>0</v>
      </c>
      <c r="GG155" s="9">
        <v>0</v>
      </c>
      <c r="GH155" s="9">
        <v>0</v>
      </c>
      <c r="GI155" s="9">
        <v>0</v>
      </c>
      <c r="GJ155" s="9">
        <v>0</v>
      </c>
      <c r="GK155" s="9">
        <v>5402</v>
      </c>
      <c r="GL155" s="9">
        <v>4530</v>
      </c>
      <c r="GM155" s="9">
        <v>0</v>
      </c>
      <c r="GN155" s="9">
        <v>0</v>
      </c>
      <c r="GO155" s="9">
        <v>0</v>
      </c>
      <c r="GP155" s="9">
        <v>1704628</v>
      </c>
      <c r="GQ155" s="9">
        <v>1704628</v>
      </c>
      <c r="GR155" s="9">
        <v>0</v>
      </c>
      <c r="GS155" s="9">
        <v>0</v>
      </c>
      <c r="GT155" s="9">
        <v>0</v>
      </c>
      <c r="GU155" s="9">
        <v>0</v>
      </c>
      <c r="GV155" s="9">
        <v>0</v>
      </c>
      <c r="GW155" s="9">
        <v>0</v>
      </c>
      <c r="GX155" s="9">
        <v>0</v>
      </c>
      <c r="GY155" s="9">
        <v>0</v>
      </c>
      <c r="GZ155" s="9">
        <v>0</v>
      </c>
      <c r="HA155" s="9">
        <v>0</v>
      </c>
      <c r="HB155" s="9">
        <v>300501363</v>
      </c>
      <c r="HC155" s="9">
        <v>4.4742999999999998E-2</v>
      </c>
      <c r="HD155" s="9">
        <v>32251</v>
      </c>
      <c r="HE155" s="9">
        <v>0</v>
      </c>
      <c r="HF155" s="9">
        <v>0</v>
      </c>
      <c r="HG155" s="9">
        <v>0</v>
      </c>
      <c r="HH155" s="9">
        <v>0</v>
      </c>
      <c r="HI155" s="9">
        <v>0</v>
      </c>
      <c r="HJ155" s="9">
        <v>0</v>
      </c>
      <c r="HK155" s="9">
        <v>0</v>
      </c>
      <c r="HL155" s="9">
        <v>0</v>
      </c>
      <c r="HM155" s="9">
        <v>0</v>
      </c>
      <c r="HN155" s="9">
        <v>0</v>
      </c>
      <c r="HO155" s="9">
        <v>0</v>
      </c>
      <c r="HP155" s="9">
        <v>0</v>
      </c>
      <c r="HQ155" s="9">
        <v>0</v>
      </c>
      <c r="HR155" s="9">
        <v>0</v>
      </c>
      <c r="HS155" s="9">
        <v>0</v>
      </c>
      <c r="HT155" s="9">
        <v>0</v>
      </c>
      <c r="HU155" s="9">
        <v>0</v>
      </c>
      <c r="HV155" s="9">
        <v>0</v>
      </c>
      <c r="HW155" s="9">
        <v>0</v>
      </c>
      <c r="HX155" s="9">
        <v>0</v>
      </c>
      <c r="HY155" s="9">
        <v>0</v>
      </c>
      <c r="HZ155" s="9">
        <v>0</v>
      </c>
      <c r="IA155" s="9">
        <v>0</v>
      </c>
      <c r="IB155" s="9">
        <v>0</v>
      </c>
      <c r="IC155" s="9">
        <v>0</v>
      </c>
      <c r="ID155" s="9">
        <v>0</v>
      </c>
      <c r="IE155" s="9">
        <v>0</v>
      </c>
      <c r="IF155" s="9">
        <v>0</v>
      </c>
      <c r="IG155" s="9">
        <v>0</v>
      </c>
      <c r="IH155" s="9">
        <v>0</v>
      </c>
      <c r="II155" s="9">
        <v>0</v>
      </c>
      <c r="IJ155" s="9">
        <v>0</v>
      </c>
      <c r="IK155" s="9">
        <v>0</v>
      </c>
      <c r="IL155" s="9">
        <v>0</v>
      </c>
      <c r="IM155" s="9">
        <v>0</v>
      </c>
      <c r="IN155" s="9">
        <v>0</v>
      </c>
      <c r="IO155" s="9">
        <v>0</v>
      </c>
      <c r="IP155" s="9">
        <v>0</v>
      </c>
      <c r="IQ155" s="9">
        <v>0</v>
      </c>
      <c r="IR155" s="9">
        <v>0</v>
      </c>
      <c r="IS155" s="9">
        <v>0</v>
      </c>
      <c r="IT155" s="9">
        <v>0</v>
      </c>
      <c r="IU155" s="9">
        <v>0</v>
      </c>
      <c r="IV155" s="9">
        <v>0</v>
      </c>
      <c r="IW155" s="9">
        <v>0</v>
      </c>
      <c r="IX155" s="9">
        <v>0</v>
      </c>
      <c r="IY155" s="9">
        <v>0</v>
      </c>
      <c r="IZ155" s="9">
        <v>0</v>
      </c>
      <c r="JA155" s="9">
        <v>0</v>
      </c>
      <c r="JB155" s="9">
        <v>0</v>
      </c>
      <c r="JC155" s="9">
        <v>0</v>
      </c>
      <c r="JD155" s="9">
        <v>0</v>
      </c>
      <c r="JE155" s="9">
        <v>0</v>
      </c>
      <c r="JF155" s="9">
        <v>0</v>
      </c>
      <c r="JG155" s="9">
        <v>0</v>
      </c>
      <c r="JH155" s="9">
        <v>0</v>
      </c>
      <c r="JI155" s="9">
        <v>0</v>
      </c>
      <c r="JJ155" s="9">
        <v>0</v>
      </c>
      <c r="JK155" s="9">
        <v>0</v>
      </c>
      <c r="JL155" s="9">
        <v>0</v>
      </c>
      <c r="JM155" s="9">
        <v>0</v>
      </c>
      <c r="JN155" s="9">
        <v>36832</v>
      </c>
      <c r="JO155" s="9">
        <v>0</v>
      </c>
      <c r="JP155" s="9">
        <v>0</v>
      </c>
      <c r="JQ155" s="9">
        <v>0</v>
      </c>
      <c r="JR155" s="9">
        <v>0</v>
      </c>
      <c r="JS155" s="9">
        <v>0</v>
      </c>
      <c r="JT155" s="9">
        <v>0</v>
      </c>
      <c r="JU155" s="9">
        <v>0</v>
      </c>
      <c r="JV155" s="9">
        <v>0</v>
      </c>
      <c r="JW155" s="9">
        <v>0</v>
      </c>
      <c r="JX155" s="9">
        <v>0</v>
      </c>
      <c r="JY155" s="9">
        <v>0</v>
      </c>
      <c r="JZ155" s="9">
        <v>0</v>
      </c>
      <c r="KA155" s="9">
        <v>0</v>
      </c>
      <c r="KB155" s="9">
        <v>0</v>
      </c>
      <c r="KC155" s="9">
        <v>0</v>
      </c>
      <c r="KD155" s="9">
        <v>0</v>
      </c>
      <c r="KE155" s="9">
        <v>0</v>
      </c>
      <c r="KF155" s="9">
        <v>0</v>
      </c>
      <c r="KG155" s="9">
        <v>0</v>
      </c>
      <c r="KH155" s="9">
        <v>0</v>
      </c>
      <c r="KI155" s="9">
        <v>0</v>
      </c>
    </row>
    <row r="156" spans="1:295" x14ac:dyDescent="0.25">
      <c r="A156" s="9">
        <v>184801</v>
      </c>
      <c r="B156" s="9">
        <v>36871</v>
      </c>
      <c r="C156" s="9">
        <v>35</v>
      </c>
      <c r="D156" s="9">
        <v>2023</v>
      </c>
      <c r="E156" s="9">
        <v>5392</v>
      </c>
      <c r="F156" s="9">
        <v>0</v>
      </c>
      <c r="G156" s="9">
        <v>0</v>
      </c>
      <c r="H156" s="9">
        <v>100.12700000000001</v>
      </c>
      <c r="I156" s="9">
        <v>100.12700000000001</v>
      </c>
      <c r="J156" s="9">
        <v>138.97499999999999</v>
      </c>
      <c r="K156" s="9">
        <v>0</v>
      </c>
      <c r="L156" s="9">
        <v>6547</v>
      </c>
      <c r="M156" s="9">
        <v>0</v>
      </c>
      <c r="N156" s="9">
        <v>0</v>
      </c>
      <c r="O156" s="9">
        <v>0</v>
      </c>
      <c r="P156" s="9">
        <v>129.61600000000001</v>
      </c>
      <c r="Q156" s="9">
        <v>0</v>
      </c>
      <c r="R156" s="9">
        <v>63113</v>
      </c>
      <c r="S156" s="9">
        <v>486.92200000000003</v>
      </c>
      <c r="T156" s="9">
        <v>0</v>
      </c>
      <c r="U156" s="9">
        <v>63113</v>
      </c>
      <c r="V156" s="9">
        <v>0.53200000000000003</v>
      </c>
      <c r="W156" s="9">
        <v>348</v>
      </c>
      <c r="X156" s="9">
        <v>348</v>
      </c>
      <c r="Y156" s="9">
        <v>0</v>
      </c>
      <c r="Z156" s="9">
        <v>0</v>
      </c>
      <c r="AA156" s="9">
        <v>1</v>
      </c>
      <c r="AB156" s="9">
        <v>1</v>
      </c>
      <c r="AC156" s="9">
        <v>0</v>
      </c>
      <c r="AD156" s="9" t="s">
        <v>314</v>
      </c>
      <c r="AE156" s="9">
        <v>0</v>
      </c>
      <c r="AF156" s="9">
        <v>0</v>
      </c>
      <c r="AG156" s="9">
        <v>0</v>
      </c>
      <c r="AH156" s="9">
        <v>0</v>
      </c>
      <c r="AI156" s="9">
        <v>0</v>
      </c>
      <c r="AJ156" s="9">
        <v>5104</v>
      </c>
      <c r="AK156" s="9" t="s">
        <v>651</v>
      </c>
      <c r="AL156" s="9" t="s">
        <v>6</v>
      </c>
      <c r="AM156" s="9">
        <v>0</v>
      </c>
      <c r="AN156" s="9">
        <v>0</v>
      </c>
      <c r="AO156" s="9">
        <v>0</v>
      </c>
      <c r="AP156" s="9">
        <v>0</v>
      </c>
      <c r="AQ156" s="9">
        <v>0</v>
      </c>
      <c r="AR156" s="9">
        <v>0</v>
      </c>
      <c r="AS156" s="9">
        <v>0</v>
      </c>
      <c r="AT156" s="9">
        <v>0</v>
      </c>
      <c r="AU156" s="9">
        <v>0</v>
      </c>
      <c r="AV156" s="9">
        <v>-19781</v>
      </c>
      <c r="AW156" s="9">
        <v>1392149</v>
      </c>
      <c r="AX156" s="9">
        <v>1334616</v>
      </c>
      <c r="AY156" s="9">
        <v>1398469</v>
      </c>
      <c r="AZ156" s="9">
        <v>93855</v>
      </c>
      <c r="BA156" s="9">
        <v>3</v>
      </c>
      <c r="BB156" s="9">
        <v>0</v>
      </c>
      <c r="BC156" s="9">
        <v>0</v>
      </c>
      <c r="BD156" s="9">
        <v>0</v>
      </c>
      <c r="BE156" s="9">
        <v>0</v>
      </c>
      <c r="BF156" s="9">
        <v>1150294</v>
      </c>
      <c r="BG156" s="9">
        <v>0</v>
      </c>
      <c r="BH156" s="9">
        <v>111.789</v>
      </c>
      <c r="BI156" s="9">
        <v>30742</v>
      </c>
      <c r="BJ156" s="9">
        <v>12</v>
      </c>
      <c r="BK156" s="9">
        <v>0</v>
      </c>
      <c r="BL156" s="9">
        <v>0</v>
      </c>
      <c r="BM156" s="9">
        <v>0</v>
      </c>
      <c r="BN156" s="9">
        <v>0</v>
      </c>
      <c r="BO156" s="9">
        <v>0</v>
      </c>
      <c r="BP156" s="9">
        <v>0</v>
      </c>
      <c r="BQ156" s="9">
        <v>5392</v>
      </c>
      <c r="BR156" s="9">
        <v>1</v>
      </c>
      <c r="BS156" s="9">
        <v>0</v>
      </c>
      <c r="BT156" s="9">
        <v>0</v>
      </c>
      <c r="BU156" s="9">
        <v>0</v>
      </c>
      <c r="BV156" s="9">
        <v>0</v>
      </c>
      <c r="BW156" s="9">
        <v>0</v>
      </c>
      <c r="BX156" s="9">
        <v>0</v>
      </c>
      <c r="BY156" s="9">
        <v>0</v>
      </c>
      <c r="BZ156" s="9">
        <v>0</v>
      </c>
      <c r="CA156" s="9">
        <v>0</v>
      </c>
      <c r="CB156" s="9">
        <v>0</v>
      </c>
      <c r="CC156" s="9">
        <v>0</v>
      </c>
      <c r="CD156" s="9">
        <v>0</v>
      </c>
      <c r="CE156" s="9">
        <v>0</v>
      </c>
      <c r="CF156" s="9">
        <v>0</v>
      </c>
      <c r="CG156" s="9">
        <v>0</v>
      </c>
      <c r="CH156" s="9">
        <v>26791</v>
      </c>
      <c r="CI156" s="9">
        <v>0</v>
      </c>
      <c r="CJ156" s="9">
        <v>4</v>
      </c>
      <c r="CK156" s="9">
        <v>0</v>
      </c>
      <c r="CL156" s="9">
        <v>0</v>
      </c>
      <c r="CM156" s="9">
        <v>0</v>
      </c>
      <c r="CN156" s="9">
        <v>0</v>
      </c>
      <c r="CO156" s="9">
        <v>0</v>
      </c>
      <c r="CP156" s="9">
        <v>0.14200000000000002</v>
      </c>
      <c r="CQ156" s="9">
        <v>3.1670000000000003</v>
      </c>
      <c r="CR156" s="9">
        <v>128.41499999999999</v>
      </c>
      <c r="CS156" s="9">
        <v>0</v>
      </c>
      <c r="CT156" s="9">
        <v>0</v>
      </c>
      <c r="CU156" s="9">
        <v>0</v>
      </c>
      <c r="CV156" s="9">
        <v>0</v>
      </c>
      <c r="CW156" s="9">
        <v>0</v>
      </c>
      <c r="CX156" s="9">
        <v>0</v>
      </c>
      <c r="CY156" s="9">
        <v>0</v>
      </c>
      <c r="CZ156" s="9">
        <v>0</v>
      </c>
      <c r="DA156" s="9">
        <v>1</v>
      </c>
      <c r="DB156" s="9">
        <v>655531</v>
      </c>
      <c r="DC156" s="9">
        <v>0</v>
      </c>
      <c r="DD156" s="9">
        <v>0</v>
      </c>
      <c r="DE156" s="9">
        <v>99514</v>
      </c>
      <c r="DF156" s="9">
        <v>101755</v>
      </c>
      <c r="DG156" s="9">
        <v>76</v>
      </c>
      <c r="DH156" s="9">
        <v>0</v>
      </c>
      <c r="DI156" s="9">
        <v>2241</v>
      </c>
      <c r="DJ156" s="9">
        <v>0</v>
      </c>
      <c r="DK156" s="9">
        <v>5392</v>
      </c>
      <c r="DL156" s="9">
        <v>0</v>
      </c>
      <c r="DM156" s="9">
        <v>81207</v>
      </c>
      <c r="DN156" s="9">
        <v>0</v>
      </c>
      <c r="DO156" s="9">
        <v>0</v>
      </c>
      <c r="DP156" s="9">
        <v>0</v>
      </c>
      <c r="DQ156" s="9">
        <v>0</v>
      </c>
      <c r="DR156" s="9">
        <v>0</v>
      </c>
      <c r="DS156" s="9">
        <v>0</v>
      </c>
      <c r="DT156" s="9">
        <v>0</v>
      </c>
      <c r="DU156" s="9">
        <v>0</v>
      </c>
      <c r="DV156" s="9">
        <v>0</v>
      </c>
      <c r="DW156" s="9">
        <v>0</v>
      </c>
      <c r="DX156" s="9">
        <v>0</v>
      </c>
      <c r="DY156" s="9">
        <v>0</v>
      </c>
      <c r="DZ156" s="9">
        <v>0</v>
      </c>
      <c r="EA156" s="9">
        <v>0</v>
      </c>
      <c r="EB156" s="9">
        <v>0</v>
      </c>
      <c r="EC156" s="9">
        <v>11.117000000000001</v>
      </c>
      <c r="ED156" s="9">
        <v>80061</v>
      </c>
      <c r="EE156" s="9">
        <v>0</v>
      </c>
      <c r="EF156" s="9">
        <v>0</v>
      </c>
      <c r="EG156" s="9">
        <v>0</v>
      </c>
      <c r="EH156" s="9">
        <v>1146</v>
      </c>
      <c r="EI156" s="9">
        <v>0</v>
      </c>
      <c r="EJ156" s="9">
        <v>0</v>
      </c>
      <c r="EK156" s="9">
        <v>0</v>
      </c>
      <c r="EL156" s="9">
        <v>0</v>
      </c>
      <c r="EM156" s="9">
        <v>0</v>
      </c>
      <c r="EN156" s="9">
        <v>3.5000000000000003E-2</v>
      </c>
      <c r="EO156" s="9">
        <v>0</v>
      </c>
      <c r="EP156" s="9">
        <v>0</v>
      </c>
      <c r="EQ156" s="9">
        <v>3.5000000000000003E-2</v>
      </c>
      <c r="ER156" s="9">
        <v>0</v>
      </c>
      <c r="ES156" s="9">
        <v>0.17500000000000002</v>
      </c>
      <c r="ET156" s="9">
        <v>2292</v>
      </c>
      <c r="EU156" s="9">
        <v>93855</v>
      </c>
      <c r="EV156" s="9">
        <v>0</v>
      </c>
      <c r="EW156" s="9">
        <v>0</v>
      </c>
      <c r="EX156" s="9">
        <v>0</v>
      </c>
      <c r="EY156" s="9">
        <v>0</v>
      </c>
      <c r="EZ156" s="9">
        <v>1118775</v>
      </c>
      <c r="FA156" s="9">
        <v>0</v>
      </c>
      <c r="FB156" s="9">
        <v>1212630</v>
      </c>
      <c r="FC156" s="9">
        <v>0.97326799999999991</v>
      </c>
      <c r="FD156" s="9">
        <v>0</v>
      </c>
      <c r="FE156" s="9">
        <v>177947</v>
      </c>
      <c r="FF156" s="9">
        <v>37894</v>
      </c>
      <c r="FG156" s="9">
        <v>5.8088000000000001E-2</v>
      </c>
      <c r="FH156" s="9">
        <v>5.2622999999999996E-2</v>
      </c>
      <c r="FI156" s="9">
        <v>0</v>
      </c>
      <c r="FJ156" s="9">
        <v>0</v>
      </c>
      <c r="FK156" s="9">
        <v>225.38300000000001</v>
      </c>
      <c r="FL156" s="9">
        <v>1455262</v>
      </c>
      <c r="FM156" s="9">
        <v>0</v>
      </c>
      <c r="FN156" s="9">
        <v>0</v>
      </c>
      <c r="FO156" s="9">
        <v>0</v>
      </c>
      <c r="FP156" s="9">
        <v>0</v>
      </c>
      <c r="FQ156" s="9">
        <v>0</v>
      </c>
      <c r="FR156" s="9">
        <v>0</v>
      </c>
      <c r="FS156" s="9">
        <v>0</v>
      </c>
      <c r="FT156" s="9">
        <v>0</v>
      </c>
      <c r="FU156" s="9">
        <v>0</v>
      </c>
      <c r="FV156" s="9">
        <v>0</v>
      </c>
      <c r="FW156" s="9">
        <v>0</v>
      </c>
      <c r="FX156" s="9">
        <v>0</v>
      </c>
      <c r="FY156" s="9">
        <v>0</v>
      </c>
      <c r="FZ156" s="9">
        <v>0</v>
      </c>
      <c r="GA156" s="9">
        <v>0</v>
      </c>
      <c r="GB156" s="9">
        <v>343047</v>
      </c>
      <c r="GC156" s="9">
        <v>343047</v>
      </c>
      <c r="GD156" s="9">
        <v>38.813000000000002</v>
      </c>
      <c r="GE156" s="9">
        <v>0</v>
      </c>
      <c r="GF156" s="9">
        <v>0</v>
      </c>
      <c r="GG156" s="9">
        <v>0</v>
      </c>
      <c r="GH156" s="9">
        <v>0</v>
      </c>
      <c r="GI156" s="9">
        <v>0</v>
      </c>
      <c r="GJ156" s="9">
        <v>0</v>
      </c>
      <c r="GK156" s="9">
        <v>5285</v>
      </c>
      <c r="GL156" s="9">
        <v>4613</v>
      </c>
      <c r="GM156" s="9">
        <v>0</v>
      </c>
      <c r="GN156" s="9">
        <v>0</v>
      </c>
      <c r="GO156" s="9">
        <v>0</v>
      </c>
      <c r="GP156" s="9">
        <v>1428471</v>
      </c>
      <c r="GQ156" s="9">
        <v>1428471</v>
      </c>
      <c r="GR156" s="9">
        <v>0</v>
      </c>
      <c r="GS156" s="9">
        <v>0</v>
      </c>
      <c r="GT156" s="9">
        <v>0</v>
      </c>
      <c r="GU156" s="9">
        <v>0</v>
      </c>
      <c r="GV156" s="9">
        <v>0</v>
      </c>
      <c r="GW156" s="9">
        <v>0</v>
      </c>
      <c r="GX156" s="9">
        <v>0</v>
      </c>
      <c r="GY156" s="9">
        <v>0</v>
      </c>
      <c r="GZ156" s="9">
        <v>0</v>
      </c>
      <c r="HA156" s="9">
        <v>0</v>
      </c>
      <c r="HB156" s="9">
        <v>300501363</v>
      </c>
      <c r="HC156" s="9">
        <v>4.4742999999999998E-2</v>
      </c>
      <c r="HD156" s="9">
        <v>24499</v>
      </c>
      <c r="HE156" s="9">
        <v>0</v>
      </c>
      <c r="HF156" s="9">
        <v>0</v>
      </c>
      <c r="HG156" s="9">
        <v>0</v>
      </c>
      <c r="HH156" s="9">
        <v>0</v>
      </c>
      <c r="HI156" s="9">
        <v>0</v>
      </c>
      <c r="HJ156" s="9">
        <v>0</v>
      </c>
      <c r="HK156" s="9">
        <v>0</v>
      </c>
      <c r="HL156" s="9">
        <v>0</v>
      </c>
      <c r="HM156" s="9">
        <v>0</v>
      </c>
      <c r="HN156" s="9">
        <v>0</v>
      </c>
      <c r="HO156" s="9">
        <v>0</v>
      </c>
      <c r="HP156" s="9">
        <v>0</v>
      </c>
      <c r="HQ156" s="9">
        <v>0</v>
      </c>
      <c r="HR156" s="9">
        <v>0</v>
      </c>
      <c r="HS156" s="9">
        <v>0</v>
      </c>
      <c r="HT156" s="9">
        <v>0</v>
      </c>
      <c r="HU156" s="9">
        <v>0</v>
      </c>
      <c r="HV156" s="9">
        <v>0</v>
      </c>
      <c r="HW156" s="9">
        <v>0</v>
      </c>
      <c r="HX156" s="9">
        <v>0</v>
      </c>
      <c r="HY156" s="9">
        <v>0</v>
      </c>
      <c r="HZ156" s="9">
        <v>0</v>
      </c>
      <c r="IA156" s="9">
        <v>0</v>
      </c>
      <c r="IB156" s="9">
        <v>0</v>
      </c>
      <c r="IC156" s="9">
        <v>0</v>
      </c>
      <c r="ID156" s="9">
        <v>0</v>
      </c>
      <c r="IE156" s="9">
        <v>0</v>
      </c>
      <c r="IF156" s="9">
        <v>0</v>
      </c>
      <c r="IG156" s="9">
        <v>0</v>
      </c>
      <c r="IH156" s="9">
        <v>0</v>
      </c>
      <c r="II156" s="9">
        <v>0</v>
      </c>
      <c r="IJ156" s="9">
        <v>0</v>
      </c>
      <c r="IK156" s="9">
        <v>0</v>
      </c>
      <c r="IL156" s="9">
        <v>0</v>
      </c>
      <c r="IM156" s="9">
        <v>0</v>
      </c>
      <c r="IN156" s="9">
        <v>0</v>
      </c>
      <c r="IO156" s="9">
        <v>0</v>
      </c>
      <c r="IP156" s="9">
        <v>0</v>
      </c>
      <c r="IQ156" s="9">
        <v>0</v>
      </c>
      <c r="IR156" s="9">
        <v>0</v>
      </c>
      <c r="IS156" s="9">
        <v>0</v>
      </c>
      <c r="IT156" s="9">
        <v>0</v>
      </c>
      <c r="IU156" s="9">
        <v>0</v>
      </c>
      <c r="IV156" s="9">
        <v>0</v>
      </c>
      <c r="IW156" s="9">
        <v>0</v>
      </c>
      <c r="IX156" s="9">
        <v>0</v>
      </c>
      <c r="IY156" s="9">
        <v>0</v>
      </c>
      <c r="IZ156" s="9">
        <v>0</v>
      </c>
      <c r="JA156" s="9">
        <v>0</v>
      </c>
      <c r="JB156" s="9">
        <v>0</v>
      </c>
      <c r="JC156" s="9">
        <v>0</v>
      </c>
      <c r="JD156" s="9">
        <v>0</v>
      </c>
      <c r="JE156" s="9">
        <v>0</v>
      </c>
      <c r="JF156" s="9">
        <v>0</v>
      </c>
      <c r="JG156" s="9">
        <v>0</v>
      </c>
      <c r="JH156" s="9">
        <v>0</v>
      </c>
      <c r="JI156" s="9">
        <v>0</v>
      </c>
      <c r="JJ156" s="9">
        <v>0</v>
      </c>
      <c r="JK156" s="9">
        <v>0</v>
      </c>
      <c r="JL156" s="9">
        <v>0</v>
      </c>
      <c r="JM156" s="9">
        <v>0</v>
      </c>
      <c r="JN156" s="9">
        <v>36832</v>
      </c>
      <c r="JO156" s="9">
        <v>0</v>
      </c>
      <c r="JP156" s="9">
        <v>0</v>
      </c>
      <c r="JQ156" s="9">
        <v>0</v>
      </c>
      <c r="JR156" s="9">
        <v>0</v>
      </c>
      <c r="JS156" s="9">
        <v>0</v>
      </c>
      <c r="JT156" s="9">
        <v>0</v>
      </c>
      <c r="JU156" s="9">
        <v>0</v>
      </c>
      <c r="JV156" s="9">
        <v>0</v>
      </c>
      <c r="JW156" s="9">
        <v>0</v>
      </c>
      <c r="JX156" s="9">
        <v>0</v>
      </c>
      <c r="JY156" s="9">
        <v>0</v>
      </c>
      <c r="JZ156" s="9">
        <v>0</v>
      </c>
      <c r="KA156" s="9">
        <v>0</v>
      </c>
      <c r="KB156" s="9">
        <v>0</v>
      </c>
      <c r="KC156" s="9">
        <v>0</v>
      </c>
      <c r="KD156" s="9">
        <v>0</v>
      </c>
      <c r="KE156" s="9">
        <v>0</v>
      </c>
      <c r="KF156" s="9">
        <v>0</v>
      </c>
      <c r="KG156" s="9">
        <v>0</v>
      </c>
      <c r="KH156" s="9">
        <v>0</v>
      </c>
      <c r="KI156" s="9">
        <v>0</v>
      </c>
    </row>
    <row r="157" spans="1:295" x14ac:dyDescent="0.25">
      <c r="A157" s="9">
        <v>193801</v>
      </c>
      <c r="B157" s="9">
        <v>36871</v>
      </c>
      <c r="C157" s="9">
        <v>35</v>
      </c>
      <c r="D157" s="9">
        <v>2023</v>
      </c>
      <c r="E157" s="9">
        <v>5392</v>
      </c>
      <c r="F157" s="9">
        <v>0</v>
      </c>
      <c r="G157" s="9">
        <v>0</v>
      </c>
      <c r="H157" s="9">
        <v>129.828</v>
      </c>
      <c r="I157" s="9">
        <v>129.828</v>
      </c>
      <c r="J157" s="9">
        <v>196.61500000000001</v>
      </c>
      <c r="K157" s="9">
        <v>0</v>
      </c>
      <c r="L157" s="9">
        <v>6547</v>
      </c>
      <c r="M157" s="9">
        <v>0</v>
      </c>
      <c r="N157" s="9">
        <v>0</v>
      </c>
      <c r="O157" s="9">
        <v>0</v>
      </c>
      <c r="P157" s="9">
        <v>197.96900000000002</v>
      </c>
      <c r="Q157" s="9">
        <v>0</v>
      </c>
      <c r="R157" s="9">
        <v>96395</v>
      </c>
      <c r="S157" s="9">
        <v>486.92200000000003</v>
      </c>
      <c r="T157" s="9">
        <v>0</v>
      </c>
      <c r="U157" s="9">
        <v>96395</v>
      </c>
      <c r="V157" s="9">
        <v>1.028</v>
      </c>
      <c r="W157" s="9">
        <v>673</v>
      </c>
      <c r="X157" s="9">
        <v>673</v>
      </c>
      <c r="Y157" s="9">
        <v>0</v>
      </c>
      <c r="Z157" s="9">
        <v>0</v>
      </c>
      <c r="AA157" s="9">
        <v>1</v>
      </c>
      <c r="AB157" s="9">
        <v>1</v>
      </c>
      <c r="AC157" s="9">
        <v>0</v>
      </c>
      <c r="AD157" s="9" t="s">
        <v>314</v>
      </c>
      <c r="AE157" s="9">
        <v>0</v>
      </c>
      <c r="AF157" s="9">
        <v>0</v>
      </c>
      <c r="AG157" s="9">
        <v>0</v>
      </c>
      <c r="AH157" s="9">
        <v>0</v>
      </c>
      <c r="AI157" s="9">
        <v>0</v>
      </c>
      <c r="AJ157" s="9">
        <v>5104</v>
      </c>
      <c r="AK157" s="9" t="s">
        <v>651</v>
      </c>
      <c r="AL157" s="9" t="s">
        <v>72</v>
      </c>
      <c r="AM157" s="9">
        <v>0</v>
      </c>
      <c r="AN157" s="9">
        <v>0</v>
      </c>
      <c r="AO157" s="9">
        <v>0</v>
      </c>
      <c r="AP157" s="9">
        <v>0</v>
      </c>
      <c r="AQ157" s="9">
        <v>0</v>
      </c>
      <c r="AR157" s="9">
        <v>0</v>
      </c>
      <c r="AS157" s="9">
        <v>0</v>
      </c>
      <c r="AT157" s="9">
        <v>0</v>
      </c>
      <c r="AU157" s="9">
        <v>0</v>
      </c>
      <c r="AV157" s="9">
        <v>-166377</v>
      </c>
      <c r="AW157" s="9">
        <v>3325098</v>
      </c>
      <c r="AX157" s="9">
        <v>3261900</v>
      </c>
      <c r="AY157" s="9">
        <v>3201242</v>
      </c>
      <c r="AZ157" s="9">
        <v>113015</v>
      </c>
      <c r="BA157" s="9">
        <v>23.833000000000002</v>
      </c>
      <c r="BB157" s="9">
        <v>0</v>
      </c>
      <c r="BC157" s="9">
        <v>0</v>
      </c>
      <c r="BD157" s="9">
        <v>0</v>
      </c>
      <c r="BE157" s="9">
        <v>0</v>
      </c>
      <c r="BF157" s="9">
        <v>2711847</v>
      </c>
      <c r="BG157" s="9">
        <v>0</v>
      </c>
      <c r="BH157" s="9">
        <v>60.438000000000002</v>
      </c>
      <c r="BI157" s="9">
        <v>16620</v>
      </c>
      <c r="BJ157" s="9">
        <v>12</v>
      </c>
      <c r="BK157" s="9">
        <v>0</v>
      </c>
      <c r="BL157" s="9">
        <v>0</v>
      </c>
      <c r="BM157" s="9">
        <v>0</v>
      </c>
      <c r="BN157" s="9">
        <v>0</v>
      </c>
      <c r="BO157" s="9">
        <v>0</v>
      </c>
      <c r="BP157" s="9">
        <v>0</v>
      </c>
      <c r="BQ157" s="9">
        <v>5392</v>
      </c>
      <c r="BR157" s="9">
        <v>1</v>
      </c>
      <c r="BS157" s="9">
        <v>0</v>
      </c>
      <c r="BT157" s="9">
        <v>0</v>
      </c>
      <c r="BU157" s="9">
        <v>0</v>
      </c>
      <c r="BV157" s="9">
        <v>0</v>
      </c>
      <c r="BW157" s="9">
        <v>0</v>
      </c>
      <c r="BX157" s="9">
        <v>0</v>
      </c>
      <c r="BY157" s="9">
        <v>0</v>
      </c>
      <c r="BZ157" s="9">
        <v>0</v>
      </c>
      <c r="CA157" s="9">
        <v>0</v>
      </c>
      <c r="CB157" s="9">
        <v>0</v>
      </c>
      <c r="CC157" s="9">
        <v>0</v>
      </c>
      <c r="CD157" s="9">
        <v>0</v>
      </c>
      <c r="CE157" s="9">
        <v>0</v>
      </c>
      <c r="CF157" s="9">
        <v>0</v>
      </c>
      <c r="CG157" s="9">
        <v>0</v>
      </c>
      <c r="CH157" s="9">
        <v>46578</v>
      </c>
      <c r="CI157" s="9">
        <v>0</v>
      </c>
      <c r="CJ157" s="9">
        <v>4</v>
      </c>
      <c r="CK157" s="9">
        <v>0</v>
      </c>
      <c r="CL157" s="9">
        <v>0</v>
      </c>
      <c r="CM157" s="9">
        <v>0</v>
      </c>
      <c r="CN157" s="9">
        <v>0</v>
      </c>
      <c r="CO157" s="9">
        <v>0</v>
      </c>
      <c r="CP157" s="9">
        <v>0</v>
      </c>
      <c r="CQ157" s="9">
        <v>0</v>
      </c>
      <c r="CR157" s="9">
        <v>191.952</v>
      </c>
      <c r="CS157" s="9">
        <v>0</v>
      </c>
      <c r="CT157" s="9">
        <v>0</v>
      </c>
      <c r="CU157" s="9">
        <v>0</v>
      </c>
      <c r="CV157" s="9">
        <v>0</v>
      </c>
      <c r="CW157" s="9">
        <v>0</v>
      </c>
      <c r="CX157" s="9">
        <v>0</v>
      </c>
      <c r="CY157" s="9">
        <v>0</v>
      </c>
      <c r="CZ157" s="9">
        <v>0</v>
      </c>
      <c r="DA157" s="9">
        <v>1</v>
      </c>
      <c r="DB157" s="9">
        <v>849984</v>
      </c>
      <c r="DC157" s="9">
        <v>0</v>
      </c>
      <c r="DD157" s="9">
        <v>0</v>
      </c>
      <c r="DE157" s="9">
        <v>269304</v>
      </c>
      <c r="DF157" s="9">
        <v>269304</v>
      </c>
      <c r="DG157" s="9">
        <v>205.67000000000002</v>
      </c>
      <c r="DH157" s="9">
        <v>0</v>
      </c>
      <c r="DI157" s="9">
        <v>0</v>
      </c>
      <c r="DJ157" s="9">
        <v>0</v>
      </c>
      <c r="DK157" s="9">
        <v>5392</v>
      </c>
      <c r="DL157" s="9">
        <v>0</v>
      </c>
      <c r="DM157" s="9">
        <v>1662799</v>
      </c>
      <c r="DN157" s="9">
        <v>0</v>
      </c>
      <c r="DO157" s="9">
        <v>0</v>
      </c>
      <c r="DP157" s="9">
        <v>0</v>
      </c>
      <c r="DQ157" s="9">
        <v>0</v>
      </c>
      <c r="DR157" s="9">
        <v>0</v>
      </c>
      <c r="DS157" s="9">
        <v>0</v>
      </c>
      <c r="DT157" s="9">
        <v>0</v>
      </c>
      <c r="DU157" s="9">
        <v>0</v>
      </c>
      <c r="DV157" s="9">
        <v>0</v>
      </c>
      <c r="DW157" s="9">
        <v>0</v>
      </c>
      <c r="DX157" s="9">
        <v>0</v>
      </c>
      <c r="DY157" s="9">
        <v>0</v>
      </c>
      <c r="DZ157" s="9">
        <v>0</v>
      </c>
      <c r="EA157" s="9">
        <v>0</v>
      </c>
      <c r="EB157" s="9">
        <v>0</v>
      </c>
      <c r="EC157" s="9">
        <v>2.577</v>
      </c>
      <c r="ED157" s="9">
        <v>18559</v>
      </c>
      <c r="EE157" s="9">
        <v>0</v>
      </c>
      <c r="EF157" s="9">
        <v>0</v>
      </c>
      <c r="EG157" s="9">
        <v>0</v>
      </c>
      <c r="EH157" s="9">
        <v>307788</v>
      </c>
      <c r="EI157" s="9">
        <v>1336452</v>
      </c>
      <c r="EJ157" s="9">
        <v>51.033000000000001</v>
      </c>
      <c r="EK157" s="9">
        <v>14.468</v>
      </c>
      <c r="EL157" s="9">
        <v>0</v>
      </c>
      <c r="EM157" s="9">
        <v>0.40100000000000002</v>
      </c>
      <c r="EN157" s="9">
        <v>0.48100000000000004</v>
      </c>
      <c r="EO157" s="9">
        <v>0</v>
      </c>
      <c r="EP157" s="9">
        <v>0</v>
      </c>
      <c r="EQ157" s="9">
        <v>66.38300000000001</v>
      </c>
      <c r="ER157" s="9">
        <v>0</v>
      </c>
      <c r="ES157" s="9">
        <v>47.012</v>
      </c>
      <c r="ET157" s="9">
        <v>11917</v>
      </c>
      <c r="EU157" s="9">
        <v>113015</v>
      </c>
      <c r="EV157" s="9">
        <v>0</v>
      </c>
      <c r="EW157" s="9">
        <v>0</v>
      </c>
      <c r="EX157" s="9">
        <v>0</v>
      </c>
      <c r="EY157" s="9">
        <v>0</v>
      </c>
      <c r="EZ157" s="9">
        <v>2753048</v>
      </c>
      <c r="FA157" s="9">
        <v>0</v>
      </c>
      <c r="FB157" s="9">
        <v>2866063</v>
      </c>
      <c r="FC157" s="9">
        <v>0.97326799999999991</v>
      </c>
      <c r="FD157" s="9">
        <v>0</v>
      </c>
      <c r="FE157" s="9">
        <v>419516</v>
      </c>
      <c r="FF157" s="9">
        <v>89336</v>
      </c>
      <c r="FG157" s="9">
        <v>5.8088000000000001E-2</v>
      </c>
      <c r="FH157" s="9">
        <v>5.2622999999999996E-2</v>
      </c>
      <c r="FI157" s="9">
        <v>0</v>
      </c>
      <c r="FJ157" s="9">
        <v>0</v>
      </c>
      <c r="FK157" s="9">
        <v>531.34699999999998</v>
      </c>
      <c r="FL157" s="9">
        <v>3421493</v>
      </c>
      <c r="FM157" s="9">
        <v>0</v>
      </c>
      <c r="FN157" s="9">
        <v>0</v>
      </c>
      <c r="FO157" s="9">
        <v>63112</v>
      </c>
      <c r="FP157" s="9">
        <v>0</v>
      </c>
      <c r="FQ157" s="9">
        <v>63112</v>
      </c>
      <c r="FR157" s="9">
        <v>63112</v>
      </c>
      <c r="FS157" s="9">
        <v>0</v>
      </c>
      <c r="FT157" s="9">
        <v>0</v>
      </c>
      <c r="FU157" s="9">
        <v>0</v>
      </c>
      <c r="FV157" s="9">
        <v>0</v>
      </c>
      <c r="FW157" s="9">
        <v>0</v>
      </c>
      <c r="FX157" s="9">
        <v>0</v>
      </c>
      <c r="FY157" s="9">
        <v>0</v>
      </c>
      <c r="FZ157" s="9">
        <v>0</v>
      </c>
      <c r="GA157" s="9">
        <v>0</v>
      </c>
      <c r="GB157" s="9">
        <v>3571</v>
      </c>
      <c r="GC157" s="9">
        <v>3571</v>
      </c>
      <c r="GD157" s="9">
        <v>0.40400000000000003</v>
      </c>
      <c r="GE157" s="9">
        <v>0</v>
      </c>
      <c r="GF157" s="9">
        <v>0</v>
      </c>
      <c r="GG157" s="9">
        <v>0</v>
      </c>
      <c r="GH157" s="9">
        <v>0</v>
      </c>
      <c r="GI157" s="9">
        <v>0</v>
      </c>
      <c r="GJ157" s="9">
        <v>0</v>
      </c>
      <c r="GK157" s="9">
        <v>5089</v>
      </c>
      <c r="GL157" s="9">
        <v>12523</v>
      </c>
      <c r="GM157" s="9">
        <v>0</v>
      </c>
      <c r="GN157" s="9">
        <v>4162</v>
      </c>
      <c r="GO157" s="9">
        <v>0</v>
      </c>
      <c r="GP157" s="9">
        <v>3374915</v>
      </c>
      <c r="GQ157" s="9">
        <v>3374915</v>
      </c>
      <c r="GR157" s="9">
        <v>0</v>
      </c>
      <c r="GS157" s="9">
        <v>0</v>
      </c>
      <c r="GT157" s="9">
        <v>0</v>
      </c>
      <c r="GU157" s="9">
        <v>0</v>
      </c>
      <c r="GV157" s="9">
        <v>0</v>
      </c>
      <c r="GW157" s="9">
        <v>0</v>
      </c>
      <c r="GX157" s="9">
        <v>0</v>
      </c>
      <c r="GY157" s="9">
        <v>0</v>
      </c>
      <c r="GZ157" s="9">
        <v>0</v>
      </c>
      <c r="HA157" s="9">
        <v>0</v>
      </c>
      <c r="HB157" s="9">
        <v>300501363</v>
      </c>
      <c r="HC157" s="9">
        <v>4.4742999999999998E-2</v>
      </c>
      <c r="HD157" s="9">
        <v>34661</v>
      </c>
      <c r="HE157" s="9">
        <v>0</v>
      </c>
      <c r="HF157" s="9">
        <v>0</v>
      </c>
      <c r="HG157" s="9">
        <v>0</v>
      </c>
      <c r="HH157" s="9">
        <v>0</v>
      </c>
      <c r="HI157" s="9">
        <v>0</v>
      </c>
      <c r="HJ157" s="9">
        <v>0</v>
      </c>
      <c r="HK157" s="9">
        <v>0</v>
      </c>
      <c r="HL157" s="9">
        <v>0</v>
      </c>
      <c r="HM157" s="9">
        <v>0</v>
      </c>
      <c r="HN157" s="9">
        <v>0</v>
      </c>
      <c r="HO157" s="9">
        <v>0</v>
      </c>
      <c r="HP157" s="9">
        <v>0</v>
      </c>
      <c r="HQ157" s="9">
        <v>0</v>
      </c>
      <c r="HR157" s="9">
        <v>0</v>
      </c>
      <c r="HS157" s="9">
        <v>0</v>
      </c>
      <c r="HT157" s="9">
        <v>0</v>
      </c>
      <c r="HU157" s="9">
        <v>0</v>
      </c>
      <c r="HV157" s="9">
        <v>0</v>
      </c>
      <c r="HW157" s="9">
        <v>0</v>
      </c>
      <c r="HX157" s="9">
        <v>0</v>
      </c>
      <c r="HY157" s="9">
        <v>0</v>
      </c>
      <c r="HZ157" s="9">
        <v>0</v>
      </c>
      <c r="IA157" s="9">
        <v>0</v>
      </c>
      <c r="IB157" s="9">
        <v>0</v>
      </c>
      <c r="IC157" s="9">
        <v>0</v>
      </c>
      <c r="ID157" s="9">
        <v>0</v>
      </c>
      <c r="IE157" s="9">
        <v>0</v>
      </c>
      <c r="IF157" s="9">
        <v>0</v>
      </c>
      <c r="IG157" s="9">
        <v>0</v>
      </c>
      <c r="IH157" s="9">
        <v>0</v>
      </c>
      <c r="II157" s="9">
        <v>0</v>
      </c>
      <c r="IJ157" s="9">
        <v>0</v>
      </c>
      <c r="IK157" s="9">
        <v>0</v>
      </c>
      <c r="IL157" s="9">
        <v>0</v>
      </c>
      <c r="IM157" s="9">
        <v>0</v>
      </c>
      <c r="IN157" s="9">
        <v>0</v>
      </c>
      <c r="IO157" s="9">
        <v>0</v>
      </c>
      <c r="IP157" s="9">
        <v>0</v>
      </c>
      <c r="IQ157" s="9">
        <v>0</v>
      </c>
      <c r="IR157" s="9">
        <v>0</v>
      </c>
      <c r="IS157" s="9">
        <v>0</v>
      </c>
      <c r="IT157" s="9">
        <v>0</v>
      </c>
      <c r="IU157" s="9">
        <v>0</v>
      </c>
      <c r="IV157" s="9">
        <v>0</v>
      </c>
      <c r="IW157" s="9">
        <v>0</v>
      </c>
      <c r="IX157" s="9">
        <v>0</v>
      </c>
      <c r="IY157" s="9">
        <v>0</v>
      </c>
      <c r="IZ157" s="9">
        <v>0</v>
      </c>
      <c r="JA157" s="9">
        <v>0</v>
      </c>
      <c r="JB157" s="9">
        <v>0</v>
      </c>
      <c r="JC157" s="9">
        <v>0</v>
      </c>
      <c r="JD157" s="9">
        <v>0</v>
      </c>
      <c r="JE157" s="9">
        <v>0</v>
      </c>
      <c r="JF157" s="9">
        <v>0</v>
      </c>
      <c r="JG157" s="9">
        <v>0</v>
      </c>
      <c r="JH157" s="9">
        <v>0</v>
      </c>
      <c r="JI157" s="9">
        <v>0</v>
      </c>
      <c r="JJ157" s="9">
        <v>0</v>
      </c>
      <c r="JK157" s="9">
        <v>0</v>
      </c>
      <c r="JL157" s="9">
        <v>0</v>
      </c>
      <c r="JM157" s="9">
        <v>0</v>
      </c>
      <c r="JN157" s="9">
        <v>36832</v>
      </c>
      <c r="JO157" s="9">
        <v>0</v>
      </c>
      <c r="JP157" s="9">
        <v>0</v>
      </c>
      <c r="JQ157" s="9">
        <v>0</v>
      </c>
      <c r="JR157" s="9">
        <v>0</v>
      </c>
      <c r="JS157" s="9">
        <v>0</v>
      </c>
      <c r="JT157" s="9">
        <v>0</v>
      </c>
      <c r="JU157" s="9">
        <v>0</v>
      </c>
      <c r="JV157" s="9">
        <v>0</v>
      </c>
      <c r="JW157" s="9">
        <v>0</v>
      </c>
      <c r="JX157" s="9">
        <v>0</v>
      </c>
      <c r="JY157" s="9">
        <v>0</v>
      </c>
      <c r="JZ157" s="9">
        <v>0</v>
      </c>
      <c r="KA157" s="9">
        <v>0</v>
      </c>
      <c r="KB157" s="9">
        <v>0</v>
      </c>
      <c r="KC157" s="9">
        <v>0</v>
      </c>
      <c r="KD157" s="9">
        <v>0</v>
      </c>
      <c r="KE157" s="9">
        <v>0</v>
      </c>
      <c r="KF157" s="9">
        <v>0</v>
      </c>
      <c r="KG157" s="9">
        <v>0</v>
      </c>
      <c r="KH157" s="9">
        <v>0</v>
      </c>
      <c r="KI157" s="9">
        <v>0</v>
      </c>
    </row>
    <row r="158" spans="1:295" x14ac:dyDescent="0.25">
      <c r="A158" s="9">
        <v>212801</v>
      </c>
      <c r="B158" s="9">
        <v>36871</v>
      </c>
      <c r="C158" s="9">
        <v>35</v>
      </c>
      <c r="D158" s="9">
        <v>2023</v>
      </c>
      <c r="E158" s="9">
        <v>5392</v>
      </c>
      <c r="F158" s="9">
        <v>0</v>
      </c>
      <c r="G158" s="9">
        <v>0</v>
      </c>
      <c r="H158" s="9">
        <v>1766.0310000000002</v>
      </c>
      <c r="I158" s="9">
        <v>1766.0310000000002</v>
      </c>
      <c r="J158" s="9">
        <v>2000.9830000000002</v>
      </c>
      <c r="K158" s="9">
        <v>0</v>
      </c>
      <c r="L158" s="9">
        <v>6547</v>
      </c>
      <c r="M158" s="9">
        <v>0</v>
      </c>
      <c r="N158" s="9">
        <v>0</v>
      </c>
      <c r="O158" s="9">
        <v>0</v>
      </c>
      <c r="P158" s="9">
        <v>1876.1570000000002</v>
      </c>
      <c r="Q158" s="9">
        <v>0</v>
      </c>
      <c r="R158" s="9">
        <v>913542</v>
      </c>
      <c r="S158" s="9">
        <v>486.92200000000003</v>
      </c>
      <c r="T158" s="9">
        <v>0</v>
      </c>
      <c r="U158" s="9">
        <v>913542</v>
      </c>
      <c r="V158" s="9">
        <v>103.435</v>
      </c>
      <c r="W158" s="9">
        <v>67719</v>
      </c>
      <c r="X158" s="9">
        <v>67719</v>
      </c>
      <c r="Y158" s="9">
        <v>0</v>
      </c>
      <c r="Z158" s="9">
        <v>0</v>
      </c>
      <c r="AA158" s="9">
        <v>1</v>
      </c>
      <c r="AB158" s="9">
        <v>1</v>
      </c>
      <c r="AC158" s="9">
        <v>0</v>
      </c>
      <c r="AD158" s="9" t="s">
        <v>314</v>
      </c>
      <c r="AE158" s="9">
        <v>0</v>
      </c>
      <c r="AF158" s="9">
        <v>0</v>
      </c>
      <c r="AG158" s="9">
        <v>0</v>
      </c>
      <c r="AH158" s="9">
        <v>0</v>
      </c>
      <c r="AI158" s="9">
        <v>0</v>
      </c>
      <c r="AJ158" s="9">
        <v>5104</v>
      </c>
      <c r="AK158" s="9" t="s">
        <v>651</v>
      </c>
      <c r="AL158" s="9" t="s">
        <v>73</v>
      </c>
      <c r="AM158" s="9">
        <v>0</v>
      </c>
      <c r="AN158" s="9">
        <v>0</v>
      </c>
      <c r="AO158" s="9">
        <v>0</v>
      </c>
      <c r="AP158" s="9">
        <v>0</v>
      </c>
      <c r="AQ158" s="9">
        <v>0</v>
      </c>
      <c r="AR158" s="9">
        <v>0</v>
      </c>
      <c r="AS158" s="9">
        <v>0</v>
      </c>
      <c r="AT158" s="9">
        <v>0</v>
      </c>
      <c r="AU158" s="9">
        <v>0</v>
      </c>
      <c r="AV158" s="9">
        <v>-279952</v>
      </c>
      <c r="AW158" s="9">
        <v>18483027</v>
      </c>
      <c r="AX158" s="9">
        <v>17942132</v>
      </c>
      <c r="AY158" s="9">
        <v>17994718</v>
      </c>
      <c r="AZ158" s="9">
        <v>1080607</v>
      </c>
      <c r="BA158" s="9">
        <v>41.333000000000006</v>
      </c>
      <c r="BB158" s="9">
        <v>0</v>
      </c>
      <c r="BC158" s="9">
        <v>0</v>
      </c>
      <c r="BD158" s="9">
        <v>0</v>
      </c>
      <c r="BE158" s="9">
        <v>0</v>
      </c>
      <c r="BF158" s="9">
        <v>15517715</v>
      </c>
      <c r="BG158" s="9">
        <v>0</v>
      </c>
      <c r="BH158" s="9">
        <v>607.51</v>
      </c>
      <c r="BI158" s="9">
        <v>167065</v>
      </c>
      <c r="BJ158" s="9">
        <v>12</v>
      </c>
      <c r="BK158" s="9">
        <v>0</v>
      </c>
      <c r="BL158" s="9">
        <v>0</v>
      </c>
      <c r="BM158" s="9">
        <v>0</v>
      </c>
      <c r="BN158" s="9">
        <v>0</v>
      </c>
      <c r="BO158" s="9">
        <v>0</v>
      </c>
      <c r="BP158" s="9">
        <v>0</v>
      </c>
      <c r="BQ158" s="9">
        <v>5392</v>
      </c>
      <c r="BR158" s="9">
        <v>1</v>
      </c>
      <c r="BS158" s="9">
        <v>0</v>
      </c>
      <c r="BT158" s="9">
        <v>0</v>
      </c>
      <c r="BU158" s="9">
        <v>0</v>
      </c>
      <c r="BV158" s="9">
        <v>0</v>
      </c>
      <c r="BW158" s="9">
        <v>0</v>
      </c>
      <c r="BX158" s="9">
        <v>0</v>
      </c>
      <c r="BY158" s="9">
        <v>0</v>
      </c>
      <c r="BZ158" s="9">
        <v>0</v>
      </c>
      <c r="CA158" s="9">
        <v>0</v>
      </c>
      <c r="CB158" s="9">
        <v>0</v>
      </c>
      <c r="CC158" s="9">
        <v>0</v>
      </c>
      <c r="CD158" s="9">
        <v>0</v>
      </c>
      <c r="CE158" s="9">
        <v>0</v>
      </c>
      <c r="CF158" s="9">
        <v>0</v>
      </c>
      <c r="CG158" s="9">
        <v>0</v>
      </c>
      <c r="CH158" s="9">
        <v>373830</v>
      </c>
      <c r="CI158" s="9">
        <v>0</v>
      </c>
      <c r="CJ158" s="9">
        <v>4</v>
      </c>
      <c r="CK158" s="9">
        <v>0</v>
      </c>
      <c r="CL158" s="9">
        <v>0</v>
      </c>
      <c r="CM158" s="9">
        <v>0</v>
      </c>
      <c r="CN158" s="9">
        <v>0</v>
      </c>
      <c r="CO158" s="9">
        <v>0</v>
      </c>
      <c r="CP158" s="9">
        <v>0</v>
      </c>
      <c r="CQ158" s="9">
        <v>1.667</v>
      </c>
      <c r="CR158" s="9">
        <v>1856.2090000000001</v>
      </c>
      <c r="CS158" s="9">
        <v>0</v>
      </c>
      <c r="CT158" s="9">
        <v>0</v>
      </c>
      <c r="CU158" s="9">
        <v>0</v>
      </c>
      <c r="CV158" s="9">
        <v>0</v>
      </c>
      <c r="CW158" s="9">
        <v>0</v>
      </c>
      <c r="CX158" s="9">
        <v>0</v>
      </c>
      <c r="CY158" s="9">
        <v>0</v>
      </c>
      <c r="CZ158" s="9">
        <v>0</v>
      </c>
      <c r="DA158" s="9">
        <v>1</v>
      </c>
      <c r="DB158" s="9">
        <v>11562205</v>
      </c>
      <c r="DC158" s="9">
        <v>0</v>
      </c>
      <c r="DD158" s="9">
        <v>0</v>
      </c>
      <c r="DE158" s="9">
        <v>1337984</v>
      </c>
      <c r="DF158" s="9">
        <v>1337984</v>
      </c>
      <c r="DG158" s="9">
        <v>1021.83</v>
      </c>
      <c r="DH158" s="9">
        <v>0</v>
      </c>
      <c r="DI158" s="9">
        <v>0</v>
      </c>
      <c r="DJ158" s="9">
        <v>0</v>
      </c>
      <c r="DK158" s="9">
        <v>5392</v>
      </c>
      <c r="DL158" s="9">
        <v>0</v>
      </c>
      <c r="DM158" s="9">
        <v>1394168</v>
      </c>
      <c r="DN158" s="9">
        <v>0</v>
      </c>
      <c r="DO158" s="9">
        <v>0</v>
      </c>
      <c r="DP158" s="9">
        <v>0</v>
      </c>
      <c r="DQ158" s="9">
        <v>0</v>
      </c>
      <c r="DR158" s="9">
        <v>0</v>
      </c>
      <c r="DS158" s="9">
        <v>0</v>
      </c>
      <c r="DT158" s="9">
        <v>0</v>
      </c>
      <c r="DU158" s="9">
        <v>0</v>
      </c>
      <c r="DV158" s="9">
        <v>0</v>
      </c>
      <c r="DW158" s="9">
        <v>0</v>
      </c>
      <c r="DX158" s="9">
        <v>0</v>
      </c>
      <c r="DY158" s="9">
        <v>0</v>
      </c>
      <c r="DZ158" s="9">
        <v>0</v>
      </c>
      <c r="EA158" s="9">
        <v>0.01</v>
      </c>
      <c r="EB158" s="9">
        <v>0</v>
      </c>
      <c r="EC158" s="9">
        <v>35.335999999999999</v>
      </c>
      <c r="ED158" s="9">
        <v>254479</v>
      </c>
      <c r="EE158" s="9">
        <v>0</v>
      </c>
      <c r="EF158" s="9">
        <v>0</v>
      </c>
      <c r="EG158" s="9">
        <v>0</v>
      </c>
      <c r="EH158" s="9">
        <v>1139689</v>
      </c>
      <c r="EI158" s="9">
        <v>0</v>
      </c>
      <c r="EJ158" s="9">
        <v>0</v>
      </c>
      <c r="EK158" s="9">
        <v>44.856000000000002</v>
      </c>
      <c r="EL158" s="9">
        <v>0</v>
      </c>
      <c r="EM158" s="9">
        <v>8.0500000000000007</v>
      </c>
      <c r="EN158" s="9">
        <v>3.0620000000000003</v>
      </c>
      <c r="EO158" s="9">
        <v>0</v>
      </c>
      <c r="EP158" s="9">
        <v>0</v>
      </c>
      <c r="EQ158" s="9">
        <v>55.978000000000002</v>
      </c>
      <c r="ER158" s="9">
        <v>0</v>
      </c>
      <c r="ES158" s="9">
        <v>174.078</v>
      </c>
      <c r="ET158" s="9">
        <v>21083</v>
      </c>
      <c r="EU158" s="9">
        <v>1080607</v>
      </c>
      <c r="EV158" s="9">
        <v>0</v>
      </c>
      <c r="EW158" s="9">
        <v>0</v>
      </c>
      <c r="EX158" s="9">
        <v>0</v>
      </c>
      <c r="EY158" s="9">
        <v>0</v>
      </c>
      <c r="EZ158" s="9">
        <v>15030387</v>
      </c>
      <c r="FA158" s="9">
        <v>0</v>
      </c>
      <c r="FB158" s="9">
        <v>16110994</v>
      </c>
      <c r="FC158" s="9">
        <v>0.97326799999999991</v>
      </c>
      <c r="FD158" s="9">
        <v>0</v>
      </c>
      <c r="FE158" s="9">
        <v>2400549</v>
      </c>
      <c r="FF158" s="9">
        <v>511196</v>
      </c>
      <c r="FG158" s="9">
        <v>5.8088000000000001E-2</v>
      </c>
      <c r="FH158" s="9">
        <v>5.2622999999999996E-2</v>
      </c>
      <c r="FI158" s="9">
        <v>0</v>
      </c>
      <c r="FJ158" s="9">
        <v>0</v>
      </c>
      <c r="FK158" s="9">
        <v>3040.4700000000003</v>
      </c>
      <c r="FL158" s="9">
        <v>19396569</v>
      </c>
      <c r="FM158" s="9">
        <v>0</v>
      </c>
      <c r="FN158" s="9">
        <v>0</v>
      </c>
      <c r="FO158" s="9">
        <v>0</v>
      </c>
      <c r="FP158" s="9">
        <v>0</v>
      </c>
      <c r="FQ158" s="9">
        <v>0</v>
      </c>
      <c r="FR158" s="9">
        <v>0</v>
      </c>
      <c r="FS158" s="9">
        <v>0</v>
      </c>
      <c r="FT158" s="9">
        <v>0</v>
      </c>
      <c r="FU158" s="9">
        <v>0</v>
      </c>
      <c r="FV158" s="9">
        <v>0</v>
      </c>
      <c r="FW158" s="9">
        <v>0</v>
      </c>
      <c r="FX158" s="9">
        <v>0</v>
      </c>
      <c r="FY158" s="9">
        <v>0</v>
      </c>
      <c r="FZ158" s="9">
        <v>0</v>
      </c>
      <c r="GA158" s="9">
        <v>0</v>
      </c>
      <c r="GB158" s="9">
        <v>1581853</v>
      </c>
      <c r="GC158" s="9">
        <v>1581853</v>
      </c>
      <c r="GD158" s="9">
        <v>178.97400000000002</v>
      </c>
      <c r="GE158" s="9">
        <v>0</v>
      </c>
      <c r="GF158" s="9">
        <v>0</v>
      </c>
      <c r="GG158" s="9">
        <v>0</v>
      </c>
      <c r="GH158" s="9">
        <v>0</v>
      </c>
      <c r="GI158" s="9">
        <v>0</v>
      </c>
      <c r="GJ158" s="9">
        <v>0</v>
      </c>
      <c r="GK158" s="9">
        <v>5040</v>
      </c>
      <c r="GL158" s="9">
        <v>7142</v>
      </c>
      <c r="GM158" s="9">
        <v>0</v>
      </c>
      <c r="GN158" s="9">
        <v>0</v>
      </c>
      <c r="GO158" s="9">
        <v>0</v>
      </c>
      <c r="GP158" s="9">
        <v>19022739</v>
      </c>
      <c r="GQ158" s="9">
        <v>19022739</v>
      </c>
      <c r="GR158" s="9">
        <v>0</v>
      </c>
      <c r="GS158" s="9">
        <v>0</v>
      </c>
      <c r="GT158" s="9">
        <v>0</v>
      </c>
      <c r="GU158" s="9">
        <v>0</v>
      </c>
      <c r="GV158" s="9">
        <v>0</v>
      </c>
      <c r="GW158" s="9">
        <v>0</v>
      </c>
      <c r="GX158" s="9">
        <v>0</v>
      </c>
      <c r="GY158" s="9">
        <v>0</v>
      </c>
      <c r="GZ158" s="9">
        <v>0</v>
      </c>
      <c r="HA158" s="9">
        <v>0</v>
      </c>
      <c r="HB158" s="9">
        <v>300501363</v>
      </c>
      <c r="HC158" s="9">
        <v>4.4742999999999998E-2</v>
      </c>
      <c r="HD158" s="9">
        <v>352747</v>
      </c>
      <c r="HE158" s="9">
        <v>0</v>
      </c>
      <c r="HF158" s="9">
        <v>0</v>
      </c>
      <c r="HG158" s="9">
        <v>0</v>
      </c>
      <c r="HH158" s="9">
        <v>0</v>
      </c>
      <c r="HI158" s="9">
        <v>0</v>
      </c>
      <c r="HJ158" s="9">
        <v>0</v>
      </c>
      <c r="HK158" s="9">
        <v>0</v>
      </c>
      <c r="HL158" s="9">
        <v>0</v>
      </c>
      <c r="HM158" s="9">
        <v>0</v>
      </c>
      <c r="HN158" s="9">
        <v>0</v>
      </c>
      <c r="HO158" s="9">
        <v>0</v>
      </c>
      <c r="HP158" s="9">
        <v>0</v>
      </c>
      <c r="HQ158" s="9">
        <v>0</v>
      </c>
      <c r="HR158" s="9">
        <v>0</v>
      </c>
      <c r="HS158" s="9">
        <v>0</v>
      </c>
      <c r="HT158" s="9">
        <v>0</v>
      </c>
      <c r="HU158" s="9">
        <v>0</v>
      </c>
      <c r="HV158" s="9">
        <v>0</v>
      </c>
      <c r="HW158" s="9">
        <v>0</v>
      </c>
      <c r="HX158" s="9">
        <v>0</v>
      </c>
      <c r="HY158" s="9">
        <v>0</v>
      </c>
      <c r="HZ158" s="9">
        <v>0</v>
      </c>
      <c r="IA158" s="9">
        <v>0</v>
      </c>
      <c r="IB158" s="9">
        <v>0</v>
      </c>
      <c r="IC158" s="9">
        <v>0</v>
      </c>
      <c r="ID158" s="9">
        <v>0</v>
      </c>
      <c r="IE158" s="9">
        <v>0</v>
      </c>
      <c r="IF158" s="9">
        <v>0</v>
      </c>
      <c r="IG158" s="9">
        <v>0</v>
      </c>
      <c r="IH158" s="9">
        <v>0</v>
      </c>
      <c r="II158" s="9">
        <v>0</v>
      </c>
      <c r="IJ158" s="9">
        <v>0</v>
      </c>
      <c r="IK158" s="9">
        <v>0</v>
      </c>
      <c r="IL158" s="9">
        <v>0</v>
      </c>
      <c r="IM158" s="9">
        <v>0</v>
      </c>
      <c r="IN158" s="9">
        <v>0</v>
      </c>
      <c r="IO158" s="9">
        <v>0</v>
      </c>
      <c r="IP158" s="9">
        <v>0</v>
      </c>
      <c r="IQ158" s="9">
        <v>0</v>
      </c>
      <c r="IR158" s="9">
        <v>0</v>
      </c>
      <c r="IS158" s="9">
        <v>0</v>
      </c>
      <c r="IT158" s="9">
        <v>0</v>
      </c>
      <c r="IU158" s="9">
        <v>0</v>
      </c>
      <c r="IV158" s="9">
        <v>0</v>
      </c>
      <c r="IW158" s="9">
        <v>0</v>
      </c>
      <c r="IX158" s="9">
        <v>0</v>
      </c>
      <c r="IY158" s="9">
        <v>0</v>
      </c>
      <c r="IZ158" s="9">
        <v>0</v>
      </c>
      <c r="JA158" s="9">
        <v>0</v>
      </c>
      <c r="JB158" s="9">
        <v>0</v>
      </c>
      <c r="JC158" s="9">
        <v>0</v>
      </c>
      <c r="JD158" s="9">
        <v>0</v>
      </c>
      <c r="JE158" s="9">
        <v>0</v>
      </c>
      <c r="JF158" s="9">
        <v>0</v>
      </c>
      <c r="JG158" s="9">
        <v>0</v>
      </c>
      <c r="JH158" s="9">
        <v>0</v>
      </c>
      <c r="JI158" s="9">
        <v>0</v>
      </c>
      <c r="JJ158" s="9">
        <v>0</v>
      </c>
      <c r="JK158" s="9">
        <v>0</v>
      </c>
      <c r="JL158" s="9">
        <v>0</v>
      </c>
      <c r="JM158" s="9">
        <v>0</v>
      </c>
      <c r="JN158" s="9">
        <v>36832</v>
      </c>
      <c r="JO158" s="9">
        <v>0</v>
      </c>
      <c r="JP158" s="9">
        <v>0</v>
      </c>
      <c r="JQ158" s="9">
        <v>0</v>
      </c>
      <c r="JR158" s="9">
        <v>0</v>
      </c>
      <c r="JS158" s="9">
        <v>0</v>
      </c>
      <c r="JT158" s="9">
        <v>0</v>
      </c>
      <c r="JU158" s="9">
        <v>0</v>
      </c>
      <c r="JV158" s="9">
        <v>0</v>
      </c>
      <c r="JW158" s="9">
        <v>0</v>
      </c>
      <c r="JX158" s="9">
        <v>0</v>
      </c>
      <c r="JY158" s="9">
        <v>0</v>
      </c>
      <c r="JZ158" s="9">
        <v>0</v>
      </c>
      <c r="KA158" s="9">
        <v>0</v>
      </c>
      <c r="KB158" s="9">
        <v>0</v>
      </c>
      <c r="KC158" s="9">
        <v>0</v>
      </c>
      <c r="KD158" s="9">
        <v>0</v>
      </c>
      <c r="KE158" s="9">
        <v>0</v>
      </c>
      <c r="KF158" s="9">
        <v>0</v>
      </c>
      <c r="KG158" s="9">
        <v>0</v>
      </c>
      <c r="KH158" s="9">
        <v>0</v>
      </c>
      <c r="KI158" s="9">
        <v>0</v>
      </c>
    </row>
    <row r="159" spans="1:295" x14ac:dyDescent="0.25">
      <c r="A159" s="9">
        <v>212804</v>
      </c>
      <c r="B159" s="9">
        <v>36871</v>
      </c>
      <c r="C159" s="9">
        <v>35</v>
      </c>
      <c r="D159" s="9">
        <v>2023</v>
      </c>
      <c r="E159" s="9">
        <v>5392</v>
      </c>
      <c r="F159" s="9">
        <v>0</v>
      </c>
      <c r="G159" s="9">
        <v>0</v>
      </c>
      <c r="H159" s="9">
        <v>810.471</v>
      </c>
      <c r="I159" s="9">
        <v>810.471</v>
      </c>
      <c r="J159" s="9">
        <v>871.67700000000002</v>
      </c>
      <c r="K159" s="9">
        <v>0</v>
      </c>
      <c r="L159" s="9">
        <v>6547</v>
      </c>
      <c r="M159" s="9">
        <v>0</v>
      </c>
      <c r="N159" s="9">
        <v>0</v>
      </c>
      <c r="O159" s="9">
        <v>0</v>
      </c>
      <c r="P159" s="9">
        <v>798.18799999999999</v>
      </c>
      <c r="Q159" s="9">
        <v>0</v>
      </c>
      <c r="R159" s="9">
        <v>388655</v>
      </c>
      <c r="S159" s="9">
        <v>486.92200000000003</v>
      </c>
      <c r="T159" s="9">
        <v>0</v>
      </c>
      <c r="U159" s="9">
        <v>388655</v>
      </c>
      <c r="V159" s="9">
        <v>12.933</v>
      </c>
      <c r="W159" s="9">
        <v>8467</v>
      </c>
      <c r="X159" s="9">
        <v>8467</v>
      </c>
      <c r="Y159" s="9">
        <v>0</v>
      </c>
      <c r="Z159" s="9">
        <v>0</v>
      </c>
      <c r="AA159" s="9">
        <v>1</v>
      </c>
      <c r="AB159" s="9">
        <v>1</v>
      </c>
      <c r="AC159" s="9">
        <v>0</v>
      </c>
      <c r="AD159" s="9" t="s">
        <v>314</v>
      </c>
      <c r="AE159" s="9">
        <v>0</v>
      </c>
      <c r="AF159" s="9">
        <v>0</v>
      </c>
      <c r="AG159" s="9">
        <v>0</v>
      </c>
      <c r="AH159" s="9">
        <v>0</v>
      </c>
      <c r="AI159" s="9">
        <v>0</v>
      </c>
      <c r="AJ159" s="9">
        <v>5104</v>
      </c>
      <c r="AK159" s="9" t="s">
        <v>651</v>
      </c>
      <c r="AL159" s="9" t="s">
        <v>462</v>
      </c>
      <c r="AM159" s="9">
        <v>0</v>
      </c>
      <c r="AN159" s="9">
        <v>0</v>
      </c>
      <c r="AO159" s="9">
        <v>0</v>
      </c>
      <c r="AP159" s="9">
        <v>0</v>
      </c>
      <c r="AQ159" s="9">
        <v>0</v>
      </c>
      <c r="AR159" s="9">
        <v>0</v>
      </c>
      <c r="AS159" s="9">
        <v>0</v>
      </c>
      <c r="AT159" s="9">
        <v>0</v>
      </c>
      <c r="AU159" s="9">
        <v>0</v>
      </c>
      <c r="AV159" s="9">
        <v>-338</v>
      </c>
      <c r="AW159" s="9">
        <v>7542069</v>
      </c>
      <c r="AX159" s="9">
        <v>7333194</v>
      </c>
      <c r="AY159" s="9">
        <v>7690203</v>
      </c>
      <c r="AZ159" s="9">
        <v>443865</v>
      </c>
      <c r="BA159" s="9">
        <v>0</v>
      </c>
      <c r="BB159" s="9">
        <v>34241</v>
      </c>
      <c r="BC159" s="9">
        <v>34241</v>
      </c>
      <c r="BD159" s="9">
        <v>43.584000000000003</v>
      </c>
      <c r="BE159" s="9">
        <v>0</v>
      </c>
      <c r="BF159" s="9">
        <v>6354875</v>
      </c>
      <c r="BG159" s="9">
        <v>0</v>
      </c>
      <c r="BH159" s="9">
        <v>200.76300000000001</v>
      </c>
      <c r="BI159" s="9">
        <v>55210</v>
      </c>
      <c r="BJ159" s="9">
        <v>12</v>
      </c>
      <c r="BK159" s="9">
        <v>0</v>
      </c>
      <c r="BL159" s="9">
        <v>0</v>
      </c>
      <c r="BM159" s="9">
        <v>0</v>
      </c>
      <c r="BN159" s="9">
        <v>0</v>
      </c>
      <c r="BO159" s="9">
        <v>0</v>
      </c>
      <c r="BP159" s="9">
        <v>0</v>
      </c>
      <c r="BQ159" s="9">
        <v>5392</v>
      </c>
      <c r="BR159" s="9">
        <v>1</v>
      </c>
      <c r="BS159" s="9">
        <v>0</v>
      </c>
      <c r="BT159" s="9">
        <v>0</v>
      </c>
      <c r="BU159" s="9">
        <v>0</v>
      </c>
      <c r="BV159" s="9">
        <v>0</v>
      </c>
      <c r="BW159" s="9">
        <v>0</v>
      </c>
      <c r="BX159" s="9">
        <v>0</v>
      </c>
      <c r="BY159" s="9">
        <v>0</v>
      </c>
      <c r="BZ159" s="9">
        <v>0</v>
      </c>
      <c r="CA159" s="9">
        <v>0</v>
      </c>
      <c r="CB159" s="9">
        <v>0</v>
      </c>
      <c r="CC159" s="9">
        <v>0</v>
      </c>
      <c r="CD159" s="9">
        <v>0</v>
      </c>
      <c r="CE159" s="9">
        <v>0</v>
      </c>
      <c r="CF159" s="9">
        <v>0</v>
      </c>
      <c r="CG159" s="9">
        <v>0</v>
      </c>
      <c r="CH159" s="9">
        <v>153665</v>
      </c>
      <c r="CI159" s="9">
        <v>0</v>
      </c>
      <c r="CJ159" s="9">
        <v>4</v>
      </c>
      <c r="CK159" s="9">
        <v>0</v>
      </c>
      <c r="CL159" s="9">
        <v>0</v>
      </c>
      <c r="CM159" s="9">
        <v>0</v>
      </c>
      <c r="CN159" s="9">
        <v>0</v>
      </c>
      <c r="CO159" s="9">
        <v>0</v>
      </c>
      <c r="CP159" s="9">
        <v>0</v>
      </c>
      <c r="CQ159" s="9">
        <v>0</v>
      </c>
      <c r="CR159" s="9">
        <v>792.68799999999999</v>
      </c>
      <c r="CS159" s="9">
        <v>0</v>
      </c>
      <c r="CT159" s="9">
        <v>0</v>
      </c>
      <c r="CU159" s="9">
        <v>0</v>
      </c>
      <c r="CV159" s="9">
        <v>0</v>
      </c>
      <c r="CW159" s="9">
        <v>0</v>
      </c>
      <c r="CX159" s="9">
        <v>0</v>
      </c>
      <c r="CY159" s="9">
        <v>0</v>
      </c>
      <c r="CZ159" s="9">
        <v>0</v>
      </c>
      <c r="DA159" s="9">
        <v>1</v>
      </c>
      <c r="DB159" s="9">
        <v>5306154</v>
      </c>
      <c r="DC159" s="9">
        <v>0</v>
      </c>
      <c r="DD159" s="9">
        <v>0</v>
      </c>
      <c r="DE159" s="9">
        <v>397403</v>
      </c>
      <c r="DF159" s="9">
        <v>397403</v>
      </c>
      <c r="DG159" s="9">
        <v>303.5</v>
      </c>
      <c r="DH159" s="9">
        <v>0</v>
      </c>
      <c r="DI159" s="9">
        <v>0</v>
      </c>
      <c r="DJ159" s="9">
        <v>0</v>
      </c>
      <c r="DK159" s="9">
        <v>5392</v>
      </c>
      <c r="DL159" s="9">
        <v>0</v>
      </c>
      <c r="DM159" s="9">
        <v>331828</v>
      </c>
      <c r="DN159" s="9">
        <v>0</v>
      </c>
      <c r="DO159" s="9">
        <v>0</v>
      </c>
      <c r="DP159" s="9">
        <v>0</v>
      </c>
      <c r="DQ159" s="9">
        <v>0</v>
      </c>
      <c r="DR159" s="9">
        <v>0</v>
      </c>
      <c r="DS159" s="9">
        <v>0</v>
      </c>
      <c r="DT159" s="9">
        <v>0</v>
      </c>
      <c r="DU159" s="9">
        <v>0</v>
      </c>
      <c r="DV159" s="9">
        <v>0</v>
      </c>
      <c r="DW159" s="9">
        <v>0</v>
      </c>
      <c r="DX159" s="9">
        <v>0</v>
      </c>
      <c r="DY159" s="9">
        <v>0</v>
      </c>
      <c r="DZ159" s="9">
        <v>0</v>
      </c>
      <c r="EA159" s="9">
        <v>0</v>
      </c>
      <c r="EB159" s="9">
        <v>0</v>
      </c>
      <c r="EC159" s="9">
        <v>15.709000000000001</v>
      </c>
      <c r="ED159" s="9">
        <v>113132</v>
      </c>
      <c r="EE159" s="9">
        <v>0</v>
      </c>
      <c r="EF159" s="9">
        <v>0</v>
      </c>
      <c r="EG159" s="9">
        <v>0</v>
      </c>
      <c r="EH159" s="9">
        <v>218696</v>
      </c>
      <c r="EI159" s="9">
        <v>0</v>
      </c>
      <c r="EJ159" s="9">
        <v>0</v>
      </c>
      <c r="EK159" s="9">
        <v>8.6530000000000005</v>
      </c>
      <c r="EL159" s="9">
        <v>0</v>
      </c>
      <c r="EM159" s="9">
        <v>0</v>
      </c>
      <c r="EN159" s="9">
        <v>1.4890000000000001</v>
      </c>
      <c r="EO159" s="9">
        <v>0</v>
      </c>
      <c r="EP159" s="9">
        <v>0</v>
      </c>
      <c r="EQ159" s="9">
        <v>10.142000000000001</v>
      </c>
      <c r="ER159" s="9">
        <v>0</v>
      </c>
      <c r="ES159" s="9">
        <v>33.404000000000003</v>
      </c>
      <c r="ET159" s="9">
        <v>0</v>
      </c>
      <c r="EU159" s="9">
        <v>443865</v>
      </c>
      <c r="EV159" s="9">
        <v>0</v>
      </c>
      <c r="EW159" s="9">
        <v>0</v>
      </c>
      <c r="EX159" s="9">
        <v>0</v>
      </c>
      <c r="EY159" s="9">
        <v>0</v>
      </c>
      <c r="EZ159" s="9">
        <v>6140765</v>
      </c>
      <c r="FA159" s="9">
        <v>0</v>
      </c>
      <c r="FB159" s="9">
        <v>6584630</v>
      </c>
      <c r="FC159" s="9">
        <v>0.97326799999999991</v>
      </c>
      <c r="FD159" s="9">
        <v>0</v>
      </c>
      <c r="FE159" s="9">
        <v>983082</v>
      </c>
      <c r="FF159" s="9">
        <v>209347</v>
      </c>
      <c r="FG159" s="9">
        <v>5.8088000000000001E-2</v>
      </c>
      <c r="FH159" s="9">
        <v>5.2622999999999996E-2</v>
      </c>
      <c r="FI159" s="9">
        <v>0</v>
      </c>
      <c r="FJ159" s="9">
        <v>0</v>
      </c>
      <c r="FK159" s="9">
        <v>1245.145</v>
      </c>
      <c r="FL159" s="9">
        <v>7930724</v>
      </c>
      <c r="FM159" s="9">
        <v>0</v>
      </c>
      <c r="FN159" s="9">
        <v>0</v>
      </c>
      <c r="FO159" s="9">
        <v>0</v>
      </c>
      <c r="FP159" s="9">
        <v>0</v>
      </c>
      <c r="FQ159" s="9">
        <v>0</v>
      </c>
      <c r="FR159" s="9">
        <v>0</v>
      </c>
      <c r="FS159" s="9">
        <v>0</v>
      </c>
      <c r="FT159" s="9">
        <v>0</v>
      </c>
      <c r="FU159" s="9">
        <v>0</v>
      </c>
      <c r="FV159" s="9">
        <v>0</v>
      </c>
      <c r="FW159" s="9">
        <v>0</v>
      </c>
      <c r="FX159" s="9">
        <v>0</v>
      </c>
      <c r="FY159" s="9">
        <v>0</v>
      </c>
      <c r="FZ159" s="9">
        <v>0</v>
      </c>
      <c r="GA159" s="9">
        <v>0</v>
      </c>
      <c r="GB159" s="9">
        <v>451327</v>
      </c>
      <c r="GC159" s="9">
        <v>451327</v>
      </c>
      <c r="GD159" s="9">
        <v>51.064</v>
      </c>
      <c r="GE159" s="9">
        <v>0</v>
      </c>
      <c r="GF159" s="9">
        <v>0</v>
      </c>
      <c r="GG159" s="9">
        <v>0</v>
      </c>
      <c r="GH159" s="9">
        <v>0</v>
      </c>
      <c r="GI159" s="9">
        <v>0</v>
      </c>
      <c r="GJ159" s="9">
        <v>0</v>
      </c>
      <c r="GK159" s="9">
        <v>4971</v>
      </c>
      <c r="GL159" s="9">
        <v>0</v>
      </c>
      <c r="GM159" s="9">
        <v>0</v>
      </c>
      <c r="GN159" s="9">
        <v>0</v>
      </c>
      <c r="GO159" s="9">
        <v>0</v>
      </c>
      <c r="GP159" s="9">
        <v>7777059</v>
      </c>
      <c r="GQ159" s="9">
        <v>7777059</v>
      </c>
      <c r="GR159" s="9">
        <v>0</v>
      </c>
      <c r="GS159" s="9">
        <v>0</v>
      </c>
      <c r="GT159" s="9">
        <v>0</v>
      </c>
      <c r="GU159" s="9">
        <v>0</v>
      </c>
      <c r="GV159" s="9">
        <v>0</v>
      </c>
      <c r="GW159" s="9">
        <v>0</v>
      </c>
      <c r="GX159" s="9">
        <v>0</v>
      </c>
      <c r="GY159" s="9">
        <v>0</v>
      </c>
      <c r="GZ159" s="9">
        <v>0</v>
      </c>
      <c r="HA159" s="9">
        <v>0</v>
      </c>
      <c r="HB159" s="9">
        <v>300501363</v>
      </c>
      <c r="HC159" s="9">
        <v>4.4742999999999998E-2</v>
      </c>
      <c r="HD159" s="9">
        <v>153665</v>
      </c>
      <c r="HE159" s="9">
        <v>0</v>
      </c>
      <c r="HF159" s="9">
        <v>0</v>
      </c>
      <c r="HG159" s="9">
        <v>0</v>
      </c>
      <c r="HH159" s="9">
        <v>0</v>
      </c>
      <c r="HI159" s="9">
        <v>0</v>
      </c>
      <c r="HJ159" s="9">
        <v>0</v>
      </c>
      <c r="HK159" s="9">
        <v>0</v>
      </c>
      <c r="HL159" s="9">
        <v>0</v>
      </c>
      <c r="HM159" s="9">
        <v>0</v>
      </c>
      <c r="HN159" s="9">
        <v>0</v>
      </c>
      <c r="HO159" s="9">
        <v>0</v>
      </c>
      <c r="HP159" s="9">
        <v>0</v>
      </c>
      <c r="HQ159" s="9">
        <v>0</v>
      </c>
      <c r="HR159" s="9">
        <v>0</v>
      </c>
      <c r="HS159" s="9">
        <v>0</v>
      </c>
      <c r="HT159" s="9">
        <v>0</v>
      </c>
      <c r="HU159" s="9">
        <v>0</v>
      </c>
      <c r="HV159" s="9">
        <v>0</v>
      </c>
      <c r="HW159" s="9">
        <v>0</v>
      </c>
      <c r="HX159" s="9">
        <v>0</v>
      </c>
      <c r="HY159" s="9">
        <v>0</v>
      </c>
      <c r="HZ159" s="9">
        <v>0</v>
      </c>
      <c r="IA159" s="9">
        <v>0</v>
      </c>
      <c r="IB159" s="9">
        <v>0</v>
      </c>
      <c r="IC159" s="9">
        <v>0</v>
      </c>
      <c r="ID159" s="9">
        <v>0</v>
      </c>
      <c r="IE159" s="9">
        <v>0</v>
      </c>
      <c r="IF159" s="9">
        <v>0</v>
      </c>
      <c r="IG159" s="9">
        <v>0</v>
      </c>
      <c r="IH159" s="9">
        <v>0</v>
      </c>
      <c r="II159" s="9">
        <v>0</v>
      </c>
      <c r="IJ159" s="9">
        <v>0</v>
      </c>
      <c r="IK159" s="9">
        <v>0</v>
      </c>
      <c r="IL159" s="9">
        <v>0</v>
      </c>
      <c r="IM159" s="9">
        <v>0</v>
      </c>
      <c r="IN159" s="9">
        <v>0</v>
      </c>
      <c r="IO159" s="9">
        <v>0</v>
      </c>
      <c r="IP159" s="9">
        <v>0</v>
      </c>
      <c r="IQ159" s="9">
        <v>0</v>
      </c>
      <c r="IR159" s="9">
        <v>0</v>
      </c>
      <c r="IS159" s="9">
        <v>0</v>
      </c>
      <c r="IT159" s="9">
        <v>0</v>
      </c>
      <c r="IU159" s="9">
        <v>0</v>
      </c>
      <c r="IV159" s="9">
        <v>0</v>
      </c>
      <c r="IW159" s="9">
        <v>0</v>
      </c>
      <c r="IX159" s="9">
        <v>0</v>
      </c>
      <c r="IY159" s="9">
        <v>0</v>
      </c>
      <c r="IZ159" s="9">
        <v>0</v>
      </c>
      <c r="JA159" s="9">
        <v>0</v>
      </c>
      <c r="JB159" s="9">
        <v>0</v>
      </c>
      <c r="JC159" s="9">
        <v>0</v>
      </c>
      <c r="JD159" s="9">
        <v>0</v>
      </c>
      <c r="JE159" s="9">
        <v>0</v>
      </c>
      <c r="JF159" s="9">
        <v>0</v>
      </c>
      <c r="JG159" s="9">
        <v>0</v>
      </c>
      <c r="JH159" s="9">
        <v>0</v>
      </c>
      <c r="JI159" s="9">
        <v>0</v>
      </c>
      <c r="JJ159" s="9">
        <v>0</v>
      </c>
      <c r="JK159" s="9">
        <v>0</v>
      </c>
      <c r="JL159" s="9">
        <v>0</v>
      </c>
      <c r="JM159" s="9">
        <v>0</v>
      </c>
      <c r="JN159" s="9">
        <v>36832</v>
      </c>
      <c r="JO159" s="9">
        <v>0</v>
      </c>
      <c r="JP159" s="9">
        <v>0</v>
      </c>
      <c r="JQ159" s="9">
        <v>0</v>
      </c>
      <c r="JR159" s="9">
        <v>0</v>
      </c>
      <c r="JS159" s="9">
        <v>0</v>
      </c>
      <c r="JT159" s="9">
        <v>0</v>
      </c>
      <c r="JU159" s="9">
        <v>0</v>
      </c>
      <c r="JV159" s="9">
        <v>0</v>
      </c>
      <c r="JW159" s="9">
        <v>0</v>
      </c>
      <c r="JX159" s="9">
        <v>0</v>
      </c>
      <c r="JY159" s="9">
        <v>0</v>
      </c>
      <c r="JZ159" s="9">
        <v>0</v>
      </c>
      <c r="KA159" s="9">
        <v>0</v>
      </c>
      <c r="KB159" s="9">
        <v>0</v>
      </c>
      <c r="KC159" s="9">
        <v>0</v>
      </c>
      <c r="KD159" s="9">
        <v>0</v>
      </c>
      <c r="KE159" s="9">
        <v>0</v>
      </c>
      <c r="KF159" s="9">
        <v>0</v>
      </c>
      <c r="KG159" s="9">
        <v>0</v>
      </c>
      <c r="KH159" s="9">
        <v>0</v>
      </c>
      <c r="KI159" s="9">
        <v>0</v>
      </c>
    </row>
    <row r="160" spans="1:295" x14ac:dyDescent="0.25">
      <c r="A160" s="9">
        <v>213801</v>
      </c>
      <c r="B160" s="9">
        <v>36871</v>
      </c>
      <c r="C160" s="9">
        <v>35</v>
      </c>
      <c r="D160" s="9">
        <v>2023</v>
      </c>
      <c r="E160" s="9">
        <v>5392</v>
      </c>
      <c r="F160" s="9">
        <v>0</v>
      </c>
      <c r="G160" s="9">
        <v>0</v>
      </c>
      <c r="H160" s="9">
        <v>175.559</v>
      </c>
      <c r="I160" s="9">
        <v>175.559</v>
      </c>
      <c r="J160" s="9">
        <v>204.68100000000001</v>
      </c>
      <c r="K160" s="9">
        <v>0</v>
      </c>
      <c r="L160" s="9">
        <v>6547</v>
      </c>
      <c r="M160" s="9">
        <v>0</v>
      </c>
      <c r="N160" s="9">
        <v>0</v>
      </c>
      <c r="O160" s="9">
        <v>0</v>
      </c>
      <c r="P160" s="9">
        <v>208.79400000000001</v>
      </c>
      <c r="Q160" s="9">
        <v>0</v>
      </c>
      <c r="R160" s="9">
        <v>101666</v>
      </c>
      <c r="S160" s="9">
        <v>486.92200000000003</v>
      </c>
      <c r="T160" s="9">
        <v>0</v>
      </c>
      <c r="U160" s="9">
        <v>101666</v>
      </c>
      <c r="V160" s="9">
        <v>4.2679999999999998</v>
      </c>
      <c r="W160" s="9">
        <v>2794</v>
      </c>
      <c r="X160" s="9">
        <v>2794</v>
      </c>
      <c r="Y160" s="9">
        <v>0</v>
      </c>
      <c r="Z160" s="9">
        <v>0</v>
      </c>
      <c r="AA160" s="9">
        <v>1</v>
      </c>
      <c r="AB160" s="9">
        <v>1</v>
      </c>
      <c r="AC160" s="9">
        <v>0</v>
      </c>
      <c r="AD160" s="9" t="s">
        <v>314</v>
      </c>
      <c r="AE160" s="9">
        <v>0</v>
      </c>
      <c r="AF160" s="9">
        <v>0</v>
      </c>
      <c r="AG160" s="9">
        <v>0</v>
      </c>
      <c r="AH160" s="9">
        <v>0</v>
      </c>
      <c r="AI160" s="9">
        <v>0</v>
      </c>
      <c r="AJ160" s="9">
        <v>5104</v>
      </c>
      <c r="AK160" s="9" t="s">
        <v>651</v>
      </c>
      <c r="AL160" s="9" t="s">
        <v>74</v>
      </c>
      <c r="AM160" s="9">
        <v>0</v>
      </c>
      <c r="AN160" s="9">
        <v>0</v>
      </c>
      <c r="AO160" s="9">
        <v>0</v>
      </c>
      <c r="AP160" s="9">
        <v>0</v>
      </c>
      <c r="AQ160" s="9">
        <v>0</v>
      </c>
      <c r="AR160" s="9">
        <v>0</v>
      </c>
      <c r="AS160" s="9">
        <v>0</v>
      </c>
      <c r="AT160" s="9">
        <v>0</v>
      </c>
      <c r="AU160" s="9">
        <v>0</v>
      </c>
      <c r="AV160" s="9">
        <v>-1044</v>
      </c>
      <c r="AW160" s="9">
        <v>2200909</v>
      </c>
      <c r="AX160" s="9">
        <v>2121769</v>
      </c>
      <c r="AY160" s="9">
        <v>2260063</v>
      </c>
      <c r="AZ160" s="9">
        <v>137681</v>
      </c>
      <c r="BA160" s="9">
        <v>12</v>
      </c>
      <c r="BB160" s="9">
        <v>0</v>
      </c>
      <c r="BC160" s="9">
        <v>0</v>
      </c>
      <c r="BD160" s="9">
        <v>0</v>
      </c>
      <c r="BE160" s="9">
        <v>0</v>
      </c>
      <c r="BF160" s="9">
        <v>1829828</v>
      </c>
      <c r="BG160" s="9">
        <v>0</v>
      </c>
      <c r="BH160" s="9">
        <v>130.96299999999999</v>
      </c>
      <c r="BI160" s="9">
        <v>36015</v>
      </c>
      <c r="BJ160" s="9">
        <v>12</v>
      </c>
      <c r="BK160" s="9">
        <v>0</v>
      </c>
      <c r="BL160" s="9">
        <v>0</v>
      </c>
      <c r="BM160" s="9">
        <v>0</v>
      </c>
      <c r="BN160" s="9">
        <v>0</v>
      </c>
      <c r="BO160" s="9">
        <v>0</v>
      </c>
      <c r="BP160" s="9">
        <v>0</v>
      </c>
      <c r="BQ160" s="9">
        <v>5392</v>
      </c>
      <c r="BR160" s="9">
        <v>1</v>
      </c>
      <c r="BS160" s="9">
        <v>0</v>
      </c>
      <c r="BT160" s="9">
        <v>0</v>
      </c>
      <c r="BU160" s="9">
        <v>0</v>
      </c>
      <c r="BV160" s="9">
        <v>0</v>
      </c>
      <c r="BW160" s="9">
        <v>0</v>
      </c>
      <c r="BX160" s="9">
        <v>0</v>
      </c>
      <c r="BY160" s="9">
        <v>0</v>
      </c>
      <c r="BZ160" s="9">
        <v>0</v>
      </c>
      <c r="CA160" s="9">
        <v>0</v>
      </c>
      <c r="CB160" s="9">
        <v>0</v>
      </c>
      <c r="CC160" s="9">
        <v>0</v>
      </c>
      <c r="CD160" s="9">
        <v>0</v>
      </c>
      <c r="CE160" s="9">
        <v>0</v>
      </c>
      <c r="CF160" s="9">
        <v>0</v>
      </c>
      <c r="CG160" s="9">
        <v>0</v>
      </c>
      <c r="CH160" s="9">
        <v>43125</v>
      </c>
      <c r="CI160" s="9">
        <v>0</v>
      </c>
      <c r="CJ160" s="9">
        <v>4</v>
      </c>
      <c r="CK160" s="9">
        <v>0</v>
      </c>
      <c r="CL160" s="9">
        <v>0</v>
      </c>
      <c r="CM160" s="9">
        <v>0</v>
      </c>
      <c r="CN160" s="9">
        <v>0</v>
      </c>
      <c r="CO160" s="9">
        <v>0</v>
      </c>
      <c r="CP160" s="9">
        <v>0</v>
      </c>
      <c r="CQ160" s="9">
        <v>4.1669999999999998</v>
      </c>
      <c r="CR160" s="9">
        <v>203.20000000000002</v>
      </c>
      <c r="CS160" s="9">
        <v>0</v>
      </c>
      <c r="CT160" s="9">
        <v>0</v>
      </c>
      <c r="CU160" s="9">
        <v>0</v>
      </c>
      <c r="CV160" s="9">
        <v>0</v>
      </c>
      <c r="CW160" s="9">
        <v>0</v>
      </c>
      <c r="CX160" s="9">
        <v>0</v>
      </c>
      <c r="CY160" s="9">
        <v>0</v>
      </c>
      <c r="CZ160" s="9">
        <v>0</v>
      </c>
      <c r="DA160" s="9">
        <v>1</v>
      </c>
      <c r="DB160" s="9">
        <v>1149385</v>
      </c>
      <c r="DC160" s="9">
        <v>0</v>
      </c>
      <c r="DD160" s="9">
        <v>0</v>
      </c>
      <c r="DE160" s="9">
        <v>172618</v>
      </c>
      <c r="DF160" s="9">
        <v>172618</v>
      </c>
      <c r="DG160" s="9">
        <v>131.83000000000001</v>
      </c>
      <c r="DH160" s="9">
        <v>0</v>
      </c>
      <c r="DI160" s="9">
        <v>0</v>
      </c>
      <c r="DJ160" s="9">
        <v>0</v>
      </c>
      <c r="DK160" s="9">
        <v>5392</v>
      </c>
      <c r="DL160" s="9">
        <v>0</v>
      </c>
      <c r="DM160" s="9">
        <v>385609</v>
      </c>
      <c r="DN160" s="9">
        <v>0</v>
      </c>
      <c r="DO160" s="9">
        <v>0</v>
      </c>
      <c r="DP160" s="9">
        <v>0</v>
      </c>
      <c r="DQ160" s="9">
        <v>0</v>
      </c>
      <c r="DR160" s="9">
        <v>0</v>
      </c>
      <c r="DS160" s="9">
        <v>0</v>
      </c>
      <c r="DT160" s="9">
        <v>0</v>
      </c>
      <c r="DU160" s="9">
        <v>0</v>
      </c>
      <c r="DV160" s="9">
        <v>0</v>
      </c>
      <c r="DW160" s="9">
        <v>0</v>
      </c>
      <c r="DX160" s="9">
        <v>0</v>
      </c>
      <c r="DY160" s="9">
        <v>0</v>
      </c>
      <c r="DZ160" s="9">
        <v>0</v>
      </c>
      <c r="EA160" s="9">
        <v>0</v>
      </c>
      <c r="EB160" s="9">
        <v>9.468</v>
      </c>
      <c r="EC160" s="9">
        <v>26.215</v>
      </c>
      <c r="ED160" s="9">
        <v>188793</v>
      </c>
      <c r="EE160" s="9">
        <v>0</v>
      </c>
      <c r="EF160" s="9">
        <v>0</v>
      </c>
      <c r="EG160" s="9">
        <v>0</v>
      </c>
      <c r="EH160" s="9">
        <v>196816</v>
      </c>
      <c r="EI160" s="9">
        <v>0</v>
      </c>
      <c r="EJ160" s="9">
        <v>0</v>
      </c>
      <c r="EK160" s="9">
        <v>0.311</v>
      </c>
      <c r="EL160" s="9">
        <v>0</v>
      </c>
      <c r="EM160" s="9">
        <v>0</v>
      </c>
      <c r="EN160" s="9">
        <v>0.14500000000000002</v>
      </c>
      <c r="EO160" s="9">
        <v>0</v>
      </c>
      <c r="EP160" s="9">
        <v>0</v>
      </c>
      <c r="EQ160" s="9">
        <v>9.9240000000000013</v>
      </c>
      <c r="ER160" s="9">
        <v>0</v>
      </c>
      <c r="ES160" s="9">
        <v>30.062000000000001</v>
      </c>
      <c r="ET160" s="9">
        <v>7042</v>
      </c>
      <c r="EU160" s="9">
        <v>137681</v>
      </c>
      <c r="EV160" s="9">
        <v>0</v>
      </c>
      <c r="EW160" s="9">
        <v>0</v>
      </c>
      <c r="EX160" s="9">
        <v>0</v>
      </c>
      <c r="EY160" s="9">
        <v>0</v>
      </c>
      <c r="EZ160" s="9">
        <v>1778421</v>
      </c>
      <c r="FA160" s="9">
        <v>0</v>
      </c>
      <c r="FB160" s="9">
        <v>1916102</v>
      </c>
      <c r="FC160" s="9">
        <v>0.97326799999999991</v>
      </c>
      <c r="FD160" s="9">
        <v>0</v>
      </c>
      <c r="FE160" s="9">
        <v>283069</v>
      </c>
      <c r="FF160" s="9">
        <v>60279</v>
      </c>
      <c r="FG160" s="9">
        <v>5.8088000000000001E-2</v>
      </c>
      <c r="FH160" s="9">
        <v>5.2622999999999996E-2</v>
      </c>
      <c r="FI160" s="9">
        <v>0</v>
      </c>
      <c r="FJ160" s="9">
        <v>0</v>
      </c>
      <c r="FK160" s="9">
        <v>358.52800000000002</v>
      </c>
      <c r="FL160" s="9">
        <v>2302575</v>
      </c>
      <c r="FM160" s="9">
        <v>0</v>
      </c>
      <c r="FN160" s="9">
        <v>0</v>
      </c>
      <c r="FO160" s="9">
        <v>0</v>
      </c>
      <c r="FP160" s="9">
        <v>0</v>
      </c>
      <c r="FQ160" s="9">
        <v>0</v>
      </c>
      <c r="FR160" s="9">
        <v>0</v>
      </c>
      <c r="FS160" s="9">
        <v>0</v>
      </c>
      <c r="FT160" s="9">
        <v>0</v>
      </c>
      <c r="FU160" s="9">
        <v>0</v>
      </c>
      <c r="FV160" s="9">
        <v>0</v>
      </c>
      <c r="FW160" s="9">
        <v>0</v>
      </c>
      <c r="FX160" s="9">
        <v>0</v>
      </c>
      <c r="FY160" s="9">
        <v>0</v>
      </c>
      <c r="FZ160" s="9">
        <v>0</v>
      </c>
      <c r="GA160" s="9">
        <v>0</v>
      </c>
      <c r="GB160" s="9">
        <v>169681</v>
      </c>
      <c r="GC160" s="9">
        <v>169681</v>
      </c>
      <c r="GD160" s="9">
        <v>19.198</v>
      </c>
      <c r="GE160" s="9">
        <v>0</v>
      </c>
      <c r="GF160" s="9">
        <v>0</v>
      </c>
      <c r="GG160" s="9">
        <v>0</v>
      </c>
      <c r="GH160" s="9">
        <v>0</v>
      </c>
      <c r="GI160" s="9">
        <v>0</v>
      </c>
      <c r="GJ160" s="9">
        <v>0</v>
      </c>
      <c r="GK160" s="9">
        <v>5251</v>
      </c>
      <c r="GL160" s="9">
        <v>4711</v>
      </c>
      <c r="GM160" s="9">
        <v>0</v>
      </c>
      <c r="GN160" s="9">
        <v>0</v>
      </c>
      <c r="GO160" s="9">
        <v>0</v>
      </c>
      <c r="GP160" s="9">
        <v>2259450</v>
      </c>
      <c r="GQ160" s="9">
        <v>2259450</v>
      </c>
      <c r="GR160" s="9">
        <v>0</v>
      </c>
      <c r="GS160" s="9">
        <v>0</v>
      </c>
      <c r="GT160" s="9">
        <v>0</v>
      </c>
      <c r="GU160" s="9">
        <v>0</v>
      </c>
      <c r="GV160" s="9">
        <v>0</v>
      </c>
      <c r="GW160" s="9">
        <v>0</v>
      </c>
      <c r="GX160" s="9">
        <v>0</v>
      </c>
      <c r="GY160" s="9">
        <v>0</v>
      </c>
      <c r="GZ160" s="9">
        <v>0</v>
      </c>
      <c r="HA160" s="9">
        <v>0</v>
      </c>
      <c r="HB160" s="9">
        <v>300501363</v>
      </c>
      <c r="HC160" s="9">
        <v>4.4742999999999998E-2</v>
      </c>
      <c r="HD160" s="9">
        <v>36083</v>
      </c>
      <c r="HE160" s="9">
        <v>0</v>
      </c>
      <c r="HF160" s="9">
        <v>0</v>
      </c>
      <c r="HG160" s="9">
        <v>0</v>
      </c>
      <c r="HH160" s="9">
        <v>0</v>
      </c>
      <c r="HI160" s="9">
        <v>0</v>
      </c>
      <c r="HJ160" s="9">
        <v>0</v>
      </c>
      <c r="HK160" s="9">
        <v>0</v>
      </c>
      <c r="HL160" s="9">
        <v>0</v>
      </c>
      <c r="HM160" s="9">
        <v>0</v>
      </c>
      <c r="HN160" s="9">
        <v>0</v>
      </c>
      <c r="HO160" s="9">
        <v>0</v>
      </c>
      <c r="HP160" s="9">
        <v>0</v>
      </c>
      <c r="HQ160" s="9">
        <v>0</v>
      </c>
      <c r="HR160" s="9">
        <v>0</v>
      </c>
      <c r="HS160" s="9">
        <v>0</v>
      </c>
      <c r="HT160" s="9">
        <v>0</v>
      </c>
      <c r="HU160" s="9">
        <v>0</v>
      </c>
      <c r="HV160" s="9">
        <v>0</v>
      </c>
      <c r="HW160" s="9">
        <v>0</v>
      </c>
      <c r="HX160" s="9">
        <v>0</v>
      </c>
      <c r="HY160" s="9">
        <v>0</v>
      </c>
      <c r="HZ160" s="9">
        <v>0</v>
      </c>
      <c r="IA160" s="9">
        <v>0</v>
      </c>
      <c r="IB160" s="9">
        <v>0</v>
      </c>
      <c r="IC160" s="9">
        <v>0</v>
      </c>
      <c r="ID160" s="9">
        <v>0</v>
      </c>
      <c r="IE160" s="9">
        <v>3.74</v>
      </c>
      <c r="IF160" s="9">
        <v>0</v>
      </c>
      <c r="IG160" s="9">
        <v>0</v>
      </c>
      <c r="IH160" s="9">
        <v>0</v>
      </c>
      <c r="II160" s="9">
        <v>0</v>
      </c>
      <c r="IJ160" s="9">
        <v>0</v>
      </c>
      <c r="IK160" s="9">
        <v>0</v>
      </c>
      <c r="IL160" s="9">
        <v>0</v>
      </c>
      <c r="IM160" s="9">
        <v>0</v>
      </c>
      <c r="IN160" s="9">
        <v>0</v>
      </c>
      <c r="IO160" s="9">
        <v>0</v>
      </c>
      <c r="IP160" s="9">
        <v>0</v>
      </c>
      <c r="IQ160" s="9">
        <v>0</v>
      </c>
      <c r="IR160" s="9">
        <v>0</v>
      </c>
      <c r="IS160" s="9">
        <v>0</v>
      </c>
      <c r="IT160" s="9">
        <v>0</v>
      </c>
      <c r="IU160" s="9">
        <v>0</v>
      </c>
      <c r="IV160" s="9">
        <v>0</v>
      </c>
      <c r="IW160" s="9">
        <v>0</v>
      </c>
      <c r="IX160" s="9">
        <v>0</v>
      </c>
      <c r="IY160" s="9">
        <v>0</v>
      </c>
      <c r="IZ160" s="9">
        <v>0</v>
      </c>
      <c r="JA160" s="9">
        <v>0</v>
      </c>
      <c r="JB160" s="9">
        <v>0</v>
      </c>
      <c r="JC160" s="9">
        <v>0</v>
      </c>
      <c r="JD160" s="9">
        <v>0</v>
      </c>
      <c r="JE160" s="9">
        <v>0</v>
      </c>
      <c r="JF160" s="9">
        <v>0</v>
      </c>
      <c r="JG160" s="9">
        <v>0</v>
      </c>
      <c r="JH160" s="9">
        <v>0</v>
      </c>
      <c r="JI160" s="9">
        <v>0</v>
      </c>
      <c r="JJ160" s="9">
        <v>0</v>
      </c>
      <c r="JK160" s="9">
        <v>0</v>
      </c>
      <c r="JL160" s="9">
        <v>0</v>
      </c>
      <c r="JM160" s="9">
        <v>0</v>
      </c>
      <c r="JN160" s="9">
        <v>36832</v>
      </c>
      <c r="JO160" s="9">
        <v>0</v>
      </c>
      <c r="JP160" s="9">
        <v>0</v>
      </c>
      <c r="JQ160" s="9">
        <v>0</v>
      </c>
      <c r="JR160" s="9">
        <v>0</v>
      </c>
      <c r="JS160" s="9">
        <v>0</v>
      </c>
      <c r="JT160" s="9">
        <v>0</v>
      </c>
      <c r="JU160" s="9">
        <v>0</v>
      </c>
      <c r="JV160" s="9">
        <v>0</v>
      </c>
      <c r="JW160" s="9">
        <v>0</v>
      </c>
      <c r="JX160" s="9">
        <v>0</v>
      </c>
      <c r="JY160" s="9">
        <v>0</v>
      </c>
      <c r="JZ160" s="9">
        <v>0</v>
      </c>
      <c r="KA160" s="9">
        <v>0</v>
      </c>
      <c r="KB160" s="9">
        <v>0</v>
      </c>
      <c r="KC160" s="9">
        <v>0</v>
      </c>
      <c r="KD160" s="9">
        <v>0</v>
      </c>
      <c r="KE160" s="9">
        <v>0</v>
      </c>
      <c r="KF160" s="9">
        <v>0</v>
      </c>
      <c r="KG160" s="9">
        <v>0</v>
      </c>
      <c r="KH160" s="9">
        <v>0</v>
      </c>
      <c r="KI160" s="9">
        <v>0</v>
      </c>
    </row>
    <row r="161" spans="1:295" x14ac:dyDescent="0.25">
      <c r="A161" s="9">
        <v>220801</v>
      </c>
      <c r="B161" s="9">
        <v>36871</v>
      </c>
      <c r="C161" s="9">
        <v>35</v>
      </c>
      <c r="D161" s="9">
        <v>2023</v>
      </c>
      <c r="E161" s="9">
        <v>5392</v>
      </c>
      <c r="F161" s="9">
        <v>0</v>
      </c>
      <c r="G161" s="9">
        <v>0</v>
      </c>
      <c r="H161" s="9">
        <v>360.56900000000002</v>
      </c>
      <c r="I161" s="9">
        <v>360.56900000000002</v>
      </c>
      <c r="J161" s="9">
        <v>378.73099999999999</v>
      </c>
      <c r="K161" s="9">
        <v>0</v>
      </c>
      <c r="L161" s="9">
        <v>6547</v>
      </c>
      <c r="M161" s="9">
        <v>0</v>
      </c>
      <c r="N161" s="9">
        <v>0</v>
      </c>
      <c r="O161" s="9">
        <v>0</v>
      </c>
      <c r="P161" s="9">
        <v>369.505</v>
      </c>
      <c r="Q161" s="9">
        <v>0</v>
      </c>
      <c r="R161" s="9">
        <v>179920</v>
      </c>
      <c r="S161" s="9">
        <v>486.92200000000003</v>
      </c>
      <c r="T161" s="9">
        <v>0</v>
      </c>
      <c r="U161" s="9">
        <v>179920</v>
      </c>
      <c r="V161" s="9">
        <v>6.258</v>
      </c>
      <c r="W161" s="9">
        <v>4097</v>
      </c>
      <c r="X161" s="9">
        <v>4097</v>
      </c>
      <c r="Y161" s="9">
        <v>0</v>
      </c>
      <c r="Z161" s="9">
        <v>0</v>
      </c>
      <c r="AA161" s="9">
        <v>1</v>
      </c>
      <c r="AB161" s="9">
        <v>1</v>
      </c>
      <c r="AC161" s="9">
        <v>0</v>
      </c>
      <c r="AD161" s="9" t="s">
        <v>314</v>
      </c>
      <c r="AE161" s="9">
        <v>0</v>
      </c>
      <c r="AF161" s="9">
        <v>0</v>
      </c>
      <c r="AG161" s="9">
        <v>0</v>
      </c>
      <c r="AH161" s="9">
        <v>0</v>
      </c>
      <c r="AI161" s="9">
        <v>0</v>
      </c>
      <c r="AJ161" s="9">
        <v>5104</v>
      </c>
      <c r="AK161" s="9" t="s">
        <v>651</v>
      </c>
      <c r="AL161" s="9" t="s">
        <v>75</v>
      </c>
      <c r="AM161" s="9">
        <v>0</v>
      </c>
      <c r="AN161" s="9">
        <v>0</v>
      </c>
      <c r="AO161" s="9">
        <v>0</v>
      </c>
      <c r="AP161" s="9">
        <v>0</v>
      </c>
      <c r="AQ161" s="9">
        <v>0</v>
      </c>
      <c r="AR161" s="9">
        <v>0</v>
      </c>
      <c r="AS161" s="9">
        <v>0</v>
      </c>
      <c r="AT161" s="9">
        <v>0</v>
      </c>
      <c r="AU161" s="9">
        <v>0</v>
      </c>
      <c r="AV161" s="9">
        <v>50877</v>
      </c>
      <c r="AW161" s="9">
        <v>2998989</v>
      </c>
      <c r="AX161" s="9">
        <v>2911963</v>
      </c>
      <c r="AY161" s="9">
        <v>3362057</v>
      </c>
      <c r="AZ161" s="9">
        <v>198764</v>
      </c>
      <c r="BA161" s="9">
        <v>1.8330000000000002</v>
      </c>
      <c r="BB161" s="9">
        <v>0</v>
      </c>
      <c r="BC161" s="9">
        <v>0</v>
      </c>
      <c r="BD161" s="9">
        <v>0</v>
      </c>
      <c r="BE161" s="9">
        <v>0</v>
      </c>
      <c r="BF161" s="9">
        <v>2544537</v>
      </c>
      <c r="BG161" s="9">
        <v>0</v>
      </c>
      <c r="BH161" s="9">
        <v>68.525000000000006</v>
      </c>
      <c r="BI161" s="9">
        <v>18844</v>
      </c>
      <c r="BJ161" s="9">
        <v>12</v>
      </c>
      <c r="BK161" s="9">
        <v>0</v>
      </c>
      <c r="BL161" s="9">
        <v>0</v>
      </c>
      <c r="BM161" s="9">
        <v>0</v>
      </c>
      <c r="BN161" s="9">
        <v>0</v>
      </c>
      <c r="BO161" s="9">
        <v>0</v>
      </c>
      <c r="BP161" s="9">
        <v>0</v>
      </c>
      <c r="BQ161" s="9">
        <v>5392</v>
      </c>
      <c r="BR161" s="9">
        <v>1</v>
      </c>
      <c r="BS161" s="9">
        <v>0</v>
      </c>
      <c r="BT161" s="9">
        <v>0</v>
      </c>
      <c r="BU161" s="9">
        <v>0</v>
      </c>
      <c r="BV161" s="9">
        <v>0</v>
      </c>
      <c r="BW161" s="9">
        <v>0</v>
      </c>
      <c r="BX161" s="9">
        <v>0</v>
      </c>
      <c r="BY161" s="9">
        <v>0</v>
      </c>
      <c r="BZ161" s="9">
        <v>0</v>
      </c>
      <c r="CA161" s="9">
        <v>0</v>
      </c>
      <c r="CB161" s="9">
        <v>0</v>
      </c>
      <c r="CC161" s="9">
        <v>0</v>
      </c>
      <c r="CD161" s="9">
        <v>0</v>
      </c>
      <c r="CE161" s="9">
        <v>0</v>
      </c>
      <c r="CF161" s="9">
        <v>0</v>
      </c>
      <c r="CG161" s="9">
        <v>0</v>
      </c>
      <c r="CH161" s="9">
        <v>68182</v>
      </c>
      <c r="CI161" s="9">
        <v>0</v>
      </c>
      <c r="CJ161" s="9">
        <v>4</v>
      </c>
      <c r="CK161" s="9">
        <v>0</v>
      </c>
      <c r="CL161" s="9">
        <v>0</v>
      </c>
      <c r="CM161" s="9">
        <v>0</v>
      </c>
      <c r="CN161" s="9">
        <v>0</v>
      </c>
      <c r="CO161" s="9">
        <v>0</v>
      </c>
      <c r="CP161" s="9">
        <v>0</v>
      </c>
      <c r="CQ161" s="9">
        <v>2</v>
      </c>
      <c r="CR161" s="9">
        <v>369.505</v>
      </c>
      <c r="CS161" s="9">
        <v>0</v>
      </c>
      <c r="CT161" s="9">
        <v>0</v>
      </c>
      <c r="CU161" s="9">
        <v>0</v>
      </c>
      <c r="CV161" s="9">
        <v>0</v>
      </c>
      <c r="CW161" s="9">
        <v>0</v>
      </c>
      <c r="CX161" s="9">
        <v>0</v>
      </c>
      <c r="CY161" s="9">
        <v>0</v>
      </c>
      <c r="CZ161" s="9">
        <v>0</v>
      </c>
      <c r="DA161" s="9">
        <v>1</v>
      </c>
      <c r="DB161" s="9">
        <v>2360645</v>
      </c>
      <c r="DC161" s="9">
        <v>0</v>
      </c>
      <c r="DD161" s="9">
        <v>0</v>
      </c>
      <c r="DE161" s="9">
        <v>0</v>
      </c>
      <c r="DF161" s="9">
        <v>0</v>
      </c>
      <c r="DG161" s="9">
        <v>0</v>
      </c>
      <c r="DH161" s="9">
        <v>0</v>
      </c>
      <c r="DI161" s="9">
        <v>0</v>
      </c>
      <c r="DJ161" s="9">
        <v>0</v>
      </c>
      <c r="DK161" s="9">
        <v>5392</v>
      </c>
      <c r="DL161" s="9">
        <v>0</v>
      </c>
      <c r="DM161" s="9">
        <v>106333</v>
      </c>
      <c r="DN161" s="9">
        <v>0</v>
      </c>
      <c r="DO161" s="9">
        <v>0</v>
      </c>
      <c r="DP161" s="9">
        <v>0</v>
      </c>
      <c r="DQ161" s="9">
        <v>0</v>
      </c>
      <c r="DR161" s="9">
        <v>0</v>
      </c>
      <c r="DS161" s="9">
        <v>0</v>
      </c>
      <c r="DT161" s="9">
        <v>0</v>
      </c>
      <c r="DU161" s="9">
        <v>0</v>
      </c>
      <c r="DV161" s="9">
        <v>0</v>
      </c>
      <c r="DW161" s="9">
        <v>0</v>
      </c>
      <c r="DX161" s="9">
        <v>0</v>
      </c>
      <c r="DY161" s="9">
        <v>0</v>
      </c>
      <c r="DZ161" s="9">
        <v>0</v>
      </c>
      <c r="EA161" s="9">
        <v>0</v>
      </c>
      <c r="EB161" s="9">
        <v>0</v>
      </c>
      <c r="EC161" s="9">
        <v>8.0839999999999996</v>
      </c>
      <c r="ED161" s="9">
        <v>58219</v>
      </c>
      <c r="EE161" s="9">
        <v>0</v>
      </c>
      <c r="EF161" s="9">
        <v>0</v>
      </c>
      <c r="EG161" s="9">
        <v>0</v>
      </c>
      <c r="EH161" s="9">
        <v>48114</v>
      </c>
      <c r="EI161" s="9">
        <v>0</v>
      </c>
      <c r="EJ161" s="9">
        <v>0</v>
      </c>
      <c r="EK161" s="9">
        <v>1.1830000000000001</v>
      </c>
      <c r="EL161" s="9">
        <v>0</v>
      </c>
      <c r="EM161" s="9">
        <v>0</v>
      </c>
      <c r="EN161" s="9">
        <v>0.76</v>
      </c>
      <c r="EO161" s="9">
        <v>0</v>
      </c>
      <c r="EP161" s="9">
        <v>0</v>
      </c>
      <c r="EQ161" s="9">
        <v>1.9430000000000001</v>
      </c>
      <c r="ER161" s="9">
        <v>0</v>
      </c>
      <c r="ES161" s="9">
        <v>7.3490000000000002</v>
      </c>
      <c r="ET161" s="9">
        <v>1417</v>
      </c>
      <c r="EU161" s="9">
        <v>198764</v>
      </c>
      <c r="EV161" s="9">
        <v>0</v>
      </c>
      <c r="EW161" s="9">
        <v>0</v>
      </c>
      <c r="EX161" s="9">
        <v>0</v>
      </c>
      <c r="EY161" s="9">
        <v>0</v>
      </c>
      <c r="EZ161" s="9">
        <v>2434506</v>
      </c>
      <c r="FA161" s="9">
        <v>0</v>
      </c>
      <c r="FB161" s="9">
        <v>2633270</v>
      </c>
      <c r="FC161" s="9">
        <v>0.97326799999999991</v>
      </c>
      <c r="FD161" s="9">
        <v>0</v>
      </c>
      <c r="FE161" s="9">
        <v>393633</v>
      </c>
      <c r="FF161" s="9">
        <v>83824</v>
      </c>
      <c r="FG161" s="9">
        <v>5.8088000000000001E-2</v>
      </c>
      <c r="FH161" s="9">
        <v>5.2622999999999996E-2</v>
      </c>
      <c r="FI161" s="9">
        <v>0</v>
      </c>
      <c r="FJ161" s="9">
        <v>0</v>
      </c>
      <c r="FK161" s="9">
        <v>498.565</v>
      </c>
      <c r="FL161" s="9">
        <v>3178909</v>
      </c>
      <c r="FM161" s="9">
        <v>0</v>
      </c>
      <c r="FN161" s="9">
        <v>0</v>
      </c>
      <c r="FO161" s="9">
        <v>0</v>
      </c>
      <c r="FP161" s="9">
        <v>0</v>
      </c>
      <c r="FQ161" s="9">
        <v>0</v>
      </c>
      <c r="FR161" s="9">
        <v>0</v>
      </c>
      <c r="FS161" s="9">
        <v>0</v>
      </c>
      <c r="FT161" s="9">
        <v>0</v>
      </c>
      <c r="FU161" s="9">
        <v>0</v>
      </c>
      <c r="FV161" s="9">
        <v>0</v>
      </c>
      <c r="FW161" s="9">
        <v>0</v>
      </c>
      <c r="FX161" s="9">
        <v>0</v>
      </c>
      <c r="FY161" s="9">
        <v>0</v>
      </c>
      <c r="FZ161" s="9">
        <v>0</v>
      </c>
      <c r="GA161" s="9">
        <v>0</v>
      </c>
      <c r="GB161" s="9">
        <v>143351</v>
      </c>
      <c r="GC161" s="9">
        <v>143351</v>
      </c>
      <c r="GD161" s="9">
        <v>16.219000000000001</v>
      </c>
      <c r="GE161" s="9">
        <v>0</v>
      </c>
      <c r="GF161" s="9">
        <v>0</v>
      </c>
      <c r="GG161" s="9">
        <v>0</v>
      </c>
      <c r="GH161" s="9">
        <v>0</v>
      </c>
      <c r="GI161" s="9">
        <v>0</v>
      </c>
      <c r="GJ161" s="9">
        <v>0</v>
      </c>
      <c r="GK161" s="9">
        <v>5117</v>
      </c>
      <c r="GL161" s="9">
        <v>9574</v>
      </c>
      <c r="GM161" s="9">
        <v>0</v>
      </c>
      <c r="GN161" s="9">
        <v>0</v>
      </c>
      <c r="GO161" s="9">
        <v>0</v>
      </c>
      <c r="GP161" s="9">
        <v>3110727</v>
      </c>
      <c r="GQ161" s="9">
        <v>3110727</v>
      </c>
      <c r="GR161" s="9">
        <v>0</v>
      </c>
      <c r="GS161" s="9">
        <v>0</v>
      </c>
      <c r="GT161" s="9">
        <v>0</v>
      </c>
      <c r="GU161" s="9">
        <v>0</v>
      </c>
      <c r="GV161" s="9">
        <v>0</v>
      </c>
      <c r="GW161" s="9">
        <v>0</v>
      </c>
      <c r="GX161" s="9">
        <v>0</v>
      </c>
      <c r="GY161" s="9">
        <v>0</v>
      </c>
      <c r="GZ161" s="9">
        <v>0</v>
      </c>
      <c r="HA161" s="9">
        <v>0</v>
      </c>
      <c r="HB161" s="9">
        <v>300501363</v>
      </c>
      <c r="HC161" s="9">
        <v>4.4742999999999998E-2</v>
      </c>
      <c r="HD161" s="9">
        <v>66765</v>
      </c>
      <c r="HE161" s="9">
        <v>0</v>
      </c>
      <c r="HF161" s="9">
        <v>0</v>
      </c>
      <c r="HG161" s="9">
        <v>0</v>
      </c>
      <c r="HH161" s="9">
        <v>0</v>
      </c>
      <c r="HI161" s="9">
        <v>0</v>
      </c>
      <c r="HJ161" s="9">
        <v>0</v>
      </c>
      <c r="HK161" s="9">
        <v>0</v>
      </c>
      <c r="HL161" s="9">
        <v>0</v>
      </c>
      <c r="HM161" s="9">
        <v>0</v>
      </c>
      <c r="HN161" s="9">
        <v>0</v>
      </c>
      <c r="HO161" s="9">
        <v>0</v>
      </c>
      <c r="HP161" s="9">
        <v>0</v>
      </c>
      <c r="HQ161" s="9">
        <v>0</v>
      </c>
      <c r="HR161" s="9">
        <v>0</v>
      </c>
      <c r="HS161" s="9">
        <v>0</v>
      </c>
      <c r="HT161" s="9">
        <v>0</v>
      </c>
      <c r="HU161" s="9">
        <v>0</v>
      </c>
      <c r="HV161" s="9">
        <v>0</v>
      </c>
      <c r="HW161" s="9">
        <v>0</v>
      </c>
      <c r="HX161" s="9">
        <v>0</v>
      </c>
      <c r="HY161" s="9">
        <v>0</v>
      </c>
      <c r="HZ161" s="9">
        <v>0</v>
      </c>
      <c r="IA161" s="9">
        <v>0</v>
      </c>
      <c r="IB161" s="9">
        <v>0</v>
      </c>
      <c r="IC161" s="9">
        <v>0</v>
      </c>
      <c r="ID161" s="9">
        <v>0</v>
      </c>
      <c r="IE161" s="9">
        <v>0</v>
      </c>
      <c r="IF161" s="9">
        <v>0</v>
      </c>
      <c r="IG161" s="9">
        <v>0</v>
      </c>
      <c r="IH161" s="9">
        <v>0</v>
      </c>
      <c r="II161" s="9">
        <v>0</v>
      </c>
      <c r="IJ161" s="9">
        <v>0</v>
      </c>
      <c r="IK161" s="9">
        <v>0</v>
      </c>
      <c r="IL161" s="9">
        <v>0</v>
      </c>
      <c r="IM161" s="9">
        <v>0</v>
      </c>
      <c r="IN161" s="9">
        <v>0</v>
      </c>
      <c r="IO161" s="9">
        <v>0</v>
      </c>
      <c r="IP161" s="9">
        <v>0</v>
      </c>
      <c r="IQ161" s="9">
        <v>0</v>
      </c>
      <c r="IR161" s="9">
        <v>0</v>
      </c>
      <c r="IS161" s="9">
        <v>0</v>
      </c>
      <c r="IT161" s="9">
        <v>0</v>
      </c>
      <c r="IU161" s="9">
        <v>0</v>
      </c>
      <c r="IV161" s="9">
        <v>0</v>
      </c>
      <c r="IW161" s="9">
        <v>0</v>
      </c>
      <c r="IX161" s="9">
        <v>0</v>
      </c>
      <c r="IY161" s="9">
        <v>0</v>
      </c>
      <c r="IZ161" s="9">
        <v>0</v>
      </c>
      <c r="JA161" s="9">
        <v>0</v>
      </c>
      <c r="JB161" s="9">
        <v>0</v>
      </c>
      <c r="JC161" s="9">
        <v>0</v>
      </c>
      <c r="JD161" s="9">
        <v>0</v>
      </c>
      <c r="JE161" s="9">
        <v>0</v>
      </c>
      <c r="JF161" s="9">
        <v>0</v>
      </c>
      <c r="JG161" s="9">
        <v>0</v>
      </c>
      <c r="JH161" s="9">
        <v>0</v>
      </c>
      <c r="JI161" s="9">
        <v>0</v>
      </c>
      <c r="JJ161" s="9">
        <v>0</v>
      </c>
      <c r="JK161" s="9">
        <v>0</v>
      </c>
      <c r="JL161" s="9">
        <v>0</v>
      </c>
      <c r="JM161" s="9">
        <v>0</v>
      </c>
      <c r="JN161" s="9">
        <v>36832</v>
      </c>
      <c r="JO161" s="9">
        <v>0</v>
      </c>
      <c r="JP161" s="9">
        <v>0</v>
      </c>
      <c r="JQ161" s="9">
        <v>0</v>
      </c>
      <c r="JR161" s="9">
        <v>0</v>
      </c>
      <c r="JS161" s="9">
        <v>0</v>
      </c>
      <c r="JT161" s="9">
        <v>0</v>
      </c>
      <c r="JU161" s="9">
        <v>0</v>
      </c>
      <c r="JV161" s="9">
        <v>0</v>
      </c>
      <c r="JW161" s="9">
        <v>0</v>
      </c>
      <c r="JX161" s="9">
        <v>0</v>
      </c>
      <c r="JY161" s="9">
        <v>0</v>
      </c>
      <c r="JZ161" s="9">
        <v>0</v>
      </c>
      <c r="KA161" s="9">
        <v>0</v>
      </c>
      <c r="KB161" s="9">
        <v>0</v>
      </c>
      <c r="KC161" s="9">
        <v>0</v>
      </c>
      <c r="KD161" s="9">
        <v>0</v>
      </c>
      <c r="KE161" s="9">
        <v>0</v>
      </c>
      <c r="KF161" s="9">
        <v>0</v>
      </c>
      <c r="KG161" s="9">
        <v>0</v>
      </c>
      <c r="KH161" s="9">
        <v>0</v>
      </c>
      <c r="KI161" s="9">
        <v>0</v>
      </c>
    </row>
    <row r="162" spans="1:295" x14ac:dyDescent="0.25">
      <c r="A162" s="9">
        <v>220802</v>
      </c>
      <c r="B162" s="9">
        <v>36871</v>
      </c>
      <c r="C162" s="9">
        <v>35</v>
      </c>
      <c r="D162" s="9">
        <v>2023</v>
      </c>
      <c r="E162" s="9">
        <v>5392</v>
      </c>
      <c r="F162" s="9">
        <v>0</v>
      </c>
      <c r="G162" s="9">
        <v>0</v>
      </c>
      <c r="H162" s="9">
        <v>1495.4160000000002</v>
      </c>
      <c r="I162" s="9">
        <v>1495.4160000000002</v>
      </c>
      <c r="J162" s="9">
        <v>1506.3410000000001</v>
      </c>
      <c r="K162" s="9">
        <v>0</v>
      </c>
      <c r="L162" s="9">
        <v>6547</v>
      </c>
      <c r="M162" s="9">
        <v>0</v>
      </c>
      <c r="N162" s="9">
        <v>0</v>
      </c>
      <c r="O162" s="9">
        <v>0</v>
      </c>
      <c r="P162" s="9">
        <v>1514.3320000000001</v>
      </c>
      <c r="Q162" s="9">
        <v>0</v>
      </c>
      <c r="R162" s="9">
        <v>737362</v>
      </c>
      <c r="S162" s="9">
        <v>486.92200000000003</v>
      </c>
      <c r="T162" s="9">
        <v>0</v>
      </c>
      <c r="U162" s="9">
        <v>737362</v>
      </c>
      <c r="V162" s="9">
        <v>86.052999999999997</v>
      </c>
      <c r="W162" s="9">
        <v>56339</v>
      </c>
      <c r="X162" s="9">
        <v>56339</v>
      </c>
      <c r="Y162" s="9">
        <v>0</v>
      </c>
      <c r="Z162" s="9">
        <v>0</v>
      </c>
      <c r="AA162" s="9">
        <v>1</v>
      </c>
      <c r="AB162" s="9">
        <v>1</v>
      </c>
      <c r="AC162" s="9">
        <v>0</v>
      </c>
      <c r="AD162" s="9" t="s">
        <v>314</v>
      </c>
      <c r="AE162" s="9">
        <v>0</v>
      </c>
      <c r="AF162" s="9">
        <v>0</v>
      </c>
      <c r="AG162" s="9">
        <v>0</v>
      </c>
      <c r="AH162" s="9">
        <v>0</v>
      </c>
      <c r="AI162" s="9">
        <v>0</v>
      </c>
      <c r="AJ162" s="9">
        <v>5104</v>
      </c>
      <c r="AK162" s="9" t="s">
        <v>651</v>
      </c>
      <c r="AL162" s="9" t="s">
        <v>76</v>
      </c>
      <c r="AM162" s="9">
        <v>0</v>
      </c>
      <c r="AN162" s="9">
        <v>0</v>
      </c>
      <c r="AO162" s="9">
        <v>0</v>
      </c>
      <c r="AP162" s="9">
        <v>0</v>
      </c>
      <c r="AQ162" s="9">
        <v>0</v>
      </c>
      <c r="AR162" s="9">
        <v>0</v>
      </c>
      <c r="AS162" s="9">
        <v>0</v>
      </c>
      <c r="AT162" s="9">
        <v>0</v>
      </c>
      <c r="AU162" s="9">
        <v>0</v>
      </c>
      <c r="AV162" s="9">
        <v>92624</v>
      </c>
      <c r="AW162" s="9">
        <v>12227729</v>
      </c>
      <c r="AX162" s="9">
        <v>11945431</v>
      </c>
      <c r="AY162" s="9">
        <v>13067615</v>
      </c>
      <c r="AZ162" s="9">
        <v>737362</v>
      </c>
      <c r="BA162" s="9">
        <v>33.5</v>
      </c>
      <c r="BB162" s="9">
        <v>0</v>
      </c>
      <c r="BC162" s="9">
        <v>0</v>
      </c>
      <c r="BD162" s="9">
        <v>0</v>
      </c>
      <c r="BE162" s="9">
        <v>0</v>
      </c>
      <c r="BF162" s="9">
        <v>10437599</v>
      </c>
      <c r="BG162" s="9">
        <v>0</v>
      </c>
      <c r="BH162" s="9">
        <v>0</v>
      </c>
      <c r="BI162" s="9">
        <v>0</v>
      </c>
      <c r="BJ162" s="9">
        <v>12</v>
      </c>
      <c r="BK162" s="9">
        <v>0</v>
      </c>
      <c r="BL162" s="9">
        <v>0</v>
      </c>
      <c r="BM162" s="9">
        <v>0</v>
      </c>
      <c r="BN162" s="9">
        <v>0</v>
      </c>
      <c r="BO162" s="9">
        <v>0</v>
      </c>
      <c r="BP162" s="9">
        <v>0</v>
      </c>
      <c r="BQ162" s="9">
        <v>5392</v>
      </c>
      <c r="BR162" s="9">
        <v>1</v>
      </c>
      <c r="BS162" s="9">
        <v>0</v>
      </c>
      <c r="BT162" s="9">
        <v>0</v>
      </c>
      <c r="BU162" s="9">
        <v>0</v>
      </c>
      <c r="BV162" s="9">
        <v>0</v>
      </c>
      <c r="BW162" s="9">
        <v>0</v>
      </c>
      <c r="BX162" s="9">
        <v>0</v>
      </c>
      <c r="BY162" s="9">
        <v>0</v>
      </c>
      <c r="BZ162" s="9">
        <v>0</v>
      </c>
      <c r="CA162" s="9">
        <v>0</v>
      </c>
      <c r="CB162" s="9">
        <v>0</v>
      </c>
      <c r="CC162" s="9">
        <v>0</v>
      </c>
      <c r="CD162" s="9">
        <v>0</v>
      </c>
      <c r="CE162" s="9">
        <v>0</v>
      </c>
      <c r="CF162" s="9">
        <v>0</v>
      </c>
      <c r="CG162" s="9">
        <v>0</v>
      </c>
      <c r="CH162" s="9">
        <v>282298</v>
      </c>
      <c r="CI162" s="9">
        <v>0</v>
      </c>
      <c r="CJ162" s="9">
        <v>4</v>
      </c>
      <c r="CK162" s="9">
        <v>0</v>
      </c>
      <c r="CL162" s="9">
        <v>0</v>
      </c>
      <c r="CM162" s="9">
        <v>0</v>
      </c>
      <c r="CN162" s="9">
        <v>0</v>
      </c>
      <c r="CO162" s="9">
        <v>0</v>
      </c>
      <c r="CP162" s="9">
        <v>0</v>
      </c>
      <c r="CQ162" s="9">
        <v>0</v>
      </c>
      <c r="CR162" s="9">
        <v>1502.57</v>
      </c>
      <c r="CS162" s="9">
        <v>0</v>
      </c>
      <c r="CT162" s="9">
        <v>0</v>
      </c>
      <c r="CU162" s="9">
        <v>0</v>
      </c>
      <c r="CV162" s="9">
        <v>0</v>
      </c>
      <c r="CW162" s="9">
        <v>0</v>
      </c>
      <c r="CX162" s="9">
        <v>0</v>
      </c>
      <c r="CY162" s="9">
        <v>0</v>
      </c>
      <c r="CZ162" s="9">
        <v>0</v>
      </c>
      <c r="DA162" s="9">
        <v>1</v>
      </c>
      <c r="DB162" s="9">
        <v>9790489</v>
      </c>
      <c r="DC162" s="9">
        <v>0</v>
      </c>
      <c r="DD162" s="9">
        <v>0</v>
      </c>
      <c r="DE162" s="9">
        <v>458945</v>
      </c>
      <c r="DF162" s="9">
        <v>458945</v>
      </c>
      <c r="DG162" s="9">
        <v>350.5</v>
      </c>
      <c r="DH162" s="9">
        <v>0</v>
      </c>
      <c r="DI162" s="9">
        <v>0</v>
      </c>
      <c r="DJ162" s="9">
        <v>0</v>
      </c>
      <c r="DK162" s="9">
        <v>5392</v>
      </c>
      <c r="DL162" s="9">
        <v>0</v>
      </c>
      <c r="DM162" s="9">
        <v>418508</v>
      </c>
      <c r="DN162" s="9">
        <v>0</v>
      </c>
      <c r="DO162" s="9">
        <v>0</v>
      </c>
      <c r="DP162" s="9">
        <v>0</v>
      </c>
      <c r="DQ162" s="9">
        <v>0</v>
      </c>
      <c r="DR162" s="9">
        <v>0</v>
      </c>
      <c r="DS162" s="9">
        <v>0</v>
      </c>
      <c r="DT162" s="9">
        <v>0</v>
      </c>
      <c r="DU162" s="9">
        <v>0</v>
      </c>
      <c r="DV162" s="9">
        <v>0</v>
      </c>
      <c r="DW162" s="9">
        <v>0</v>
      </c>
      <c r="DX162" s="9">
        <v>0</v>
      </c>
      <c r="DY162" s="9">
        <v>0</v>
      </c>
      <c r="DZ162" s="9">
        <v>0</v>
      </c>
      <c r="EA162" s="9">
        <v>0</v>
      </c>
      <c r="EB162" s="9">
        <v>0</v>
      </c>
      <c r="EC162" s="9">
        <v>26.146000000000001</v>
      </c>
      <c r="ED162" s="9">
        <v>188296</v>
      </c>
      <c r="EE162" s="9">
        <v>0</v>
      </c>
      <c r="EF162" s="9">
        <v>0</v>
      </c>
      <c r="EG162" s="9">
        <v>0</v>
      </c>
      <c r="EH162" s="9">
        <v>230212</v>
      </c>
      <c r="EI162" s="9">
        <v>0</v>
      </c>
      <c r="EJ162" s="9">
        <v>0</v>
      </c>
      <c r="EK162" s="9">
        <v>9.7309999999999999</v>
      </c>
      <c r="EL162" s="9">
        <v>0</v>
      </c>
      <c r="EM162" s="9">
        <v>0</v>
      </c>
      <c r="EN162" s="9">
        <v>1.194</v>
      </c>
      <c r="EO162" s="9">
        <v>0</v>
      </c>
      <c r="EP162" s="9">
        <v>0</v>
      </c>
      <c r="EQ162" s="9">
        <v>10.925000000000001</v>
      </c>
      <c r="ER162" s="9">
        <v>0</v>
      </c>
      <c r="ES162" s="9">
        <v>35.163000000000004</v>
      </c>
      <c r="ET162" s="9">
        <v>16750</v>
      </c>
      <c r="EU162" s="9">
        <v>737362</v>
      </c>
      <c r="EV162" s="9">
        <v>0</v>
      </c>
      <c r="EW162" s="9">
        <v>0</v>
      </c>
      <c r="EX162" s="9">
        <v>0</v>
      </c>
      <c r="EY162" s="9">
        <v>0</v>
      </c>
      <c r="EZ162" s="9">
        <v>9986919</v>
      </c>
      <c r="FA162" s="9">
        <v>0</v>
      </c>
      <c r="FB162" s="9">
        <v>10724281</v>
      </c>
      <c r="FC162" s="9">
        <v>0.97326799999999991</v>
      </c>
      <c r="FD162" s="9">
        <v>0</v>
      </c>
      <c r="FE162" s="9">
        <v>1614669</v>
      </c>
      <c r="FF162" s="9">
        <v>343843</v>
      </c>
      <c r="FG162" s="9">
        <v>5.8088000000000001E-2</v>
      </c>
      <c r="FH162" s="9">
        <v>5.2622999999999996E-2</v>
      </c>
      <c r="FI162" s="9">
        <v>0</v>
      </c>
      <c r="FJ162" s="9">
        <v>0</v>
      </c>
      <c r="FK162" s="9">
        <v>2045.096</v>
      </c>
      <c r="FL162" s="9">
        <v>12965091</v>
      </c>
      <c r="FM162" s="9">
        <v>0</v>
      </c>
      <c r="FN162" s="9">
        <v>0</v>
      </c>
      <c r="FO162" s="9">
        <v>0</v>
      </c>
      <c r="FP162" s="9">
        <v>0</v>
      </c>
      <c r="FQ162" s="9">
        <v>0</v>
      </c>
      <c r="FR162" s="9">
        <v>0</v>
      </c>
      <c r="FS162" s="9">
        <v>0</v>
      </c>
      <c r="FT162" s="9">
        <v>0</v>
      </c>
      <c r="FU162" s="9">
        <v>0</v>
      </c>
      <c r="FV162" s="9">
        <v>0</v>
      </c>
      <c r="FW162" s="9">
        <v>0</v>
      </c>
      <c r="FX162" s="9">
        <v>0</v>
      </c>
      <c r="FY162" s="9">
        <v>0</v>
      </c>
      <c r="FZ162" s="9">
        <v>0</v>
      </c>
      <c r="GA162" s="9">
        <v>0</v>
      </c>
      <c r="GB162" s="9">
        <v>0</v>
      </c>
      <c r="GC162" s="9">
        <v>0</v>
      </c>
      <c r="GD162" s="9">
        <v>0</v>
      </c>
      <c r="GE162" s="9">
        <v>0</v>
      </c>
      <c r="GF162" s="9">
        <v>0</v>
      </c>
      <c r="GG162" s="9">
        <v>0</v>
      </c>
      <c r="GH162" s="9">
        <v>0</v>
      </c>
      <c r="GI162" s="9">
        <v>0</v>
      </c>
      <c r="GJ162" s="9">
        <v>0</v>
      </c>
      <c r="GK162" s="9">
        <v>5007</v>
      </c>
      <c r="GL162" s="9">
        <v>12730</v>
      </c>
      <c r="GM162" s="9">
        <v>0</v>
      </c>
      <c r="GN162" s="9">
        <v>0</v>
      </c>
      <c r="GO162" s="9">
        <v>0</v>
      </c>
      <c r="GP162" s="9">
        <v>12682793</v>
      </c>
      <c r="GQ162" s="9">
        <v>12682793</v>
      </c>
      <c r="GR162" s="9">
        <v>0</v>
      </c>
      <c r="GS162" s="9">
        <v>0</v>
      </c>
      <c r="GT162" s="9">
        <v>0</v>
      </c>
      <c r="GU162" s="9">
        <v>0</v>
      </c>
      <c r="GV162" s="9">
        <v>0</v>
      </c>
      <c r="GW162" s="9">
        <v>0</v>
      </c>
      <c r="GX162" s="9">
        <v>0</v>
      </c>
      <c r="GY162" s="9">
        <v>0</v>
      </c>
      <c r="GZ162" s="9">
        <v>0</v>
      </c>
      <c r="HA162" s="9">
        <v>0</v>
      </c>
      <c r="HB162" s="9">
        <v>300501363</v>
      </c>
      <c r="HC162" s="9">
        <v>4.4742999999999998E-2</v>
      </c>
      <c r="HD162" s="9">
        <v>265548</v>
      </c>
      <c r="HE162" s="9">
        <v>0</v>
      </c>
      <c r="HF162" s="9">
        <v>0</v>
      </c>
      <c r="HG162" s="9">
        <v>0</v>
      </c>
      <c r="HH162" s="9">
        <v>0</v>
      </c>
      <c r="HI162" s="9">
        <v>0</v>
      </c>
      <c r="HJ162" s="9">
        <v>0</v>
      </c>
      <c r="HK162" s="9">
        <v>0</v>
      </c>
      <c r="HL162" s="9">
        <v>0</v>
      </c>
      <c r="HM162" s="9">
        <v>0</v>
      </c>
      <c r="HN162" s="9">
        <v>0</v>
      </c>
      <c r="HO162" s="9">
        <v>0</v>
      </c>
      <c r="HP162" s="9">
        <v>0</v>
      </c>
      <c r="HQ162" s="9">
        <v>0</v>
      </c>
      <c r="HR162" s="9">
        <v>0</v>
      </c>
      <c r="HS162" s="9">
        <v>0</v>
      </c>
      <c r="HT162" s="9">
        <v>0</v>
      </c>
      <c r="HU162" s="9">
        <v>0</v>
      </c>
      <c r="HV162" s="9">
        <v>0</v>
      </c>
      <c r="HW162" s="9">
        <v>0</v>
      </c>
      <c r="HX162" s="9">
        <v>0</v>
      </c>
      <c r="HY162" s="9">
        <v>0</v>
      </c>
      <c r="HZ162" s="9">
        <v>0</v>
      </c>
      <c r="IA162" s="9">
        <v>0</v>
      </c>
      <c r="IB162" s="9">
        <v>0</v>
      </c>
      <c r="IC162" s="9">
        <v>0</v>
      </c>
      <c r="ID162" s="9">
        <v>0</v>
      </c>
      <c r="IE162" s="9">
        <v>0</v>
      </c>
      <c r="IF162" s="9">
        <v>0</v>
      </c>
      <c r="IG162" s="9">
        <v>0</v>
      </c>
      <c r="IH162" s="9">
        <v>0</v>
      </c>
      <c r="II162" s="9">
        <v>0</v>
      </c>
      <c r="IJ162" s="9">
        <v>0</v>
      </c>
      <c r="IK162" s="9">
        <v>0</v>
      </c>
      <c r="IL162" s="9">
        <v>0</v>
      </c>
      <c r="IM162" s="9">
        <v>0</v>
      </c>
      <c r="IN162" s="9">
        <v>0</v>
      </c>
      <c r="IO162" s="9">
        <v>0</v>
      </c>
      <c r="IP162" s="9">
        <v>0</v>
      </c>
      <c r="IQ162" s="9">
        <v>0</v>
      </c>
      <c r="IR162" s="9">
        <v>0</v>
      </c>
      <c r="IS162" s="9">
        <v>0</v>
      </c>
      <c r="IT162" s="9">
        <v>0</v>
      </c>
      <c r="IU162" s="9">
        <v>0</v>
      </c>
      <c r="IV162" s="9">
        <v>0</v>
      </c>
      <c r="IW162" s="9">
        <v>0</v>
      </c>
      <c r="IX162" s="9">
        <v>0</v>
      </c>
      <c r="IY162" s="9">
        <v>0</v>
      </c>
      <c r="IZ162" s="9">
        <v>0</v>
      </c>
      <c r="JA162" s="9">
        <v>0</v>
      </c>
      <c r="JB162" s="9">
        <v>0</v>
      </c>
      <c r="JC162" s="9">
        <v>0</v>
      </c>
      <c r="JD162" s="9">
        <v>0</v>
      </c>
      <c r="JE162" s="9">
        <v>0</v>
      </c>
      <c r="JF162" s="9">
        <v>0</v>
      </c>
      <c r="JG162" s="9">
        <v>0</v>
      </c>
      <c r="JH162" s="9">
        <v>0</v>
      </c>
      <c r="JI162" s="9">
        <v>0</v>
      </c>
      <c r="JJ162" s="9">
        <v>0</v>
      </c>
      <c r="JK162" s="9">
        <v>0</v>
      </c>
      <c r="JL162" s="9">
        <v>0</v>
      </c>
      <c r="JM162" s="9">
        <v>0</v>
      </c>
      <c r="JN162" s="9">
        <v>36832</v>
      </c>
      <c r="JO162" s="9">
        <v>0</v>
      </c>
      <c r="JP162" s="9">
        <v>0</v>
      </c>
      <c r="JQ162" s="9">
        <v>0</v>
      </c>
      <c r="JR162" s="9">
        <v>0</v>
      </c>
      <c r="JS162" s="9">
        <v>0</v>
      </c>
      <c r="JT162" s="9">
        <v>0</v>
      </c>
      <c r="JU162" s="9">
        <v>0</v>
      </c>
      <c r="JV162" s="9">
        <v>0</v>
      </c>
      <c r="JW162" s="9">
        <v>0</v>
      </c>
      <c r="JX162" s="9">
        <v>0</v>
      </c>
      <c r="JY162" s="9">
        <v>0</v>
      </c>
      <c r="JZ162" s="9">
        <v>0</v>
      </c>
      <c r="KA162" s="9">
        <v>0</v>
      </c>
      <c r="KB162" s="9">
        <v>0</v>
      </c>
      <c r="KC162" s="9">
        <v>0</v>
      </c>
      <c r="KD162" s="9">
        <v>0</v>
      </c>
      <c r="KE162" s="9">
        <v>0</v>
      </c>
      <c r="KF162" s="9">
        <v>0</v>
      </c>
      <c r="KG162" s="9">
        <v>0</v>
      </c>
      <c r="KH162" s="9">
        <v>0</v>
      </c>
      <c r="KI162" s="9">
        <v>0</v>
      </c>
    </row>
    <row r="163" spans="1:295" x14ac:dyDescent="0.25">
      <c r="A163" s="9">
        <v>220809</v>
      </c>
      <c r="B163" s="9">
        <v>36871</v>
      </c>
      <c r="C163" s="9">
        <v>35</v>
      </c>
      <c r="D163" s="9">
        <v>2023</v>
      </c>
      <c r="E163" s="9">
        <v>5392</v>
      </c>
      <c r="F163" s="9">
        <v>0</v>
      </c>
      <c r="G163" s="9">
        <v>0</v>
      </c>
      <c r="H163" s="9">
        <v>580.75400000000002</v>
      </c>
      <c r="I163" s="9">
        <v>580.75400000000002</v>
      </c>
      <c r="J163" s="9">
        <v>604.92600000000004</v>
      </c>
      <c r="K163" s="9">
        <v>0</v>
      </c>
      <c r="L163" s="9">
        <v>6547</v>
      </c>
      <c r="M163" s="9">
        <v>0</v>
      </c>
      <c r="N163" s="9">
        <v>0</v>
      </c>
      <c r="O163" s="9">
        <v>0</v>
      </c>
      <c r="P163" s="9">
        <v>500.78700000000003</v>
      </c>
      <c r="Q163" s="9">
        <v>0</v>
      </c>
      <c r="R163" s="9">
        <v>243844</v>
      </c>
      <c r="S163" s="9">
        <v>486.92200000000003</v>
      </c>
      <c r="T163" s="9">
        <v>0</v>
      </c>
      <c r="U163" s="9">
        <v>243844</v>
      </c>
      <c r="V163" s="9">
        <v>17.253</v>
      </c>
      <c r="W163" s="9">
        <v>11296</v>
      </c>
      <c r="X163" s="9">
        <v>11296</v>
      </c>
      <c r="Y163" s="9">
        <v>0</v>
      </c>
      <c r="Z163" s="9">
        <v>0</v>
      </c>
      <c r="AA163" s="9">
        <v>1</v>
      </c>
      <c r="AB163" s="9">
        <v>1</v>
      </c>
      <c r="AC163" s="9">
        <v>0</v>
      </c>
      <c r="AD163" s="9" t="s">
        <v>314</v>
      </c>
      <c r="AE163" s="9">
        <v>0</v>
      </c>
      <c r="AF163" s="9">
        <v>0</v>
      </c>
      <c r="AG163" s="9">
        <v>0</v>
      </c>
      <c r="AH163" s="9">
        <v>0</v>
      </c>
      <c r="AI163" s="9">
        <v>0</v>
      </c>
      <c r="AJ163" s="9">
        <v>5104</v>
      </c>
      <c r="AK163" s="9" t="s">
        <v>651</v>
      </c>
      <c r="AL163" s="9" t="s">
        <v>77</v>
      </c>
      <c r="AM163" s="9">
        <v>0</v>
      </c>
      <c r="AN163" s="9">
        <v>0</v>
      </c>
      <c r="AO163" s="9">
        <v>0</v>
      </c>
      <c r="AP163" s="9">
        <v>0</v>
      </c>
      <c r="AQ163" s="9">
        <v>0</v>
      </c>
      <c r="AR163" s="9">
        <v>0</v>
      </c>
      <c r="AS163" s="9">
        <v>0</v>
      </c>
      <c r="AT163" s="9">
        <v>0</v>
      </c>
      <c r="AU163" s="9">
        <v>0</v>
      </c>
      <c r="AV163" s="9">
        <v>21206</v>
      </c>
      <c r="AW163" s="9">
        <v>4910419</v>
      </c>
      <c r="AX163" s="9">
        <v>4745017</v>
      </c>
      <c r="AY163" s="9">
        <v>5313103</v>
      </c>
      <c r="AZ163" s="9">
        <v>298542</v>
      </c>
      <c r="BA163" s="9">
        <v>7.25</v>
      </c>
      <c r="BB163" s="9">
        <v>23763</v>
      </c>
      <c r="BC163" s="9">
        <v>23763</v>
      </c>
      <c r="BD163" s="9">
        <v>30.246000000000002</v>
      </c>
      <c r="BE163" s="9">
        <v>0</v>
      </c>
      <c r="BF163" s="9">
        <v>4105699</v>
      </c>
      <c r="BG163" s="9">
        <v>0</v>
      </c>
      <c r="BH163" s="9">
        <v>198.90300000000002</v>
      </c>
      <c r="BI163" s="9">
        <v>54698</v>
      </c>
      <c r="BJ163" s="9">
        <v>12</v>
      </c>
      <c r="BK163" s="9">
        <v>0</v>
      </c>
      <c r="BL163" s="9">
        <v>0</v>
      </c>
      <c r="BM163" s="9">
        <v>0</v>
      </c>
      <c r="BN163" s="9">
        <v>0</v>
      </c>
      <c r="BO163" s="9">
        <v>0</v>
      </c>
      <c r="BP163" s="9">
        <v>0</v>
      </c>
      <c r="BQ163" s="9">
        <v>5392</v>
      </c>
      <c r="BR163" s="9">
        <v>1</v>
      </c>
      <c r="BS163" s="9">
        <v>0</v>
      </c>
      <c r="BT163" s="9">
        <v>0</v>
      </c>
      <c r="BU163" s="9">
        <v>0</v>
      </c>
      <c r="BV163" s="9">
        <v>0</v>
      </c>
      <c r="BW163" s="9">
        <v>0</v>
      </c>
      <c r="BX163" s="9">
        <v>0</v>
      </c>
      <c r="BY163" s="9">
        <v>0</v>
      </c>
      <c r="BZ163" s="9">
        <v>0</v>
      </c>
      <c r="CA163" s="9">
        <v>0</v>
      </c>
      <c r="CB163" s="9">
        <v>0</v>
      </c>
      <c r="CC163" s="9">
        <v>0</v>
      </c>
      <c r="CD163" s="9">
        <v>0</v>
      </c>
      <c r="CE163" s="9">
        <v>0</v>
      </c>
      <c r="CF163" s="9">
        <v>0</v>
      </c>
      <c r="CG163" s="9">
        <v>0</v>
      </c>
      <c r="CH163" s="9">
        <v>110704</v>
      </c>
      <c r="CI163" s="9">
        <v>0</v>
      </c>
      <c r="CJ163" s="9">
        <v>4</v>
      </c>
      <c r="CK163" s="9">
        <v>0</v>
      </c>
      <c r="CL163" s="9">
        <v>0</v>
      </c>
      <c r="CM163" s="9">
        <v>0</v>
      </c>
      <c r="CN163" s="9">
        <v>0</v>
      </c>
      <c r="CO163" s="9">
        <v>0</v>
      </c>
      <c r="CP163" s="9">
        <v>0</v>
      </c>
      <c r="CQ163" s="9">
        <v>1.75</v>
      </c>
      <c r="CR163" s="9">
        <v>499.67400000000004</v>
      </c>
      <c r="CS163" s="9">
        <v>0</v>
      </c>
      <c r="CT163" s="9">
        <v>0</v>
      </c>
      <c r="CU163" s="9">
        <v>0</v>
      </c>
      <c r="CV163" s="9">
        <v>0</v>
      </c>
      <c r="CW163" s="9">
        <v>0</v>
      </c>
      <c r="CX163" s="9">
        <v>0</v>
      </c>
      <c r="CY163" s="9">
        <v>0</v>
      </c>
      <c r="CZ163" s="9">
        <v>0</v>
      </c>
      <c r="DA163" s="9">
        <v>1</v>
      </c>
      <c r="DB163" s="9">
        <v>3802196</v>
      </c>
      <c r="DC163" s="9">
        <v>0</v>
      </c>
      <c r="DD163" s="9">
        <v>0</v>
      </c>
      <c r="DE163" s="9">
        <v>0</v>
      </c>
      <c r="DF163" s="9">
        <v>0</v>
      </c>
      <c r="DG163" s="9">
        <v>0</v>
      </c>
      <c r="DH163" s="9">
        <v>0</v>
      </c>
      <c r="DI163" s="9">
        <v>0</v>
      </c>
      <c r="DJ163" s="9">
        <v>0</v>
      </c>
      <c r="DK163" s="9">
        <v>5392</v>
      </c>
      <c r="DL163" s="9">
        <v>0</v>
      </c>
      <c r="DM163" s="9">
        <v>230773</v>
      </c>
      <c r="DN163" s="9">
        <v>0</v>
      </c>
      <c r="DO163" s="9">
        <v>0</v>
      </c>
      <c r="DP163" s="9">
        <v>0</v>
      </c>
      <c r="DQ163" s="9">
        <v>0</v>
      </c>
      <c r="DR163" s="9">
        <v>0</v>
      </c>
      <c r="DS163" s="9">
        <v>0</v>
      </c>
      <c r="DT163" s="9">
        <v>0</v>
      </c>
      <c r="DU163" s="9">
        <v>0</v>
      </c>
      <c r="DV163" s="9">
        <v>0</v>
      </c>
      <c r="DW163" s="9">
        <v>0</v>
      </c>
      <c r="DX163" s="9">
        <v>0</v>
      </c>
      <c r="DY163" s="9">
        <v>0</v>
      </c>
      <c r="DZ163" s="9">
        <v>0</v>
      </c>
      <c r="EA163" s="9">
        <v>0</v>
      </c>
      <c r="EB163" s="9">
        <v>0</v>
      </c>
      <c r="EC163" s="9">
        <v>12.127000000000001</v>
      </c>
      <c r="ED163" s="9">
        <v>87335</v>
      </c>
      <c r="EE163" s="9">
        <v>0</v>
      </c>
      <c r="EF163" s="9">
        <v>0</v>
      </c>
      <c r="EG163" s="9">
        <v>0</v>
      </c>
      <c r="EH163" s="9">
        <v>143438</v>
      </c>
      <c r="EI163" s="9">
        <v>0</v>
      </c>
      <c r="EJ163" s="9">
        <v>0</v>
      </c>
      <c r="EK163" s="9">
        <v>6.7050000000000001</v>
      </c>
      <c r="EL163" s="9">
        <v>0</v>
      </c>
      <c r="EM163" s="9">
        <v>0.218</v>
      </c>
      <c r="EN163" s="9">
        <v>0.22800000000000001</v>
      </c>
      <c r="EO163" s="9">
        <v>0</v>
      </c>
      <c r="EP163" s="9">
        <v>0</v>
      </c>
      <c r="EQ163" s="9">
        <v>7.1510000000000007</v>
      </c>
      <c r="ER163" s="9">
        <v>0</v>
      </c>
      <c r="ES163" s="9">
        <v>21.909000000000002</v>
      </c>
      <c r="ET163" s="9">
        <v>4063</v>
      </c>
      <c r="EU163" s="9">
        <v>298542</v>
      </c>
      <c r="EV163" s="9">
        <v>0</v>
      </c>
      <c r="EW163" s="9">
        <v>0</v>
      </c>
      <c r="EX163" s="9">
        <v>0</v>
      </c>
      <c r="EY163" s="9">
        <v>0</v>
      </c>
      <c r="EZ163" s="9">
        <v>3974623</v>
      </c>
      <c r="FA163" s="9">
        <v>0</v>
      </c>
      <c r="FB163" s="9">
        <v>4273165</v>
      </c>
      <c r="FC163" s="9">
        <v>0.97326799999999991</v>
      </c>
      <c r="FD163" s="9">
        <v>0</v>
      </c>
      <c r="FE163" s="9">
        <v>635141</v>
      </c>
      <c r="FF163" s="9">
        <v>135253</v>
      </c>
      <c r="FG163" s="9">
        <v>5.8088000000000001E-2</v>
      </c>
      <c r="FH163" s="9">
        <v>5.2622999999999996E-2</v>
      </c>
      <c r="FI163" s="9">
        <v>0</v>
      </c>
      <c r="FJ163" s="9">
        <v>0</v>
      </c>
      <c r="FK163" s="9">
        <v>804.452</v>
      </c>
      <c r="FL163" s="9">
        <v>5154263</v>
      </c>
      <c r="FM163" s="9">
        <v>0</v>
      </c>
      <c r="FN163" s="9">
        <v>0</v>
      </c>
      <c r="FO163" s="9">
        <v>0</v>
      </c>
      <c r="FP163" s="9">
        <v>0</v>
      </c>
      <c r="FQ163" s="9">
        <v>0</v>
      </c>
      <c r="FR163" s="9">
        <v>0</v>
      </c>
      <c r="FS163" s="9">
        <v>0</v>
      </c>
      <c r="FT163" s="9">
        <v>0</v>
      </c>
      <c r="FU163" s="9">
        <v>0</v>
      </c>
      <c r="FV163" s="9">
        <v>0</v>
      </c>
      <c r="FW163" s="9">
        <v>0</v>
      </c>
      <c r="FX163" s="9">
        <v>0</v>
      </c>
      <c r="FY163" s="9">
        <v>0</v>
      </c>
      <c r="FZ163" s="9">
        <v>0</v>
      </c>
      <c r="GA163" s="9">
        <v>0</v>
      </c>
      <c r="GB163" s="9">
        <v>150439</v>
      </c>
      <c r="GC163" s="9">
        <v>150439</v>
      </c>
      <c r="GD163" s="9">
        <v>17.021000000000001</v>
      </c>
      <c r="GE163" s="9">
        <v>0</v>
      </c>
      <c r="GF163" s="9">
        <v>0</v>
      </c>
      <c r="GG163" s="9">
        <v>0</v>
      </c>
      <c r="GH163" s="9">
        <v>0</v>
      </c>
      <c r="GI163" s="9">
        <v>0</v>
      </c>
      <c r="GJ163" s="9">
        <v>0</v>
      </c>
      <c r="GK163" s="9">
        <v>5169</v>
      </c>
      <c r="GL163" s="9">
        <v>10852</v>
      </c>
      <c r="GM163" s="9">
        <v>0</v>
      </c>
      <c r="GN163" s="9">
        <v>0</v>
      </c>
      <c r="GO163" s="9">
        <v>0</v>
      </c>
      <c r="GP163" s="9">
        <v>5043559</v>
      </c>
      <c r="GQ163" s="9">
        <v>5043559</v>
      </c>
      <c r="GR163" s="9">
        <v>0</v>
      </c>
      <c r="GS163" s="9">
        <v>0</v>
      </c>
      <c r="GT163" s="9">
        <v>0</v>
      </c>
      <c r="GU163" s="9">
        <v>0</v>
      </c>
      <c r="GV163" s="9">
        <v>0</v>
      </c>
      <c r="GW163" s="9">
        <v>0</v>
      </c>
      <c r="GX163" s="9">
        <v>0</v>
      </c>
      <c r="GY163" s="9">
        <v>0</v>
      </c>
      <c r="GZ163" s="9">
        <v>0</v>
      </c>
      <c r="HA163" s="9">
        <v>0</v>
      </c>
      <c r="HB163" s="9">
        <v>300501363</v>
      </c>
      <c r="HC163" s="9">
        <v>4.4742999999999998E-2</v>
      </c>
      <c r="HD163" s="9">
        <v>106641</v>
      </c>
      <c r="HE163" s="9">
        <v>0</v>
      </c>
      <c r="HF163" s="9">
        <v>0</v>
      </c>
      <c r="HG163" s="9">
        <v>0</v>
      </c>
      <c r="HH163" s="9">
        <v>0</v>
      </c>
      <c r="HI163" s="9">
        <v>0</v>
      </c>
      <c r="HJ163" s="9">
        <v>0</v>
      </c>
      <c r="HK163" s="9">
        <v>0</v>
      </c>
      <c r="HL163" s="9">
        <v>0</v>
      </c>
      <c r="HM163" s="9">
        <v>0</v>
      </c>
      <c r="HN163" s="9">
        <v>0</v>
      </c>
      <c r="HO163" s="9">
        <v>0</v>
      </c>
      <c r="HP163" s="9">
        <v>0</v>
      </c>
      <c r="HQ163" s="9">
        <v>0</v>
      </c>
      <c r="HR163" s="9">
        <v>0</v>
      </c>
      <c r="HS163" s="9">
        <v>0</v>
      </c>
      <c r="HT163" s="9">
        <v>0</v>
      </c>
      <c r="HU163" s="9">
        <v>0</v>
      </c>
      <c r="HV163" s="9">
        <v>0</v>
      </c>
      <c r="HW163" s="9">
        <v>0</v>
      </c>
      <c r="HX163" s="9">
        <v>0</v>
      </c>
      <c r="HY163" s="9">
        <v>0</v>
      </c>
      <c r="HZ163" s="9">
        <v>0</v>
      </c>
      <c r="IA163" s="9">
        <v>0</v>
      </c>
      <c r="IB163" s="9">
        <v>0</v>
      </c>
      <c r="IC163" s="9">
        <v>0</v>
      </c>
      <c r="ID163" s="9">
        <v>0</v>
      </c>
      <c r="IE163" s="9">
        <v>0</v>
      </c>
      <c r="IF163" s="9">
        <v>0</v>
      </c>
      <c r="IG163" s="9">
        <v>0</v>
      </c>
      <c r="IH163" s="9">
        <v>0</v>
      </c>
      <c r="II163" s="9">
        <v>0</v>
      </c>
      <c r="IJ163" s="9">
        <v>0</v>
      </c>
      <c r="IK163" s="9">
        <v>0</v>
      </c>
      <c r="IL163" s="9">
        <v>0</v>
      </c>
      <c r="IM163" s="9">
        <v>0</v>
      </c>
      <c r="IN163" s="9">
        <v>0</v>
      </c>
      <c r="IO163" s="9">
        <v>0</v>
      </c>
      <c r="IP163" s="9">
        <v>0</v>
      </c>
      <c r="IQ163" s="9">
        <v>0</v>
      </c>
      <c r="IR163" s="9">
        <v>0</v>
      </c>
      <c r="IS163" s="9">
        <v>0</v>
      </c>
      <c r="IT163" s="9">
        <v>0</v>
      </c>
      <c r="IU163" s="9">
        <v>0</v>
      </c>
      <c r="IV163" s="9">
        <v>0</v>
      </c>
      <c r="IW163" s="9">
        <v>0</v>
      </c>
      <c r="IX163" s="9">
        <v>0</v>
      </c>
      <c r="IY163" s="9">
        <v>0</v>
      </c>
      <c r="IZ163" s="9">
        <v>0</v>
      </c>
      <c r="JA163" s="9">
        <v>0</v>
      </c>
      <c r="JB163" s="9">
        <v>0</v>
      </c>
      <c r="JC163" s="9">
        <v>0</v>
      </c>
      <c r="JD163" s="9">
        <v>0</v>
      </c>
      <c r="JE163" s="9">
        <v>0</v>
      </c>
      <c r="JF163" s="9">
        <v>0</v>
      </c>
      <c r="JG163" s="9">
        <v>0</v>
      </c>
      <c r="JH163" s="9">
        <v>0</v>
      </c>
      <c r="JI163" s="9">
        <v>0</v>
      </c>
      <c r="JJ163" s="9">
        <v>0</v>
      </c>
      <c r="JK163" s="9">
        <v>0</v>
      </c>
      <c r="JL163" s="9">
        <v>0</v>
      </c>
      <c r="JM163" s="9">
        <v>0</v>
      </c>
      <c r="JN163" s="9">
        <v>36832</v>
      </c>
      <c r="JO163" s="9">
        <v>0</v>
      </c>
      <c r="JP163" s="9">
        <v>0</v>
      </c>
      <c r="JQ163" s="9">
        <v>0</v>
      </c>
      <c r="JR163" s="9">
        <v>0</v>
      </c>
      <c r="JS163" s="9">
        <v>0</v>
      </c>
      <c r="JT163" s="9">
        <v>0</v>
      </c>
      <c r="JU163" s="9">
        <v>0</v>
      </c>
      <c r="JV163" s="9">
        <v>0</v>
      </c>
      <c r="JW163" s="9">
        <v>0</v>
      </c>
      <c r="JX163" s="9">
        <v>0</v>
      </c>
      <c r="JY163" s="9">
        <v>0</v>
      </c>
      <c r="JZ163" s="9">
        <v>0</v>
      </c>
      <c r="KA163" s="9">
        <v>0</v>
      </c>
      <c r="KB163" s="9">
        <v>0</v>
      </c>
      <c r="KC163" s="9">
        <v>0</v>
      </c>
      <c r="KD163" s="9">
        <v>0</v>
      </c>
      <c r="KE163" s="9">
        <v>0</v>
      </c>
      <c r="KF163" s="9">
        <v>0</v>
      </c>
      <c r="KG163" s="9">
        <v>0</v>
      </c>
      <c r="KH163" s="9">
        <v>0</v>
      </c>
      <c r="KI163" s="9">
        <v>0</v>
      </c>
    </row>
    <row r="164" spans="1:295" x14ac:dyDescent="0.25">
      <c r="A164" s="9">
        <v>220810</v>
      </c>
      <c r="B164" s="9">
        <v>36871</v>
      </c>
      <c r="C164" s="9">
        <v>35</v>
      </c>
      <c r="D164" s="9">
        <v>2023</v>
      </c>
      <c r="E164" s="9">
        <v>5392</v>
      </c>
      <c r="F164" s="9">
        <v>0</v>
      </c>
      <c r="G164" s="9">
        <v>0</v>
      </c>
      <c r="H164" s="9">
        <v>823.86099999999999</v>
      </c>
      <c r="I164" s="9">
        <v>823.86099999999999</v>
      </c>
      <c r="J164" s="9">
        <v>893.70300000000009</v>
      </c>
      <c r="K164" s="9">
        <v>0</v>
      </c>
      <c r="L164" s="9">
        <v>6547</v>
      </c>
      <c r="M164" s="9">
        <v>0</v>
      </c>
      <c r="N164" s="9">
        <v>0</v>
      </c>
      <c r="O164" s="9">
        <v>0</v>
      </c>
      <c r="P164" s="9">
        <v>870.09</v>
      </c>
      <c r="Q164" s="9">
        <v>0</v>
      </c>
      <c r="R164" s="9">
        <v>423666</v>
      </c>
      <c r="S164" s="9">
        <v>486.92200000000003</v>
      </c>
      <c r="T164" s="9">
        <v>0</v>
      </c>
      <c r="U164" s="9">
        <v>423666</v>
      </c>
      <c r="V164" s="9">
        <v>11.797000000000001</v>
      </c>
      <c r="W164" s="9">
        <v>7723</v>
      </c>
      <c r="X164" s="9">
        <v>7723</v>
      </c>
      <c r="Y164" s="9">
        <v>0</v>
      </c>
      <c r="Z164" s="9">
        <v>0</v>
      </c>
      <c r="AA164" s="9">
        <v>1</v>
      </c>
      <c r="AB164" s="9">
        <v>1</v>
      </c>
      <c r="AC164" s="9">
        <v>0</v>
      </c>
      <c r="AD164" s="9" t="s">
        <v>314</v>
      </c>
      <c r="AE164" s="9">
        <v>0</v>
      </c>
      <c r="AF164" s="9">
        <v>0</v>
      </c>
      <c r="AG164" s="9">
        <v>0</v>
      </c>
      <c r="AH164" s="9">
        <v>0</v>
      </c>
      <c r="AI164" s="9">
        <v>0</v>
      </c>
      <c r="AJ164" s="9">
        <v>5104</v>
      </c>
      <c r="AK164" s="9" t="s">
        <v>651</v>
      </c>
      <c r="AL164" s="9" t="s">
        <v>0</v>
      </c>
      <c r="AM164" s="9">
        <v>0</v>
      </c>
      <c r="AN164" s="9">
        <v>0</v>
      </c>
      <c r="AO164" s="9">
        <v>0</v>
      </c>
      <c r="AP164" s="9">
        <v>0</v>
      </c>
      <c r="AQ164" s="9">
        <v>0</v>
      </c>
      <c r="AR164" s="9">
        <v>0</v>
      </c>
      <c r="AS164" s="9">
        <v>0</v>
      </c>
      <c r="AT164" s="9">
        <v>0</v>
      </c>
      <c r="AU164" s="9">
        <v>0</v>
      </c>
      <c r="AV164" s="9">
        <v>-23972</v>
      </c>
      <c r="AW164" s="9">
        <v>7129209</v>
      </c>
      <c r="AX164" s="9">
        <v>6890836</v>
      </c>
      <c r="AY164" s="9">
        <v>7417797</v>
      </c>
      <c r="AZ164" s="9">
        <v>504491</v>
      </c>
      <c r="BA164" s="9">
        <v>0</v>
      </c>
      <c r="BB164" s="9">
        <v>0</v>
      </c>
      <c r="BC164" s="9">
        <v>0</v>
      </c>
      <c r="BD164" s="9">
        <v>0</v>
      </c>
      <c r="BE164" s="9">
        <v>0</v>
      </c>
      <c r="BF164" s="9">
        <v>6019640</v>
      </c>
      <c r="BG164" s="9">
        <v>0</v>
      </c>
      <c r="BH164" s="9">
        <v>293.91000000000003</v>
      </c>
      <c r="BI164" s="9">
        <v>80825</v>
      </c>
      <c r="BJ164" s="9">
        <v>12</v>
      </c>
      <c r="BK164" s="9">
        <v>0</v>
      </c>
      <c r="BL164" s="9">
        <v>0</v>
      </c>
      <c r="BM164" s="9">
        <v>0</v>
      </c>
      <c r="BN164" s="9">
        <v>0</v>
      </c>
      <c r="BO164" s="9">
        <v>0</v>
      </c>
      <c r="BP164" s="9">
        <v>0</v>
      </c>
      <c r="BQ164" s="9">
        <v>5392</v>
      </c>
      <c r="BR164" s="9">
        <v>1</v>
      </c>
      <c r="BS164" s="9">
        <v>0</v>
      </c>
      <c r="BT164" s="9">
        <v>0</v>
      </c>
      <c r="BU164" s="9">
        <v>0</v>
      </c>
      <c r="BV164" s="9">
        <v>0</v>
      </c>
      <c r="BW164" s="9">
        <v>0</v>
      </c>
      <c r="BX164" s="9">
        <v>0</v>
      </c>
      <c r="BY164" s="9">
        <v>0</v>
      </c>
      <c r="BZ164" s="9">
        <v>0</v>
      </c>
      <c r="CA164" s="9">
        <v>0</v>
      </c>
      <c r="CB164" s="9">
        <v>0</v>
      </c>
      <c r="CC164" s="9">
        <v>0</v>
      </c>
      <c r="CD164" s="9">
        <v>0</v>
      </c>
      <c r="CE164" s="9">
        <v>0</v>
      </c>
      <c r="CF164" s="9">
        <v>0</v>
      </c>
      <c r="CG164" s="9">
        <v>0</v>
      </c>
      <c r="CH164" s="9">
        <v>157548</v>
      </c>
      <c r="CI164" s="9">
        <v>0</v>
      </c>
      <c r="CJ164" s="9">
        <v>4</v>
      </c>
      <c r="CK164" s="9">
        <v>0</v>
      </c>
      <c r="CL164" s="9">
        <v>0</v>
      </c>
      <c r="CM164" s="9">
        <v>0</v>
      </c>
      <c r="CN164" s="9">
        <v>0</v>
      </c>
      <c r="CO164" s="9">
        <v>0</v>
      </c>
      <c r="CP164" s="9">
        <v>0</v>
      </c>
      <c r="CQ164" s="9">
        <v>0</v>
      </c>
      <c r="CR164" s="9">
        <v>870.09</v>
      </c>
      <c r="CS164" s="9">
        <v>0</v>
      </c>
      <c r="CT164" s="9">
        <v>0</v>
      </c>
      <c r="CU164" s="9">
        <v>0</v>
      </c>
      <c r="CV164" s="9">
        <v>0</v>
      </c>
      <c r="CW164" s="9">
        <v>0</v>
      </c>
      <c r="CX164" s="9">
        <v>0</v>
      </c>
      <c r="CY164" s="9">
        <v>0</v>
      </c>
      <c r="CZ164" s="9">
        <v>0</v>
      </c>
      <c r="DA164" s="9">
        <v>1</v>
      </c>
      <c r="DB164" s="9">
        <v>5393818</v>
      </c>
      <c r="DC164" s="9">
        <v>0</v>
      </c>
      <c r="DD164" s="9">
        <v>0</v>
      </c>
      <c r="DE164" s="9">
        <v>0</v>
      </c>
      <c r="DF164" s="9">
        <v>0</v>
      </c>
      <c r="DG164" s="9">
        <v>0</v>
      </c>
      <c r="DH164" s="9">
        <v>0</v>
      </c>
      <c r="DI164" s="9">
        <v>0</v>
      </c>
      <c r="DJ164" s="9">
        <v>0</v>
      </c>
      <c r="DK164" s="9">
        <v>5392</v>
      </c>
      <c r="DL164" s="9">
        <v>0</v>
      </c>
      <c r="DM164" s="9">
        <v>281960</v>
      </c>
      <c r="DN164" s="9">
        <v>0</v>
      </c>
      <c r="DO164" s="9">
        <v>0</v>
      </c>
      <c r="DP164" s="9">
        <v>0</v>
      </c>
      <c r="DQ164" s="9">
        <v>0</v>
      </c>
      <c r="DR164" s="9">
        <v>0</v>
      </c>
      <c r="DS164" s="9">
        <v>0</v>
      </c>
      <c r="DT164" s="9">
        <v>0</v>
      </c>
      <c r="DU164" s="9">
        <v>0</v>
      </c>
      <c r="DV164" s="9">
        <v>0</v>
      </c>
      <c r="DW164" s="9">
        <v>0</v>
      </c>
      <c r="DX164" s="9">
        <v>0</v>
      </c>
      <c r="DY164" s="9">
        <v>0</v>
      </c>
      <c r="DZ164" s="9">
        <v>0</v>
      </c>
      <c r="EA164" s="9">
        <v>0</v>
      </c>
      <c r="EB164" s="9">
        <v>0</v>
      </c>
      <c r="EC164" s="9">
        <v>1.21</v>
      </c>
      <c r="ED164" s="9">
        <v>8714</v>
      </c>
      <c r="EE164" s="9">
        <v>0</v>
      </c>
      <c r="EF164" s="9">
        <v>0</v>
      </c>
      <c r="EG164" s="9">
        <v>0</v>
      </c>
      <c r="EH164" s="9">
        <v>273246</v>
      </c>
      <c r="EI164" s="9">
        <v>0</v>
      </c>
      <c r="EJ164" s="9">
        <v>0</v>
      </c>
      <c r="EK164" s="9">
        <v>10.423</v>
      </c>
      <c r="EL164" s="9">
        <v>0</v>
      </c>
      <c r="EM164" s="9">
        <v>1.4690000000000001</v>
      </c>
      <c r="EN164" s="9">
        <v>1.212</v>
      </c>
      <c r="EO164" s="9">
        <v>0</v>
      </c>
      <c r="EP164" s="9">
        <v>0</v>
      </c>
      <c r="EQ164" s="9">
        <v>13.104000000000001</v>
      </c>
      <c r="ER164" s="9">
        <v>0</v>
      </c>
      <c r="ES164" s="9">
        <v>41.736000000000004</v>
      </c>
      <c r="ET164" s="9">
        <v>0</v>
      </c>
      <c r="EU164" s="9">
        <v>504491</v>
      </c>
      <c r="EV164" s="9">
        <v>0</v>
      </c>
      <c r="EW164" s="9">
        <v>0</v>
      </c>
      <c r="EX164" s="9">
        <v>0</v>
      </c>
      <c r="EY164" s="9">
        <v>0</v>
      </c>
      <c r="EZ164" s="9">
        <v>5761311</v>
      </c>
      <c r="FA164" s="9">
        <v>0</v>
      </c>
      <c r="FB164" s="9">
        <v>6265802</v>
      </c>
      <c r="FC164" s="9">
        <v>0.97326799999999991</v>
      </c>
      <c r="FD164" s="9">
        <v>0</v>
      </c>
      <c r="FE164" s="9">
        <v>931222</v>
      </c>
      <c r="FF164" s="9">
        <v>198303</v>
      </c>
      <c r="FG164" s="9">
        <v>5.8088000000000001E-2</v>
      </c>
      <c r="FH164" s="9">
        <v>5.2622999999999996E-2</v>
      </c>
      <c r="FI164" s="9">
        <v>0</v>
      </c>
      <c r="FJ164" s="9">
        <v>0</v>
      </c>
      <c r="FK164" s="9">
        <v>1179.461</v>
      </c>
      <c r="FL164" s="9">
        <v>7552875</v>
      </c>
      <c r="FM164" s="9">
        <v>0</v>
      </c>
      <c r="FN164" s="9">
        <v>0</v>
      </c>
      <c r="FO164" s="9">
        <v>0</v>
      </c>
      <c r="FP164" s="9">
        <v>0</v>
      </c>
      <c r="FQ164" s="9">
        <v>0</v>
      </c>
      <c r="FR164" s="9">
        <v>0</v>
      </c>
      <c r="FS164" s="9">
        <v>0</v>
      </c>
      <c r="FT164" s="9">
        <v>0</v>
      </c>
      <c r="FU164" s="9">
        <v>0</v>
      </c>
      <c r="FV164" s="9">
        <v>0</v>
      </c>
      <c r="FW164" s="9">
        <v>0</v>
      </c>
      <c r="FX164" s="9">
        <v>0</v>
      </c>
      <c r="FY164" s="9">
        <v>0</v>
      </c>
      <c r="FZ164" s="9">
        <v>0</v>
      </c>
      <c r="GA164" s="9">
        <v>0</v>
      </c>
      <c r="GB164" s="9">
        <v>501476</v>
      </c>
      <c r="GC164" s="9">
        <v>501476</v>
      </c>
      <c r="GD164" s="9">
        <v>56.738</v>
      </c>
      <c r="GE164" s="9">
        <v>0</v>
      </c>
      <c r="GF164" s="9">
        <v>0</v>
      </c>
      <c r="GG164" s="9">
        <v>0</v>
      </c>
      <c r="GH164" s="9">
        <v>0</v>
      </c>
      <c r="GI164" s="9">
        <v>0</v>
      </c>
      <c r="GJ164" s="9">
        <v>0</v>
      </c>
      <c r="GK164" s="9">
        <v>5162</v>
      </c>
      <c r="GL164" s="9">
        <v>12422</v>
      </c>
      <c r="GM164" s="9">
        <v>0</v>
      </c>
      <c r="GN164" s="9">
        <v>0</v>
      </c>
      <c r="GO164" s="9">
        <v>0</v>
      </c>
      <c r="GP164" s="9">
        <v>7395327</v>
      </c>
      <c r="GQ164" s="9">
        <v>7395327</v>
      </c>
      <c r="GR164" s="9">
        <v>0</v>
      </c>
      <c r="GS164" s="9">
        <v>0</v>
      </c>
      <c r="GT164" s="9">
        <v>0</v>
      </c>
      <c r="GU164" s="9">
        <v>0</v>
      </c>
      <c r="GV164" s="9">
        <v>0</v>
      </c>
      <c r="GW164" s="9">
        <v>0</v>
      </c>
      <c r="GX164" s="9">
        <v>0</v>
      </c>
      <c r="GY164" s="9">
        <v>0</v>
      </c>
      <c r="GZ164" s="9">
        <v>0</v>
      </c>
      <c r="HA164" s="9">
        <v>0</v>
      </c>
      <c r="HB164" s="9">
        <v>300501363</v>
      </c>
      <c r="HC164" s="9">
        <v>4.4742999999999998E-2</v>
      </c>
      <c r="HD164" s="9">
        <v>157548</v>
      </c>
      <c r="HE164" s="9">
        <v>0</v>
      </c>
      <c r="HF164" s="9">
        <v>0</v>
      </c>
      <c r="HG164" s="9">
        <v>0</v>
      </c>
      <c r="HH164" s="9">
        <v>0</v>
      </c>
      <c r="HI164" s="9">
        <v>0</v>
      </c>
      <c r="HJ164" s="9">
        <v>0</v>
      </c>
      <c r="HK164" s="9">
        <v>0</v>
      </c>
      <c r="HL164" s="9">
        <v>0</v>
      </c>
      <c r="HM164" s="9">
        <v>0</v>
      </c>
      <c r="HN164" s="9">
        <v>0</v>
      </c>
      <c r="HO164" s="9">
        <v>0</v>
      </c>
      <c r="HP164" s="9">
        <v>0</v>
      </c>
      <c r="HQ164" s="9">
        <v>0</v>
      </c>
      <c r="HR164" s="9">
        <v>0</v>
      </c>
      <c r="HS164" s="9">
        <v>0</v>
      </c>
      <c r="HT164" s="9">
        <v>0</v>
      </c>
      <c r="HU164" s="9">
        <v>0</v>
      </c>
      <c r="HV164" s="9">
        <v>0</v>
      </c>
      <c r="HW164" s="9">
        <v>0</v>
      </c>
      <c r="HX164" s="9">
        <v>0</v>
      </c>
      <c r="HY164" s="9">
        <v>0</v>
      </c>
      <c r="HZ164" s="9">
        <v>0</v>
      </c>
      <c r="IA164" s="9">
        <v>0</v>
      </c>
      <c r="IB164" s="9">
        <v>0</v>
      </c>
      <c r="IC164" s="9">
        <v>0</v>
      </c>
      <c r="ID164" s="9">
        <v>0</v>
      </c>
      <c r="IE164" s="9">
        <v>0</v>
      </c>
      <c r="IF164" s="9">
        <v>0</v>
      </c>
      <c r="IG164" s="9">
        <v>0</v>
      </c>
      <c r="IH164" s="9">
        <v>0</v>
      </c>
      <c r="II164" s="9">
        <v>0</v>
      </c>
      <c r="IJ164" s="9">
        <v>0</v>
      </c>
      <c r="IK164" s="9">
        <v>0</v>
      </c>
      <c r="IL164" s="9">
        <v>0</v>
      </c>
      <c r="IM164" s="9">
        <v>0</v>
      </c>
      <c r="IN164" s="9">
        <v>0</v>
      </c>
      <c r="IO164" s="9">
        <v>0</v>
      </c>
      <c r="IP164" s="9">
        <v>0</v>
      </c>
      <c r="IQ164" s="9">
        <v>0</v>
      </c>
      <c r="IR164" s="9">
        <v>0</v>
      </c>
      <c r="IS164" s="9">
        <v>0</v>
      </c>
      <c r="IT164" s="9">
        <v>0</v>
      </c>
      <c r="IU164" s="9">
        <v>0</v>
      </c>
      <c r="IV164" s="9">
        <v>0</v>
      </c>
      <c r="IW164" s="9">
        <v>0</v>
      </c>
      <c r="IX164" s="9">
        <v>0</v>
      </c>
      <c r="IY164" s="9">
        <v>0</v>
      </c>
      <c r="IZ164" s="9">
        <v>0</v>
      </c>
      <c r="JA164" s="9">
        <v>0</v>
      </c>
      <c r="JB164" s="9">
        <v>0</v>
      </c>
      <c r="JC164" s="9">
        <v>0</v>
      </c>
      <c r="JD164" s="9">
        <v>0</v>
      </c>
      <c r="JE164" s="9">
        <v>0</v>
      </c>
      <c r="JF164" s="9">
        <v>0</v>
      </c>
      <c r="JG164" s="9">
        <v>0</v>
      </c>
      <c r="JH164" s="9">
        <v>0</v>
      </c>
      <c r="JI164" s="9">
        <v>0</v>
      </c>
      <c r="JJ164" s="9">
        <v>0</v>
      </c>
      <c r="JK164" s="9">
        <v>0</v>
      </c>
      <c r="JL164" s="9">
        <v>0</v>
      </c>
      <c r="JM164" s="9">
        <v>0</v>
      </c>
      <c r="JN164" s="9">
        <v>36832</v>
      </c>
      <c r="JO164" s="9">
        <v>0</v>
      </c>
      <c r="JP164" s="9">
        <v>0</v>
      </c>
      <c r="JQ164" s="9">
        <v>0</v>
      </c>
      <c r="JR164" s="9">
        <v>0</v>
      </c>
      <c r="JS164" s="9">
        <v>0</v>
      </c>
      <c r="JT164" s="9">
        <v>0</v>
      </c>
      <c r="JU164" s="9">
        <v>0</v>
      </c>
      <c r="JV164" s="9">
        <v>0</v>
      </c>
      <c r="JW164" s="9">
        <v>0</v>
      </c>
      <c r="JX164" s="9">
        <v>0</v>
      </c>
      <c r="JY164" s="9">
        <v>0</v>
      </c>
      <c r="JZ164" s="9">
        <v>0</v>
      </c>
      <c r="KA164" s="9">
        <v>0</v>
      </c>
      <c r="KB164" s="9">
        <v>0</v>
      </c>
      <c r="KC164" s="9">
        <v>0</v>
      </c>
      <c r="KD164" s="9">
        <v>0</v>
      </c>
      <c r="KE164" s="9">
        <v>0</v>
      </c>
      <c r="KF164" s="9">
        <v>0</v>
      </c>
      <c r="KG164" s="9">
        <v>0</v>
      </c>
      <c r="KH164" s="9">
        <v>0</v>
      </c>
      <c r="KI164" s="9">
        <v>0</v>
      </c>
    </row>
    <row r="165" spans="1:295" x14ac:dyDescent="0.25">
      <c r="A165" s="9">
        <v>220811</v>
      </c>
      <c r="B165" s="9">
        <v>36871</v>
      </c>
      <c r="C165" s="9">
        <v>35</v>
      </c>
      <c r="D165" s="9">
        <v>2023</v>
      </c>
      <c r="E165" s="9">
        <v>5392</v>
      </c>
      <c r="F165" s="9">
        <v>0</v>
      </c>
      <c r="G165" s="9">
        <v>0</v>
      </c>
      <c r="H165" s="9">
        <v>192.17600000000002</v>
      </c>
      <c r="I165" s="9">
        <v>192.17600000000002</v>
      </c>
      <c r="J165" s="9">
        <v>194.886</v>
      </c>
      <c r="K165" s="9">
        <v>0</v>
      </c>
      <c r="L165" s="9">
        <v>6547</v>
      </c>
      <c r="M165" s="9">
        <v>0</v>
      </c>
      <c r="N165" s="9">
        <v>0</v>
      </c>
      <c r="O165" s="9">
        <v>0</v>
      </c>
      <c r="P165" s="9">
        <v>204.38200000000001</v>
      </c>
      <c r="Q165" s="9">
        <v>0</v>
      </c>
      <c r="R165" s="9">
        <v>99518</v>
      </c>
      <c r="S165" s="9">
        <v>486.92200000000003</v>
      </c>
      <c r="T165" s="9">
        <v>0</v>
      </c>
      <c r="U165" s="9">
        <v>99518</v>
      </c>
      <c r="V165" s="9">
        <v>57.620000000000005</v>
      </c>
      <c r="W165" s="9">
        <v>37724</v>
      </c>
      <c r="X165" s="9">
        <v>37724</v>
      </c>
      <c r="Y165" s="9">
        <v>0</v>
      </c>
      <c r="Z165" s="9">
        <v>0</v>
      </c>
      <c r="AA165" s="9">
        <v>1</v>
      </c>
      <c r="AB165" s="9">
        <v>1</v>
      </c>
      <c r="AC165" s="9">
        <v>0</v>
      </c>
      <c r="AD165" s="9" t="s">
        <v>314</v>
      </c>
      <c r="AE165" s="9">
        <v>0</v>
      </c>
      <c r="AF165" s="9">
        <v>0</v>
      </c>
      <c r="AG165" s="9">
        <v>0</v>
      </c>
      <c r="AH165" s="9">
        <v>0</v>
      </c>
      <c r="AI165" s="9">
        <v>0</v>
      </c>
      <c r="AJ165" s="9">
        <v>5104</v>
      </c>
      <c r="AK165" s="9" t="s">
        <v>651</v>
      </c>
      <c r="AL165" s="9" t="s">
        <v>62</v>
      </c>
      <c r="AM165" s="9">
        <v>0</v>
      </c>
      <c r="AN165" s="9">
        <v>0</v>
      </c>
      <c r="AO165" s="9">
        <v>0</v>
      </c>
      <c r="AP165" s="9">
        <v>0</v>
      </c>
      <c r="AQ165" s="9">
        <v>0</v>
      </c>
      <c r="AR165" s="9">
        <v>0</v>
      </c>
      <c r="AS165" s="9">
        <v>0</v>
      </c>
      <c r="AT165" s="9">
        <v>0</v>
      </c>
      <c r="AU165" s="9">
        <v>0</v>
      </c>
      <c r="AV165" s="9">
        <v>-112629</v>
      </c>
      <c r="AW165" s="9">
        <v>1924213</v>
      </c>
      <c r="AX165" s="9">
        <v>1883648</v>
      </c>
      <c r="AY165" s="9">
        <v>1974088</v>
      </c>
      <c r="AZ165" s="9">
        <v>99518</v>
      </c>
      <c r="BA165" s="9">
        <v>12.417</v>
      </c>
      <c r="BB165" s="9">
        <v>7656</v>
      </c>
      <c r="BC165" s="9">
        <v>7656</v>
      </c>
      <c r="BD165" s="9">
        <v>9.7439999999999998</v>
      </c>
      <c r="BE165" s="9">
        <v>0</v>
      </c>
      <c r="BF165" s="9">
        <v>1632092</v>
      </c>
      <c r="BG165" s="9">
        <v>0</v>
      </c>
      <c r="BH165" s="9">
        <v>0</v>
      </c>
      <c r="BI165" s="9">
        <v>0</v>
      </c>
      <c r="BJ165" s="9">
        <v>12</v>
      </c>
      <c r="BK165" s="9">
        <v>0</v>
      </c>
      <c r="BL165" s="9">
        <v>0</v>
      </c>
      <c r="BM165" s="9">
        <v>0</v>
      </c>
      <c r="BN165" s="9">
        <v>0</v>
      </c>
      <c r="BO165" s="9">
        <v>0</v>
      </c>
      <c r="BP165" s="9">
        <v>0</v>
      </c>
      <c r="BQ165" s="9">
        <v>5392</v>
      </c>
      <c r="BR165" s="9">
        <v>1</v>
      </c>
      <c r="BS165" s="9">
        <v>0</v>
      </c>
      <c r="BT165" s="9">
        <v>0</v>
      </c>
      <c r="BU165" s="9">
        <v>0</v>
      </c>
      <c r="BV165" s="9">
        <v>0</v>
      </c>
      <c r="BW165" s="9">
        <v>0</v>
      </c>
      <c r="BX165" s="9">
        <v>0</v>
      </c>
      <c r="BY165" s="9">
        <v>0</v>
      </c>
      <c r="BZ165" s="9">
        <v>0</v>
      </c>
      <c r="CA165" s="9">
        <v>0</v>
      </c>
      <c r="CB165" s="9">
        <v>0</v>
      </c>
      <c r="CC165" s="9">
        <v>0</v>
      </c>
      <c r="CD165" s="9">
        <v>0</v>
      </c>
      <c r="CE165" s="9">
        <v>0</v>
      </c>
      <c r="CF165" s="9">
        <v>0</v>
      </c>
      <c r="CG165" s="9">
        <v>0</v>
      </c>
      <c r="CH165" s="9">
        <v>40565</v>
      </c>
      <c r="CI165" s="9">
        <v>0</v>
      </c>
      <c r="CJ165" s="9">
        <v>4</v>
      </c>
      <c r="CK165" s="9">
        <v>0</v>
      </c>
      <c r="CL165" s="9">
        <v>0</v>
      </c>
      <c r="CM165" s="9">
        <v>0</v>
      </c>
      <c r="CN165" s="9">
        <v>0</v>
      </c>
      <c r="CO165" s="9">
        <v>0</v>
      </c>
      <c r="CP165" s="9">
        <v>0</v>
      </c>
      <c r="CQ165" s="9">
        <v>0</v>
      </c>
      <c r="CR165" s="9">
        <v>191.70100000000002</v>
      </c>
      <c r="CS165" s="9">
        <v>0</v>
      </c>
      <c r="CT165" s="9">
        <v>0</v>
      </c>
      <c r="CU165" s="9">
        <v>0</v>
      </c>
      <c r="CV165" s="9">
        <v>0</v>
      </c>
      <c r="CW165" s="9">
        <v>0</v>
      </c>
      <c r="CX165" s="9">
        <v>0</v>
      </c>
      <c r="CY165" s="9">
        <v>0</v>
      </c>
      <c r="CZ165" s="9">
        <v>0</v>
      </c>
      <c r="DA165" s="9">
        <v>1</v>
      </c>
      <c r="DB165" s="9">
        <v>1258176</v>
      </c>
      <c r="DC165" s="9">
        <v>0</v>
      </c>
      <c r="DD165" s="9">
        <v>0</v>
      </c>
      <c r="DE165" s="9">
        <v>315343</v>
      </c>
      <c r="DF165" s="9">
        <v>315343</v>
      </c>
      <c r="DG165" s="9">
        <v>240.83</v>
      </c>
      <c r="DH165" s="9">
        <v>0</v>
      </c>
      <c r="DI165" s="9">
        <v>0</v>
      </c>
      <c r="DJ165" s="9">
        <v>0</v>
      </c>
      <c r="DK165" s="9">
        <v>5392</v>
      </c>
      <c r="DL165" s="9">
        <v>0</v>
      </c>
      <c r="DM165" s="9">
        <v>58020</v>
      </c>
      <c r="DN165" s="9">
        <v>0</v>
      </c>
      <c r="DO165" s="9">
        <v>0</v>
      </c>
      <c r="DP165" s="9">
        <v>0</v>
      </c>
      <c r="DQ165" s="9">
        <v>0</v>
      </c>
      <c r="DR165" s="9">
        <v>0</v>
      </c>
      <c r="DS165" s="9">
        <v>0</v>
      </c>
      <c r="DT165" s="9">
        <v>0</v>
      </c>
      <c r="DU165" s="9">
        <v>0</v>
      </c>
      <c r="DV165" s="9">
        <v>0</v>
      </c>
      <c r="DW165" s="9">
        <v>0</v>
      </c>
      <c r="DX165" s="9">
        <v>0</v>
      </c>
      <c r="DY165" s="9">
        <v>0</v>
      </c>
      <c r="DZ165" s="9">
        <v>0</v>
      </c>
      <c r="EA165" s="9">
        <v>0</v>
      </c>
      <c r="EB165" s="9">
        <v>0</v>
      </c>
      <c r="EC165" s="9">
        <v>0</v>
      </c>
      <c r="ED165" s="9">
        <v>0</v>
      </c>
      <c r="EE165" s="9">
        <v>0</v>
      </c>
      <c r="EF165" s="9">
        <v>0</v>
      </c>
      <c r="EG165" s="9">
        <v>0</v>
      </c>
      <c r="EH165" s="9">
        <v>58020</v>
      </c>
      <c r="EI165" s="9">
        <v>0</v>
      </c>
      <c r="EJ165" s="9">
        <v>0</v>
      </c>
      <c r="EK165" s="9">
        <v>2.3440000000000003</v>
      </c>
      <c r="EL165" s="9">
        <v>0</v>
      </c>
      <c r="EM165" s="9">
        <v>0</v>
      </c>
      <c r="EN165" s="9">
        <v>0.36599999999999999</v>
      </c>
      <c r="EO165" s="9">
        <v>0</v>
      </c>
      <c r="EP165" s="9">
        <v>0</v>
      </c>
      <c r="EQ165" s="9">
        <v>2.71</v>
      </c>
      <c r="ER165" s="9">
        <v>0</v>
      </c>
      <c r="ES165" s="9">
        <v>8.8620000000000001</v>
      </c>
      <c r="ET165" s="9">
        <v>6209</v>
      </c>
      <c r="EU165" s="9">
        <v>99518</v>
      </c>
      <c r="EV165" s="9">
        <v>0</v>
      </c>
      <c r="EW165" s="9">
        <v>0</v>
      </c>
      <c r="EX165" s="9">
        <v>0</v>
      </c>
      <c r="EY165" s="9">
        <v>0</v>
      </c>
      <c r="EZ165" s="9">
        <v>1577401</v>
      </c>
      <c r="FA165" s="9">
        <v>0</v>
      </c>
      <c r="FB165" s="9">
        <v>1676919</v>
      </c>
      <c r="FC165" s="9">
        <v>0.97326799999999991</v>
      </c>
      <c r="FD165" s="9">
        <v>0</v>
      </c>
      <c r="FE165" s="9">
        <v>252481</v>
      </c>
      <c r="FF165" s="9">
        <v>53766</v>
      </c>
      <c r="FG165" s="9">
        <v>5.8088000000000001E-2</v>
      </c>
      <c r="FH165" s="9">
        <v>5.2622999999999996E-2</v>
      </c>
      <c r="FI165" s="9">
        <v>0</v>
      </c>
      <c r="FJ165" s="9">
        <v>0</v>
      </c>
      <c r="FK165" s="9">
        <v>319.78500000000003</v>
      </c>
      <c r="FL165" s="9">
        <v>2023731</v>
      </c>
      <c r="FM165" s="9">
        <v>0</v>
      </c>
      <c r="FN165" s="9">
        <v>0</v>
      </c>
      <c r="FO165" s="9">
        <v>0</v>
      </c>
      <c r="FP165" s="9">
        <v>0</v>
      </c>
      <c r="FQ165" s="9">
        <v>0</v>
      </c>
      <c r="FR165" s="9">
        <v>0</v>
      </c>
      <c r="FS165" s="9">
        <v>0</v>
      </c>
      <c r="FT165" s="9">
        <v>0</v>
      </c>
      <c r="FU165" s="9">
        <v>0</v>
      </c>
      <c r="FV165" s="9">
        <v>0</v>
      </c>
      <c r="FW165" s="9">
        <v>0</v>
      </c>
      <c r="FX165" s="9">
        <v>0</v>
      </c>
      <c r="FY165" s="9">
        <v>0</v>
      </c>
      <c r="FZ165" s="9">
        <v>0</v>
      </c>
      <c r="GA165" s="9">
        <v>0</v>
      </c>
      <c r="GB165" s="9">
        <v>0</v>
      </c>
      <c r="GC165" s="9">
        <v>0</v>
      </c>
      <c r="GD165" s="9">
        <v>0</v>
      </c>
      <c r="GE165" s="9">
        <v>0</v>
      </c>
      <c r="GF165" s="9">
        <v>0</v>
      </c>
      <c r="GG165" s="9">
        <v>0</v>
      </c>
      <c r="GH165" s="9">
        <v>0</v>
      </c>
      <c r="GI165" s="9">
        <v>0</v>
      </c>
      <c r="GJ165" s="9">
        <v>0</v>
      </c>
      <c r="GK165" s="9">
        <v>5115</v>
      </c>
      <c r="GL165" s="9">
        <v>9033</v>
      </c>
      <c r="GM165" s="9">
        <v>0</v>
      </c>
      <c r="GN165" s="9">
        <v>0</v>
      </c>
      <c r="GO165" s="9">
        <v>0</v>
      </c>
      <c r="GP165" s="9">
        <v>1983166</v>
      </c>
      <c r="GQ165" s="9">
        <v>1983166</v>
      </c>
      <c r="GR165" s="9">
        <v>0</v>
      </c>
      <c r="GS165" s="9">
        <v>0</v>
      </c>
      <c r="GT165" s="9">
        <v>0</v>
      </c>
      <c r="GU165" s="9">
        <v>0</v>
      </c>
      <c r="GV165" s="9">
        <v>0</v>
      </c>
      <c r="GW165" s="9">
        <v>0</v>
      </c>
      <c r="GX165" s="9">
        <v>0</v>
      </c>
      <c r="GY165" s="9">
        <v>0</v>
      </c>
      <c r="GZ165" s="9">
        <v>0</v>
      </c>
      <c r="HA165" s="9">
        <v>0</v>
      </c>
      <c r="HB165" s="9">
        <v>300501363</v>
      </c>
      <c r="HC165" s="9">
        <v>4.4742999999999998E-2</v>
      </c>
      <c r="HD165" s="9">
        <v>34356</v>
      </c>
      <c r="HE165" s="9">
        <v>0</v>
      </c>
      <c r="HF165" s="9">
        <v>0</v>
      </c>
      <c r="HG165" s="9">
        <v>0</v>
      </c>
      <c r="HH165" s="9">
        <v>0</v>
      </c>
      <c r="HI165" s="9">
        <v>0</v>
      </c>
      <c r="HJ165" s="9">
        <v>0</v>
      </c>
      <c r="HK165" s="9">
        <v>0</v>
      </c>
      <c r="HL165" s="9">
        <v>0</v>
      </c>
      <c r="HM165" s="9">
        <v>0</v>
      </c>
      <c r="HN165" s="9">
        <v>0</v>
      </c>
      <c r="HO165" s="9">
        <v>0</v>
      </c>
      <c r="HP165" s="9">
        <v>0</v>
      </c>
      <c r="HQ165" s="9">
        <v>0</v>
      </c>
      <c r="HR165" s="9">
        <v>0</v>
      </c>
      <c r="HS165" s="9">
        <v>0</v>
      </c>
      <c r="HT165" s="9">
        <v>0</v>
      </c>
      <c r="HU165" s="9">
        <v>0</v>
      </c>
      <c r="HV165" s="9">
        <v>0</v>
      </c>
      <c r="HW165" s="9">
        <v>0</v>
      </c>
      <c r="HX165" s="9">
        <v>0</v>
      </c>
      <c r="HY165" s="9">
        <v>0</v>
      </c>
      <c r="HZ165" s="9">
        <v>0</v>
      </c>
      <c r="IA165" s="9">
        <v>0</v>
      </c>
      <c r="IB165" s="9">
        <v>0</v>
      </c>
      <c r="IC165" s="9">
        <v>0</v>
      </c>
      <c r="ID165" s="9">
        <v>0</v>
      </c>
      <c r="IE165" s="9">
        <v>0</v>
      </c>
      <c r="IF165" s="9">
        <v>0</v>
      </c>
      <c r="IG165" s="9">
        <v>0</v>
      </c>
      <c r="IH165" s="9">
        <v>0</v>
      </c>
      <c r="II165" s="9">
        <v>0</v>
      </c>
      <c r="IJ165" s="9">
        <v>0</v>
      </c>
      <c r="IK165" s="9">
        <v>0</v>
      </c>
      <c r="IL165" s="9">
        <v>0</v>
      </c>
      <c r="IM165" s="9">
        <v>0</v>
      </c>
      <c r="IN165" s="9">
        <v>0</v>
      </c>
      <c r="IO165" s="9">
        <v>0</v>
      </c>
      <c r="IP165" s="9">
        <v>0</v>
      </c>
      <c r="IQ165" s="9">
        <v>0</v>
      </c>
      <c r="IR165" s="9">
        <v>0</v>
      </c>
      <c r="IS165" s="9">
        <v>0</v>
      </c>
      <c r="IT165" s="9">
        <v>0</v>
      </c>
      <c r="IU165" s="9">
        <v>0</v>
      </c>
      <c r="IV165" s="9">
        <v>0</v>
      </c>
      <c r="IW165" s="9">
        <v>0</v>
      </c>
      <c r="IX165" s="9">
        <v>0</v>
      </c>
      <c r="IY165" s="9">
        <v>0</v>
      </c>
      <c r="IZ165" s="9">
        <v>0</v>
      </c>
      <c r="JA165" s="9">
        <v>0</v>
      </c>
      <c r="JB165" s="9">
        <v>0</v>
      </c>
      <c r="JC165" s="9">
        <v>0</v>
      </c>
      <c r="JD165" s="9">
        <v>0</v>
      </c>
      <c r="JE165" s="9">
        <v>0</v>
      </c>
      <c r="JF165" s="9">
        <v>0</v>
      </c>
      <c r="JG165" s="9">
        <v>0</v>
      </c>
      <c r="JH165" s="9">
        <v>0</v>
      </c>
      <c r="JI165" s="9">
        <v>0</v>
      </c>
      <c r="JJ165" s="9">
        <v>0</v>
      </c>
      <c r="JK165" s="9">
        <v>0</v>
      </c>
      <c r="JL165" s="9">
        <v>0</v>
      </c>
      <c r="JM165" s="9">
        <v>0</v>
      </c>
      <c r="JN165" s="9">
        <v>36832</v>
      </c>
      <c r="JO165" s="9">
        <v>0</v>
      </c>
      <c r="JP165" s="9">
        <v>0</v>
      </c>
      <c r="JQ165" s="9">
        <v>0</v>
      </c>
      <c r="JR165" s="9">
        <v>0</v>
      </c>
      <c r="JS165" s="9">
        <v>0</v>
      </c>
      <c r="JT165" s="9">
        <v>0</v>
      </c>
      <c r="JU165" s="9">
        <v>0</v>
      </c>
      <c r="JV165" s="9">
        <v>0</v>
      </c>
      <c r="JW165" s="9">
        <v>0</v>
      </c>
      <c r="JX165" s="9">
        <v>0</v>
      </c>
      <c r="JY165" s="9">
        <v>0</v>
      </c>
      <c r="JZ165" s="9">
        <v>0</v>
      </c>
      <c r="KA165" s="9">
        <v>0</v>
      </c>
      <c r="KB165" s="9">
        <v>0</v>
      </c>
      <c r="KC165" s="9">
        <v>0</v>
      </c>
      <c r="KD165" s="9">
        <v>0</v>
      </c>
      <c r="KE165" s="9">
        <v>0</v>
      </c>
      <c r="KF165" s="9">
        <v>0</v>
      </c>
      <c r="KG165" s="9">
        <v>0</v>
      </c>
      <c r="KH165" s="9">
        <v>0</v>
      </c>
      <c r="KI165" s="9">
        <v>0</v>
      </c>
    </row>
    <row r="166" spans="1:295" x14ac:dyDescent="0.25">
      <c r="A166" s="9">
        <v>220814</v>
      </c>
      <c r="B166" s="9">
        <v>36871</v>
      </c>
      <c r="C166" s="9">
        <v>35</v>
      </c>
      <c r="D166" s="9">
        <v>2023</v>
      </c>
      <c r="E166" s="9">
        <v>5392</v>
      </c>
      <c r="F166" s="9">
        <v>0</v>
      </c>
      <c r="G166" s="9">
        <v>0</v>
      </c>
      <c r="H166" s="9">
        <v>290.077</v>
      </c>
      <c r="I166" s="9">
        <v>290.077</v>
      </c>
      <c r="J166" s="9">
        <v>298.71600000000001</v>
      </c>
      <c r="K166" s="9">
        <v>0</v>
      </c>
      <c r="L166" s="9">
        <v>6547</v>
      </c>
      <c r="M166" s="9">
        <v>0</v>
      </c>
      <c r="N166" s="9">
        <v>0</v>
      </c>
      <c r="O166" s="9">
        <v>0</v>
      </c>
      <c r="P166" s="9">
        <v>312.81200000000001</v>
      </c>
      <c r="Q166" s="9">
        <v>0</v>
      </c>
      <c r="R166" s="9">
        <v>152315</v>
      </c>
      <c r="S166" s="9">
        <v>486.92200000000003</v>
      </c>
      <c r="T166" s="9">
        <v>0</v>
      </c>
      <c r="U166" s="9">
        <v>152315</v>
      </c>
      <c r="V166" s="9">
        <v>34.718000000000004</v>
      </c>
      <c r="W166" s="9">
        <v>22730</v>
      </c>
      <c r="X166" s="9">
        <v>22730</v>
      </c>
      <c r="Y166" s="9">
        <v>0</v>
      </c>
      <c r="Z166" s="9">
        <v>0</v>
      </c>
      <c r="AA166" s="9">
        <v>1</v>
      </c>
      <c r="AB166" s="9">
        <v>1</v>
      </c>
      <c r="AC166" s="9">
        <v>0</v>
      </c>
      <c r="AD166" s="9" t="s">
        <v>314</v>
      </c>
      <c r="AE166" s="9">
        <v>0</v>
      </c>
      <c r="AF166" s="9">
        <v>0</v>
      </c>
      <c r="AG166" s="9">
        <v>0</v>
      </c>
      <c r="AH166" s="9">
        <v>0</v>
      </c>
      <c r="AI166" s="9">
        <v>0</v>
      </c>
      <c r="AJ166" s="9">
        <v>5104</v>
      </c>
      <c r="AK166" s="9" t="s">
        <v>651</v>
      </c>
      <c r="AL166" s="9" t="s">
        <v>360</v>
      </c>
      <c r="AM166" s="9">
        <v>0</v>
      </c>
      <c r="AN166" s="9">
        <v>0</v>
      </c>
      <c r="AO166" s="9">
        <v>0</v>
      </c>
      <c r="AP166" s="9">
        <v>0</v>
      </c>
      <c r="AQ166" s="9">
        <v>0</v>
      </c>
      <c r="AR166" s="9">
        <v>0</v>
      </c>
      <c r="AS166" s="9">
        <v>0</v>
      </c>
      <c r="AT166" s="9">
        <v>0</v>
      </c>
      <c r="AU166" s="9">
        <v>0</v>
      </c>
      <c r="AV166" s="9">
        <v>-54</v>
      </c>
      <c r="AW166" s="9">
        <v>2408223</v>
      </c>
      <c r="AX166" s="9">
        <v>2353209</v>
      </c>
      <c r="AY166" s="9">
        <v>2591447</v>
      </c>
      <c r="AZ166" s="9">
        <v>152315</v>
      </c>
      <c r="BA166" s="9">
        <v>3</v>
      </c>
      <c r="BB166" s="9">
        <v>11734</v>
      </c>
      <c r="BC166" s="9">
        <v>11734</v>
      </c>
      <c r="BD166" s="9">
        <v>14.936</v>
      </c>
      <c r="BE166" s="9">
        <v>0</v>
      </c>
      <c r="BF166" s="9">
        <v>2061979</v>
      </c>
      <c r="BG166" s="9">
        <v>0</v>
      </c>
      <c r="BH166" s="9">
        <v>0</v>
      </c>
      <c r="BI166" s="9">
        <v>0</v>
      </c>
      <c r="BJ166" s="9">
        <v>12</v>
      </c>
      <c r="BK166" s="9">
        <v>0</v>
      </c>
      <c r="BL166" s="9">
        <v>0</v>
      </c>
      <c r="BM166" s="9">
        <v>0</v>
      </c>
      <c r="BN166" s="9">
        <v>0</v>
      </c>
      <c r="BO166" s="9">
        <v>0</v>
      </c>
      <c r="BP166" s="9">
        <v>0</v>
      </c>
      <c r="BQ166" s="9">
        <v>5392</v>
      </c>
      <c r="BR166" s="9">
        <v>1</v>
      </c>
      <c r="BS166" s="9">
        <v>0</v>
      </c>
      <c r="BT166" s="9">
        <v>0</v>
      </c>
      <c r="BU166" s="9">
        <v>0</v>
      </c>
      <c r="BV166" s="9">
        <v>0</v>
      </c>
      <c r="BW166" s="9">
        <v>0</v>
      </c>
      <c r="BX166" s="9">
        <v>0</v>
      </c>
      <c r="BY166" s="9">
        <v>0</v>
      </c>
      <c r="BZ166" s="9">
        <v>0</v>
      </c>
      <c r="CA166" s="9">
        <v>0</v>
      </c>
      <c r="CB166" s="9">
        <v>0</v>
      </c>
      <c r="CC166" s="9">
        <v>0</v>
      </c>
      <c r="CD166" s="9">
        <v>0</v>
      </c>
      <c r="CE166" s="9">
        <v>0</v>
      </c>
      <c r="CF166" s="9">
        <v>0</v>
      </c>
      <c r="CG166" s="9">
        <v>0</v>
      </c>
      <c r="CH166" s="9">
        <v>55014</v>
      </c>
      <c r="CI166" s="9">
        <v>0</v>
      </c>
      <c r="CJ166" s="9">
        <v>4</v>
      </c>
      <c r="CK166" s="9">
        <v>0</v>
      </c>
      <c r="CL166" s="9">
        <v>0</v>
      </c>
      <c r="CM166" s="9">
        <v>0</v>
      </c>
      <c r="CN166" s="9">
        <v>0</v>
      </c>
      <c r="CO166" s="9">
        <v>0</v>
      </c>
      <c r="CP166" s="9">
        <v>0</v>
      </c>
      <c r="CQ166" s="9">
        <v>3.4170000000000003</v>
      </c>
      <c r="CR166" s="9">
        <v>312.81200000000001</v>
      </c>
      <c r="CS166" s="9">
        <v>0</v>
      </c>
      <c r="CT166" s="9">
        <v>0</v>
      </c>
      <c r="CU166" s="9">
        <v>0</v>
      </c>
      <c r="CV166" s="9">
        <v>0</v>
      </c>
      <c r="CW166" s="9">
        <v>0</v>
      </c>
      <c r="CX166" s="9">
        <v>0</v>
      </c>
      <c r="CY166" s="9">
        <v>0</v>
      </c>
      <c r="CZ166" s="9">
        <v>0</v>
      </c>
      <c r="DA166" s="9">
        <v>1</v>
      </c>
      <c r="DB166" s="9">
        <v>1899134</v>
      </c>
      <c r="DC166" s="9">
        <v>0</v>
      </c>
      <c r="DD166" s="9">
        <v>0</v>
      </c>
      <c r="DE166" s="9">
        <v>0</v>
      </c>
      <c r="DF166" s="9">
        <v>0</v>
      </c>
      <c r="DG166" s="9">
        <v>0</v>
      </c>
      <c r="DH166" s="9">
        <v>0</v>
      </c>
      <c r="DI166" s="9">
        <v>0</v>
      </c>
      <c r="DJ166" s="9">
        <v>0</v>
      </c>
      <c r="DK166" s="9">
        <v>5392</v>
      </c>
      <c r="DL166" s="9">
        <v>0</v>
      </c>
      <c r="DM166" s="9">
        <v>185016</v>
      </c>
      <c r="DN166" s="9">
        <v>0</v>
      </c>
      <c r="DO166" s="9">
        <v>0</v>
      </c>
      <c r="DP166" s="9">
        <v>0</v>
      </c>
      <c r="DQ166" s="9">
        <v>0</v>
      </c>
      <c r="DR166" s="9">
        <v>0</v>
      </c>
      <c r="DS166" s="9">
        <v>0</v>
      </c>
      <c r="DT166" s="9">
        <v>0</v>
      </c>
      <c r="DU166" s="9">
        <v>0</v>
      </c>
      <c r="DV166" s="9">
        <v>0</v>
      </c>
      <c r="DW166" s="9">
        <v>0</v>
      </c>
      <c r="DX166" s="9">
        <v>0</v>
      </c>
      <c r="DY166" s="9">
        <v>0</v>
      </c>
      <c r="DZ166" s="9">
        <v>0</v>
      </c>
      <c r="EA166" s="9">
        <v>0</v>
      </c>
      <c r="EB166" s="9">
        <v>0</v>
      </c>
      <c r="EC166" s="9">
        <v>1.397</v>
      </c>
      <c r="ED166" s="9">
        <v>10061</v>
      </c>
      <c r="EE166" s="9">
        <v>0</v>
      </c>
      <c r="EF166" s="9">
        <v>0</v>
      </c>
      <c r="EG166" s="9">
        <v>0</v>
      </c>
      <c r="EH166" s="9">
        <v>174955</v>
      </c>
      <c r="EI166" s="9">
        <v>0</v>
      </c>
      <c r="EJ166" s="9">
        <v>0</v>
      </c>
      <c r="EK166" s="9">
        <v>8.2360000000000007</v>
      </c>
      <c r="EL166" s="9">
        <v>0</v>
      </c>
      <c r="EM166" s="9">
        <v>0</v>
      </c>
      <c r="EN166" s="9">
        <v>0.40300000000000002</v>
      </c>
      <c r="EO166" s="9">
        <v>0</v>
      </c>
      <c r="EP166" s="9">
        <v>0</v>
      </c>
      <c r="EQ166" s="9">
        <v>8.6390000000000011</v>
      </c>
      <c r="ER166" s="9">
        <v>0</v>
      </c>
      <c r="ES166" s="9">
        <v>26.723000000000003</v>
      </c>
      <c r="ET166" s="9">
        <v>2354</v>
      </c>
      <c r="EU166" s="9">
        <v>152315</v>
      </c>
      <c r="EV166" s="9">
        <v>0</v>
      </c>
      <c r="EW166" s="9">
        <v>0</v>
      </c>
      <c r="EX166" s="9">
        <v>0</v>
      </c>
      <c r="EY166" s="9">
        <v>0</v>
      </c>
      <c r="EZ166" s="9">
        <v>1966299</v>
      </c>
      <c r="FA166" s="9">
        <v>0</v>
      </c>
      <c r="FB166" s="9">
        <v>2118614</v>
      </c>
      <c r="FC166" s="9">
        <v>0.97326799999999991</v>
      </c>
      <c r="FD166" s="9">
        <v>0</v>
      </c>
      <c r="FE166" s="9">
        <v>318983</v>
      </c>
      <c r="FF166" s="9">
        <v>67927</v>
      </c>
      <c r="FG166" s="9">
        <v>5.8088000000000001E-2</v>
      </c>
      <c r="FH166" s="9">
        <v>5.2622999999999996E-2</v>
      </c>
      <c r="FI166" s="9">
        <v>0</v>
      </c>
      <c r="FJ166" s="9">
        <v>0</v>
      </c>
      <c r="FK166" s="9">
        <v>404.01500000000004</v>
      </c>
      <c r="FL166" s="9">
        <v>2560538</v>
      </c>
      <c r="FM166" s="9">
        <v>0</v>
      </c>
      <c r="FN166" s="9">
        <v>0</v>
      </c>
      <c r="FO166" s="9">
        <v>0</v>
      </c>
      <c r="FP166" s="9">
        <v>0</v>
      </c>
      <c r="FQ166" s="9">
        <v>0</v>
      </c>
      <c r="FR166" s="9">
        <v>0</v>
      </c>
      <c r="FS166" s="9">
        <v>0</v>
      </c>
      <c r="FT166" s="9">
        <v>0</v>
      </c>
      <c r="FU166" s="9">
        <v>0</v>
      </c>
      <c r="FV166" s="9">
        <v>0</v>
      </c>
      <c r="FW166" s="9">
        <v>0</v>
      </c>
      <c r="FX166" s="9">
        <v>0</v>
      </c>
      <c r="FY166" s="9">
        <v>0</v>
      </c>
      <c r="FZ166" s="9">
        <v>0</v>
      </c>
      <c r="GA166" s="9">
        <v>0</v>
      </c>
      <c r="GB166" s="9">
        <v>0</v>
      </c>
      <c r="GC166" s="9">
        <v>0</v>
      </c>
      <c r="GD166" s="9">
        <v>0</v>
      </c>
      <c r="GE166" s="9">
        <v>0</v>
      </c>
      <c r="GF166" s="9">
        <v>0</v>
      </c>
      <c r="GG166" s="9">
        <v>0</v>
      </c>
      <c r="GH166" s="9">
        <v>0</v>
      </c>
      <c r="GI166" s="9">
        <v>0</v>
      </c>
      <c r="GJ166" s="9">
        <v>0</v>
      </c>
      <c r="GK166" s="9">
        <v>5145</v>
      </c>
      <c r="GL166" s="9">
        <v>4560</v>
      </c>
      <c r="GM166" s="9">
        <v>0</v>
      </c>
      <c r="GN166" s="9">
        <v>0</v>
      </c>
      <c r="GO166" s="9">
        <v>0</v>
      </c>
      <c r="GP166" s="9">
        <v>2505524</v>
      </c>
      <c r="GQ166" s="9">
        <v>2505524</v>
      </c>
      <c r="GR166" s="9">
        <v>0</v>
      </c>
      <c r="GS166" s="9">
        <v>0</v>
      </c>
      <c r="GT166" s="9">
        <v>0</v>
      </c>
      <c r="GU166" s="9">
        <v>0</v>
      </c>
      <c r="GV166" s="9">
        <v>0</v>
      </c>
      <c r="GW166" s="9">
        <v>0</v>
      </c>
      <c r="GX166" s="9">
        <v>0</v>
      </c>
      <c r="GY166" s="9">
        <v>0</v>
      </c>
      <c r="GZ166" s="9">
        <v>0</v>
      </c>
      <c r="HA166" s="9">
        <v>0</v>
      </c>
      <c r="HB166" s="9">
        <v>300501363</v>
      </c>
      <c r="HC166" s="9">
        <v>4.4742999999999998E-2</v>
      </c>
      <c r="HD166" s="9">
        <v>52660</v>
      </c>
      <c r="HE166" s="9">
        <v>0</v>
      </c>
      <c r="HF166" s="9">
        <v>0</v>
      </c>
      <c r="HG166" s="9">
        <v>0</v>
      </c>
      <c r="HH166" s="9">
        <v>0</v>
      </c>
      <c r="HI166" s="9">
        <v>0</v>
      </c>
      <c r="HJ166" s="9">
        <v>0</v>
      </c>
      <c r="HK166" s="9">
        <v>0</v>
      </c>
      <c r="HL166" s="9">
        <v>0</v>
      </c>
      <c r="HM166" s="9">
        <v>0</v>
      </c>
      <c r="HN166" s="9">
        <v>0</v>
      </c>
      <c r="HO166" s="9">
        <v>0</v>
      </c>
      <c r="HP166" s="9">
        <v>0</v>
      </c>
      <c r="HQ166" s="9">
        <v>0</v>
      </c>
      <c r="HR166" s="9">
        <v>0</v>
      </c>
      <c r="HS166" s="9">
        <v>0</v>
      </c>
      <c r="HT166" s="9">
        <v>0</v>
      </c>
      <c r="HU166" s="9">
        <v>0</v>
      </c>
      <c r="HV166" s="9">
        <v>0</v>
      </c>
      <c r="HW166" s="9">
        <v>0</v>
      </c>
      <c r="HX166" s="9">
        <v>0</v>
      </c>
      <c r="HY166" s="9">
        <v>0</v>
      </c>
      <c r="HZ166" s="9">
        <v>0</v>
      </c>
      <c r="IA166" s="9">
        <v>0</v>
      </c>
      <c r="IB166" s="9">
        <v>0</v>
      </c>
      <c r="IC166" s="9">
        <v>0</v>
      </c>
      <c r="ID166" s="9">
        <v>0</v>
      </c>
      <c r="IE166" s="9">
        <v>0</v>
      </c>
      <c r="IF166" s="9">
        <v>0</v>
      </c>
      <c r="IG166" s="9">
        <v>0</v>
      </c>
      <c r="IH166" s="9">
        <v>0</v>
      </c>
      <c r="II166" s="9">
        <v>0</v>
      </c>
      <c r="IJ166" s="9">
        <v>0</v>
      </c>
      <c r="IK166" s="9">
        <v>0</v>
      </c>
      <c r="IL166" s="9">
        <v>0</v>
      </c>
      <c r="IM166" s="9">
        <v>0</v>
      </c>
      <c r="IN166" s="9">
        <v>0</v>
      </c>
      <c r="IO166" s="9">
        <v>0</v>
      </c>
      <c r="IP166" s="9">
        <v>0</v>
      </c>
      <c r="IQ166" s="9">
        <v>0</v>
      </c>
      <c r="IR166" s="9">
        <v>0</v>
      </c>
      <c r="IS166" s="9">
        <v>0</v>
      </c>
      <c r="IT166" s="9">
        <v>0</v>
      </c>
      <c r="IU166" s="9">
        <v>0</v>
      </c>
      <c r="IV166" s="9">
        <v>0</v>
      </c>
      <c r="IW166" s="9">
        <v>0</v>
      </c>
      <c r="IX166" s="9">
        <v>0</v>
      </c>
      <c r="IY166" s="9">
        <v>0</v>
      </c>
      <c r="IZ166" s="9">
        <v>0</v>
      </c>
      <c r="JA166" s="9">
        <v>0</v>
      </c>
      <c r="JB166" s="9">
        <v>0</v>
      </c>
      <c r="JC166" s="9">
        <v>0</v>
      </c>
      <c r="JD166" s="9">
        <v>0</v>
      </c>
      <c r="JE166" s="9">
        <v>0</v>
      </c>
      <c r="JF166" s="9">
        <v>0</v>
      </c>
      <c r="JG166" s="9">
        <v>0</v>
      </c>
      <c r="JH166" s="9">
        <v>0</v>
      </c>
      <c r="JI166" s="9">
        <v>0</v>
      </c>
      <c r="JJ166" s="9">
        <v>0</v>
      </c>
      <c r="JK166" s="9">
        <v>0</v>
      </c>
      <c r="JL166" s="9">
        <v>0</v>
      </c>
      <c r="JM166" s="9">
        <v>0</v>
      </c>
      <c r="JN166" s="9">
        <v>36832</v>
      </c>
      <c r="JO166" s="9">
        <v>0</v>
      </c>
      <c r="JP166" s="9">
        <v>0</v>
      </c>
      <c r="JQ166" s="9">
        <v>0</v>
      </c>
      <c r="JR166" s="9">
        <v>0</v>
      </c>
      <c r="JS166" s="9">
        <v>0</v>
      </c>
      <c r="JT166" s="9">
        <v>0</v>
      </c>
      <c r="JU166" s="9">
        <v>0</v>
      </c>
      <c r="JV166" s="9">
        <v>0</v>
      </c>
      <c r="JW166" s="9">
        <v>0</v>
      </c>
      <c r="JX166" s="9">
        <v>0</v>
      </c>
      <c r="JY166" s="9">
        <v>0</v>
      </c>
      <c r="JZ166" s="9">
        <v>0</v>
      </c>
      <c r="KA166" s="9">
        <v>0</v>
      </c>
      <c r="KB166" s="9">
        <v>0</v>
      </c>
      <c r="KC166" s="9">
        <v>0</v>
      </c>
      <c r="KD166" s="9">
        <v>0</v>
      </c>
      <c r="KE166" s="9">
        <v>0</v>
      </c>
      <c r="KF166" s="9">
        <v>0</v>
      </c>
      <c r="KG166" s="9">
        <v>0</v>
      </c>
      <c r="KH166" s="9">
        <v>0</v>
      </c>
      <c r="KI166" s="9">
        <v>0</v>
      </c>
    </row>
    <row r="167" spans="1:295" x14ac:dyDescent="0.25">
      <c r="A167" s="9">
        <v>220815</v>
      </c>
      <c r="B167" s="9">
        <v>36871</v>
      </c>
      <c r="C167" s="9">
        <v>35</v>
      </c>
      <c r="D167" s="9">
        <v>2023</v>
      </c>
      <c r="E167" s="9">
        <v>5392</v>
      </c>
      <c r="F167" s="9">
        <v>0</v>
      </c>
      <c r="G167" s="9">
        <v>0</v>
      </c>
      <c r="H167" s="9">
        <v>678.65</v>
      </c>
      <c r="I167" s="9">
        <v>678.65</v>
      </c>
      <c r="J167" s="9">
        <v>697</v>
      </c>
      <c r="K167" s="9">
        <v>0</v>
      </c>
      <c r="L167" s="9">
        <v>6547</v>
      </c>
      <c r="M167" s="9">
        <v>0</v>
      </c>
      <c r="N167" s="9">
        <v>0</v>
      </c>
      <c r="O167" s="9">
        <v>0</v>
      </c>
      <c r="P167" s="9">
        <v>671.27</v>
      </c>
      <c r="Q167" s="9">
        <v>0</v>
      </c>
      <c r="R167" s="9">
        <v>326856</v>
      </c>
      <c r="S167" s="9">
        <v>486.92200000000003</v>
      </c>
      <c r="T167" s="9">
        <v>0</v>
      </c>
      <c r="U167" s="9">
        <v>326856</v>
      </c>
      <c r="V167" s="9">
        <v>59.734999999999999</v>
      </c>
      <c r="W167" s="9">
        <v>39109</v>
      </c>
      <c r="X167" s="9">
        <v>39109</v>
      </c>
      <c r="Y167" s="9">
        <v>0</v>
      </c>
      <c r="Z167" s="9">
        <v>0</v>
      </c>
      <c r="AA167" s="9">
        <v>1</v>
      </c>
      <c r="AB167" s="9">
        <v>1</v>
      </c>
      <c r="AC167" s="9">
        <v>0</v>
      </c>
      <c r="AD167" s="9" t="s">
        <v>314</v>
      </c>
      <c r="AE167" s="9">
        <v>0</v>
      </c>
      <c r="AF167" s="9">
        <v>0</v>
      </c>
      <c r="AG167" s="9">
        <v>0</v>
      </c>
      <c r="AH167" s="9">
        <v>0</v>
      </c>
      <c r="AI167" s="9">
        <v>0</v>
      </c>
      <c r="AJ167" s="9">
        <v>5104</v>
      </c>
      <c r="AK167" s="9" t="s">
        <v>651</v>
      </c>
      <c r="AL167" s="9" t="s">
        <v>361</v>
      </c>
      <c r="AM167" s="9">
        <v>0</v>
      </c>
      <c r="AN167" s="9">
        <v>0</v>
      </c>
      <c r="AO167" s="9">
        <v>0</v>
      </c>
      <c r="AP167" s="9">
        <v>0</v>
      </c>
      <c r="AQ167" s="9">
        <v>0</v>
      </c>
      <c r="AR167" s="9">
        <v>0</v>
      </c>
      <c r="AS167" s="9">
        <v>0</v>
      </c>
      <c r="AT167" s="9">
        <v>0</v>
      </c>
      <c r="AU167" s="9">
        <v>0</v>
      </c>
      <c r="AV167" s="9">
        <v>-244694</v>
      </c>
      <c r="AW167" s="9">
        <v>6574244</v>
      </c>
      <c r="AX167" s="9">
        <v>6451372</v>
      </c>
      <c r="AY167" s="9">
        <v>6491302</v>
      </c>
      <c r="AZ167" s="9">
        <v>326856</v>
      </c>
      <c r="BA167" s="9">
        <v>0</v>
      </c>
      <c r="BB167" s="9">
        <v>27380</v>
      </c>
      <c r="BC167" s="9">
        <v>27380</v>
      </c>
      <c r="BD167" s="9">
        <v>34.85</v>
      </c>
      <c r="BE167" s="9">
        <v>0</v>
      </c>
      <c r="BF167" s="9">
        <v>5578301</v>
      </c>
      <c r="BG167" s="9">
        <v>0</v>
      </c>
      <c r="BH167" s="9">
        <v>0</v>
      </c>
      <c r="BI167" s="9">
        <v>0</v>
      </c>
      <c r="BJ167" s="9">
        <v>12</v>
      </c>
      <c r="BK167" s="9">
        <v>0</v>
      </c>
      <c r="BL167" s="9">
        <v>0</v>
      </c>
      <c r="BM167" s="9">
        <v>0</v>
      </c>
      <c r="BN167" s="9">
        <v>0</v>
      </c>
      <c r="BO167" s="9">
        <v>0</v>
      </c>
      <c r="BP167" s="9">
        <v>0</v>
      </c>
      <c r="BQ167" s="9">
        <v>5392</v>
      </c>
      <c r="BR167" s="9">
        <v>1</v>
      </c>
      <c r="BS167" s="9">
        <v>0</v>
      </c>
      <c r="BT167" s="9">
        <v>0</v>
      </c>
      <c r="BU167" s="9">
        <v>0</v>
      </c>
      <c r="BV167" s="9">
        <v>0</v>
      </c>
      <c r="BW167" s="9">
        <v>0</v>
      </c>
      <c r="BX167" s="9">
        <v>0</v>
      </c>
      <c r="BY167" s="9">
        <v>0</v>
      </c>
      <c r="BZ167" s="9">
        <v>0</v>
      </c>
      <c r="CA167" s="9">
        <v>0</v>
      </c>
      <c r="CB167" s="9">
        <v>0</v>
      </c>
      <c r="CC167" s="9">
        <v>0</v>
      </c>
      <c r="CD167" s="9">
        <v>0</v>
      </c>
      <c r="CE167" s="9">
        <v>0</v>
      </c>
      <c r="CF167" s="9">
        <v>0</v>
      </c>
      <c r="CG167" s="9">
        <v>0</v>
      </c>
      <c r="CH167" s="9">
        <v>122872</v>
      </c>
      <c r="CI167" s="9">
        <v>0</v>
      </c>
      <c r="CJ167" s="9">
        <v>5</v>
      </c>
      <c r="CK167" s="9">
        <v>0</v>
      </c>
      <c r="CL167" s="9">
        <v>0</v>
      </c>
      <c r="CM167" s="9">
        <v>0</v>
      </c>
      <c r="CN167" s="9">
        <v>0</v>
      </c>
      <c r="CO167" s="9">
        <v>0</v>
      </c>
      <c r="CP167" s="9">
        <v>0</v>
      </c>
      <c r="CQ167" s="9">
        <v>0</v>
      </c>
      <c r="CR167" s="9">
        <v>657.08300000000008</v>
      </c>
      <c r="CS167" s="9">
        <v>0</v>
      </c>
      <c r="CT167" s="9">
        <v>0</v>
      </c>
      <c r="CU167" s="9">
        <v>0</v>
      </c>
      <c r="CV167" s="9">
        <v>0</v>
      </c>
      <c r="CW167" s="9">
        <v>0</v>
      </c>
      <c r="CX167" s="9">
        <v>0</v>
      </c>
      <c r="CY167" s="9">
        <v>0</v>
      </c>
      <c r="CZ167" s="9">
        <v>0</v>
      </c>
      <c r="DA167" s="9">
        <v>1</v>
      </c>
      <c r="DB167" s="9">
        <v>4443122</v>
      </c>
      <c r="DC167" s="9">
        <v>0</v>
      </c>
      <c r="DD167" s="9">
        <v>0</v>
      </c>
      <c r="DE167" s="9">
        <v>813792</v>
      </c>
      <c r="DF167" s="9">
        <v>813792</v>
      </c>
      <c r="DG167" s="9">
        <v>621.5</v>
      </c>
      <c r="DH167" s="9">
        <v>0</v>
      </c>
      <c r="DI167" s="9">
        <v>0</v>
      </c>
      <c r="DJ167" s="9">
        <v>0</v>
      </c>
      <c r="DK167" s="9">
        <v>5392</v>
      </c>
      <c r="DL167" s="9">
        <v>0</v>
      </c>
      <c r="DM167" s="9">
        <v>408113</v>
      </c>
      <c r="DN167" s="9">
        <v>0</v>
      </c>
      <c r="DO167" s="9">
        <v>0</v>
      </c>
      <c r="DP167" s="9">
        <v>0</v>
      </c>
      <c r="DQ167" s="9">
        <v>0</v>
      </c>
      <c r="DR167" s="9">
        <v>0</v>
      </c>
      <c r="DS167" s="9">
        <v>0</v>
      </c>
      <c r="DT167" s="9">
        <v>0</v>
      </c>
      <c r="DU167" s="9">
        <v>0</v>
      </c>
      <c r="DV167" s="9">
        <v>0</v>
      </c>
      <c r="DW167" s="9">
        <v>0</v>
      </c>
      <c r="DX167" s="9">
        <v>0</v>
      </c>
      <c r="DY167" s="9">
        <v>0</v>
      </c>
      <c r="DZ167" s="9">
        <v>0</v>
      </c>
      <c r="EA167" s="9">
        <v>0</v>
      </c>
      <c r="EB167" s="9">
        <v>0</v>
      </c>
      <c r="EC167" s="9">
        <v>3.7490000000000001</v>
      </c>
      <c r="ED167" s="9">
        <v>26999</v>
      </c>
      <c r="EE167" s="9">
        <v>0</v>
      </c>
      <c r="EF167" s="9">
        <v>0</v>
      </c>
      <c r="EG167" s="9">
        <v>0</v>
      </c>
      <c r="EH167" s="9">
        <v>381114</v>
      </c>
      <c r="EI167" s="9">
        <v>0</v>
      </c>
      <c r="EJ167" s="9">
        <v>0</v>
      </c>
      <c r="EK167" s="9">
        <v>16.769000000000002</v>
      </c>
      <c r="EL167" s="9">
        <v>0</v>
      </c>
      <c r="EM167" s="9">
        <v>0</v>
      </c>
      <c r="EN167" s="9">
        <v>1.5810000000000002</v>
      </c>
      <c r="EO167" s="9">
        <v>0</v>
      </c>
      <c r="EP167" s="9">
        <v>0</v>
      </c>
      <c r="EQ167" s="9">
        <v>18.350000000000001</v>
      </c>
      <c r="ER167" s="9">
        <v>0</v>
      </c>
      <c r="ES167" s="9">
        <v>58.212000000000003</v>
      </c>
      <c r="ET167" s="9">
        <v>0</v>
      </c>
      <c r="EU167" s="9">
        <v>326856</v>
      </c>
      <c r="EV167" s="9">
        <v>0</v>
      </c>
      <c r="EW167" s="9">
        <v>0</v>
      </c>
      <c r="EX167" s="9">
        <v>0</v>
      </c>
      <c r="EY167" s="9">
        <v>0</v>
      </c>
      <c r="EZ167" s="9">
        <v>5404660</v>
      </c>
      <c r="FA167" s="9">
        <v>0</v>
      </c>
      <c r="FB167" s="9">
        <v>5731516</v>
      </c>
      <c r="FC167" s="9">
        <v>0.97326799999999991</v>
      </c>
      <c r="FD167" s="9">
        <v>0</v>
      </c>
      <c r="FE167" s="9">
        <v>862948</v>
      </c>
      <c r="FF167" s="9">
        <v>183764</v>
      </c>
      <c r="FG167" s="9">
        <v>5.8088000000000001E-2</v>
      </c>
      <c r="FH167" s="9">
        <v>5.2622999999999996E-2</v>
      </c>
      <c r="FI167" s="9">
        <v>0</v>
      </c>
      <c r="FJ167" s="9">
        <v>0</v>
      </c>
      <c r="FK167" s="9">
        <v>1092.9870000000001</v>
      </c>
      <c r="FL167" s="9">
        <v>6901100</v>
      </c>
      <c r="FM167" s="9">
        <v>0</v>
      </c>
      <c r="FN167" s="9">
        <v>0</v>
      </c>
      <c r="FO167" s="9">
        <v>0</v>
      </c>
      <c r="FP167" s="9">
        <v>0</v>
      </c>
      <c r="FQ167" s="9">
        <v>0</v>
      </c>
      <c r="FR167" s="9">
        <v>0</v>
      </c>
      <c r="FS167" s="9">
        <v>0</v>
      </c>
      <c r="FT167" s="9">
        <v>0</v>
      </c>
      <c r="FU167" s="9">
        <v>0</v>
      </c>
      <c r="FV167" s="9">
        <v>0</v>
      </c>
      <c r="FW167" s="9">
        <v>0</v>
      </c>
      <c r="FX167" s="9">
        <v>0</v>
      </c>
      <c r="FY167" s="9">
        <v>0</v>
      </c>
      <c r="FZ167" s="9">
        <v>0</v>
      </c>
      <c r="GA167" s="9">
        <v>0</v>
      </c>
      <c r="GB167" s="9">
        <v>0</v>
      </c>
      <c r="GC167" s="9">
        <v>0</v>
      </c>
      <c r="GD167" s="9">
        <v>0</v>
      </c>
      <c r="GE167" s="9">
        <v>0</v>
      </c>
      <c r="GF167" s="9">
        <v>0</v>
      </c>
      <c r="GG167" s="9">
        <v>0</v>
      </c>
      <c r="GH167" s="9">
        <v>0</v>
      </c>
      <c r="GI167" s="9">
        <v>0</v>
      </c>
      <c r="GJ167" s="9">
        <v>0</v>
      </c>
      <c r="GK167" s="9">
        <v>4971</v>
      </c>
      <c r="GL167" s="9">
        <v>3931</v>
      </c>
      <c r="GM167" s="9">
        <v>0</v>
      </c>
      <c r="GN167" s="9">
        <v>0</v>
      </c>
      <c r="GO167" s="9">
        <v>0</v>
      </c>
      <c r="GP167" s="9">
        <v>6778228</v>
      </c>
      <c r="GQ167" s="9">
        <v>6778228</v>
      </c>
      <c r="GR167" s="9">
        <v>0</v>
      </c>
      <c r="GS167" s="9">
        <v>0</v>
      </c>
      <c r="GT167" s="9">
        <v>0</v>
      </c>
      <c r="GU167" s="9">
        <v>0</v>
      </c>
      <c r="GV167" s="9">
        <v>0</v>
      </c>
      <c r="GW167" s="9">
        <v>0</v>
      </c>
      <c r="GX167" s="9">
        <v>0</v>
      </c>
      <c r="GY167" s="9">
        <v>0</v>
      </c>
      <c r="GZ167" s="9">
        <v>0</v>
      </c>
      <c r="HA167" s="9">
        <v>0</v>
      </c>
      <c r="HB167" s="9">
        <v>300501363</v>
      </c>
      <c r="HC167" s="9">
        <v>4.4742999999999998E-2</v>
      </c>
      <c r="HD167" s="9">
        <v>122872</v>
      </c>
      <c r="HE167" s="9">
        <v>0</v>
      </c>
      <c r="HF167" s="9">
        <v>0</v>
      </c>
      <c r="HG167" s="9">
        <v>0</v>
      </c>
      <c r="HH167" s="9">
        <v>0</v>
      </c>
      <c r="HI167" s="9">
        <v>0</v>
      </c>
      <c r="HJ167" s="9">
        <v>0</v>
      </c>
      <c r="HK167" s="9">
        <v>0</v>
      </c>
      <c r="HL167" s="9">
        <v>0</v>
      </c>
      <c r="HM167" s="9">
        <v>0</v>
      </c>
      <c r="HN167" s="9">
        <v>0</v>
      </c>
      <c r="HO167" s="9">
        <v>0</v>
      </c>
      <c r="HP167" s="9">
        <v>0</v>
      </c>
      <c r="HQ167" s="9">
        <v>0</v>
      </c>
      <c r="HR167" s="9">
        <v>0</v>
      </c>
      <c r="HS167" s="9">
        <v>0</v>
      </c>
      <c r="HT167" s="9">
        <v>0</v>
      </c>
      <c r="HU167" s="9">
        <v>0</v>
      </c>
      <c r="HV167" s="9">
        <v>0</v>
      </c>
      <c r="HW167" s="9">
        <v>0</v>
      </c>
      <c r="HX167" s="9">
        <v>0</v>
      </c>
      <c r="HY167" s="9">
        <v>0</v>
      </c>
      <c r="HZ167" s="9">
        <v>0</v>
      </c>
      <c r="IA167" s="9">
        <v>0</v>
      </c>
      <c r="IB167" s="9">
        <v>0</v>
      </c>
      <c r="IC167" s="9">
        <v>0</v>
      </c>
      <c r="ID167" s="9">
        <v>0</v>
      </c>
      <c r="IE167" s="9">
        <v>0</v>
      </c>
      <c r="IF167" s="9">
        <v>0</v>
      </c>
      <c r="IG167" s="9">
        <v>0</v>
      </c>
      <c r="IH167" s="9">
        <v>0</v>
      </c>
      <c r="II167" s="9">
        <v>0</v>
      </c>
      <c r="IJ167" s="9">
        <v>0</v>
      </c>
      <c r="IK167" s="9">
        <v>0</v>
      </c>
      <c r="IL167" s="9">
        <v>0</v>
      </c>
      <c r="IM167" s="9">
        <v>0</v>
      </c>
      <c r="IN167" s="9">
        <v>0</v>
      </c>
      <c r="IO167" s="9">
        <v>0</v>
      </c>
      <c r="IP167" s="9">
        <v>0</v>
      </c>
      <c r="IQ167" s="9">
        <v>0</v>
      </c>
      <c r="IR167" s="9">
        <v>0</v>
      </c>
      <c r="IS167" s="9">
        <v>0</v>
      </c>
      <c r="IT167" s="9">
        <v>0</v>
      </c>
      <c r="IU167" s="9">
        <v>0</v>
      </c>
      <c r="IV167" s="9">
        <v>0</v>
      </c>
      <c r="IW167" s="9">
        <v>0</v>
      </c>
      <c r="IX167" s="9">
        <v>0</v>
      </c>
      <c r="IY167" s="9">
        <v>0</v>
      </c>
      <c r="IZ167" s="9">
        <v>0</v>
      </c>
      <c r="JA167" s="9">
        <v>0</v>
      </c>
      <c r="JB167" s="9">
        <v>0</v>
      </c>
      <c r="JC167" s="9">
        <v>0</v>
      </c>
      <c r="JD167" s="9">
        <v>0</v>
      </c>
      <c r="JE167" s="9">
        <v>0</v>
      </c>
      <c r="JF167" s="9">
        <v>0</v>
      </c>
      <c r="JG167" s="9">
        <v>0</v>
      </c>
      <c r="JH167" s="9">
        <v>0</v>
      </c>
      <c r="JI167" s="9">
        <v>0</v>
      </c>
      <c r="JJ167" s="9">
        <v>0</v>
      </c>
      <c r="JK167" s="9">
        <v>0</v>
      </c>
      <c r="JL167" s="9">
        <v>0</v>
      </c>
      <c r="JM167" s="9">
        <v>0</v>
      </c>
      <c r="JN167" s="9">
        <v>36832</v>
      </c>
      <c r="JO167" s="9">
        <v>0</v>
      </c>
      <c r="JP167" s="9">
        <v>0</v>
      </c>
      <c r="JQ167" s="9">
        <v>0</v>
      </c>
      <c r="JR167" s="9">
        <v>0</v>
      </c>
      <c r="JS167" s="9">
        <v>0</v>
      </c>
      <c r="JT167" s="9">
        <v>0</v>
      </c>
      <c r="JU167" s="9">
        <v>0</v>
      </c>
      <c r="JV167" s="9">
        <v>0</v>
      </c>
      <c r="JW167" s="9">
        <v>0</v>
      </c>
      <c r="JX167" s="9">
        <v>0</v>
      </c>
      <c r="JY167" s="9">
        <v>0</v>
      </c>
      <c r="JZ167" s="9">
        <v>0</v>
      </c>
      <c r="KA167" s="9">
        <v>0</v>
      </c>
      <c r="KB167" s="9">
        <v>0</v>
      </c>
      <c r="KC167" s="9">
        <v>0</v>
      </c>
      <c r="KD167" s="9">
        <v>0</v>
      </c>
      <c r="KE167" s="9">
        <v>0</v>
      </c>
      <c r="KF167" s="9">
        <v>0</v>
      </c>
      <c r="KG167" s="9">
        <v>0</v>
      </c>
      <c r="KH167" s="9">
        <v>0</v>
      </c>
      <c r="KI167" s="9">
        <v>0</v>
      </c>
    </row>
    <row r="168" spans="1:295" x14ac:dyDescent="0.25">
      <c r="A168" s="9">
        <v>220817</v>
      </c>
      <c r="B168" s="9">
        <v>36871</v>
      </c>
      <c r="C168" s="9">
        <v>35</v>
      </c>
      <c r="D168" s="9">
        <v>2023</v>
      </c>
      <c r="E168" s="9">
        <v>5392</v>
      </c>
      <c r="F168" s="9">
        <v>0</v>
      </c>
      <c r="G168" s="9">
        <v>0</v>
      </c>
      <c r="H168" s="9">
        <v>3021.587</v>
      </c>
      <c r="I168" s="9">
        <v>3021.587</v>
      </c>
      <c r="J168" s="9">
        <v>3219.7510000000002</v>
      </c>
      <c r="K168" s="9">
        <v>0</v>
      </c>
      <c r="L168" s="9">
        <v>6547</v>
      </c>
      <c r="M168" s="9">
        <v>0</v>
      </c>
      <c r="N168" s="9">
        <v>0</v>
      </c>
      <c r="O168" s="9">
        <v>0</v>
      </c>
      <c r="P168" s="9">
        <v>2870.4410000000003</v>
      </c>
      <c r="Q168" s="9">
        <v>0</v>
      </c>
      <c r="R168" s="9">
        <v>1397681</v>
      </c>
      <c r="S168" s="9">
        <v>486.92200000000003</v>
      </c>
      <c r="T168" s="9">
        <v>0</v>
      </c>
      <c r="U168" s="9">
        <v>1397681</v>
      </c>
      <c r="V168" s="9">
        <v>322.01900000000001</v>
      </c>
      <c r="W168" s="9">
        <v>210826</v>
      </c>
      <c r="X168" s="9">
        <v>210826</v>
      </c>
      <c r="Y168" s="9">
        <v>0</v>
      </c>
      <c r="Z168" s="9">
        <v>0</v>
      </c>
      <c r="AA168" s="9">
        <v>1</v>
      </c>
      <c r="AB168" s="9">
        <v>1</v>
      </c>
      <c r="AC168" s="9">
        <v>0</v>
      </c>
      <c r="AD168" s="9" t="s">
        <v>314</v>
      </c>
      <c r="AE168" s="9">
        <v>0</v>
      </c>
      <c r="AF168" s="9">
        <v>0</v>
      </c>
      <c r="AG168" s="9">
        <v>0</v>
      </c>
      <c r="AH168" s="9">
        <v>0</v>
      </c>
      <c r="AI168" s="9">
        <v>0</v>
      </c>
      <c r="AJ168" s="9">
        <v>5104</v>
      </c>
      <c r="AK168" s="9" t="s">
        <v>651</v>
      </c>
      <c r="AL168" s="9" t="s">
        <v>362</v>
      </c>
      <c r="AM168" s="9">
        <v>0</v>
      </c>
      <c r="AN168" s="9">
        <v>0</v>
      </c>
      <c r="AO168" s="9">
        <v>0</v>
      </c>
      <c r="AP168" s="9">
        <v>0</v>
      </c>
      <c r="AQ168" s="9">
        <v>0</v>
      </c>
      <c r="AR168" s="9">
        <v>0</v>
      </c>
      <c r="AS168" s="9">
        <v>0</v>
      </c>
      <c r="AT168" s="9">
        <v>0</v>
      </c>
      <c r="AU168" s="9">
        <v>0</v>
      </c>
      <c r="AV168" s="9">
        <v>-915178</v>
      </c>
      <c r="AW168" s="9">
        <v>28754816</v>
      </c>
      <c r="AX168" s="9">
        <v>28029742</v>
      </c>
      <c r="AY168" s="9">
        <v>27818383</v>
      </c>
      <c r="AZ168" s="9">
        <v>1555155</v>
      </c>
      <c r="BA168" s="9">
        <v>0</v>
      </c>
      <c r="BB168" s="9">
        <v>126478</v>
      </c>
      <c r="BC168" s="9">
        <v>126478</v>
      </c>
      <c r="BD168" s="9">
        <v>160.988</v>
      </c>
      <c r="BE168" s="9">
        <v>0</v>
      </c>
      <c r="BF168" s="9">
        <v>24217982</v>
      </c>
      <c r="BG168" s="9">
        <v>0</v>
      </c>
      <c r="BH168" s="9">
        <v>572.63300000000004</v>
      </c>
      <c r="BI168" s="9">
        <v>157474</v>
      </c>
      <c r="BJ168" s="9">
        <v>12</v>
      </c>
      <c r="BK168" s="9">
        <v>0</v>
      </c>
      <c r="BL168" s="9">
        <v>0</v>
      </c>
      <c r="BM168" s="9">
        <v>0</v>
      </c>
      <c r="BN168" s="9">
        <v>0</v>
      </c>
      <c r="BO168" s="9">
        <v>0</v>
      </c>
      <c r="BP168" s="9">
        <v>0</v>
      </c>
      <c r="BQ168" s="9">
        <v>5392</v>
      </c>
      <c r="BR168" s="9">
        <v>1</v>
      </c>
      <c r="BS168" s="9">
        <v>0</v>
      </c>
      <c r="BT168" s="9">
        <v>0</v>
      </c>
      <c r="BU168" s="9">
        <v>0</v>
      </c>
      <c r="BV168" s="9">
        <v>0</v>
      </c>
      <c r="BW168" s="9">
        <v>0</v>
      </c>
      <c r="BX168" s="9">
        <v>0</v>
      </c>
      <c r="BY168" s="9">
        <v>0</v>
      </c>
      <c r="BZ168" s="9">
        <v>0</v>
      </c>
      <c r="CA168" s="9">
        <v>0</v>
      </c>
      <c r="CB168" s="9">
        <v>0</v>
      </c>
      <c r="CC168" s="9">
        <v>0</v>
      </c>
      <c r="CD168" s="9">
        <v>0</v>
      </c>
      <c r="CE168" s="9">
        <v>0</v>
      </c>
      <c r="CF168" s="9">
        <v>0</v>
      </c>
      <c r="CG168" s="9">
        <v>0</v>
      </c>
      <c r="CH168" s="9">
        <v>567600</v>
      </c>
      <c r="CI168" s="9">
        <v>0</v>
      </c>
      <c r="CJ168" s="9">
        <v>4</v>
      </c>
      <c r="CK168" s="9">
        <v>0</v>
      </c>
      <c r="CL168" s="9">
        <v>0</v>
      </c>
      <c r="CM168" s="9">
        <v>0</v>
      </c>
      <c r="CN168" s="9">
        <v>0</v>
      </c>
      <c r="CO168" s="9">
        <v>0</v>
      </c>
      <c r="CP168" s="9">
        <v>0</v>
      </c>
      <c r="CQ168" s="9">
        <v>0</v>
      </c>
      <c r="CR168" s="9">
        <v>2824.2240000000002</v>
      </c>
      <c r="CS168" s="9">
        <v>0</v>
      </c>
      <c r="CT168" s="9">
        <v>0</v>
      </c>
      <c r="CU168" s="9">
        <v>0</v>
      </c>
      <c r="CV168" s="9">
        <v>0</v>
      </c>
      <c r="CW168" s="9">
        <v>0</v>
      </c>
      <c r="CX168" s="9">
        <v>0</v>
      </c>
      <c r="CY168" s="9">
        <v>0</v>
      </c>
      <c r="CZ168" s="9">
        <v>0</v>
      </c>
      <c r="DA168" s="9">
        <v>1</v>
      </c>
      <c r="DB168" s="9">
        <v>19782330</v>
      </c>
      <c r="DC168" s="9">
        <v>0</v>
      </c>
      <c r="DD168" s="9">
        <v>0</v>
      </c>
      <c r="DE168" s="9">
        <v>2024987</v>
      </c>
      <c r="DF168" s="9">
        <v>2024987</v>
      </c>
      <c r="DG168" s="9">
        <v>1546.5</v>
      </c>
      <c r="DH168" s="9">
        <v>0</v>
      </c>
      <c r="DI168" s="9">
        <v>0</v>
      </c>
      <c r="DJ168" s="9">
        <v>0</v>
      </c>
      <c r="DK168" s="9">
        <v>5392</v>
      </c>
      <c r="DL168" s="9">
        <v>0</v>
      </c>
      <c r="DM168" s="9">
        <v>1445306</v>
      </c>
      <c r="DN168" s="9">
        <v>0</v>
      </c>
      <c r="DO168" s="9">
        <v>0</v>
      </c>
      <c r="DP168" s="9">
        <v>0</v>
      </c>
      <c r="DQ168" s="9">
        <v>0</v>
      </c>
      <c r="DR168" s="9">
        <v>0</v>
      </c>
      <c r="DS168" s="9">
        <v>0</v>
      </c>
      <c r="DT168" s="9">
        <v>0</v>
      </c>
      <c r="DU168" s="9">
        <v>0</v>
      </c>
      <c r="DV168" s="9">
        <v>0</v>
      </c>
      <c r="DW168" s="9">
        <v>0</v>
      </c>
      <c r="DX168" s="9">
        <v>0</v>
      </c>
      <c r="DY168" s="9">
        <v>0</v>
      </c>
      <c r="DZ168" s="9">
        <v>0</v>
      </c>
      <c r="EA168" s="9">
        <v>0</v>
      </c>
      <c r="EB168" s="9">
        <v>0</v>
      </c>
      <c r="EC168" s="9">
        <v>51.725000000000001</v>
      </c>
      <c r="ED168" s="9">
        <v>372508</v>
      </c>
      <c r="EE168" s="9">
        <v>0</v>
      </c>
      <c r="EF168" s="9">
        <v>0</v>
      </c>
      <c r="EG168" s="9">
        <v>0</v>
      </c>
      <c r="EH168" s="9">
        <v>1072798</v>
      </c>
      <c r="EI168" s="9">
        <v>0</v>
      </c>
      <c r="EJ168" s="9">
        <v>0</v>
      </c>
      <c r="EK168" s="9">
        <v>44.672000000000004</v>
      </c>
      <c r="EL168" s="9">
        <v>0</v>
      </c>
      <c r="EM168" s="9">
        <v>3.0100000000000002</v>
      </c>
      <c r="EN168" s="9">
        <v>4.1630000000000003</v>
      </c>
      <c r="EO168" s="9">
        <v>0</v>
      </c>
      <c r="EP168" s="9">
        <v>0</v>
      </c>
      <c r="EQ168" s="9">
        <v>51.845000000000006</v>
      </c>
      <c r="ER168" s="9">
        <v>0</v>
      </c>
      <c r="ES168" s="9">
        <v>163.86100000000002</v>
      </c>
      <c r="ET168" s="9">
        <v>0</v>
      </c>
      <c r="EU168" s="9">
        <v>1555155</v>
      </c>
      <c r="EV168" s="9">
        <v>0</v>
      </c>
      <c r="EW168" s="9">
        <v>0</v>
      </c>
      <c r="EX168" s="9">
        <v>0</v>
      </c>
      <c r="EY168" s="9">
        <v>0</v>
      </c>
      <c r="EZ168" s="9">
        <v>23485479</v>
      </c>
      <c r="FA168" s="9">
        <v>0</v>
      </c>
      <c r="FB168" s="9">
        <v>25040634</v>
      </c>
      <c r="FC168" s="9">
        <v>0.97326799999999991</v>
      </c>
      <c r="FD168" s="9">
        <v>0</v>
      </c>
      <c r="FE168" s="9">
        <v>3746457</v>
      </c>
      <c r="FF168" s="9">
        <v>797806</v>
      </c>
      <c r="FG168" s="9">
        <v>5.8088000000000001E-2</v>
      </c>
      <c r="FH168" s="9">
        <v>5.2622999999999996E-2</v>
      </c>
      <c r="FI168" s="9">
        <v>0</v>
      </c>
      <c r="FJ168" s="9">
        <v>0</v>
      </c>
      <c r="FK168" s="9">
        <v>4745.1610000000001</v>
      </c>
      <c r="FL168" s="9">
        <v>30152497</v>
      </c>
      <c r="FM168" s="9">
        <v>0</v>
      </c>
      <c r="FN168" s="9">
        <v>0</v>
      </c>
      <c r="FO168" s="9">
        <v>0</v>
      </c>
      <c r="FP168" s="9">
        <v>0</v>
      </c>
      <c r="FQ168" s="9">
        <v>0</v>
      </c>
      <c r="FR168" s="9">
        <v>0</v>
      </c>
      <c r="FS168" s="9">
        <v>0</v>
      </c>
      <c r="FT168" s="9">
        <v>0</v>
      </c>
      <c r="FU168" s="9">
        <v>0</v>
      </c>
      <c r="FV168" s="9">
        <v>0</v>
      </c>
      <c r="FW168" s="9">
        <v>0</v>
      </c>
      <c r="FX168" s="9">
        <v>0</v>
      </c>
      <c r="FY168" s="9">
        <v>0</v>
      </c>
      <c r="FZ168" s="9">
        <v>0</v>
      </c>
      <c r="GA168" s="9">
        <v>0</v>
      </c>
      <c r="GB168" s="9">
        <v>1293233</v>
      </c>
      <c r="GC168" s="9">
        <v>1293233</v>
      </c>
      <c r="GD168" s="9">
        <v>146.31900000000002</v>
      </c>
      <c r="GE168" s="9">
        <v>0</v>
      </c>
      <c r="GF168" s="9">
        <v>0</v>
      </c>
      <c r="GG168" s="9">
        <v>0</v>
      </c>
      <c r="GH168" s="9">
        <v>0</v>
      </c>
      <c r="GI168" s="9">
        <v>0</v>
      </c>
      <c r="GJ168" s="9">
        <v>0</v>
      </c>
      <c r="GK168" s="9">
        <v>4971</v>
      </c>
      <c r="GL168" s="9">
        <v>0</v>
      </c>
      <c r="GM168" s="9">
        <v>0</v>
      </c>
      <c r="GN168" s="9">
        <v>0</v>
      </c>
      <c r="GO168" s="9">
        <v>0</v>
      </c>
      <c r="GP168" s="9">
        <v>29584897</v>
      </c>
      <c r="GQ168" s="9">
        <v>29584897</v>
      </c>
      <c r="GR168" s="9">
        <v>0</v>
      </c>
      <c r="GS168" s="9">
        <v>0</v>
      </c>
      <c r="GT168" s="9">
        <v>0</v>
      </c>
      <c r="GU168" s="9">
        <v>0</v>
      </c>
      <c r="GV168" s="9">
        <v>0</v>
      </c>
      <c r="GW168" s="9">
        <v>0</v>
      </c>
      <c r="GX168" s="9">
        <v>0</v>
      </c>
      <c r="GY168" s="9">
        <v>0</v>
      </c>
      <c r="GZ168" s="9">
        <v>0</v>
      </c>
      <c r="HA168" s="9">
        <v>0</v>
      </c>
      <c r="HB168" s="9">
        <v>300501363</v>
      </c>
      <c r="HC168" s="9">
        <v>4.4742999999999998E-2</v>
      </c>
      <c r="HD168" s="9">
        <v>567600</v>
      </c>
      <c r="HE168" s="9">
        <v>0</v>
      </c>
      <c r="HF168" s="9">
        <v>0</v>
      </c>
      <c r="HG168" s="9">
        <v>0</v>
      </c>
      <c r="HH168" s="9">
        <v>0</v>
      </c>
      <c r="HI168" s="9">
        <v>0</v>
      </c>
      <c r="HJ168" s="9">
        <v>0</v>
      </c>
      <c r="HK168" s="9">
        <v>0</v>
      </c>
      <c r="HL168" s="9">
        <v>0</v>
      </c>
      <c r="HM168" s="9">
        <v>0</v>
      </c>
      <c r="HN168" s="9">
        <v>0</v>
      </c>
      <c r="HO168" s="9">
        <v>0</v>
      </c>
      <c r="HP168" s="9">
        <v>0</v>
      </c>
      <c r="HQ168" s="9">
        <v>0</v>
      </c>
      <c r="HR168" s="9">
        <v>0</v>
      </c>
      <c r="HS168" s="9">
        <v>0</v>
      </c>
      <c r="HT168" s="9">
        <v>0</v>
      </c>
      <c r="HU168" s="9">
        <v>0</v>
      </c>
      <c r="HV168" s="9">
        <v>0</v>
      </c>
      <c r="HW168" s="9">
        <v>0</v>
      </c>
      <c r="HX168" s="9">
        <v>0</v>
      </c>
      <c r="HY168" s="9">
        <v>0</v>
      </c>
      <c r="HZ168" s="9">
        <v>0</v>
      </c>
      <c r="IA168" s="9">
        <v>0</v>
      </c>
      <c r="IB168" s="9">
        <v>0</v>
      </c>
      <c r="IC168" s="9">
        <v>0</v>
      </c>
      <c r="ID168" s="9">
        <v>0</v>
      </c>
      <c r="IE168" s="9">
        <v>0</v>
      </c>
      <c r="IF168" s="9">
        <v>0</v>
      </c>
      <c r="IG168" s="9">
        <v>0</v>
      </c>
      <c r="IH168" s="9">
        <v>0</v>
      </c>
      <c r="II168" s="9">
        <v>0</v>
      </c>
      <c r="IJ168" s="9">
        <v>0</v>
      </c>
      <c r="IK168" s="9">
        <v>0</v>
      </c>
      <c r="IL168" s="9">
        <v>0</v>
      </c>
      <c r="IM168" s="9">
        <v>0</v>
      </c>
      <c r="IN168" s="9">
        <v>0</v>
      </c>
      <c r="IO168" s="9">
        <v>0</v>
      </c>
      <c r="IP168" s="9">
        <v>0</v>
      </c>
      <c r="IQ168" s="9">
        <v>0</v>
      </c>
      <c r="IR168" s="9">
        <v>0</v>
      </c>
      <c r="IS168" s="9">
        <v>0</v>
      </c>
      <c r="IT168" s="9">
        <v>0</v>
      </c>
      <c r="IU168" s="9">
        <v>0</v>
      </c>
      <c r="IV168" s="9">
        <v>0</v>
      </c>
      <c r="IW168" s="9">
        <v>0</v>
      </c>
      <c r="IX168" s="9">
        <v>0</v>
      </c>
      <c r="IY168" s="9">
        <v>0</v>
      </c>
      <c r="IZ168" s="9">
        <v>0</v>
      </c>
      <c r="JA168" s="9">
        <v>0</v>
      </c>
      <c r="JB168" s="9">
        <v>0</v>
      </c>
      <c r="JC168" s="9">
        <v>0</v>
      </c>
      <c r="JD168" s="9">
        <v>0</v>
      </c>
      <c r="JE168" s="9">
        <v>0</v>
      </c>
      <c r="JF168" s="9">
        <v>0</v>
      </c>
      <c r="JG168" s="9">
        <v>0</v>
      </c>
      <c r="JH168" s="9">
        <v>0</v>
      </c>
      <c r="JI168" s="9">
        <v>0</v>
      </c>
      <c r="JJ168" s="9">
        <v>0</v>
      </c>
      <c r="JK168" s="9">
        <v>0</v>
      </c>
      <c r="JL168" s="9">
        <v>0</v>
      </c>
      <c r="JM168" s="9">
        <v>0</v>
      </c>
      <c r="JN168" s="9">
        <v>36832</v>
      </c>
      <c r="JO168" s="9">
        <v>0</v>
      </c>
      <c r="JP168" s="9">
        <v>0</v>
      </c>
      <c r="JQ168" s="9">
        <v>0</v>
      </c>
      <c r="JR168" s="9">
        <v>0</v>
      </c>
      <c r="JS168" s="9">
        <v>0</v>
      </c>
      <c r="JT168" s="9">
        <v>0</v>
      </c>
      <c r="JU168" s="9">
        <v>0</v>
      </c>
      <c r="JV168" s="9">
        <v>0</v>
      </c>
      <c r="JW168" s="9">
        <v>0</v>
      </c>
      <c r="JX168" s="9">
        <v>0</v>
      </c>
      <c r="JY168" s="9">
        <v>0</v>
      </c>
      <c r="JZ168" s="9">
        <v>0</v>
      </c>
      <c r="KA168" s="9">
        <v>0</v>
      </c>
      <c r="KB168" s="9">
        <v>0</v>
      </c>
      <c r="KC168" s="9">
        <v>0</v>
      </c>
      <c r="KD168" s="9">
        <v>0</v>
      </c>
      <c r="KE168" s="9">
        <v>0</v>
      </c>
      <c r="KF168" s="9">
        <v>0</v>
      </c>
      <c r="KG168" s="9">
        <v>0</v>
      </c>
      <c r="KH168" s="9">
        <v>0</v>
      </c>
      <c r="KI168" s="9">
        <v>0</v>
      </c>
    </row>
    <row r="169" spans="1:295" x14ac:dyDescent="0.25">
      <c r="A169" s="9">
        <v>220819</v>
      </c>
      <c r="B169" s="9">
        <v>36871</v>
      </c>
      <c r="C169" s="9">
        <v>35</v>
      </c>
      <c r="D169" s="9">
        <v>2023</v>
      </c>
      <c r="E169" s="9">
        <v>5392</v>
      </c>
      <c r="F169" s="9">
        <v>0</v>
      </c>
      <c r="G169" s="9">
        <v>0</v>
      </c>
      <c r="H169" s="9">
        <v>1426.4390000000001</v>
      </c>
      <c r="I169" s="9">
        <v>1426.4390000000001</v>
      </c>
      <c r="J169" s="9">
        <v>1497.6190000000001</v>
      </c>
      <c r="K169" s="9">
        <v>0</v>
      </c>
      <c r="L169" s="9">
        <v>6547</v>
      </c>
      <c r="M169" s="9">
        <v>0</v>
      </c>
      <c r="N169" s="9">
        <v>0</v>
      </c>
      <c r="O169" s="9">
        <v>0</v>
      </c>
      <c r="P169" s="9">
        <v>1590.7140000000002</v>
      </c>
      <c r="Q169" s="9">
        <v>0</v>
      </c>
      <c r="R169" s="9">
        <v>774554</v>
      </c>
      <c r="S169" s="9">
        <v>486.92200000000003</v>
      </c>
      <c r="T169" s="9">
        <v>0</v>
      </c>
      <c r="U169" s="9">
        <v>774554</v>
      </c>
      <c r="V169" s="9">
        <v>89.748000000000005</v>
      </c>
      <c r="W169" s="9">
        <v>58758</v>
      </c>
      <c r="X169" s="9">
        <v>58758</v>
      </c>
      <c r="Y169" s="9">
        <v>0</v>
      </c>
      <c r="Z169" s="9">
        <v>0</v>
      </c>
      <c r="AA169" s="9">
        <v>1</v>
      </c>
      <c r="AB169" s="9">
        <v>1</v>
      </c>
      <c r="AC169" s="9">
        <v>0</v>
      </c>
      <c r="AD169" s="9" t="s">
        <v>314</v>
      </c>
      <c r="AE169" s="9">
        <v>0</v>
      </c>
      <c r="AF169" s="9">
        <v>0</v>
      </c>
      <c r="AG169" s="9">
        <v>0</v>
      </c>
      <c r="AH169" s="9">
        <v>0</v>
      </c>
      <c r="AI169" s="9">
        <v>0</v>
      </c>
      <c r="AJ169" s="9">
        <v>5104</v>
      </c>
      <c r="AK169" s="9" t="s">
        <v>651</v>
      </c>
      <c r="AL169" s="9" t="s">
        <v>370</v>
      </c>
      <c r="AM169" s="9">
        <v>0</v>
      </c>
      <c r="AN169" s="9">
        <v>0</v>
      </c>
      <c r="AO169" s="9">
        <v>0</v>
      </c>
      <c r="AP169" s="9">
        <v>0</v>
      </c>
      <c r="AQ169" s="9">
        <v>0</v>
      </c>
      <c r="AR169" s="9">
        <v>0</v>
      </c>
      <c r="AS169" s="9">
        <v>0</v>
      </c>
      <c r="AT169" s="9">
        <v>0</v>
      </c>
      <c r="AU169" s="9">
        <v>0</v>
      </c>
      <c r="AV169" s="9">
        <v>-58464</v>
      </c>
      <c r="AW169" s="9">
        <v>13219254</v>
      </c>
      <c r="AX169" s="9">
        <v>12893890</v>
      </c>
      <c r="AY169" s="9">
        <v>13815570</v>
      </c>
      <c r="AZ169" s="9">
        <v>835907</v>
      </c>
      <c r="BA169" s="9">
        <v>0</v>
      </c>
      <c r="BB169" s="9">
        <v>58829</v>
      </c>
      <c r="BC169" s="9">
        <v>58829</v>
      </c>
      <c r="BD169" s="9">
        <v>74.881</v>
      </c>
      <c r="BE169" s="9">
        <v>0</v>
      </c>
      <c r="BF169" s="9">
        <v>11248763</v>
      </c>
      <c r="BG169" s="9">
        <v>0</v>
      </c>
      <c r="BH169" s="9">
        <v>223.102</v>
      </c>
      <c r="BI169" s="9">
        <v>61353</v>
      </c>
      <c r="BJ169" s="9">
        <v>12</v>
      </c>
      <c r="BK169" s="9">
        <v>0</v>
      </c>
      <c r="BL169" s="9">
        <v>0</v>
      </c>
      <c r="BM169" s="9">
        <v>0</v>
      </c>
      <c r="BN169" s="9">
        <v>0</v>
      </c>
      <c r="BO169" s="9">
        <v>0</v>
      </c>
      <c r="BP169" s="9">
        <v>0</v>
      </c>
      <c r="BQ169" s="9">
        <v>5392</v>
      </c>
      <c r="BR169" s="9">
        <v>1</v>
      </c>
      <c r="BS169" s="9">
        <v>0</v>
      </c>
      <c r="BT169" s="9">
        <v>0</v>
      </c>
      <c r="BU169" s="9">
        <v>0</v>
      </c>
      <c r="BV169" s="9">
        <v>0</v>
      </c>
      <c r="BW169" s="9">
        <v>0</v>
      </c>
      <c r="BX169" s="9">
        <v>0</v>
      </c>
      <c r="BY169" s="9">
        <v>0</v>
      </c>
      <c r="BZ169" s="9">
        <v>0</v>
      </c>
      <c r="CA169" s="9">
        <v>0</v>
      </c>
      <c r="CB169" s="9">
        <v>0</v>
      </c>
      <c r="CC169" s="9">
        <v>0</v>
      </c>
      <c r="CD169" s="9">
        <v>0</v>
      </c>
      <c r="CE169" s="9">
        <v>0</v>
      </c>
      <c r="CF169" s="9">
        <v>0</v>
      </c>
      <c r="CG169" s="9">
        <v>0</v>
      </c>
      <c r="CH169" s="9">
        <v>264011</v>
      </c>
      <c r="CI169" s="9">
        <v>0</v>
      </c>
      <c r="CJ169" s="9">
        <v>5</v>
      </c>
      <c r="CK169" s="9">
        <v>0</v>
      </c>
      <c r="CL169" s="9">
        <v>0</v>
      </c>
      <c r="CM169" s="9">
        <v>0</v>
      </c>
      <c r="CN169" s="9">
        <v>0</v>
      </c>
      <c r="CO169" s="9">
        <v>0</v>
      </c>
      <c r="CP169" s="9">
        <v>0</v>
      </c>
      <c r="CQ169" s="9">
        <v>0</v>
      </c>
      <c r="CR169" s="9">
        <v>1580.72</v>
      </c>
      <c r="CS169" s="9">
        <v>0</v>
      </c>
      <c r="CT169" s="9">
        <v>0</v>
      </c>
      <c r="CU169" s="9">
        <v>0</v>
      </c>
      <c r="CV169" s="9">
        <v>0</v>
      </c>
      <c r="CW169" s="9">
        <v>0</v>
      </c>
      <c r="CX169" s="9">
        <v>0</v>
      </c>
      <c r="CY169" s="9">
        <v>0</v>
      </c>
      <c r="CZ169" s="9">
        <v>0</v>
      </c>
      <c r="DA169" s="9">
        <v>1</v>
      </c>
      <c r="DB169" s="9">
        <v>9338896</v>
      </c>
      <c r="DC169" s="9">
        <v>0</v>
      </c>
      <c r="DD169" s="9">
        <v>0</v>
      </c>
      <c r="DE169" s="9">
        <v>749199</v>
      </c>
      <c r="DF169" s="9">
        <v>749199</v>
      </c>
      <c r="DG169" s="9">
        <v>572.16999999999996</v>
      </c>
      <c r="DH169" s="9">
        <v>0</v>
      </c>
      <c r="DI169" s="9">
        <v>0</v>
      </c>
      <c r="DJ169" s="9">
        <v>0</v>
      </c>
      <c r="DK169" s="9">
        <v>5392</v>
      </c>
      <c r="DL169" s="9">
        <v>0</v>
      </c>
      <c r="DM169" s="9">
        <v>1041027</v>
      </c>
      <c r="DN169" s="9">
        <v>0</v>
      </c>
      <c r="DO169" s="9">
        <v>0</v>
      </c>
      <c r="DP169" s="9">
        <v>0</v>
      </c>
      <c r="DQ169" s="9">
        <v>0</v>
      </c>
      <c r="DR169" s="9">
        <v>0</v>
      </c>
      <c r="DS169" s="9">
        <v>0</v>
      </c>
      <c r="DT169" s="9">
        <v>0</v>
      </c>
      <c r="DU169" s="9">
        <v>0</v>
      </c>
      <c r="DV169" s="9">
        <v>0</v>
      </c>
      <c r="DW169" s="9">
        <v>0</v>
      </c>
      <c r="DX169" s="9">
        <v>0</v>
      </c>
      <c r="DY169" s="9">
        <v>0</v>
      </c>
      <c r="DZ169" s="9">
        <v>0</v>
      </c>
      <c r="EA169" s="9">
        <v>0</v>
      </c>
      <c r="EB169" s="9">
        <v>0</v>
      </c>
      <c r="EC169" s="9">
        <v>40.652000000000001</v>
      </c>
      <c r="ED169" s="9">
        <v>292764</v>
      </c>
      <c r="EE169" s="9">
        <v>0</v>
      </c>
      <c r="EF169" s="9">
        <v>0</v>
      </c>
      <c r="EG169" s="9">
        <v>0</v>
      </c>
      <c r="EH169" s="9">
        <v>748263</v>
      </c>
      <c r="EI169" s="9">
        <v>0</v>
      </c>
      <c r="EJ169" s="9">
        <v>0</v>
      </c>
      <c r="EK169" s="9">
        <v>32.282000000000004</v>
      </c>
      <c r="EL169" s="9">
        <v>0</v>
      </c>
      <c r="EM169" s="9">
        <v>0.55000000000000004</v>
      </c>
      <c r="EN169" s="9">
        <v>3.1590000000000003</v>
      </c>
      <c r="EO169" s="9">
        <v>0</v>
      </c>
      <c r="EP169" s="9">
        <v>0</v>
      </c>
      <c r="EQ169" s="9">
        <v>35.991</v>
      </c>
      <c r="ER169" s="9">
        <v>0</v>
      </c>
      <c r="ES169" s="9">
        <v>114.29100000000001</v>
      </c>
      <c r="ET169" s="9">
        <v>0</v>
      </c>
      <c r="EU169" s="9">
        <v>835907</v>
      </c>
      <c r="EV169" s="9">
        <v>0</v>
      </c>
      <c r="EW169" s="9">
        <v>0</v>
      </c>
      <c r="EX169" s="9">
        <v>0</v>
      </c>
      <c r="EY169" s="9">
        <v>0</v>
      </c>
      <c r="EZ169" s="9">
        <v>10783171</v>
      </c>
      <c r="FA169" s="9">
        <v>0</v>
      </c>
      <c r="FB169" s="9">
        <v>11619078</v>
      </c>
      <c r="FC169" s="9">
        <v>0.97326799999999991</v>
      </c>
      <c r="FD169" s="9">
        <v>0</v>
      </c>
      <c r="FE169" s="9">
        <v>1740154</v>
      </c>
      <c r="FF169" s="9">
        <v>370565</v>
      </c>
      <c r="FG169" s="9">
        <v>5.8088000000000001E-2</v>
      </c>
      <c r="FH169" s="9">
        <v>5.2622999999999996E-2</v>
      </c>
      <c r="FI169" s="9">
        <v>0</v>
      </c>
      <c r="FJ169" s="9">
        <v>0</v>
      </c>
      <c r="FK169" s="9">
        <v>2204.0320000000002</v>
      </c>
      <c r="FL169" s="9">
        <v>13993808</v>
      </c>
      <c r="FM169" s="9">
        <v>0</v>
      </c>
      <c r="FN169" s="9">
        <v>0</v>
      </c>
      <c r="FO169" s="9">
        <v>0</v>
      </c>
      <c r="FP169" s="9">
        <v>0</v>
      </c>
      <c r="FQ169" s="9">
        <v>0</v>
      </c>
      <c r="FR169" s="9">
        <v>0</v>
      </c>
      <c r="FS169" s="9">
        <v>0</v>
      </c>
      <c r="FT169" s="9">
        <v>0</v>
      </c>
      <c r="FU169" s="9">
        <v>0</v>
      </c>
      <c r="FV169" s="9">
        <v>0</v>
      </c>
      <c r="FW169" s="9">
        <v>0</v>
      </c>
      <c r="FX169" s="9">
        <v>0</v>
      </c>
      <c r="FY169" s="9">
        <v>0</v>
      </c>
      <c r="FZ169" s="9">
        <v>0</v>
      </c>
      <c r="GA169" s="9">
        <v>0</v>
      </c>
      <c r="GB169" s="9">
        <v>311016</v>
      </c>
      <c r="GC169" s="9">
        <v>311016</v>
      </c>
      <c r="GD169" s="9">
        <v>35.189</v>
      </c>
      <c r="GE169" s="9">
        <v>0</v>
      </c>
      <c r="GF169" s="9">
        <v>0</v>
      </c>
      <c r="GG169" s="9">
        <v>0</v>
      </c>
      <c r="GH169" s="9">
        <v>0</v>
      </c>
      <c r="GI169" s="9">
        <v>0</v>
      </c>
      <c r="GJ169" s="9">
        <v>0</v>
      </c>
      <c r="GK169" s="9">
        <v>0</v>
      </c>
      <c r="GL169" s="9">
        <v>0</v>
      </c>
      <c r="GM169" s="9">
        <v>0</v>
      </c>
      <c r="GN169" s="9">
        <v>0</v>
      </c>
      <c r="GO169" s="9">
        <v>0</v>
      </c>
      <c r="GP169" s="9">
        <v>13729797</v>
      </c>
      <c r="GQ169" s="9">
        <v>13729797</v>
      </c>
      <c r="GR169" s="9">
        <v>0</v>
      </c>
      <c r="GS169" s="9">
        <v>0</v>
      </c>
      <c r="GT169" s="9">
        <v>0</v>
      </c>
      <c r="GU169" s="9">
        <v>0</v>
      </c>
      <c r="GV169" s="9">
        <v>0</v>
      </c>
      <c r="GW169" s="9">
        <v>0</v>
      </c>
      <c r="GX169" s="9">
        <v>0</v>
      </c>
      <c r="GY169" s="9">
        <v>0</v>
      </c>
      <c r="GZ169" s="9">
        <v>0</v>
      </c>
      <c r="HA169" s="9">
        <v>0</v>
      </c>
      <c r="HB169" s="9">
        <v>300501363</v>
      </c>
      <c r="HC169" s="9">
        <v>4.4742999999999998E-2</v>
      </c>
      <c r="HD169" s="9">
        <v>264011</v>
      </c>
      <c r="HE169" s="9">
        <v>0</v>
      </c>
      <c r="HF169" s="9">
        <v>0</v>
      </c>
      <c r="HG169" s="9">
        <v>0</v>
      </c>
      <c r="HH169" s="9">
        <v>0</v>
      </c>
      <c r="HI169" s="9">
        <v>0</v>
      </c>
      <c r="HJ169" s="9">
        <v>0</v>
      </c>
      <c r="HK169" s="9">
        <v>0</v>
      </c>
      <c r="HL169" s="9">
        <v>0</v>
      </c>
      <c r="HM169" s="9">
        <v>0</v>
      </c>
      <c r="HN169" s="9">
        <v>0</v>
      </c>
      <c r="HO169" s="9">
        <v>0</v>
      </c>
      <c r="HP169" s="9">
        <v>0</v>
      </c>
      <c r="HQ169" s="9">
        <v>0</v>
      </c>
      <c r="HR169" s="9">
        <v>0</v>
      </c>
      <c r="HS169" s="9">
        <v>0</v>
      </c>
      <c r="HT169" s="9">
        <v>0</v>
      </c>
      <c r="HU169" s="9">
        <v>0</v>
      </c>
      <c r="HV169" s="9">
        <v>0</v>
      </c>
      <c r="HW169" s="9">
        <v>0</v>
      </c>
      <c r="HX169" s="9">
        <v>0</v>
      </c>
      <c r="HY169" s="9">
        <v>0</v>
      </c>
      <c r="HZ169" s="9">
        <v>0</v>
      </c>
      <c r="IA169" s="9">
        <v>0</v>
      </c>
      <c r="IB169" s="9">
        <v>0</v>
      </c>
      <c r="IC169" s="9">
        <v>0</v>
      </c>
      <c r="ID169" s="9">
        <v>0</v>
      </c>
      <c r="IE169" s="9">
        <v>0</v>
      </c>
      <c r="IF169" s="9">
        <v>0</v>
      </c>
      <c r="IG169" s="9">
        <v>0</v>
      </c>
      <c r="IH169" s="9">
        <v>0</v>
      </c>
      <c r="II169" s="9">
        <v>0</v>
      </c>
      <c r="IJ169" s="9">
        <v>0</v>
      </c>
      <c r="IK169" s="9">
        <v>0</v>
      </c>
      <c r="IL169" s="9">
        <v>0</v>
      </c>
      <c r="IM169" s="9">
        <v>0</v>
      </c>
      <c r="IN169" s="9">
        <v>0</v>
      </c>
      <c r="IO169" s="9">
        <v>0</v>
      </c>
      <c r="IP169" s="9">
        <v>0</v>
      </c>
      <c r="IQ169" s="9">
        <v>0</v>
      </c>
      <c r="IR169" s="9">
        <v>0</v>
      </c>
      <c r="IS169" s="9">
        <v>0</v>
      </c>
      <c r="IT169" s="9">
        <v>0</v>
      </c>
      <c r="IU169" s="9">
        <v>0</v>
      </c>
      <c r="IV169" s="9">
        <v>0</v>
      </c>
      <c r="IW169" s="9">
        <v>0</v>
      </c>
      <c r="IX169" s="9">
        <v>0</v>
      </c>
      <c r="IY169" s="9">
        <v>0</v>
      </c>
      <c r="IZ169" s="9">
        <v>0</v>
      </c>
      <c r="JA169" s="9">
        <v>0</v>
      </c>
      <c r="JB169" s="9">
        <v>0</v>
      </c>
      <c r="JC169" s="9">
        <v>0</v>
      </c>
      <c r="JD169" s="9">
        <v>0</v>
      </c>
      <c r="JE169" s="9">
        <v>0</v>
      </c>
      <c r="JF169" s="9">
        <v>0</v>
      </c>
      <c r="JG169" s="9">
        <v>0</v>
      </c>
      <c r="JH169" s="9">
        <v>0</v>
      </c>
      <c r="JI169" s="9">
        <v>0</v>
      </c>
      <c r="JJ169" s="9">
        <v>0</v>
      </c>
      <c r="JK169" s="9">
        <v>0</v>
      </c>
      <c r="JL169" s="9">
        <v>0</v>
      </c>
      <c r="JM169" s="9">
        <v>0</v>
      </c>
      <c r="JN169" s="9">
        <v>36832</v>
      </c>
      <c r="JO169" s="9">
        <v>0</v>
      </c>
      <c r="JP169" s="9">
        <v>0</v>
      </c>
      <c r="JQ169" s="9">
        <v>0</v>
      </c>
      <c r="JR169" s="9">
        <v>0</v>
      </c>
      <c r="JS169" s="9">
        <v>0</v>
      </c>
      <c r="JT169" s="9">
        <v>0</v>
      </c>
      <c r="JU169" s="9">
        <v>0</v>
      </c>
      <c r="JV169" s="9">
        <v>0</v>
      </c>
      <c r="JW169" s="9">
        <v>0</v>
      </c>
      <c r="JX169" s="9">
        <v>0</v>
      </c>
      <c r="JY169" s="9">
        <v>0</v>
      </c>
      <c r="JZ169" s="9">
        <v>0</v>
      </c>
      <c r="KA169" s="9">
        <v>0</v>
      </c>
      <c r="KB169" s="9">
        <v>0</v>
      </c>
      <c r="KC169" s="9">
        <v>0</v>
      </c>
      <c r="KD169" s="9">
        <v>0</v>
      </c>
      <c r="KE169" s="9">
        <v>0</v>
      </c>
      <c r="KF169" s="9">
        <v>0</v>
      </c>
      <c r="KG169" s="9">
        <v>0</v>
      </c>
      <c r="KH169" s="9">
        <v>0</v>
      </c>
      <c r="KI169" s="9">
        <v>0</v>
      </c>
    </row>
    <row r="170" spans="1:295" ht="13" x14ac:dyDescent="0.3">
      <c r="A170" s="9">
        <v>220820</v>
      </c>
      <c r="B170" s="9">
        <v>0</v>
      </c>
      <c r="C170" s="9">
        <v>0</v>
      </c>
      <c r="D170" s="9">
        <v>0</v>
      </c>
      <c r="E170" s="9">
        <v>0</v>
      </c>
      <c r="F170" s="9">
        <v>0</v>
      </c>
      <c r="G170" s="9">
        <v>0</v>
      </c>
      <c r="H170" s="9">
        <v>0</v>
      </c>
      <c r="I170" s="9">
        <v>0</v>
      </c>
      <c r="J170" s="9">
        <v>0</v>
      </c>
      <c r="K170" s="9">
        <v>0</v>
      </c>
      <c r="L170" s="9">
        <v>0</v>
      </c>
      <c r="M170" s="9">
        <v>0</v>
      </c>
      <c r="N170" s="9">
        <v>0</v>
      </c>
      <c r="O170" s="9">
        <v>0</v>
      </c>
      <c r="P170" s="9">
        <v>0</v>
      </c>
      <c r="Q170" s="9">
        <v>0</v>
      </c>
      <c r="R170" s="10">
        <v>0</v>
      </c>
      <c r="S170" s="9">
        <v>0</v>
      </c>
      <c r="T170" s="9">
        <v>0</v>
      </c>
      <c r="U170" s="10">
        <v>0</v>
      </c>
      <c r="V170" s="10">
        <v>0</v>
      </c>
      <c r="W170" s="10">
        <v>0</v>
      </c>
      <c r="X170" s="10">
        <v>0</v>
      </c>
      <c r="Y170" s="9">
        <v>0</v>
      </c>
      <c r="Z170" s="9">
        <v>0</v>
      </c>
      <c r="AA170" s="9">
        <v>0</v>
      </c>
      <c r="AB170" s="9">
        <v>0</v>
      </c>
      <c r="AC170" s="9">
        <v>0</v>
      </c>
      <c r="AD170" s="9">
        <v>0</v>
      </c>
      <c r="AE170" s="9">
        <v>0</v>
      </c>
      <c r="AF170" s="9">
        <v>0</v>
      </c>
      <c r="AG170" s="9">
        <v>0</v>
      </c>
      <c r="AH170" s="9">
        <v>0</v>
      </c>
      <c r="AI170" s="9">
        <v>0</v>
      </c>
      <c r="AJ170" s="9">
        <v>0</v>
      </c>
      <c r="AK170" s="9">
        <v>0</v>
      </c>
      <c r="AL170" s="9">
        <v>0</v>
      </c>
      <c r="AM170" s="9">
        <v>0</v>
      </c>
      <c r="AN170" s="9">
        <v>0</v>
      </c>
      <c r="AO170" s="9">
        <v>0</v>
      </c>
      <c r="AP170" s="9">
        <v>0</v>
      </c>
      <c r="AQ170" s="9">
        <v>0</v>
      </c>
      <c r="AR170" s="9">
        <v>0</v>
      </c>
      <c r="AS170" s="9">
        <v>0</v>
      </c>
      <c r="AT170" s="9">
        <v>0</v>
      </c>
      <c r="AU170" s="9">
        <v>0</v>
      </c>
      <c r="AV170" s="9">
        <v>0</v>
      </c>
      <c r="AW170" s="9">
        <v>0</v>
      </c>
      <c r="AX170" s="9">
        <v>0</v>
      </c>
      <c r="AY170" s="9">
        <v>0</v>
      </c>
      <c r="AZ170" s="9">
        <v>0</v>
      </c>
      <c r="BA170" s="10">
        <v>0</v>
      </c>
      <c r="BB170" s="9">
        <v>0</v>
      </c>
      <c r="BC170" s="9">
        <v>0</v>
      </c>
      <c r="BD170" s="9">
        <v>0</v>
      </c>
      <c r="BE170" s="9">
        <v>0</v>
      </c>
      <c r="BF170" s="9">
        <v>0</v>
      </c>
      <c r="BG170" s="9">
        <v>0</v>
      </c>
      <c r="BH170" s="10">
        <v>0</v>
      </c>
      <c r="BI170" s="10">
        <v>0</v>
      </c>
      <c r="BJ170" s="9">
        <v>0</v>
      </c>
      <c r="BK170" s="9">
        <v>0</v>
      </c>
      <c r="BL170" s="9">
        <v>0</v>
      </c>
      <c r="BM170" s="9">
        <v>0</v>
      </c>
      <c r="BN170" s="9">
        <v>0</v>
      </c>
      <c r="BO170" s="9">
        <v>0</v>
      </c>
      <c r="BP170" s="9">
        <v>0</v>
      </c>
      <c r="BQ170" s="9">
        <v>0</v>
      </c>
      <c r="BR170" s="9">
        <v>0</v>
      </c>
      <c r="BS170" s="9">
        <v>0</v>
      </c>
      <c r="BT170" s="9">
        <v>0</v>
      </c>
      <c r="BU170" s="9">
        <v>0</v>
      </c>
      <c r="BV170" s="9">
        <v>0</v>
      </c>
      <c r="BW170" s="9">
        <v>0</v>
      </c>
      <c r="BX170" s="9">
        <v>0</v>
      </c>
      <c r="BY170" s="9">
        <v>0</v>
      </c>
      <c r="BZ170" s="9">
        <v>0</v>
      </c>
      <c r="CA170" s="9">
        <v>0</v>
      </c>
      <c r="CB170" s="9">
        <v>0</v>
      </c>
      <c r="CC170" s="9">
        <v>0</v>
      </c>
      <c r="CD170" s="9">
        <v>0</v>
      </c>
      <c r="CE170" s="9">
        <v>0</v>
      </c>
      <c r="CF170" s="9">
        <v>0</v>
      </c>
      <c r="CG170" s="9">
        <v>0</v>
      </c>
      <c r="CH170" s="10">
        <v>0</v>
      </c>
      <c r="CI170" s="9">
        <v>0</v>
      </c>
      <c r="CJ170" s="9">
        <v>0</v>
      </c>
      <c r="CK170" s="9">
        <v>0</v>
      </c>
      <c r="CL170" s="9">
        <v>0</v>
      </c>
      <c r="CM170" s="9">
        <v>0</v>
      </c>
      <c r="CN170" s="9">
        <v>0</v>
      </c>
      <c r="CO170" s="9">
        <v>0</v>
      </c>
      <c r="CP170" s="9">
        <v>0</v>
      </c>
      <c r="CQ170" s="9">
        <v>0</v>
      </c>
      <c r="CR170" s="9">
        <v>0</v>
      </c>
      <c r="CS170" s="9">
        <v>0</v>
      </c>
      <c r="CT170" s="9">
        <v>0</v>
      </c>
      <c r="CU170" s="9">
        <v>0</v>
      </c>
      <c r="CV170" s="9">
        <v>0</v>
      </c>
      <c r="CW170" s="9">
        <v>0</v>
      </c>
      <c r="CX170" s="9">
        <v>0</v>
      </c>
      <c r="CY170" s="9">
        <v>0</v>
      </c>
      <c r="CZ170" s="9">
        <v>0</v>
      </c>
      <c r="DA170" s="9">
        <v>0</v>
      </c>
      <c r="DB170" s="9">
        <v>0</v>
      </c>
      <c r="DC170" s="9">
        <v>0</v>
      </c>
      <c r="DD170" s="9">
        <v>0</v>
      </c>
      <c r="DE170" s="9">
        <v>0</v>
      </c>
      <c r="DF170" s="9">
        <v>0</v>
      </c>
      <c r="DG170" s="9">
        <v>0</v>
      </c>
      <c r="DH170" s="9">
        <v>0</v>
      </c>
      <c r="DI170" s="9">
        <v>0</v>
      </c>
      <c r="DJ170" s="9">
        <v>0</v>
      </c>
      <c r="DK170" s="9">
        <v>0</v>
      </c>
      <c r="DL170" s="9">
        <v>0</v>
      </c>
      <c r="DM170" s="9">
        <v>0</v>
      </c>
      <c r="DN170" s="9">
        <v>0</v>
      </c>
      <c r="DO170" s="9">
        <v>0</v>
      </c>
      <c r="DP170" s="9">
        <v>0</v>
      </c>
      <c r="DQ170" s="9">
        <v>0</v>
      </c>
      <c r="DR170" s="9">
        <v>0</v>
      </c>
      <c r="DS170" s="9">
        <v>0</v>
      </c>
      <c r="DT170" s="9">
        <v>0</v>
      </c>
      <c r="DU170" s="9">
        <v>0</v>
      </c>
      <c r="DV170" s="9">
        <v>0</v>
      </c>
      <c r="DW170" s="9">
        <v>0</v>
      </c>
      <c r="DX170" s="9">
        <v>0</v>
      </c>
      <c r="DY170" s="9">
        <v>0</v>
      </c>
      <c r="DZ170" s="9">
        <v>0</v>
      </c>
      <c r="EA170" s="9">
        <v>0</v>
      </c>
      <c r="EB170" s="9">
        <v>0</v>
      </c>
      <c r="EC170" s="9">
        <v>0</v>
      </c>
      <c r="ED170" s="9">
        <v>0</v>
      </c>
      <c r="EE170" s="9">
        <v>0</v>
      </c>
      <c r="EF170" s="9">
        <v>0</v>
      </c>
      <c r="EG170" s="9">
        <v>0</v>
      </c>
      <c r="EH170" s="9">
        <v>0</v>
      </c>
      <c r="EI170" s="9">
        <v>0</v>
      </c>
      <c r="EJ170" s="9">
        <v>0</v>
      </c>
      <c r="EK170" s="9">
        <v>0</v>
      </c>
      <c r="EL170" s="9">
        <v>0</v>
      </c>
      <c r="EM170" s="9">
        <v>0</v>
      </c>
      <c r="EN170" s="9">
        <v>0</v>
      </c>
      <c r="EO170" s="9">
        <v>0</v>
      </c>
      <c r="EP170" s="9">
        <v>0</v>
      </c>
      <c r="EQ170" s="9">
        <v>0</v>
      </c>
      <c r="ER170" s="9">
        <v>0</v>
      </c>
      <c r="ES170" s="9">
        <v>0</v>
      </c>
      <c r="ET170" s="10">
        <v>0</v>
      </c>
      <c r="EU170" s="9">
        <v>0</v>
      </c>
      <c r="EV170" s="9">
        <v>0</v>
      </c>
      <c r="EW170" s="9">
        <v>0</v>
      </c>
      <c r="EX170" s="9">
        <v>0</v>
      </c>
      <c r="EY170" s="9">
        <v>0</v>
      </c>
      <c r="EZ170" s="9">
        <v>0</v>
      </c>
      <c r="FA170" s="9">
        <v>0</v>
      </c>
      <c r="FB170" s="10">
        <v>0</v>
      </c>
      <c r="FC170" s="9">
        <v>0</v>
      </c>
      <c r="FD170" s="9">
        <v>0</v>
      </c>
      <c r="FE170" s="9">
        <v>0</v>
      </c>
      <c r="FF170" s="9">
        <v>0</v>
      </c>
      <c r="FG170" s="9">
        <v>0</v>
      </c>
      <c r="FH170" s="9">
        <v>0</v>
      </c>
      <c r="FI170" s="9">
        <v>0</v>
      </c>
      <c r="FJ170" s="9">
        <v>0</v>
      </c>
      <c r="FK170" s="9">
        <v>0</v>
      </c>
      <c r="FL170" s="9">
        <v>0</v>
      </c>
      <c r="FM170" s="9">
        <v>0</v>
      </c>
      <c r="FN170" s="9">
        <v>0</v>
      </c>
      <c r="FO170" s="9">
        <v>0</v>
      </c>
      <c r="FP170" s="9">
        <v>0</v>
      </c>
      <c r="FQ170" s="9">
        <v>0</v>
      </c>
      <c r="FR170" s="9">
        <v>0</v>
      </c>
      <c r="FS170" s="9">
        <v>0</v>
      </c>
      <c r="FT170" s="9">
        <v>0</v>
      </c>
      <c r="FU170" s="9">
        <v>0</v>
      </c>
      <c r="FV170" s="9">
        <v>0</v>
      </c>
      <c r="FW170" s="9">
        <v>0</v>
      </c>
      <c r="FX170" s="9">
        <v>0</v>
      </c>
      <c r="FY170" s="9">
        <v>0</v>
      </c>
      <c r="FZ170" s="9">
        <v>0</v>
      </c>
      <c r="GA170" s="9">
        <v>0</v>
      </c>
      <c r="GB170" s="10">
        <v>0</v>
      </c>
      <c r="GC170" s="10">
        <v>0</v>
      </c>
      <c r="GD170" s="10">
        <v>0</v>
      </c>
      <c r="GE170" s="9">
        <v>0</v>
      </c>
      <c r="GF170" s="9">
        <v>0</v>
      </c>
      <c r="GG170" s="9">
        <v>0</v>
      </c>
      <c r="GH170" s="9">
        <v>0</v>
      </c>
      <c r="GI170" s="9">
        <v>0</v>
      </c>
      <c r="GJ170" s="9">
        <v>0</v>
      </c>
      <c r="GK170" s="9">
        <v>0</v>
      </c>
      <c r="GL170" s="9">
        <v>0</v>
      </c>
      <c r="GM170" s="9">
        <v>0</v>
      </c>
      <c r="GN170" s="9">
        <v>0</v>
      </c>
      <c r="GO170" s="9">
        <v>0</v>
      </c>
      <c r="GP170" s="9">
        <v>0</v>
      </c>
      <c r="GQ170" s="9">
        <v>0</v>
      </c>
      <c r="GR170" s="9">
        <v>0</v>
      </c>
      <c r="GS170" s="9">
        <v>0</v>
      </c>
      <c r="GT170" s="9">
        <v>0</v>
      </c>
      <c r="GU170" s="9">
        <v>0</v>
      </c>
      <c r="GV170" s="9">
        <v>0</v>
      </c>
      <c r="GW170" s="9">
        <v>0</v>
      </c>
      <c r="GX170" s="9">
        <v>0</v>
      </c>
      <c r="GY170" s="9">
        <v>0</v>
      </c>
      <c r="GZ170" s="9">
        <v>0</v>
      </c>
      <c r="HA170" s="9">
        <v>0</v>
      </c>
      <c r="HB170" s="9">
        <v>0</v>
      </c>
      <c r="HC170" s="9">
        <v>0</v>
      </c>
      <c r="HD170" s="10">
        <v>0</v>
      </c>
      <c r="HE170" s="9">
        <v>0</v>
      </c>
      <c r="HF170" s="9">
        <v>0</v>
      </c>
      <c r="HG170" s="9">
        <v>0</v>
      </c>
      <c r="HH170" s="9">
        <v>0</v>
      </c>
      <c r="HI170" s="9">
        <v>0</v>
      </c>
      <c r="HJ170" s="9">
        <v>0</v>
      </c>
      <c r="HK170" s="9">
        <v>0</v>
      </c>
      <c r="HL170" s="9">
        <v>0</v>
      </c>
      <c r="HM170" s="9">
        <v>0</v>
      </c>
      <c r="HN170" s="9">
        <v>0</v>
      </c>
      <c r="HO170" s="9">
        <v>0</v>
      </c>
      <c r="HP170" s="9">
        <v>0</v>
      </c>
      <c r="HQ170" s="9">
        <v>0</v>
      </c>
      <c r="HR170" s="9">
        <v>0</v>
      </c>
      <c r="HS170" s="9">
        <v>0</v>
      </c>
      <c r="HT170" s="9">
        <v>0</v>
      </c>
      <c r="HU170" s="9">
        <v>0</v>
      </c>
      <c r="HV170" s="9">
        <v>0</v>
      </c>
      <c r="HW170" s="9">
        <v>0</v>
      </c>
      <c r="HX170" s="9">
        <v>0</v>
      </c>
      <c r="HY170" s="9">
        <v>0</v>
      </c>
      <c r="HZ170" s="9">
        <v>0</v>
      </c>
      <c r="IA170" s="9">
        <v>0</v>
      </c>
      <c r="IB170" s="9">
        <v>0</v>
      </c>
      <c r="IC170" s="9">
        <v>0</v>
      </c>
      <c r="ID170" s="9">
        <v>0</v>
      </c>
      <c r="IE170" s="9">
        <v>0</v>
      </c>
      <c r="IF170" s="9">
        <v>0</v>
      </c>
      <c r="IG170" s="9">
        <v>0</v>
      </c>
      <c r="IH170" s="9">
        <v>0</v>
      </c>
      <c r="II170" s="9">
        <v>0</v>
      </c>
      <c r="IJ170" s="9">
        <v>0</v>
      </c>
      <c r="IK170" s="9">
        <v>0</v>
      </c>
      <c r="IL170" s="9">
        <v>0</v>
      </c>
      <c r="IM170" s="9">
        <v>0</v>
      </c>
      <c r="IN170" s="9">
        <v>0</v>
      </c>
      <c r="IO170" s="9">
        <v>0</v>
      </c>
      <c r="IP170" s="9">
        <v>0</v>
      </c>
      <c r="IQ170" s="9">
        <v>0</v>
      </c>
      <c r="IR170" s="9">
        <v>0</v>
      </c>
      <c r="IS170" s="9">
        <v>0</v>
      </c>
      <c r="IT170" s="9">
        <v>0</v>
      </c>
      <c r="IU170" s="9">
        <v>0</v>
      </c>
      <c r="IV170" s="9">
        <v>0</v>
      </c>
      <c r="IW170" s="9">
        <v>0</v>
      </c>
      <c r="IX170" s="9">
        <v>0</v>
      </c>
      <c r="IY170" s="9">
        <v>0</v>
      </c>
      <c r="IZ170" s="9">
        <v>0</v>
      </c>
      <c r="JA170" s="9">
        <v>0</v>
      </c>
      <c r="JB170" s="9">
        <v>0</v>
      </c>
      <c r="JC170" s="9">
        <v>0</v>
      </c>
      <c r="JD170" s="9">
        <v>0</v>
      </c>
      <c r="JE170" s="9">
        <v>0</v>
      </c>
      <c r="JF170" s="9">
        <v>0</v>
      </c>
      <c r="JG170" s="9">
        <v>0</v>
      </c>
      <c r="JH170" s="9">
        <v>0</v>
      </c>
      <c r="JI170" s="9">
        <v>0</v>
      </c>
      <c r="JJ170" s="9">
        <v>0</v>
      </c>
      <c r="JK170" s="9">
        <v>0</v>
      </c>
      <c r="JL170" s="9">
        <v>0</v>
      </c>
      <c r="JM170" s="9">
        <v>0</v>
      </c>
      <c r="JN170" s="9">
        <v>0</v>
      </c>
      <c r="JO170" s="9">
        <v>0</v>
      </c>
      <c r="JP170" s="9">
        <v>0</v>
      </c>
      <c r="JQ170" s="9">
        <v>0</v>
      </c>
      <c r="JR170" s="9">
        <v>0</v>
      </c>
      <c r="JS170" s="9">
        <v>0</v>
      </c>
      <c r="JT170" s="9">
        <v>0</v>
      </c>
      <c r="JU170" s="9">
        <v>0</v>
      </c>
      <c r="JV170" s="9">
        <v>0</v>
      </c>
      <c r="JW170" s="9">
        <v>0</v>
      </c>
      <c r="JX170" s="9">
        <v>0</v>
      </c>
      <c r="JY170" s="9">
        <v>0</v>
      </c>
      <c r="JZ170" s="9">
        <v>0</v>
      </c>
      <c r="KA170" s="9">
        <v>0</v>
      </c>
      <c r="KB170" s="9">
        <v>0</v>
      </c>
      <c r="KC170" s="9">
        <v>0</v>
      </c>
      <c r="KD170" s="9">
        <v>0</v>
      </c>
      <c r="KE170" s="9">
        <v>0</v>
      </c>
      <c r="KF170" s="9">
        <v>0</v>
      </c>
      <c r="KG170" s="9">
        <v>0</v>
      </c>
      <c r="KH170" s="9">
        <v>0</v>
      </c>
      <c r="KI170" s="9">
        <v>0</v>
      </c>
    </row>
    <row r="171" spans="1:295" x14ac:dyDescent="0.25">
      <c r="A171" s="9">
        <v>221801</v>
      </c>
      <c r="B171" s="9">
        <v>36871</v>
      </c>
      <c r="C171" s="9">
        <v>35</v>
      </c>
      <c r="D171" s="9">
        <v>2023</v>
      </c>
      <c r="E171" s="9">
        <v>5392</v>
      </c>
      <c r="F171" s="9">
        <v>0</v>
      </c>
      <c r="G171" s="9">
        <v>0</v>
      </c>
      <c r="H171" s="9">
        <v>14790.402</v>
      </c>
      <c r="I171" s="9">
        <v>14790.402</v>
      </c>
      <c r="J171" s="9">
        <v>15110.99</v>
      </c>
      <c r="K171" s="9">
        <v>0</v>
      </c>
      <c r="L171" s="9">
        <v>6547</v>
      </c>
      <c r="M171" s="9">
        <v>0</v>
      </c>
      <c r="N171" s="9">
        <v>0</v>
      </c>
      <c r="O171" s="9">
        <v>0</v>
      </c>
      <c r="P171" s="9">
        <v>12489.932000000001</v>
      </c>
      <c r="Q171" s="9">
        <v>0</v>
      </c>
      <c r="R171" s="9">
        <v>6081623</v>
      </c>
      <c r="S171" s="9">
        <v>486.92200000000003</v>
      </c>
      <c r="T171" s="9">
        <v>0</v>
      </c>
      <c r="U171" s="9">
        <v>6081623</v>
      </c>
      <c r="V171" s="9">
        <v>1329.183</v>
      </c>
      <c r="W171" s="9">
        <v>870216</v>
      </c>
      <c r="X171" s="9">
        <v>870216</v>
      </c>
      <c r="Y171" s="9">
        <v>0</v>
      </c>
      <c r="Z171" s="9">
        <v>0</v>
      </c>
      <c r="AA171" s="9">
        <v>1</v>
      </c>
      <c r="AB171" s="9">
        <v>1</v>
      </c>
      <c r="AC171" s="9">
        <v>0</v>
      </c>
      <c r="AD171" s="9" t="s">
        <v>314</v>
      </c>
      <c r="AE171" s="9">
        <v>0</v>
      </c>
      <c r="AF171" s="9">
        <v>0</v>
      </c>
      <c r="AG171" s="9">
        <v>0</v>
      </c>
      <c r="AH171" s="9">
        <v>0</v>
      </c>
      <c r="AI171" s="9">
        <v>0</v>
      </c>
      <c r="AJ171" s="9">
        <v>5104</v>
      </c>
      <c r="AK171" s="9" t="s">
        <v>651</v>
      </c>
      <c r="AL171" s="9" t="s">
        <v>363</v>
      </c>
      <c r="AM171" s="9">
        <v>0</v>
      </c>
      <c r="AN171" s="9">
        <v>0</v>
      </c>
      <c r="AO171" s="9">
        <v>0</v>
      </c>
      <c r="AP171" s="9">
        <v>0</v>
      </c>
      <c r="AQ171" s="9">
        <v>0</v>
      </c>
      <c r="AR171" s="9">
        <v>0</v>
      </c>
      <c r="AS171" s="9">
        <v>0</v>
      </c>
      <c r="AT171" s="9">
        <v>0</v>
      </c>
      <c r="AU171" s="9">
        <v>0</v>
      </c>
      <c r="AV171" s="9">
        <v>1301011</v>
      </c>
      <c r="AW171" s="9">
        <v>131596830</v>
      </c>
      <c r="AX171" s="9">
        <v>127334781</v>
      </c>
      <c r="AY171" s="9">
        <v>140979318</v>
      </c>
      <c r="AZ171" s="9">
        <v>7361697</v>
      </c>
      <c r="BA171" s="9">
        <v>557.83299999999997</v>
      </c>
      <c r="BB171" s="9">
        <v>0</v>
      </c>
      <c r="BC171" s="9">
        <v>0</v>
      </c>
      <c r="BD171" s="9">
        <v>0</v>
      </c>
      <c r="BE171" s="9">
        <v>0</v>
      </c>
      <c r="BF171" s="9">
        <v>109798133</v>
      </c>
      <c r="BG171" s="9">
        <v>0</v>
      </c>
      <c r="BH171" s="9">
        <v>2959.0630000000001</v>
      </c>
      <c r="BI171" s="9">
        <v>813742</v>
      </c>
      <c r="BJ171" s="9">
        <v>12</v>
      </c>
      <c r="BK171" s="9">
        <v>0</v>
      </c>
      <c r="BL171" s="9">
        <v>0</v>
      </c>
      <c r="BM171" s="9">
        <v>0</v>
      </c>
      <c r="BN171" s="9">
        <v>0</v>
      </c>
      <c r="BO171" s="9">
        <v>0</v>
      </c>
      <c r="BP171" s="9">
        <v>0</v>
      </c>
      <c r="BQ171" s="9">
        <v>5392</v>
      </c>
      <c r="BR171" s="9">
        <v>1</v>
      </c>
      <c r="BS171" s="9">
        <v>0</v>
      </c>
      <c r="BT171" s="9">
        <v>0</v>
      </c>
      <c r="BU171" s="9">
        <v>0</v>
      </c>
      <c r="BV171" s="9">
        <v>0</v>
      </c>
      <c r="BW171" s="9">
        <v>0</v>
      </c>
      <c r="BX171" s="9">
        <v>0</v>
      </c>
      <c r="BY171" s="9">
        <v>0</v>
      </c>
      <c r="BZ171" s="9">
        <v>0</v>
      </c>
      <c r="CA171" s="9">
        <v>466.33200000000005</v>
      </c>
      <c r="CB171" s="9">
        <v>466332</v>
      </c>
      <c r="CC171" s="9">
        <v>0</v>
      </c>
      <c r="CD171" s="9">
        <v>0</v>
      </c>
      <c r="CE171" s="9">
        <v>0</v>
      </c>
      <c r="CF171" s="9">
        <v>0</v>
      </c>
      <c r="CG171" s="9">
        <v>0</v>
      </c>
      <c r="CH171" s="9">
        <v>2981975</v>
      </c>
      <c r="CI171" s="9">
        <v>0</v>
      </c>
      <c r="CJ171" s="9">
        <v>4</v>
      </c>
      <c r="CK171" s="9">
        <v>0</v>
      </c>
      <c r="CL171" s="9">
        <v>0</v>
      </c>
      <c r="CM171" s="9">
        <v>0</v>
      </c>
      <c r="CN171" s="9">
        <v>0</v>
      </c>
      <c r="CO171" s="9">
        <v>0</v>
      </c>
      <c r="CP171" s="9">
        <v>0</v>
      </c>
      <c r="CQ171" s="9">
        <v>156.75</v>
      </c>
      <c r="CR171" s="9">
        <v>12682.02</v>
      </c>
      <c r="CS171" s="9">
        <v>0</v>
      </c>
      <c r="CT171" s="9">
        <v>0</v>
      </c>
      <c r="CU171" s="9">
        <v>0</v>
      </c>
      <c r="CV171" s="9">
        <v>0</v>
      </c>
      <c r="CW171" s="9">
        <v>0</v>
      </c>
      <c r="CX171" s="9">
        <v>0</v>
      </c>
      <c r="CY171" s="9">
        <v>0</v>
      </c>
      <c r="CZ171" s="9">
        <v>0</v>
      </c>
      <c r="DA171" s="9">
        <v>1</v>
      </c>
      <c r="DB171" s="9">
        <v>96832762</v>
      </c>
      <c r="DC171" s="9">
        <v>0</v>
      </c>
      <c r="DD171" s="9">
        <v>0</v>
      </c>
      <c r="DE171" s="9">
        <v>6602217</v>
      </c>
      <c r="DF171" s="9">
        <v>6602217</v>
      </c>
      <c r="DG171" s="9">
        <v>5042.17</v>
      </c>
      <c r="DH171" s="9">
        <v>0</v>
      </c>
      <c r="DI171" s="9">
        <v>0</v>
      </c>
      <c r="DJ171" s="9">
        <v>0</v>
      </c>
      <c r="DK171" s="9">
        <v>5392</v>
      </c>
      <c r="DL171" s="9">
        <v>0</v>
      </c>
      <c r="DM171" s="9">
        <v>7843077</v>
      </c>
      <c r="DN171" s="9">
        <v>0</v>
      </c>
      <c r="DO171" s="9">
        <v>663</v>
      </c>
      <c r="DP171" s="9">
        <v>0</v>
      </c>
      <c r="DQ171" s="9">
        <v>0</v>
      </c>
      <c r="DR171" s="9">
        <v>0</v>
      </c>
      <c r="DS171" s="9">
        <v>0</v>
      </c>
      <c r="DT171" s="9">
        <v>0</v>
      </c>
      <c r="DU171" s="9">
        <v>0</v>
      </c>
      <c r="DV171" s="9">
        <v>4.5000000000000005E-2</v>
      </c>
      <c r="DW171" s="9">
        <v>0</v>
      </c>
      <c r="DX171" s="9">
        <v>0</v>
      </c>
      <c r="DY171" s="9">
        <v>0</v>
      </c>
      <c r="DZ171" s="9">
        <v>0.13500000000000001</v>
      </c>
      <c r="EA171" s="9">
        <v>0</v>
      </c>
      <c r="EB171" s="9">
        <v>0</v>
      </c>
      <c r="EC171" s="9">
        <v>401.03800000000001</v>
      </c>
      <c r="ED171" s="9">
        <v>2888155</v>
      </c>
      <c r="EE171" s="9">
        <v>0</v>
      </c>
      <c r="EF171" s="9">
        <v>0</v>
      </c>
      <c r="EG171" s="9">
        <v>0</v>
      </c>
      <c r="EH171" s="9">
        <v>4954259</v>
      </c>
      <c r="EI171" s="9">
        <v>0</v>
      </c>
      <c r="EJ171" s="9">
        <v>0</v>
      </c>
      <c r="EK171" s="9">
        <v>212.64100000000002</v>
      </c>
      <c r="EL171" s="9">
        <v>0</v>
      </c>
      <c r="EM171" s="9">
        <v>22.198</v>
      </c>
      <c r="EN171" s="9">
        <v>10.441000000000001</v>
      </c>
      <c r="EO171" s="9">
        <v>0</v>
      </c>
      <c r="EP171" s="9">
        <v>0</v>
      </c>
      <c r="EQ171" s="9">
        <v>245.28</v>
      </c>
      <c r="ER171" s="9">
        <v>0</v>
      </c>
      <c r="ES171" s="9">
        <v>756.72199999999998</v>
      </c>
      <c r="ET171" s="9">
        <v>318104</v>
      </c>
      <c r="EU171" s="9">
        <v>7361697</v>
      </c>
      <c r="EV171" s="9">
        <v>0</v>
      </c>
      <c r="EW171" s="9">
        <v>0</v>
      </c>
      <c r="EX171" s="9">
        <v>0</v>
      </c>
      <c r="EY171" s="9">
        <v>0</v>
      </c>
      <c r="EZ171" s="9">
        <v>106732255</v>
      </c>
      <c r="FA171" s="9">
        <v>0</v>
      </c>
      <c r="FB171" s="9">
        <v>114093952</v>
      </c>
      <c r="FC171" s="9">
        <v>0.97326799999999991</v>
      </c>
      <c r="FD171" s="9">
        <v>0</v>
      </c>
      <c r="FE171" s="9">
        <v>16985477</v>
      </c>
      <c r="FF171" s="9">
        <v>3617049</v>
      </c>
      <c r="FG171" s="9">
        <v>5.8088000000000001E-2</v>
      </c>
      <c r="FH171" s="9">
        <v>5.2622999999999996E-2</v>
      </c>
      <c r="FI171" s="9">
        <v>0</v>
      </c>
      <c r="FJ171" s="9">
        <v>0</v>
      </c>
      <c r="FK171" s="9">
        <v>21513.346000000001</v>
      </c>
      <c r="FL171" s="9">
        <v>137678453</v>
      </c>
      <c r="FM171" s="9">
        <v>0</v>
      </c>
      <c r="FN171" s="9">
        <v>0</v>
      </c>
      <c r="FO171" s="9">
        <v>0</v>
      </c>
      <c r="FP171" s="9">
        <v>0</v>
      </c>
      <c r="FQ171" s="9">
        <v>0</v>
      </c>
      <c r="FR171" s="9">
        <v>0</v>
      </c>
      <c r="FS171" s="9">
        <v>0</v>
      </c>
      <c r="FT171" s="9">
        <v>0</v>
      </c>
      <c r="FU171" s="9">
        <v>0</v>
      </c>
      <c r="FV171" s="9">
        <v>0</v>
      </c>
      <c r="FW171" s="9">
        <v>0</v>
      </c>
      <c r="FX171" s="9">
        <v>0</v>
      </c>
      <c r="FY171" s="9">
        <v>0</v>
      </c>
      <c r="FZ171" s="9">
        <v>0</v>
      </c>
      <c r="GA171" s="9">
        <v>0</v>
      </c>
      <c r="GB171" s="9">
        <v>665606</v>
      </c>
      <c r="GC171" s="9">
        <v>665606</v>
      </c>
      <c r="GD171" s="9">
        <v>75.308000000000007</v>
      </c>
      <c r="GE171" s="9">
        <v>0</v>
      </c>
      <c r="GF171" s="9">
        <v>0</v>
      </c>
      <c r="GG171" s="9">
        <v>0</v>
      </c>
      <c r="GH171" s="9">
        <v>0</v>
      </c>
      <c r="GI171" s="9">
        <v>0</v>
      </c>
      <c r="GJ171" s="9">
        <v>0</v>
      </c>
      <c r="GK171" s="9">
        <v>5176</v>
      </c>
      <c r="GL171" s="9">
        <v>116386</v>
      </c>
      <c r="GM171" s="9">
        <v>0</v>
      </c>
      <c r="GN171" s="9">
        <v>45688</v>
      </c>
      <c r="GO171" s="9">
        <v>0</v>
      </c>
      <c r="GP171" s="9">
        <v>134696478</v>
      </c>
      <c r="GQ171" s="9">
        <v>134696478</v>
      </c>
      <c r="GR171" s="9">
        <v>0</v>
      </c>
      <c r="GS171" s="9">
        <v>0</v>
      </c>
      <c r="GT171" s="9">
        <v>0</v>
      </c>
      <c r="GU171" s="9">
        <v>0</v>
      </c>
      <c r="GV171" s="9">
        <v>0</v>
      </c>
      <c r="GW171" s="9">
        <v>0</v>
      </c>
      <c r="GX171" s="9">
        <v>0</v>
      </c>
      <c r="GY171" s="9">
        <v>0</v>
      </c>
      <c r="GZ171" s="9">
        <v>0</v>
      </c>
      <c r="HA171" s="9">
        <v>0</v>
      </c>
      <c r="HB171" s="9">
        <v>300501363</v>
      </c>
      <c r="HC171" s="9">
        <v>4.4742999999999998E-2</v>
      </c>
      <c r="HD171" s="9">
        <v>2663871</v>
      </c>
      <c r="HE171" s="9">
        <v>0</v>
      </c>
      <c r="HF171" s="9">
        <v>0</v>
      </c>
      <c r="HG171" s="9">
        <v>0</v>
      </c>
      <c r="HH171" s="9">
        <v>0</v>
      </c>
      <c r="HI171" s="9">
        <v>0</v>
      </c>
      <c r="HJ171" s="9">
        <v>0</v>
      </c>
      <c r="HK171" s="9">
        <v>0</v>
      </c>
      <c r="HL171" s="9">
        <v>0</v>
      </c>
      <c r="HM171" s="9">
        <v>0</v>
      </c>
      <c r="HN171" s="9">
        <v>0</v>
      </c>
      <c r="HO171" s="9">
        <v>0</v>
      </c>
      <c r="HP171" s="9">
        <v>0</v>
      </c>
      <c r="HQ171" s="9">
        <v>0</v>
      </c>
      <c r="HR171" s="9">
        <v>0</v>
      </c>
      <c r="HS171" s="9">
        <v>0</v>
      </c>
      <c r="HT171" s="9">
        <v>0</v>
      </c>
      <c r="HU171" s="9">
        <v>0</v>
      </c>
      <c r="HV171" s="9">
        <v>0</v>
      </c>
      <c r="HW171" s="9">
        <v>0</v>
      </c>
      <c r="HX171" s="9">
        <v>0</v>
      </c>
      <c r="HY171" s="9">
        <v>0</v>
      </c>
      <c r="HZ171" s="9">
        <v>0</v>
      </c>
      <c r="IA171" s="9">
        <v>0</v>
      </c>
      <c r="IB171" s="9">
        <v>0</v>
      </c>
      <c r="IC171" s="9">
        <v>0</v>
      </c>
      <c r="ID171" s="9">
        <v>0</v>
      </c>
      <c r="IE171" s="9">
        <v>0</v>
      </c>
      <c r="IF171" s="9">
        <v>0</v>
      </c>
      <c r="IG171" s="9">
        <v>0</v>
      </c>
      <c r="IH171" s="9">
        <v>0</v>
      </c>
      <c r="II171" s="9">
        <v>0</v>
      </c>
      <c r="IJ171" s="9">
        <v>0</v>
      </c>
      <c r="IK171" s="9">
        <v>0</v>
      </c>
      <c r="IL171" s="9">
        <v>0</v>
      </c>
      <c r="IM171" s="9">
        <v>0</v>
      </c>
      <c r="IN171" s="9">
        <v>0</v>
      </c>
      <c r="IO171" s="9">
        <v>0</v>
      </c>
      <c r="IP171" s="9">
        <v>0</v>
      </c>
      <c r="IQ171" s="9">
        <v>0</v>
      </c>
      <c r="IR171" s="9">
        <v>0</v>
      </c>
      <c r="IS171" s="9">
        <v>0</v>
      </c>
      <c r="IT171" s="9">
        <v>0</v>
      </c>
      <c r="IU171" s="9">
        <v>0</v>
      </c>
      <c r="IV171" s="9">
        <v>0</v>
      </c>
      <c r="IW171" s="9">
        <v>0</v>
      </c>
      <c r="IX171" s="9">
        <v>0</v>
      </c>
      <c r="IY171" s="9">
        <v>0</v>
      </c>
      <c r="IZ171" s="9">
        <v>0</v>
      </c>
      <c r="JA171" s="9">
        <v>0</v>
      </c>
      <c r="JB171" s="9">
        <v>0</v>
      </c>
      <c r="JC171" s="9">
        <v>0</v>
      </c>
      <c r="JD171" s="9">
        <v>0</v>
      </c>
      <c r="JE171" s="9">
        <v>0</v>
      </c>
      <c r="JF171" s="9">
        <v>0</v>
      </c>
      <c r="JG171" s="9">
        <v>0</v>
      </c>
      <c r="JH171" s="9">
        <v>0</v>
      </c>
      <c r="JI171" s="9">
        <v>0</v>
      </c>
      <c r="JJ171" s="9">
        <v>0</v>
      </c>
      <c r="JK171" s="9">
        <v>0</v>
      </c>
      <c r="JL171" s="9">
        <v>0</v>
      </c>
      <c r="JM171" s="9">
        <v>0</v>
      </c>
      <c r="JN171" s="9">
        <v>36832</v>
      </c>
      <c r="JO171" s="9">
        <v>0</v>
      </c>
      <c r="JP171" s="9">
        <v>0</v>
      </c>
      <c r="JQ171" s="9">
        <v>0</v>
      </c>
      <c r="JR171" s="9">
        <v>0</v>
      </c>
      <c r="JS171" s="9">
        <v>0</v>
      </c>
      <c r="JT171" s="9">
        <v>0</v>
      </c>
      <c r="JU171" s="9">
        <v>0</v>
      </c>
      <c r="JV171" s="9">
        <v>0</v>
      </c>
      <c r="JW171" s="9">
        <v>0</v>
      </c>
      <c r="JX171" s="9">
        <v>0</v>
      </c>
      <c r="JY171" s="9">
        <v>0</v>
      </c>
      <c r="JZ171" s="9">
        <v>0</v>
      </c>
      <c r="KA171" s="9">
        <v>0</v>
      </c>
      <c r="KB171" s="9">
        <v>0</v>
      </c>
      <c r="KC171" s="9">
        <v>0</v>
      </c>
      <c r="KD171" s="9">
        <v>0</v>
      </c>
      <c r="KE171" s="9">
        <v>0</v>
      </c>
      <c r="KF171" s="9">
        <v>0</v>
      </c>
      <c r="KG171" s="9">
        <v>0</v>
      </c>
      <c r="KH171" s="9">
        <v>0</v>
      </c>
      <c r="KI171" s="9">
        <v>0</v>
      </c>
    </row>
    <row r="172" spans="1:295" x14ac:dyDescent="0.25">
      <c r="A172" s="9">
        <v>226801</v>
      </c>
      <c r="B172" s="9">
        <v>36871</v>
      </c>
      <c r="C172" s="9">
        <v>35</v>
      </c>
      <c r="D172" s="9">
        <v>2023</v>
      </c>
      <c r="E172" s="9">
        <v>5392</v>
      </c>
      <c r="F172" s="9">
        <v>0</v>
      </c>
      <c r="G172" s="9">
        <v>0</v>
      </c>
      <c r="H172" s="9">
        <v>2727.8520000000003</v>
      </c>
      <c r="I172" s="9">
        <v>2727.8520000000003</v>
      </c>
      <c r="J172" s="9">
        <v>2880.4110000000001</v>
      </c>
      <c r="K172" s="9">
        <v>0</v>
      </c>
      <c r="L172" s="9">
        <v>6547</v>
      </c>
      <c r="M172" s="9">
        <v>0</v>
      </c>
      <c r="N172" s="9">
        <v>0</v>
      </c>
      <c r="O172" s="9">
        <v>0</v>
      </c>
      <c r="P172" s="9">
        <v>2797.7350000000001</v>
      </c>
      <c r="Q172" s="9">
        <v>0</v>
      </c>
      <c r="R172" s="9">
        <v>1362279</v>
      </c>
      <c r="S172" s="9">
        <v>486.92200000000003</v>
      </c>
      <c r="T172" s="9">
        <v>0</v>
      </c>
      <c r="U172" s="9">
        <v>1362279</v>
      </c>
      <c r="V172" s="9">
        <v>101.572</v>
      </c>
      <c r="W172" s="9">
        <v>66499</v>
      </c>
      <c r="X172" s="9">
        <v>66499</v>
      </c>
      <c r="Y172" s="9">
        <v>0</v>
      </c>
      <c r="Z172" s="9">
        <v>0</v>
      </c>
      <c r="AA172" s="9">
        <v>1</v>
      </c>
      <c r="AB172" s="9">
        <v>1</v>
      </c>
      <c r="AC172" s="9">
        <v>0</v>
      </c>
      <c r="AD172" s="9" t="s">
        <v>314</v>
      </c>
      <c r="AE172" s="9">
        <v>0</v>
      </c>
      <c r="AF172" s="9">
        <v>0</v>
      </c>
      <c r="AG172" s="9">
        <v>0</v>
      </c>
      <c r="AH172" s="9">
        <v>0</v>
      </c>
      <c r="AI172" s="9">
        <v>0</v>
      </c>
      <c r="AJ172" s="9">
        <v>5104</v>
      </c>
      <c r="AK172" s="9" t="s">
        <v>651</v>
      </c>
      <c r="AL172" s="9" t="s">
        <v>639</v>
      </c>
      <c r="AM172" s="9">
        <v>0</v>
      </c>
      <c r="AN172" s="9">
        <v>0</v>
      </c>
      <c r="AO172" s="9">
        <v>0</v>
      </c>
      <c r="AP172" s="9">
        <v>0</v>
      </c>
      <c r="AQ172" s="9">
        <v>0</v>
      </c>
      <c r="AR172" s="9">
        <v>0</v>
      </c>
      <c r="AS172" s="9">
        <v>0</v>
      </c>
      <c r="AT172" s="9">
        <v>0</v>
      </c>
      <c r="AU172" s="9">
        <v>0</v>
      </c>
      <c r="AV172" s="9">
        <v>-244447</v>
      </c>
      <c r="AW172" s="9">
        <v>25941946</v>
      </c>
      <c r="AX172" s="9">
        <v>25292534</v>
      </c>
      <c r="AY172" s="9">
        <v>25548763</v>
      </c>
      <c r="AZ172" s="9">
        <v>1503912</v>
      </c>
      <c r="BA172" s="9">
        <v>0</v>
      </c>
      <c r="BB172" s="9">
        <v>0</v>
      </c>
      <c r="BC172" s="9">
        <v>0</v>
      </c>
      <c r="BD172" s="9">
        <v>0</v>
      </c>
      <c r="BE172" s="9">
        <v>0</v>
      </c>
      <c r="BF172" s="9">
        <v>21888240</v>
      </c>
      <c r="BG172" s="9">
        <v>0</v>
      </c>
      <c r="BH172" s="9">
        <v>515.02800000000002</v>
      </c>
      <c r="BI172" s="9">
        <v>141633</v>
      </c>
      <c r="BJ172" s="9">
        <v>12</v>
      </c>
      <c r="BK172" s="9">
        <v>0</v>
      </c>
      <c r="BL172" s="9">
        <v>0</v>
      </c>
      <c r="BM172" s="9">
        <v>0</v>
      </c>
      <c r="BN172" s="9">
        <v>0</v>
      </c>
      <c r="BO172" s="9">
        <v>0</v>
      </c>
      <c r="BP172" s="9">
        <v>0</v>
      </c>
      <c r="BQ172" s="9">
        <v>5392</v>
      </c>
      <c r="BR172" s="9">
        <v>1</v>
      </c>
      <c r="BS172" s="9">
        <v>0</v>
      </c>
      <c r="BT172" s="9">
        <v>0</v>
      </c>
      <c r="BU172" s="9">
        <v>0</v>
      </c>
      <c r="BV172" s="9">
        <v>0</v>
      </c>
      <c r="BW172" s="9">
        <v>0</v>
      </c>
      <c r="BX172" s="9">
        <v>0</v>
      </c>
      <c r="BY172" s="9">
        <v>0</v>
      </c>
      <c r="BZ172" s="9">
        <v>0</v>
      </c>
      <c r="CA172" s="9">
        <v>0</v>
      </c>
      <c r="CB172" s="9">
        <v>0</v>
      </c>
      <c r="CC172" s="9">
        <v>0</v>
      </c>
      <c r="CD172" s="9">
        <v>0</v>
      </c>
      <c r="CE172" s="9">
        <v>0</v>
      </c>
      <c r="CF172" s="9">
        <v>0</v>
      </c>
      <c r="CG172" s="9">
        <v>0</v>
      </c>
      <c r="CH172" s="9">
        <v>507779</v>
      </c>
      <c r="CI172" s="9">
        <v>0</v>
      </c>
      <c r="CJ172" s="9">
        <v>4</v>
      </c>
      <c r="CK172" s="9">
        <v>0</v>
      </c>
      <c r="CL172" s="9">
        <v>0</v>
      </c>
      <c r="CM172" s="9">
        <v>0</v>
      </c>
      <c r="CN172" s="9">
        <v>0</v>
      </c>
      <c r="CO172" s="9">
        <v>0</v>
      </c>
      <c r="CP172" s="9">
        <v>0</v>
      </c>
      <c r="CQ172" s="9">
        <v>0</v>
      </c>
      <c r="CR172" s="9">
        <v>2738.9250000000002</v>
      </c>
      <c r="CS172" s="9">
        <v>0</v>
      </c>
      <c r="CT172" s="9">
        <v>0</v>
      </c>
      <c r="CU172" s="9">
        <v>0</v>
      </c>
      <c r="CV172" s="9">
        <v>0</v>
      </c>
      <c r="CW172" s="9">
        <v>0</v>
      </c>
      <c r="CX172" s="9">
        <v>0</v>
      </c>
      <c r="CY172" s="9">
        <v>0</v>
      </c>
      <c r="CZ172" s="9">
        <v>0</v>
      </c>
      <c r="DA172" s="9">
        <v>1</v>
      </c>
      <c r="DB172" s="9">
        <v>17859247</v>
      </c>
      <c r="DC172" s="9">
        <v>0</v>
      </c>
      <c r="DD172" s="9">
        <v>0</v>
      </c>
      <c r="DE172" s="9">
        <v>1904745</v>
      </c>
      <c r="DF172" s="9">
        <v>1904745</v>
      </c>
      <c r="DG172" s="9">
        <v>1454.67</v>
      </c>
      <c r="DH172" s="9">
        <v>0</v>
      </c>
      <c r="DI172" s="9">
        <v>0</v>
      </c>
      <c r="DJ172" s="9">
        <v>0</v>
      </c>
      <c r="DK172" s="9">
        <v>5392</v>
      </c>
      <c r="DL172" s="9">
        <v>0</v>
      </c>
      <c r="DM172" s="9">
        <v>1951454</v>
      </c>
      <c r="DN172" s="9">
        <v>0</v>
      </c>
      <c r="DO172" s="9">
        <v>0</v>
      </c>
      <c r="DP172" s="9">
        <v>0</v>
      </c>
      <c r="DQ172" s="9">
        <v>0</v>
      </c>
      <c r="DR172" s="9">
        <v>0</v>
      </c>
      <c r="DS172" s="9">
        <v>0</v>
      </c>
      <c r="DT172" s="9">
        <v>0</v>
      </c>
      <c r="DU172" s="9">
        <v>0</v>
      </c>
      <c r="DV172" s="9">
        <v>0</v>
      </c>
      <c r="DW172" s="9">
        <v>0</v>
      </c>
      <c r="DX172" s="9">
        <v>0</v>
      </c>
      <c r="DY172" s="9">
        <v>0</v>
      </c>
      <c r="DZ172" s="9">
        <v>0</v>
      </c>
      <c r="EA172" s="9">
        <v>0</v>
      </c>
      <c r="EB172" s="9">
        <v>0</v>
      </c>
      <c r="EC172" s="9">
        <v>61.334000000000003</v>
      </c>
      <c r="ED172" s="9">
        <v>441709</v>
      </c>
      <c r="EE172" s="9">
        <v>0</v>
      </c>
      <c r="EF172" s="9">
        <v>0</v>
      </c>
      <c r="EG172" s="9">
        <v>0</v>
      </c>
      <c r="EH172" s="9">
        <v>1371053</v>
      </c>
      <c r="EI172" s="9">
        <v>138692</v>
      </c>
      <c r="EJ172" s="9">
        <v>5.2960000000000003</v>
      </c>
      <c r="EK172" s="9">
        <v>56.596000000000004</v>
      </c>
      <c r="EL172" s="9">
        <v>0</v>
      </c>
      <c r="EM172" s="9">
        <v>6.7380000000000004</v>
      </c>
      <c r="EN172" s="9">
        <v>3.883</v>
      </c>
      <c r="EO172" s="9">
        <v>0</v>
      </c>
      <c r="EP172" s="9">
        <v>0</v>
      </c>
      <c r="EQ172" s="9">
        <v>72.513000000000005</v>
      </c>
      <c r="ER172" s="9">
        <v>0</v>
      </c>
      <c r="ES172" s="9">
        <v>209.417</v>
      </c>
      <c r="ET172" s="9">
        <v>0</v>
      </c>
      <c r="EU172" s="9">
        <v>1503912</v>
      </c>
      <c r="EV172" s="9">
        <v>0</v>
      </c>
      <c r="EW172" s="9">
        <v>0</v>
      </c>
      <c r="EX172" s="9">
        <v>0</v>
      </c>
      <c r="EY172" s="9">
        <v>0</v>
      </c>
      <c r="EZ172" s="9">
        <v>21185424</v>
      </c>
      <c r="FA172" s="9">
        <v>0</v>
      </c>
      <c r="FB172" s="9">
        <v>22689336</v>
      </c>
      <c r="FC172" s="9">
        <v>0.97326799999999991</v>
      </c>
      <c r="FD172" s="9">
        <v>0</v>
      </c>
      <c r="FE172" s="9">
        <v>3386052</v>
      </c>
      <c r="FF172" s="9">
        <v>721058</v>
      </c>
      <c r="FG172" s="9">
        <v>5.8088000000000001E-2</v>
      </c>
      <c r="FH172" s="9">
        <v>5.2622999999999996E-2</v>
      </c>
      <c r="FI172" s="9">
        <v>0</v>
      </c>
      <c r="FJ172" s="9">
        <v>0</v>
      </c>
      <c r="FK172" s="9">
        <v>4288.6819999999998</v>
      </c>
      <c r="FL172" s="9">
        <v>27304225</v>
      </c>
      <c r="FM172" s="9">
        <v>0</v>
      </c>
      <c r="FN172" s="9">
        <v>0</v>
      </c>
      <c r="FO172" s="9">
        <v>58275</v>
      </c>
      <c r="FP172" s="9">
        <v>0</v>
      </c>
      <c r="FQ172" s="9">
        <v>58275</v>
      </c>
      <c r="FR172" s="9">
        <v>58275</v>
      </c>
      <c r="FS172" s="9">
        <v>0</v>
      </c>
      <c r="FT172" s="9">
        <v>0</v>
      </c>
      <c r="FU172" s="9">
        <v>0</v>
      </c>
      <c r="FV172" s="9">
        <v>0</v>
      </c>
      <c r="FW172" s="9">
        <v>0</v>
      </c>
      <c r="FX172" s="9">
        <v>0</v>
      </c>
      <c r="FY172" s="9">
        <v>0</v>
      </c>
      <c r="FZ172" s="9">
        <v>0</v>
      </c>
      <c r="GA172" s="9">
        <v>0</v>
      </c>
      <c r="GB172" s="9">
        <v>707483</v>
      </c>
      <c r="GC172" s="9">
        <v>707483</v>
      </c>
      <c r="GD172" s="9">
        <v>80.046000000000006</v>
      </c>
      <c r="GE172" s="9">
        <v>0</v>
      </c>
      <c r="GF172" s="9">
        <v>0</v>
      </c>
      <c r="GG172" s="9">
        <v>0</v>
      </c>
      <c r="GH172" s="9">
        <v>0</v>
      </c>
      <c r="GI172" s="9">
        <v>0</v>
      </c>
      <c r="GJ172" s="9">
        <v>0</v>
      </c>
      <c r="GK172" s="9">
        <v>4998</v>
      </c>
      <c r="GL172" s="9">
        <v>0</v>
      </c>
      <c r="GM172" s="9">
        <v>0</v>
      </c>
      <c r="GN172" s="9">
        <v>0</v>
      </c>
      <c r="GO172" s="9">
        <v>0</v>
      </c>
      <c r="GP172" s="9">
        <v>26796446</v>
      </c>
      <c r="GQ172" s="9">
        <v>26796446</v>
      </c>
      <c r="GR172" s="9">
        <v>0</v>
      </c>
      <c r="GS172" s="9">
        <v>0</v>
      </c>
      <c r="GT172" s="9">
        <v>0</v>
      </c>
      <c r="GU172" s="9">
        <v>0</v>
      </c>
      <c r="GV172" s="9">
        <v>0</v>
      </c>
      <c r="GW172" s="9">
        <v>0</v>
      </c>
      <c r="GX172" s="9">
        <v>0</v>
      </c>
      <c r="GY172" s="9">
        <v>0</v>
      </c>
      <c r="GZ172" s="9">
        <v>0</v>
      </c>
      <c r="HA172" s="9">
        <v>0</v>
      </c>
      <c r="HB172" s="9">
        <v>300501363</v>
      </c>
      <c r="HC172" s="9">
        <v>4.4742999999999998E-2</v>
      </c>
      <c r="HD172" s="9">
        <v>507779</v>
      </c>
      <c r="HE172" s="9">
        <v>0</v>
      </c>
      <c r="HF172" s="9">
        <v>0</v>
      </c>
      <c r="HG172" s="9">
        <v>0</v>
      </c>
      <c r="HH172" s="9">
        <v>0</v>
      </c>
      <c r="HI172" s="9">
        <v>0</v>
      </c>
      <c r="HJ172" s="9">
        <v>0</v>
      </c>
      <c r="HK172" s="9">
        <v>0</v>
      </c>
      <c r="HL172" s="9">
        <v>0</v>
      </c>
      <c r="HM172" s="9">
        <v>0</v>
      </c>
      <c r="HN172" s="9">
        <v>0</v>
      </c>
      <c r="HO172" s="9">
        <v>0</v>
      </c>
      <c r="HP172" s="9">
        <v>0</v>
      </c>
      <c r="HQ172" s="9">
        <v>0</v>
      </c>
      <c r="HR172" s="9">
        <v>0</v>
      </c>
      <c r="HS172" s="9">
        <v>0</v>
      </c>
      <c r="HT172" s="9">
        <v>0</v>
      </c>
      <c r="HU172" s="9">
        <v>0</v>
      </c>
      <c r="HV172" s="9">
        <v>0</v>
      </c>
      <c r="HW172" s="9">
        <v>0</v>
      </c>
      <c r="HX172" s="9">
        <v>0</v>
      </c>
      <c r="HY172" s="9">
        <v>0</v>
      </c>
      <c r="HZ172" s="9">
        <v>0</v>
      </c>
      <c r="IA172" s="9">
        <v>0</v>
      </c>
      <c r="IB172" s="9">
        <v>0</v>
      </c>
      <c r="IC172" s="9">
        <v>0</v>
      </c>
      <c r="ID172" s="9">
        <v>0</v>
      </c>
      <c r="IE172" s="9">
        <v>0</v>
      </c>
      <c r="IF172" s="9">
        <v>0</v>
      </c>
      <c r="IG172" s="9">
        <v>0</v>
      </c>
      <c r="IH172" s="9">
        <v>0</v>
      </c>
      <c r="II172" s="9">
        <v>0</v>
      </c>
      <c r="IJ172" s="9">
        <v>0</v>
      </c>
      <c r="IK172" s="9">
        <v>0</v>
      </c>
      <c r="IL172" s="9">
        <v>0</v>
      </c>
      <c r="IM172" s="9">
        <v>0</v>
      </c>
      <c r="IN172" s="9">
        <v>0</v>
      </c>
      <c r="IO172" s="9">
        <v>0</v>
      </c>
      <c r="IP172" s="9">
        <v>0</v>
      </c>
      <c r="IQ172" s="9">
        <v>0</v>
      </c>
      <c r="IR172" s="9">
        <v>0</v>
      </c>
      <c r="IS172" s="9">
        <v>0</v>
      </c>
      <c r="IT172" s="9">
        <v>0</v>
      </c>
      <c r="IU172" s="9">
        <v>0</v>
      </c>
      <c r="IV172" s="9">
        <v>0</v>
      </c>
      <c r="IW172" s="9">
        <v>0</v>
      </c>
      <c r="IX172" s="9">
        <v>0</v>
      </c>
      <c r="IY172" s="9">
        <v>0</v>
      </c>
      <c r="IZ172" s="9">
        <v>0</v>
      </c>
      <c r="JA172" s="9">
        <v>0</v>
      </c>
      <c r="JB172" s="9">
        <v>0</v>
      </c>
      <c r="JC172" s="9">
        <v>0</v>
      </c>
      <c r="JD172" s="9">
        <v>0</v>
      </c>
      <c r="JE172" s="9">
        <v>0</v>
      </c>
      <c r="JF172" s="9">
        <v>0</v>
      </c>
      <c r="JG172" s="9">
        <v>0</v>
      </c>
      <c r="JH172" s="9">
        <v>0</v>
      </c>
      <c r="JI172" s="9">
        <v>0</v>
      </c>
      <c r="JJ172" s="9">
        <v>0</v>
      </c>
      <c r="JK172" s="9">
        <v>0</v>
      </c>
      <c r="JL172" s="9">
        <v>0</v>
      </c>
      <c r="JM172" s="9">
        <v>0</v>
      </c>
      <c r="JN172" s="9">
        <v>36832</v>
      </c>
      <c r="JO172" s="9">
        <v>0</v>
      </c>
      <c r="JP172" s="9">
        <v>0</v>
      </c>
      <c r="JQ172" s="9">
        <v>0</v>
      </c>
      <c r="JR172" s="9">
        <v>0</v>
      </c>
      <c r="JS172" s="9">
        <v>0</v>
      </c>
      <c r="JT172" s="9">
        <v>0</v>
      </c>
      <c r="JU172" s="9">
        <v>0</v>
      </c>
      <c r="JV172" s="9">
        <v>0</v>
      </c>
      <c r="JW172" s="9">
        <v>0</v>
      </c>
      <c r="JX172" s="9">
        <v>0</v>
      </c>
      <c r="JY172" s="9">
        <v>0</v>
      </c>
      <c r="JZ172" s="9">
        <v>0</v>
      </c>
      <c r="KA172" s="9">
        <v>0</v>
      </c>
      <c r="KB172" s="9">
        <v>0</v>
      </c>
      <c r="KC172" s="9">
        <v>0</v>
      </c>
      <c r="KD172" s="9">
        <v>0</v>
      </c>
      <c r="KE172" s="9">
        <v>0</v>
      </c>
      <c r="KF172" s="9">
        <v>0</v>
      </c>
      <c r="KG172" s="9">
        <v>0</v>
      </c>
      <c r="KH172" s="9">
        <v>0</v>
      </c>
      <c r="KI172" s="9">
        <v>0</v>
      </c>
    </row>
    <row r="173" spans="1:295" x14ac:dyDescent="0.25">
      <c r="A173" s="9">
        <v>227803</v>
      </c>
      <c r="B173" s="9">
        <v>36871</v>
      </c>
      <c r="C173" s="9">
        <v>35</v>
      </c>
      <c r="D173" s="9">
        <v>2023</v>
      </c>
      <c r="E173" s="9">
        <v>5392</v>
      </c>
      <c r="F173" s="9">
        <v>0</v>
      </c>
      <c r="G173" s="9">
        <v>0</v>
      </c>
      <c r="H173" s="9">
        <v>1674.4590000000001</v>
      </c>
      <c r="I173" s="9">
        <v>1674.4590000000001</v>
      </c>
      <c r="J173" s="9">
        <v>1764.402</v>
      </c>
      <c r="K173" s="9">
        <v>0</v>
      </c>
      <c r="L173" s="9">
        <v>6547</v>
      </c>
      <c r="M173" s="9">
        <v>0</v>
      </c>
      <c r="N173" s="9">
        <v>0</v>
      </c>
      <c r="O173" s="9">
        <v>0</v>
      </c>
      <c r="P173" s="9">
        <v>1781.1390000000001</v>
      </c>
      <c r="Q173" s="9">
        <v>0</v>
      </c>
      <c r="R173" s="9">
        <v>867276</v>
      </c>
      <c r="S173" s="9">
        <v>486.92200000000003</v>
      </c>
      <c r="T173" s="9">
        <v>0</v>
      </c>
      <c r="U173" s="9">
        <v>867276</v>
      </c>
      <c r="V173" s="9">
        <v>678.45100000000002</v>
      </c>
      <c r="W173" s="9">
        <v>444182</v>
      </c>
      <c r="X173" s="9">
        <v>444182</v>
      </c>
      <c r="Y173" s="9">
        <v>0</v>
      </c>
      <c r="Z173" s="9">
        <v>0</v>
      </c>
      <c r="AA173" s="9">
        <v>1</v>
      </c>
      <c r="AB173" s="9">
        <v>1</v>
      </c>
      <c r="AC173" s="9">
        <v>0</v>
      </c>
      <c r="AD173" s="9" t="s">
        <v>314</v>
      </c>
      <c r="AE173" s="9">
        <v>0</v>
      </c>
      <c r="AF173" s="9">
        <v>0</v>
      </c>
      <c r="AG173" s="9">
        <v>0</v>
      </c>
      <c r="AH173" s="9">
        <v>0</v>
      </c>
      <c r="AI173" s="9">
        <v>0</v>
      </c>
      <c r="AJ173" s="9">
        <v>5104</v>
      </c>
      <c r="AK173" s="9" t="s">
        <v>651</v>
      </c>
      <c r="AL173" s="9" t="s">
        <v>364</v>
      </c>
      <c r="AM173" s="9">
        <v>0</v>
      </c>
      <c r="AN173" s="9">
        <v>0</v>
      </c>
      <c r="AO173" s="9">
        <v>0</v>
      </c>
      <c r="AP173" s="9">
        <v>0</v>
      </c>
      <c r="AQ173" s="9">
        <v>0</v>
      </c>
      <c r="AR173" s="9">
        <v>0</v>
      </c>
      <c r="AS173" s="9">
        <v>0</v>
      </c>
      <c r="AT173" s="9">
        <v>0</v>
      </c>
      <c r="AU173" s="9">
        <v>0</v>
      </c>
      <c r="AV173" s="9">
        <v>730912</v>
      </c>
      <c r="AW173" s="9">
        <v>17261695</v>
      </c>
      <c r="AX173" s="9">
        <v>16845392</v>
      </c>
      <c r="AY173" s="9">
        <v>18699386</v>
      </c>
      <c r="AZ173" s="9">
        <v>936121</v>
      </c>
      <c r="BA173" s="9">
        <v>71.832999999999998</v>
      </c>
      <c r="BB173" s="9">
        <v>0</v>
      </c>
      <c r="BC173" s="9">
        <v>0</v>
      </c>
      <c r="BD173" s="9">
        <v>0</v>
      </c>
      <c r="BE173" s="9">
        <v>0</v>
      </c>
      <c r="BF173" s="9">
        <v>14577052</v>
      </c>
      <c r="BG173" s="9">
        <v>0</v>
      </c>
      <c r="BH173" s="9">
        <v>250.345</v>
      </c>
      <c r="BI173" s="9">
        <v>68845</v>
      </c>
      <c r="BJ173" s="9">
        <v>12</v>
      </c>
      <c r="BK173" s="9">
        <v>0</v>
      </c>
      <c r="BL173" s="9">
        <v>0</v>
      </c>
      <c r="BM173" s="9">
        <v>0</v>
      </c>
      <c r="BN173" s="9">
        <v>0</v>
      </c>
      <c r="BO173" s="9">
        <v>0</v>
      </c>
      <c r="BP173" s="9">
        <v>0</v>
      </c>
      <c r="BQ173" s="9">
        <v>5392</v>
      </c>
      <c r="BR173" s="9">
        <v>1</v>
      </c>
      <c r="BS173" s="9">
        <v>0</v>
      </c>
      <c r="BT173" s="9">
        <v>0</v>
      </c>
      <c r="BU173" s="9">
        <v>0</v>
      </c>
      <c r="BV173" s="9">
        <v>0</v>
      </c>
      <c r="BW173" s="9">
        <v>0</v>
      </c>
      <c r="BX173" s="9">
        <v>0</v>
      </c>
      <c r="BY173" s="9">
        <v>0</v>
      </c>
      <c r="BZ173" s="9">
        <v>0</v>
      </c>
      <c r="CA173" s="9">
        <v>0</v>
      </c>
      <c r="CB173" s="9">
        <v>0</v>
      </c>
      <c r="CC173" s="9">
        <v>0</v>
      </c>
      <c r="CD173" s="9">
        <v>0</v>
      </c>
      <c r="CE173" s="9">
        <v>0</v>
      </c>
      <c r="CF173" s="9">
        <v>0</v>
      </c>
      <c r="CG173" s="9">
        <v>0</v>
      </c>
      <c r="CH173" s="9">
        <v>347458</v>
      </c>
      <c r="CI173" s="9">
        <v>0</v>
      </c>
      <c r="CJ173" s="9">
        <v>4</v>
      </c>
      <c r="CK173" s="9">
        <v>0</v>
      </c>
      <c r="CL173" s="9">
        <v>0</v>
      </c>
      <c r="CM173" s="9">
        <v>0</v>
      </c>
      <c r="CN173" s="9">
        <v>0</v>
      </c>
      <c r="CO173" s="9">
        <v>0</v>
      </c>
      <c r="CP173" s="9">
        <v>0</v>
      </c>
      <c r="CQ173" s="9">
        <v>2</v>
      </c>
      <c r="CR173" s="9">
        <v>1734.1130000000001</v>
      </c>
      <c r="CS173" s="9">
        <v>0</v>
      </c>
      <c r="CT173" s="9">
        <v>0</v>
      </c>
      <c r="CU173" s="9">
        <v>0</v>
      </c>
      <c r="CV173" s="9">
        <v>0</v>
      </c>
      <c r="CW173" s="9">
        <v>0</v>
      </c>
      <c r="CX173" s="9">
        <v>0</v>
      </c>
      <c r="CY173" s="9">
        <v>0</v>
      </c>
      <c r="CZ173" s="9">
        <v>0</v>
      </c>
      <c r="DA173" s="9">
        <v>1</v>
      </c>
      <c r="DB173" s="9">
        <v>10962683</v>
      </c>
      <c r="DC173" s="9">
        <v>0</v>
      </c>
      <c r="DD173" s="9">
        <v>0</v>
      </c>
      <c r="DE173" s="9">
        <v>1940753</v>
      </c>
      <c r="DF173" s="9">
        <v>1940753</v>
      </c>
      <c r="DG173" s="9">
        <v>1482.17</v>
      </c>
      <c r="DH173" s="9">
        <v>0</v>
      </c>
      <c r="DI173" s="9">
        <v>0</v>
      </c>
      <c r="DJ173" s="9">
        <v>0</v>
      </c>
      <c r="DK173" s="9">
        <v>5392</v>
      </c>
      <c r="DL173" s="9">
        <v>0</v>
      </c>
      <c r="DM173" s="9">
        <v>1337391</v>
      </c>
      <c r="DN173" s="9">
        <v>0</v>
      </c>
      <c r="DO173" s="9">
        <v>0</v>
      </c>
      <c r="DP173" s="9">
        <v>0</v>
      </c>
      <c r="DQ173" s="9">
        <v>0</v>
      </c>
      <c r="DR173" s="9">
        <v>0</v>
      </c>
      <c r="DS173" s="9">
        <v>0</v>
      </c>
      <c r="DT173" s="9">
        <v>0</v>
      </c>
      <c r="DU173" s="9">
        <v>0</v>
      </c>
      <c r="DV173" s="9">
        <v>0</v>
      </c>
      <c r="DW173" s="9">
        <v>0</v>
      </c>
      <c r="DX173" s="9">
        <v>0</v>
      </c>
      <c r="DY173" s="9">
        <v>0</v>
      </c>
      <c r="DZ173" s="9">
        <v>0</v>
      </c>
      <c r="EA173" s="9">
        <v>0</v>
      </c>
      <c r="EB173" s="9">
        <v>0</v>
      </c>
      <c r="EC173" s="9">
        <v>26.274000000000001</v>
      </c>
      <c r="ED173" s="9">
        <v>189217</v>
      </c>
      <c r="EE173" s="9">
        <v>0</v>
      </c>
      <c r="EF173" s="9">
        <v>0</v>
      </c>
      <c r="EG173" s="9">
        <v>0</v>
      </c>
      <c r="EH173" s="9">
        <v>1148174</v>
      </c>
      <c r="EI173" s="9">
        <v>0</v>
      </c>
      <c r="EJ173" s="9">
        <v>0</v>
      </c>
      <c r="EK173" s="9">
        <v>44.372</v>
      </c>
      <c r="EL173" s="9">
        <v>0</v>
      </c>
      <c r="EM173" s="9">
        <v>10.086</v>
      </c>
      <c r="EN173" s="9">
        <v>2.4</v>
      </c>
      <c r="EO173" s="9">
        <v>0</v>
      </c>
      <c r="EP173" s="9">
        <v>0</v>
      </c>
      <c r="EQ173" s="9">
        <v>56.858000000000004</v>
      </c>
      <c r="ER173" s="9">
        <v>0</v>
      </c>
      <c r="ES173" s="9">
        <v>175.374</v>
      </c>
      <c r="ET173" s="9">
        <v>36417</v>
      </c>
      <c r="EU173" s="9">
        <v>936121</v>
      </c>
      <c r="EV173" s="9">
        <v>0</v>
      </c>
      <c r="EW173" s="9">
        <v>0</v>
      </c>
      <c r="EX173" s="9">
        <v>0</v>
      </c>
      <c r="EY173" s="9">
        <v>0</v>
      </c>
      <c r="EZ173" s="9">
        <v>14110153</v>
      </c>
      <c r="FA173" s="9">
        <v>0</v>
      </c>
      <c r="FB173" s="9">
        <v>15046274</v>
      </c>
      <c r="FC173" s="9">
        <v>0.97326799999999991</v>
      </c>
      <c r="FD173" s="9">
        <v>0</v>
      </c>
      <c r="FE173" s="9">
        <v>2255031</v>
      </c>
      <c r="FF173" s="9">
        <v>480208</v>
      </c>
      <c r="FG173" s="9">
        <v>5.8088000000000001E-2</v>
      </c>
      <c r="FH173" s="9">
        <v>5.2622999999999996E-2</v>
      </c>
      <c r="FI173" s="9">
        <v>0</v>
      </c>
      <c r="FJ173" s="9">
        <v>0</v>
      </c>
      <c r="FK173" s="9">
        <v>2856.1610000000001</v>
      </c>
      <c r="FL173" s="9">
        <v>18128971</v>
      </c>
      <c r="FM173" s="9">
        <v>0</v>
      </c>
      <c r="FN173" s="9">
        <v>0</v>
      </c>
      <c r="FO173" s="9">
        <v>0</v>
      </c>
      <c r="FP173" s="9">
        <v>0</v>
      </c>
      <c r="FQ173" s="9">
        <v>0</v>
      </c>
      <c r="FR173" s="9">
        <v>0</v>
      </c>
      <c r="FS173" s="9">
        <v>0</v>
      </c>
      <c r="FT173" s="9">
        <v>0</v>
      </c>
      <c r="FU173" s="9">
        <v>0</v>
      </c>
      <c r="FV173" s="9">
        <v>0</v>
      </c>
      <c r="FW173" s="9">
        <v>0</v>
      </c>
      <c r="FX173" s="9">
        <v>0</v>
      </c>
      <c r="FY173" s="9">
        <v>0</v>
      </c>
      <c r="FZ173" s="9">
        <v>0</v>
      </c>
      <c r="GA173" s="9">
        <v>0</v>
      </c>
      <c r="GB173" s="9">
        <v>292420</v>
      </c>
      <c r="GC173" s="9">
        <v>292420</v>
      </c>
      <c r="GD173" s="9">
        <v>33.085000000000001</v>
      </c>
      <c r="GE173" s="9">
        <v>0</v>
      </c>
      <c r="GF173" s="9">
        <v>0</v>
      </c>
      <c r="GG173" s="9">
        <v>0</v>
      </c>
      <c r="GH173" s="9">
        <v>0</v>
      </c>
      <c r="GI173" s="9">
        <v>0</v>
      </c>
      <c r="GJ173" s="9">
        <v>0</v>
      </c>
      <c r="GK173" s="9">
        <v>5240</v>
      </c>
      <c r="GL173" s="9">
        <v>5584</v>
      </c>
      <c r="GM173" s="9">
        <v>0</v>
      </c>
      <c r="GN173" s="9">
        <v>0</v>
      </c>
      <c r="GO173" s="9">
        <v>0</v>
      </c>
      <c r="GP173" s="9">
        <v>17781513</v>
      </c>
      <c r="GQ173" s="9">
        <v>17781513</v>
      </c>
      <c r="GR173" s="9">
        <v>0</v>
      </c>
      <c r="GS173" s="9">
        <v>0</v>
      </c>
      <c r="GT173" s="9">
        <v>0</v>
      </c>
      <c r="GU173" s="9">
        <v>0</v>
      </c>
      <c r="GV173" s="9">
        <v>0</v>
      </c>
      <c r="GW173" s="9">
        <v>0</v>
      </c>
      <c r="GX173" s="9">
        <v>0</v>
      </c>
      <c r="GY173" s="9">
        <v>0</v>
      </c>
      <c r="GZ173" s="9">
        <v>0</v>
      </c>
      <c r="HA173" s="9">
        <v>0</v>
      </c>
      <c r="HB173" s="9">
        <v>300501363</v>
      </c>
      <c r="HC173" s="9">
        <v>4.4742999999999998E-2</v>
      </c>
      <c r="HD173" s="9">
        <v>311041</v>
      </c>
      <c r="HE173" s="9">
        <v>0</v>
      </c>
      <c r="HF173" s="9">
        <v>0</v>
      </c>
      <c r="HG173" s="9">
        <v>0</v>
      </c>
      <c r="HH173" s="9">
        <v>0</v>
      </c>
      <c r="HI173" s="9">
        <v>0</v>
      </c>
      <c r="HJ173" s="9">
        <v>0</v>
      </c>
      <c r="HK173" s="9">
        <v>0</v>
      </c>
      <c r="HL173" s="9">
        <v>0</v>
      </c>
      <c r="HM173" s="9">
        <v>0</v>
      </c>
      <c r="HN173" s="9">
        <v>0</v>
      </c>
      <c r="HO173" s="9">
        <v>0</v>
      </c>
      <c r="HP173" s="9">
        <v>0</v>
      </c>
      <c r="HQ173" s="9">
        <v>0</v>
      </c>
      <c r="HR173" s="9">
        <v>0</v>
      </c>
      <c r="HS173" s="9">
        <v>0</v>
      </c>
      <c r="HT173" s="9">
        <v>0</v>
      </c>
      <c r="HU173" s="9">
        <v>0</v>
      </c>
      <c r="HV173" s="9">
        <v>0</v>
      </c>
      <c r="HW173" s="9">
        <v>0</v>
      </c>
      <c r="HX173" s="9">
        <v>0</v>
      </c>
      <c r="HY173" s="9">
        <v>0</v>
      </c>
      <c r="HZ173" s="9">
        <v>0</v>
      </c>
      <c r="IA173" s="9">
        <v>0</v>
      </c>
      <c r="IB173" s="9">
        <v>0</v>
      </c>
      <c r="IC173" s="9">
        <v>0</v>
      </c>
      <c r="ID173" s="9">
        <v>0</v>
      </c>
      <c r="IE173" s="9">
        <v>0</v>
      </c>
      <c r="IF173" s="9">
        <v>0</v>
      </c>
      <c r="IG173" s="9">
        <v>0</v>
      </c>
      <c r="IH173" s="9">
        <v>0</v>
      </c>
      <c r="II173" s="9">
        <v>0</v>
      </c>
      <c r="IJ173" s="9">
        <v>0</v>
      </c>
      <c r="IK173" s="9">
        <v>0</v>
      </c>
      <c r="IL173" s="9">
        <v>0</v>
      </c>
      <c r="IM173" s="9">
        <v>0</v>
      </c>
      <c r="IN173" s="9">
        <v>0</v>
      </c>
      <c r="IO173" s="9">
        <v>0</v>
      </c>
      <c r="IP173" s="9">
        <v>0</v>
      </c>
      <c r="IQ173" s="9">
        <v>0</v>
      </c>
      <c r="IR173" s="9">
        <v>0</v>
      </c>
      <c r="IS173" s="9">
        <v>0</v>
      </c>
      <c r="IT173" s="9">
        <v>0</v>
      </c>
      <c r="IU173" s="9">
        <v>0</v>
      </c>
      <c r="IV173" s="9">
        <v>0</v>
      </c>
      <c r="IW173" s="9">
        <v>0</v>
      </c>
      <c r="IX173" s="9">
        <v>0</v>
      </c>
      <c r="IY173" s="9">
        <v>0</v>
      </c>
      <c r="IZ173" s="9">
        <v>0</v>
      </c>
      <c r="JA173" s="9">
        <v>0</v>
      </c>
      <c r="JB173" s="9">
        <v>0</v>
      </c>
      <c r="JC173" s="9">
        <v>0</v>
      </c>
      <c r="JD173" s="9">
        <v>0</v>
      </c>
      <c r="JE173" s="9">
        <v>0</v>
      </c>
      <c r="JF173" s="9">
        <v>0</v>
      </c>
      <c r="JG173" s="9">
        <v>0</v>
      </c>
      <c r="JH173" s="9">
        <v>0</v>
      </c>
      <c r="JI173" s="9">
        <v>0</v>
      </c>
      <c r="JJ173" s="9">
        <v>0</v>
      </c>
      <c r="JK173" s="9">
        <v>0</v>
      </c>
      <c r="JL173" s="9">
        <v>0</v>
      </c>
      <c r="JM173" s="9">
        <v>0</v>
      </c>
      <c r="JN173" s="9">
        <v>36832</v>
      </c>
      <c r="JO173" s="9">
        <v>0</v>
      </c>
      <c r="JP173" s="9">
        <v>0</v>
      </c>
      <c r="JQ173" s="9">
        <v>0</v>
      </c>
      <c r="JR173" s="9">
        <v>0</v>
      </c>
      <c r="JS173" s="9">
        <v>0</v>
      </c>
      <c r="JT173" s="9">
        <v>0</v>
      </c>
      <c r="JU173" s="9">
        <v>0</v>
      </c>
      <c r="JV173" s="9">
        <v>0</v>
      </c>
      <c r="JW173" s="9">
        <v>0</v>
      </c>
      <c r="JX173" s="9">
        <v>0</v>
      </c>
      <c r="JY173" s="9">
        <v>0</v>
      </c>
      <c r="JZ173" s="9">
        <v>0</v>
      </c>
      <c r="KA173" s="9">
        <v>0</v>
      </c>
      <c r="KB173" s="9">
        <v>0</v>
      </c>
      <c r="KC173" s="9">
        <v>0</v>
      </c>
      <c r="KD173" s="9">
        <v>0</v>
      </c>
      <c r="KE173" s="9">
        <v>0</v>
      </c>
      <c r="KF173" s="9">
        <v>0</v>
      </c>
      <c r="KG173" s="9">
        <v>0</v>
      </c>
      <c r="KH173" s="9">
        <v>0</v>
      </c>
      <c r="KI173" s="9">
        <v>0</v>
      </c>
    </row>
    <row r="174" spans="1:295" x14ac:dyDescent="0.25">
      <c r="A174" s="9">
        <v>227804</v>
      </c>
      <c r="B174" s="9">
        <v>36871</v>
      </c>
      <c r="C174" s="9">
        <v>35</v>
      </c>
      <c r="D174" s="9">
        <v>2023</v>
      </c>
      <c r="E174" s="9">
        <v>5392</v>
      </c>
      <c r="F174" s="9">
        <v>0</v>
      </c>
      <c r="G174" s="9">
        <v>0</v>
      </c>
      <c r="H174" s="9">
        <v>945.45900000000006</v>
      </c>
      <c r="I174" s="9">
        <v>945.45900000000006</v>
      </c>
      <c r="J174" s="9">
        <v>1010.807</v>
      </c>
      <c r="K174" s="9">
        <v>0</v>
      </c>
      <c r="L174" s="9">
        <v>6547</v>
      </c>
      <c r="M174" s="9">
        <v>0</v>
      </c>
      <c r="N174" s="9">
        <v>0</v>
      </c>
      <c r="O174" s="9">
        <v>0</v>
      </c>
      <c r="P174" s="9">
        <v>976.11900000000003</v>
      </c>
      <c r="Q174" s="9">
        <v>0</v>
      </c>
      <c r="R174" s="9">
        <v>475294</v>
      </c>
      <c r="S174" s="9">
        <v>486.92200000000003</v>
      </c>
      <c r="T174" s="9">
        <v>0</v>
      </c>
      <c r="U174" s="9">
        <v>475294</v>
      </c>
      <c r="V174" s="9">
        <v>202.54</v>
      </c>
      <c r="W174" s="9">
        <v>132603</v>
      </c>
      <c r="X174" s="9">
        <v>132603</v>
      </c>
      <c r="Y174" s="9">
        <v>0</v>
      </c>
      <c r="Z174" s="9">
        <v>0</v>
      </c>
      <c r="AA174" s="9">
        <v>1</v>
      </c>
      <c r="AB174" s="9">
        <v>1</v>
      </c>
      <c r="AC174" s="9">
        <v>0</v>
      </c>
      <c r="AD174" s="9" t="s">
        <v>314</v>
      </c>
      <c r="AE174" s="9">
        <v>0</v>
      </c>
      <c r="AF174" s="9">
        <v>0</v>
      </c>
      <c r="AG174" s="9">
        <v>0</v>
      </c>
      <c r="AH174" s="9">
        <v>0</v>
      </c>
      <c r="AI174" s="9">
        <v>0</v>
      </c>
      <c r="AJ174" s="9">
        <v>5104</v>
      </c>
      <c r="AK174" s="9" t="s">
        <v>651</v>
      </c>
      <c r="AL174" s="9" t="s">
        <v>78</v>
      </c>
      <c r="AM174" s="9">
        <v>0</v>
      </c>
      <c r="AN174" s="9">
        <v>0</v>
      </c>
      <c r="AO174" s="9">
        <v>0</v>
      </c>
      <c r="AP174" s="9">
        <v>0</v>
      </c>
      <c r="AQ174" s="9">
        <v>0</v>
      </c>
      <c r="AR174" s="9">
        <v>0</v>
      </c>
      <c r="AS174" s="9">
        <v>0</v>
      </c>
      <c r="AT174" s="9">
        <v>0</v>
      </c>
      <c r="AU174" s="9">
        <v>0</v>
      </c>
      <c r="AV174" s="9">
        <v>-14140</v>
      </c>
      <c r="AW174" s="9">
        <v>9184454</v>
      </c>
      <c r="AX174" s="9">
        <v>8930888</v>
      </c>
      <c r="AY174" s="9">
        <v>9550366</v>
      </c>
      <c r="AZ174" s="9">
        <v>550668</v>
      </c>
      <c r="BA174" s="9">
        <v>0</v>
      </c>
      <c r="BB174" s="9">
        <v>0</v>
      </c>
      <c r="BC174" s="9">
        <v>0</v>
      </c>
      <c r="BD174" s="9">
        <v>0</v>
      </c>
      <c r="BE174" s="9">
        <v>0</v>
      </c>
      <c r="BF174" s="9">
        <v>7741037</v>
      </c>
      <c r="BG174" s="9">
        <v>0</v>
      </c>
      <c r="BH174" s="9">
        <v>274.08800000000002</v>
      </c>
      <c r="BI174" s="9">
        <v>75374</v>
      </c>
      <c r="BJ174" s="9">
        <v>12</v>
      </c>
      <c r="BK174" s="9">
        <v>0</v>
      </c>
      <c r="BL174" s="9">
        <v>0</v>
      </c>
      <c r="BM174" s="9">
        <v>0</v>
      </c>
      <c r="BN174" s="9">
        <v>0</v>
      </c>
      <c r="BO174" s="9">
        <v>0</v>
      </c>
      <c r="BP174" s="9">
        <v>0</v>
      </c>
      <c r="BQ174" s="9">
        <v>5392</v>
      </c>
      <c r="BR174" s="9">
        <v>1</v>
      </c>
      <c r="BS174" s="9">
        <v>0</v>
      </c>
      <c r="BT174" s="9">
        <v>0</v>
      </c>
      <c r="BU174" s="9">
        <v>0</v>
      </c>
      <c r="BV174" s="9">
        <v>0</v>
      </c>
      <c r="BW174" s="9">
        <v>0</v>
      </c>
      <c r="BX174" s="9">
        <v>0</v>
      </c>
      <c r="BY174" s="9">
        <v>0</v>
      </c>
      <c r="BZ174" s="9">
        <v>0</v>
      </c>
      <c r="CA174" s="9">
        <v>0</v>
      </c>
      <c r="CB174" s="9">
        <v>0</v>
      </c>
      <c r="CC174" s="9">
        <v>0</v>
      </c>
      <c r="CD174" s="9">
        <v>0</v>
      </c>
      <c r="CE174" s="9">
        <v>0</v>
      </c>
      <c r="CF174" s="9">
        <v>0</v>
      </c>
      <c r="CG174" s="9">
        <v>0</v>
      </c>
      <c r="CH174" s="9">
        <v>178192</v>
      </c>
      <c r="CI174" s="9">
        <v>0</v>
      </c>
      <c r="CJ174" s="9">
        <v>4</v>
      </c>
      <c r="CK174" s="9">
        <v>0</v>
      </c>
      <c r="CL174" s="9">
        <v>0</v>
      </c>
      <c r="CM174" s="9">
        <v>0</v>
      </c>
      <c r="CN174" s="9">
        <v>0</v>
      </c>
      <c r="CO174" s="9">
        <v>0</v>
      </c>
      <c r="CP174" s="9">
        <v>0</v>
      </c>
      <c r="CQ174" s="9">
        <v>0</v>
      </c>
      <c r="CR174" s="9">
        <v>965.25200000000007</v>
      </c>
      <c r="CS174" s="9">
        <v>0</v>
      </c>
      <c r="CT174" s="9">
        <v>0</v>
      </c>
      <c r="CU174" s="9">
        <v>0</v>
      </c>
      <c r="CV174" s="9">
        <v>0</v>
      </c>
      <c r="CW174" s="9">
        <v>0</v>
      </c>
      <c r="CX174" s="9">
        <v>0</v>
      </c>
      <c r="CY174" s="9">
        <v>0</v>
      </c>
      <c r="CZ174" s="9">
        <v>0</v>
      </c>
      <c r="DA174" s="9">
        <v>1</v>
      </c>
      <c r="DB174" s="9">
        <v>6189920</v>
      </c>
      <c r="DC174" s="9">
        <v>0</v>
      </c>
      <c r="DD174" s="9">
        <v>0</v>
      </c>
      <c r="DE174" s="9">
        <v>510666</v>
      </c>
      <c r="DF174" s="9">
        <v>510666</v>
      </c>
      <c r="DG174" s="9">
        <v>390</v>
      </c>
      <c r="DH174" s="9">
        <v>0</v>
      </c>
      <c r="DI174" s="9">
        <v>0</v>
      </c>
      <c r="DJ174" s="9">
        <v>0</v>
      </c>
      <c r="DK174" s="9">
        <v>5392</v>
      </c>
      <c r="DL174" s="9">
        <v>0</v>
      </c>
      <c r="DM174" s="9">
        <v>749736</v>
      </c>
      <c r="DN174" s="9">
        <v>0</v>
      </c>
      <c r="DO174" s="9">
        <v>0</v>
      </c>
      <c r="DP174" s="9">
        <v>0</v>
      </c>
      <c r="DQ174" s="9">
        <v>0</v>
      </c>
      <c r="DR174" s="9">
        <v>0</v>
      </c>
      <c r="DS174" s="9">
        <v>0</v>
      </c>
      <c r="DT174" s="9">
        <v>0</v>
      </c>
      <c r="DU174" s="9">
        <v>0</v>
      </c>
      <c r="DV174" s="9">
        <v>0</v>
      </c>
      <c r="DW174" s="9">
        <v>0</v>
      </c>
      <c r="DX174" s="9">
        <v>0</v>
      </c>
      <c r="DY174" s="9">
        <v>0</v>
      </c>
      <c r="DZ174" s="9">
        <v>0</v>
      </c>
      <c r="EA174" s="9">
        <v>0</v>
      </c>
      <c r="EB174" s="9">
        <v>0</v>
      </c>
      <c r="EC174" s="9">
        <v>37.539000000000001</v>
      </c>
      <c r="ED174" s="9">
        <v>270345</v>
      </c>
      <c r="EE174" s="9">
        <v>0</v>
      </c>
      <c r="EF174" s="9">
        <v>0</v>
      </c>
      <c r="EG174" s="9">
        <v>0</v>
      </c>
      <c r="EH174" s="9">
        <v>479391</v>
      </c>
      <c r="EI174" s="9">
        <v>0</v>
      </c>
      <c r="EJ174" s="9">
        <v>0</v>
      </c>
      <c r="EK174" s="9">
        <v>19.837</v>
      </c>
      <c r="EL174" s="9">
        <v>0</v>
      </c>
      <c r="EM174" s="9">
        <v>2.0590000000000002</v>
      </c>
      <c r="EN174" s="9">
        <v>1.5070000000000001</v>
      </c>
      <c r="EO174" s="9">
        <v>0</v>
      </c>
      <c r="EP174" s="9">
        <v>0</v>
      </c>
      <c r="EQ174" s="9">
        <v>23.403000000000002</v>
      </c>
      <c r="ER174" s="9">
        <v>0</v>
      </c>
      <c r="ES174" s="9">
        <v>73.222999999999999</v>
      </c>
      <c r="ET174" s="9">
        <v>0</v>
      </c>
      <c r="EU174" s="9">
        <v>550668</v>
      </c>
      <c r="EV174" s="9">
        <v>0</v>
      </c>
      <c r="EW174" s="9">
        <v>0</v>
      </c>
      <c r="EX174" s="9">
        <v>0</v>
      </c>
      <c r="EY174" s="9">
        <v>0</v>
      </c>
      <c r="EZ174" s="9">
        <v>7478360</v>
      </c>
      <c r="FA174" s="9">
        <v>0</v>
      </c>
      <c r="FB174" s="9">
        <v>8029028</v>
      </c>
      <c r="FC174" s="9">
        <v>0.97326799999999991</v>
      </c>
      <c r="FD174" s="9">
        <v>0</v>
      </c>
      <c r="FE174" s="9">
        <v>1197517</v>
      </c>
      <c r="FF174" s="9">
        <v>255011</v>
      </c>
      <c r="FG174" s="9">
        <v>5.8088000000000001E-2</v>
      </c>
      <c r="FH174" s="9">
        <v>5.2622999999999996E-2</v>
      </c>
      <c r="FI174" s="9">
        <v>0</v>
      </c>
      <c r="FJ174" s="9">
        <v>0</v>
      </c>
      <c r="FK174" s="9">
        <v>1516.7430000000002</v>
      </c>
      <c r="FL174" s="9">
        <v>9659748</v>
      </c>
      <c r="FM174" s="9">
        <v>0</v>
      </c>
      <c r="FN174" s="9">
        <v>0</v>
      </c>
      <c r="FO174" s="9">
        <v>0</v>
      </c>
      <c r="FP174" s="9">
        <v>0</v>
      </c>
      <c r="FQ174" s="9">
        <v>0</v>
      </c>
      <c r="FR174" s="9">
        <v>0</v>
      </c>
      <c r="FS174" s="9">
        <v>0</v>
      </c>
      <c r="FT174" s="9">
        <v>0</v>
      </c>
      <c r="FU174" s="9">
        <v>0</v>
      </c>
      <c r="FV174" s="9">
        <v>0</v>
      </c>
      <c r="FW174" s="9">
        <v>0</v>
      </c>
      <c r="FX174" s="9">
        <v>0</v>
      </c>
      <c r="FY174" s="9">
        <v>0</v>
      </c>
      <c r="FZ174" s="9">
        <v>0</v>
      </c>
      <c r="GA174" s="9">
        <v>0</v>
      </c>
      <c r="GB174" s="9">
        <v>370729</v>
      </c>
      <c r="GC174" s="9">
        <v>370729</v>
      </c>
      <c r="GD174" s="9">
        <v>41.945</v>
      </c>
      <c r="GE174" s="9">
        <v>0</v>
      </c>
      <c r="GF174" s="9">
        <v>0</v>
      </c>
      <c r="GG174" s="9">
        <v>0</v>
      </c>
      <c r="GH174" s="9">
        <v>0</v>
      </c>
      <c r="GI174" s="9">
        <v>0</v>
      </c>
      <c r="GJ174" s="9">
        <v>0</v>
      </c>
      <c r="GK174" s="9">
        <v>5205</v>
      </c>
      <c r="GL174" s="9">
        <v>20185</v>
      </c>
      <c r="GM174" s="9">
        <v>0</v>
      </c>
      <c r="GN174" s="9">
        <v>0</v>
      </c>
      <c r="GO174" s="9">
        <v>0</v>
      </c>
      <c r="GP174" s="9">
        <v>9481556</v>
      </c>
      <c r="GQ174" s="9">
        <v>9481556</v>
      </c>
      <c r="GR174" s="9">
        <v>0</v>
      </c>
      <c r="GS174" s="9">
        <v>0</v>
      </c>
      <c r="GT174" s="9">
        <v>0</v>
      </c>
      <c r="GU174" s="9">
        <v>0</v>
      </c>
      <c r="GV174" s="9">
        <v>0</v>
      </c>
      <c r="GW174" s="9">
        <v>0</v>
      </c>
      <c r="GX174" s="9">
        <v>0</v>
      </c>
      <c r="GY174" s="9">
        <v>0</v>
      </c>
      <c r="GZ174" s="9">
        <v>0</v>
      </c>
      <c r="HA174" s="9">
        <v>0</v>
      </c>
      <c r="HB174" s="9">
        <v>300501363</v>
      </c>
      <c r="HC174" s="9">
        <v>4.4742999999999998E-2</v>
      </c>
      <c r="HD174" s="9">
        <v>178192</v>
      </c>
      <c r="HE174" s="9">
        <v>0</v>
      </c>
      <c r="HF174" s="9">
        <v>0</v>
      </c>
      <c r="HG174" s="9">
        <v>0</v>
      </c>
      <c r="HH174" s="9">
        <v>0</v>
      </c>
      <c r="HI174" s="9">
        <v>0</v>
      </c>
      <c r="HJ174" s="9">
        <v>0</v>
      </c>
      <c r="HK174" s="9">
        <v>0</v>
      </c>
      <c r="HL174" s="9">
        <v>0</v>
      </c>
      <c r="HM174" s="9">
        <v>0</v>
      </c>
      <c r="HN174" s="9">
        <v>0</v>
      </c>
      <c r="HO174" s="9">
        <v>0</v>
      </c>
      <c r="HP174" s="9">
        <v>0</v>
      </c>
      <c r="HQ174" s="9">
        <v>0</v>
      </c>
      <c r="HR174" s="9">
        <v>0</v>
      </c>
      <c r="HS174" s="9">
        <v>0</v>
      </c>
      <c r="HT174" s="9">
        <v>0</v>
      </c>
      <c r="HU174" s="9">
        <v>0</v>
      </c>
      <c r="HV174" s="9">
        <v>0</v>
      </c>
      <c r="HW174" s="9">
        <v>0</v>
      </c>
      <c r="HX174" s="9">
        <v>0</v>
      </c>
      <c r="HY174" s="9">
        <v>0</v>
      </c>
      <c r="HZ174" s="9">
        <v>0</v>
      </c>
      <c r="IA174" s="9">
        <v>0</v>
      </c>
      <c r="IB174" s="9">
        <v>0</v>
      </c>
      <c r="IC174" s="9">
        <v>0</v>
      </c>
      <c r="ID174" s="9">
        <v>0</v>
      </c>
      <c r="IE174" s="9">
        <v>0</v>
      </c>
      <c r="IF174" s="9">
        <v>0</v>
      </c>
      <c r="IG174" s="9">
        <v>0</v>
      </c>
      <c r="IH174" s="9">
        <v>0</v>
      </c>
      <c r="II174" s="9">
        <v>0</v>
      </c>
      <c r="IJ174" s="9">
        <v>0</v>
      </c>
      <c r="IK174" s="9">
        <v>0</v>
      </c>
      <c r="IL174" s="9">
        <v>0</v>
      </c>
      <c r="IM174" s="9">
        <v>0</v>
      </c>
      <c r="IN174" s="9">
        <v>0</v>
      </c>
      <c r="IO174" s="9">
        <v>0</v>
      </c>
      <c r="IP174" s="9">
        <v>0</v>
      </c>
      <c r="IQ174" s="9">
        <v>0</v>
      </c>
      <c r="IR174" s="9">
        <v>0</v>
      </c>
      <c r="IS174" s="9">
        <v>0</v>
      </c>
      <c r="IT174" s="9">
        <v>0</v>
      </c>
      <c r="IU174" s="9">
        <v>0</v>
      </c>
      <c r="IV174" s="9">
        <v>0</v>
      </c>
      <c r="IW174" s="9">
        <v>0</v>
      </c>
      <c r="IX174" s="9">
        <v>0</v>
      </c>
      <c r="IY174" s="9">
        <v>0</v>
      </c>
      <c r="IZ174" s="9">
        <v>0</v>
      </c>
      <c r="JA174" s="9">
        <v>0</v>
      </c>
      <c r="JB174" s="9">
        <v>0</v>
      </c>
      <c r="JC174" s="9">
        <v>0</v>
      </c>
      <c r="JD174" s="9">
        <v>0</v>
      </c>
      <c r="JE174" s="9">
        <v>0</v>
      </c>
      <c r="JF174" s="9">
        <v>0</v>
      </c>
      <c r="JG174" s="9">
        <v>0</v>
      </c>
      <c r="JH174" s="9">
        <v>0</v>
      </c>
      <c r="JI174" s="9">
        <v>0</v>
      </c>
      <c r="JJ174" s="9">
        <v>0</v>
      </c>
      <c r="JK174" s="9">
        <v>0</v>
      </c>
      <c r="JL174" s="9">
        <v>0</v>
      </c>
      <c r="JM174" s="9">
        <v>0</v>
      </c>
      <c r="JN174" s="9">
        <v>36832</v>
      </c>
      <c r="JO174" s="9">
        <v>0</v>
      </c>
      <c r="JP174" s="9">
        <v>0</v>
      </c>
      <c r="JQ174" s="9">
        <v>0</v>
      </c>
      <c r="JR174" s="9">
        <v>0</v>
      </c>
      <c r="JS174" s="9">
        <v>0</v>
      </c>
      <c r="JT174" s="9">
        <v>0</v>
      </c>
      <c r="JU174" s="9">
        <v>0</v>
      </c>
      <c r="JV174" s="9">
        <v>0</v>
      </c>
      <c r="JW174" s="9">
        <v>0</v>
      </c>
      <c r="JX174" s="9">
        <v>0</v>
      </c>
      <c r="JY174" s="9">
        <v>0</v>
      </c>
      <c r="JZ174" s="9">
        <v>0</v>
      </c>
      <c r="KA174" s="9">
        <v>0</v>
      </c>
      <c r="KB174" s="9">
        <v>0</v>
      </c>
      <c r="KC174" s="9">
        <v>0</v>
      </c>
      <c r="KD174" s="9">
        <v>0</v>
      </c>
      <c r="KE174" s="9">
        <v>0</v>
      </c>
      <c r="KF174" s="9">
        <v>0</v>
      </c>
      <c r="KG174" s="9">
        <v>0</v>
      </c>
      <c r="KH174" s="9">
        <v>0</v>
      </c>
      <c r="KI174" s="9">
        <v>0</v>
      </c>
    </row>
    <row r="175" spans="1:295" x14ac:dyDescent="0.25">
      <c r="A175" s="9">
        <v>227805</v>
      </c>
      <c r="B175" s="9">
        <v>36871</v>
      </c>
      <c r="C175" s="9">
        <v>35</v>
      </c>
      <c r="D175" s="9">
        <v>2023</v>
      </c>
      <c r="E175" s="9">
        <v>5392</v>
      </c>
      <c r="F175" s="9">
        <v>0</v>
      </c>
      <c r="G175" s="9">
        <v>0</v>
      </c>
      <c r="H175" s="9">
        <v>367.13800000000003</v>
      </c>
      <c r="I175" s="9">
        <v>367.13800000000003</v>
      </c>
      <c r="J175" s="9">
        <v>374.61700000000002</v>
      </c>
      <c r="K175" s="9">
        <v>0</v>
      </c>
      <c r="L175" s="9">
        <v>6547</v>
      </c>
      <c r="M175" s="9">
        <v>0</v>
      </c>
      <c r="N175" s="9">
        <v>0</v>
      </c>
      <c r="O175" s="9">
        <v>0</v>
      </c>
      <c r="P175" s="9">
        <v>333.36900000000003</v>
      </c>
      <c r="Q175" s="9">
        <v>0</v>
      </c>
      <c r="R175" s="9">
        <v>162325</v>
      </c>
      <c r="S175" s="9">
        <v>486.92200000000003</v>
      </c>
      <c r="T175" s="9">
        <v>0</v>
      </c>
      <c r="U175" s="9">
        <v>162325</v>
      </c>
      <c r="V175" s="9">
        <v>0</v>
      </c>
      <c r="W175" s="9">
        <v>0</v>
      </c>
      <c r="X175" s="9">
        <v>0</v>
      </c>
      <c r="Y175" s="9">
        <v>0</v>
      </c>
      <c r="Z175" s="9">
        <v>0</v>
      </c>
      <c r="AA175" s="9">
        <v>1</v>
      </c>
      <c r="AB175" s="9">
        <v>1</v>
      </c>
      <c r="AC175" s="9">
        <v>0</v>
      </c>
      <c r="AD175" s="9" t="s">
        <v>314</v>
      </c>
      <c r="AE175" s="9">
        <v>0</v>
      </c>
      <c r="AF175" s="9">
        <v>0</v>
      </c>
      <c r="AG175" s="9">
        <v>0</v>
      </c>
      <c r="AH175" s="9">
        <v>0</v>
      </c>
      <c r="AI175" s="9">
        <v>0</v>
      </c>
      <c r="AJ175" s="9">
        <v>5104</v>
      </c>
      <c r="AK175" s="9" t="s">
        <v>651</v>
      </c>
      <c r="AL175" s="9" t="s">
        <v>79</v>
      </c>
      <c r="AM175" s="9">
        <v>0</v>
      </c>
      <c r="AN175" s="9">
        <v>0</v>
      </c>
      <c r="AO175" s="9">
        <v>0</v>
      </c>
      <c r="AP175" s="9">
        <v>0</v>
      </c>
      <c r="AQ175" s="9">
        <v>0</v>
      </c>
      <c r="AR175" s="9">
        <v>0</v>
      </c>
      <c r="AS175" s="9">
        <v>0</v>
      </c>
      <c r="AT175" s="9">
        <v>0</v>
      </c>
      <c r="AU175" s="9">
        <v>0</v>
      </c>
      <c r="AV175" s="9">
        <v>-115107</v>
      </c>
      <c r="AW175" s="9">
        <v>3697028</v>
      </c>
      <c r="AX175" s="9">
        <v>3608122</v>
      </c>
      <c r="AY175" s="9">
        <v>3367804</v>
      </c>
      <c r="AZ175" s="9">
        <v>179399</v>
      </c>
      <c r="BA175" s="9">
        <v>11.167</v>
      </c>
      <c r="BB175" s="9">
        <v>0</v>
      </c>
      <c r="BC175" s="9">
        <v>0</v>
      </c>
      <c r="BD175" s="9">
        <v>0</v>
      </c>
      <c r="BE175" s="9">
        <v>0</v>
      </c>
      <c r="BF175" s="9">
        <v>3102978</v>
      </c>
      <c r="BG175" s="9">
        <v>0</v>
      </c>
      <c r="BH175" s="9">
        <v>62.089000000000006</v>
      </c>
      <c r="BI175" s="9">
        <v>17074</v>
      </c>
      <c r="BJ175" s="9">
        <v>12</v>
      </c>
      <c r="BK175" s="9">
        <v>0</v>
      </c>
      <c r="BL175" s="9">
        <v>0</v>
      </c>
      <c r="BM175" s="9">
        <v>0</v>
      </c>
      <c r="BN175" s="9">
        <v>0</v>
      </c>
      <c r="BO175" s="9">
        <v>0</v>
      </c>
      <c r="BP175" s="9">
        <v>0</v>
      </c>
      <c r="BQ175" s="9">
        <v>5392</v>
      </c>
      <c r="BR175" s="9">
        <v>1</v>
      </c>
      <c r="BS175" s="9">
        <v>0</v>
      </c>
      <c r="BT175" s="9">
        <v>0</v>
      </c>
      <c r="BU175" s="9">
        <v>0</v>
      </c>
      <c r="BV175" s="9">
        <v>0</v>
      </c>
      <c r="BW175" s="9">
        <v>0</v>
      </c>
      <c r="BX175" s="9">
        <v>0</v>
      </c>
      <c r="BY175" s="9">
        <v>0</v>
      </c>
      <c r="BZ175" s="9">
        <v>0</v>
      </c>
      <c r="CA175" s="9">
        <v>0</v>
      </c>
      <c r="CB175" s="9">
        <v>0</v>
      </c>
      <c r="CC175" s="9">
        <v>0</v>
      </c>
      <c r="CD175" s="9">
        <v>0</v>
      </c>
      <c r="CE175" s="9">
        <v>0</v>
      </c>
      <c r="CF175" s="9">
        <v>0</v>
      </c>
      <c r="CG175" s="9">
        <v>0</v>
      </c>
      <c r="CH175" s="9">
        <v>71832</v>
      </c>
      <c r="CI175" s="9">
        <v>0</v>
      </c>
      <c r="CJ175" s="9">
        <v>4</v>
      </c>
      <c r="CK175" s="9">
        <v>0</v>
      </c>
      <c r="CL175" s="9">
        <v>0</v>
      </c>
      <c r="CM175" s="9">
        <v>0</v>
      </c>
      <c r="CN175" s="9">
        <v>0</v>
      </c>
      <c r="CO175" s="9">
        <v>0</v>
      </c>
      <c r="CP175" s="9">
        <v>0</v>
      </c>
      <c r="CQ175" s="9">
        <v>0.83300000000000007</v>
      </c>
      <c r="CR175" s="9">
        <v>322.67400000000004</v>
      </c>
      <c r="CS175" s="9">
        <v>0</v>
      </c>
      <c r="CT175" s="9">
        <v>0</v>
      </c>
      <c r="CU175" s="9">
        <v>0</v>
      </c>
      <c r="CV175" s="9">
        <v>0</v>
      </c>
      <c r="CW175" s="9">
        <v>0</v>
      </c>
      <c r="CX175" s="9">
        <v>0</v>
      </c>
      <c r="CY175" s="9">
        <v>0</v>
      </c>
      <c r="CZ175" s="9">
        <v>0</v>
      </c>
      <c r="DA175" s="9">
        <v>1</v>
      </c>
      <c r="DB175" s="9">
        <v>2403652</v>
      </c>
      <c r="DC175" s="9">
        <v>0</v>
      </c>
      <c r="DD175" s="9">
        <v>0</v>
      </c>
      <c r="DE175" s="9">
        <v>475967</v>
      </c>
      <c r="DF175" s="9">
        <v>475967</v>
      </c>
      <c r="DG175" s="9">
        <v>363.5</v>
      </c>
      <c r="DH175" s="9">
        <v>0</v>
      </c>
      <c r="DI175" s="9">
        <v>0</v>
      </c>
      <c r="DJ175" s="9">
        <v>0</v>
      </c>
      <c r="DK175" s="9">
        <v>5392</v>
      </c>
      <c r="DL175" s="9">
        <v>0</v>
      </c>
      <c r="DM175" s="9">
        <v>303433</v>
      </c>
      <c r="DN175" s="9">
        <v>0</v>
      </c>
      <c r="DO175" s="9">
        <v>0</v>
      </c>
      <c r="DP175" s="9">
        <v>0</v>
      </c>
      <c r="DQ175" s="9">
        <v>0</v>
      </c>
      <c r="DR175" s="9">
        <v>0</v>
      </c>
      <c r="DS175" s="9">
        <v>0</v>
      </c>
      <c r="DT175" s="9">
        <v>0</v>
      </c>
      <c r="DU175" s="9">
        <v>0</v>
      </c>
      <c r="DV175" s="9">
        <v>0</v>
      </c>
      <c r="DW175" s="9">
        <v>0</v>
      </c>
      <c r="DX175" s="9">
        <v>0</v>
      </c>
      <c r="DY175" s="9">
        <v>0</v>
      </c>
      <c r="DZ175" s="9">
        <v>0</v>
      </c>
      <c r="EA175" s="9">
        <v>0</v>
      </c>
      <c r="EB175" s="9">
        <v>0</v>
      </c>
      <c r="EC175" s="9">
        <v>22.879000000000001</v>
      </c>
      <c r="ED175" s="9">
        <v>164768</v>
      </c>
      <c r="EE175" s="9">
        <v>0</v>
      </c>
      <c r="EF175" s="9">
        <v>0</v>
      </c>
      <c r="EG175" s="9">
        <v>0</v>
      </c>
      <c r="EH175" s="9">
        <v>138665</v>
      </c>
      <c r="EI175" s="9">
        <v>0</v>
      </c>
      <c r="EJ175" s="9">
        <v>0</v>
      </c>
      <c r="EK175" s="9">
        <v>6.65</v>
      </c>
      <c r="EL175" s="9">
        <v>0</v>
      </c>
      <c r="EM175" s="9">
        <v>0</v>
      </c>
      <c r="EN175" s="9">
        <v>0.24600000000000002</v>
      </c>
      <c r="EO175" s="9">
        <v>0</v>
      </c>
      <c r="EP175" s="9">
        <v>0</v>
      </c>
      <c r="EQ175" s="9">
        <v>6.8959999999999999</v>
      </c>
      <c r="ER175" s="9">
        <v>0</v>
      </c>
      <c r="ES175" s="9">
        <v>21.18</v>
      </c>
      <c r="ET175" s="9">
        <v>5792</v>
      </c>
      <c r="EU175" s="9">
        <v>179399</v>
      </c>
      <c r="EV175" s="9">
        <v>0</v>
      </c>
      <c r="EW175" s="9">
        <v>0</v>
      </c>
      <c r="EX175" s="9">
        <v>0</v>
      </c>
      <c r="EY175" s="9">
        <v>0</v>
      </c>
      <c r="EZ175" s="9">
        <v>3025880</v>
      </c>
      <c r="FA175" s="9">
        <v>0</v>
      </c>
      <c r="FB175" s="9">
        <v>3205279</v>
      </c>
      <c r="FC175" s="9">
        <v>0.97326799999999991</v>
      </c>
      <c r="FD175" s="9">
        <v>0</v>
      </c>
      <c r="FE175" s="9">
        <v>480022</v>
      </c>
      <c r="FF175" s="9">
        <v>102220</v>
      </c>
      <c r="FG175" s="9">
        <v>5.8088000000000001E-2</v>
      </c>
      <c r="FH175" s="9">
        <v>5.2622999999999996E-2</v>
      </c>
      <c r="FI175" s="9">
        <v>0</v>
      </c>
      <c r="FJ175" s="9">
        <v>0</v>
      </c>
      <c r="FK175" s="9">
        <v>607.98300000000006</v>
      </c>
      <c r="FL175" s="9">
        <v>3859353</v>
      </c>
      <c r="FM175" s="9">
        <v>0</v>
      </c>
      <c r="FN175" s="9">
        <v>0</v>
      </c>
      <c r="FO175" s="9">
        <v>0</v>
      </c>
      <c r="FP175" s="9">
        <v>0</v>
      </c>
      <c r="FQ175" s="9">
        <v>0</v>
      </c>
      <c r="FR175" s="9">
        <v>0</v>
      </c>
      <c r="FS175" s="9">
        <v>0</v>
      </c>
      <c r="FT175" s="9">
        <v>0</v>
      </c>
      <c r="FU175" s="9">
        <v>0</v>
      </c>
      <c r="FV175" s="9">
        <v>0</v>
      </c>
      <c r="FW175" s="9">
        <v>0</v>
      </c>
      <c r="FX175" s="9">
        <v>0</v>
      </c>
      <c r="FY175" s="9">
        <v>0</v>
      </c>
      <c r="FZ175" s="9">
        <v>0</v>
      </c>
      <c r="GA175" s="9">
        <v>0</v>
      </c>
      <c r="GB175" s="9">
        <v>5153</v>
      </c>
      <c r="GC175" s="9">
        <v>5153</v>
      </c>
      <c r="GD175" s="9">
        <v>0.58300000000000007</v>
      </c>
      <c r="GE175" s="9">
        <v>0</v>
      </c>
      <c r="GF175" s="9">
        <v>0</v>
      </c>
      <c r="GG175" s="9">
        <v>0</v>
      </c>
      <c r="GH175" s="9">
        <v>0</v>
      </c>
      <c r="GI175" s="9">
        <v>0</v>
      </c>
      <c r="GJ175" s="9">
        <v>0</v>
      </c>
      <c r="GK175" s="9">
        <v>5191</v>
      </c>
      <c r="GL175" s="9">
        <v>4692</v>
      </c>
      <c r="GM175" s="9">
        <v>0</v>
      </c>
      <c r="GN175" s="9">
        <v>0</v>
      </c>
      <c r="GO175" s="9">
        <v>0</v>
      </c>
      <c r="GP175" s="9">
        <v>3787521</v>
      </c>
      <c r="GQ175" s="9">
        <v>3787521</v>
      </c>
      <c r="GR175" s="9">
        <v>0</v>
      </c>
      <c r="GS175" s="9">
        <v>0</v>
      </c>
      <c r="GT175" s="9">
        <v>0</v>
      </c>
      <c r="GU175" s="9">
        <v>0</v>
      </c>
      <c r="GV175" s="9">
        <v>0</v>
      </c>
      <c r="GW175" s="9">
        <v>0</v>
      </c>
      <c r="GX175" s="9">
        <v>0</v>
      </c>
      <c r="GY175" s="9">
        <v>0</v>
      </c>
      <c r="GZ175" s="9">
        <v>0</v>
      </c>
      <c r="HA175" s="9">
        <v>0</v>
      </c>
      <c r="HB175" s="9">
        <v>300501363</v>
      </c>
      <c r="HC175" s="9">
        <v>4.4742999999999998E-2</v>
      </c>
      <c r="HD175" s="9">
        <v>66040</v>
      </c>
      <c r="HE175" s="9">
        <v>0</v>
      </c>
      <c r="HF175" s="9">
        <v>0</v>
      </c>
      <c r="HG175" s="9">
        <v>0</v>
      </c>
      <c r="HH175" s="9">
        <v>0</v>
      </c>
      <c r="HI175" s="9">
        <v>0</v>
      </c>
      <c r="HJ175" s="9">
        <v>0</v>
      </c>
      <c r="HK175" s="9">
        <v>0</v>
      </c>
      <c r="HL175" s="9">
        <v>0</v>
      </c>
      <c r="HM175" s="9">
        <v>0</v>
      </c>
      <c r="HN175" s="9">
        <v>0</v>
      </c>
      <c r="HO175" s="9">
        <v>0</v>
      </c>
      <c r="HP175" s="9">
        <v>0</v>
      </c>
      <c r="HQ175" s="9">
        <v>0</v>
      </c>
      <c r="HR175" s="9">
        <v>0</v>
      </c>
      <c r="HS175" s="9">
        <v>0</v>
      </c>
      <c r="HT175" s="9">
        <v>0</v>
      </c>
      <c r="HU175" s="9">
        <v>0</v>
      </c>
      <c r="HV175" s="9">
        <v>0</v>
      </c>
      <c r="HW175" s="9">
        <v>0</v>
      </c>
      <c r="HX175" s="9">
        <v>0</v>
      </c>
      <c r="HY175" s="9">
        <v>0</v>
      </c>
      <c r="HZ175" s="9">
        <v>0</v>
      </c>
      <c r="IA175" s="9">
        <v>0</v>
      </c>
      <c r="IB175" s="9">
        <v>0</v>
      </c>
      <c r="IC175" s="9">
        <v>0</v>
      </c>
      <c r="ID175" s="9">
        <v>0</v>
      </c>
      <c r="IE175" s="9">
        <v>0</v>
      </c>
      <c r="IF175" s="9">
        <v>0</v>
      </c>
      <c r="IG175" s="9">
        <v>0</v>
      </c>
      <c r="IH175" s="9">
        <v>0</v>
      </c>
      <c r="II175" s="9">
        <v>0</v>
      </c>
      <c r="IJ175" s="9">
        <v>0</v>
      </c>
      <c r="IK175" s="9">
        <v>0</v>
      </c>
      <c r="IL175" s="9">
        <v>0</v>
      </c>
      <c r="IM175" s="9">
        <v>0</v>
      </c>
      <c r="IN175" s="9">
        <v>0</v>
      </c>
      <c r="IO175" s="9">
        <v>0</v>
      </c>
      <c r="IP175" s="9">
        <v>0</v>
      </c>
      <c r="IQ175" s="9">
        <v>0</v>
      </c>
      <c r="IR175" s="9">
        <v>0</v>
      </c>
      <c r="IS175" s="9">
        <v>0</v>
      </c>
      <c r="IT175" s="9">
        <v>0</v>
      </c>
      <c r="IU175" s="9">
        <v>0</v>
      </c>
      <c r="IV175" s="9">
        <v>0</v>
      </c>
      <c r="IW175" s="9">
        <v>0</v>
      </c>
      <c r="IX175" s="9">
        <v>0</v>
      </c>
      <c r="IY175" s="9">
        <v>0</v>
      </c>
      <c r="IZ175" s="9">
        <v>0</v>
      </c>
      <c r="JA175" s="9">
        <v>0</v>
      </c>
      <c r="JB175" s="9">
        <v>0</v>
      </c>
      <c r="JC175" s="9">
        <v>0</v>
      </c>
      <c r="JD175" s="9">
        <v>0</v>
      </c>
      <c r="JE175" s="9">
        <v>0</v>
      </c>
      <c r="JF175" s="9">
        <v>0</v>
      </c>
      <c r="JG175" s="9">
        <v>0</v>
      </c>
      <c r="JH175" s="9">
        <v>0</v>
      </c>
      <c r="JI175" s="9">
        <v>0</v>
      </c>
      <c r="JJ175" s="9">
        <v>0</v>
      </c>
      <c r="JK175" s="9">
        <v>0</v>
      </c>
      <c r="JL175" s="9">
        <v>0</v>
      </c>
      <c r="JM175" s="9">
        <v>0</v>
      </c>
      <c r="JN175" s="9">
        <v>36832</v>
      </c>
      <c r="JO175" s="9">
        <v>0</v>
      </c>
      <c r="JP175" s="9">
        <v>0</v>
      </c>
      <c r="JQ175" s="9">
        <v>0</v>
      </c>
      <c r="JR175" s="9">
        <v>0</v>
      </c>
      <c r="JS175" s="9">
        <v>0</v>
      </c>
      <c r="JT175" s="9">
        <v>0</v>
      </c>
      <c r="JU175" s="9">
        <v>0</v>
      </c>
      <c r="JV175" s="9">
        <v>0</v>
      </c>
      <c r="JW175" s="9">
        <v>0</v>
      </c>
      <c r="JX175" s="9">
        <v>0</v>
      </c>
      <c r="JY175" s="9">
        <v>0</v>
      </c>
      <c r="JZ175" s="9">
        <v>0</v>
      </c>
      <c r="KA175" s="9">
        <v>0</v>
      </c>
      <c r="KB175" s="9">
        <v>0</v>
      </c>
      <c r="KC175" s="9">
        <v>0</v>
      </c>
      <c r="KD175" s="9">
        <v>0</v>
      </c>
      <c r="KE175" s="9">
        <v>0</v>
      </c>
      <c r="KF175" s="9">
        <v>0</v>
      </c>
      <c r="KG175" s="9">
        <v>0</v>
      </c>
      <c r="KH175" s="9">
        <v>0</v>
      </c>
      <c r="KI175" s="9">
        <v>0</v>
      </c>
    </row>
    <row r="176" spans="1:295" x14ac:dyDescent="0.25">
      <c r="A176" s="9">
        <v>227806</v>
      </c>
      <c r="B176" s="9">
        <v>36871</v>
      </c>
      <c r="C176" s="9">
        <v>35</v>
      </c>
      <c r="D176" s="9">
        <v>2023</v>
      </c>
      <c r="E176" s="9">
        <v>5392</v>
      </c>
      <c r="F176" s="9">
        <v>0</v>
      </c>
      <c r="G176" s="9">
        <v>0</v>
      </c>
      <c r="H176" s="9">
        <v>369.62100000000004</v>
      </c>
      <c r="I176" s="9">
        <v>369.62100000000004</v>
      </c>
      <c r="J176" s="9">
        <v>559.94500000000005</v>
      </c>
      <c r="K176" s="9">
        <v>0</v>
      </c>
      <c r="L176" s="9">
        <v>6547</v>
      </c>
      <c r="M176" s="9">
        <v>0</v>
      </c>
      <c r="N176" s="9">
        <v>0</v>
      </c>
      <c r="O176" s="9">
        <v>0</v>
      </c>
      <c r="P176" s="9">
        <v>577.12900000000002</v>
      </c>
      <c r="Q176" s="9">
        <v>0</v>
      </c>
      <c r="R176" s="9">
        <v>281017</v>
      </c>
      <c r="S176" s="9">
        <v>486.92200000000003</v>
      </c>
      <c r="T176" s="9">
        <v>0</v>
      </c>
      <c r="U176" s="9">
        <v>281017</v>
      </c>
      <c r="V176" s="9">
        <v>22.617000000000001</v>
      </c>
      <c r="W176" s="9">
        <v>14807</v>
      </c>
      <c r="X176" s="9">
        <v>14807</v>
      </c>
      <c r="Y176" s="9">
        <v>0</v>
      </c>
      <c r="Z176" s="9">
        <v>0</v>
      </c>
      <c r="AA176" s="9">
        <v>1</v>
      </c>
      <c r="AB176" s="9">
        <v>1</v>
      </c>
      <c r="AC176" s="9">
        <v>0</v>
      </c>
      <c r="AD176" s="9" t="s">
        <v>314</v>
      </c>
      <c r="AE176" s="9">
        <v>0</v>
      </c>
      <c r="AF176" s="9">
        <v>0</v>
      </c>
      <c r="AG176" s="9">
        <v>0</v>
      </c>
      <c r="AH176" s="9">
        <v>0</v>
      </c>
      <c r="AI176" s="9">
        <v>0</v>
      </c>
      <c r="AJ176" s="9">
        <v>5104</v>
      </c>
      <c r="AK176" s="9" t="s">
        <v>651</v>
      </c>
      <c r="AL176" s="9" t="s">
        <v>85</v>
      </c>
      <c r="AM176" s="9">
        <v>0</v>
      </c>
      <c r="AN176" s="9">
        <v>0</v>
      </c>
      <c r="AO176" s="9">
        <v>0</v>
      </c>
      <c r="AP176" s="9">
        <v>0</v>
      </c>
      <c r="AQ176" s="9">
        <v>0</v>
      </c>
      <c r="AR176" s="9">
        <v>0</v>
      </c>
      <c r="AS176" s="9">
        <v>0</v>
      </c>
      <c r="AT176" s="9">
        <v>0</v>
      </c>
      <c r="AU176" s="9">
        <v>0</v>
      </c>
      <c r="AV176" s="9">
        <v>-225755</v>
      </c>
      <c r="AW176" s="9">
        <v>9915502</v>
      </c>
      <c r="AX176" s="9">
        <v>9724632</v>
      </c>
      <c r="AY176" s="9">
        <v>9689563</v>
      </c>
      <c r="AZ176" s="9">
        <v>373176</v>
      </c>
      <c r="BA176" s="9">
        <v>0</v>
      </c>
      <c r="BB176" s="9">
        <v>21996</v>
      </c>
      <c r="BC176" s="9">
        <v>21996</v>
      </c>
      <c r="BD176" s="9">
        <v>27.997</v>
      </c>
      <c r="BE176" s="9">
        <v>0</v>
      </c>
      <c r="BF176" s="9">
        <v>8234381</v>
      </c>
      <c r="BG176" s="9">
        <v>0</v>
      </c>
      <c r="BH176" s="9">
        <v>335.125</v>
      </c>
      <c r="BI176" s="9">
        <v>92159</v>
      </c>
      <c r="BJ176" s="9">
        <v>12</v>
      </c>
      <c r="BK176" s="9">
        <v>0</v>
      </c>
      <c r="BL176" s="9">
        <v>0</v>
      </c>
      <c r="BM176" s="9">
        <v>0</v>
      </c>
      <c r="BN176" s="9">
        <v>0</v>
      </c>
      <c r="BO176" s="9">
        <v>0</v>
      </c>
      <c r="BP176" s="9">
        <v>0</v>
      </c>
      <c r="BQ176" s="9">
        <v>5392</v>
      </c>
      <c r="BR176" s="9">
        <v>1</v>
      </c>
      <c r="BS176" s="9">
        <v>0</v>
      </c>
      <c r="BT176" s="9">
        <v>0</v>
      </c>
      <c r="BU176" s="9">
        <v>0</v>
      </c>
      <c r="BV176" s="9">
        <v>0</v>
      </c>
      <c r="BW176" s="9">
        <v>0</v>
      </c>
      <c r="BX176" s="9">
        <v>0</v>
      </c>
      <c r="BY176" s="9">
        <v>0</v>
      </c>
      <c r="BZ176" s="9">
        <v>0</v>
      </c>
      <c r="CA176" s="9">
        <v>0</v>
      </c>
      <c r="CB176" s="9">
        <v>0</v>
      </c>
      <c r="CC176" s="9">
        <v>0</v>
      </c>
      <c r="CD176" s="9">
        <v>0</v>
      </c>
      <c r="CE176" s="9">
        <v>0</v>
      </c>
      <c r="CF176" s="9">
        <v>0</v>
      </c>
      <c r="CG176" s="9">
        <v>0</v>
      </c>
      <c r="CH176" s="9">
        <v>98711</v>
      </c>
      <c r="CI176" s="9">
        <v>0</v>
      </c>
      <c r="CJ176" s="9">
        <v>4</v>
      </c>
      <c r="CK176" s="9">
        <v>0</v>
      </c>
      <c r="CL176" s="9">
        <v>0</v>
      </c>
      <c r="CM176" s="9">
        <v>0</v>
      </c>
      <c r="CN176" s="9">
        <v>0</v>
      </c>
      <c r="CO176" s="9">
        <v>0</v>
      </c>
      <c r="CP176" s="9">
        <v>1.595</v>
      </c>
      <c r="CQ176" s="9">
        <v>0</v>
      </c>
      <c r="CR176" s="9">
        <v>551.16500000000008</v>
      </c>
      <c r="CS176" s="9">
        <v>0</v>
      </c>
      <c r="CT176" s="9">
        <v>0</v>
      </c>
      <c r="CU176" s="9">
        <v>0</v>
      </c>
      <c r="CV176" s="9">
        <v>0</v>
      </c>
      <c r="CW176" s="9">
        <v>0</v>
      </c>
      <c r="CX176" s="9">
        <v>0</v>
      </c>
      <c r="CY176" s="9">
        <v>0</v>
      </c>
      <c r="CZ176" s="9">
        <v>0</v>
      </c>
      <c r="DA176" s="9">
        <v>1</v>
      </c>
      <c r="DB176" s="9">
        <v>2419909</v>
      </c>
      <c r="DC176" s="9">
        <v>0</v>
      </c>
      <c r="DD176" s="9">
        <v>0</v>
      </c>
      <c r="DE176" s="9">
        <v>855261</v>
      </c>
      <c r="DF176" s="9">
        <v>880427</v>
      </c>
      <c r="DG176" s="9">
        <v>653.16999999999996</v>
      </c>
      <c r="DH176" s="9">
        <v>0</v>
      </c>
      <c r="DI176" s="9">
        <v>25166</v>
      </c>
      <c r="DJ176" s="9">
        <v>0</v>
      </c>
      <c r="DK176" s="9">
        <v>5392</v>
      </c>
      <c r="DL176" s="9">
        <v>0</v>
      </c>
      <c r="DM176" s="9">
        <v>5123410</v>
      </c>
      <c r="DN176" s="9">
        <v>0</v>
      </c>
      <c r="DO176" s="9">
        <v>12698</v>
      </c>
      <c r="DP176" s="9">
        <v>0</v>
      </c>
      <c r="DQ176" s="9">
        <v>0</v>
      </c>
      <c r="DR176" s="9">
        <v>0</v>
      </c>
      <c r="DS176" s="9">
        <v>0.63900000000000001</v>
      </c>
      <c r="DT176" s="9">
        <v>0</v>
      </c>
      <c r="DU176" s="9">
        <v>0</v>
      </c>
      <c r="DV176" s="9">
        <v>0</v>
      </c>
      <c r="DW176" s="9">
        <v>6.0000000000000001E-3</v>
      </c>
      <c r="DX176" s="9">
        <v>0</v>
      </c>
      <c r="DY176" s="9">
        <v>0</v>
      </c>
      <c r="DZ176" s="9">
        <v>2.5860000000000003</v>
      </c>
      <c r="EA176" s="9">
        <v>4.2000000000000003E-2</v>
      </c>
      <c r="EB176" s="9">
        <v>0</v>
      </c>
      <c r="EC176" s="9">
        <v>17.659000000000002</v>
      </c>
      <c r="ED176" s="9">
        <v>127175</v>
      </c>
      <c r="EE176" s="9">
        <v>0</v>
      </c>
      <c r="EF176" s="9">
        <v>0</v>
      </c>
      <c r="EG176" s="9">
        <v>0</v>
      </c>
      <c r="EH176" s="9">
        <v>74073</v>
      </c>
      <c r="EI176" s="9">
        <v>4909464</v>
      </c>
      <c r="EJ176" s="9">
        <v>187.47</v>
      </c>
      <c r="EK176" s="9">
        <v>1.478</v>
      </c>
      <c r="EL176" s="9">
        <v>0</v>
      </c>
      <c r="EM176" s="9">
        <v>0</v>
      </c>
      <c r="EN176" s="9">
        <v>1.3340000000000001</v>
      </c>
      <c r="EO176" s="9">
        <v>0</v>
      </c>
      <c r="EP176" s="9">
        <v>0</v>
      </c>
      <c r="EQ176" s="9">
        <v>190.32400000000001</v>
      </c>
      <c r="ER176" s="9">
        <v>0</v>
      </c>
      <c r="ES176" s="9">
        <v>11.314</v>
      </c>
      <c r="ET176" s="9">
        <v>0</v>
      </c>
      <c r="EU176" s="9">
        <v>373176</v>
      </c>
      <c r="EV176" s="9">
        <v>0</v>
      </c>
      <c r="EW176" s="9">
        <v>0</v>
      </c>
      <c r="EX176" s="9">
        <v>0</v>
      </c>
      <c r="EY176" s="9">
        <v>0</v>
      </c>
      <c r="EZ176" s="9">
        <v>8179532</v>
      </c>
      <c r="FA176" s="9">
        <v>0</v>
      </c>
      <c r="FB176" s="9">
        <v>8552708</v>
      </c>
      <c r="FC176" s="9">
        <v>0.97326799999999991</v>
      </c>
      <c r="FD176" s="9">
        <v>0</v>
      </c>
      <c r="FE176" s="9">
        <v>1273837</v>
      </c>
      <c r="FF176" s="9">
        <v>271263</v>
      </c>
      <c r="FG176" s="9">
        <v>5.8088000000000001E-2</v>
      </c>
      <c r="FH176" s="9">
        <v>5.2622999999999996E-2</v>
      </c>
      <c r="FI176" s="9">
        <v>0</v>
      </c>
      <c r="FJ176" s="9">
        <v>0</v>
      </c>
      <c r="FK176" s="9">
        <v>1613.4070000000002</v>
      </c>
      <c r="FL176" s="9">
        <v>10196519</v>
      </c>
      <c r="FM176" s="9">
        <v>0</v>
      </c>
      <c r="FN176" s="9">
        <v>0</v>
      </c>
      <c r="FO176" s="9">
        <v>0</v>
      </c>
      <c r="FP176" s="9">
        <v>0</v>
      </c>
      <c r="FQ176" s="9">
        <v>0</v>
      </c>
      <c r="FR176" s="9">
        <v>0</v>
      </c>
      <c r="FS176" s="9">
        <v>0</v>
      </c>
      <c r="FT176" s="9">
        <v>0</v>
      </c>
      <c r="FU176" s="9">
        <v>0</v>
      </c>
      <c r="FV176" s="9">
        <v>0</v>
      </c>
      <c r="FW176" s="9">
        <v>0</v>
      </c>
      <c r="FX176" s="9">
        <v>0</v>
      </c>
      <c r="FY176" s="9">
        <v>0</v>
      </c>
      <c r="FZ176" s="9">
        <v>0</v>
      </c>
      <c r="GA176" s="9">
        <v>0</v>
      </c>
      <c r="GB176" s="9">
        <v>0</v>
      </c>
      <c r="GC176" s="9">
        <v>0</v>
      </c>
      <c r="GD176" s="9">
        <v>0</v>
      </c>
      <c r="GE176" s="9">
        <v>0</v>
      </c>
      <c r="GF176" s="9">
        <v>0</v>
      </c>
      <c r="GG176" s="9">
        <v>0</v>
      </c>
      <c r="GH176" s="9">
        <v>0</v>
      </c>
      <c r="GI176" s="9">
        <v>0</v>
      </c>
      <c r="GJ176" s="9">
        <v>0</v>
      </c>
      <c r="GK176" s="9">
        <v>5062</v>
      </c>
      <c r="GL176" s="9">
        <v>68817</v>
      </c>
      <c r="GM176" s="9">
        <v>0</v>
      </c>
      <c r="GN176" s="9">
        <v>0</v>
      </c>
      <c r="GO176" s="9">
        <v>0</v>
      </c>
      <c r="GP176" s="9">
        <v>10097808</v>
      </c>
      <c r="GQ176" s="9">
        <v>10097808</v>
      </c>
      <c r="GR176" s="9">
        <v>0</v>
      </c>
      <c r="GS176" s="9">
        <v>0</v>
      </c>
      <c r="GT176" s="9">
        <v>0</v>
      </c>
      <c r="GU176" s="9">
        <v>0</v>
      </c>
      <c r="GV176" s="9">
        <v>0</v>
      </c>
      <c r="GW176" s="9">
        <v>0</v>
      </c>
      <c r="GX176" s="9">
        <v>0</v>
      </c>
      <c r="GY176" s="9">
        <v>0</v>
      </c>
      <c r="GZ176" s="9">
        <v>0</v>
      </c>
      <c r="HA176" s="9">
        <v>0</v>
      </c>
      <c r="HB176" s="9">
        <v>300501363</v>
      </c>
      <c r="HC176" s="9">
        <v>4.4742999999999998E-2</v>
      </c>
      <c r="HD176" s="9">
        <v>98711</v>
      </c>
      <c r="HE176" s="9">
        <v>0</v>
      </c>
      <c r="HF176" s="9">
        <v>0</v>
      </c>
      <c r="HG176" s="9">
        <v>0</v>
      </c>
      <c r="HH176" s="9">
        <v>0</v>
      </c>
      <c r="HI176" s="9">
        <v>0</v>
      </c>
      <c r="HJ176" s="9">
        <v>0</v>
      </c>
      <c r="HK176" s="9">
        <v>0</v>
      </c>
      <c r="HL176" s="9">
        <v>0</v>
      </c>
      <c r="HM176" s="9">
        <v>0</v>
      </c>
      <c r="HN176" s="9">
        <v>0</v>
      </c>
      <c r="HO176" s="9">
        <v>0</v>
      </c>
      <c r="HP176" s="9">
        <v>0</v>
      </c>
      <c r="HQ176" s="9">
        <v>0</v>
      </c>
      <c r="HR176" s="9">
        <v>0</v>
      </c>
      <c r="HS176" s="9">
        <v>0</v>
      </c>
      <c r="HT176" s="9">
        <v>0</v>
      </c>
      <c r="HU176" s="9">
        <v>0</v>
      </c>
      <c r="HV176" s="9">
        <v>0</v>
      </c>
      <c r="HW176" s="9">
        <v>0</v>
      </c>
      <c r="HX176" s="9">
        <v>0</v>
      </c>
      <c r="HY176" s="9">
        <v>0</v>
      </c>
      <c r="HZ176" s="9">
        <v>0</v>
      </c>
      <c r="IA176" s="9">
        <v>0</v>
      </c>
      <c r="IB176" s="9">
        <v>0</v>
      </c>
      <c r="IC176" s="9">
        <v>0</v>
      </c>
      <c r="ID176" s="9">
        <v>0</v>
      </c>
      <c r="IE176" s="9">
        <v>0</v>
      </c>
      <c r="IF176" s="9">
        <v>0</v>
      </c>
      <c r="IG176" s="9">
        <v>0</v>
      </c>
      <c r="IH176" s="9">
        <v>0</v>
      </c>
      <c r="II176" s="9">
        <v>0</v>
      </c>
      <c r="IJ176" s="9">
        <v>0</v>
      </c>
      <c r="IK176" s="9">
        <v>0</v>
      </c>
      <c r="IL176" s="9">
        <v>0</v>
      </c>
      <c r="IM176" s="9">
        <v>0</v>
      </c>
      <c r="IN176" s="9">
        <v>0</v>
      </c>
      <c r="IO176" s="9">
        <v>0</v>
      </c>
      <c r="IP176" s="9">
        <v>0</v>
      </c>
      <c r="IQ176" s="9">
        <v>0</v>
      </c>
      <c r="IR176" s="9">
        <v>0</v>
      </c>
      <c r="IS176" s="9">
        <v>0</v>
      </c>
      <c r="IT176" s="9">
        <v>0</v>
      </c>
      <c r="IU176" s="9">
        <v>0</v>
      </c>
      <c r="IV176" s="9">
        <v>0</v>
      </c>
      <c r="IW176" s="9">
        <v>0</v>
      </c>
      <c r="IX176" s="9">
        <v>0</v>
      </c>
      <c r="IY176" s="9">
        <v>0</v>
      </c>
      <c r="IZ176" s="9">
        <v>0</v>
      </c>
      <c r="JA176" s="9">
        <v>0</v>
      </c>
      <c r="JB176" s="9">
        <v>0</v>
      </c>
      <c r="JC176" s="9">
        <v>0</v>
      </c>
      <c r="JD176" s="9">
        <v>0</v>
      </c>
      <c r="JE176" s="9">
        <v>0</v>
      </c>
      <c r="JF176" s="9">
        <v>0</v>
      </c>
      <c r="JG176" s="9">
        <v>0</v>
      </c>
      <c r="JH176" s="9">
        <v>0</v>
      </c>
      <c r="JI176" s="9">
        <v>0</v>
      </c>
      <c r="JJ176" s="9">
        <v>0</v>
      </c>
      <c r="JK176" s="9">
        <v>0</v>
      </c>
      <c r="JL176" s="9">
        <v>0</v>
      </c>
      <c r="JM176" s="9">
        <v>0</v>
      </c>
      <c r="JN176" s="9">
        <v>36832</v>
      </c>
      <c r="JO176" s="9">
        <v>0</v>
      </c>
      <c r="JP176" s="9">
        <v>0</v>
      </c>
      <c r="JQ176" s="9">
        <v>0</v>
      </c>
      <c r="JR176" s="9">
        <v>0</v>
      </c>
      <c r="JS176" s="9">
        <v>0</v>
      </c>
      <c r="JT176" s="9">
        <v>0</v>
      </c>
      <c r="JU176" s="9">
        <v>0</v>
      </c>
      <c r="JV176" s="9">
        <v>0</v>
      </c>
      <c r="JW176" s="9">
        <v>0</v>
      </c>
      <c r="JX176" s="9">
        <v>0</v>
      </c>
      <c r="JY176" s="9">
        <v>0</v>
      </c>
      <c r="JZ176" s="9">
        <v>0</v>
      </c>
      <c r="KA176" s="9">
        <v>0</v>
      </c>
      <c r="KB176" s="9">
        <v>0</v>
      </c>
      <c r="KC176" s="9">
        <v>0</v>
      </c>
      <c r="KD176" s="9">
        <v>0</v>
      </c>
      <c r="KE176" s="9">
        <v>0</v>
      </c>
      <c r="KF176" s="9">
        <v>0</v>
      </c>
      <c r="KG176" s="9">
        <v>0</v>
      </c>
      <c r="KH176" s="9">
        <v>0</v>
      </c>
      <c r="KI176" s="9">
        <v>0</v>
      </c>
    </row>
    <row r="177" spans="1:295" x14ac:dyDescent="0.25">
      <c r="A177" s="9">
        <v>227814</v>
      </c>
      <c r="B177" s="9">
        <v>36871</v>
      </c>
      <c r="C177" s="9">
        <v>35</v>
      </c>
      <c r="D177" s="9">
        <v>2023</v>
      </c>
      <c r="E177" s="9">
        <v>5392</v>
      </c>
      <c r="F177" s="9">
        <v>0</v>
      </c>
      <c r="G177" s="9">
        <v>0</v>
      </c>
      <c r="H177" s="9">
        <v>348.50700000000001</v>
      </c>
      <c r="I177" s="9">
        <v>348.50700000000001</v>
      </c>
      <c r="J177" s="9">
        <v>349.673</v>
      </c>
      <c r="K177" s="9">
        <v>0</v>
      </c>
      <c r="L177" s="9">
        <v>6547</v>
      </c>
      <c r="M177" s="9">
        <v>0</v>
      </c>
      <c r="N177" s="9">
        <v>0</v>
      </c>
      <c r="O177" s="9">
        <v>0</v>
      </c>
      <c r="P177" s="9">
        <v>347.529</v>
      </c>
      <c r="Q177" s="9">
        <v>0</v>
      </c>
      <c r="R177" s="9">
        <v>169220</v>
      </c>
      <c r="S177" s="9">
        <v>486.92200000000003</v>
      </c>
      <c r="T177" s="9">
        <v>0</v>
      </c>
      <c r="U177" s="9">
        <v>169220</v>
      </c>
      <c r="V177" s="9">
        <v>36.344999999999999</v>
      </c>
      <c r="W177" s="9">
        <v>23795</v>
      </c>
      <c r="X177" s="9">
        <v>23795</v>
      </c>
      <c r="Y177" s="9">
        <v>0</v>
      </c>
      <c r="Z177" s="9">
        <v>0</v>
      </c>
      <c r="AA177" s="9">
        <v>1</v>
      </c>
      <c r="AB177" s="9">
        <v>1</v>
      </c>
      <c r="AC177" s="9">
        <v>0</v>
      </c>
      <c r="AD177" s="9" t="s">
        <v>314</v>
      </c>
      <c r="AE177" s="9">
        <v>0</v>
      </c>
      <c r="AF177" s="9">
        <v>0</v>
      </c>
      <c r="AG177" s="9">
        <v>0</v>
      </c>
      <c r="AH177" s="9">
        <v>0</v>
      </c>
      <c r="AI177" s="9">
        <v>0</v>
      </c>
      <c r="AJ177" s="9">
        <v>5104</v>
      </c>
      <c r="AK177" s="9" t="s">
        <v>651</v>
      </c>
      <c r="AL177" s="9" t="s">
        <v>92</v>
      </c>
      <c r="AM177" s="9">
        <v>0</v>
      </c>
      <c r="AN177" s="9">
        <v>0</v>
      </c>
      <c r="AO177" s="9">
        <v>0</v>
      </c>
      <c r="AP177" s="9">
        <v>0</v>
      </c>
      <c r="AQ177" s="9">
        <v>0</v>
      </c>
      <c r="AR177" s="9">
        <v>0</v>
      </c>
      <c r="AS177" s="9">
        <v>0</v>
      </c>
      <c r="AT177" s="9">
        <v>0</v>
      </c>
      <c r="AU177" s="9">
        <v>0</v>
      </c>
      <c r="AV177" s="9">
        <v>33594</v>
      </c>
      <c r="AW177" s="9">
        <v>2685797</v>
      </c>
      <c r="AX177" s="9">
        <v>2599457</v>
      </c>
      <c r="AY177" s="9">
        <v>2960287</v>
      </c>
      <c r="AZ177" s="9">
        <v>193417</v>
      </c>
      <c r="BA177" s="9">
        <v>1</v>
      </c>
      <c r="BB177" s="9">
        <v>0</v>
      </c>
      <c r="BC177" s="9">
        <v>0</v>
      </c>
      <c r="BD177" s="9">
        <v>0</v>
      </c>
      <c r="BE177" s="9">
        <v>0</v>
      </c>
      <c r="BF177" s="9">
        <v>2278547</v>
      </c>
      <c r="BG177" s="9">
        <v>0</v>
      </c>
      <c r="BH177" s="9">
        <v>87.989000000000004</v>
      </c>
      <c r="BI177" s="9">
        <v>24197</v>
      </c>
      <c r="BJ177" s="9">
        <v>12</v>
      </c>
      <c r="BK177" s="9">
        <v>0</v>
      </c>
      <c r="BL177" s="9">
        <v>0</v>
      </c>
      <c r="BM177" s="9">
        <v>0</v>
      </c>
      <c r="BN177" s="9">
        <v>0</v>
      </c>
      <c r="BO177" s="9">
        <v>0</v>
      </c>
      <c r="BP177" s="9">
        <v>0</v>
      </c>
      <c r="BQ177" s="9">
        <v>5392</v>
      </c>
      <c r="BR177" s="9">
        <v>1</v>
      </c>
      <c r="BS177" s="9">
        <v>0</v>
      </c>
      <c r="BT177" s="9">
        <v>0</v>
      </c>
      <c r="BU177" s="9">
        <v>0</v>
      </c>
      <c r="BV177" s="9">
        <v>0</v>
      </c>
      <c r="BW177" s="9">
        <v>0</v>
      </c>
      <c r="BX177" s="9">
        <v>0</v>
      </c>
      <c r="BY177" s="9">
        <v>0</v>
      </c>
      <c r="BZ177" s="9">
        <v>0</v>
      </c>
      <c r="CA177" s="9">
        <v>0</v>
      </c>
      <c r="CB177" s="9">
        <v>0</v>
      </c>
      <c r="CC177" s="9">
        <v>0</v>
      </c>
      <c r="CD177" s="9">
        <v>0</v>
      </c>
      <c r="CE177" s="9">
        <v>0</v>
      </c>
      <c r="CF177" s="9">
        <v>0</v>
      </c>
      <c r="CG177" s="9">
        <v>0</v>
      </c>
      <c r="CH177" s="9">
        <v>62143</v>
      </c>
      <c r="CI177" s="9">
        <v>0</v>
      </c>
      <c r="CJ177" s="9">
        <v>4</v>
      </c>
      <c r="CK177" s="9">
        <v>0</v>
      </c>
      <c r="CL177" s="9">
        <v>0</v>
      </c>
      <c r="CM177" s="9">
        <v>0</v>
      </c>
      <c r="CN177" s="9">
        <v>0</v>
      </c>
      <c r="CO177" s="9">
        <v>0</v>
      </c>
      <c r="CP177" s="9">
        <v>0</v>
      </c>
      <c r="CQ177" s="9">
        <v>0</v>
      </c>
      <c r="CR177" s="9">
        <v>347.529</v>
      </c>
      <c r="CS177" s="9">
        <v>0</v>
      </c>
      <c r="CT177" s="9">
        <v>0</v>
      </c>
      <c r="CU177" s="9">
        <v>0</v>
      </c>
      <c r="CV177" s="9">
        <v>0</v>
      </c>
      <c r="CW177" s="9">
        <v>0</v>
      </c>
      <c r="CX177" s="9">
        <v>0</v>
      </c>
      <c r="CY177" s="9">
        <v>0</v>
      </c>
      <c r="CZ177" s="9">
        <v>0</v>
      </c>
      <c r="DA177" s="9">
        <v>1</v>
      </c>
      <c r="DB177" s="9">
        <v>2281675</v>
      </c>
      <c r="DC177" s="9">
        <v>0</v>
      </c>
      <c r="DD177" s="9">
        <v>0</v>
      </c>
      <c r="DE177" s="9">
        <v>0</v>
      </c>
      <c r="DF177" s="9">
        <v>0</v>
      </c>
      <c r="DG177" s="9">
        <v>0</v>
      </c>
      <c r="DH177" s="9">
        <v>0</v>
      </c>
      <c r="DI177" s="9">
        <v>0</v>
      </c>
      <c r="DJ177" s="9">
        <v>0</v>
      </c>
      <c r="DK177" s="9">
        <v>5392</v>
      </c>
      <c r="DL177" s="9">
        <v>0</v>
      </c>
      <c r="DM177" s="9">
        <v>26954</v>
      </c>
      <c r="DN177" s="9">
        <v>0</v>
      </c>
      <c r="DO177" s="9">
        <v>0</v>
      </c>
      <c r="DP177" s="9">
        <v>0</v>
      </c>
      <c r="DQ177" s="9">
        <v>0</v>
      </c>
      <c r="DR177" s="9">
        <v>0</v>
      </c>
      <c r="DS177" s="9">
        <v>0</v>
      </c>
      <c r="DT177" s="9">
        <v>0</v>
      </c>
      <c r="DU177" s="9">
        <v>0</v>
      </c>
      <c r="DV177" s="9">
        <v>0</v>
      </c>
      <c r="DW177" s="9">
        <v>0</v>
      </c>
      <c r="DX177" s="9">
        <v>0</v>
      </c>
      <c r="DY177" s="9">
        <v>0</v>
      </c>
      <c r="DZ177" s="9">
        <v>0</v>
      </c>
      <c r="EA177" s="9">
        <v>0</v>
      </c>
      <c r="EB177" s="9">
        <v>0</v>
      </c>
      <c r="EC177" s="9">
        <v>2.92</v>
      </c>
      <c r="ED177" s="9">
        <v>21029</v>
      </c>
      <c r="EE177" s="9">
        <v>0</v>
      </c>
      <c r="EF177" s="9">
        <v>0</v>
      </c>
      <c r="EG177" s="9">
        <v>0</v>
      </c>
      <c r="EH177" s="9">
        <v>5925</v>
      </c>
      <c r="EI177" s="9">
        <v>0</v>
      </c>
      <c r="EJ177" s="9">
        <v>0</v>
      </c>
      <c r="EK177" s="9">
        <v>0</v>
      </c>
      <c r="EL177" s="9">
        <v>0</v>
      </c>
      <c r="EM177" s="9">
        <v>0</v>
      </c>
      <c r="EN177" s="9">
        <v>0.18100000000000002</v>
      </c>
      <c r="EO177" s="9">
        <v>0</v>
      </c>
      <c r="EP177" s="9">
        <v>0</v>
      </c>
      <c r="EQ177" s="9">
        <v>0.18100000000000002</v>
      </c>
      <c r="ER177" s="9">
        <v>0</v>
      </c>
      <c r="ES177" s="9">
        <v>0.90500000000000003</v>
      </c>
      <c r="ET177" s="9">
        <v>500</v>
      </c>
      <c r="EU177" s="9">
        <v>193417</v>
      </c>
      <c r="EV177" s="9">
        <v>0</v>
      </c>
      <c r="EW177" s="9">
        <v>0</v>
      </c>
      <c r="EX177" s="9">
        <v>0</v>
      </c>
      <c r="EY177" s="9">
        <v>0</v>
      </c>
      <c r="EZ177" s="9">
        <v>2171910</v>
      </c>
      <c r="FA177" s="9">
        <v>0</v>
      </c>
      <c r="FB177" s="9">
        <v>2365327</v>
      </c>
      <c r="FC177" s="9">
        <v>0.97326799999999991</v>
      </c>
      <c r="FD177" s="9">
        <v>0</v>
      </c>
      <c r="FE177" s="9">
        <v>352485</v>
      </c>
      <c r="FF177" s="9">
        <v>75062</v>
      </c>
      <c r="FG177" s="9">
        <v>5.8088000000000001E-2</v>
      </c>
      <c r="FH177" s="9">
        <v>5.2622999999999996E-2</v>
      </c>
      <c r="FI177" s="9">
        <v>0</v>
      </c>
      <c r="FJ177" s="9">
        <v>0</v>
      </c>
      <c r="FK177" s="9">
        <v>446.44800000000004</v>
      </c>
      <c r="FL177" s="9">
        <v>2855017</v>
      </c>
      <c r="FM177" s="9">
        <v>0</v>
      </c>
      <c r="FN177" s="9">
        <v>0</v>
      </c>
      <c r="FO177" s="9">
        <v>0</v>
      </c>
      <c r="FP177" s="9">
        <v>0</v>
      </c>
      <c r="FQ177" s="9">
        <v>0</v>
      </c>
      <c r="FR177" s="9">
        <v>0</v>
      </c>
      <c r="FS177" s="9">
        <v>0</v>
      </c>
      <c r="FT177" s="9">
        <v>0</v>
      </c>
      <c r="FU177" s="9">
        <v>0</v>
      </c>
      <c r="FV177" s="9">
        <v>0</v>
      </c>
      <c r="FW177" s="9">
        <v>0</v>
      </c>
      <c r="FX177" s="9">
        <v>0</v>
      </c>
      <c r="FY177" s="9">
        <v>0</v>
      </c>
      <c r="FZ177" s="9">
        <v>0</v>
      </c>
      <c r="GA177" s="9">
        <v>0</v>
      </c>
      <c r="GB177" s="9">
        <v>8706</v>
      </c>
      <c r="GC177" s="9">
        <v>8706</v>
      </c>
      <c r="GD177" s="9">
        <v>0.9850000000000001</v>
      </c>
      <c r="GE177" s="9">
        <v>0</v>
      </c>
      <c r="GF177" s="9">
        <v>0</v>
      </c>
      <c r="GG177" s="9">
        <v>0</v>
      </c>
      <c r="GH177" s="9">
        <v>0</v>
      </c>
      <c r="GI177" s="9">
        <v>0</v>
      </c>
      <c r="GJ177" s="9">
        <v>0</v>
      </c>
      <c r="GK177" s="9">
        <v>5359</v>
      </c>
      <c r="GL177" s="9">
        <v>8117</v>
      </c>
      <c r="GM177" s="9">
        <v>0</v>
      </c>
      <c r="GN177" s="9">
        <v>0</v>
      </c>
      <c r="GO177" s="9">
        <v>0</v>
      </c>
      <c r="GP177" s="9">
        <v>2792874</v>
      </c>
      <c r="GQ177" s="9">
        <v>2792874</v>
      </c>
      <c r="GR177" s="9">
        <v>0</v>
      </c>
      <c r="GS177" s="9">
        <v>0</v>
      </c>
      <c r="GT177" s="9">
        <v>0</v>
      </c>
      <c r="GU177" s="9">
        <v>0</v>
      </c>
      <c r="GV177" s="9">
        <v>0</v>
      </c>
      <c r="GW177" s="9">
        <v>0</v>
      </c>
      <c r="GX177" s="9">
        <v>0</v>
      </c>
      <c r="GY177" s="9">
        <v>0</v>
      </c>
      <c r="GZ177" s="9">
        <v>0</v>
      </c>
      <c r="HA177" s="9">
        <v>0</v>
      </c>
      <c r="HB177" s="9">
        <v>300501363</v>
      </c>
      <c r="HC177" s="9">
        <v>4.4742999999999998E-2</v>
      </c>
      <c r="HD177" s="9">
        <v>61643</v>
      </c>
      <c r="HE177" s="9">
        <v>0</v>
      </c>
      <c r="HF177" s="9">
        <v>0</v>
      </c>
      <c r="HG177" s="9">
        <v>0</v>
      </c>
      <c r="HH177" s="9">
        <v>0</v>
      </c>
      <c r="HI177" s="9">
        <v>0</v>
      </c>
      <c r="HJ177" s="9">
        <v>0</v>
      </c>
      <c r="HK177" s="9">
        <v>0</v>
      </c>
      <c r="HL177" s="9">
        <v>0</v>
      </c>
      <c r="HM177" s="9">
        <v>0</v>
      </c>
      <c r="HN177" s="9">
        <v>0</v>
      </c>
      <c r="HO177" s="9">
        <v>0</v>
      </c>
      <c r="HP177" s="9">
        <v>0</v>
      </c>
      <c r="HQ177" s="9">
        <v>0</v>
      </c>
      <c r="HR177" s="9">
        <v>0</v>
      </c>
      <c r="HS177" s="9">
        <v>0</v>
      </c>
      <c r="HT177" s="9">
        <v>0</v>
      </c>
      <c r="HU177" s="9">
        <v>0</v>
      </c>
      <c r="HV177" s="9">
        <v>0</v>
      </c>
      <c r="HW177" s="9">
        <v>0</v>
      </c>
      <c r="HX177" s="9">
        <v>0</v>
      </c>
      <c r="HY177" s="9">
        <v>0</v>
      </c>
      <c r="HZ177" s="9">
        <v>0</v>
      </c>
      <c r="IA177" s="9">
        <v>0</v>
      </c>
      <c r="IB177" s="9">
        <v>0</v>
      </c>
      <c r="IC177" s="9">
        <v>0</v>
      </c>
      <c r="ID177" s="9">
        <v>0</v>
      </c>
      <c r="IE177" s="9">
        <v>0</v>
      </c>
      <c r="IF177" s="9">
        <v>0</v>
      </c>
      <c r="IG177" s="9">
        <v>0</v>
      </c>
      <c r="IH177" s="9">
        <v>0</v>
      </c>
      <c r="II177" s="9">
        <v>0</v>
      </c>
      <c r="IJ177" s="9">
        <v>0</v>
      </c>
      <c r="IK177" s="9">
        <v>0</v>
      </c>
      <c r="IL177" s="9">
        <v>0</v>
      </c>
      <c r="IM177" s="9">
        <v>0</v>
      </c>
      <c r="IN177" s="9">
        <v>0</v>
      </c>
      <c r="IO177" s="9">
        <v>0</v>
      </c>
      <c r="IP177" s="9">
        <v>0</v>
      </c>
      <c r="IQ177" s="9">
        <v>0</v>
      </c>
      <c r="IR177" s="9">
        <v>0</v>
      </c>
      <c r="IS177" s="9">
        <v>0</v>
      </c>
      <c r="IT177" s="9">
        <v>0</v>
      </c>
      <c r="IU177" s="9">
        <v>0</v>
      </c>
      <c r="IV177" s="9">
        <v>0</v>
      </c>
      <c r="IW177" s="9">
        <v>0</v>
      </c>
      <c r="IX177" s="9">
        <v>0</v>
      </c>
      <c r="IY177" s="9">
        <v>0</v>
      </c>
      <c r="IZ177" s="9">
        <v>0</v>
      </c>
      <c r="JA177" s="9">
        <v>0</v>
      </c>
      <c r="JB177" s="9">
        <v>0</v>
      </c>
      <c r="JC177" s="9">
        <v>0</v>
      </c>
      <c r="JD177" s="9">
        <v>0</v>
      </c>
      <c r="JE177" s="9">
        <v>0</v>
      </c>
      <c r="JF177" s="9">
        <v>0</v>
      </c>
      <c r="JG177" s="9">
        <v>0</v>
      </c>
      <c r="JH177" s="9">
        <v>0</v>
      </c>
      <c r="JI177" s="9">
        <v>0</v>
      </c>
      <c r="JJ177" s="9">
        <v>0</v>
      </c>
      <c r="JK177" s="9">
        <v>0</v>
      </c>
      <c r="JL177" s="9">
        <v>0</v>
      </c>
      <c r="JM177" s="9">
        <v>0</v>
      </c>
      <c r="JN177" s="9">
        <v>36832</v>
      </c>
      <c r="JO177" s="9">
        <v>0</v>
      </c>
      <c r="JP177" s="9">
        <v>0</v>
      </c>
      <c r="JQ177" s="9">
        <v>0</v>
      </c>
      <c r="JR177" s="9">
        <v>0</v>
      </c>
      <c r="JS177" s="9">
        <v>0</v>
      </c>
      <c r="JT177" s="9">
        <v>0</v>
      </c>
      <c r="JU177" s="9">
        <v>0</v>
      </c>
      <c r="JV177" s="9">
        <v>0</v>
      </c>
      <c r="JW177" s="9">
        <v>0</v>
      </c>
      <c r="JX177" s="9">
        <v>0</v>
      </c>
      <c r="JY177" s="9">
        <v>0</v>
      </c>
      <c r="JZ177" s="9">
        <v>0</v>
      </c>
      <c r="KA177" s="9">
        <v>0</v>
      </c>
      <c r="KB177" s="9">
        <v>0</v>
      </c>
      <c r="KC177" s="9">
        <v>0</v>
      </c>
      <c r="KD177" s="9">
        <v>0</v>
      </c>
      <c r="KE177" s="9">
        <v>0</v>
      </c>
      <c r="KF177" s="9">
        <v>0</v>
      </c>
      <c r="KG177" s="9">
        <v>0</v>
      </c>
      <c r="KH177" s="9">
        <v>0</v>
      </c>
      <c r="KI177" s="9">
        <v>0</v>
      </c>
    </row>
    <row r="178" spans="1:295" x14ac:dyDescent="0.25">
      <c r="A178" s="9">
        <v>227816</v>
      </c>
      <c r="B178" s="9">
        <v>36871</v>
      </c>
      <c r="C178" s="9">
        <v>35</v>
      </c>
      <c r="D178" s="9">
        <v>2023</v>
      </c>
      <c r="E178" s="9">
        <v>5392</v>
      </c>
      <c r="F178" s="9">
        <v>0</v>
      </c>
      <c r="G178" s="9">
        <v>0</v>
      </c>
      <c r="H178" s="9">
        <v>4008.7420000000002</v>
      </c>
      <c r="I178" s="9">
        <v>4008.7420000000002</v>
      </c>
      <c r="J178" s="9">
        <v>4199.0839999999998</v>
      </c>
      <c r="K178" s="9">
        <v>0</v>
      </c>
      <c r="L178" s="9">
        <v>6547</v>
      </c>
      <c r="M178" s="9">
        <v>0</v>
      </c>
      <c r="N178" s="9">
        <v>0</v>
      </c>
      <c r="O178" s="9">
        <v>0</v>
      </c>
      <c r="P178" s="9">
        <v>3881.0220000000004</v>
      </c>
      <c r="Q178" s="9">
        <v>0</v>
      </c>
      <c r="R178" s="9">
        <v>1889755</v>
      </c>
      <c r="S178" s="9">
        <v>486.92200000000003</v>
      </c>
      <c r="T178" s="9">
        <v>0</v>
      </c>
      <c r="U178" s="9">
        <v>1889755</v>
      </c>
      <c r="V178" s="9">
        <v>1845.797</v>
      </c>
      <c r="W178" s="9">
        <v>1208443</v>
      </c>
      <c r="X178" s="9">
        <v>1208443</v>
      </c>
      <c r="Y178" s="9">
        <v>0</v>
      </c>
      <c r="Z178" s="9">
        <v>0</v>
      </c>
      <c r="AA178" s="9">
        <v>1</v>
      </c>
      <c r="AB178" s="9">
        <v>1</v>
      </c>
      <c r="AC178" s="9">
        <v>0</v>
      </c>
      <c r="AD178" s="9" t="s">
        <v>314</v>
      </c>
      <c r="AE178" s="9">
        <v>0</v>
      </c>
      <c r="AF178" s="9">
        <v>0</v>
      </c>
      <c r="AG178" s="9">
        <v>0</v>
      </c>
      <c r="AH178" s="9">
        <v>0</v>
      </c>
      <c r="AI178" s="9">
        <v>0</v>
      </c>
      <c r="AJ178" s="9">
        <v>5104</v>
      </c>
      <c r="AK178" s="9" t="s">
        <v>651</v>
      </c>
      <c r="AL178" s="9" t="s">
        <v>86</v>
      </c>
      <c r="AM178" s="9">
        <v>0</v>
      </c>
      <c r="AN178" s="9">
        <v>0</v>
      </c>
      <c r="AO178" s="9">
        <v>0</v>
      </c>
      <c r="AP178" s="9">
        <v>0</v>
      </c>
      <c r="AQ178" s="9">
        <v>0</v>
      </c>
      <c r="AR178" s="9">
        <v>0</v>
      </c>
      <c r="AS178" s="9">
        <v>0</v>
      </c>
      <c r="AT178" s="9">
        <v>0</v>
      </c>
      <c r="AU178" s="9">
        <v>0</v>
      </c>
      <c r="AV178" s="9">
        <v>21793</v>
      </c>
      <c r="AW178" s="9">
        <v>40148223</v>
      </c>
      <c r="AX178" s="9">
        <v>39124215</v>
      </c>
      <c r="AY178" s="9">
        <v>42851551</v>
      </c>
      <c r="AZ178" s="9">
        <v>2132019</v>
      </c>
      <c r="BA178" s="9">
        <v>83</v>
      </c>
      <c r="BB178" s="9">
        <v>164948</v>
      </c>
      <c r="BC178" s="9">
        <v>164948</v>
      </c>
      <c r="BD178" s="9">
        <v>209.95400000000001</v>
      </c>
      <c r="BE178" s="9">
        <v>0</v>
      </c>
      <c r="BF178" s="9">
        <v>33753400</v>
      </c>
      <c r="BG178" s="9">
        <v>0</v>
      </c>
      <c r="BH178" s="9">
        <v>880.95900000000006</v>
      </c>
      <c r="BI178" s="9">
        <v>242264</v>
      </c>
      <c r="BJ178" s="9">
        <v>12</v>
      </c>
      <c r="BK178" s="9">
        <v>0</v>
      </c>
      <c r="BL178" s="9">
        <v>0</v>
      </c>
      <c r="BM178" s="9">
        <v>0</v>
      </c>
      <c r="BN178" s="9">
        <v>0</v>
      </c>
      <c r="BO178" s="9">
        <v>0</v>
      </c>
      <c r="BP178" s="9">
        <v>0</v>
      </c>
      <c r="BQ178" s="9">
        <v>5392</v>
      </c>
      <c r="BR178" s="9">
        <v>1</v>
      </c>
      <c r="BS178" s="9">
        <v>0</v>
      </c>
      <c r="BT178" s="9">
        <v>0</v>
      </c>
      <c r="BU178" s="9">
        <v>0</v>
      </c>
      <c r="BV178" s="9">
        <v>0</v>
      </c>
      <c r="BW178" s="9">
        <v>0</v>
      </c>
      <c r="BX178" s="9">
        <v>0</v>
      </c>
      <c r="BY178" s="9">
        <v>0</v>
      </c>
      <c r="BZ178" s="9">
        <v>0</v>
      </c>
      <c r="CA178" s="9">
        <v>0</v>
      </c>
      <c r="CB178" s="9">
        <v>0</v>
      </c>
      <c r="CC178" s="9">
        <v>0</v>
      </c>
      <c r="CD178" s="9">
        <v>0</v>
      </c>
      <c r="CE178" s="9">
        <v>0</v>
      </c>
      <c r="CF178" s="9">
        <v>0</v>
      </c>
      <c r="CG178" s="9">
        <v>0</v>
      </c>
      <c r="CH178" s="9">
        <v>781744</v>
      </c>
      <c r="CI178" s="9">
        <v>0</v>
      </c>
      <c r="CJ178" s="9">
        <v>4</v>
      </c>
      <c r="CK178" s="9">
        <v>0</v>
      </c>
      <c r="CL178" s="9">
        <v>0</v>
      </c>
      <c r="CM178" s="9">
        <v>0</v>
      </c>
      <c r="CN178" s="9">
        <v>0</v>
      </c>
      <c r="CO178" s="9">
        <v>0</v>
      </c>
      <c r="CP178" s="9">
        <v>0</v>
      </c>
      <c r="CQ178" s="9">
        <v>0</v>
      </c>
      <c r="CR178" s="9">
        <v>3774.5770000000002</v>
      </c>
      <c r="CS178" s="9">
        <v>0</v>
      </c>
      <c r="CT178" s="9">
        <v>0</v>
      </c>
      <c r="CU178" s="9">
        <v>0</v>
      </c>
      <c r="CV178" s="9">
        <v>0</v>
      </c>
      <c r="CW178" s="9">
        <v>0</v>
      </c>
      <c r="CX178" s="9">
        <v>0</v>
      </c>
      <c r="CY178" s="9">
        <v>0</v>
      </c>
      <c r="CZ178" s="9">
        <v>0</v>
      </c>
      <c r="DA178" s="9">
        <v>1</v>
      </c>
      <c r="DB178" s="9">
        <v>26245234</v>
      </c>
      <c r="DC178" s="9">
        <v>0</v>
      </c>
      <c r="DD178" s="9">
        <v>0</v>
      </c>
      <c r="DE178" s="9">
        <v>3926013</v>
      </c>
      <c r="DF178" s="9">
        <v>3926013</v>
      </c>
      <c r="DG178" s="9">
        <v>2998.33</v>
      </c>
      <c r="DH178" s="9">
        <v>0</v>
      </c>
      <c r="DI178" s="9">
        <v>0</v>
      </c>
      <c r="DJ178" s="9">
        <v>0</v>
      </c>
      <c r="DK178" s="9">
        <v>5392</v>
      </c>
      <c r="DL178" s="9">
        <v>0</v>
      </c>
      <c r="DM178" s="9">
        <v>2194971</v>
      </c>
      <c r="DN178" s="9">
        <v>0</v>
      </c>
      <c r="DO178" s="9">
        <v>0</v>
      </c>
      <c r="DP178" s="9">
        <v>0</v>
      </c>
      <c r="DQ178" s="9">
        <v>0</v>
      </c>
      <c r="DR178" s="9">
        <v>0</v>
      </c>
      <c r="DS178" s="9">
        <v>0</v>
      </c>
      <c r="DT178" s="9">
        <v>0</v>
      </c>
      <c r="DU178" s="9">
        <v>0</v>
      </c>
      <c r="DV178" s="9">
        <v>0</v>
      </c>
      <c r="DW178" s="9">
        <v>0</v>
      </c>
      <c r="DX178" s="9">
        <v>0</v>
      </c>
      <c r="DY178" s="9">
        <v>0</v>
      </c>
      <c r="DZ178" s="9">
        <v>0</v>
      </c>
      <c r="EA178" s="9">
        <v>0</v>
      </c>
      <c r="EB178" s="9">
        <v>0</v>
      </c>
      <c r="EC178" s="9">
        <v>65.906999999999996</v>
      </c>
      <c r="ED178" s="9">
        <v>474642</v>
      </c>
      <c r="EE178" s="9">
        <v>0</v>
      </c>
      <c r="EF178" s="9">
        <v>0</v>
      </c>
      <c r="EG178" s="9">
        <v>0</v>
      </c>
      <c r="EH178" s="9">
        <v>1720329</v>
      </c>
      <c r="EI178" s="9">
        <v>0</v>
      </c>
      <c r="EJ178" s="9">
        <v>0</v>
      </c>
      <c r="EK178" s="9">
        <v>67.198999999999998</v>
      </c>
      <c r="EL178" s="9">
        <v>0</v>
      </c>
      <c r="EM178" s="9">
        <v>11.143000000000001</v>
      </c>
      <c r="EN178" s="9">
        <v>5.548</v>
      </c>
      <c r="EO178" s="9">
        <v>0</v>
      </c>
      <c r="EP178" s="9">
        <v>0</v>
      </c>
      <c r="EQ178" s="9">
        <v>83.89</v>
      </c>
      <c r="ER178" s="9">
        <v>0</v>
      </c>
      <c r="ES178" s="9">
        <v>262.76600000000002</v>
      </c>
      <c r="ET178" s="9">
        <v>41500</v>
      </c>
      <c r="EU178" s="9">
        <v>2132019</v>
      </c>
      <c r="EV178" s="9">
        <v>0</v>
      </c>
      <c r="EW178" s="9">
        <v>0</v>
      </c>
      <c r="EX178" s="9">
        <v>0</v>
      </c>
      <c r="EY178" s="9">
        <v>0</v>
      </c>
      <c r="EZ178" s="9">
        <v>32790725</v>
      </c>
      <c r="FA178" s="9">
        <v>0</v>
      </c>
      <c r="FB178" s="9">
        <v>34922744</v>
      </c>
      <c r="FC178" s="9">
        <v>0.97326799999999991</v>
      </c>
      <c r="FD178" s="9">
        <v>0</v>
      </c>
      <c r="FE178" s="9">
        <v>5221561</v>
      </c>
      <c r="FF178" s="9">
        <v>1111929</v>
      </c>
      <c r="FG178" s="9">
        <v>5.8088000000000001E-2</v>
      </c>
      <c r="FH178" s="9">
        <v>5.2622999999999996E-2</v>
      </c>
      <c r="FI178" s="9">
        <v>0</v>
      </c>
      <c r="FJ178" s="9">
        <v>0</v>
      </c>
      <c r="FK178" s="9">
        <v>6613.4880000000003</v>
      </c>
      <c r="FL178" s="9">
        <v>42037978</v>
      </c>
      <c r="FM178" s="9">
        <v>0</v>
      </c>
      <c r="FN178" s="9">
        <v>0</v>
      </c>
      <c r="FO178" s="9">
        <v>0</v>
      </c>
      <c r="FP178" s="9">
        <v>0</v>
      </c>
      <c r="FQ178" s="9">
        <v>0</v>
      </c>
      <c r="FR178" s="9">
        <v>0</v>
      </c>
      <c r="FS178" s="9">
        <v>0</v>
      </c>
      <c r="FT178" s="9">
        <v>0</v>
      </c>
      <c r="FU178" s="9">
        <v>0</v>
      </c>
      <c r="FV178" s="9">
        <v>0</v>
      </c>
      <c r="FW178" s="9">
        <v>0</v>
      </c>
      <c r="FX178" s="9">
        <v>0</v>
      </c>
      <c r="FY178" s="9">
        <v>0</v>
      </c>
      <c r="FZ178" s="9">
        <v>0</v>
      </c>
      <c r="GA178" s="9">
        <v>0</v>
      </c>
      <c r="GB178" s="9">
        <v>940871</v>
      </c>
      <c r="GC178" s="9">
        <v>940871</v>
      </c>
      <c r="GD178" s="9">
        <v>106.452</v>
      </c>
      <c r="GE178" s="9">
        <v>0</v>
      </c>
      <c r="GF178" s="9">
        <v>0</v>
      </c>
      <c r="GG178" s="9">
        <v>0</v>
      </c>
      <c r="GH178" s="9">
        <v>0</v>
      </c>
      <c r="GI178" s="9">
        <v>0</v>
      </c>
      <c r="GJ178" s="9">
        <v>0</v>
      </c>
      <c r="GK178" s="9">
        <v>5135.8940000000002</v>
      </c>
      <c r="GL178" s="9">
        <v>13351</v>
      </c>
      <c r="GM178" s="9">
        <v>0</v>
      </c>
      <c r="GN178" s="9">
        <v>0</v>
      </c>
      <c r="GO178" s="9">
        <v>0</v>
      </c>
      <c r="GP178" s="9">
        <v>41256234</v>
      </c>
      <c r="GQ178" s="9">
        <v>41256234</v>
      </c>
      <c r="GR178" s="9">
        <v>0</v>
      </c>
      <c r="GS178" s="9">
        <v>0</v>
      </c>
      <c r="GT178" s="9">
        <v>0</v>
      </c>
      <c r="GU178" s="9">
        <v>0</v>
      </c>
      <c r="GV178" s="9">
        <v>0</v>
      </c>
      <c r="GW178" s="9">
        <v>0</v>
      </c>
      <c r="GX178" s="9">
        <v>0</v>
      </c>
      <c r="GY178" s="9">
        <v>0</v>
      </c>
      <c r="GZ178" s="9">
        <v>0</v>
      </c>
      <c r="HA178" s="9">
        <v>0</v>
      </c>
      <c r="HB178" s="9">
        <v>300501363</v>
      </c>
      <c r="HC178" s="9">
        <v>4.4742999999999998E-2</v>
      </c>
      <c r="HD178" s="9">
        <v>740244</v>
      </c>
      <c r="HE178" s="9">
        <v>0</v>
      </c>
      <c r="HF178" s="9">
        <v>0</v>
      </c>
      <c r="HG178" s="9">
        <v>0</v>
      </c>
      <c r="HH178" s="9">
        <v>0</v>
      </c>
      <c r="HI178" s="9">
        <v>0</v>
      </c>
      <c r="HJ178" s="9">
        <v>0</v>
      </c>
      <c r="HK178" s="9">
        <v>0</v>
      </c>
      <c r="HL178" s="9">
        <v>0</v>
      </c>
      <c r="HM178" s="9">
        <v>0</v>
      </c>
      <c r="HN178" s="9">
        <v>0</v>
      </c>
      <c r="HO178" s="9">
        <v>0</v>
      </c>
      <c r="HP178" s="9">
        <v>0</v>
      </c>
      <c r="HQ178" s="9">
        <v>0</v>
      </c>
      <c r="HR178" s="9">
        <v>0</v>
      </c>
      <c r="HS178" s="9">
        <v>0</v>
      </c>
      <c r="HT178" s="9">
        <v>0</v>
      </c>
      <c r="HU178" s="9">
        <v>0</v>
      </c>
      <c r="HV178" s="9">
        <v>0</v>
      </c>
      <c r="HW178" s="9">
        <v>0</v>
      </c>
      <c r="HX178" s="9">
        <v>0</v>
      </c>
      <c r="HY178" s="9">
        <v>0</v>
      </c>
      <c r="HZ178" s="9">
        <v>0</v>
      </c>
      <c r="IA178" s="9">
        <v>0</v>
      </c>
      <c r="IB178" s="9">
        <v>0</v>
      </c>
      <c r="IC178" s="9">
        <v>0</v>
      </c>
      <c r="ID178" s="9">
        <v>0</v>
      </c>
      <c r="IE178" s="9">
        <v>0</v>
      </c>
      <c r="IF178" s="9">
        <v>0</v>
      </c>
      <c r="IG178" s="9">
        <v>0</v>
      </c>
      <c r="IH178" s="9">
        <v>0</v>
      </c>
      <c r="II178" s="9">
        <v>0</v>
      </c>
      <c r="IJ178" s="9">
        <v>0</v>
      </c>
      <c r="IK178" s="9">
        <v>0</v>
      </c>
      <c r="IL178" s="9">
        <v>0</v>
      </c>
      <c r="IM178" s="9">
        <v>0</v>
      </c>
      <c r="IN178" s="9">
        <v>0</v>
      </c>
      <c r="IO178" s="9">
        <v>0</v>
      </c>
      <c r="IP178" s="9">
        <v>0</v>
      </c>
      <c r="IQ178" s="9">
        <v>0</v>
      </c>
      <c r="IR178" s="9">
        <v>0</v>
      </c>
      <c r="IS178" s="9">
        <v>0</v>
      </c>
      <c r="IT178" s="9">
        <v>0</v>
      </c>
      <c r="IU178" s="9">
        <v>0</v>
      </c>
      <c r="IV178" s="9">
        <v>0</v>
      </c>
      <c r="IW178" s="9">
        <v>0</v>
      </c>
      <c r="IX178" s="9">
        <v>0</v>
      </c>
      <c r="IY178" s="9">
        <v>0</v>
      </c>
      <c r="IZ178" s="9">
        <v>0</v>
      </c>
      <c r="JA178" s="9">
        <v>0</v>
      </c>
      <c r="JB178" s="9">
        <v>0</v>
      </c>
      <c r="JC178" s="9">
        <v>0</v>
      </c>
      <c r="JD178" s="9">
        <v>0</v>
      </c>
      <c r="JE178" s="9">
        <v>0</v>
      </c>
      <c r="JF178" s="9">
        <v>0</v>
      </c>
      <c r="JG178" s="9">
        <v>0</v>
      </c>
      <c r="JH178" s="9">
        <v>0</v>
      </c>
      <c r="JI178" s="9">
        <v>0</v>
      </c>
      <c r="JJ178" s="9">
        <v>0</v>
      </c>
      <c r="JK178" s="9">
        <v>0</v>
      </c>
      <c r="JL178" s="9">
        <v>0</v>
      </c>
      <c r="JM178" s="9">
        <v>0</v>
      </c>
      <c r="JN178" s="9">
        <v>36832</v>
      </c>
      <c r="JO178" s="9">
        <v>0</v>
      </c>
      <c r="JP178" s="9">
        <v>0</v>
      </c>
      <c r="JQ178" s="9">
        <v>0</v>
      </c>
      <c r="JR178" s="9">
        <v>0</v>
      </c>
      <c r="JS178" s="9">
        <v>0</v>
      </c>
      <c r="JT178" s="9">
        <v>0</v>
      </c>
      <c r="JU178" s="9">
        <v>0</v>
      </c>
      <c r="JV178" s="9">
        <v>0</v>
      </c>
      <c r="JW178" s="9">
        <v>0</v>
      </c>
      <c r="JX178" s="9">
        <v>0</v>
      </c>
      <c r="JY178" s="9">
        <v>0</v>
      </c>
      <c r="JZ178" s="9">
        <v>0</v>
      </c>
      <c r="KA178" s="9">
        <v>0</v>
      </c>
      <c r="KB178" s="9">
        <v>0</v>
      </c>
      <c r="KC178" s="9">
        <v>0</v>
      </c>
      <c r="KD178" s="9">
        <v>0</v>
      </c>
      <c r="KE178" s="9">
        <v>0</v>
      </c>
      <c r="KF178" s="9">
        <v>0</v>
      </c>
      <c r="KG178" s="9">
        <v>0</v>
      </c>
      <c r="KH178" s="9">
        <v>0</v>
      </c>
      <c r="KI178" s="9">
        <v>0</v>
      </c>
    </row>
    <row r="179" spans="1:295" x14ac:dyDescent="0.25">
      <c r="A179" s="9">
        <v>227817</v>
      </c>
      <c r="B179" s="9">
        <v>36871</v>
      </c>
      <c r="C179" s="9">
        <v>35</v>
      </c>
      <c r="D179" s="9">
        <v>2023</v>
      </c>
      <c r="E179" s="9">
        <v>5392</v>
      </c>
      <c r="F179" s="9">
        <v>0</v>
      </c>
      <c r="G179" s="9">
        <v>0</v>
      </c>
      <c r="H179" s="9">
        <v>435.71000000000004</v>
      </c>
      <c r="I179" s="9">
        <v>435.71000000000004</v>
      </c>
      <c r="J179" s="9">
        <v>457.11900000000003</v>
      </c>
      <c r="K179" s="9">
        <v>0</v>
      </c>
      <c r="L179" s="9">
        <v>6547</v>
      </c>
      <c r="M179" s="9">
        <v>0</v>
      </c>
      <c r="N179" s="9">
        <v>0</v>
      </c>
      <c r="O179" s="9">
        <v>0</v>
      </c>
      <c r="P179" s="9">
        <v>448.61400000000003</v>
      </c>
      <c r="Q179" s="9">
        <v>0</v>
      </c>
      <c r="R179" s="9">
        <v>218440</v>
      </c>
      <c r="S179" s="9">
        <v>486.92200000000003</v>
      </c>
      <c r="T179" s="9">
        <v>0</v>
      </c>
      <c r="U179" s="9">
        <v>218440</v>
      </c>
      <c r="V179" s="9">
        <v>215.24800000000002</v>
      </c>
      <c r="W179" s="9">
        <v>140923</v>
      </c>
      <c r="X179" s="9">
        <v>140923</v>
      </c>
      <c r="Y179" s="9">
        <v>0</v>
      </c>
      <c r="Z179" s="9">
        <v>0</v>
      </c>
      <c r="AA179" s="9">
        <v>1</v>
      </c>
      <c r="AB179" s="9">
        <v>1</v>
      </c>
      <c r="AC179" s="9">
        <v>0</v>
      </c>
      <c r="AD179" s="9" t="s">
        <v>314</v>
      </c>
      <c r="AE179" s="9">
        <v>0</v>
      </c>
      <c r="AF179" s="9">
        <v>0</v>
      </c>
      <c r="AG179" s="9">
        <v>0</v>
      </c>
      <c r="AH179" s="9">
        <v>0</v>
      </c>
      <c r="AI179" s="9">
        <v>0</v>
      </c>
      <c r="AJ179" s="9">
        <v>5104</v>
      </c>
      <c r="AK179" s="9" t="s">
        <v>651</v>
      </c>
      <c r="AL179" s="9" t="s">
        <v>80</v>
      </c>
      <c r="AM179" s="9">
        <v>0</v>
      </c>
      <c r="AN179" s="9">
        <v>0</v>
      </c>
      <c r="AO179" s="9">
        <v>0</v>
      </c>
      <c r="AP179" s="9">
        <v>0</v>
      </c>
      <c r="AQ179" s="9">
        <v>0</v>
      </c>
      <c r="AR179" s="9">
        <v>0</v>
      </c>
      <c r="AS179" s="9">
        <v>0</v>
      </c>
      <c r="AT179" s="9">
        <v>0</v>
      </c>
      <c r="AU179" s="9">
        <v>0</v>
      </c>
      <c r="AV179" s="9">
        <v>-132067</v>
      </c>
      <c r="AW179" s="9">
        <v>4794170</v>
      </c>
      <c r="AX179" s="9">
        <v>4674023</v>
      </c>
      <c r="AY179" s="9">
        <v>4968747</v>
      </c>
      <c r="AZ179" s="9">
        <v>248920</v>
      </c>
      <c r="BA179" s="9">
        <v>17.833000000000002</v>
      </c>
      <c r="BB179" s="9">
        <v>11785</v>
      </c>
      <c r="BC179" s="9">
        <v>11785</v>
      </c>
      <c r="BD179" s="9">
        <v>15</v>
      </c>
      <c r="BE179" s="9">
        <v>0</v>
      </c>
      <c r="BF179" s="9">
        <v>4026367</v>
      </c>
      <c r="BG179" s="9">
        <v>0</v>
      </c>
      <c r="BH179" s="9">
        <v>110.837</v>
      </c>
      <c r="BI179" s="9">
        <v>30480</v>
      </c>
      <c r="BJ179" s="9">
        <v>12</v>
      </c>
      <c r="BK179" s="9">
        <v>0</v>
      </c>
      <c r="BL179" s="9">
        <v>0</v>
      </c>
      <c r="BM179" s="9">
        <v>0</v>
      </c>
      <c r="BN179" s="9">
        <v>0</v>
      </c>
      <c r="BO179" s="9">
        <v>0</v>
      </c>
      <c r="BP179" s="9">
        <v>0</v>
      </c>
      <c r="BQ179" s="9">
        <v>5392</v>
      </c>
      <c r="BR179" s="9">
        <v>1</v>
      </c>
      <c r="BS179" s="9">
        <v>0</v>
      </c>
      <c r="BT179" s="9">
        <v>0</v>
      </c>
      <c r="BU179" s="9">
        <v>0</v>
      </c>
      <c r="BV179" s="9">
        <v>0</v>
      </c>
      <c r="BW179" s="9">
        <v>0</v>
      </c>
      <c r="BX179" s="9">
        <v>0</v>
      </c>
      <c r="BY179" s="9">
        <v>0</v>
      </c>
      <c r="BZ179" s="9">
        <v>0</v>
      </c>
      <c r="CA179" s="9">
        <v>0</v>
      </c>
      <c r="CB179" s="9">
        <v>0</v>
      </c>
      <c r="CC179" s="9">
        <v>0</v>
      </c>
      <c r="CD179" s="9">
        <v>0</v>
      </c>
      <c r="CE179" s="9">
        <v>0</v>
      </c>
      <c r="CF179" s="9">
        <v>0</v>
      </c>
      <c r="CG179" s="9">
        <v>0</v>
      </c>
      <c r="CH179" s="9">
        <v>89667</v>
      </c>
      <c r="CI179" s="9">
        <v>0</v>
      </c>
      <c r="CJ179" s="9">
        <v>4</v>
      </c>
      <c r="CK179" s="9">
        <v>0</v>
      </c>
      <c r="CL179" s="9">
        <v>0</v>
      </c>
      <c r="CM179" s="9">
        <v>0</v>
      </c>
      <c r="CN179" s="9">
        <v>0</v>
      </c>
      <c r="CO179" s="9">
        <v>0</v>
      </c>
      <c r="CP179" s="9">
        <v>0</v>
      </c>
      <c r="CQ179" s="9">
        <v>0.66700000000000004</v>
      </c>
      <c r="CR179" s="9">
        <v>432.02700000000004</v>
      </c>
      <c r="CS179" s="9">
        <v>0</v>
      </c>
      <c r="CT179" s="9">
        <v>0</v>
      </c>
      <c r="CU179" s="9">
        <v>0</v>
      </c>
      <c r="CV179" s="9">
        <v>0</v>
      </c>
      <c r="CW179" s="9">
        <v>0</v>
      </c>
      <c r="CX179" s="9">
        <v>0</v>
      </c>
      <c r="CY179" s="9">
        <v>0</v>
      </c>
      <c r="CZ179" s="9">
        <v>0</v>
      </c>
      <c r="DA179" s="9">
        <v>1</v>
      </c>
      <c r="DB179" s="9">
        <v>2852593</v>
      </c>
      <c r="DC179" s="9">
        <v>0</v>
      </c>
      <c r="DD179" s="9">
        <v>0</v>
      </c>
      <c r="DE179" s="9">
        <v>600137</v>
      </c>
      <c r="DF179" s="9">
        <v>600137</v>
      </c>
      <c r="DG179" s="9">
        <v>458.33</v>
      </c>
      <c r="DH179" s="9">
        <v>0</v>
      </c>
      <c r="DI179" s="9">
        <v>0</v>
      </c>
      <c r="DJ179" s="9">
        <v>0</v>
      </c>
      <c r="DK179" s="9">
        <v>5392</v>
      </c>
      <c r="DL179" s="9">
        <v>0</v>
      </c>
      <c r="DM179" s="9">
        <v>483490</v>
      </c>
      <c r="DN179" s="9">
        <v>0</v>
      </c>
      <c r="DO179" s="9">
        <v>0</v>
      </c>
      <c r="DP179" s="9">
        <v>0</v>
      </c>
      <c r="DQ179" s="9">
        <v>0</v>
      </c>
      <c r="DR179" s="9">
        <v>0</v>
      </c>
      <c r="DS179" s="9">
        <v>0</v>
      </c>
      <c r="DT179" s="9">
        <v>0</v>
      </c>
      <c r="DU179" s="9">
        <v>0</v>
      </c>
      <c r="DV179" s="9">
        <v>0</v>
      </c>
      <c r="DW179" s="9">
        <v>0</v>
      </c>
      <c r="DX179" s="9">
        <v>0</v>
      </c>
      <c r="DY179" s="9">
        <v>0</v>
      </c>
      <c r="DZ179" s="9">
        <v>0</v>
      </c>
      <c r="EA179" s="9">
        <v>0</v>
      </c>
      <c r="EB179" s="9">
        <v>0</v>
      </c>
      <c r="EC179" s="9">
        <v>21.631</v>
      </c>
      <c r="ED179" s="9">
        <v>155780</v>
      </c>
      <c r="EE179" s="9">
        <v>0</v>
      </c>
      <c r="EF179" s="9">
        <v>0</v>
      </c>
      <c r="EG179" s="9">
        <v>0</v>
      </c>
      <c r="EH179" s="9">
        <v>327710</v>
      </c>
      <c r="EI179" s="9">
        <v>0</v>
      </c>
      <c r="EJ179" s="9">
        <v>0</v>
      </c>
      <c r="EK179" s="9">
        <v>14.842000000000001</v>
      </c>
      <c r="EL179" s="9">
        <v>0</v>
      </c>
      <c r="EM179" s="9">
        <v>6.8000000000000005E-2</v>
      </c>
      <c r="EN179" s="9">
        <v>1.0649999999999999</v>
      </c>
      <c r="EO179" s="9">
        <v>0</v>
      </c>
      <c r="EP179" s="9">
        <v>0</v>
      </c>
      <c r="EQ179" s="9">
        <v>15.975000000000001</v>
      </c>
      <c r="ER179" s="9">
        <v>0</v>
      </c>
      <c r="ES179" s="9">
        <v>50.055</v>
      </c>
      <c r="ET179" s="9">
        <v>9083</v>
      </c>
      <c r="EU179" s="9">
        <v>248920</v>
      </c>
      <c r="EV179" s="9">
        <v>0</v>
      </c>
      <c r="EW179" s="9">
        <v>0</v>
      </c>
      <c r="EX179" s="9">
        <v>0</v>
      </c>
      <c r="EY179" s="9">
        <v>0</v>
      </c>
      <c r="EZ179" s="9">
        <v>3918516</v>
      </c>
      <c r="FA179" s="9">
        <v>0</v>
      </c>
      <c r="FB179" s="9">
        <v>4167436</v>
      </c>
      <c r="FC179" s="9">
        <v>0.97326799999999991</v>
      </c>
      <c r="FD179" s="9">
        <v>0</v>
      </c>
      <c r="FE179" s="9">
        <v>622868</v>
      </c>
      <c r="FF179" s="9">
        <v>132639</v>
      </c>
      <c r="FG179" s="9">
        <v>5.8088000000000001E-2</v>
      </c>
      <c r="FH179" s="9">
        <v>5.2622999999999996E-2</v>
      </c>
      <c r="FI179" s="9">
        <v>0</v>
      </c>
      <c r="FJ179" s="9">
        <v>0</v>
      </c>
      <c r="FK179" s="9">
        <v>788.90800000000002</v>
      </c>
      <c r="FL179" s="9">
        <v>5012610</v>
      </c>
      <c r="FM179" s="9">
        <v>0</v>
      </c>
      <c r="FN179" s="9">
        <v>0</v>
      </c>
      <c r="FO179" s="9">
        <v>0</v>
      </c>
      <c r="FP179" s="9">
        <v>0</v>
      </c>
      <c r="FQ179" s="9">
        <v>0</v>
      </c>
      <c r="FR179" s="9">
        <v>0</v>
      </c>
      <c r="FS179" s="9">
        <v>0</v>
      </c>
      <c r="FT179" s="9">
        <v>0</v>
      </c>
      <c r="FU179" s="9">
        <v>0</v>
      </c>
      <c r="FV179" s="9">
        <v>0</v>
      </c>
      <c r="FW179" s="9">
        <v>0</v>
      </c>
      <c r="FX179" s="9">
        <v>0</v>
      </c>
      <c r="FY179" s="9">
        <v>0</v>
      </c>
      <c r="FZ179" s="9">
        <v>0</v>
      </c>
      <c r="GA179" s="9">
        <v>0</v>
      </c>
      <c r="GB179" s="9">
        <v>48028</v>
      </c>
      <c r="GC179" s="9">
        <v>48028</v>
      </c>
      <c r="GD179" s="9">
        <v>5.4340000000000002</v>
      </c>
      <c r="GE179" s="9">
        <v>0</v>
      </c>
      <c r="GF179" s="9">
        <v>0</v>
      </c>
      <c r="GG179" s="9">
        <v>0</v>
      </c>
      <c r="GH179" s="9">
        <v>0</v>
      </c>
      <c r="GI179" s="9">
        <v>0</v>
      </c>
      <c r="GJ179" s="9">
        <v>0</v>
      </c>
      <c r="GK179" s="9">
        <v>5220</v>
      </c>
      <c r="GL179" s="9">
        <v>6252</v>
      </c>
      <c r="GM179" s="9">
        <v>0</v>
      </c>
      <c r="GN179" s="9">
        <v>0</v>
      </c>
      <c r="GO179" s="9">
        <v>0</v>
      </c>
      <c r="GP179" s="9">
        <v>4922943</v>
      </c>
      <c r="GQ179" s="9">
        <v>4922943</v>
      </c>
      <c r="GR179" s="9">
        <v>0</v>
      </c>
      <c r="GS179" s="9">
        <v>0</v>
      </c>
      <c r="GT179" s="9">
        <v>0</v>
      </c>
      <c r="GU179" s="9">
        <v>0</v>
      </c>
      <c r="GV179" s="9">
        <v>0</v>
      </c>
      <c r="GW179" s="9">
        <v>0</v>
      </c>
      <c r="GX179" s="9">
        <v>0</v>
      </c>
      <c r="GY179" s="9">
        <v>0</v>
      </c>
      <c r="GZ179" s="9">
        <v>0</v>
      </c>
      <c r="HA179" s="9">
        <v>0</v>
      </c>
      <c r="HB179" s="9">
        <v>300501363</v>
      </c>
      <c r="HC179" s="9">
        <v>4.4742999999999998E-2</v>
      </c>
      <c r="HD179" s="9">
        <v>80584</v>
      </c>
      <c r="HE179" s="9">
        <v>0</v>
      </c>
      <c r="HF179" s="9">
        <v>0</v>
      </c>
      <c r="HG179" s="9">
        <v>0</v>
      </c>
      <c r="HH179" s="9">
        <v>0</v>
      </c>
      <c r="HI179" s="9">
        <v>0</v>
      </c>
      <c r="HJ179" s="9">
        <v>0</v>
      </c>
      <c r="HK179" s="9">
        <v>0</v>
      </c>
      <c r="HL179" s="9">
        <v>0</v>
      </c>
      <c r="HM179" s="9">
        <v>0</v>
      </c>
      <c r="HN179" s="9">
        <v>0</v>
      </c>
      <c r="HO179" s="9">
        <v>0</v>
      </c>
      <c r="HP179" s="9">
        <v>0</v>
      </c>
      <c r="HQ179" s="9">
        <v>0</v>
      </c>
      <c r="HR179" s="9">
        <v>0</v>
      </c>
      <c r="HS179" s="9">
        <v>0</v>
      </c>
      <c r="HT179" s="9">
        <v>0</v>
      </c>
      <c r="HU179" s="9">
        <v>0</v>
      </c>
      <c r="HV179" s="9">
        <v>0</v>
      </c>
      <c r="HW179" s="9">
        <v>0</v>
      </c>
      <c r="HX179" s="9">
        <v>0</v>
      </c>
      <c r="HY179" s="9">
        <v>0</v>
      </c>
      <c r="HZ179" s="9">
        <v>0</v>
      </c>
      <c r="IA179" s="9">
        <v>0</v>
      </c>
      <c r="IB179" s="9">
        <v>0</v>
      </c>
      <c r="IC179" s="9">
        <v>0</v>
      </c>
      <c r="ID179" s="9">
        <v>0</v>
      </c>
      <c r="IE179" s="9">
        <v>0</v>
      </c>
      <c r="IF179" s="9">
        <v>0</v>
      </c>
      <c r="IG179" s="9">
        <v>0</v>
      </c>
      <c r="IH179" s="9">
        <v>0</v>
      </c>
      <c r="II179" s="9">
        <v>0</v>
      </c>
      <c r="IJ179" s="9">
        <v>0</v>
      </c>
      <c r="IK179" s="9">
        <v>0</v>
      </c>
      <c r="IL179" s="9">
        <v>0</v>
      </c>
      <c r="IM179" s="9">
        <v>0</v>
      </c>
      <c r="IN179" s="9">
        <v>0</v>
      </c>
      <c r="IO179" s="9">
        <v>0</v>
      </c>
      <c r="IP179" s="9">
        <v>0</v>
      </c>
      <c r="IQ179" s="9">
        <v>0</v>
      </c>
      <c r="IR179" s="9">
        <v>0</v>
      </c>
      <c r="IS179" s="9">
        <v>0</v>
      </c>
      <c r="IT179" s="9">
        <v>0</v>
      </c>
      <c r="IU179" s="9">
        <v>0</v>
      </c>
      <c r="IV179" s="9">
        <v>0</v>
      </c>
      <c r="IW179" s="9">
        <v>0</v>
      </c>
      <c r="IX179" s="9">
        <v>0</v>
      </c>
      <c r="IY179" s="9">
        <v>0</v>
      </c>
      <c r="IZ179" s="9">
        <v>0</v>
      </c>
      <c r="JA179" s="9">
        <v>0</v>
      </c>
      <c r="JB179" s="9">
        <v>0</v>
      </c>
      <c r="JC179" s="9">
        <v>0</v>
      </c>
      <c r="JD179" s="9">
        <v>0</v>
      </c>
      <c r="JE179" s="9">
        <v>0</v>
      </c>
      <c r="JF179" s="9">
        <v>0</v>
      </c>
      <c r="JG179" s="9">
        <v>0</v>
      </c>
      <c r="JH179" s="9">
        <v>0</v>
      </c>
      <c r="JI179" s="9">
        <v>0</v>
      </c>
      <c r="JJ179" s="9">
        <v>0</v>
      </c>
      <c r="JK179" s="9">
        <v>0</v>
      </c>
      <c r="JL179" s="9">
        <v>0</v>
      </c>
      <c r="JM179" s="9">
        <v>0</v>
      </c>
      <c r="JN179" s="9">
        <v>36832</v>
      </c>
      <c r="JO179" s="9">
        <v>0</v>
      </c>
      <c r="JP179" s="9">
        <v>0</v>
      </c>
      <c r="JQ179" s="9">
        <v>0</v>
      </c>
      <c r="JR179" s="9">
        <v>0</v>
      </c>
      <c r="JS179" s="9">
        <v>0</v>
      </c>
      <c r="JT179" s="9">
        <v>0</v>
      </c>
      <c r="JU179" s="9">
        <v>0</v>
      </c>
      <c r="JV179" s="9">
        <v>0</v>
      </c>
      <c r="JW179" s="9">
        <v>0</v>
      </c>
      <c r="JX179" s="9">
        <v>0</v>
      </c>
      <c r="JY179" s="9">
        <v>0</v>
      </c>
      <c r="JZ179" s="9">
        <v>0</v>
      </c>
      <c r="KA179" s="9">
        <v>0</v>
      </c>
      <c r="KB179" s="9">
        <v>0</v>
      </c>
      <c r="KC179" s="9">
        <v>0</v>
      </c>
      <c r="KD179" s="9">
        <v>0</v>
      </c>
      <c r="KE179" s="9">
        <v>0</v>
      </c>
      <c r="KF179" s="9">
        <v>0</v>
      </c>
      <c r="KG179" s="9">
        <v>0</v>
      </c>
      <c r="KH179" s="9">
        <v>0</v>
      </c>
      <c r="KI179" s="9">
        <v>0</v>
      </c>
    </row>
    <row r="180" spans="1:295" x14ac:dyDescent="0.25">
      <c r="A180" s="9">
        <v>227819</v>
      </c>
      <c r="B180" s="9">
        <v>36871</v>
      </c>
      <c r="C180" s="9">
        <v>35</v>
      </c>
      <c r="D180" s="9">
        <v>2023</v>
      </c>
      <c r="E180" s="9">
        <v>5392</v>
      </c>
      <c r="F180" s="9">
        <v>0</v>
      </c>
      <c r="G180" s="9">
        <v>0</v>
      </c>
      <c r="H180" s="9">
        <v>245.489</v>
      </c>
      <c r="I180" s="9">
        <v>245.489</v>
      </c>
      <c r="J180" s="9">
        <v>261.66200000000003</v>
      </c>
      <c r="K180" s="9">
        <v>0</v>
      </c>
      <c r="L180" s="9">
        <v>6547</v>
      </c>
      <c r="M180" s="9">
        <v>0</v>
      </c>
      <c r="N180" s="9">
        <v>0</v>
      </c>
      <c r="O180" s="9">
        <v>0</v>
      </c>
      <c r="P180" s="9">
        <v>262.80200000000002</v>
      </c>
      <c r="Q180" s="9">
        <v>0</v>
      </c>
      <c r="R180" s="9">
        <v>127964</v>
      </c>
      <c r="S180" s="9">
        <v>486.92200000000003</v>
      </c>
      <c r="T180" s="9">
        <v>0</v>
      </c>
      <c r="U180" s="9">
        <v>127964</v>
      </c>
      <c r="V180" s="9">
        <v>44.698</v>
      </c>
      <c r="W180" s="9">
        <v>29264</v>
      </c>
      <c r="X180" s="9">
        <v>29264</v>
      </c>
      <c r="Y180" s="9">
        <v>0</v>
      </c>
      <c r="Z180" s="9">
        <v>0</v>
      </c>
      <c r="AA180" s="9">
        <v>1</v>
      </c>
      <c r="AB180" s="9">
        <v>1</v>
      </c>
      <c r="AC180" s="9">
        <v>0</v>
      </c>
      <c r="AD180" s="9" t="s">
        <v>314</v>
      </c>
      <c r="AE180" s="9">
        <v>0</v>
      </c>
      <c r="AF180" s="9">
        <v>0</v>
      </c>
      <c r="AG180" s="9">
        <v>0</v>
      </c>
      <c r="AH180" s="9">
        <v>0</v>
      </c>
      <c r="AI180" s="9">
        <v>0</v>
      </c>
      <c r="AJ180" s="9">
        <v>5104</v>
      </c>
      <c r="AK180" s="9" t="s">
        <v>651</v>
      </c>
      <c r="AL180" s="9" t="s">
        <v>87</v>
      </c>
      <c r="AM180" s="9">
        <v>0</v>
      </c>
      <c r="AN180" s="9">
        <v>0</v>
      </c>
      <c r="AO180" s="9">
        <v>0</v>
      </c>
      <c r="AP180" s="9">
        <v>0</v>
      </c>
      <c r="AQ180" s="9">
        <v>0</v>
      </c>
      <c r="AR180" s="9">
        <v>0</v>
      </c>
      <c r="AS180" s="9">
        <v>0</v>
      </c>
      <c r="AT180" s="9">
        <v>0</v>
      </c>
      <c r="AU180" s="9">
        <v>0</v>
      </c>
      <c r="AV180" s="9">
        <v>-48117</v>
      </c>
      <c r="AW180" s="9">
        <v>2562974</v>
      </c>
      <c r="AX180" s="9">
        <v>2516846</v>
      </c>
      <c r="AY180" s="9">
        <v>2673537</v>
      </c>
      <c r="AZ180" s="9">
        <v>127964</v>
      </c>
      <c r="BA180" s="9">
        <v>0</v>
      </c>
      <c r="BB180" s="9">
        <v>10279</v>
      </c>
      <c r="BC180" s="9">
        <v>10279</v>
      </c>
      <c r="BD180" s="9">
        <v>13.083</v>
      </c>
      <c r="BE180" s="9">
        <v>0</v>
      </c>
      <c r="BF180" s="9">
        <v>2176608</v>
      </c>
      <c r="BG180" s="9">
        <v>0</v>
      </c>
      <c r="BH180" s="9">
        <v>0</v>
      </c>
      <c r="BI180" s="9">
        <v>0</v>
      </c>
      <c r="BJ180" s="9">
        <v>12</v>
      </c>
      <c r="BK180" s="9">
        <v>0</v>
      </c>
      <c r="BL180" s="9">
        <v>0</v>
      </c>
      <c r="BM180" s="9">
        <v>0</v>
      </c>
      <c r="BN180" s="9">
        <v>0</v>
      </c>
      <c r="BO180" s="9">
        <v>0</v>
      </c>
      <c r="BP180" s="9">
        <v>0</v>
      </c>
      <c r="BQ180" s="9">
        <v>5392</v>
      </c>
      <c r="BR180" s="9">
        <v>1</v>
      </c>
      <c r="BS180" s="9">
        <v>0</v>
      </c>
      <c r="BT180" s="9">
        <v>0</v>
      </c>
      <c r="BU180" s="9">
        <v>0</v>
      </c>
      <c r="BV180" s="9">
        <v>0</v>
      </c>
      <c r="BW180" s="9">
        <v>0</v>
      </c>
      <c r="BX180" s="9">
        <v>0</v>
      </c>
      <c r="BY180" s="9">
        <v>0</v>
      </c>
      <c r="BZ180" s="9">
        <v>0</v>
      </c>
      <c r="CA180" s="9">
        <v>0</v>
      </c>
      <c r="CB180" s="9">
        <v>0</v>
      </c>
      <c r="CC180" s="9">
        <v>0</v>
      </c>
      <c r="CD180" s="9">
        <v>0</v>
      </c>
      <c r="CE180" s="9">
        <v>0</v>
      </c>
      <c r="CF180" s="9">
        <v>0</v>
      </c>
      <c r="CG180" s="9">
        <v>0</v>
      </c>
      <c r="CH180" s="9">
        <v>46128</v>
      </c>
      <c r="CI180" s="9">
        <v>0</v>
      </c>
      <c r="CJ180" s="9">
        <v>4</v>
      </c>
      <c r="CK180" s="9">
        <v>0</v>
      </c>
      <c r="CL180" s="9">
        <v>0</v>
      </c>
      <c r="CM180" s="9">
        <v>0</v>
      </c>
      <c r="CN180" s="9">
        <v>0</v>
      </c>
      <c r="CO180" s="9">
        <v>0</v>
      </c>
      <c r="CP180" s="9">
        <v>0</v>
      </c>
      <c r="CQ180" s="9">
        <v>0</v>
      </c>
      <c r="CR180" s="9">
        <v>256.34300000000002</v>
      </c>
      <c r="CS180" s="9">
        <v>0</v>
      </c>
      <c r="CT180" s="9">
        <v>0</v>
      </c>
      <c r="CU180" s="9">
        <v>0</v>
      </c>
      <c r="CV180" s="9">
        <v>0</v>
      </c>
      <c r="CW180" s="9">
        <v>0</v>
      </c>
      <c r="CX180" s="9">
        <v>0</v>
      </c>
      <c r="CY180" s="9">
        <v>0</v>
      </c>
      <c r="CZ180" s="9">
        <v>0</v>
      </c>
      <c r="DA180" s="9">
        <v>1</v>
      </c>
      <c r="DB180" s="9">
        <v>1607216</v>
      </c>
      <c r="DC180" s="9">
        <v>0</v>
      </c>
      <c r="DD180" s="9">
        <v>0</v>
      </c>
      <c r="DE180" s="9">
        <v>227181</v>
      </c>
      <c r="DF180" s="9">
        <v>227181</v>
      </c>
      <c r="DG180" s="9">
        <v>173.5</v>
      </c>
      <c r="DH180" s="9">
        <v>0</v>
      </c>
      <c r="DI180" s="9">
        <v>0</v>
      </c>
      <c r="DJ180" s="9">
        <v>0</v>
      </c>
      <c r="DK180" s="9">
        <v>5392</v>
      </c>
      <c r="DL180" s="9">
        <v>0</v>
      </c>
      <c r="DM180" s="9">
        <v>362451</v>
      </c>
      <c r="DN180" s="9">
        <v>0</v>
      </c>
      <c r="DO180" s="9">
        <v>0</v>
      </c>
      <c r="DP180" s="9">
        <v>0</v>
      </c>
      <c r="DQ180" s="9">
        <v>0</v>
      </c>
      <c r="DR180" s="9">
        <v>0</v>
      </c>
      <c r="DS180" s="9">
        <v>0</v>
      </c>
      <c r="DT180" s="9">
        <v>0</v>
      </c>
      <c r="DU180" s="9">
        <v>0</v>
      </c>
      <c r="DV180" s="9">
        <v>0</v>
      </c>
      <c r="DW180" s="9">
        <v>0</v>
      </c>
      <c r="DX180" s="9">
        <v>0</v>
      </c>
      <c r="DY180" s="9">
        <v>0</v>
      </c>
      <c r="DZ180" s="9">
        <v>0</v>
      </c>
      <c r="EA180" s="9">
        <v>0</v>
      </c>
      <c r="EB180" s="9">
        <v>0</v>
      </c>
      <c r="EC180" s="9">
        <v>4.2040000000000006</v>
      </c>
      <c r="ED180" s="9">
        <v>30276</v>
      </c>
      <c r="EE180" s="9">
        <v>0</v>
      </c>
      <c r="EF180" s="9">
        <v>0</v>
      </c>
      <c r="EG180" s="9">
        <v>0</v>
      </c>
      <c r="EH180" s="9">
        <v>332175</v>
      </c>
      <c r="EI180" s="9">
        <v>0</v>
      </c>
      <c r="EJ180" s="9">
        <v>0</v>
      </c>
      <c r="EK180" s="9">
        <v>12.803000000000001</v>
      </c>
      <c r="EL180" s="9">
        <v>0</v>
      </c>
      <c r="EM180" s="9">
        <v>2.2610000000000001</v>
      </c>
      <c r="EN180" s="9">
        <v>1.109</v>
      </c>
      <c r="EO180" s="9">
        <v>0</v>
      </c>
      <c r="EP180" s="9">
        <v>0</v>
      </c>
      <c r="EQ180" s="9">
        <v>16.173000000000002</v>
      </c>
      <c r="ER180" s="9">
        <v>0</v>
      </c>
      <c r="ES180" s="9">
        <v>50.737000000000002</v>
      </c>
      <c r="ET180" s="9">
        <v>0</v>
      </c>
      <c r="EU180" s="9">
        <v>127964</v>
      </c>
      <c r="EV180" s="9">
        <v>0</v>
      </c>
      <c r="EW180" s="9">
        <v>0</v>
      </c>
      <c r="EX180" s="9">
        <v>0</v>
      </c>
      <c r="EY180" s="9">
        <v>0</v>
      </c>
      <c r="EZ180" s="9">
        <v>2108427</v>
      </c>
      <c r="FA180" s="9">
        <v>0</v>
      </c>
      <c r="FB180" s="9">
        <v>2236391</v>
      </c>
      <c r="FC180" s="9">
        <v>0.97326799999999991</v>
      </c>
      <c r="FD180" s="9">
        <v>0</v>
      </c>
      <c r="FE180" s="9">
        <v>336716</v>
      </c>
      <c r="FF180" s="9">
        <v>71703</v>
      </c>
      <c r="FG180" s="9">
        <v>5.8088000000000001E-2</v>
      </c>
      <c r="FH180" s="9">
        <v>5.2622999999999996E-2</v>
      </c>
      <c r="FI180" s="9">
        <v>0</v>
      </c>
      <c r="FJ180" s="9">
        <v>0</v>
      </c>
      <c r="FK180" s="9">
        <v>426.47500000000002</v>
      </c>
      <c r="FL180" s="9">
        <v>2690938</v>
      </c>
      <c r="FM180" s="9">
        <v>0</v>
      </c>
      <c r="FN180" s="9">
        <v>0</v>
      </c>
      <c r="FO180" s="9">
        <v>0</v>
      </c>
      <c r="FP180" s="9">
        <v>0</v>
      </c>
      <c r="FQ180" s="9">
        <v>0</v>
      </c>
      <c r="FR180" s="9">
        <v>0</v>
      </c>
      <c r="FS180" s="9">
        <v>0</v>
      </c>
      <c r="FT180" s="9">
        <v>0</v>
      </c>
      <c r="FU180" s="9">
        <v>0</v>
      </c>
      <c r="FV180" s="9">
        <v>0</v>
      </c>
      <c r="FW180" s="9">
        <v>0</v>
      </c>
      <c r="FX180" s="9">
        <v>0</v>
      </c>
      <c r="FY180" s="9">
        <v>0</v>
      </c>
      <c r="FZ180" s="9">
        <v>0</v>
      </c>
      <c r="GA180" s="9">
        <v>0</v>
      </c>
      <c r="GB180" s="9">
        <v>0</v>
      </c>
      <c r="GC180" s="9">
        <v>0</v>
      </c>
      <c r="GD180" s="9">
        <v>0</v>
      </c>
      <c r="GE180" s="9">
        <v>0</v>
      </c>
      <c r="GF180" s="9">
        <v>0</v>
      </c>
      <c r="GG180" s="9">
        <v>0</v>
      </c>
      <c r="GH180" s="9">
        <v>0</v>
      </c>
      <c r="GI180" s="9">
        <v>0</v>
      </c>
      <c r="GJ180" s="9">
        <v>0</v>
      </c>
      <c r="GK180" s="9">
        <v>5089</v>
      </c>
      <c r="GL180" s="9">
        <v>8007</v>
      </c>
      <c r="GM180" s="9">
        <v>0</v>
      </c>
      <c r="GN180" s="9">
        <v>7195</v>
      </c>
      <c r="GO180" s="9">
        <v>0</v>
      </c>
      <c r="GP180" s="9">
        <v>2644810</v>
      </c>
      <c r="GQ180" s="9">
        <v>2644810</v>
      </c>
      <c r="GR180" s="9">
        <v>0</v>
      </c>
      <c r="GS180" s="9">
        <v>0</v>
      </c>
      <c r="GT180" s="9">
        <v>0</v>
      </c>
      <c r="GU180" s="9">
        <v>0</v>
      </c>
      <c r="GV180" s="9">
        <v>0</v>
      </c>
      <c r="GW180" s="9">
        <v>0</v>
      </c>
      <c r="GX180" s="9">
        <v>0</v>
      </c>
      <c r="GY180" s="9">
        <v>0</v>
      </c>
      <c r="GZ180" s="9">
        <v>0</v>
      </c>
      <c r="HA180" s="9">
        <v>0</v>
      </c>
      <c r="HB180" s="9">
        <v>300501363</v>
      </c>
      <c r="HC180" s="9">
        <v>4.4742999999999998E-2</v>
      </c>
      <c r="HD180" s="9">
        <v>46128</v>
      </c>
      <c r="HE180" s="9">
        <v>0</v>
      </c>
      <c r="HF180" s="9">
        <v>0</v>
      </c>
      <c r="HG180" s="9">
        <v>0</v>
      </c>
      <c r="HH180" s="9">
        <v>0</v>
      </c>
      <c r="HI180" s="9">
        <v>0</v>
      </c>
      <c r="HJ180" s="9">
        <v>0</v>
      </c>
      <c r="HK180" s="9">
        <v>0</v>
      </c>
      <c r="HL180" s="9">
        <v>0</v>
      </c>
      <c r="HM180" s="9">
        <v>0</v>
      </c>
      <c r="HN180" s="9">
        <v>0</v>
      </c>
      <c r="HO180" s="9">
        <v>0</v>
      </c>
      <c r="HP180" s="9">
        <v>0</v>
      </c>
      <c r="HQ180" s="9">
        <v>0</v>
      </c>
      <c r="HR180" s="9">
        <v>0</v>
      </c>
      <c r="HS180" s="9">
        <v>0</v>
      </c>
      <c r="HT180" s="9">
        <v>0</v>
      </c>
      <c r="HU180" s="9">
        <v>0</v>
      </c>
      <c r="HV180" s="9">
        <v>0</v>
      </c>
      <c r="HW180" s="9">
        <v>0</v>
      </c>
      <c r="HX180" s="9">
        <v>0</v>
      </c>
      <c r="HY180" s="9">
        <v>0</v>
      </c>
      <c r="HZ180" s="9">
        <v>0</v>
      </c>
      <c r="IA180" s="9">
        <v>0</v>
      </c>
      <c r="IB180" s="9">
        <v>0</v>
      </c>
      <c r="IC180" s="9">
        <v>0</v>
      </c>
      <c r="ID180" s="9">
        <v>0</v>
      </c>
      <c r="IE180" s="9">
        <v>0</v>
      </c>
      <c r="IF180" s="9">
        <v>0</v>
      </c>
      <c r="IG180" s="9">
        <v>0</v>
      </c>
      <c r="IH180" s="9">
        <v>0</v>
      </c>
      <c r="II180" s="9">
        <v>0</v>
      </c>
      <c r="IJ180" s="9">
        <v>0</v>
      </c>
      <c r="IK180" s="9">
        <v>0</v>
      </c>
      <c r="IL180" s="9">
        <v>0</v>
      </c>
      <c r="IM180" s="9">
        <v>0</v>
      </c>
      <c r="IN180" s="9">
        <v>0</v>
      </c>
      <c r="IO180" s="9">
        <v>0</v>
      </c>
      <c r="IP180" s="9">
        <v>0</v>
      </c>
      <c r="IQ180" s="9">
        <v>0</v>
      </c>
      <c r="IR180" s="9">
        <v>0</v>
      </c>
      <c r="IS180" s="9">
        <v>0</v>
      </c>
      <c r="IT180" s="9">
        <v>0</v>
      </c>
      <c r="IU180" s="9">
        <v>0</v>
      </c>
      <c r="IV180" s="9">
        <v>0</v>
      </c>
      <c r="IW180" s="9">
        <v>0</v>
      </c>
      <c r="IX180" s="9">
        <v>0</v>
      </c>
      <c r="IY180" s="9">
        <v>0</v>
      </c>
      <c r="IZ180" s="9">
        <v>0</v>
      </c>
      <c r="JA180" s="9">
        <v>0</v>
      </c>
      <c r="JB180" s="9">
        <v>0</v>
      </c>
      <c r="JC180" s="9">
        <v>0</v>
      </c>
      <c r="JD180" s="9">
        <v>0</v>
      </c>
      <c r="JE180" s="9">
        <v>0</v>
      </c>
      <c r="JF180" s="9">
        <v>0</v>
      </c>
      <c r="JG180" s="9">
        <v>0</v>
      </c>
      <c r="JH180" s="9">
        <v>0</v>
      </c>
      <c r="JI180" s="9">
        <v>0</v>
      </c>
      <c r="JJ180" s="9">
        <v>0</v>
      </c>
      <c r="JK180" s="9">
        <v>0</v>
      </c>
      <c r="JL180" s="9">
        <v>0</v>
      </c>
      <c r="JM180" s="9">
        <v>0</v>
      </c>
      <c r="JN180" s="9">
        <v>36832</v>
      </c>
      <c r="JO180" s="9">
        <v>0</v>
      </c>
      <c r="JP180" s="9">
        <v>0</v>
      </c>
      <c r="JQ180" s="9">
        <v>0</v>
      </c>
      <c r="JR180" s="9">
        <v>0</v>
      </c>
      <c r="JS180" s="9">
        <v>0</v>
      </c>
      <c r="JT180" s="9">
        <v>0</v>
      </c>
      <c r="JU180" s="9">
        <v>0</v>
      </c>
      <c r="JV180" s="9">
        <v>0</v>
      </c>
      <c r="JW180" s="9">
        <v>0</v>
      </c>
      <c r="JX180" s="9">
        <v>0</v>
      </c>
      <c r="JY180" s="9">
        <v>0</v>
      </c>
      <c r="JZ180" s="9">
        <v>0</v>
      </c>
      <c r="KA180" s="9">
        <v>0</v>
      </c>
      <c r="KB180" s="9">
        <v>0</v>
      </c>
      <c r="KC180" s="9">
        <v>0</v>
      </c>
      <c r="KD180" s="9">
        <v>0</v>
      </c>
      <c r="KE180" s="9">
        <v>0</v>
      </c>
      <c r="KF180" s="9">
        <v>0</v>
      </c>
      <c r="KG180" s="9">
        <v>0</v>
      </c>
      <c r="KH180" s="9">
        <v>0</v>
      </c>
      <c r="KI180" s="9">
        <v>0</v>
      </c>
    </row>
    <row r="181" spans="1:295" x14ac:dyDescent="0.25">
      <c r="A181" s="9">
        <v>227820</v>
      </c>
      <c r="B181" s="9">
        <v>36871</v>
      </c>
      <c r="C181" s="9">
        <v>35</v>
      </c>
      <c r="D181" s="9">
        <v>2023</v>
      </c>
      <c r="E181" s="9">
        <v>5392</v>
      </c>
      <c r="F181" s="9">
        <v>0</v>
      </c>
      <c r="G181" s="9">
        <v>0</v>
      </c>
      <c r="H181" s="9">
        <v>26985.135999999999</v>
      </c>
      <c r="I181" s="9">
        <v>26985.135999999999</v>
      </c>
      <c r="J181" s="9">
        <v>28093.574000000001</v>
      </c>
      <c r="K181" s="9">
        <v>0</v>
      </c>
      <c r="L181" s="9">
        <v>6547</v>
      </c>
      <c r="M181" s="9">
        <v>0</v>
      </c>
      <c r="N181" s="9">
        <v>0</v>
      </c>
      <c r="O181" s="9">
        <v>0</v>
      </c>
      <c r="P181" s="9">
        <v>25942.050999999999</v>
      </c>
      <c r="Q181" s="9">
        <v>0</v>
      </c>
      <c r="R181" s="9">
        <v>12631755</v>
      </c>
      <c r="S181" s="9">
        <v>486.92200000000003</v>
      </c>
      <c r="T181" s="9">
        <v>0</v>
      </c>
      <c r="U181" s="9">
        <v>12631755</v>
      </c>
      <c r="V181" s="9">
        <v>10010.040000000001</v>
      </c>
      <c r="W181" s="9">
        <v>6553573</v>
      </c>
      <c r="X181" s="9">
        <v>6553573</v>
      </c>
      <c r="Y181" s="9">
        <v>0</v>
      </c>
      <c r="Z181" s="9">
        <v>0</v>
      </c>
      <c r="AA181" s="9">
        <v>1</v>
      </c>
      <c r="AB181" s="9">
        <v>1</v>
      </c>
      <c r="AC181" s="9">
        <v>0</v>
      </c>
      <c r="AD181" s="9" t="s">
        <v>314</v>
      </c>
      <c r="AE181" s="9">
        <v>0</v>
      </c>
      <c r="AF181" s="9">
        <v>0</v>
      </c>
      <c r="AG181" s="9">
        <v>0</v>
      </c>
      <c r="AH181" s="9">
        <v>0</v>
      </c>
      <c r="AI181" s="9">
        <v>0</v>
      </c>
      <c r="AJ181" s="9">
        <v>5104</v>
      </c>
      <c r="AK181" s="9" t="s">
        <v>651</v>
      </c>
      <c r="AL181" s="9" t="s">
        <v>463</v>
      </c>
      <c r="AM181" s="9">
        <v>0</v>
      </c>
      <c r="AN181" s="9">
        <v>0</v>
      </c>
      <c r="AO181" s="9">
        <v>0</v>
      </c>
      <c r="AP181" s="9">
        <v>0</v>
      </c>
      <c r="AQ181" s="9">
        <v>0</v>
      </c>
      <c r="AR181" s="9">
        <v>0</v>
      </c>
      <c r="AS181" s="9">
        <v>0</v>
      </c>
      <c r="AT181" s="9">
        <v>0</v>
      </c>
      <c r="AU181" s="9">
        <v>0</v>
      </c>
      <c r="AV181" s="9">
        <v>-6064110</v>
      </c>
      <c r="AW181" s="9">
        <v>286006476</v>
      </c>
      <c r="AX181" s="9">
        <v>277913308</v>
      </c>
      <c r="AY181" s="9">
        <v>300608577</v>
      </c>
      <c r="AZ181" s="9">
        <v>15772390</v>
      </c>
      <c r="BA181" s="9">
        <v>0</v>
      </c>
      <c r="BB181" s="9">
        <v>0</v>
      </c>
      <c r="BC181" s="9">
        <v>0</v>
      </c>
      <c r="BD181" s="9">
        <v>0</v>
      </c>
      <c r="BE181" s="9">
        <v>0</v>
      </c>
      <c r="BF181" s="9">
        <v>238252497</v>
      </c>
      <c r="BG181" s="9">
        <v>0</v>
      </c>
      <c r="BH181" s="9">
        <v>5460.7350000000006</v>
      </c>
      <c r="BI181" s="9">
        <v>1501702</v>
      </c>
      <c r="BJ181" s="9">
        <v>12</v>
      </c>
      <c r="BK181" s="9">
        <v>0</v>
      </c>
      <c r="BL181" s="9">
        <v>0</v>
      </c>
      <c r="BM181" s="9">
        <v>0</v>
      </c>
      <c r="BN181" s="9">
        <v>0</v>
      </c>
      <c r="BO181" s="9">
        <v>0</v>
      </c>
      <c r="BP181" s="9">
        <v>0</v>
      </c>
      <c r="BQ181" s="9">
        <v>5392</v>
      </c>
      <c r="BR181" s="9">
        <v>1</v>
      </c>
      <c r="BS181" s="9">
        <v>0</v>
      </c>
      <c r="BT181" s="9">
        <v>0</v>
      </c>
      <c r="BU181" s="9">
        <v>0</v>
      </c>
      <c r="BV181" s="9">
        <v>0</v>
      </c>
      <c r="BW181" s="9">
        <v>0</v>
      </c>
      <c r="BX181" s="9">
        <v>0</v>
      </c>
      <c r="BY181" s="9">
        <v>0</v>
      </c>
      <c r="BZ181" s="9">
        <v>0</v>
      </c>
      <c r="CA181" s="9">
        <v>1638.933</v>
      </c>
      <c r="CB181" s="9">
        <v>1638933</v>
      </c>
      <c r="CC181" s="9">
        <v>0</v>
      </c>
      <c r="CD181" s="9">
        <v>0</v>
      </c>
      <c r="CE181" s="9">
        <v>0</v>
      </c>
      <c r="CF181" s="9">
        <v>0</v>
      </c>
      <c r="CG181" s="9">
        <v>0</v>
      </c>
      <c r="CH181" s="9">
        <v>4952533</v>
      </c>
      <c r="CI181" s="9">
        <v>0</v>
      </c>
      <c r="CJ181" s="9">
        <v>5</v>
      </c>
      <c r="CK181" s="9">
        <v>0</v>
      </c>
      <c r="CL181" s="9">
        <v>0</v>
      </c>
      <c r="CM181" s="9">
        <v>0</v>
      </c>
      <c r="CN181" s="9">
        <v>0</v>
      </c>
      <c r="CO181" s="9">
        <v>0</v>
      </c>
      <c r="CP181" s="9">
        <v>0</v>
      </c>
      <c r="CQ181" s="9">
        <v>0</v>
      </c>
      <c r="CR181" s="9">
        <v>24872.061000000002</v>
      </c>
      <c r="CS181" s="9">
        <v>0</v>
      </c>
      <c r="CT181" s="9">
        <v>0</v>
      </c>
      <c r="CU181" s="9">
        <v>0</v>
      </c>
      <c r="CV181" s="9">
        <v>0</v>
      </c>
      <c r="CW181" s="9">
        <v>0</v>
      </c>
      <c r="CX181" s="9">
        <v>0</v>
      </c>
      <c r="CY181" s="9">
        <v>0</v>
      </c>
      <c r="CZ181" s="9">
        <v>0</v>
      </c>
      <c r="DA181" s="9">
        <v>1</v>
      </c>
      <c r="DB181" s="9">
        <v>176671685</v>
      </c>
      <c r="DC181" s="9">
        <v>0</v>
      </c>
      <c r="DD181" s="9">
        <v>0</v>
      </c>
      <c r="DE181" s="9">
        <v>38259791</v>
      </c>
      <c r="DF181" s="9">
        <v>38259791</v>
      </c>
      <c r="DG181" s="9">
        <v>29219.33</v>
      </c>
      <c r="DH181" s="9">
        <v>0</v>
      </c>
      <c r="DI181" s="9">
        <v>0</v>
      </c>
      <c r="DJ181" s="9">
        <v>0</v>
      </c>
      <c r="DK181" s="9">
        <v>5392</v>
      </c>
      <c r="DL181" s="9">
        <v>0</v>
      </c>
      <c r="DM181" s="9">
        <v>18973399</v>
      </c>
      <c r="DN181" s="9">
        <v>0</v>
      </c>
      <c r="DO181" s="9">
        <v>0</v>
      </c>
      <c r="DP181" s="9">
        <v>0</v>
      </c>
      <c r="DQ181" s="9">
        <v>0</v>
      </c>
      <c r="DR181" s="9">
        <v>0</v>
      </c>
      <c r="DS181" s="9">
        <v>0</v>
      </c>
      <c r="DT181" s="9">
        <v>0</v>
      </c>
      <c r="DU181" s="9">
        <v>0</v>
      </c>
      <c r="DV181" s="9">
        <v>0</v>
      </c>
      <c r="DW181" s="9">
        <v>0</v>
      </c>
      <c r="DX181" s="9">
        <v>0</v>
      </c>
      <c r="DY181" s="9">
        <v>0</v>
      </c>
      <c r="DZ181" s="9">
        <v>0</v>
      </c>
      <c r="EA181" s="9">
        <v>0.252</v>
      </c>
      <c r="EB181" s="9">
        <v>0</v>
      </c>
      <c r="EC181" s="9">
        <v>868.36800000000005</v>
      </c>
      <c r="ED181" s="9">
        <v>6253726</v>
      </c>
      <c r="EE181" s="9">
        <v>0</v>
      </c>
      <c r="EF181" s="9">
        <v>0</v>
      </c>
      <c r="EG181" s="9">
        <v>2.008</v>
      </c>
      <c r="EH181" s="9">
        <v>12719673</v>
      </c>
      <c r="EI181" s="9">
        <v>0</v>
      </c>
      <c r="EJ181" s="9">
        <v>0</v>
      </c>
      <c r="EK181" s="9">
        <v>480.18700000000001</v>
      </c>
      <c r="EL181" s="9">
        <v>0.68500000000000005</v>
      </c>
      <c r="EM181" s="9">
        <v>90.174000000000007</v>
      </c>
      <c r="EN181" s="9">
        <v>45.012</v>
      </c>
      <c r="EO181" s="9">
        <v>0</v>
      </c>
      <c r="EP181" s="9">
        <v>0</v>
      </c>
      <c r="EQ181" s="9">
        <v>617.63300000000004</v>
      </c>
      <c r="ER181" s="9">
        <v>0</v>
      </c>
      <c r="ES181" s="9">
        <v>1942.825</v>
      </c>
      <c r="ET181" s="9">
        <v>0</v>
      </c>
      <c r="EU181" s="9">
        <v>15772390</v>
      </c>
      <c r="EV181" s="9">
        <v>0</v>
      </c>
      <c r="EW181" s="9">
        <v>0</v>
      </c>
      <c r="EX181" s="9">
        <v>0</v>
      </c>
      <c r="EY181" s="9">
        <v>0</v>
      </c>
      <c r="EZ181" s="9">
        <v>233207598</v>
      </c>
      <c r="FA181" s="9">
        <v>0</v>
      </c>
      <c r="FB181" s="9">
        <v>248979988</v>
      </c>
      <c r="FC181" s="9">
        <v>0.97326799999999991</v>
      </c>
      <c r="FD181" s="9">
        <v>0</v>
      </c>
      <c r="FE181" s="9">
        <v>36857024</v>
      </c>
      <c r="FF181" s="9">
        <v>7848686</v>
      </c>
      <c r="FG181" s="9">
        <v>5.8088000000000001E-2</v>
      </c>
      <c r="FH181" s="9">
        <v>5.2622999999999996E-2</v>
      </c>
      <c r="FI181" s="9">
        <v>0</v>
      </c>
      <c r="FJ181" s="9">
        <v>0</v>
      </c>
      <c r="FK181" s="9">
        <v>46682.11</v>
      </c>
      <c r="FL181" s="9">
        <v>298638231</v>
      </c>
      <c r="FM181" s="9">
        <v>0</v>
      </c>
      <c r="FN181" s="9">
        <v>4039</v>
      </c>
      <c r="FO181" s="9">
        <v>731837</v>
      </c>
      <c r="FP181" s="9">
        <v>307074</v>
      </c>
      <c r="FQ181" s="9">
        <v>1042950</v>
      </c>
      <c r="FR181" s="9">
        <v>735876</v>
      </c>
      <c r="FS181" s="9">
        <v>0</v>
      </c>
      <c r="FT181" s="9">
        <v>0</v>
      </c>
      <c r="FU181" s="9">
        <v>0</v>
      </c>
      <c r="FV181" s="9">
        <v>0</v>
      </c>
      <c r="FW181" s="9">
        <v>0</v>
      </c>
      <c r="FX181" s="9">
        <v>0</v>
      </c>
      <c r="FY181" s="9">
        <v>0</v>
      </c>
      <c r="FZ181" s="9">
        <v>0</v>
      </c>
      <c r="GA181" s="9">
        <v>0</v>
      </c>
      <c r="GB181" s="9">
        <v>4337955</v>
      </c>
      <c r="GC181" s="9">
        <v>4337955</v>
      </c>
      <c r="GD181" s="9">
        <v>490.80500000000001</v>
      </c>
      <c r="GE181" s="9">
        <v>0</v>
      </c>
      <c r="GF181" s="9">
        <v>0</v>
      </c>
      <c r="GG181" s="9">
        <v>0</v>
      </c>
      <c r="GH181" s="9">
        <v>0</v>
      </c>
      <c r="GI181" s="9">
        <v>0</v>
      </c>
      <c r="GJ181" s="9">
        <v>0</v>
      </c>
      <c r="GK181" s="9">
        <v>5220</v>
      </c>
      <c r="GL181" s="9">
        <v>16538</v>
      </c>
      <c r="GM181" s="9">
        <v>0</v>
      </c>
      <c r="GN181" s="9">
        <v>87195</v>
      </c>
      <c r="GO181" s="9">
        <v>0</v>
      </c>
      <c r="GP181" s="9">
        <v>293685698</v>
      </c>
      <c r="GQ181" s="9">
        <v>293685698</v>
      </c>
      <c r="GR181" s="9">
        <v>0</v>
      </c>
      <c r="GS181" s="9">
        <v>0</v>
      </c>
      <c r="GT181" s="9">
        <v>0</v>
      </c>
      <c r="GU181" s="9">
        <v>0</v>
      </c>
      <c r="GV181" s="9">
        <v>0</v>
      </c>
      <c r="GW181" s="9">
        <v>0</v>
      </c>
      <c r="GX181" s="9">
        <v>0</v>
      </c>
      <c r="GY181" s="9">
        <v>0</v>
      </c>
      <c r="GZ181" s="9">
        <v>0</v>
      </c>
      <c r="HA181" s="9">
        <v>0</v>
      </c>
      <c r="HB181" s="9">
        <v>300501363</v>
      </c>
      <c r="HC181" s="9">
        <v>4.4742999999999998E-2</v>
      </c>
      <c r="HD181" s="9">
        <v>4952533</v>
      </c>
      <c r="HE181" s="9">
        <v>0</v>
      </c>
      <c r="HF181" s="9">
        <v>0</v>
      </c>
      <c r="HG181" s="9">
        <v>0</v>
      </c>
      <c r="HH181" s="9">
        <v>0</v>
      </c>
      <c r="HI181" s="9">
        <v>0</v>
      </c>
      <c r="HJ181" s="9">
        <v>0</v>
      </c>
      <c r="HK181" s="9">
        <v>0</v>
      </c>
      <c r="HL181" s="9">
        <v>0</v>
      </c>
      <c r="HM181" s="9">
        <v>0</v>
      </c>
      <c r="HN181" s="9">
        <v>0</v>
      </c>
      <c r="HO181" s="9">
        <v>0</v>
      </c>
      <c r="HP181" s="9">
        <v>0</v>
      </c>
      <c r="HQ181" s="9">
        <v>0</v>
      </c>
      <c r="HR181" s="9">
        <v>0</v>
      </c>
      <c r="HS181" s="9">
        <v>0</v>
      </c>
      <c r="HT181" s="9">
        <v>0</v>
      </c>
      <c r="HU181" s="9">
        <v>0</v>
      </c>
      <c r="HV181" s="9">
        <v>0</v>
      </c>
      <c r="HW181" s="9">
        <v>0</v>
      </c>
      <c r="HX181" s="9">
        <v>0</v>
      </c>
      <c r="HY181" s="9">
        <v>0</v>
      </c>
      <c r="HZ181" s="9">
        <v>0</v>
      </c>
      <c r="IA181" s="9">
        <v>0</v>
      </c>
      <c r="IB181" s="9">
        <v>0</v>
      </c>
      <c r="IC181" s="9">
        <v>0</v>
      </c>
      <c r="ID181" s="9">
        <v>0</v>
      </c>
      <c r="IE181" s="9">
        <v>0</v>
      </c>
      <c r="IF181" s="9">
        <v>0</v>
      </c>
      <c r="IG181" s="9">
        <v>0</v>
      </c>
      <c r="IH181" s="9">
        <v>0</v>
      </c>
      <c r="II181" s="9">
        <v>0</v>
      </c>
      <c r="IJ181" s="9">
        <v>0</v>
      </c>
      <c r="IK181" s="9">
        <v>0</v>
      </c>
      <c r="IL181" s="9">
        <v>0</v>
      </c>
      <c r="IM181" s="9">
        <v>0</v>
      </c>
      <c r="IN181" s="9">
        <v>0</v>
      </c>
      <c r="IO181" s="9">
        <v>0</v>
      </c>
      <c r="IP181" s="9">
        <v>0</v>
      </c>
      <c r="IQ181" s="9">
        <v>0</v>
      </c>
      <c r="IR181" s="9">
        <v>0</v>
      </c>
      <c r="IS181" s="9">
        <v>0</v>
      </c>
      <c r="IT181" s="9">
        <v>0</v>
      </c>
      <c r="IU181" s="9">
        <v>0</v>
      </c>
      <c r="IV181" s="9">
        <v>0</v>
      </c>
      <c r="IW181" s="9">
        <v>0</v>
      </c>
      <c r="IX181" s="9">
        <v>0</v>
      </c>
      <c r="IY181" s="9">
        <v>0</v>
      </c>
      <c r="IZ181" s="9">
        <v>0</v>
      </c>
      <c r="JA181" s="9">
        <v>0</v>
      </c>
      <c r="JB181" s="9">
        <v>0</v>
      </c>
      <c r="JC181" s="9">
        <v>0</v>
      </c>
      <c r="JD181" s="9">
        <v>0</v>
      </c>
      <c r="JE181" s="9">
        <v>0</v>
      </c>
      <c r="JF181" s="9">
        <v>0</v>
      </c>
      <c r="JG181" s="9">
        <v>0</v>
      </c>
      <c r="JH181" s="9">
        <v>0</v>
      </c>
      <c r="JI181" s="9">
        <v>0</v>
      </c>
      <c r="JJ181" s="9">
        <v>0</v>
      </c>
      <c r="JK181" s="9">
        <v>0</v>
      </c>
      <c r="JL181" s="9">
        <v>0</v>
      </c>
      <c r="JM181" s="9">
        <v>0</v>
      </c>
      <c r="JN181" s="9">
        <v>36832</v>
      </c>
      <c r="JO181" s="9">
        <v>0</v>
      </c>
      <c r="JP181" s="9">
        <v>0</v>
      </c>
      <c r="JQ181" s="9">
        <v>0</v>
      </c>
      <c r="JR181" s="9">
        <v>0</v>
      </c>
      <c r="JS181" s="9">
        <v>0</v>
      </c>
      <c r="JT181" s="9">
        <v>0</v>
      </c>
      <c r="JU181" s="9">
        <v>0</v>
      </c>
      <c r="JV181" s="9">
        <v>0</v>
      </c>
      <c r="JW181" s="9">
        <v>0</v>
      </c>
      <c r="JX181" s="9">
        <v>0</v>
      </c>
      <c r="JY181" s="9">
        <v>0</v>
      </c>
      <c r="JZ181" s="9">
        <v>0</v>
      </c>
      <c r="KA181" s="9">
        <v>0</v>
      </c>
      <c r="KB181" s="9">
        <v>0</v>
      </c>
      <c r="KC181" s="9">
        <v>0</v>
      </c>
      <c r="KD181" s="9">
        <v>0</v>
      </c>
      <c r="KE181" s="9">
        <v>0</v>
      </c>
      <c r="KF181" s="9">
        <v>0</v>
      </c>
      <c r="KG181" s="9">
        <v>0</v>
      </c>
      <c r="KH181" s="9">
        <v>0</v>
      </c>
      <c r="KI181" s="9">
        <v>0</v>
      </c>
    </row>
    <row r="182" spans="1:295" x14ac:dyDescent="0.25">
      <c r="A182" s="9">
        <v>227821</v>
      </c>
      <c r="B182" s="9">
        <v>36871</v>
      </c>
      <c r="C182" s="9">
        <v>35</v>
      </c>
      <c r="D182" s="9">
        <v>2023</v>
      </c>
      <c r="E182" s="9">
        <v>5392</v>
      </c>
      <c r="F182" s="9">
        <v>0</v>
      </c>
      <c r="G182" s="9">
        <v>0</v>
      </c>
      <c r="H182" s="9">
        <v>387.78500000000003</v>
      </c>
      <c r="I182" s="9">
        <v>387.78500000000003</v>
      </c>
      <c r="J182" s="9">
        <v>406</v>
      </c>
      <c r="K182" s="9">
        <v>0</v>
      </c>
      <c r="L182" s="9">
        <v>6547</v>
      </c>
      <c r="M182" s="9">
        <v>0</v>
      </c>
      <c r="N182" s="9">
        <v>0</v>
      </c>
      <c r="O182" s="9">
        <v>0</v>
      </c>
      <c r="P182" s="9">
        <v>416.44</v>
      </c>
      <c r="Q182" s="9">
        <v>0</v>
      </c>
      <c r="R182" s="9">
        <v>202774</v>
      </c>
      <c r="S182" s="9">
        <v>486.92200000000003</v>
      </c>
      <c r="T182" s="9">
        <v>0</v>
      </c>
      <c r="U182" s="9">
        <v>202774</v>
      </c>
      <c r="V182" s="9">
        <v>1.9690000000000001</v>
      </c>
      <c r="W182" s="9">
        <v>1289</v>
      </c>
      <c r="X182" s="9">
        <v>1289</v>
      </c>
      <c r="Y182" s="9">
        <v>0</v>
      </c>
      <c r="Z182" s="9">
        <v>0</v>
      </c>
      <c r="AA182" s="9">
        <v>1</v>
      </c>
      <c r="AB182" s="9">
        <v>1</v>
      </c>
      <c r="AC182" s="9">
        <v>0</v>
      </c>
      <c r="AD182" s="9" t="s">
        <v>314</v>
      </c>
      <c r="AE182" s="9">
        <v>0</v>
      </c>
      <c r="AF182" s="9">
        <v>0</v>
      </c>
      <c r="AG182" s="9">
        <v>0</v>
      </c>
      <c r="AH182" s="9">
        <v>0</v>
      </c>
      <c r="AI182" s="9">
        <v>0</v>
      </c>
      <c r="AJ182" s="9">
        <v>5104</v>
      </c>
      <c r="AK182" s="9" t="s">
        <v>651</v>
      </c>
      <c r="AL182" s="9" t="s">
        <v>67</v>
      </c>
      <c r="AM182" s="9">
        <v>0</v>
      </c>
      <c r="AN182" s="9">
        <v>0</v>
      </c>
      <c r="AO182" s="9">
        <v>0</v>
      </c>
      <c r="AP182" s="9">
        <v>0</v>
      </c>
      <c r="AQ182" s="9">
        <v>0</v>
      </c>
      <c r="AR182" s="9">
        <v>0</v>
      </c>
      <c r="AS182" s="9">
        <v>0</v>
      </c>
      <c r="AT182" s="9">
        <v>0</v>
      </c>
      <c r="AU182" s="9">
        <v>0</v>
      </c>
      <c r="AV182" s="9">
        <v>-124557</v>
      </c>
      <c r="AW182" s="9">
        <v>3484891</v>
      </c>
      <c r="AX182" s="9">
        <v>3407047</v>
      </c>
      <c r="AY182" s="9">
        <v>3551422</v>
      </c>
      <c r="AZ182" s="9">
        <v>202774</v>
      </c>
      <c r="BA182" s="9">
        <v>7.75</v>
      </c>
      <c r="BB182" s="9">
        <v>0</v>
      </c>
      <c r="BC182" s="9">
        <v>0</v>
      </c>
      <c r="BD182" s="9">
        <v>0</v>
      </c>
      <c r="BE182" s="9">
        <v>0</v>
      </c>
      <c r="BF182" s="9">
        <v>2970787</v>
      </c>
      <c r="BG182" s="9">
        <v>0</v>
      </c>
      <c r="BH182" s="9">
        <v>0</v>
      </c>
      <c r="BI182" s="9">
        <v>0</v>
      </c>
      <c r="BJ182" s="9">
        <v>12</v>
      </c>
      <c r="BK182" s="9">
        <v>0</v>
      </c>
      <c r="BL182" s="9">
        <v>0</v>
      </c>
      <c r="BM182" s="9">
        <v>0</v>
      </c>
      <c r="BN182" s="9">
        <v>0</v>
      </c>
      <c r="BO182" s="9">
        <v>0</v>
      </c>
      <c r="BP182" s="9">
        <v>0</v>
      </c>
      <c r="BQ182" s="9">
        <v>5392</v>
      </c>
      <c r="BR182" s="9">
        <v>1</v>
      </c>
      <c r="BS182" s="9">
        <v>0</v>
      </c>
      <c r="BT182" s="9">
        <v>0</v>
      </c>
      <c r="BU182" s="9">
        <v>0</v>
      </c>
      <c r="BV182" s="9">
        <v>0</v>
      </c>
      <c r="BW182" s="9">
        <v>0</v>
      </c>
      <c r="BX182" s="9">
        <v>0</v>
      </c>
      <c r="BY182" s="9">
        <v>0</v>
      </c>
      <c r="BZ182" s="9">
        <v>0</v>
      </c>
      <c r="CA182" s="9">
        <v>0</v>
      </c>
      <c r="CB182" s="9">
        <v>0</v>
      </c>
      <c r="CC182" s="9">
        <v>0</v>
      </c>
      <c r="CD182" s="9">
        <v>0</v>
      </c>
      <c r="CE182" s="9">
        <v>0</v>
      </c>
      <c r="CF182" s="9">
        <v>0</v>
      </c>
      <c r="CG182" s="9">
        <v>0</v>
      </c>
      <c r="CH182" s="9">
        <v>77844</v>
      </c>
      <c r="CI182" s="9">
        <v>0</v>
      </c>
      <c r="CJ182" s="9">
        <v>4</v>
      </c>
      <c r="CK182" s="9">
        <v>0</v>
      </c>
      <c r="CL182" s="9">
        <v>0</v>
      </c>
      <c r="CM182" s="9">
        <v>0</v>
      </c>
      <c r="CN182" s="9">
        <v>0</v>
      </c>
      <c r="CO182" s="9">
        <v>0</v>
      </c>
      <c r="CP182" s="9">
        <v>0</v>
      </c>
      <c r="CQ182" s="9">
        <v>9.5830000000000002</v>
      </c>
      <c r="CR182" s="9">
        <v>412.85200000000003</v>
      </c>
      <c r="CS182" s="9">
        <v>0</v>
      </c>
      <c r="CT182" s="9">
        <v>0</v>
      </c>
      <c r="CU182" s="9">
        <v>0</v>
      </c>
      <c r="CV182" s="9">
        <v>0</v>
      </c>
      <c r="CW182" s="9">
        <v>0</v>
      </c>
      <c r="CX182" s="9">
        <v>0</v>
      </c>
      <c r="CY182" s="9">
        <v>0</v>
      </c>
      <c r="CZ182" s="9">
        <v>0</v>
      </c>
      <c r="DA182" s="9">
        <v>1</v>
      </c>
      <c r="DB182" s="9">
        <v>2538828</v>
      </c>
      <c r="DC182" s="9">
        <v>0</v>
      </c>
      <c r="DD182" s="9">
        <v>0</v>
      </c>
      <c r="DE182" s="9">
        <v>99514</v>
      </c>
      <c r="DF182" s="9">
        <v>99514</v>
      </c>
      <c r="DG182" s="9">
        <v>76</v>
      </c>
      <c r="DH182" s="9">
        <v>0</v>
      </c>
      <c r="DI182" s="9">
        <v>0</v>
      </c>
      <c r="DJ182" s="9">
        <v>0</v>
      </c>
      <c r="DK182" s="9">
        <v>5392</v>
      </c>
      <c r="DL182" s="9">
        <v>0</v>
      </c>
      <c r="DM182" s="9">
        <v>412752</v>
      </c>
      <c r="DN182" s="9">
        <v>0</v>
      </c>
      <c r="DO182" s="9">
        <v>0</v>
      </c>
      <c r="DP182" s="9">
        <v>0</v>
      </c>
      <c r="DQ182" s="9">
        <v>0</v>
      </c>
      <c r="DR182" s="9">
        <v>0</v>
      </c>
      <c r="DS182" s="9">
        <v>0</v>
      </c>
      <c r="DT182" s="9">
        <v>0</v>
      </c>
      <c r="DU182" s="9">
        <v>0</v>
      </c>
      <c r="DV182" s="9">
        <v>0</v>
      </c>
      <c r="DW182" s="9">
        <v>0</v>
      </c>
      <c r="DX182" s="9">
        <v>0</v>
      </c>
      <c r="DY182" s="9">
        <v>0</v>
      </c>
      <c r="DZ182" s="9">
        <v>0</v>
      </c>
      <c r="EA182" s="9">
        <v>0</v>
      </c>
      <c r="EB182" s="9">
        <v>0</v>
      </c>
      <c r="EC182" s="9">
        <v>6.4250000000000007</v>
      </c>
      <c r="ED182" s="9">
        <v>46271</v>
      </c>
      <c r="EE182" s="9">
        <v>0</v>
      </c>
      <c r="EF182" s="9">
        <v>0</v>
      </c>
      <c r="EG182" s="9">
        <v>0</v>
      </c>
      <c r="EH182" s="9">
        <v>366481</v>
      </c>
      <c r="EI182" s="9">
        <v>0</v>
      </c>
      <c r="EJ182" s="9">
        <v>0</v>
      </c>
      <c r="EK182" s="9">
        <v>16.278000000000002</v>
      </c>
      <c r="EL182" s="9">
        <v>0</v>
      </c>
      <c r="EM182" s="9">
        <v>1.2710000000000001</v>
      </c>
      <c r="EN182" s="9">
        <v>0.66600000000000004</v>
      </c>
      <c r="EO182" s="9">
        <v>0</v>
      </c>
      <c r="EP182" s="9">
        <v>0</v>
      </c>
      <c r="EQ182" s="9">
        <v>18.215</v>
      </c>
      <c r="ER182" s="9">
        <v>0</v>
      </c>
      <c r="ES182" s="9">
        <v>55.977000000000004</v>
      </c>
      <c r="ET182" s="9">
        <v>6271</v>
      </c>
      <c r="EU182" s="9">
        <v>202774</v>
      </c>
      <c r="EV182" s="9">
        <v>0</v>
      </c>
      <c r="EW182" s="9">
        <v>0</v>
      </c>
      <c r="EX182" s="9">
        <v>0</v>
      </c>
      <c r="EY182" s="9">
        <v>0</v>
      </c>
      <c r="EZ182" s="9">
        <v>2849609</v>
      </c>
      <c r="FA182" s="9">
        <v>0</v>
      </c>
      <c r="FB182" s="9">
        <v>3052383</v>
      </c>
      <c r="FC182" s="9">
        <v>0.97326799999999991</v>
      </c>
      <c r="FD182" s="9">
        <v>0</v>
      </c>
      <c r="FE182" s="9">
        <v>459572</v>
      </c>
      <c r="FF182" s="9">
        <v>97866</v>
      </c>
      <c r="FG182" s="9">
        <v>5.8088000000000001E-2</v>
      </c>
      <c r="FH182" s="9">
        <v>5.2622999999999996E-2</v>
      </c>
      <c r="FI182" s="9">
        <v>0</v>
      </c>
      <c r="FJ182" s="9">
        <v>0</v>
      </c>
      <c r="FK182" s="9">
        <v>582.08199999999999</v>
      </c>
      <c r="FL182" s="9">
        <v>3687665</v>
      </c>
      <c r="FM182" s="9">
        <v>0</v>
      </c>
      <c r="FN182" s="9">
        <v>0</v>
      </c>
      <c r="FO182" s="9">
        <v>0</v>
      </c>
      <c r="FP182" s="9">
        <v>0</v>
      </c>
      <c r="FQ182" s="9">
        <v>0</v>
      </c>
      <c r="FR182" s="9">
        <v>0</v>
      </c>
      <c r="FS182" s="9">
        <v>0</v>
      </c>
      <c r="FT182" s="9">
        <v>0</v>
      </c>
      <c r="FU182" s="9">
        <v>0</v>
      </c>
      <c r="FV182" s="9">
        <v>0</v>
      </c>
      <c r="FW182" s="9">
        <v>0</v>
      </c>
      <c r="FX182" s="9">
        <v>0</v>
      </c>
      <c r="FY182" s="9">
        <v>0</v>
      </c>
      <c r="FZ182" s="9">
        <v>0</v>
      </c>
      <c r="GA182" s="9">
        <v>0</v>
      </c>
      <c r="GB182" s="9">
        <v>0</v>
      </c>
      <c r="GC182" s="9">
        <v>0</v>
      </c>
      <c r="GD182" s="9">
        <v>0</v>
      </c>
      <c r="GE182" s="9">
        <v>0</v>
      </c>
      <c r="GF182" s="9">
        <v>0</v>
      </c>
      <c r="GG182" s="9">
        <v>0</v>
      </c>
      <c r="GH182" s="9">
        <v>0</v>
      </c>
      <c r="GI182" s="9">
        <v>0</v>
      </c>
      <c r="GJ182" s="9">
        <v>0</v>
      </c>
      <c r="GK182" s="9">
        <v>5173</v>
      </c>
      <c r="GL182" s="9">
        <v>7158</v>
      </c>
      <c r="GM182" s="9">
        <v>0</v>
      </c>
      <c r="GN182" s="9">
        <v>0</v>
      </c>
      <c r="GO182" s="9">
        <v>0</v>
      </c>
      <c r="GP182" s="9">
        <v>3609821</v>
      </c>
      <c r="GQ182" s="9">
        <v>3609821</v>
      </c>
      <c r="GR182" s="9">
        <v>0</v>
      </c>
      <c r="GS182" s="9">
        <v>0</v>
      </c>
      <c r="GT182" s="9">
        <v>0</v>
      </c>
      <c r="GU182" s="9">
        <v>0</v>
      </c>
      <c r="GV182" s="9">
        <v>0</v>
      </c>
      <c r="GW182" s="9">
        <v>0</v>
      </c>
      <c r="GX182" s="9">
        <v>0</v>
      </c>
      <c r="GY182" s="9">
        <v>0</v>
      </c>
      <c r="GZ182" s="9">
        <v>0</v>
      </c>
      <c r="HA182" s="9">
        <v>0</v>
      </c>
      <c r="HB182" s="9">
        <v>300501363</v>
      </c>
      <c r="HC182" s="9">
        <v>4.4742999999999998E-2</v>
      </c>
      <c r="HD182" s="9">
        <v>71573</v>
      </c>
      <c r="HE182" s="9">
        <v>0</v>
      </c>
      <c r="HF182" s="9">
        <v>0</v>
      </c>
      <c r="HG182" s="9">
        <v>0</v>
      </c>
      <c r="HH182" s="9">
        <v>0</v>
      </c>
      <c r="HI182" s="9">
        <v>0</v>
      </c>
      <c r="HJ182" s="9">
        <v>0</v>
      </c>
      <c r="HK182" s="9">
        <v>0</v>
      </c>
      <c r="HL182" s="9">
        <v>0</v>
      </c>
      <c r="HM182" s="9">
        <v>0</v>
      </c>
      <c r="HN182" s="9">
        <v>0</v>
      </c>
      <c r="HO182" s="9">
        <v>0</v>
      </c>
      <c r="HP182" s="9">
        <v>0</v>
      </c>
      <c r="HQ182" s="9">
        <v>0</v>
      </c>
      <c r="HR182" s="9">
        <v>0</v>
      </c>
      <c r="HS182" s="9">
        <v>0</v>
      </c>
      <c r="HT182" s="9">
        <v>0</v>
      </c>
      <c r="HU182" s="9">
        <v>0</v>
      </c>
      <c r="HV182" s="9">
        <v>0</v>
      </c>
      <c r="HW182" s="9">
        <v>0</v>
      </c>
      <c r="HX182" s="9">
        <v>0</v>
      </c>
      <c r="HY182" s="9">
        <v>0</v>
      </c>
      <c r="HZ182" s="9">
        <v>0</v>
      </c>
      <c r="IA182" s="9">
        <v>0</v>
      </c>
      <c r="IB182" s="9">
        <v>0</v>
      </c>
      <c r="IC182" s="9">
        <v>0</v>
      </c>
      <c r="ID182" s="9">
        <v>0</v>
      </c>
      <c r="IE182" s="9">
        <v>0</v>
      </c>
      <c r="IF182" s="9">
        <v>0</v>
      </c>
      <c r="IG182" s="9">
        <v>0</v>
      </c>
      <c r="IH182" s="9">
        <v>0</v>
      </c>
      <c r="II182" s="9">
        <v>0</v>
      </c>
      <c r="IJ182" s="9">
        <v>0</v>
      </c>
      <c r="IK182" s="9">
        <v>0</v>
      </c>
      <c r="IL182" s="9">
        <v>0</v>
      </c>
      <c r="IM182" s="9">
        <v>0</v>
      </c>
      <c r="IN182" s="9">
        <v>0</v>
      </c>
      <c r="IO182" s="9">
        <v>0</v>
      </c>
      <c r="IP182" s="9">
        <v>0</v>
      </c>
      <c r="IQ182" s="9">
        <v>0</v>
      </c>
      <c r="IR182" s="9">
        <v>0</v>
      </c>
      <c r="IS182" s="9">
        <v>0</v>
      </c>
      <c r="IT182" s="9">
        <v>0</v>
      </c>
      <c r="IU182" s="9">
        <v>0</v>
      </c>
      <c r="IV182" s="9">
        <v>0</v>
      </c>
      <c r="IW182" s="9">
        <v>0</v>
      </c>
      <c r="IX182" s="9">
        <v>0</v>
      </c>
      <c r="IY182" s="9">
        <v>0</v>
      </c>
      <c r="IZ182" s="9">
        <v>0</v>
      </c>
      <c r="JA182" s="9">
        <v>0</v>
      </c>
      <c r="JB182" s="9">
        <v>0</v>
      </c>
      <c r="JC182" s="9">
        <v>0</v>
      </c>
      <c r="JD182" s="9">
        <v>0</v>
      </c>
      <c r="JE182" s="9">
        <v>0</v>
      </c>
      <c r="JF182" s="9">
        <v>0</v>
      </c>
      <c r="JG182" s="9">
        <v>0</v>
      </c>
      <c r="JH182" s="9">
        <v>0</v>
      </c>
      <c r="JI182" s="9">
        <v>0</v>
      </c>
      <c r="JJ182" s="9">
        <v>0</v>
      </c>
      <c r="JK182" s="9">
        <v>0</v>
      </c>
      <c r="JL182" s="9">
        <v>0</v>
      </c>
      <c r="JM182" s="9">
        <v>0</v>
      </c>
      <c r="JN182" s="9">
        <v>36832</v>
      </c>
      <c r="JO182" s="9">
        <v>0</v>
      </c>
      <c r="JP182" s="9">
        <v>0</v>
      </c>
      <c r="JQ182" s="9">
        <v>0</v>
      </c>
      <c r="JR182" s="9">
        <v>0</v>
      </c>
      <c r="JS182" s="9">
        <v>0</v>
      </c>
      <c r="JT182" s="9">
        <v>0</v>
      </c>
      <c r="JU182" s="9">
        <v>0</v>
      </c>
      <c r="JV182" s="9">
        <v>0</v>
      </c>
      <c r="JW182" s="9">
        <v>0</v>
      </c>
      <c r="JX182" s="9">
        <v>0</v>
      </c>
      <c r="JY182" s="9">
        <v>0</v>
      </c>
      <c r="JZ182" s="9">
        <v>0</v>
      </c>
      <c r="KA182" s="9">
        <v>0</v>
      </c>
      <c r="KB182" s="9">
        <v>0</v>
      </c>
      <c r="KC182" s="9">
        <v>0</v>
      </c>
      <c r="KD182" s="9">
        <v>0</v>
      </c>
      <c r="KE182" s="9">
        <v>0</v>
      </c>
      <c r="KF182" s="9">
        <v>0</v>
      </c>
      <c r="KG182" s="9">
        <v>0</v>
      </c>
      <c r="KH182" s="9">
        <v>0</v>
      </c>
      <c r="KI182" s="9">
        <v>0</v>
      </c>
    </row>
    <row r="183" spans="1:295" x14ac:dyDescent="0.25">
      <c r="A183" s="9">
        <v>227824</v>
      </c>
      <c r="B183" s="9">
        <v>36871</v>
      </c>
      <c r="C183" s="9">
        <v>35</v>
      </c>
      <c r="D183" s="9">
        <v>2023</v>
      </c>
      <c r="E183" s="9">
        <v>5392</v>
      </c>
      <c r="F183" s="9">
        <v>0</v>
      </c>
      <c r="G183" s="9">
        <v>0</v>
      </c>
      <c r="H183" s="9">
        <v>1077.5220000000002</v>
      </c>
      <c r="I183" s="9">
        <v>1077.5220000000002</v>
      </c>
      <c r="J183" s="9">
        <v>1084.5810000000001</v>
      </c>
      <c r="K183" s="9">
        <v>0</v>
      </c>
      <c r="L183" s="9">
        <v>6547</v>
      </c>
      <c r="M183" s="9">
        <v>0</v>
      </c>
      <c r="N183" s="9">
        <v>0</v>
      </c>
      <c r="O183" s="9">
        <v>0</v>
      </c>
      <c r="P183" s="9">
        <v>806.327</v>
      </c>
      <c r="Q183" s="9">
        <v>0</v>
      </c>
      <c r="R183" s="9">
        <v>392618</v>
      </c>
      <c r="S183" s="9">
        <v>486.92200000000003</v>
      </c>
      <c r="T183" s="9">
        <v>0</v>
      </c>
      <c r="U183" s="9">
        <v>392618</v>
      </c>
      <c r="V183" s="9">
        <v>257.51300000000003</v>
      </c>
      <c r="W183" s="9">
        <v>168594</v>
      </c>
      <c r="X183" s="9">
        <v>168594</v>
      </c>
      <c r="Y183" s="9">
        <v>0</v>
      </c>
      <c r="Z183" s="9">
        <v>0</v>
      </c>
      <c r="AA183" s="9">
        <v>1</v>
      </c>
      <c r="AB183" s="9">
        <v>1</v>
      </c>
      <c r="AC183" s="9">
        <v>0</v>
      </c>
      <c r="AD183" s="9" t="s">
        <v>314</v>
      </c>
      <c r="AE183" s="9">
        <v>0</v>
      </c>
      <c r="AF183" s="9">
        <v>0</v>
      </c>
      <c r="AG183" s="9">
        <v>0</v>
      </c>
      <c r="AH183" s="9">
        <v>0</v>
      </c>
      <c r="AI183" s="9">
        <v>0</v>
      </c>
      <c r="AJ183" s="9">
        <v>5104</v>
      </c>
      <c r="AK183" s="9" t="s">
        <v>651</v>
      </c>
      <c r="AL183" s="9" t="s">
        <v>443</v>
      </c>
      <c r="AM183" s="9">
        <v>0</v>
      </c>
      <c r="AN183" s="9">
        <v>0</v>
      </c>
      <c r="AO183" s="9">
        <v>0</v>
      </c>
      <c r="AP183" s="9">
        <v>0</v>
      </c>
      <c r="AQ183" s="9">
        <v>0</v>
      </c>
      <c r="AR183" s="9">
        <v>0</v>
      </c>
      <c r="AS183" s="9">
        <v>0</v>
      </c>
      <c r="AT183" s="9">
        <v>0</v>
      </c>
      <c r="AU183" s="9">
        <v>0</v>
      </c>
      <c r="AV183" s="9">
        <v>-715108</v>
      </c>
      <c r="AW183" s="9">
        <v>10070595</v>
      </c>
      <c r="AX183" s="9">
        <v>9824319</v>
      </c>
      <c r="AY183" s="9">
        <v>9460370</v>
      </c>
      <c r="AZ183" s="9">
        <v>447696</v>
      </c>
      <c r="BA183" s="9">
        <v>0</v>
      </c>
      <c r="BB183" s="9">
        <v>0</v>
      </c>
      <c r="BC183" s="9">
        <v>0</v>
      </c>
      <c r="BD183" s="9">
        <v>0</v>
      </c>
      <c r="BE183" s="9">
        <v>0</v>
      </c>
      <c r="BF183" s="9">
        <v>8374132</v>
      </c>
      <c r="BG183" s="9">
        <v>0</v>
      </c>
      <c r="BH183" s="9">
        <v>200.28400000000002</v>
      </c>
      <c r="BI183" s="9">
        <v>55078</v>
      </c>
      <c r="BJ183" s="9">
        <v>12</v>
      </c>
      <c r="BK183" s="9">
        <v>0</v>
      </c>
      <c r="BL183" s="9">
        <v>0</v>
      </c>
      <c r="BM183" s="9">
        <v>0</v>
      </c>
      <c r="BN183" s="9">
        <v>0</v>
      </c>
      <c r="BO183" s="9">
        <v>0</v>
      </c>
      <c r="BP183" s="9">
        <v>0</v>
      </c>
      <c r="BQ183" s="9">
        <v>5392</v>
      </c>
      <c r="BR183" s="9">
        <v>1</v>
      </c>
      <c r="BS183" s="9">
        <v>0</v>
      </c>
      <c r="BT183" s="9">
        <v>0</v>
      </c>
      <c r="BU183" s="9">
        <v>0</v>
      </c>
      <c r="BV183" s="9">
        <v>0</v>
      </c>
      <c r="BW183" s="9">
        <v>0</v>
      </c>
      <c r="BX183" s="9">
        <v>0</v>
      </c>
      <c r="BY183" s="9">
        <v>0</v>
      </c>
      <c r="BZ183" s="9">
        <v>0</v>
      </c>
      <c r="CA183" s="9">
        <v>0</v>
      </c>
      <c r="CB183" s="9">
        <v>0</v>
      </c>
      <c r="CC183" s="9">
        <v>0</v>
      </c>
      <c r="CD183" s="9">
        <v>0</v>
      </c>
      <c r="CE183" s="9">
        <v>0</v>
      </c>
      <c r="CF183" s="9">
        <v>0</v>
      </c>
      <c r="CG183" s="9">
        <v>0</v>
      </c>
      <c r="CH183" s="9">
        <v>191198</v>
      </c>
      <c r="CI183" s="9">
        <v>0</v>
      </c>
      <c r="CJ183" s="9">
        <v>4</v>
      </c>
      <c r="CK183" s="9">
        <v>0</v>
      </c>
      <c r="CL183" s="9">
        <v>0</v>
      </c>
      <c r="CM183" s="9">
        <v>0</v>
      </c>
      <c r="CN183" s="9">
        <v>0</v>
      </c>
      <c r="CO183" s="9">
        <v>0</v>
      </c>
      <c r="CP183" s="9">
        <v>0</v>
      </c>
      <c r="CQ183" s="9">
        <v>0</v>
      </c>
      <c r="CR183" s="9">
        <v>775.79100000000005</v>
      </c>
      <c r="CS183" s="9">
        <v>0</v>
      </c>
      <c r="CT183" s="9">
        <v>0</v>
      </c>
      <c r="CU183" s="9">
        <v>0</v>
      </c>
      <c r="CV183" s="9">
        <v>0</v>
      </c>
      <c r="CW183" s="9">
        <v>0</v>
      </c>
      <c r="CX183" s="9">
        <v>0</v>
      </c>
      <c r="CY183" s="9">
        <v>0</v>
      </c>
      <c r="CZ183" s="9">
        <v>0</v>
      </c>
      <c r="DA183" s="9">
        <v>1</v>
      </c>
      <c r="DB183" s="9">
        <v>7054537</v>
      </c>
      <c r="DC183" s="9">
        <v>0</v>
      </c>
      <c r="DD183" s="9">
        <v>0</v>
      </c>
      <c r="DE183" s="9">
        <v>1031807</v>
      </c>
      <c r="DF183" s="9">
        <v>1031807</v>
      </c>
      <c r="DG183" s="9">
        <v>788</v>
      </c>
      <c r="DH183" s="9">
        <v>0</v>
      </c>
      <c r="DI183" s="9">
        <v>0</v>
      </c>
      <c r="DJ183" s="9">
        <v>0</v>
      </c>
      <c r="DK183" s="9">
        <v>5392</v>
      </c>
      <c r="DL183" s="9">
        <v>0</v>
      </c>
      <c r="DM183" s="9">
        <v>349200</v>
      </c>
      <c r="DN183" s="9">
        <v>0</v>
      </c>
      <c r="DO183" s="9">
        <v>0</v>
      </c>
      <c r="DP183" s="9">
        <v>0</v>
      </c>
      <c r="DQ183" s="9">
        <v>0</v>
      </c>
      <c r="DR183" s="9">
        <v>0</v>
      </c>
      <c r="DS183" s="9">
        <v>0</v>
      </c>
      <c r="DT183" s="9">
        <v>0</v>
      </c>
      <c r="DU183" s="9">
        <v>0</v>
      </c>
      <c r="DV183" s="9">
        <v>0</v>
      </c>
      <c r="DW183" s="9">
        <v>0</v>
      </c>
      <c r="DX183" s="9">
        <v>0</v>
      </c>
      <c r="DY183" s="9">
        <v>0</v>
      </c>
      <c r="DZ183" s="9">
        <v>0</v>
      </c>
      <c r="EA183" s="9">
        <v>0</v>
      </c>
      <c r="EB183" s="9">
        <v>0</v>
      </c>
      <c r="EC183" s="9">
        <v>25.515000000000001</v>
      </c>
      <c r="ED183" s="9">
        <v>183751</v>
      </c>
      <c r="EE183" s="9">
        <v>0</v>
      </c>
      <c r="EF183" s="9">
        <v>0</v>
      </c>
      <c r="EG183" s="9">
        <v>0</v>
      </c>
      <c r="EH183" s="9">
        <v>165449</v>
      </c>
      <c r="EI183" s="9">
        <v>0</v>
      </c>
      <c r="EJ183" s="9">
        <v>0</v>
      </c>
      <c r="EK183" s="9">
        <v>5.0120000000000005</v>
      </c>
      <c r="EL183" s="9">
        <v>0</v>
      </c>
      <c r="EM183" s="9">
        <v>0</v>
      </c>
      <c r="EN183" s="9">
        <v>2.0470000000000002</v>
      </c>
      <c r="EO183" s="9">
        <v>0</v>
      </c>
      <c r="EP183" s="9">
        <v>0</v>
      </c>
      <c r="EQ183" s="9">
        <v>7.0590000000000002</v>
      </c>
      <c r="ER183" s="9">
        <v>0</v>
      </c>
      <c r="ES183" s="9">
        <v>25.271000000000001</v>
      </c>
      <c r="ET183" s="9">
        <v>0</v>
      </c>
      <c r="EU183" s="9">
        <v>447696</v>
      </c>
      <c r="EV183" s="9">
        <v>0</v>
      </c>
      <c r="EW183" s="9">
        <v>0</v>
      </c>
      <c r="EX183" s="9">
        <v>0</v>
      </c>
      <c r="EY183" s="9">
        <v>0</v>
      </c>
      <c r="EZ183" s="9">
        <v>8252996</v>
      </c>
      <c r="FA183" s="9">
        <v>0</v>
      </c>
      <c r="FB183" s="9">
        <v>8700692</v>
      </c>
      <c r="FC183" s="9">
        <v>0.97326799999999991</v>
      </c>
      <c r="FD183" s="9">
        <v>0</v>
      </c>
      <c r="FE183" s="9">
        <v>1295456</v>
      </c>
      <c r="FF183" s="9">
        <v>275867</v>
      </c>
      <c r="FG183" s="9">
        <v>5.8088000000000001E-2</v>
      </c>
      <c r="FH183" s="9">
        <v>5.2622999999999996E-2</v>
      </c>
      <c r="FI183" s="9">
        <v>0</v>
      </c>
      <c r="FJ183" s="9">
        <v>0</v>
      </c>
      <c r="FK183" s="9">
        <v>1640.789</v>
      </c>
      <c r="FL183" s="9">
        <v>10463213</v>
      </c>
      <c r="FM183" s="9">
        <v>0</v>
      </c>
      <c r="FN183" s="9">
        <v>0</v>
      </c>
      <c r="FO183" s="9">
        <v>41476</v>
      </c>
      <c r="FP183" s="9">
        <v>0</v>
      </c>
      <c r="FQ183" s="9">
        <v>41476</v>
      </c>
      <c r="FR183" s="9">
        <v>41476</v>
      </c>
      <c r="FS183" s="9">
        <v>0</v>
      </c>
      <c r="FT183" s="9">
        <v>0</v>
      </c>
      <c r="FU183" s="9">
        <v>0</v>
      </c>
      <c r="FV183" s="9">
        <v>0</v>
      </c>
      <c r="FW183" s="9">
        <v>0</v>
      </c>
      <c r="FX183" s="9">
        <v>0</v>
      </c>
      <c r="FY183" s="9">
        <v>0</v>
      </c>
      <c r="FZ183" s="9">
        <v>0</v>
      </c>
      <c r="GA183" s="9">
        <v>0</v>
      </c>
      <c r="GB183" s="9">
        <v>0</v>
      </c>
      <c r="GC183" s="9">
        <v>0</v>
      </c>
      <c r="GD183" s="9">
        <v>0</v>
      </c>
      <c r="GE183" s="9">
        <v>0</v>
      </c>
      <c r="GF183" s="9">
        <v>0</v>
      </c>
      <c r="GG183" s="9">
        <v>0</v>
      </c>
      <c r="GH183" s="9">
        <v>0</v>
      </c>
      <c r="GI183" s="9">
        <v>0</v>
      </c>
      <c r="GJ183" s="9">
        <v>0</v>
      </c>
      <c r="GK183" s="9">
        <v>5068</v>
      </c>
      <c r="GL183" s="9">
        <v>0</v>
      </c>
      <c r="GM183" s="9">
        <v>0</v>
      </c>
      <c r="GN183" s="9">
        <v>13619</v>
      </c>
      <c r="GO183" s="9">
        <v>0</v>
      </c>
      <c r="GP183" s="9">
        <v>10272015</v>
      </c>
      <c r="GQ183" s="9">
        <v>10272015</v>
      </c>
      <c r="GR183" s="9">
        <v>0</v>
      </c>
      <c r="GS183" s="9">
        <v>0</v>
      </c>
      <c r="GT183" s="9">
        <v>0</v>
      </c>
      <c r="GU183" s="9">
        <v>0</v>
      </c>
      <c r="GV183" s="9">
        <v>0</v>
      </c>
      <c r="GW183" s="9">
        <v>0</v>
      </c>
      <c r="GX183" s="9">
        <v>0</v>
      </c>
      <c r="GY183" s="9">
        <v>0</v>
      </c>
      <c r="GZ183" s="9">
        <v>0</v>
      </c>
      <c r="HA183" s="9">
        <v>0</v>
      </c>
      <c r="HB183" s="9">
        <v>300501363</v>
      </c>
      <c r="HC183" s="9">
        <v>4.4742999999999998E-2</v>
      </c>
      <c r="HD183" s="9">
        <v>191198</v>
      </c>
      <c r="HE183" s="9">
        <v>0</v>
      </c>
      <c r="HF183" s="9">
        <v>0</v>
      </c>
      <c r="HG183" s="9">
        <v>0</v>
      </c>
      <c r="HH183" s="9">
        <v>0</v>
      </c>
      <c r="HI183" s="9">
        <v>0</v>
      </c>
      <c r="HJ183" s="9">
        <v>0</v>
      </c>
      <c r="HK183" s="9">
        <v>0</v>
      </c>
      <c r="HL183" s="9">
        <v>0</v>
      </c>
      <c r="HM183" s="9">
        <v>0</v>
      </c>
      <c r="HN183" s="9">
        <v>0</v>
      </c>
      <c r="HO183" s="9">
        <v>0</v>
      </c>
      <c r="HP183" s="9">
        <v>0</v>
      </c>
      <c r="HQ183" s="9">
        <v>0</v>
      </c>
      <c r="HR183" s="9">
        <v>0</v>
      </c>
      <c r="HS183" s="9">
        <v>0</v>
      </c>
      <c r="HT183" s="9">
        <v>0</v>
      </c>
      <c r="HU183" s="9">
        <v>0</v>
      </c>
      <c r="HV183" s="9">
        <v>0</v>
      </c>
      <c r="HW183" s="9">
        <v>0</v>
      </c>
      <c r="HX183" s="9">
        <v>0</v>
      </c>
      <c r="HY183" s="9">
        <v>0</v>
      </c>
      <c r="HZ183" s="9">
        <v>0</v>
      </c>
      <c r="IA183" s="9">
        <v>0</v>
      </c>
      <c r="IB183" s="9">
        <v>0</v>
      </c>
      <c r="IC183" s="9">
        <v>0</v>
      </c>
      <c r="ID183" s="9">
        <v>0</v>
      </c>
      <c r="IE183" s="9">
        <v>0</v>
      </c>
      <c r="IF183" s="9">
        <v>0</v>
      </c>
      <c r="IG183" s="9">
        <v>0</v>
      </c>
      <c r="IH183" s="9">
        <v>0</v>
      </c>
      <c r="II183" s="9">
        <v>0</v>
      </c>
      <c r="IJ183" s="9">
        <v>0</v>
      </c>
      <c r="IK183" s="9">
        <v>0</v>
      </c>
      <c r="IL183" s="9">
        <v>0</v>
      </c>
      <c r="IM183" s="9">
        <v>0</v>
      </c>
      <c r="IN183" s="9">
        <v>0</v>
      </c>
      <c r="IO183" s="9">
        <v>0</v>
      </c>
      <c r="IP183" s="9">
        <v>0</v>
      </c>
      <c r="IQ183" s="9">
        <v>0</v>
      </c>
      <c r="IR183" s="9">
        <v>0</v>
      </c>
      <c r="IS183" s="9">
        <v>0</v>
      </c>
      <c r="IT183" s="9">
        <v>0</v>
      </c>
      <c r="IU183" s="9">
        <v>0</v>
      </c>
      <c r="IV183" s="9">
        <v>0</v>
      </c>
      <c r="IW183" s="9">
        <v>0</v>
      </c>
      <c r="IX183" s="9">
        <v>0</v>
      </c>
      <c r="IY183" s="9">
        <v>0</v>
      </c>
      <c r="IZ183" s="9">
        <v>0</v>
      </c>
      <c r="JA183" s="9">
        <v>0</v>
      </c>
      <c r="JB183" s="9">
        <v>0</v>
      </c>
      <c r="JC183" s="9">
        <v>0</v>
      </c>
      <c r="JD183" s="9">
        <v>0</v>
      </c>
      <c r="JE183" s="9">
        <v>0</v>
      </c>
      <c r="JF183" s="9">
        <v>0</v>
      </c>
      <c r="JG183" s="9">
        <v>0</v>
      </c>
      <c r="JH183" s="9">
        <v>0</v>
      </c>
      <c r="JI183" s="9">
        <v>0</v>
      </c>
      <c r="JJ183" s="9">
        <v>0</v>
      </c>
      <c r="JK183" s="9">
        <v>0</v>
      </c>
      <c r="JL183" s="9">
        <v>0</v>
      </c>
      <c r="JM183" s="9">
        <v>0</v>
      </c>
      <c r="JN183" s="9">
        <v>36832</v>
      </c>
      <c r="JO183" s="9">
        <v>0</v>
      </c>
      <c r="JP183" s="9">
        <v>0</v>
      </c>
      <c r="JQ183" s="9">
        <v>0</v>
      </c>
      <c r="JR183" s="9">
        <v>0</v>
      </c>
      <c r="JS183" s="9">
        <v>0</v>
      </c>
      <c r="JT183" s="9">
        <v>0</v>
      </c>
      <c r="JU183" s="9">
        <v>0</v>
      </c>
      <c r="JV183" s="9">
        <v>0</v>
      </c>
      <c r="JW183" s="9">
        <v>0</v>
      </c>
      <c r="JX183" s="9">
        <v>0</v>
      </c>
      <c r="JY183" s="9">
        <v>0</v>
      </c>
      <c r="JZ183" s="9">
        <v>0</v>
      </c>
      <c r="KA183" s="9">
        <v>0</v>
      </c>
      <c r="KB183" s="9">
        <v>0</v>
      </c>
      <c r="KC183" s="9">
        <v>0</v>
      </c>
      <c r="KD183" s="9">
        <v>0</v>
      </c>
      <c r="KE183" s="9">
        <v>0</v>
      </c>
      <c r="KF183" s="9">
        <v>0</v>
      </c>
      <c r="KG183" s="9">
        <v>0</v>
      </c>
      <c r="KH183" s="9">
        <v>0</v>
      </c>
      <c r="KI183" s="9">
        <v>0</v>
      </c>
    </row>
    <row r="184" spans="1:295" ht="13" x14ac:dyDescent="0.3">
      <c r="A184" s="9">
        <v>227825</v>
      </c>
      <c r="B184" s="9">
        <v>36871</v>
      </c>
      <c r="C184" s="9">
        <v>35</v>
      </c>
      <c r="D184" s="9">
        <v>2023</v>
      </c>
      <c r="E184" s="9">
        <v>5392</v>
      </c>
      <c r="F184" s="9">
        <v>0</v>
      </c>
      <c r="G184" s="9">
        <v>0</v>
      </c>
      <c r="H184" s="9">
        <v>1955.74</v>
      </c>
      <c r="I184" s="9">
        <v>1955.74</v>
      </c>
      <c r="J184" s="9">
        <v>2037</v>
      </c>
      <c r="K184" s="9">
        <v>0</v>
      </c>
      <c r="L184" s="9">
        <v>6547</v>
      </c>
      <c r="M184" s="9">
        <v>0</v>
      </c>
      <c r="N184" s="9">
        <v>0</v>
      </c>
      <c r="O184" s="9">
        <v>0</v>
      </c>
      <c r="P184" s="9">
        <v>1700.14</v>
      </c>
      <c r="Q184" s="9">
        <v>0</v>
      </c>
      <c r="R184" s="10">
        <v>827836</v>
      </c>
      <c r="S184" s="9">
        <v>486.92200000000003</v>
      </c>
      <c r="T184" s="9">
        <v>0</v>
      </c>
      <c r="U184" s="10">
        <v>827836</v>
      </c>
      <c r="V184" s="10">
        <v>988.93200000000002</v>
      </c>
      <c r="W184" s="10">
        <v>647454</v>
      </c>
      <c r="X184" s="10">
        <v>647454</v>
      </c>
      <c r="Y184" s="9">
        <v>0</v>
      </c>
      <c r="Z184" s="9">
        <v>0</v>
      </c>
      <c r="AA184" s="9">
        <v>1</v>
      </c>
      <c r="AB184" s="9">
        <v>1</v>
      </c>
      <c r="AC184" s="9">
        <v>0</v>
      </c>
      <c r="AD184" s="9" t="s">
        <v>314</v>
      </c>
      <c r="AE184" s="9">
        <v>0</v>
      </c>
      <c r="AF184" s="9">
        <v>0</v>
      </c>
      <c r="AG184" s="9">
        <v>0</v>
      </c>
      <c r="AH184" s="9">
        <v>0</v>
      </c>
      <c r="AI184" s="9">
        <v>0</v>
      </c>
      <c r="AJ184" s="9">
        <v>5104</v>
      </c>
      <c r="AK184" s="9" t="s">
        <v>651</v>
      </c>
      <c r="AL184" s="9" t="s">
        <v>118</v>
      </c>
      <c r="AM184" s="9">
        <v>0</v>
      </c>
      <c r="AN184" s="9">
        <v>0</v>
      </c>
      <c r="AO184" s="9">
        <v>0</v>
      </c>
      <c r="AP184" s="9">
        <v>0</v>
      </c>
      <c r="AQ184" s="9">
        <v>0</v>
      </c>
      <c r="AR184" s="9">
        <v>0</v>
      </c>
      <c r="AS184" s="9">
        <v>0</v>
      </c>
      <c r="AT184" s="9">
        <v>0</v>
      </c>
      <c r="AU184" s="9">
        <v>0</v>
      </c>
      <c r="AV184" s="9">
        <v>1143318</v>
      </c>
      <c r="AW184" s="9">
        <v>20837274</v>
      </c>
      <c r="AX184" s="9">
        <v>20288267</v>
      </c>
      <c r="AY184" s="9">
        <v>22166936</v>
      </c>
      <c r="AZ184" s="9">
        <v>1017746</v>
      </c>
      <c r="BA184" s="10">
        <v>0</v>
      </c>
      <c r="BB184" s="9">
        <v>0</v>
      </c>
      <c r="BC184" s="9">
        <v>0</v>
      </c>
      <c r="BD184" s="9">
        <v>0</v>
      </c>
      <c r="BE184" s="9">
        <v>0</v>
      </c>
      <c r="BF184" s="9">
        <v>17334349</v>
      </c>
      <c r="BG184" s="9">
        <v>0</v>
      </c>
      <c r="BH184" s="10">
        <v>532.548</v>
      </c>
      <c r="BI184" s="10">
        <v>146451</v>
      </c>
      <c r="BJ184" s="9">
        <v>12</v>
      </c>
      <c r="BK184" s="9">
        <v>0</v>
      </c>
      <c r="BL184" s="9">
        <v>0</v>
      </c>
      <c r="BM184" s="9">
        <v>0</v>
      </c>
      <c r="BN184" s="9">
        <v>0</v>
      </c>
      <c r="BO184" s="9">
        <v>0</v>
      </c>
      <c r="BP184" s="9">
        <v>0</v>
      </c>
      <c r="BQ184" s="9">
        <v>5392</v>
      </c>
      <c r="BR184" s="9">
        <v>1</v>
      </c>
      <c r="BS184" s="9">
        <v>0</v>
      </c>
      <c r="BT184" s="9">
        <v>0</v>
      </c>
      <c r="BU184" s="9">
        <v>0</v>
      </c>
      <c r="BV184" s="9">
        <v>0</v>
      </c>
      <c r="BW184" s="9">
        <v>0</v>
      </c>
      <c r="BX184" s="9">
        <v>0</v>
      </c>
      <c r="BY184" s="9">
        <v>0</v>
      </c>
      <c r="BZ184" s="9">
        <v>0</v>
      </c>
      <c r="CA184" s="9">
        <v>43.459000000000003</v>
      </c>
      <c r="CB184" s="9">
        <v>43459</v>
      </c>
      <c r="CC184" s="9">
        <v>0</v>
      </c>
      <c r="CD184" s="9">
        <v>0</v>
      </c>
      <c r="CE184" s="9">
        <v>0</v>
      </c>
      <c r="CF184" s="9">
        <v>0</v>
      </c>
      <c r="CG184" s="9">
        <v>0</v>
      </c>
      <c r="CH184" s="10">
        <v>359097</v>
      </c>
      <c r="CI184" s="9">
        <v>0</v>
      </c>
      <c r="CJ184" s="9">
        <v>5</v>
      </c>
      <c r="CK184" s="9">
        <v>0</v>
      </c>
      <c r="CL184" s="9">
        <v>0</v>
      </c>
      <c r="CM184" s="9">
        <v>0</v>
      </c>
      <c r="CN184" s="9">
        <v>0</v>
      </c>
      <c r="CO184" s="9">
        <v>0</v>
      </c>
      <c r="CP184" s="9">
        <v>0</v>
      </c>
      <c r="CQ184" s="9">
        <v>0</v>
      </c>
      <c r="CR184" s="9">
        <v>1633.9640000000002</v>
      </c>
      <c r="CS184" s="9">
        <v>0</v>
      </c>
      <c r="CT184" s="9">
        <v>0</v>
      </c>
      <c r="CU184" s="9">
        <v>0</v>
      </c>
      <c r="CV184" s="9">
        <v>0</v>
      </c>
      <c r="CW184" s="9">
        <v>0</v>
      </c>
      <c r="CX184" s="9">
        <v>0</v>
      </c>
      <c r="CY184" s="9">
        <v>0</v>
      </c>
      <c r="CZ184" s="9">
        <v>0</v>
      </c>
      <c r="DA184" s="9">
        <v>1</v>
      </c>
      <c r="DB184" s="9">
        <v>12804230</v>
      </c>
      <c r="DC184" s="9">
        <v>0</v>
      </c>
      <c r="DD184" s="9">
        <v>0</v>
      </c>
      <c r="DE184" s="9">
        <v>2426541</v>
      </c>
      <c r="DF184" s="9">
        <v>2426541</v>
      </c>
      <c r="DG184" s="9">
        <v>1853.17</v>
      </c>
      <c r="DH184" s="9">
        <v>0</v>
      </c>
      <c r="DI184" s="9">
        <v>0</v>
      </c>
      <c r="DJ184" s="9">
        <v>0</v>
      </c>
      <c r="DK184" s="9">
        <v>5392</v>
      </c>
      <c r="DL184" s="9">
        <v>0</v>
      </c>
      <c r="DM184" s="9">
        <v>1538729</v>
      </c>
      <c r="DN184" s="9">
        <v>0</v>
      </c>
      <c r="DO184" s="9">
        <v>0</v>
      </c>
      <c r="DP184" s="9">
        <v>0</v>
      </c>
      <c r="DQ184" s="9">
        <v>0</v>
      </c>
      <c r="DR184" s="9">
        <v>0</v>
      </c>
      <c r="DS184" s="9">
        <v>0</v>
      </c>
      <c r="DT184" s="9">
        <v>0</v>
      </c>
      <c r="DU184" s="9">
        <v>0</v>
      </c>
      <c r="DV184" s="9">
        <v>0</v>
      </c>
      <c r="DW184" s="9">
        <v>0</v>
      </c>
      <c r="DX184" s="9">
        <v>0</v>
      </c>
      <c r="DY184" s="9">
        <v>0</v>
      </c>
      <c r="DZ184" s="9">
        <v>0</v>
      </c>
      <c r="EA184" s="9">
        <v>0</v>
      </c>
      <c r="EB184" s="9">
        <v>0</v>
      </c>
      <c r="EC184" s="9">
        <v>108.80200000000001</v>
      </c>
      <c r="ED184" s="9">
        <v>783559</v>
      </c>
      <c r="EE184" s="9">
        <v>0</v>
      </c>
      <c r="EF184" s="9">
        <v>0</v>
      </c>
      <c r="EG184" s="9">
        <v>0</v>
      </c>
      <c r="EH184" s="9">
        <v>755170</v>
      </c>
      <c r="EI184" s="9">
        <v>0</v>
      </c>
      <c r="EJ184" s="9">
        <v>0</v>
      </c>
      <c r="EK184" s="9">
        <v>29.383000000000003</v>
      </c>
      <c r="EL184" s="9">
        <v>0</v>
      </c>
      <c r="EM184" s="9">
        <v>4.7890000000000006</v>
      </c>
      <c r="EN184" s="9">
        <v>2.5660000000000003</v>
      </c>
      <c r="EO184" s="9">
        <v>0</v>
      </c>
      <c r="EP184" s="9">
        <v>0</v>
      </c>
      <c r="EQ184" s="9">
        <v>36.738</v>
      </c>
      <c r="ER184" s="9">
        <v>0</v>
      </c>
      <c r="ES184" s="9">
        <v>115.346</v>
      </c>
      <c r="ET184" s="10">
        <v>0</v>
      </c>
      <c r="EU184" s="9">
        <v>1017746</v>
      </c>
      <c r="EV184" s="9">
        <v>0</v>
      </c>
      <c r="EW184" s="9">
        <v>0</v>
      </c>
      <c r="EX184" s="9">
        <v>0</v>
      </c>
      <c r="EY184" s="9">
        <v>0</v>
      </c>
      <c r="EZ184" s="9">
        <v>17035649</v>
      </c>
      <c r="FA184" s="9">
        <v>0</v>
      </c>
      <c r="FB184" s="10">
        <v>18053395</v>
      </c>
      <c r="FC184" s="9">
        <v>0.97326799999999991</v>
      </c>
      <c r="FD184" s="9">
        <v>0</v>
      </c>
      <c r="FE184" s="9">
        <v>2681577</v>
      </c>
      <c r="FF184" s="9">
        <v>571041</v>
      </c>
      <c r="FG184" s="9">
        <v>5.8088000000000001E-2</v>
      </c>
      <c r="FH184" s="9">
        <v>5.2622999999999996E-2</v>
      </c>
      <c r="FI184" s="9">
        <v>0</v>
      </c>
      <c r="FJ184" s="9">
        <v>0</v>
      </c>
      <c r="FK184" s="9">
        <v>3396.413</v>
      </c>
      <c r="FL184" s="9">
        <v>21665110</v>
      </c>
      <c r="FM184" s="9">
        <v>0</v>
      </c>
      <c r="FN184" s="9">
        <v>0</v>
      </c>
      <c r="FO184" s="9">
        <v>53026</v>
      </c>
      <c r="FP184" s="9">
        <v>0</v>
      </c>
      <c r="FQ184" s="9">
        <v>53026</v>
      </c>
      <c r="FR184" s="9">
        <v>53026</v>
      </c>
      <c r="FS184" s="9">
        <v>0</v>
      </c>
      <c r="FT184" s="9">
        <v>0</v>
      </c>
      <c r="FU184" s="9">
        <v>0</v>
      </c>
      <c r="FV184" s="9">
        <v>0</v>
      </c>
      <c r="FW184" s="9">
        <v>0</v>
      </c>
      <c r="FX184" s="9">
        <v>0</v>
      </c>
      <c r="FY184" s="9">
        <v>0</v>
      </c>
      <c r="FZ184" s="9">
        <v>0</v>
      </c>
      <c r="GA184" s="9">
        <v>0</v>
      </c>
      <c r="GB184" s="10">
        <v>393505</v>
      </c>
      <c r="GC184" s="10">
        <v>393505</v>
      </c>
      <c r="GD184" s="10">
        <v>44.522000000000006</v>
      </c>
      <c r="GE184" s="9">
        <v>0</v>
      </c>
      <c r="GF184" s="9">
        <v>0</v>
      </c>
      <c r="GG184" s="9">
        <v>0</v>
      </c>
      <c r="GH184" s="9">
        <v>0</v>
      </c>
      <c r="GI184" s="9">
        <v>0</v>
      </c>
      <c r="GJ184" s="9">
        <v>0</v>
      </c>
      <c r="GK184" s="9">
        <v>4971</v>
      </c>
      <c r="GL184" s="9">
        <v>0</v>
      </c>
      <c r="GM184" s="9">
        <v>0</v>
      </c>
      <c r="GN184" s="9">
        <v>0</v>
      </c>
      <c r="GO184" s="9">
        <v>0</v>
      </c>
      <c r="GP184" s="9">
        <v>21306013</v>
      </c>
      <c r="GQ184" s="9">
        <v>21306013</v>
      </c>
      <c r="GR184" s="9">
        <v>0</v>
      </c>
      <c r="GS184" s="9">
        <v>0</v>
      </c>
      <c r="GT184" s="9">
        <v>0</v>
      </c>
      <c r="GU184" s="9">
        <v>0</v>
      </c>
      <c r="GV184" s="9">
        <v>0</v>
      </c>
      <c r="GW184" s="9">
        <v>0</v>
      </c>
      <c r="GX184" s="9">
        <v>0</v>
      </c>
      <c r="GY184" s="9">
        <v>0</v>
      </c>
      <c r="GZ184" s="9">
        <v>0</v>
      </c>
      <c r="HA184" s="9">
        <v>0</v>
      </c>
      <c r="HB184" s="9">
        <v>300501363</v>
      </c>
      <c r="HC184" s="9">
        <v>4.4742999999999998E-2</v>
      </c>
      <c r="HD184" s="10">
        <v>359097</v>
      </c>
      <c r="HE184" s="9">
        <v>0</v>
      </c>
      <c r="HF184" s="9">
        <v>0</v>
      </c>
      <c r="HG184" s="9">
        <v>0</v>
      </c>
      <c r="HH184" s="9">
        <v>0</v>
      </c>
      <c r="HI184" s="9">
        <v>0</v>
      </c>
      <c r="HJ184" s="9">
        <v>0</v>
      </c>
      <c r="HK184" s="9">
        <v>0</v>
      </c>
      <c r="HL184" s="9">
        <v>0</v>
      </c>
      <c r="HM184" s="9">
        <v>0</v>
      </c>
      <c r="HN184" s="9">
        <v>0</v>
      </c>
      <c r="HO184" s="9">
        <v>0</v>
      </c>
      <c r="HP184" s="9">
        <v>0</v>
      </c>
      <c r="HQ184" s="9">
        <v>0</v>
      </c>
      <c r="HR184" s="9">
        <v>0</v>
      </c>
      <c r="HS184" s="9">
        <v>0</v>
      </c>
      <c r="HT184" s="9">
        <v>0</v>
      </c>
      <c r="HU184" s="9">
        <v>0</v>
      </c>
      <c r="HV184" s="9">
        <v>0</v>
      </c>
      <c r="HW184" s="9">
        <v>0</v>
      </c>
      <c r="HX184" s="9">
        <v>0</v>
      </c>
      <c r="HY184" s="9">
        <v>0</v>
      </c>
      <c r="HZ184" s="9">
        <v>0</v>
      </c>
      <c r="IA184" s="9">
        <v>0</v>
      </c>
      <c r="IB184" s="9">
        <v>0</v>
      </c>
      <c r="IC184" s="9">
        <v>0</v>
      </c>
      <c r="ID184" s="9">
        <v>0</v>
      </c>
      <c r="IE184" s="9">
        <v>0</v>
      </c>
      <c r="IF184" s="9">
        <v>0</v>
      </c>
      <c r="IG184" s="9">
        <v>0</v>
      </c>
      <c r="IH184" s="9">
        <v>0</v>
      </c>
      <c r="II184" s="9">
        <v>0</v>
      </c>
      <c r="IJ184" s="9">
        <v>0</v>
      </c>
      <c r="IK184" s="9">
        <v>0</v>
      </c>
      <c r="IL184" s="9">
        <v>0</v>
      </c>
      <c r="IM184" s="9">
        <v>0</v>
      </c>
      <c r="IN184" s="9">
        <v>0</v>
      </c>
      <c r="IO184" s="9">
        <v>0</v>
      </c>
      <c r="IP184" s="9">
        <v>0</v>
      </c>
      <c r="IQ184" s="9">
        <v>0</v>
      </c>
      <c r="IR184" s="9">
        <v>0</v>
      </c>
      <c r="IS184" s="9">
        <v>0</v>
      </c>
      <c r="IT184" s="9">
        <v>0</v>
      </c>
      <c r="IU184" s="9">
        <v>0</v>
      </c>
      <c r="IV184" s="9">
        <v>0</v>
      </c>
      <c r="IW184" s="9">
        <v>0</v>
      </c>
      <c r="IX184" s="9">
        <v>0</v>
      </c>
      <c r="IY184" s="9">
        <v>0</v>
      </c>
      <c r="IZ184" s="9">
        <v>0</v>
      </c>
      <c r="JA184" s="9">
        <v>0</v>
      </c>
      <c r="JB184" s="9">
        <v>0</v>
      </c>
      <c r="JC184" s="9">
        <v>0</v>
      </c>
      <c r="JD184" s="9">
        <v>0</v>
      </c>
      <c r="JE184" s="9">
        <v>0</v>
      </c>
      <c r="JF184" s="9">
        <v>0</v>
      </c>
      <c r="JG184" s="9">
        <v>0</v>
      </c>
      <c r="JH184" s="9">
        <v>0</v>
      </c>
      <c r="JI184" s="9">
        <v>0</v>
      </c>
      <c r="JJ184" s="9">
        <v>0</v>
      </c>
      <c r="JK184" s="9">
        <v>0</v>
      </c>
      <c r="JL184" s="9">
        <v>0</v>
      </c>
      <c r="JM184" s="9">
        <v>0</v>
      </c>
      <c r="JN184" s="9">
        <v>36832</v>
      </c>
      <c r="JO184" s="9">
        <v>0</v>
      </c>
      <c r="JP184" s="9">
        <v>0</v>
      </c>
      <c r="JQ184" s="9">
        <v>0</v>
      </c>
      <c r="JR184" s="9">
        <v>0</v>
      </c>
      <c r="JS184" s="9">
        <v>0</v>
      </c>
      <c r="JT184" s="9">
        <v>0</v>
      </c>
      <c r="JU184" s="9">
        <v>0</v>
      </c>
      <c r="JV184" s="9">
        <v>0</v>
      </c>
      <c r="JW184" s="9">
        <v>0</v>
      </c>
      <c r="JX184" s="9">
        <v>0</v>
      </c>
      <c r="JY184" s="9">
        <v>0</v>
      </c>
      <c r="JZ184" s="9">
        <v>0</v>
      </c>
      <c r="KA184" s="9">
        <v>0</v>
      </c>
      <c r="KB184" s="9">
        <v>0</v>
      </c>
      <c r="KC184" s="9">
        <v>0</v>
      </c>
      <c r="KD184" s="9">
        <v>0</v>
      </c>
      <c r="KE184" s="9">
        <v>0</v>
      </c>
      <c r="KF184" s="9">
        <v>0</v>
      </c>
      <c r="KG184" s="9">
        <v>0</v>
      </c>
      <c r="KH184" s="9">
        <v>0</v>
      </c>
      <c r="KI184" s="9">
        <v>0</v>
      </c>
    </row>
    <row r="185" spans="1:295" ht="13" x14ac:dyDescent="0.3">
      <c r="A185" s="9">
        <v>227826</v>
      </c>
      <c r="B185" s="9">
        <v>36871</v>
      </c>
      <c r="C185" s="9">
        <v>35</v>
      </c>
      <c r="D185" s="9">
        <v>2023</v>
      </c>
      <c r="E185" s="9">
        <v>5392</v>
      </c>
      <c r="F185" s="9">
        <v>0</v>
      </c>
      <c r="G185" s="9">
        <v>0</v>
      </c>
      <c r="H185" s="9">
        <v>384.13300000000004</v>
      </c>
      <c r="I185" s="9">
        <v>384.13300000000004</v>
      </c>
      <c r="J185" s="9">
        <v>396.846</v>
      </c>
      <c r="K185" s="9">
        <v>0</v>
      </c>
      <c r="L185" s="9">
        <v>6547</v>
      </c>
      <c r="M185" s="9">
        <v>0</v>
      </c>
      <c r="N185" s="9">
        <v>0</v>
      </c>
      <c r="O185" s="9">
        <v>0</v>
      </c>
      <c r="P185" s="9">
        <v>379.68800000000005</v>
      </c>
      <c r="Q185" s="9">
        <v>0</v>
      </c>
      <c r="R185" s="10">
        <v>184878</v>
      </c>
      <c r="S185" s="9">
        <v>486.92200000000003</v>
      </c>
      <c r="T185" s="9">
        <v>0</v>
      </c>
      <c r="U185" s="10">
        <v>184878</v>
      </c>
      <c r="V185" s="10">
        <v>85.292000000000002</v>
      </c>
      <c r="W185" s="10">
        <v>55841</v>
      </c>
      <c r="X185" s="10">
        <v>55841</v>
      </c>
      <c r="Y185" s="9">
        <v>0</v>
      </c>
      <c r="Z185" s="9">
        <v>0</v>
      </c>
      <c r="AA185" s="9">
        <v>1</v>
      </c>
      <c r="AB185" s="9">
        <v>1</v>
      </c>
      <c r="AC185" s="9">
        <v>0</v>
      </c>
      <c r="AD185" s="9" t="s">
        <v>314</v>
      </c>
      <c r="AE185" s="9">
        <v>0</v>
      </c>
      <c r="AF185" s="9">
        <v>0</v>
      </c>
      <c r="AG185" s="9">
        <v>0</v>
      </c>
      <c r="AH185" s="9">
        <v>0</v>
      </c>
      <c r="AI185" s="9">
        <v>0</v>
      </c>
      <c r="AJ185" s="9">
        <v>5104</v>
      </c>
      <c r="AK185" s="9" t="s">
        <v>651</v>
      </c>
      <c r="AL185" s="9" t="s">
        <v>365</v>
      </c>
      <c r="AM185" s="9">
        <v>0</v>
      </c>
      <c r="AN185" s="9">
        <v>0</v>
      </c>
      <c r="AO185" s="9">
        <v>0</v>
      </c>
      <c r="AP185" s="9">
        <v>0</v>
      </c>
      <c r="AQ185" s="9">
        <v>0</v>
      </c>
      <c r="AR185" s="9">
        <v>0</v>
      </c>
      <c r="AS185" s="9">
        <v>0</v>
      </c>
      <c r="AT185" s="9">
        <v>0</v>
      </c>
      <c r="AU185" s="9">
        <v>0</v>
      </c>
      <c r="AV185" s="9">
        <v>-64</v>
      </c>
      <c r="AW185" s="9">
        <v>3693079</v>
      </c>
      <c r="AX185" s="9">
        <v>3623120</v>
      </c>
      <c r="AY185" s="9">
        <v>4001648</v>
      </c>
      <c r="AZ185" s="9">
        <v>184878</v>
      </c>
      <c r="BA185" s="10">
        <v>0</v>
      </c>
      <c r="BB185" s="9">
        <v>0</v>
      </c>
      <c r="BC185" s="9">
        <v>0</v>
      </c>
      <c r="BD185" s="9">
        <v>0</v>
      </c>
      <c r="BE185" s="9">
        <v>0</v>
      </c>
      <c r="BF185" s="9">
        <v>3133880</v>
      </c>
      <c r="BG185" s="9">
        <v>0</v>
      </c>
      <c r="BH185" s="10">
        <v>0</v>
      </c>
      <c r="BI185" s="10">
        <v>0</v>
      </c>
      <c r="BJ185" s="9">
        <v>12</v>
      </c>
      <c r="BK185" s="9">
        <v>0</v>
      </c>
      <c r="BL185" s="9">
        <v>0</v>
      </c>
      <c r="BM185" s="9">
        <v>0</v>
      </c>
      <c r="BN185" s="9">
        <v>0</v>
      </c>
      <c r="BO185" s="9">
        <v>0</v>
      </c>
      <c r="BP185" s="9">
        <v>0</v>
      </c>
      <c r="BQ185" s="9">
        <v>5392</v>
      </c>
      <c r="BR185" s="9">
        <v>1</v>
      </c>
      <c r="BS185" s="9">
        <v>0</v>
      </c>
      <c r="BT185" s="9">
        <v>0</v>
      </c>
      <c r="BU185" s="9">
        <v>0</v>
      </c>
      <c r="BV185" s="9">
        <v>0</v>
      </c>
      <c r="BW185" s="9">
        <v>0</v>
      </c>
      <c r="BX185" s="9">
        <v>0</v>
      </c>
      <c r="BY185" s="9">
        <v>0</v>
      </c>
      <c r="BZ185" s="9">
        <v>0</v>
      </c>
      <c r="CA185" s="9">
        <v>0</v>
      </c>
      <c r="CB185" s="9">
        <v>0</v>
      </c>
      <c r="CC185" s="9">
        <v>0</v>
      </c>
      <c r="CD185" s="9">
        <v>0</v>
      </c>
      <c r="CE185" s="9">
        <v>0</v>
      </c>
      <c r="CF185" s="9">
        <v>0</v>
      </c>
      <c r="CG185" s="9">
        <v>0</v>
      </c>
      <c r="CH185" s="10">
        <v>69959</v>
      </c>
      <c r="CI185" s="9">
        <v>0</v>
      </c>
      <c r="CJ185" s="9">
        <v>4</v>
      </c>
      <c r="CK185" s="9">
        <v>0</v>
      </c>
      <c r="CL185" s="9">
        <v>0</v>
      </c>
      <c r="CM185" s="9">
        <v>0</v>
      </c>
      <c r="CN185" s="9">
        <v>0</v>
      </c>
      <c r="CO185" s="9">
        <v>0</v>
      </c>
      <c r="CP185" s="9">
        <v>0</v>
      </c>
      <c r="CQ185" s="9">
        <v>0</v>
      </c>
      <c r="CR185" s="9">
        <v>373.40100000000001</v>
      </c>
      <c r="CS185" s="9">
        <v>0</v>
      </c>
      <c r="CT185" s="9">
        <v>0</v>
      </c>
      <c r="CU185" s="9">
        <v>0</v>
      </c>
      <c r="CV185" s="9">
        <v>0</v>
      </c>
      <c r="CW185" s="9">
        <v>0</v>
      </c>
      <c r="CX185" s="9">
        <v>0</v>
      </c>
      <c r="CY185" s="9">
        <v>0</v>
      </c>
      <c r="CZ185" s="9">
        <v>0</v>
      </c>
      <c r="DA185" s="9">
        <v>1</v>
      </c>
      <c r="DB185" s="9">
        <v>2514919</v>
      </c>
      <c r="DC185" s="9">
        <v>0</v>
      </c>
      <c r="DD185" s="9">
        <v>0</v>
      </c>
      <c r="DE185" s="9">
        <v>361172</v>
      </c>
      <c r="DF185" s="9">
        <v>361172</v>
      </c>
      <c r="DG185" s="9">
        <v>275.83</v>
      </c>
      <c r="DH185" s="9">
        <v>0</v>
      </c>
      <c r="DI185" s="9">
        <v>0</v>
      </c>
      <c r="DJ185" s="9">
        <v>0</v>
      </c>
      <c r="DK185" s="9">
        <v>5392</v>
      </c>
      <c r="DL185" s="9">
        <v>0</v>
      </c>
      <c r="DM185" s="9">
        <v>288024</v>
      </c>
      <c r="DN185" s="9">
        <v>0</v>
      </c>
      <c r="DO185" s="9">
        <v>0</v>
      </c>
      <c r="DP185" s="9">
        <v>0</v>
      </c>
      <c r="DQ185" s="9">
        <v>0</v>
      </c>
      <c r="DR185" s="9">
        <v>0</v>
      </c>
      <c r="DS185" s="9">
        <v>0</v>
      </c>
      <c r="DT185" s="9">
        <v>0</v>
      </c>
      <c r="DU185" s="9">
        <v>0</v>
      </c>
      <c r="DV185" s="9">
        <v>0</v>
      </c>
      <c r="DW185" s="9">
        <v>0</v>
      </c>
      <c r="DX185" s="9">
        <v>0</v>
      </c>
      <c r="DY185" s="9">
        <v>0</v>
      </c>
      <c r="DZ185" s="9">
        <v>0</v>
      </c>
      <c r="EA185" s="9">
        <v>0</v>
      </c>
      <c r="EB185" s="9">
        <v>0</v>
      </c>
      <c r="EC185" s="9">
        <v>3.653</v>
      </c>
      <c r="ED185" s="9">
        <v>26308</v>
      </c>
      <c r="EE185" s="9">
        <v>0</v>
      </c>
      <c r="EF185" s="9">
        <v>0</v>
      </c>
      <c r="EG185" s="9">
        <v>0</v>
      </c>
      <c r="EH185" s="9">
        <v>261716</v>
      </c>
      <c r="EI185" s="9">
        <v>0</v>
      </c>
      <c r="EJ185" s="9">
        <v>0</v>
      </c>
      <c r="EK185" s="9">
        <v>11.319000000000001</v>
      </c>
      <c r="EL185" s="9">
        <v>0</v>
      </c>
      <c r="EM185" s="9">
        <v>0.47600000000000003</v>
      </c>
      <c r="EN185" s="9">
        <v>0.91800000000000004</v>
      </c>
      <c r="EO185" s="9">
        <v>0</v>
      </c>
      <c r="EP185" s="9">
        <v>0</v>
      </c>
      <c r="EQ185" s="9">
        <v>12.713000000000001</v>
      </c>
      <c r="ER185" s="9">
        <v>0</v>
      </c>
      <c r="ES185" s="9">
        <v>39.975000000000001</v>
      </c>
      <c r="ET185" s="10">
        <v>0</v>
      </c>
      <c r="EU185" s="9">
        <v>184878</v>
      </c>
      <c r="EV185" s="9">
        <v>0</v>
      </c>
      <c r="EW185" s="9">
        <v>0</v>
      </c>
      <c r="EX185" s="9">
        <v>0</v>
      </c>
      <c r="EY185" s="9">
        <v>0</v>
      </c>
      <c r="EZ185" s="9">
        <v>3035078</v>
      </c>
      <c r="FA185" s="9">
        <v>0</v>
      </c>
      <c r="FB185" s="10">
        <v>3219956</v>
      </c>
      <c r="FC185" s="9">
        <v>0.97326799999999991</v>
      </c>
      <c r="FD185" s="9">
        <v>0</v>
      </c>
      <c r="FE185" s="9">
        <v>484803</v>
      </c>
      <c r="FF185" s="9">
        <v>103239</v>
      </c>
      <c r="FG185" s="9">
        <v>5.8088000000000001E-2</v>
      </c>
      <c r="FH185" s="9">
        <v>5.2622999999999996E-2</v>
      </c>
      <c r="FI185" s="9">
        <v>0</v>
      </c>
      <c r="FJ185" s="9">
        <v>0</v>
      </c>
      <c r="FK185" s="9">
        <v>614.03800000000001</v>
      </c>
      <c r="FL185" s="9">
        <v>3877957</v>
      </c>
      <c r="FM185" s="9">
        <v>0</v>
      </c>
      <c r="FN185" s="9">
        <v>0</v>
      </c>
      <c r="FO185" s="9">
        <v>0</v>
      </c>
      <c r="FP185" s="9">
        <v>0</v>
      </c>
      <c r="FQ185" s="9">
        <v>0</v>
      </c>
      <c r="FR185" s="9">
        <v>0</v>
      </c>
      <c r="FS185" s="9">
        <v>0</v>
      </c>
      <c r="FT185" s="9">
        <v>0</v>
      </c>
      <c r="FU185" s="9">
        <v>0</v>
      </c>
      <c r="FV185" s="9">
        <v>0</v>
      </c>
      <c r="FW185" s="9">
        <v>0</v>
      </c>
      <c r="FX185" s="9">
        <v>0</v>
      </c>
      <c r="FY185" s="9">
        <v>0</v>
      </c>
      <c r="FZ185" s="9">
        <v>0</v>
      </c>
      <c r="GA185" s="9">
        <v>0</v>
      </c>
      <c r="GB185" s="10">
        <v>0</v>
      </c>
      <c r="GC185" s="10">
        <v>0</v>
      </c>
      <c r="GD185" s="10">
        <v>0</v>
      </c>
      <c r="GE185" s="9">
        <v>0</v>
      </c>
      <c r="GF185" s="9">
        <v>0</v>
      </c>
      <c r="GG185" s="9">
        <v>0</v>
      </c>
      <c r="GH185" s="9">
        <v>0</v>
      </c>
      <c r="GI185" s="9">
        <v>0</v>
      </c>
      <c r="GJ185" s="9">
        <v>0</v>
      </c>
      <c r="GK185" s="9">
        <v>0</v>
      </c>
      <c r="GL185" s="9">
        <v>0</v>
      </c>
      <c r="GM185" s="9">
        <v>0</v>
      </c>
      <c r="GN185" s="9">
        <v>0</v>
      </c>
      <c r="GO185" s="9">
        <v>0</v>
      </c>
      <c r="GP185" s="9">
        <v>3807998</v>
      </c>
      <c r="GQ185" s="9">
        <v>3807998</v>
      </c>
      <c r="GR185" s="9">
        <v>0</v>
      </c>
      <c r="GS185" s="9">
        <v>0</v>
      </c>
      <c r="GT185" s="9">
        <v>0</v>
      </c>
      <c r="GU185" s="9">
        <v>0</v>
      </c>
      <c r="GV185" s="9">
        <v>0</v>
      </c>
      <c r="GW185" s="9">
        <v>0</v>
      </c>
      <c r="GX185" s="9">
        <v>0</v>
      </c>
      <c r="GY185" s="9">
        <v>0</v>
      </c>
      <c r="GZ185" s="9">
        <v>0</v>
      </c>
      <c r="HA185" s="9">
        <v>0</v>
      </c>
      <c r="HB185" s="9">
        <v>300501363</v>
      </c>
      <c r="HC185" s="9">
        <v>4.4742999999999998E-2</v>
      </c>
      <c r="HD185" s="10">
        <v>69959</v>
      </c>
      <c r="HE185" s="9">
        <v>0</v>
      </c>
      <c r="HF185" s="9">
        <v>0</v>
      </c>
      <c r="HG185" s="9">
        <v>0</v>
      </c>
      <c r="HH185" s="9">
        <v>0</v>
      </c>
      <c r="HI185" s="9">
        <v>0</v>
      </c>
      <c r="HJ185" s="9">
        <v>0</v>
      </c>
      <c r="HK185" s="9">
        <v>0</v>
      </c>
      <c r="HL185" s="9">
        <v>0</v>
      </c>
      <c r="HM185" s="9">
        <v>0</v>
      </c>
      <c r="HN185" s="9">
        <v>0</v>
      </c>
      <c r="HO185" s="9">
        <v>0</v>
      </c>
      <c r="HP185" s="9">
        <v>0</v>
      </c>
      <c r="HQ185" s="9">
        <v>0</v>
      </c>
      <c r="HR185" s="9">
        <v>0</v>
      </c>
      <c r="HS185" s="9">
        <v>0</v>
      </c>
      <c r="HT185" s="9">
        <v>0</v>
      </c>
      <c r="HU185" s="9">
        <v>0</v>
      </c>
      <c r="HV185" s="9">
        <v>0</v>
      </c>
      <c r="HW185" s="9">
        <v>0</v>
      </c>
      <c r="HX185" s="9">
        <v>0</v>
      </c>
      <c r="HY185" s="9">
        <v>0</v>
      </c>
      <c r="HZ185" s="9">
        <v>0</v>
      </c>
      <c r="IA185" s="9">
        <v>0</v>
      </c>
      <c r="IB185" s="9">
        <v>0</v>
      </c>
      <c r="IC185" s="9">
        <v>0</v>
      </c>
      <c r="ID185" s="9">
        <v>0</v>
      </c>
      <c r="IE185" s="9">
        <v>0</v>
      </c>
      <c r="IF185" s="9">
        <v>0</v>
      </c>
      <c r="IG185" s="9">
        <v>0</v>
      </c>
      <c r="IH185" s="9">
        <v>0</v>
      </c>
      <c r="II185" s="9">
        <v>0</v>
      </c>
      <c r="IJ185" s="9">
        <v>0</v>
      </c>
      <c r="IK185" s="9">
        <v>0</v>
      </c>
      <c r="IL185" s="9">
        <v>0</v>
      </c>
      <c r="IM185" s="9">
        <v>0</v>
      </c>
      <c r="IN185" s="9">
        <v>0</v>
      </c>
      <c r="IO185" s="9">
        <v>0</v>
      </c>
      <c r="IP185" s="9">
        <v>0</v>
      </c>
      <c r="IQ185" s="9">
        <v>0</v>
      </c>
      <c r="IR185" s="9">
        <v>0</v>
      </c>
      <c r="IS185" s="9">
        <v>0</v>
      </c>
      <c r="IT185" s="9">
        <v>0</v>
      </c>
      <c r="IU185" s="9">
        <v>0</v>
      </c>
      <c r="IV185" s="9">
        <v>0</v>
      </c>
      <c r="IW185" s="9">
        <v>0</v>
      </c>
      <c r="IX185" s="9">
        <v>0</v>
      </c>
      <c r="IY185" s="9">
        <v>0</v>
      </c>
      <c r="IZ185" s="9">
        <v>0</v>
      </c>
      <c r="JA185" s="9">
        <v>0</v>
      </c>
      <c r="JB185" s="9">
        <v>0</v>
      </c>
      <c r="JC185" s="9">
        <v>0</v>
      </c>
      <c r="JD185" s="9">
        <v>0</v>
      </c>
      <c r="JE185" s="9">
        <v>0</v>
      </c>
      <c r="JF185" s="9">
        <v>0</v>
      </c>
      <c r="JG185" s="9">
        <v>0</v>
      </c>
      <c r="JH185" s="9">
        <v>0</v>
      </c>
      <c r="JI185" s="9">
        <v>0</v>
      </c>
      <c r="JJ185" s="9">
        <v>0</v>
      </c>
      <c r="JK185" s="9">
        <v>0</v>
      </c>
      <c r="JL185" s="9">
        <v>0</v>
      </c>
      <c r="JM185" s="9">
        <v>0</v>
      </c>
      <c r="JN185" s="9">
        <v>36832</v>
      </c>
      <c r="JO185" s="9">
        <v>0</v>
      </c>
      <c r="JP185" s="9">
        <v>0</v>
      </c>
      <c r="JQ185" s="9">
        <v>0</v>
      </c>
      <c r="JR185" s="9">
        <v>0</v>
      </c>
      <c r="JS185" s="9">
        <v>0</v>
      </c>
      <c r="JT185" s="9">
        <v>0</v>
      </c>
      <c r="JU185" s="9">
        <v>0</v>
      </c>
      <c r="JV185" s="9">
        <v>0</v>
      </c>
      <c r="JW185" s="9">
        <v>0</v>
      </c>
      <c r="JX185" s="9">
        <v>0</v>
      </c>
      <c r="JY185" s="9">
        <v>0</v>
      </c>
      <c r="JZ185" s="9">
        <v>0</v>
      </c>
      <c r="KA185" s="9">
        <v>0</v>
      </c>
      <c r="KB185" s="9">
        <v>0</v>
      </c>
      <c r="KC185" s="9">
        <v>0</v>
      </c>
      <c r="KD185" s="9">
        <v>0</v>
      </c>
      <c r="KE185" s="9">
        <v>0</v>
      </c>
      <c r="KF185" s="9">
        <v>0</v>
      </c>
      <c r="KG185" s="9">
        <v>0</v>
      </c>
      <c r="KH185" s="9">
        <v>0</v>
      </c>
      <c r="KI185" s="9">
        <v>0</v>
      </c>
    </row>
    <row r="186" spans="1:295" x14ac:dyDescent="0.25">
      <c r="A186" s="9">
        <v>227827</v>
      </c>
      <c r="B186" s="9">
        <v>36871</v>
      </c>
      <c r="C186" s="9">
        <v>35</v>
      </c>
      <c r="D186" s="9">
        <v>2023</v>
      </c>
      <c r="E186" s="9">
        <v>5392</v>
      </c>
      <c r="F186" s="9">
        <v>0</v>
      </c>
      <c r="G186" s="9">
        <v>0</v>
      </c>
      <c r="H186" s="9">
        <v>486.01600000000002</v>
      </c>
      <c r="I186" s="9">
        <v>486.01600000000002</v>
      </c>
      <c r="J186" s="9">
        <v>546.07600000000002</v>
      </c>
      <c r="K186" s="9">
        <v>0</v>
      </c>
      <c r="L186" s="9">
        <v>6547</v>
      </c>
      <c r="M186" s="9">
        <v>0</v>
      </c>
      <c r="N186" s="9">
        <v>0</v>
      </c>
      <c r="O186" s="9">
        <v>0</v>
      </c>
      <c r="P186" s="9">
        <v>461.21300000000002</v>
      </c>
      <c r="Q186" s="9">
        <v>0</v>
      </c>
      <c r="R186" s="9">
        <v>224575</v>
      </c>
      <c r="S186" s="9">
        <v>486.92200000000003</v>
      </c>
      <c r="T186" s="9">
        <v>0</v>
      </c>
      <c r="U186" s="9">
        <v>224575</v>
      </c>
      <c r="V186" s="9">
        <v>63.884</v>
      </c>
      <c r="W186" s="9">
        <v>41825</v>
      </c>
      <c r="X186" s="9">
        <v>41825</v>
      </c>
      <c r="Y186" s="9">
        <v>0</v>
      </c>
      <c r="Z186" s="9">
        <v>0</v>
      </c>
      <c r="AA186" s="9">
        <v>1</v>
      </c>
      <c r="AB186" s="9">
        <v>1</v>
      </c>
      <c r="AC186" s="9">
        <v>0</v>
      </c>
      <c r="AD186" s="9" t="s">
        <v>314</v>
      </c>
      <c r="AE186" s="9">
        <v>0</v>
      </c>
      <c r="AF186" s="9">
        <v>0</v>
      </c>
      <c r="AG186" s="9">
        <v>0</v>
      </c>
      <c r="AH186" s="9">
        <v>0</v>
      </c>
      <c r="AI186" s="9">
        <v>0</v>
      </c>
      <c r="AJ186" s="9">
        <v>5104</v>
      </c>
      <c r="AK186" s="9" t="s">
        <v>651</v>
      </c>
      <c r="AL186" s="9" t="s">
        <v>366</v>
      </c>
      <c r="AM186" s="9">
        <v>0</v>
      </c>
      <c r="AN186" s="9">
        <v>0</v>
      </c>
      <c r="AO186" s="9">
        <v>0</v>
      </c>
      <c r="AP186" s="9">
        <v>0</v>
      </c>
      <c r="AQ186" s="9">
        <v>0</v>
      </c>
      <c r="AR186" s="9">
        <v>0</v>
      </c>
      <c r="AS186" s="9">
        <v>0</v>
      </c>
      <c r="AT186" s="9">
        <v>0</v>
      </c>
      <c r="AU186" s="9">
        <v>0</v>
      </c>
      <c r="AV186" s="9">
        <v>65091</v>
      </c>
      <c r="AW186" s="9">
        <v>4438048</v>
      </c>
      <c r="AX186" s="9">
        <v>4287877</v>
      </c>
      <c r="AY186" s="9">
        <v>5771786</v>
      </c>
      <c r="AZ186" s="9">
        <v>374746</v>
      </c>
      <c r="BA186" s="9">
        <v>0</v>
      </c>
      <c r="BB186" s="9">
        <v>0</v>
      </c>
      <c r="BC186" s="9">
        <v>0</v>
      </c>
      <c r="BD186" s="9">
        <v>0</v>
      </c>
      <c r="BE186" s="9">
        <v>0</v>
      </c>
      <c r="BF186" s="9">
        <v>3713253</v>
      </c>
      <c r="BG186" s="9">
        <v>0</v>
      </c>
      <c r="BH186" s="9">
        <v>546.07600000000002</v>
      </c>
      <c r="BI186" s="9">
        <v>150171</v>
      </c>
      <c r="BJ186" s="9">
        <v>12</v>
      </c>
      <c r="BK186" s="9">
        <v>0</v>
      </c>
      <c r="BL186" s="9">
        <v>0</v>
      </c>
      <c r="BM186" s="9">
        <v>0</v>
      </c>
      <c r="BN186" s="9">
        <v>0</v>
      </c>
      <c r="BO186" s="9">
        <v>0</v>
      </c>
      <c r="BP186" s="9">
        <v>0</v>
      </c>
      <c r="BQ186" s="9">
        <v>5392</v>
      </c>
      <c r="BR186" s="9">
        <v>1</v>
      </c>
      <c r="BS186" s="9">
        <v>0</v>
      </c>
      <c r="BT186" s="9">
        <v>0</v>
      </c>
      <c r="BU186" s="9">
        <v>0</v>
      </c>
      <c r="BV186" s="9">
        <v>0</v>
      </c>
      <c r="BW186" s="9">
        <v>0</v>
      </c>
      <c r="BX186" s="9">
        <v>0</v>
      </c>
      <c r="BY186" s="9">
        <v>0</v>
      </c>
      <c r="BZ186" s="9">
        <v>0</v>
      </c>
      <c r="CA186" s="9">
        <v>0</v>
      </c>
      <c r="CB186" s="9">
        <v>0</v>
      </c>
      <c r="CC186" s="9">
        <v>0</v>
      </c>
      <c r="CD186" s="9">
        <v>0</v>
      </c>
      <c r="CE186" s="9">
        <v>0</v>
      </c>
      <c r="CF186" s="9">
        <v>0</v>
      </c>
      <c r="CG186" s="9">
        <v>0</v>
      </c>
      <c r="CH186" s="9">
        <v>0</v>
      </c>
      <c r="CI186" s="9">
        <v>0</v>
      </c>
      <c r="CJ186" s="9">
        <v>4</v>
      </c>
      <c r="CK186" s="9">
        <v>0</v>
      </c>
      <c r="CL186" s="9">
        <v>0</v>
      </c>
      <c r="CM186" s="9">
        <v>0</v>
      </c>
      <c r="CN186" s="9">
        <v>0</v>
      </c>
      <c r="CO186" s="9">
        <v>0</v>
      </c>
      <c r="CP186" s="9">
        <v>0.216</v>
      </c>
      <c r="CQ186" s="9">
        <v>0</v>
      </c>
      <c r="CR186" s="9">
        <v>461.21300000000002</v>
      </c>
      <c r="CS186" s="9">
        <v>0</v>
      </c>
      <c r="CT186" s="9">
        <v>0</v>
      </c>
      <c r="CU186" s="9">
        <v>0</v>
      </c>
      <c r="CV186" s="9">
        <v>0</v>
      </c>
      <c r="CW186" s="9">
        <v>0</v>
      </c>
      <c r="CX186" s="9">
        <v>0</v>
      </c>
      <c r="CY186" s="9">
        <v>0</v>
      </c>
      <c r="CZ186" s="9">
        <v>0</v>
      </c>
      <c r="DA186" s="9">
        <v>1</v>
      </c>
      <c r="DB186" s="9">
        <v>3181947</v>
      </c>
      <c r="DC186" s="9">
        <v>0</v>
      </c>
      <c r="DD186" s="9">
        <v>0</v>
      </c>
      <c r="DE186" s="9">
        <v>0</v>
      </c>
      <c r="DF186" s="9">
        <v>3408</v>
      </c>
      <c r="DG186" s="9">
        <v>0</v>
      </c>
      <c r="DH186" s="9">
        <v>0</v>
      </c>
      <c r="DI186" s="9">
        <v>3408</v>
      </c>
      <c r="DJ186" s="9">
        <v>0</v>
      </c>
      <c r="DK186" s="9">
        <v>5392</v>
      </c>
      <c r="DL186" s="9">
        <v>0</v>
      </c>
      <c r="DM186" s="9">
        <v>57225</v>
      </c>
      <c r="DN186" s="9">
        <v>0</v>
      </c>
      <c r="DO186" s="9">
        <v>0</v>
      </c>
      <c r="DP186" s="9">
        <v>0</v>
      </c>
      <c r="DQ186" s="9">
        <v>0</v>
      </c>
      <c r="DR186" s="9">
        <v>0</v>
      </c>
      <c r="DS186" s="9">
        <v>0</v>
      </c>
      <c r="DT186" s="9">
        <v>0</v>
      </c>
      <c r="DU186" s="9">
        <v>0</v>
      </c>
      <c r="DV186" s="9">
        <v>0</v>
      </c>
      <c r="DW186" s="9">
        <v>0</v>
      </c>
      <c r="DX186" s="9">
        <v>0</v>
      </c>
      <c r="DY186" s="9">
        <v>0</v>
      </c>
      <c r="DZ186" s="9">
        <v>0</v>
      </c>
      <c r="EA186" s="9">
        <v>0</v>
      </c>
      <c r="EB186" s="9">
        <v>0</v>
      </c>
      <c r="EC186" s="9">
        <v>7.9460000000000006</v>
      </c>
      <c r="ED186" s="9">
        <v>57225</v>
      </c>
      <c r="EE186" s="9">
        <v>0</v>
      </c>
      <c r="EF186" s="9">
        <v>0</v>
      </c>
      <c r="EG186" s="9">
        <v>0</v>
      </c>
      <c r="EH186" s="9">
        <v>0</v>
      </c>
      <c r="EI186" s="9">
        <v>0</v>
      </c>
      <c r="EJ186" s="9">
        <v>0</v>
      </c>
      <c r="EK186" s="9">
        <v>0</v>
      </c>
      <c r="EL186" s="9">
        <v>0</v>
      </c>
      <c r="EM186" s="9">
        <v>0</v>
      </c>
      <c r="EN186" s="9">
        <v>0</v>
      </c>
      <c r="EO186" s="9">
        <v>0</v>
      </c>
      <c r="EP186" s="9">
        <v>0</v>
      </c>
      <c r="EQ186" s="9">
        <v>0</v>
      </c>
      <c r="ER186" s="9">
        <v>0</v>
      </c>
      <c r="ES186" s="9">
        <v>0</v>
      </c>
      <c r="ET186" s="9">
        <v>0</v>
      </c>
      <c r="EU186" s="9">
        <v>374746</v>
      </c>
      <c r="EV186" s="9">
        <v>0</v>
      </c>
      <c r="EW186" s="9">
        <v>0</v>
      </c>
      <c r="EX186" s="9">
        <v>0</v>
      </c>
      <c r="EY186" s="9">
        <v>0</v>
      </c>
      <c r="EZ186" s="9">
        <v>3591122</v>
      </c>
      <c r="FA186" s="9">
        <v>0</v>
      </c>
      <c r="FB186" s="9">
        <v>3965868</v>
      </c>
      <c r="FC186" s="9">
        <v>0.97326799999999991</v>
      </c>
      <c r="FD186" s="9">
        <v>0</v>
      </c>
      <c r="FE186" s="9">
        <v>574430</v>
      </c>
      <c r="FF186" s="9">
        <v>122325</v>
      </c>
      <c r="FG186" s="9">
        <v>5.8088000000000001E-2</v>
      </c>
      <c r="FH186" s="9">
        <v>5.2622999999999996E-2</v>
      </c>
      <c r="FI186" s="9">
        <v>0</v>
      </c>
      <c r="FJ186" s="9">
        <v>0</v>
      </c>
      <c r="FK186" s="9">
        <v>727.55799999999999</v>
      </c>
      <c r="FL186" s="9">
        <v>4662623</v>
      </c>
      <c r="FM186" s="9">
        <v>0</v>
      </c>
      <c r="FN186" s="9">
        <v>0</v>
      </c>
      <c r="FO186" s="9">
        <v>455</v>
      </c>
      <c r="FP186" s="9">
        <v>0</v>
      </c>
      <c r="FQ186" s="9">
        <v>455</v>
      </c>
      <c r="FR186" s="9">
        <v>455</v>
      </c>
      <c r="FS186" s="9">
        <v>0</v>
      </c>
      <c r="FT186" s="9">
        <v>0</v>
      </c>
      <c r="FU186" s="9">
        <v>0</v>
      </c>
      <c r="FV186" s="9">
        <v>0</v>
      </c>
      <c r="FW186" s="9">
        <v>0</v>
      </c>
      <c r="FX186" s="9">
        <v>0</v>
      </c>
      <c r="FY186" s="9">
        <v>0</v>
      </c>
      <c r="FZ186" s="9">
        <v>0</v>
      </c>
      <c r="GA186" s="9">
        <v>0</v>
      </c>
      <c r="GB186" s="9">
        <v>530837</v>
      </c>
      <c r="GC186" s="9">
        <v>530837</v>
      </c>
      <c r="GD186" s="9">
        <v>60.06</v>
      </c>
      <c r="GE186" s="9">
        <v>0</v>
      </c>
      <c r="GF186" s="9">
        <v>0</v>
      </c>
      <c r="GG186" s="9">
        <v>0</v>
      </c>
      <c r="GH186" s="9">
        <v>0</v>
      </c>
      <c r="GI186" s="9">
        <v>0</v>
      </c>
      <c r="GJ186" s="9">
        <v>0</v>
      </c>
      <c r="GK186" s="9">
        <v>0</v>
      </c>
      <c r="GL186" s="9">
        <v>0</v>
      </c>
      <c r="GM186" s="9">
        <v>0</v>
      </c>
      <c r="GN186" s="9">
        <v>0</v>
      </c>
      <c r="GO186" s="9">
        <v>0</v>
      </c>
      <c r="GP186" s="9">
        <v>4662623</v>
      </c>
      <c r="GQ186" s="9">
        <v>4662623</v>
      </c>
      <c r="GR186" s="9">
        <v>0</v>
      </c>
      <c r="GS186" s="9">
        <v>0</v>
      </c>
      <c r="GT186" s="9">
        <v>0</v>
      </c>
      <c r="GU186" s="9">
        <v>0</v>
      </c>
      <c r="GV186" s="9">
        <v>0</v>
      </c>
      <c r="GW186" s="9">
        <v>0</v>
      </c>
      <c r="GX186" s="9">
        <v>0</v>
      </c>
      <c r="GY186" s="9">
        <v>0</v>
      </c>
      <c r="GZ186" s="9">
        <v>0</v>
      </c>
      <c r="HA186" s="9">
        <v>0</v>
      </c>
      <c r="HB186" s="9">
        <v>0</v>
      </c>
      <c r="HC186" s="9">
        <v>0</v>
      </c>
      <c r="HD186" s="9">
        <v>0</v>
      </c>
      <c r="HE186" s="9">
        <v>0</v>
      </c>
      <c r="HF186" s="9">
        <v>0</v>
      </c>
      <c r="HG186" s="9">
        <v>0</v>
      </c>
      <c r="HH186" s="9">
        <v>0</v>
      </c>
      <c r="HI186" s="9">
        <v>0</v>
      </c>
      <c r="HJ186" s="9">
        <v>0</v>
      </c>
      <c r="HK186" s="9">
        <v>0</v>
      </c>
      <c r="HL186" s="9">
        <v>0</v>
      </c>
      <c r="HM186" s="9">
        <v>0</v>
      </c>
      <c r="HN186" s="9">
        <v>0</v>
      </c>
      <c r="HO186" s="9">
        <v>0</v>
      </c>
      <c r="HP186" s="9">
        <v>0</v>
      </c>
      <c r="HQ186" s="9">
        <v>0</v>
      </c>
      <c r="HR186" s="9">
        <v>0</v>
      </c>
      <c r="HS186" s="9">
        <v>0</v>
      </c>
      <c r="HT186" s="9">
        <v>0</v>
      </c>
      <c r="HU186" s="9">
        <v>0</v>
      </c>
      <c r="HV186" s="9">
        <v>0</v>
      </c>
      <c r="HW186" s="9">
        <v>0</v>
      </c>
      <c r="HX186" s="9">
        <v>0</v>
      </c>
      <c r="HY186" s="9">
        <v>0</v>
      </c>
      <c r="HZ186" s="9">
        <v>0</v>
      </c>
      <c r="IA186" s="9">
        <v>0</v>
      </c>
      <c r="IB186" s="9">
        <v>0</v>
      </c>
      <c r="IC186" s="9">
        <v>0</v>
      </c>
      <c r="ID186" s="9">
        <v>0</v>
      </c>
      <c r="IE186" s="9">
        <v>0</v>
      </c>
      <c r="IF186" s="9">
        <v>0</v>
      </c>
      <c r="IG186" s="9">
        <v>0</v>
      </c>
      <c r="IH186" s="9">
        <v>0</v>
      </c>
      <c r="II186" s="9">
        <v>0</v>
      </c>
      <c r="IJ186" s="9">
        <v>0</v>
      </c>
      <c r="IK186" s="9">
        <v>0</v>
      </c>
      <c r="IL186" s="9">
        <v>0</v>
      </c>
      <c r="IM186" s="9">
        <v>0</v>
      </c>
      <c r="IN186" s="9">
        <v>0</v>
      </c>
      <c r="IO186" s="9">
        <v>0</v>
      </c>
      <c r="IP186" s="9">
        <v>0</v>
      </c>
      <c r="IQ186" s="9">
        <v>0</v>
      </c>
      <c r="IR186" s="9">
        <v>0</v>
      </c>
      <c r="IS186" s="9">
        <v>0</v>
      </c>
      <c r="IT186" s="9">
        <v>0</v>
      </c>
      <c r="IU186" s="9">
        <v>0</v>
      </c>
      <c r="IV186" s="9">
        <v>0</v>
      </c>
      <c r="IW186" s="9">
        <v>0</v>
      </c>
      <c r="IX186" s="9">
        <v>0</v>
      </c>
      <c r="IY186" s="9">
        <v>0</v>
      </c>
      <c r="IZ186" s="9">
        <v>0</v>
      </c>
      <c r="JA186" s="9">
        <v>0</v>
      </c>
      <c r="JB186" s="9">
        <v>0</v>
      </c>
      <c r="JC186" s="9">
        <v>0</v>
      </c>
      <c r="JD186" s="9">
        <v>0</v>
      </c>
      <c r="JE186" s="9">
        <v>0</v>
      </c>
      <c r="JF186" s="9">
        <v>0</v>
      </c>
      <c r="JG186" s="9">
        <v>0</v>
      </c>
      <c r="JH186" s="9">
        <v>0</v>
      </c>
      <c r="JI186" s="9">
        <v>0</v>
      </c>
      <c r="JJ186" s="9">
        <v>0</v>
      </c>
      <c r="JK186" s="9">
        <v>0</v>
      </c>
      <c r="JL186" s="9">
        <v>0</v>
      </c>
      <c r="JM186" s="9">
        <v>0</v>
      </c>
      <c r="JN186" s="9">
        <v>36832</v>
      </c>
      <c r="JO186" s="9">
        <v>0</v>
      </c>
      <c r="JP186" s="9">
        <v>0</v>
      </c>
      <c r="JQ186" s="9">
        <v>0</v>
      </c>
      <c r="JR186" s="9">
        <v>0</v>
      </c>
      <c r="JS186" s="9">
        <v>0</v>
      </c>
      <c r="JT186" s="9">
        <v>0</v>
      </c>
      <c r="JU186" s="9">
        <v>0</v>
      </c>
      <c r="JV186" s="9">
        <v>0</v>
      </c>
      <c r="JW186" s="9">
        <v>0</v>
      </c>
      <c r="JX186" s="9">
        <v>0</v>
      </c>
      <c r="JY186" s="9">
        <v>0</v>
      </c>
      <c r="JZ186" s="9">
        <v>0</v>
      </c>
      <c r="KA186" s="9">
        <v>0</v>
      </c>
      <c r="KB186" s="9">
        <v>0</v>
      </c>
      <c r="KC186" s="9">
        <v>0</v>
      </c>
      <c r="KD186" s="9">
        <v>0</v>
      </c>
      <c r="KE186" s="9">
        <v>0</v>
      </c>
      <c r="KF186" s="9">
        <v>0</v>
      </c>
      <c r="KG186" s="9">
        <v>0</v>
      </c>
      <c r="KH186" s="9">
        <v>0</v>
      </c>
      <c r="KI186" s="9">
        <v>0</v>
      </c>
    </row>
    <row r="187" spans="1:295" ht="14.5" x14ac:dyDescent="0.35">
      <c r="A187" s="9">
        <v>227829</v>
      </c>
      <c r="B187" s="9">
        <v>36871</v>
      </c>
      <c r="C187" s="9">
        <v>35</v>
      </c>
      <c r="D187" s="9">
        <v>2023</v>
      </c>
      <c r="E187" s="9">
        <v>5392</v>
      </c>
      <c r="F187" s="9">
        <v>0</v>
      </c>
      <c r="G187" s="9">
        <v>0</v>
      </c>
      <c r="H187" s="9">
        <v>1023.532</v>
      </c>
      <c r="I187" s="9">
        <v>1023.532</v>
      </c>
      <c r="J187" s="9">
        <v>1051.3430000000001</v>
      </c>
      <c r="K187" s="9">
        <v>0</v>
      </c>
      <c r="L187" s="9">
        <v>6547</v>
      </c>
      <c r="M187" s="9">
        <v>0</v>
      </c>
      <c r="N187" s="9">
        <v>0</v>
      </c>
      <c r="O187" s="9">
        <v>0</v>
      </c>
      <c r="P187" s="9">
        <v>512.06799999999998</v>
      </c>
      <c r="Q187" s="9">
        <v>0</v>
      </c>
      <c r="R187" s="9">
        <v>249337</v>
      </c>
      <c r="S187" s="9">
        <v>486.92200000000003</v>
      </c>
      <c r="T187" s="9">
        <v>0</v>
      </c>
      <c r="U187" s="9">
        <v>249337</v>
      </c>
      <c r="V187" s="9">
        <v>33.667999999999999</v>
      </c>
      <c r="W187" s="9">
        <v>22042</v>
      </c>
      <c r="X187" s="9">
        <v>22042</v>
      </c>
      <c r="Y187" s="9">
        <v>0</v>
      </c>
      <c r="Z187" s="9">
        <v>0</v>
      </c>
      <c r="AA187" s="9">
        <v>1</v>
      </c>
      <c r="AB187" s="9">
        <v>1</v>
      </c>
      <c r="AC187" s="9">
        <v>0</v>
      </c>
      <c r="AD187" s="9" t="s">
        <v>314</v>
      </c>
      <c r="AE187" s="9">
        <v>0</v>
      </c>
      <c r="AF187" s="9">
        <v>0</v>
      </c>
      <c r="AG187" s="9">
        <v>0</v>
      </c>
      <c r="AH187" s="9">
        <v>0</v>
      </c>
      <c r="AI187" s="9">
        <v>0</v>
      </c>
      <c r="AJ187" s="9">
        <v>5104</v>
      </c>
      <c r="AK187" s="9" t="s">
        <v>651</v>
      </c>
      <c r="AL187" s="12" t="s">
        <v>445</v>
      </c>
      <c r="AM187" s="9">
        <v>0</v>
      </c>
      <c r="AN187" s="9">
        <v>0</v>
      </c>
      <c r="AO187" s="9">
        <v>0</v>
      </c>
      <c r="AP187" s="9">
        <v>0</v>
      </c>
      <c r="AQ187" s="9">
        <v>0</v>
      </c>
      <c r="AR187" s="9">
        <v>0</v>
      </c>
      <c r="AS187" s="9">
        <v>0</v>
      </c>
      <c r="AT187" s="9">
        <v>0</v>
      </c>
      <c r="AU187" s="9">
        <v>0</v>
      </c>
      <c r="AV187" s="9">
        <v>27240</v>
      </c>
      <c r="AW187" s="9">
        <v>9332614</v>
      </c>
      <c r="AX187" s="9">
        <v>8629269</v>
      </c>
      <c r="AY187" s="9">
        <v>9995869</v>
      </c>
      <c r="AZ187" s="9">
        <v>767344</v>
      </c>
      <c r="BA187" s="9">
        <v>0</v>
      </c>
      <c r="BB187" s="9">
        <v>0</v>
      </c>
      <c r="BC187" s="9">
        <v>0</v>
      </c>
      <c r="BD187" s="9">
        <v>0</v>
      </c>
      <c r="BE187" s="9">
        <v>0</v>
      </c>
      <c r="BF187" s="9">
        <v>7306855</v>
      </c>
      <c r="BG187" s="9">
        <v>0</v>
      </c>
      <c r="BH187" s="9">
        <v>57.609000000000002</v>
      </c>
      <c r="BI187" s="9">
        <v>15842</v>
      </c>
      <c r="BJ187" s="9">
        <v>12</v>
      </c>
      <c r="BK187" s="9">
        <v>0</v>
      </c>
      <c r="BL187" s="9">
        <v>0</v>
      </c>
      <c r="BM187" s="9">
        <v>0</v>
      </c>
      <c r="BN187" s="9">
        <v>0</v>
      </c>
      <c r="BO187" s="9">
        <v>0</v>
      </c>
      <c r="BP187" s="9">
        <v>0</v>
      </c>
      <c r="BQ187" s="9">
        <v>5392</v>
      </c>
      <c r="BR187" s="9">
        <v>1</v>
      </c>
      <c r="BS187" s="9">
        <v>0</v>
      </c>
      <c r="BT187" s="9">
        <v>0</v>
      </c>
      <c r="BU187" s="9">
        <v>0</v>
      </c>
      <c r="BV187" s="9">
        <v>0</v>
      </c>
      <c r="BW187" s="9">
        <v>0</v>
      </c>
      <c r="BX187" s="9">
        <v>0</v>
      </c>
      <c r="BY187" s="9">
        <v>0</v>
      </c>
      <c r="BZ187" s="9">
        <v>0</v>
      </c>
      <c r="CA187" s="9">
        <v>502.16500000000002</v>
      </c>
      <c r="CB187" s="9">
        <v>502165</v>
      </c>
      <c r="CC187" s="9">
        <v>0</v>
      </c>
      <c r="CD187" s="9">
        <v>0</v>
      </c>
      <c r="CE187" s="9">
        <v>0</v>
      </c>
      <c r="CF187" s="9">
        <v>0</v>
      </c>
      <c r="CG187" s="9">
        <v>0</v>
      </c>
      <c r="CH187" s="9">
        <v>185338</v>
      </c>
      <c r="CI187" s="9">
        <v>0</v>
      </c>
      <c r="CJ187" s="9">
        <v>4</v>
      </c>
      <c r="CK187" s="9">
        <v>0</v>
      </c>
      <c r="CL187" s="9">
        <v>0</v>
      </c>
      <c r="CM187" s="9">
        <v>0</v>
      </c>
      <c r="CN187" s="9">
        <v>0</v>
      </c>
      <c r="CO187" s="9">
        <v>0</v>
      </c>
      <c r="CP187" s="9">
        <v>0</v>
      </c>
      <c r="CQ187" s="9">
        <v>0</v>
      </c>
      <c r="CR187" s="9">
        <v>506.85600000000005</v>
      </c>
      <c r="CS187" s="9">
        <v>0</v>
      </c>
      <c r="CT187" s="9">
        <v>0</v>
      </c>
      <c r="CU187" s="9">
        <v>0</v>
      </c>
      <c r="CV187" s="9">
        <v>0</v>
      </c>
      <c r="CW187" s="9">
        <v>0</v>
      </c>
      <c r="CX187" s="9">
        <v>0</v>
      </c>
      <c r="CY187" s="9">
        <v>0</v>
      </c>
      <c r="CZ187" s="9">
        <v>0</v>
      </c>
      <c r="DA187" s="9">
        <v>1</v>
      </c>
      <c r="DB187" s="9">
        <v>6701064</v>
      </c>
      <c r="DC187" s="9">
        <v>0</v>
      </c>
      <c r="DD187" s="9">
        <v>0</v>
      </c>
      <c r="DE187" s="9">
        <v>164984</v>
      </c>
      <c r="DF187" s="9">
        <v>164984</v>
      </c>
      <c r="DG187" s="9">
        <v>126</v>
      </c>
      <c r="DH187" s="9">
        <v>0</v>
      </c>
      <c r="DI187" s="9">
        <v>0</v>
      </c>
      <c r="DJ187" s="9">
        <v>0</v>
      </c>
      <c r="DK187" s="9">
        <v>5392</v>
      </c>
      <c r="DL187" s="9">
        <v>0</v>
      </c>
      <c r="DM187" s="9">
        <v>619457</v>
      </c>
      <c r="DN187" s="9">
        <v>0</v>
      </c>
      <c r="DO187" s="9">
        <v>0</v>
      </c>
      <c r="DP187" s="9">
        <v>0</v>
      </c>
      <c r="DQ187" s="9">
        <v>0</v>
      </c>
      <c r="DR187" s="9">
        <v>0</v>
      </c>
      <c r="DS187" s="9">
        <v>0</v>
      </c>
      <c r="DT187" s="9">
        <v>0</v>
      </c>
      <c r="DU187" s="9">
        <v>0</v>
      </c>
      <c r="DV187" s="9">
        <v>0</v>
      </c>
      <c r="DW187" s="9">
        <v>0</v>
      </c>
      <c r="DX187" s="9">
        <v>0</v>
      </c>
      <c r="DY187" s="9">
        <v>0</v>
      </c>
      <c r="DZ187" s="9">
        <v>0</v>
      </c>
      <c r="EA187" s="9">
        <v>0</v>
      </c>
      <c r="EB187" s="9">
        <v>0</v>
      </c>
      <c r="EC187" s="9">
        <v>7.74</v>
      </c>
      <c r="ED187" s="9">
        <v>55741</v>
      </c>
      <c r="EE187" s="9">
        <v>0</v>
      </c>
      <c r="EF187" s="9">
        <v>0</v>
      </c>
      <c r="EG187" s="9">
        <v>0</v>
      </c>
      <c r="EH187" s="9">
        <v>563716</v>
      </c>
      <c r="EI187" s="9">
        <v>0</v>
      </c>
      <c r="EJ187" s="9">
        <v>0</v>
      </c>
      <c r="EK187" s="9">
        <v>26.476000000000003</v>
      </c>
      <c r="EL187" s="9">
        <v>0</v>
      </c>
      <c r="EM187" s="9">
        <v>0</v>
      </c>
      <c r="EN187" s="9">
        <v>1.335</v>
      </c>
      <c r="EO187" s="9">
        <v>0</v>
      </c>
      <c r="EP187" s="9">
        <v>0</v>
      </c>
      <c r="EQ187" s="9">
        <v>27.811</v>
      </c>
      <c r="ER187" s="9">
        <v>0</v>
      </c>
      <c r="ES187" s="9">
        <v>86.103000000000009</v>
      </c>
      <c r="ET187" s="9">
        <v>0</v>
      </c>
      <c r="EU187" s="9">
        <v>767344</v>
      </c>
      <c r="EV187" s="9">
        <v>0</v>
      </c>
      <c r="EW187" s="9">
        <v>0</v>
      </c>
      <c r="EX187" s="9">
        <v>0</v>
      </c>
      <c r="EY187" s="9">
        <v>0</v>
      </c>
      <c r="EZ187" s="9">
        <v>7258210</v>
      </c>
      <c r="FA187" s="9">
        <v>0</v>
      </c>
      <c r="FB187" s="9">
        <v>8025554</v>
      </c>
      <c r="FC187" s="9">
        <v>0.97326799999999991</v>
      </c>
      <c r="FD187" s="9">
        <v>0</v>
      </c>
      <c r="FE187" s="9">
        <v>1130351</v>
      </c>
      <c r="FF187" s="9">
        <v>240708</v>
      </c>
      <c r="FG187" s="9">
        <v>5.8088000000000001E-2</v>
      </c>
      <c r="FH187" s="9">
        <v>5.2622999999999996E-2</v>
      </c>
      <c r="FI187" s="9">
        <v>0</v>
      </c>
      <c r="FJ187" s="9">
        <v>0</v>
      </c>
      <c r="FK187" s="9">
        <v>1431.672</v>
      </c>
      <c r="FL187" s="9">
        <v>9581951</v>
      </c>
      <c r="FM187" s="9">
        <v>0</v>
      </c>
      <c r="FN187" s="9">
        <v>0</v>
      </c>
      <c r="FO187" s="9">
        <v>0</v>
      </c>
      <c r="FP187" s="9">
        <v>0</v>
      </c>
      <c r="FQ187" s="9">
        <v>0</v>
      </c>
      <c r="FR187" s="9">
        <v>0</v>
      </c>
      <c r="FS187" s="9">
        <v>0</v>
      </c>
      <c r="FT187" s="9">
        <v>0</v>
      </c>
      <c r="FU187" s="9">
        <v>0</v>
      </c>
      <c r="FV187" s="9">
        <v>0</v>
      </c>
      <c r="FW187" s="9">
        <v>0</v>
      </c>
      <c r="FX187" s="9">
        <v>0</v>
      </c>
      <c r="FY187" s="9">
        <v>0</v>
      </c>
      <c r="FZ187" s="9">
        <v>0</v>
      </c>
      <c r="GA187" s="9">
        <v>0</v>
      </c>
      <c r="GB187" s="9">
        <v>0</v>
      </c>
      <c r="GC187" s="9">
        <v>0</v>
      </c>
      <c r="GD187" s="9">
        <v>0</v>
      </c>
      <c r="GE187" s="9">
        <v>0</v>
      </c>
      <c r="GF187" s="9">
        <v>0</v>
      </c>
      <c r="GG187" s="9">
        <v>0</v>
      </c>
      <c r="GH187" s="9">
        <v>0</v>
      </c>
      <c r="GI187" s="9">
        <v>0</v>
      </c>
      <c r="GJ187" s="9">
        <v>0</v>
      </c>
      <c r="GK187" s="9">
        <v>0</v>
      </c>
      <c r="GL187" s="9">
        <v>0</v>
      </c>
      <c r="GM187" s="9">
        <v>0</v>
      </c>
      <c r="GN187" s="9">
        <v>0</v>
      </c>
      <c r="GO187" s="9">
        <v>0</v>
      </c>
      <c r="GP187" s="9">
        <v>9396613</v>
      </c>
      <c r="GQ187" s="9">
        <v>9396613</v>
      </c>
      <c r="GR187" s="9">
        <v>0</v>
      </c>
      <c r="GS187" s="9">
        <v>0</v>
      </c>
      <c r="GT187" s="9">
        <v>0</v>
      </c>
      <c r="GU187" s="9">
        <v>0</v>
      </c>
      <c r="GV187" s="9">
        <v>0</v>
      </c>
      <c r="GW187" s="9">
        <v>0</v>
      </c>
      <c r="GX187" s="9">
        <v>0</v>
      </c>
      <c r="GY187" s="9">
        <v>0</v>
      </c>
      <c r="GZ187" s="9">
        <v>0</v>
      </c>
      <c r="HA187" s="9">
        <v>0</v>
      </c>
      <c r="HB187" s="9">
        <v>300501363</v>
      </c>
      <c r="HC187" s="9">
        <v>4.4742999999999998E-2</v>
      </c>
      <c r="HD187" s="9">
        <v>185338</v>
      </c>
      <c r="HE187" s="9">
        <v>0</v>
      </c>
      <c r="HF187" s="9">
        <v>0</v>
      </c>
      <c r="HG187" s="9">
        <v>0</v>
      </c>
      <c r="HH187" s="9">
        <v>0</v>
      </c>
      <c r="HI187" s="9">
        <v>0</v>
      </c>
      <c r="HJ187" s="9">
        <v>0</v>
      </c>
      <c r="HK187" s="9">
        <v>0</v>
      </c>
      <c r="HL187" s="9">
        <v>0</v>
      </c>
      <c r="HM187" s="9">
        <v>0</v>
      </c>
      <c r="HN187" s="9">
        <v>0</v>
      </c>
      <c r="HO187" s="9">
        <v>0</v>
      </c>
      <c r="HP187" s="9">
        <v>0</v>
      </c>
      <c r="HQ187" s="9">
        <v>0</v>
      </c>
      <c r="HR187" s="9">
        <v>0</v>
      </c>
      <c r="HS187" s="9">
        <v>0</v>
      </c>
      <c r="HT187" s="9">
        <v>0</v>
      </c>
      <c r="HU187" s="9">
        <v>0</v>
      </c>
      <c r="HV187" s="9">
        <v>0</v>
      </c>
      <c r="HW187" s="9">
        <v>0</v>
      </c>
      <c r="HX187" s="9">
        <v>0</v>
      </c>
      <c r="HY187" s="9">
        <v>0</v>
      </c>
      <c r="HZ187" s="9">
        <v>0</v>
      </c>
      <c r="IA187" s="9">
        <v>0</v>
      </c>
      <c r="IB187" s="9">
        <v>0</v>
      </c>
      <c r="IC187" s="9">
        <v>0</v>
      </c>
      <c r="ID187" s="9">
        <v>0</v>
      </c>
      <c r="IE187" s="9">
        <v>0</v>
      </c>
      <c r="IF187" s="9">
        <v>0</v>
      </c>
      <c r="IG187" s="9">
        <v>0</v>
      </c>
      <c r="IH187" s="9">
        <v>0</v>
      </c>
      <c r="II187" s="9">
        <v>0</v>
      </c>
      <c r="IJ187" s="9">
        <v>0</v>
      </c>
      <c r="IK187" s="9">
        <v>0</v>
      </c>
      <c r="IL187" s="9">
        <v>0</v>
      </c>
      <c r="IM187" s="9">
        <v>0</v>
      </c>
      <c r="IN187" s="9">
        <v>0</v>
      </c>
      <c r="IO187" s="9">
        <v>0</v>
      </c>
      <c r="IP187" s="9">
        <v>0</v>
      </c>
      <c r="IQ187" s="9">
        <v>0</v>
      </c>
      <c r="IR187" s="9">
        <v>0</v>
      </c>
      <c r="IS187" s="9">
        <v>0</v>
      </c>
      <c r="IT187" s="9">
        <v>0</v>
      </c>
      <c r="IU187" s="9">
        <v>0</v>
      </c>
      <c r="IV187" s="9">
        <v>0</v>
      </c>
      <c r="IW187" s="9">
        <v>0</v>
      </c>
      <c r="IX187" s="9">
        <v>0</v>
      </c>
      <c r="IY187" s="9">
        <v>0</v>
      </c>
      <c r="IZ187" s="9">
        <v>0</v>
      </c>
      <c r="JA187" s="9">
        <v>0</v>
      </c>
      <c r="JB187" s="9">
        <v>0</v>
      </c>
      <c r="JC187" s="9">
        <v>0</v>
      </c>
      <c r="JD187" s="9">
        <v>0</v>
      </c>
      <c r="JE187" s="9">
        <v>0</v>
      </c>
      <c r="JF187" s="9">
        <v>0</v>
      </c>
      <c r="JG187" s="9">
        <v>0</v>
      </c>
      <c r="JH187" s="9">
        <v>0</v>
      </c>
      <c r="JI187" s="9">
        <v>0</v>
      </c>
      <c r="JJ187" s="9">
        <v>0</v>
      </c>
      <c r="JK187" s="9">
        <v>0</v>
      </c>
      <c r="JL187" s="9">
        <v>0</v>
      </c>
      <c r="JM187" s="9">
        <v>0</v>
      </c>
      <c r="JN187" s="9">
        <v>36832</v>
      </c>
      <c r="JO187" s="9">
        <v>0</v>
      </c>
      <c r="JP187" s="9">
        <v>0</v>
      </c>
      <c r="JQ187" s="9">
        <v>0</v>
      </c>
      <c r="JR187" s="9">
        <v>0</v>
      </c>
      <c r="JS187" s="9">
        <v>0</v>
      </c>
      <c r="JT187" s="9">
        <v>0</v>
      </c>
      <c r="JU187" s="9">
        <v>0</v>
      </c>
      <c r="JV187" s="9">
        <v>0</v>
      </c>
      <c r="JW187" s="9">
        <v>0</v>
      </c>
      <c r="JX187" s="9">
        <v>0</v>
      </c>
      <c r="JY187" s="9">
        <v>0</v>
      </c>
      <c r="JZ187" s="9">
        <v>0</v>
      </c>
      <c r="KA187" s="9">
        <v>0</v>
      </c>
      <c r="KB187" s="9">
        <v>0</v>
      </c>
      <c r="KC187" s="9">
        <v>0</v>
      </c>
      <c r="KD187" s="9">
        <v>0</v>
      </c>
      <c r="KE187" s="9">
        <v>0</v>
      </c>
      <c r="KF187" s="9">
        <v>0</v>
      </c>
      <c r="KG187" s="9">
        <v>0</v>
      </c>
      <c r="KH187" s="9">
        <v>0</v>
      </c>
      <c r="KI187" s="9">
        <v>0</v>
      </c>
    </row>
    <row r="188" spans="1:295" x14ac:dyDescent="0.25">
      <c r="A188" s="9">
        <v>234801</v>
      </c>
      <c r="B188" s="9">
        <v>36871</v>
      </c>
      <c r="C188" s="9">
        <v>35</v>
      </c>
      <c r="D188" s="9">
        <v>2023</v>
      </c>
      <c r="E188" s="9">
        <v>5392</v>
      </c>
      <c r="F188" s="9">
        <v>0</v>
      </c>
      <c r="G188" s="9">
        <v>0</v>
      </c>
      <c r="H188" s="9">
        <v>55.372</v>
      </c>
      <c r="I188" s="9">
        <v>55.372</v>
      </c>
      <c r="J188" s="9">
        <v>60.385000000000005</v>
      </c>
      <c r="K188" s="9">
        <v>0</v>
      </c>
      <c r="L188" s="9">
        <v>6547</v>
      </c>
      <c r="M188" s="9">
        <v>0</v>
      </c>
      <c r="N188" s="9">
        <v>0</v>
      </c>
      <c r="O188" s="9">
        <v>0</v>
      </c>
      <c r="P188" s="9">
        <v>70.171999999999997</v>
      </c>
      <c r="Q188" s="9">
        <v>0</v>
      </c>
      <c r="R188" s="9">
        <v>34168</v>
      </c>
      <c r="S188" s="9">
        <v>486.92200000000003</v>
      </c>
      <c r="T188" s="9">
        <v>0</v>
      </c>
      <c r="U188" s="9">
        <v>34168</v>
      </c>
      <c r="V188" s="9">
        <v>0</v>
      </c>
      <c r="W188" s="9">
        <v>0</v>
      </c>
      <c r="X188" s="9">
        <v>0</v>
      </c>
      <c r="Y188" s="9">
        <v>0</v>
      </c>
      <c r="Z188" s="9">
        <v>0</v>
      </c>
      <c r="AA188" s="9">
        <v>1</v>
      </c>
      <c r="AB188" s="9">
        <v>1</v>
      </c>
      <c r="AC188" s="9">
        <v>0</v>
      </c>
      <c r="AD188" s="9" t="s">
        <v>314</v>
      </c>
      <c r="AE188" s="9">
        <v>0</v>
      </c>
      <c r="AF188" s="9">
        <v>0</v>
      </c>
      <c r="AG188" s="9">
        <v>0</v>
      </c>
      <c r="AH188" s="9">
        <v>0</v>
      </c>
      <c r="AI188" s="9">
        <v>0</v>
      </c>
      <c r="AJ188" s="9">
        <v>5104</v>
      </c>
      <c r="AK188" s="9" t="s">
        <v>651</v>
      </c>
      <c r="AL188" s="9" t="s">
        <v>81</v>
      </c>
      <c r="AM188" s="9">
        <v>0</v>
      </c>
      <c r="AN188" s="9">
        <v>0</v>
      </c>
      <c r="AO188" s="9">
        <v>0</v>
      </c>
      <c r="AP188" s="9">
        <v>0</v>
      </c>
      <c r="AQ188" s="9">
        <v>0</v>
      </c>
      <c r="AR188" s="9">
        <v>0</v>
      </c>
      <c r="AS188" s="9">
        <v>0</v>
      </c>
      <c r="AT188" s="9">
        <v>0</v>
      </c>
      <c r="AU188" s="9">
        <v>0</v>
      </c>
      <c r="AV188" s="9">
        <v>91516</v>
      </c>
      <c r="AW188" s="9">
        <v>680727</v>
      </c>
      <c r="AX188" s="9">
        <v>651203</v>
      </c>
      <c r="AY188" s="9">
        <v>786680</v>
      </c>
      <c r="AZ188" s="9">
        <v>49547</v>
      </c>
      <c r="BA188" s="9">
        <v>7</v>
      </c>
      <c r="BB188" s="9">
        <v>0</v>
      </c>
      <c r="BC188" s="9">
        <v>0</v>
      </c>
      <c r="BD188" s="9">
        <v>0</v>
      </c>
      <c r="BE188" s="9">
        <v>0</v>
      </c>
      <c r="BF188" s="9">
        <v>564042</v>
      </c>
      <c r="BG188" s="9">
        <v>0</v>
      </c>
      <c r="BH188" s="9">
        <v>55.923999999999999</v>
      </c>
      <c r="BI188" s="9">
        <v>15379</v>
      </c>
      <c r="BJ188" s="9">
        <v>12</v>
      </c>
      <c r="BK188" s="9">
        <v>0</v>
      </c>
      <c r="BL188" s="9">
        <v>0</v>
      </c>
      <c r="BM188" s="9">
        <v>0</v>
      </c>
      <c r="BN188" s="9">
        <v>0</v>
      </c>
      <c r="BO188" s="9">
        <v>0</v>
      </c>
      <c r="BP188" s="9">
        <v>0</v>
      </c>
      <c r="BQ188" s="9">
        <v>5392</v>
      </c>
      <c r="BR188" s="9">
        <v>1</v>
      </c>
      <c r="BS188" s="9">
        <v>0</v>
      </c>
      <c r="BT188" s="9">
        <v>0</v>
      </c>
      <c r="BU188" s="9">
        <v>0</v>
      </c>
      <c r="BV188" s="9">
        <v>0</v>
      </c>
      <c r="BW188" s="9">
        <v>0</v>
      </c>
      <c r="BX188" s="9">
        <v>0</v>
      </c>
      <c r="BY188" s="9">
        <v>0</v>
      </c>
      <c r="BZ188" s="9">
        <v>0</v>
      </c>
      <c r="CA188" s="9">
        <v>0</v>
      </c>
      <c r="CB188" s="9">
        <v>0</v>
      </c>
      <c r="CC188" s="9">
        <v>0</v>
      </c>
      <c r="CD188" s="9">
        <v>0</v>
      </c>
      <c r="CE188" s="9">
        <v>0</v>
      </c>
      <c r="CF188" s="9">
        <v>0</v>
      </c>
      <c r="CG188" s="9">
        <v>0</v>
      </c>
      <c r="CH188" s="9">
        <v>14145</v>
      </c>
      <c r="CI188" s="9">
        <v>0</v>
      </c>
      <c r="CJ188" s="9">
        <v>4</v>
      </c>
      <c r="CK188" s="9">
        <v>0</v>
      </c>
      <c r="CL188" s="9">
        <v>0</v>
      </c>
      <c r="CM188" s="9">
        <v>0</v>
      </c>
      <c r="CN188" s="9">
        <v>0</v>
      </c>
      <c r="CO188" s="9">
        <v>0</v>
      </c>
      <c r="CP188" s="9">
        <v>0.13</v>
      </c>
      <c r="CQ188" s="9">
        <v>0</v>
      </c>
      <c r="CR188" s="9">
        <v>68.334000000000003</v>
      </c>
      <c r="CS188" s="9">
        <v>0</v>
      </c>
      <c r="CT188" s="9">
        <v>0</v>
      </c>
      <c r="CU188" s="9">
        <v>0</v>
      </c>
      <c r="CV188" s="9">
        <v>0</v>
      </c>
      <c r="CW188" s="9">
        <v>0</v>
      </c>
      <c r="CX188" s="9">
        <v>0</v>
      </c>
      <c r="CY188" s="9">
        <v>0</v>
      </c>
      <c r="CZ188" s="9">
        <v>0</v>
      </c>
      <c r="DA188" s="9">
        <v>1</v>
      </c>
      <c r="DB188" s="9">
        <v>362520</v>
      </c>
      <c r="DC188" s="9">
        <v>0</v>
      </c>
      <c r="DD188" s="9">
        <v>0</v>
      </c>
      <c r="DE188" s="9">
        <v>56959</v>
      </c>
      <c r="DF188" s="9">
        <v>59010</v>
      </c>
      <c r="DG188" s="9">
        <v>43.5</v>
      </c>
      <c r="DH188" s="9">
        <v>0</v>
      </c>
      <c r="DI188" s="9">
        <v>2051</v>
      </c>
      <c r="DJ188" s="9">
        <v>0</v>
      </c>
      <c r="DK188" s="9">
        <v>5392</v>
      </c>
      <c r="DL188" s="9">
        <v>0</v>
      </c>
      <c r="DM188" s="9">
        <v>158004</v>
      </c>
      <c r="DN188" s="9">
        <v>0</v>
      </c>
      <c r="DO188" s="9">
        <v>0</v>
      </c>
      <c r="DP188" s="9">
        <v>0</v>
      </c>
      <c r="DQ188" s="9">
        <v>0</v>
      </c>
      <c r="DR188" s="9">
        <v>0</v>
      </c>
      <c r="DS188" s="9">
        <v>0</v>
      </c>
      <c r="DT188" s="9">
        <v>0</v>
      </c>
      <c r="DU188" s="9">
        <v>0</v>
      </c>
      <c r="DV188" s="9">
        <v>0</v>
      </c>
      <c r="DW188" s="9">
        <v>0</v>
      </c>
      <c r="DX188" s="9">
        <v>0</v>
      </c>
      <c r="DY188" s="9">
        <v>0</v>
      </c>
      <c r="DZ188" s="9">
        <v>0</v>
      </c>
      <c r="EA188" s="9">
        <v>0</v>
      </c>
      <c r="EB188" s="9">
        <v>0</v>
      </c>
      <c r="EC188" s="9">
        <v>6.4080000000000004</v>
      </c>
      <c r="ED188" s="9">
        <v>46148</v>
      </c>
      <c r="EE188" s="9">
        <v>0</v>
      </c>
      <c r="EF188" s="9">
        <v>0</v>
      </c>
      <c r="EG188" s="9">
        <v>0</v>
      </c>
      <c r="EH188" s="9">
        <v>58275</v>
      </c>
      <c r="EI188" s="9">
        <v>53581</v>
      </c>
      <c r="EJ188" s="9">
        <v>2.0460000000000003</v>
      </c>
      <c r="EK188" s="9">
        <v>2.948</v>
      </c>
      <c r="EL188" s="9">
        <v>0</v>
      </c>
      <c r="EM188" s="9">
        <v>1.9E-2</v>
      </c>
      <c r="EN188" s="9">
        <v>0</v>
      </c>
      <c r="EO188" s="9">
        <v>0</v>
      </c>
      <c r="EP188" s="9">
        <v>0</v>
      </c>
      <c r="EQ188" s="9">
        <v>5.0129999999999999</v>
      </c>
      <c r="ER188" s="9">
        <v>0</v>
      </c>
      <c r="ES188" s="9">
        <v>8.9009999999999998</v>
      </c>
      <c r="ET188" s="9">
        <v>3500</v>
      </c>
      <c r="EU188" s="9">
        <v>49547</v>
      </c>
      <c r="EV188" s="9">
        <v>0</v>
      </c>
      <c r="EW188" s="9">
        <v>0</v>
      </c>
      <c r="EX188" s="9">
        <v>0</v>
      </c>
      <c r="EY188" s="9">
        <v>0</v>
      </c>
      <c r="EZ188" s="9">
        <v>545366</v>
      </c>
      <c r="FA188" s="9">
        <v>0</v>
      </c>
      <c r="FB188" s="9">
        <v>594913</v>
      </c>
      <c r="FC188" s="9">
        <v>0.97326799999999991</v>
      </c>
      <c r="FD188" s="9">
        <v>0</v>
      </c>
      <c r="FE188" s="9">
        <v>87256</v>
      </c>
      <c r="FF188" s="9">
        <v>18581</v>
      </c>
      <c r="FG188" s="9">
        <v>5.8088000000000001E-2</v>
      </c>
      <c r="FH188" s="9">
        <v>5.2622999999999996E-2</v>
      </c>
      <c r="FI188" s="9">
        <v>0</v>
      </c>
      <c r="FJ188" s="9">
        <v>0</v>
      </c>
      <c r="FK188" s="9">
        <v>110.51600000000001</v>
      </c>
      <c r="FL188" s="9">
        <v>714895</v>
      </c>
      <c r="FM188" s="9">
        <v>0</v>
      </c>
      <c r="FN188" s="9">
        <v>0</v>
      </c>
      <c r="FO188" s="9">
        <v>0</v>
      </c>
      <c r="FP188" s="9">
        <v>0</v>
      </c>
      <c r="FQ188" s="9">
        <v>0</v>
      </c>
      <c r="FR188" s="9">
        <v>0</v>
      </c>
      <c r="FS188" s="9">
        <v>0</v>
      </c>
      <c r="FT188" s="9">
        <v>0</v>
      </c>
      <c r="FU188" s="9">
        <v>0</v>
      </c>
      <c r="FV188" s="9">
        <v>0</v>
      </c>
      <c r="FW188" s="9">
        <v>0</v>
      </c>
      <c r="FX188" s="9">
        <v>0</v>
      </c>
      <c r="FY188" s="9">
        <v>0</v>
      </c>
      <c r="FZ188" s="9">
        <v>0</v>
      </c>
      <c r="GA188" s="9">
        <v>0</v>
      </c>
      <c r="GB188" s="9">
        <v>0</v>
      </c>
      <c r="GC188" s="9">
        <v>0</v>
      </c>
      <c r="GD188" s="9">
        <v>0</v>
      </c>
      <c r="GE188" s="9">
        <v>0</v>
      </c>
      <c r="GF188" s="9">
        <v>0</v>
      </c>
      <c r="GG188" s="9">
        <v>0</v>
      </c>
      <c r="GH188" s="9">
        <v>0</v>
      </c>
      <c r="GI188" s="9">
        <v>0</v>
      </c>
      <c r="GJ188" s="9">
        <v>0</v>
      </c>
      <c r="GK188" s="9">
        <v>5038</v>
      </c>
      <c r="GL188" s="9">
        <v>5287</v>
      </c>
      <c r="GM188" s="9">
        <v>0</v>
      </c>
      <c r="GN188" s="9">
        <v>0</v>
      </c>
      <c r="GO188" s="9">
        <v>0</v>
      </c>
      <c r="GP188" s="9">
        <v>700750</v>
      </c>
      <c r="GQ188" s="9">
        <v>700750</v>
      </c>
      <c r="GR188" s="9">
        <v>0</v>
      </c>
      <c r="GS188" s="9">
        <v>0</v>
      </c>
      <c r="GT188" s="9">
        <v>0</v>
      </c>
      <c r="GU188" s="9">
        <v>0</v>
      </c>
      <c r="GV188" s="9">
        <v>0</v>
      </c>
      <c r="GW188" s="9">
        <v>0</v>
      </c>
      <c r="GX188" s="9">
        <v>0</v>
      </c>
      <c r="GY188" s="9">
        <v>0</v>
      </c>
      <c r="GZ188" s="9">
        <v>0</v>
      </c>
      <c r="HA188" s="9">
        <v>0</v>
      </c>
      <c r="HB188" s="9">
        <v>300501363</v>
      </c>
      <c r="HC188" s="9">
        <v>4.4742999999999998E-2</v>
      </c>
      <c r="HD188" s="9">
        <v>10645</v>
      </c>
      <c r="HE188" s="9">
        <v>0</v>
      </c>
      <c r="HF188" s="9">
        <v>0</v>
      </c>
      <c r="HG188" s="9">
        <v>0</v>
      </c>
      <c r="HH188" s="9">
        <v>0</v>
      </c>
      <c r="HI188" s="9">
        <v>0</v>
      </c>
      <c r="HJ188" s="9">
        <v>0</v>
      </c>
      <c r="HK188" s="9">
        <v>0</v>
      </c>
      <c r="HL188" s="9">
        <v>0</v>
      </c>
      <c r="HM188" s="9">
        <v>0</v>
      </c>
      <c r="HN188" s="9">
        <v>0</v>
      </c>
      <c r="HO188" s="9">
        <v>0</v>
      </c>
      <c r="HP188" s="9">
        <v>0</v>
      </c>
      <c r="HQ188" s="9">
        <v>0</v>
      </c>
      <c r="HR188" s="9">
        <v>0</v>
      </c>
      <c r="HS188" s="9">
        <v>0</v>
      </c>
      <c r="HT188" s="9">
        <v>0</v>
      </c>
      <c r="HU188" s="9">
        <v>0</v>
      </c>
      <c r="HV188" s="9">
        <v>0</v>
      </c>
      <c r="HW188" s="9">
        <v>0</v>
      </c>
      <c r="HX188" s="9">
        <v>0</v>
      </c>
      <c r="HY188" s="9">
        <v>0</v>
      </c>
      <c r="HZ188" s="9">
        <v>0</v>
      </c>
      <c r="IA188" s="9">
        <v>0</v>
      </c>
      <c r="IB188" s="9">
        <v>0</v>
      </c>
      <c r="IC188" s="9">
        <v>0</v>
      </c>
      <c r="ID188" s="9">
        <v>0</v>
      </c>
      <c r="IE188" s="9">
        <v>0</v>
      </c>
      <c r="IF188" s="9">
        <v>0</v>
      </c>
      <c r="IG188" s="9">
        <v>0</v>
      </c>
      <c r="IH188" s="9">
        <v>0</v>
      </c>
      <c r="II188" s="9">
        <v>0</v>
      </c>
      <c r="IJ188" s="9">
        <v>0</v>
      </c>
      <c r="IK188" s="9">
        <v>0</v>
      </c>
      <c r="IL188" s="9">
        <v>0</v>
      </c>
      <c r="IM188" s="9">
        <v>0</v>
      </c>
      <c r="IN188" s="9">
        <v>0</v>
      </c>
      <c r="IO188" s="9">
        <v>0</v>
      </c>
      <c r="IP188" s="9">
        <v>0</v>
      </c>
      <c r="IQ188" s="9">
        <v>0</v>
      </c>
      <c r="IR188" s="9">
        <v>0</v>
      </c>
      <c r="IS188" s="9">
        <v>0</v>
      </c>
      <c r="IT188" s="9">
        <v>0</v>
      </c>
      <c r="IU188" s="9">
        <v>0</v>
      </c>
      <c r="IV188" s="9">
        <v>0</v>
      </c>
      <c r="IW188" s="9">
        <v>0</v>
      </c>
      <c r="IX188" s="9">
        <v>0</v>
      </c>
      <c r="IY188" s="9">
        <v>0</v>
      </c>
      <c r="IZ188" s="9">
        <v>0</v>
      </c>
      <c r="JA188" s="9">
        <v>0</v>
      </c>
      <c r="JB188" s="9">
        <v>0</v>
      </c>
      <c r="JC188" s="9">
        <v>0</v>
      </c>
      <c r="JD188" s="9">
        <v>0</v>
      </c>
      <c r="JE188" s="9">
        <v>0</v>
      </c>
      <c r="JF188" s="9">
        <v>0</v>
      </c>
      <c r="JG188" s="9">
        <v>0</v>
      </c>
      <c r="JH188" s="9">
        <v>0</v>
      </c>
      <c r="JI188" s="9">
        <v>0</v>
      </c>
      <c r="JJ188" s="9">
        <v>0</v>
      </c>
      <c r="JK188" s="9">
        <v>0</v>
      </c>
      <c r="JL188" s="9">
        <v>0</v>
      </c>
      <c r="JM188" s="9">
        <v>0</v>
      </c>
      <c r="JN188" s="9">
        <v>36832</v>
      </c>
      <c r="JO188" s="9">
        <v>0</v>
      </c>
      <c r="JP188" s="9">
        <v>0</v>
      </c>
      <c r="JQ188" s="9">
        <v>0</v>
      </c>
      <c r="JR188" s="9">
        <v>0</v>
      </c>
      <c r="JS188" s="9">
        <v>0</v>
      </c>
      <c r="JT188" s="9">
        <v>0</v>
      </c>
      <c r="JU188" s="9">
        <v>0</v>
      </c>
      <c r="JV188" s="9">
        <v>0</v>
      </c>
      <c r="JW188" s="9">
        <v>0</v>
      </c>
      <c r="JX188" s="9">
        <v>0</v>
      </c>
      <c r="JY188" s="9">
        <v>0</v>
      </c>
      <c r="JZ188" s="9">
        <v>0</v>
      </c>
      <c r="KA188" s="9">
        <v>0</v>
      </c>
      <c r="KB188" s="9">
        <v>0</v>
      </c>
      <c r="KC188" s="9">
        <v>0</v>
      </c>
      <c r="KD188" s="9">
        <v>0</v>
      </c>
      <c r="KE188" s="9">
        <v>0</v>
      </c>
      <c r="KF188" s="9">
        <v>0</v>
      </c>
      <c r="KG188" s="9">
        <v>0</v>
      </c>
      <c r="KH188" s="9">
        <v>0</v>
      </c>
      <c r="KI188" s="9">
        <v>0</v>
      </c>
    </row>
    <row r="189" spans="1:295" x14ac:dyDescent="0.25">
      <c r="A189" s="9">
        <v>236801</v>
      </c>
      <c r="B189" s="9">
        <v>36871</v>
      </c>
      <c r="C189" s="9">
        <v>35</v>
      </c>
      <c r="D189" s="9">
        <v>2023</v>
      </c>
      <c r="E189" s="9">
        <v>5392</v>
      </c>
      <c r="F189" s="9">
        <v>0</v>
      </c>
      <c r="G189" s="9">
        <v>0</v>
      </c>
      <c r="H189" s="9">
        <v>0</v>
      </c>
      <c r="I189" s="9">
        <v>0</v>
      </c>
      <c r="J189" s="9">
        <v>25.75</v>
      </c>
      <c r="K189" s="9">
        <v>0</v>
      </c>
      <c r="L189" s="9">
        <v>6547</v>
      </c>
      <c r="M189" s="9">
        <v>0</v>
      </c>
      <c r="N189" s="9">
        <v>0</v>
      </c>
      <c r="O189" s="9">
        <v>0</v>
      </c>
      <c r="P189" s="9">
        <v>55.305</v>
      </c>
      <c r="Q189" s="9">
        <v>0</v>
      </c>
      <c r="R189" s="9">
        <v>26929</v>
      </c>
      <c r="S189" s="9">
        <v>486.92200000000003</v>
      </c>
      <c r="T189" s="9">
        <v>0</v>
      </c>
      <c r="U189" s="9">
        <v>26929</v>
      </c>
      <c r="V189" s="9">
        <v>2.2749999999999999</v>
      </c>
      <c r="W189" s="9">
        <v>1489</v>
      </c>
      <c r="X189" s="9">
        <v>1489</v>
      </c>
      <c r="Y189" s="9">
        <v>0</v>
      </c>
      <c r="Z189" s="9">
        <v>0</v>
      </c>
      <c r="AA189" s="9">
        <v>1</v>
      </c>
      <c r="AB189" s="9">
        <v>1</v>
      </c>
      <c r="AC189" s="9">
        <v>0</v>
      </c>
      <c r="AD189" s="9" t="s">
        <v>314</v>
      </c>
      <c r="AE189" s="9">
        <v>0</v>
      </c>
      <c r="AF189" s="9">
        <v>0</v>
      </c>
      <c r="AG189" s="9">
        <v>0</v>
      </c>
      <c r="AH189" s="9">
        <v>0</v>
      </c>
      <c r="AI189" s="9">
        <v>0</v>
      </c>
      <c r="AJ189" s="9">
        <v>5104</v>
      </c>
      <c r="AK189" s="9" t="s">
        <v>651</v>
      </c>
      <c r="AL189" s="9" t="s">
        <v>82</v>
      </c>
      <c r="AM189" s="9">
        <v>0</v>
      </c>
      <c r="AN189" s="9">
        <v>0</v>
      </c>
      <c r="AO189" s="9">
        <v>0</v>
      </c>
      <c r="AP189" s="9">
        <v>0</v>
      </c>
      <c r="AQ189" s="9">
        <v>0</v>
      </c>
      <c r="AR189" s="9">
        <v>0</v>
      </c>
      <c r="AS189" s="9">
        <v>0</v>
      </c>
      <c r="AT189" s="9">
        <v>0</v>
      </c>
      <c r="AU189" s="9">
        <v>0</v>
      </c>
      <c r="AV189" s="9">
        <v>523255</v>
      </c>
      <c r="AW189" s="9">
        <v>526196</v>
      </c>
      <c r="AX189" s="9">
        <v>468687</v>
      </c>
      <c r="AY189" s="9">
        <v>1021956</v>
      </c>
      <c r="AZ189" s="9">
        <v>33315</v>
      </c>
      <c r="BA189" s="9">
        <v>91.167000000000002</v>
      </c>
      <c r="BB189" s="9">
        <v>0</v>
      </c>
      <c r="BC189" s="9">
        <v>0</v>
      </c>
      <c r="BD189" s="9">
        <v>0</v>
      </c>
      <c r="BE189" s="9">
        <v>0</v>
      </c>
      <c r="BF189" s="9">
        <v>407878</v>
      </c>
      <c r="BG189" s="9">
        <v>0</v>
      </c>
      <c r="BH189" s="9">
        <v>23.221</v>
      </c>
      <c r="BI189" s="9">
        <v>6386</v>
      </c>
      <c r="BJ189" s="9">
        <v>12</v>
      </c>
      <c r="BK189" s="9">
        <v>0</v>
      </c>
      <c r="BL189" s="9">
        <v>0</v>
      </c>
      <c r="BM189" s="9">
        <v>0</v>
      </c>
      <c r="BN189" s="9">
        <v>0</v>
      </c>
      <c r="BO189" s="9">
        <v>0</v>
      </c>
      <c r="BP189" s="9">
        <v>0</v>
      </c>
      <c r="BQ189" s="9">
        <v>5392</v>
      </c>
      <c r="BR189" s="9">
        <v>1</v>
      </c>
      <c r="BS189" s="9">
        <v>0</v>
      </c>
      <c r="BT189" s="9">
        <v>0</v>
      </c>
      <c r="BU189" s="9">
        <v>0</v>
      </c>
      <c r="BV189" s="9">
        <v>0</v>
      </c>
      <c r="BW189" s="9">
        <v>0</v>
      </c>
      <c r="BX189" s="9">
        <v>0</v>
      </c>
      <c r="BY189" s="9">
        <v>0</v>
      </c>
      <c r="BZ189" s="9">
        <v>0</v>
      </c>
      <c r="CA189" s="9">
        <v>0</v>
      </c>
      <c r="CB189" s="9">
        <v>0</v>
      </c>
      <c r="CC189" s="9">
        <v>0</v>
      </c>
      <c r="CD189" s="9">
        <v>0</v>
      </c>
      <c r="CE189" s="9">
        <v>0</v>
      </c>
      <c r="CF189" s="9">
        <v>0</v>
      </c>
      <c r="CG189" s="9">
        <v>0</v>
      </c>
      <c r="CH189" s="9">
        <v>51123</v>
      </c>
      <c r="CI189" s="9">
        <v>0</v>
      </c>
      <c r="CJ189" s="9">
        <v>4</v>
      </c>
      <c r="CK189" s="9">
        <v>0</v>
      </c>
      <c r="CL189" s="9">
        <v>0</v>
      </c>
      <c r="CM189" s="9">
        <v>0</v>
      </c>
      <c r="CN189" s="9">
        <v>0</v>
      </c>
      <c r="CO189" s="9">
        <v>0</v>
      </c>
      <c r="CP189" s="9">
        <v>0</v>
      </c>
      <c r="CQ189" s="9">
        <v>4</v>
      </c>
      <c r="CR189" s="9">
        <v>53.314</v>
      </c>
      <c r="CS189" s="9">
        <v>0</v>
      </c>
      <c r="CT189" s="9">
        <v>0</v>
      </c>
      <c r="CU189" s="9">
        <v>0</v>
      </c>
      <c r="CV189" s="9">
        <v>0</v>
      </c>
      <c r="CW189" s="9">
        <v>0</v>
      </c>
      <c r="CX189" s="9">
        <v>0</v>
      </c>
      <c r="CY189" s="9">
        <v>0</v>
      </c>
      <c r="CZ189" s="9">
        <v>0</v>
      </c>
      <c r="DA189" s="9">
        <v>1</v>
      </c>
      <c r="DB189" s="9">
        <v>0</v>
      </c>
      <c r="DC189" s="9">
        <v>0</v>
      </c>
      <c r="DD189" s="9">
        <v>0</v>
      </c>
      <c r="DE189" s="9">
        <v>67002</v>
      </c>
      <c r="DF189" s="9">
        <v>67002</v>
      </c>
      <c r="DG189" s="9">
        <v>51.17</v>
      </c>
      <c r="DH189" s="9">
        <v>0</v>
      </c>
      <c r="DI189" s="9">
        <v>0</v>
      </c>
      <c r="DJ189" s="9">
        <v>0</v>
      </c>
      <c r="DK189" s="9">
        <v>5392</v>
      </c>
      <c r="DL189" s="9">
        <v>0</v>
      </c>
      <c r="DM189" s="9">
        <v>182766</v>
      </c>
      <c r="DN189" s="9">
        <v>0</v>
      </c>
      <c r="DO189" s="9">
        <v>0</v>
      </c>
      <c r="DP189" s="9">
        <v>0</v>
      </c>
      <c r="DQ189" s="9">
        <v>0</v>
      </c>
      <c r="DR189" s="9">
        <v>0</v>
      </c>
      <c r="DS189" s="9">
        <v>0</v>
      </c>
      <c r="DT189" s="9">
        <v>0</v>
      </c>
      <c r="DU189" s="9">
        <v>0</v>
      </c>
      <c r="DV189" s="9">
        <v>0</v>
      </c>
      <c r="DW189" s="9">
        <v>0</v>
      </c>
      <c r="DX189" s="9">
        <v>0</v>
      </c>
      <c r="DY189" s="9">
        <v>0</v>
      </c>
      <c r="DZ189" s="9">
        <v>0</v>
      </c>
      <c r="EA189" s="9">
        <v>0</v>
      </c>
      <c r="EB189" s="9">
        <v>0</v>
      </c>
      <c r="EC189" s="9">
        <v>0</v>
      </c>
      <c r="ED189" s="9">
        <v>0</v>
      </c>
      <c r="EE189" s="9">
        <v>0</v>
      </c>
      <c r="EF189" s="9">
        <v>0</v>
      </c>
      <c r="EG189" s="9">
        <v>0</v>
      </c>
      <c r="EH189" s="9">
        <v>0</v>
      </c>
      <c r="EI189" s="9">
        <v>182766</v>
      </c>
      <c r="EJ189" s="9">
        <v>6.9790000000000001</v>
      </c>
      <c r="EK189" s="9">
        <v>0</v>
      </c>
      <c r="EL189" s="9">
        <v>0</v>
      </c>
      <c r="EM189" s="9">
        <v>0</v>
      </c>
      <c r="EN189" s="9">
        <v>0</v>
      </c>
      <c r="EO189" s="9">
        <v>0</v>
      </c>
      <c r="EP189" s="9">
        <v>0</v>
      </c>
      <c r="EQ189" s="9">
        <v>6.9790000000000001</v>
      </c>
      <c r="ER189" s="9">
        <v>0</v>
      </c>
      <c r="ES189" s="9">
        <v>0</v>
      </c>
      <c r="ET189" s="9">
        <v>46584</v>
      </c>
      <c r="EU189" s="9">
        <v>33315</v>
      </c>
      <c r="EV189" s="9">
        <v>0</v>
      </c>
      <c r="EW189" s="9">
        <v>0</v>
      </c>
      <c r="EX189" s="9">
        <v>0</v>
      </c>
      <c r="EY189" s="9">
        <v>0</v>
      </c>
      <c r="EZ189" s="9">
        <v>392152</v>
      </c>
      <c r="FA189" s="9">
        <v>0</v>
      </c>
      <c r="FB189" s="9">
        <v>425467</v>
      </c>
      <c r="FC189" s="9">
        <v>0.97326799999999991</v>
      </c>
      <c r="FD189" s="9">
        <v>0</v>
      </c>
      <c r="FE189" s="9">
        <v>63098</v>
      </c>
      <c r="FF189" s="9">
        <v>13437</v>
      </c>
      <c r="FG189" s="9">
        <v>5.8088000000000001E-2</v>
      </c>
      <c r="FH189" s="9">
        <v>5.2622999999999996E-2</v>
      </c>
      <c r="FI189" s="9">
        <v>0</v>
      </c>
      <c r="FJ189" s="9">
        <v>0</v>
      </c>
      <c r="FK189" s="9">
        <v>79.918000000000006</v>
      </c>
      <c r="FL189" s="9">
        <v>553125</v>
      </c>
      <c r="FM189" s="9">
        <v>0</v>
      </c>
      <c r="FN189" s="9">
        <v>0</v>
      </c>
      <c r="FO189" s="9">
        <v>0</v>
      </c>
      <c r="FP189" s="9">
        <v>0</v>
      </c>
      <c r="FQ189" s="9">
        <v>0</v>
      </c>
      <c r="FR189" s="9">
        <v>0</v>
      </c>
      <c r="FS189" s="9">
        <v>0</v>
      </c>
      <c r="FT189" s="9">
        <v>0</v>
      </c>
      <c r="FU189" s="9">
        <v>0</v>
      </c>
      <c r="FV189" s="9">
        <v>0</v>
      </c>
      <c r="FW189" s="9">
        <v>0</v>
      </c>
      <c r="FX189" s="9">
        <v>0</v>
      </c>
      <c r="FY189" s="9">
        <v>0</v>
      </c>
      <c r="FZ189" s="9">
        <v>0</v>
      </c>
      <c r="GA189" s="9">
        <v>0</v>
      </c>
      <c r="GB189" s="9">
        <v>167824</v>
      </c>
      <c r="GC189" s="9">
        <v>167824</v>
      </c>
      <c r="GD189" s="9">
        <v>18.988</v>
      </c>
      <c r="GE189" s="9">
        <v>0</v>
      </c>
      <c r="GF189" s="9">
        <v>0</v>
      </c>
      <c r="GG189" s="9">
        <v>0</v>
      </c>
      <c r="GH189" s="9">
        <v>0</v>
      </c>
      <c r="GI189" s="9">
        <v>0</v>
      </c>
      <c r="GJ189" s="9">
        <v>0</v>
      </c>
      <c r="GK189" s="9">
        <v>5071</v>
      </c>
      <c r="GL189" s="9">
        <v>9226</v>
      </c>
      <c r="GM189" s="9">
        <v>0</v>
      </c>
      <c r="GN189" s="9">
        <v>0</v>
      </c>
      <c r="GO189" s="9">
        <v>0</v>
      </c>
      <c r="GP189" s="9">
        <v>502002</v>
      </c>
      <c r="GQ189" s="9">
        <v>502002</v>
      </c>
      <c r="GR189" s="9">
        <v>0</v>
      </c>
      <c r="GS189" s="9">
        <v>0</v>
      </c>
      <c r="GT189" s="9">
        <v>0</v>
      </c>
      <c r="GU189" s="9">
        <v>0</v>
      </c>
      <c r="GV189" s="9">
        <v>0</v>
      </c>
      <c r="GW189" s="9">
        <v>0</v>
      </c>
      <c r="GX189" s="9">
        <v>0</v>
      </c>
      <c r="GY189" s="9">
        <v>0</v>
      </c>
      <c r="GZ189" s="9">
        <v>0</v>
      </c>
      <c r="HA189" s="9">
        <v>0</v>
      </c>
      <c r="HB189" s="9">
        <v>300501363</v>
      </c>
      <c r="HC189" s="9">
        <v>4.4742999999999998E-2</v>
      </c>
      <c r="HD189" s="9">
        <v>4539</v>
      </c>
      <c r="HE189" s="9">
        <v>0</v>
      </c>
      <c r="HF189" s="9">
        <v>0</v>
      </c>
      <c r="HG189" s="9">
        <v>0</v>
      </c>
      <c r="HH189" s="9">
        <v>0</v>
      </c>
      <c r="HI189" s="9">
        <v>0</v>
      </c>
      <c r="HJ189" s="9">
        <v>0</v>
      </c>
      <c r="HK189" s="9">
        <v>0</v>
      </c>
      <c r="HL189" s="9">
        <v>0</v>
      </c>
      <c r="HM189" s="9">
        <v>0</v>
      </c>
      <c r="HN189" s="9">
        <v>0</v>
      </c>
      <c r="HO189" s="9">
        <v>0</v>
      </c>
      <c r="HP189" s="9">
        <v>0</v>
      </c>
      <c r="HQ189" s="9">
        <v>0</v>
      </c>
      <c r="HR189" s="9">
        <v>0</v>
      </c>
      <c r="HS189" s="9">
        <v>0</v>
      </c>
      <c r="HT189" s="9">
        <v>0</v>
      </c>
      <c r="HU189" s="9">
        <v>0</v>
      </c>
      <c r="HV189" s="9">
        <v>0</v>
      </c>
      <c r="HW189" s="9">
        <v>0</v>
      </c>
      <c r="HX189" s="9">
        <v>0</v>
      </c>
      <c r="HY189" s="9">
        <v>0</v>
      </c>
      <c r="HZ189" s="9">
        <v>0</v>
      </c>
      <c r="IA189" s="9">
        <v>0</v>
      </c>
      <c r="IB189" s="9">
        <v>0</v>
      </c>
      <c r="IC189" s="9">
        <v>0</v>
      </c>
      <c r="ID189" s="9">
        <v>0</v>
      </c>
      <c r="IE189" s="9">
        <v>0</v>
      </c>
      <c r="IF189" s="9">
        <v>0</v>
      </c>
      <c r="IG189" s="9">
        <v>0</v>
      </c>
      <c r="IH189" s="9">
        <v>0</v>
      </c>
      <c r="II189" s="9">
        <v>0</v>
      </c>
      <c r="IJ189" s="9">
        <v>0</v>
      </c>
      <c r="IK189" s="9">
        <v>0</v>
      </c>
      <c r="IL189" s="9">
        <v>0</v>
      </c>
      <c r="IM189" s="9">
        <v>0</v>
      </c>
      <c r="IN189" s="9">
        <v>0</v>
      </c>
      <c r="IO189" s="9">
        <v>0</v>
      </c>
      <c r="IP189" s="9">
        <v>0</v>
      </c>
      <c r="IQ189" s="9">
        <v>0</v>
      </c>
      <c r="IR189" s="9">
        <v>0</v>
      </c>
      <c r="IS189" s="9">
        <v>0</v>
      </c>
      <c r="IT189" s="9">
        <v>0</v>
      </c>
      <c r="IU189" s="9">
        <v>0</v>
      </c>
      <c r="IV189" s="9">
        <v>0</v>
      </c>
      <c r="IW189" s="9">
        <v>0</v>
      </c>
      <c r="IX189" s="9">
        <v>0</v>
      </c>
      <c r="IY189" s="9">
        <v>0</v>
      </c>
      <c r="IZ189" s="9">
        <v>0</v>
      </c>
      <c r="JA189" s="9">
        <v>0</v>
      </c>
      <c r="JB189" s="9">
        <v>0</v>
      </c>
      <c r="JC189" s="9">
        <v>0</v>
      </c>
      <c r="JD189" s="9">
        <v>0</v>
      </c>
      <c r="JE189" s="9">
        <v>0</v>
      </c>
      <c r="JF189" s="9">
        <v>0</v>
      </c>
      <c r="JG189" s="9">
        <v>0</v>
      </c>
      <c r="JH189" s="9">
        <v>0</v>
      </c>
      <c r="JI189" s="9">
        <v>0</v>
      </c>
      <c r="JJ189" s="9">
        <v>0</v>
      </c>
      <c r="JK189" s="9">
        <v>0</v>
      </c>
      <c r="JL189" s="9">
        <v>0</v>
      </c>
      <c r="JM189" s="9">
        <v>0</v>
      </c>
      <c r="JN189" s="9">
        <v>36832</v>
      </c>
      <c r="JO189" s="9">
        <v>0</v>
      </c>
      <c r="JP189" s="9">
        <v>0</v>
      </c>
      <c r="JQ189" s="9">
        <v>0</v>
      </c>
      <c r="JR189" s="9">
        <v>0</v>
      </c>
      <c r="JS189" s="9">
        <v>0</v>
      </c>
      <c r="JT189" s="9">
        <v>0</v>
      </c>
      <c r="JU189" s="9">
        <v>0</v>
      </c>
      <c r="JV189" s="9">
        <v>0</v>
      </c>
      <c r="JW189" s="9">
        <v>0</v>
      </c>
      <c r="JX189" s="9">
        <v>0</v>
      </c>
      <c r="JY189" s="9">
        <v>0</v>
      </c>
      <c r="JZ189" s="9">
        <v>0</v>
      </c>
      <c r="KA189" s="9">
        <v>0</v>
      </c>
      <c r="KB189" s="9">
        <v>0</v>
      </c>
      <c r="KC189" s="9">
        <v>0</v>
      </c>
      <c r="KD189" s="9">
        <v>0</v>
      </c>
      <c r="KE189" s="9">
        <v>0</v>
      </c>
      <c r="KF189" s="9">
        <v>0</v>
      </c>
      <c r="KG189" s="9">
        <v>0</v>
      </c>
      <c r="KH189" s="9">
        <v>0</v>
      </c>
      <c r="KI189" s="9">
        <v>0</v>
      </c>
    </row>
    <row r="190" spans="1:295" x14ac:dyDescent="0.25">
      <c r="A190" s="9">
        <v>236802</v>
      </c>
      <c r="B190" s="9">
        <v>36871</v>
      </c>
      <c r="C190" s="9">
        <v>35</v>
      </c>
      <c r="D190" s="9">
        <v>2023</v>
      </c>
      <c r="E190" s="9">
        <v>5392</v>
      </c>
      <c r="F190" s="9">
        <v>0</v>
      </c>
      <c r="G190" s="9">
        <v>0</v>
      </c>
      <c r="H190" s="9">
        <v>515.38400000000001</v>
      </c>
      <c r="I190" s="9">
        <v>515.38400000000001</v>
      </c>
      <c r="J190" s="9">
        <v>517.22199999999998</v>
      </c>
      <c r="K190" s="9">
        <v>0</v>
      </c>
      <c r="L190" s="9">
        <v>6547</v>
      </c>
      <c r="M190" s="9">
        <v>0</v>
      </c>
      <c r="N190" s="9">
        <v>0</v>
      </c>
      <c r="O190" s="9">
        <v>0</v>
      </c>
      <c r="P190" s="9">
        <v>335.71500000000003</v>
      </c>
      <c r="Q190" s="9">
        <v>0</v>
      </c>
      <c r="R190" s="9">
        <v>163467</v>
      </c>
      <c r="S190" s="9">
        <v>486.92200000000003</v>
      </c>
      <c r="T190" s="9">
        <v>0</v>
      </c>
      <c r="U190" s="9">
        <v>163467</v>
      </c>
      <c r="V190" s="9">
        <v>18.760999999999999</v>
      </c>
      <c r="W190" s="9">
        <v>12283</v>
      </c>
      <c r="X190" s="9">
        <v>12283</v>
      </c>
      <c r="Y190" s="9">
        <v>0</v>
      </c>
      <c r="Z190" s="9">
        <v>0</v>
      </c>
      <c r="AA190" s="9">
        <v>1</v>
      </c>
      <c r="AB190" s="9">
        <v>1</v>
      </c>
      <c r="AC190" s="9">
        <v>0</v>
      </c>
      <c r="AD190" s="9" t="s">
        <v>314</v>
      </c>
      <c r="AE190" s="9">
        <v>0</v>
      </c>
      <c r="AF190" s="9">
        <v>0</v>
      </c>
      <c r="AG190" s="9">
        <v>0</v>
      </c>
      <c r="AH190" s="9">
        <v>0</v>
      </c>
      <c r="AI190" s="9">
        <v>0</v>
      </c>
      <c r="AJ190" s="9">
        <v>5104</v>
      </c>
      <c r="AK190" s="9" t="s">
        <v>651</v>
      </c>
      <c r="AL190" s="9" t="s">
        <v>385</v>
      </c>
      <c r="AM190" s="9">
        <v>0</v>
      </c>
      <c r="AN190" s="9">
        <v>0</v>
      </c>
      <c r="AO190" s="9">
        <v>0</v>
      </c>
      <c r="AP190" s="9">
        <v>0</v>
      </c>
      <c r="AQ190" s="9">
        <v>0</v>
      </c>
      <c r="AR190" s="9">
        <v>0</v>
      </c>
      <c r="AS190" s="9">
        <v>0</v>
      </c>
      <c r="AT190" s="9">
        <v>0</v>
      </c>
      <c r="AU190" s="9">
        <v>0</v>
      </c>
      <c r="AV190" s="9">
        <v>-58</v>
      </c>
      <c r="AW190" s="9">
        <v>4358503</v>
      </c>
      <c r="AX190" s="9">
        <v>4267323</v>
      </c>
      <c r="AY190" s="9">
        <v>4593173</v>
      </c>
      <c r="AZ190" s="9">
        <v>163467</v>
      </c>
      <c r="BA190" s="9">
        <v>0</v>
      </c>
      <c r="BB190" s="9">
        <v>20318</v>
      </c>
      <c r="BC190" s="9">
        <v>20318</v>
      </c>
      <c r="BD190" s="9">
        <v>25.861000000000001</v>
      </c>
      <c r="BE190" s="9">
        <v>0</v>
      </c>
      <c r="BF190" s="9">
        <v>3646422</v>
      </c>
      <c r="BG190" s="9">
        <v>0</v>
      </c>
      <c r="BH190" s="9">
        <v>0</v>
      </c>
      <c r="BI190" s="9">
        <v>0</v>
      </c>
      <c r="BJ190" s="9">
        <v>12</v>
      </c>
      <c r="BK190" s="9">
        <v>0</v>
      </c>
      <c r="BL190" s="9">
        <v>0</v>
      </c>
      <c r="BM190" s="9">
        <v>0</v>
      </c>
      <c r="BN190" s="9">
        <v>0</v>
      </c>
      <c r="BO190" s="9">
        <v>0</v>
      </c>
      <c r="BP190" s="9">
        <v>0</v>
      </c>
      <c r="BQ190" s="9">
        <v>5392</v>
      </c>
      <c r="BR190" s="9">
        <v>1</v>
      </c>
      <c r="BS190" s="9">
        <v>0</v>
      </c>
      <c r="BT190" s="9">
        <v>0</v>
      </c>
      <c r="BU190" s="9">
        <v>0</v>
      </c>
      <c r="BV190" s="9">
        <v>0</v>
      </c>
      <c r="BW190" s="9">
        <v>0</v>
      </c>
      <c r="BX190" s="9">
        <v>0</v>
      </c>
      <c r="BY190" s="9">
        <v>0</v>
      </c>
      <c r="BZ190" s="9">
        <v>0</v>
      </c>
      <c r="CA190" s="9">
        <v>0</v>
      </c>
      <c r="CB190" s="9">
        <v>0</v>
      </c>
      <c r="CC190" s="9">
        <v>0</v>
      </c>
      <c r="CD190" s="9">
        <v>0</v>
      </c>
      <c r="CE190" s="9">
        <v>0</v>
      </c>
      <c r="CF190" s="9">
        <v>0</v>
      </c>
      <c r="CG190" s="9">
        <v>0</v>
      </c>
      <c r="CH190" s="9">
        <v>91180</v>
      </c>
      <c r="CI190" s="9">
        <v>0</v>
      </c>
      <c r="CJ190" s="9">
        <v>4</v>
      </c>
      <c r="CK190" s="9">
        <v>0</v>
      </c>
      <c r="CL190" s="9">
        <v>0</v>
      </c>
      <c r="CM190" s="9">
        <v>0</v>
      </c>
      <c r="CN190" s="9">
        <v>0</v>
      </c>
      <c r="CO190" s="9">
        <v>0</v>
      </c>
      <c r="CP190" s="9">
        <v>0</v>
      </c>
      <c r="CQ190" s="9">
        <v>0</v>
      </c>
      <c r="CR190" s="9">
        <v>335.71500000000003</v>
      </c>
      <c r="CS190" s="9">
        <v>0</v>
      </c>
      <c r="CT190" s="9">
        <v>0</v>
      </c>
      <c r="CU190" s="9">
        <v>0</v>
      </c>
      <c r="CV190" s="9">
        <v>0</v>
      </c>
      <c r="CW190" s="9">
        <v>0</v>
      </c>
      <c r="CX190" s="9">
        <v>0</v>
      </c>
      <c r="CY190" s="9">
        <v>0</v>
      </c>
      <c r="CZ190" s="9">
        <v>0</v>
      </c>
      <c r="DA190" s="9">
        <v>1</v>
      </c>
      <c r="DB190" s="9">
        <v>3374219</v>
      </c>
      <c r="DC190" s="9">
        <v>0</v>
      </c>
      <c r="DD190" s="9">
        <v>0</v>
      </c>
      <c r="DE190" s="9">
        <v>103875</v>
      </c>
      <c r="DF190" s="9">
        <v>103875</v>
      </c>
      <c r="DG190" s="9">
        <v>79.33</v>
      </c>
      <c r="DH190" s="9">
        <v>0</v>
      </c>
      <c r="DI190" s="9">
        <v>0</v>
      </c>
      <c r="DJ190" s="9">
        <v>0</v>
      </c>
      <c r="DK190" s="9">
        <v>5392</v>
      </c>
      <c r="DL190" s="9">
        <v>0</v>
      </c>
      <c r="DM190" s="9">
        <v>235881</v>
      </c>
      <c r="DN190" s="9">
        <v>0</v>
      </c>
      <c r="DO190" s="9">
        <v>0</v>
      </c>
      <c r="DP190" s="9">
        <v>0</v>
      </c>
      <c r="DQ190" s="9">
        <v>0</v>
      </c>
      <c r="DR190" s="9">
        <v>0</v>
      </c>
      <c r="DS190" s="9">
        <v>0</v>
      </c>
      <c r="DT190" s="9">
        <v>0</v>
      </c>
      <c r="DU190" s="9">
        <v>0</v>
      </c>
      <c r="DV190" s="9">
        <v>0</v>
      </c>
      <c r="DW190" s="9">
        <v>0</v>
      </c>
      <c r="DX190" s="9">
        <v>0</v>
      </c>
      <c r="DY190" s="9">
        <v>0</v>
      </c>
      <c r="DZ190" s="9">
        <v>0</v>
      </c>
      <c r="EA190" s="9">
        <v>0.311</v>
      </c>
      <c r="EB190" s="9">
        <v>0</v>
      </c>
      <c r="EC190" s="9">
        <v>24.399000000000001</v>
      </c>
      <c r="ED190" s="9">
        <v>175714</v>
      </c>
      <c r="EE190" s="9">
        <v>0</v>
      </c>
      <c r="EF190" s="9">
        <v>0</v>
      </c>
      <c r="EG190" s="9">
        <v>0</v>
      </c>
      <c r="EH190" s="9">
        <v>60167</v>
      </c>
      <c r="EI190" s="9">
        <v>0</v>
      </c>
      <c r="EJ190" s="9">
        <v>0</v>
      </c>
      <c r="EK190" s="9">
        <v>0</v>
      </c>
      <c r="EL190" s="9">
        <v>0</v>
      </c>
      <c r="EM190" s="9">
        <v>0</v>
      </c>
      <c r="EN190" s="9">
        <v>1.5270000000000001</v>
      </c>
      <c r="EO190" s="9">
        <v>0</v>
      </c>
      <c r="EP190" s="9">
        <v>0</v>
      </c>
      <c r="EQ190" s="9">
        <v>1.8380000000000001</v>
      </c>
      <c r="ER190" s="9">
        <v>0</v>
      </c>
      <c r="ES190" s="9">
        <v>9.19</v>
      </c>
      <c r="ET190" s="9">
        <v>0</v>
      </c>
      <c r="EU190" s="9">
        <v>163467</v>
      </c>
      <c r="EV190" s="9">
        <v>0</v>
      </c>
      <c r="EW190" s="9">
        <v>0</v>
      </c>
      <c r="EX190" s="9">
        <v>0</v>
      </c>
      <c r="EY190" s="9">
        <v>0</v>
      </c>
      <c r="EZ190" s="9">
        <v>3583109</v>
      </c>
      <c r="FA190" s="9">
        <v>0</v>
      </c>
      <c r="FB190" s="9">
        <v>3746576</v>
      </c>
      <c r="FC190" s="9">
        <v>0.97326799999999991</v>
      </c>
      <c r="FD190" s="9">
        <v>0</v>
      </c>
      <c r="FE190" s="9">
        <v>564091</v>
      </c>
      <c r="FF190" s="9">
        <v>120123</v>
      </c>
      <c r="FG190" s="9">
        <v>5.8088000000000001E-2</v>
      </c>
      <c r="FH190" s="9">
        <v>5.2622999999999996E-2</v>
      </c>
      <c r="FI190" s="9">
        <v>0</v>
      </c>
      <c r="FJ190" s="9">
        <v>0</v>
      </c>
      <c r="FK190" s="9">
        <v>714.46300000000008</v>
      </c>
      <c r="FL190" s="9">
        <v>4521970</v>
      </c>
      <c r="FM190" s="9">
        <v>0</v>
      </c>
      <c r="FN190" s="9">
        <v>0</v>
      </c>
      <c r="FO190" s="9">
        <v>0</v>
      </c>
      <c r="FP190" s="9">
        <v>0</v>
      </c>
      <c r="FQ190" s="9">
        <v>0</v>
      </c>
      <c r="FR190" s="9">
        <v>0</v>
      </c>
      <c r="FS190" s="9">
        <v>0</v>
      </c>
      <c r="FT190" s="9">
        <v>0</v>
      </c>
      <c r="FU190" s="9">
        <v>0</v>
      </c>
      <c r="FV190" s="9">
        <v>0</v>
      </c>
      <c r="FW190" s="9">
        <v>0</v>
      </c>
      <c r="FX190" s="9">
        <v>0</v>
      </c>
      <c r="FY190" s="9">
        <v>0</v>
      </c>
      <c r="FZ190" s="9">
        <v>0</v>
      </c>
      <c r="GA190" s="9">
        <v>0</v>
      </c>
      <c r="GB190" s="9">
        <v>0</v>
      </c>
      <c r="GC190" s="9">
        <v>0</v>
      </c>
      <c r="GD190" s="9">
        <v>0</v>
      </c>
      <c r="GE190" s="9">
        <v>0</v>
      </c>
      <c r="GF190" s="9">
        <v>0</v>
      </c>
      <c r="GG190" s="9">
        <v>0</v>
      </c>
      <c r="GH190" s="9">
        <v>0</v>
      </c>
      <c r="GI190" s="9">
        <v>0</v>
      </c>
      <c r="GJ190" s="9">
        <v>0</v>
      </c>
      <c r="GK190" s="9">
        <v>0</v>
      </c>
      <c r="GL190" s="9">
        <v>0</v>
      </c>
      <c r="GM190" s="9">
        <v>0</v>
      </c>
      <c r="GN190" s="9">
        <v>0</v>
      </c>
      <c r="GO190" s="9">
        <v>0</v>
      </c>
      <c r="GP190" s="9">
        <v>4430790</v>
      </c>
      <c r="GQ190" s="9">
        <v>4430790</v>
      </c>
      <c r="GR190" s="9">
        <v>0</v>
      </c>
      <c r="GS190" s="9">
        <v>0</v>
      </c>
      <c r="GT190" s="9">
        <v>0</v>
      </c>
      <c r="GU190" s="9">
        <v>0</v>
      </c>
      <c r="GV190" s="9">
        <v>0</v>
      </c>
      <c r="GW190" s="9">
        <v>0</v>
      </c>
      <c r="GX190" s="9">
        <v>0</v>
      </c>
      <c r="GY190" s="9">
        <v>0</v>
      </c>
      <c r="GZ190" s="9">
        <v>0</v>
      </c>
      <c r="HA190" s="9">
        <v>0</v>
      </c>
      <c r="HB190" s="9">
        <v>300501363</v>
      </c>
      <c r="HC190" s="9">
        <v>4.4742999999999998E-2</v>
      </c>
      <c r="HD190" s="9">
        <v>91180</v>
      </c>
      <c r="HE190" s="9">
        <v>0</v>
      </c>
      <c r="HF190" s="9">
        <v>0</v>
      </c>
      <c r="HG190" s="9">
        <v>0</v>
      </c>
      <c r="HH190" s="9">
        <v>0</v>
      </c>
      <c r="HI190" s="9">
        <v>0</v>
      </c>
      <c r="HJ190" s="9">
        <v>0</v>
      </c>
      <c r="HK190" s="9">
        <v>0</v>
      </c>
      <c r="HL190" s="9">
        <v>0</v>
      </c>
      <c r="HM190" s="9">
        <v>0</v>
      </c>
      <c r="HN190" s="9">
        <v>0</v>
      </c>
      <c r="HO190" s="9">
        <v>0</v>
      </c>
      <c r="HP190" s="9">
        <v>0</v>
      </c>
      <c r="HQ190" s="9">
        <v>0</v>
      </c>
      <c r="HR190" s="9">
        <v>0</v>
      </c>
      <c r="HS190" s="9">
        <v>0</v>
      </c>
      <c r="HT190" s="9">
        <v>0</v>
      </c>
      <c r="HU190" s="9">
        <v>0</v>
      </c>
      <c r="HV190" s="9">
        <v>0</v>
      </c>
      <c r="HW190" s="9">
        <v>0</v>
      </c>
      <c r="HX190" s="9">
        <v>0</v>
      </c>
      <c r="HY190" s="9">
        <v>0</v>
      </c>
      <c r="HZ190" s="9">
        <v>0</v>
      </c>
      <c r="IA190" s="9">
        <v>0</v>
      </c>
      <c r="IB190" s="9">
        <v>0</v>
      </c>
      <c r="IC190" s="9">
        <v>0</v>
      </c>
      <c r="ID190" s="9">
        <v>0</v>
      </c>
      <c r="IE190" s="9">
        <v>0</v>
      </c>
      <c r="IF190" s="9">
        <v>0</v>
      </c>
      <c r="IG190" s="9">
        <v>0</v>
      </c>
      <c r="IH190" s="9">
        <v>0</v>
      </c>
      <c r="II190" s="9">
        <v>0</v>
      </c>
      <c r="IJ190" s="9">
        <v>0</v>
      </c>
      <c r="IK190" s="9">
        <v>0</v>
      </c>
      <c r="IL190" s="9">
        <v>0</v>
      </c>
      <c r="IM190" s="9">
        <v>0</v>
      </c>
      <c r="IN190" s="9">
        <v>0</v>
      </c>
      <c r="IO190" s="9">
        <v>0</v>
      </c>
      <c r="IP190" s="9">
        <v>0</v>
      </c>
      <c r="IQ190" s="9">
        <v>0</v>
      </c>
      <c r="IR190" s="9">
        <v>0</v>
      </c>
      <c r="IS190" s="9">
        <v>0</v>
      </c>
      <c r="IT190" s="9">
        <v>0</v>
      </c>
      <c r="IU190" s="9">
        <v>0</v>
      </c>
      <c r="IV190" s="9">
        <v>0</v>
      </c>
      <c r="IW190" s="9">
        <v>0</v>
      </c>
      <c r="IX190" s="9">
        <v>0</v>
      </c>
      <c r="IY190" s="9">
        <v>0</v>
      </c>
      <c r="IZ190" s="9">
        <v>0</v>
      </c>
      <c r="JA190" s="9">
        <v>0</v>
      </c>
      <c r="JB190" s="9">
        <v>0</v>
      </c>
      <c r="JC190" s="9">
        <v>0</v>
      </c>
      <c r="JD190" s="9">
        <v>0</v>
      </c>
      <c r="JE190" s="9">
        <v>0</v>
      </c>
      <c r="JF190" s="9">
        <v>0</v>
      </c>
      <c r="JG190" s="9">
        <v>0</v>
      </c>
      <c r="JH190" s="9">
        <v>0</v>
      </c>
      <c r="JI190" s="9">
        <v>0</v>
      </c>
      <c r="JJ190" s="9">
        <v>0</v>
      </c>
      <c r="JK190" s="9">
        <v>0</v>
      </c>
      <c r="JL190" s="9">
        <v>0</v>
      </c>
      <c r="JM190" s="9">
        <v>0</v>
      </c>
      <c r="JN190" s="9">
        <v>36832</v>
      </c>
      <c r="JO190" s="9">
        <v>0</v>
      </c>
      <c r="JP190" s="9">
        <v>0</v>
      </c>
      <c r="JQ190" s="9">
        <v>0</v>
      </c>
      <c r="JR190" s="9">
        <v>0</v>
      </c>
      <c r="JS190" s="9">
        <v>0</v>
      </c>
      <c r="JT190" s="9">
        <v>0</v>
      </c>
      <c r="JU190" s="9">
        <v>0</v>
      </c>
      <c r="JV190" s="9">
        <v>0</v>
      </c>
      <c r="JW190" s="9">
        <v>0</v>
      </c>
      <c r="JX190" s="9">
        <v>0</v>
      </c>
      <c r="JY190" s="9">
        <v>0</v>
      </c>
      <c r="JZ190" s="9">
        <v>0</v>
      </c>
      <c r="KA190" s="9">
        <v>0</v>
      </c>
      <c r="KB190" s="9">
        <v>0</v>
      </c>
      <c r="KC190" s="9">
        <v>0</v>
      </c>
      <c r="KD190" s="9">
        <v>0</v>
      </c>
      <c r="KE190" s="9">
        <v>0</v>
      </c>
      <c r="KF190" s="9">
        <v>0</v>
      </c>
      <c r="KG190" s="9">
        <v>0</v>
      </c>
      <c r="KH190" s="9">
        <v>0</v>
      </c>
      <c r="KI190" s="9">
        <v>0</v>
      </c>
    </row>
    <row r="191" spans="1:295" ht="13" x14ac:dyDescent="0.3">
      <c r="A191" s="9">
        <v>240801</v>
      </c>
      <c r="B191" s="9">
        <v>36871</v>
      </c>
      <c r="C191" s="9">
        <v>35</v>
      </c>
      <c r="D191" s="9">
        <v>2023</v>
      </c>
      <c r="E191" s="9">
        <v>5392</v>
      </c>
      <c r="F191" s="9">
        <v>0</v>
      </c>
      <c r="G191" s="9">
        <v>0</v>
      </c>
      <c r="H191" s="9">
        <v>185.69500000000002</v>
      </c>
      <c r="I191" s="9">
        <v>185.69500000000002</v>
      </c>
      <c r="J191" s="9">
        <v>202.024</v>
      </c>
      <c r="K191" s="9">
        <v>0</v>
      </c>
      <c r="L191" s="9">
        <v>6547</v>
      </c>
      <c r="M191" s="9">
        <v>0</v>
      </c>
      <c r="N191" s="9">
        <v>0</v>
      </c>
      <c r="O191" s="9">
        <v>0</v>
      </c>
      <c r="P191" s="9">
        <v>204.86600000000001</v>
      </c>
      <c r="Q191" s="9">
        <v>0</v>
      </c>
      <c r="R191" s="10">
        <v>99754</v>
      </c>
      <c r="S191" s="9">
        <v>486.92200000000003</v>
      </c>
      <c r="T191" s="9">
        <v>0</v>
      </c>
      <c r="U191" s="10">
        <v>99754</v>
      </c>
      <c r="V191" s="10">
        <v>110.733</v>
      </c>
      <c r="W191" s="10">
        <v>72497</v>
      </c>
      <c r="X191" s="10">
        <v>72497</v>
      </c>
      <c r="Y191" s="9">
        <v>0</v>
      </c>
      <c r="Z191" s="9">
        <v>0</v>
      </c>
      <c r="AA191" s="9">
        <v>1</v>
      </c>
      <c r="AB191" s="9">
        <v>1</v>
      </c>
      <c r="AC191" s="9">
        <v>0</v>
      </c>
      <c r="AD191" s="9" t="s">
        <v>314</v>
      </c>
      <c r="AE191" s="9">
        <v>0</v>
      </c>
      <c r="AF191" s="9">
        <v>0</v>
      </c>
      <c r="AG191" s="9">
        <v>0</v>
      </c>
      <c r="AH191" s="9">
        <v>0</v>
      </c>
      <c r="AI191" s="9">
        <v>0</v>
      </c>
      <c r="AJ191" s="9">
        <v>5104</v>
      </c>
      <c r="AK191" s="9" t="s">
        <v>651</v>
      </c>
      <c r="AL191" s="9" t="s">
        <v>464</v>
      </c>
      <c r="AM191" s="9">
        <v>0</v>
      </c>
      <c r="AN191" s="9">
        <v>0</v>
      </c>
      <c r="AO191" s="9">
        <v>0</v>
      </c>
      <c r="AP191" s="9">
        <v>0</v>
      </c>
      <c r="AQ191" s="9">
        <v>0</v>
      </c>
      <c r="AR191" s="9">
        <v>0</v>
      </c>
      <c r="AS191" s="9">
        <v>0</v>
      </c>
      <c r="AT191" s="9">
        <v>0</v>
      </c>
      <c r="AU191" s="9">
        <v>0</v>
      </c>
      <c r="AV191" s="9">
        <v>-30441</v>
      </c>
      <c r="AW191" s="9">
        <v>2238402</v>
      </c>
      <c r="AX191" s="9">
        <v>2135314</v>
      </c>
      <c r="AY191" s="9">
        <v>2294152</v>
      </c>
      <c r="AZ191" s="9">
        <v>155311</v>
      </c>
      <c r="BA191" s="10">
        <v>17.917000000000002</v>
      </c>
      <c r="BB191" s="9">
        <v>0</v>
      </c>
      <c r="BC191" s="9">
        <v>0</v>
      </c>
      <c r="BD191" s="9">
        <v>0</v>
      </c>
      <c r="BE191" s="9">
        <v>0</v>
      </c>
      <c r="BF191" s="9">
        <v>1839401</v>
      </c>
      <c r="BG191" s="9">
        <v>0</v>
      </c>
      <c r="BH191" s="10">
        <v>213.44800000000001</v>
      </c>
      <c r="BI191" s="10">
        <v>55557</v>
      </c>
      <c r="BJ191" s="9">
        <v>12</v>
      </c>
      <c r="BK191" s="9">
        <v>0</v>
      </c>
      <c r="BL191" s="9">
        <v>0</v>
      </c>
      <c r="BM191" s="9">
        <v>0</v>
      </c>
      <c r="BN191" s="9">
        <v>0</v>
      </c>
      <c r="BO191" s="9">
        <v>0</v>
      </c>
      <c r="BP191" s="9">
        <v>0</v>
      </c>
      <c r="BQ191" s="9">
        <v>5392</v>
      </c>
      <c r="BR191" s="9">
        <v>1</v>
      </c>
      <c r="BS191" s="9">
        <v>0</v>
      </c>
      <c r="BT191" s="9">
        <v>0</v>
      </c>
      <c r="BU191" s="9">
        <v>0</v>
      </c>
      <c r="BV191" s="9">
        <v>0</v>
      </c>
      <c r="BW191" s="9">
        <v>0</v>
      </c>
      <c r="BX191" s="9">
        <v>0</v>
      </c>
      <c r="BY191" s="9">
        <v>0</v>
      </c>
      <c r="BZ191" s="9">
        <v>0</v>
      </c>
      <c r="CA191" s="9">
        <v>0</v>
      </c>
      <c r="CB191" s="9">
        <v>0</v>
      </c>
      <c r="CC191" s="9">
        <v>0</v>
      </c>
      <c r="CD191" s="9">
        <v>0</v>
      </c>
      <c r="CE191" s="9">
        <v>0</v>
      </c>
      <c r="CF191" s="9">
        <v>0</v>
      </c>
      <c r="CG191" s="9">
        <v>0</v>
      </c>
      <c r="CH191" s="10">
        <v>47531</v>
      </c>
      <c r="CI191" s="9">
        <v>0</v>
      </c>
      <c r="CJ191" s="9">
        <v>4</v>
      </c>
      <c r="CK191" s="9">
        <v>0</v>
      </c>
      <c r="CL191" s="9">
        <v>0</v>
      </c>
      <c r="CM191" s="9">
        <v>0</v>
      </c>
      <c r="CN191" s="9">
        <v>0</v>
      </c>
      <c r="CO191" s="9">
        <v>0</v>
      </c>
      <c r="CP191" s="9">
        <v>1.851</v>
      </c>
      <c r="CQ191" s="9">
        <v>11.833</v>
      </c>
      <c r="CR191" s="9">
        <v>186.69</v>
      </c>
      <c r="CS191" s="9">
        <v>0</v>
      </c>
      <c r="CT191" s="9">
        <v>0</v>
      </c>
      <c r="CU191" s="9">
        <v>0</v>
      </c>
      <c r="CV191" s="9">
        <v>0</v>
      </c>
      <c r="CW191" s="9">
        <v>0</v>
      </c>
      <c r="CX191" s="9">
        <v>0</v>
      </c>
      <c r="CY191" s="9">
        <v>0</v>
      </c>
      <c r="CZ191" s="9">
        <v>0</v>
      </c>
      <c r="DA191" s="9">
        <v>1</v>
      </c>
      <c r="DB191" s="9">
        <v>1215745</v>
      </c>
      <c r="DC191" s="9">
        <v>0</v>
      </c>
      <c r="DD191" s="9">
        <v>0</v>
      </c>
      <c r="DE191" s="9">
        <v>286981</v>
      </c>
      <c r="DF191" s="9">
        <v>316187</v>
      </c>
      <c r="DG191" s="9">
        <v>219.17000000000002</v>
      </c>
      <c r="DH191" s="9">
        <v>0</v>
      </c>
      <c r="DI191" s="9">
        <v>29206</v>
      </c>
      <c r="DJ191" s="9">
        <v>0</v>
      </c>
      <c r="DK191" s="9">
        <v>5392</v>
      </c>
      <c r="DL191" s="9">
        <v>0</v>
      </c>
      <c r="DM191" s="9">
        <v>143150</v>
      </c>
      <c r="DN191" s="9">
        <v>0</v>
      </c>
      <c r="DO191" s="9">
        <v>0</v>
      </c>
      <c r="DP191" s="9">
        <v>0</v>
      </c>
      <c r="DQ191" s="9">
        <v>0</v>
      </c>
      <c r="DR191" s="9">
        <v>0</v>
      </c>
      <c r="DS191" s="9">
        <v>0</v>
      </c>
      <c r="DT191" s="9">
        <v>0</v>
      </c>
      <c r="DU191" s="9">
        <v>0</v>
      </c>
      <c r="DV191" s="9">
        <v>0</v>
      </c>
      <c r="DW191" s="9">
        <v>0</v>
      </c>
      <c r="DX191" s="9">
        <v>0</v>
      </c>
      <c r="DY191" s="9">
        <v>0</v>
      </c>
      <c r="DZ191" s="9">
        <v>0</v>
      </c>
      <c r="EA191" s="9">
        <v>0.17600000000000002</v>
      </c>
      <c r="EB191" s="9">
        <v>0</v>
      </c>
      <c r="EC191" s="9">
        <v>18.859000000000002</v>
      </c>
      <c r="ED191" s="9">
        <v>135817</v>
      </c>
      <c r="EE191" s="9">
        <v>0</v>
      </c>
      <c r="EF191" s="9">
        <v>0</v>
      </c>
      <c r="EG191" s="9">
        <v>0</v>
      </c>
      <c r="EH191" s="9">
        <v>7333</v>
      </c>
      <c r="EI191" s="9">
        <v>0</v>
      </c>
      <c r="EJ191" s="9">
        <v>0</v>
      </c>
      <c r="EK191" s="9">
        <v>0</v>
      </c>
      <c r="EL191" s="9">
        <v>0</v>
      </c>
      <c r="EM191" s="9">
        <v>0</v>
      </c>
      <c r="EN191" s="9">
        <v>4.8000000000000001E-2</v>
      </c>
      <c r="EO191" s="9">
        <v>0</v>
      </c>
      <c r="EP191" s="9">
        <v>0</v>
      </c>
      <c r="EQ191" s="9">
        <v>0.224</v>
      </c>
      <c r="ER191" s="9">
        <v>0</v>
      </c>
      <c r="ES191" s="9">
        <v>1.1200000000000001</v>
      </c>
      <c r="ET191" s="10">
        <v>11917</v>
      </c>
      <c r="EU191" s="9">
        <v>155311</v>
      </c>
      <c r="EV191" s="9">
        <v>0</v>
      </c>
      <c r="EW191" s="9">
        <v>0</v>
      </c>
      <c r="EX191" s="9">
        <v>0</v>
      </c>
      <c r="EY191" s="9">
        <v>0</v>
      </c>
      <c r="EZ191" s="9">
        <v>1790168</v>
      </c>
      <c r="FA191" s="9">
        <v>0</v>
      </c>
      <c r="FB191" s="10">
        <v>1945479</v>
      </c>
      <c r="FC191" s="9">
        <v>0.97326799999999991</v>
      </c>
      <c r="FD191" s="9">
        <v>0</v>
      </c>
      <c r="FE191" s="9">
        <v>284551</v>
      </c>
      <c r="FF191" s="9">
        <v>60595</v>
      </c>
      <c r="FG191" s="9">
        <v>5.8088000000000001E-2</v>
      </c>
      <c r="FH191" s="9">
        <v>5.2622999999999996E-2</v>
      </c>
      <c r="FI191" s="9">
        <v>0</v>
      </c>
      <c r="FJ191" s="9">
        <v>0</v>
      </c>
      <c r="FK191" s="9">
        <v>360.404</v>
      </c>
      <c r="FL191" s="9">
        <v>2338156</v>
      </c>
      <c r="FM191" s="9">
        <v>0</v>
      </c>
      <c r="FN191" s="9">
        <v>0</v>
      </c>
      <c r="FO191" s="9">
        <v>0</v>
      </c>
      <c r="FP191" s="9">
        <v>0</v>
      </c>
      <c r="FQ191" s="9">
        <v>0</v>
      </c>
      <c r="FR191" s="9">
        <v>0</v>
      </c>
      <c r="FS191" s="9">
        <v>0</v>
      </c>
      <c r="FT191" s="9">
        <v>0</v>
      </c>
      <c r="FU191" s="9">
        <v>0</v>
      </c>
      <c r="FV191" s="9">
        <v>0</v>
      </c>
      <c r="FW191" s="9">
        <v>0</v>
      </c>
      <c r="FX191" s="9">
        <v>0</v>
      </c>
      <c r="FY191" s="9">
        <v>0</v>
      </c>
      <c r="FZ191" s="9">
        <v>0</v>
      </c>
      <c r="GA191" s="9">
        <v>0</v>
      </c>
      <c r="GB191" s="10">
        <v>142343</v>
      </c>
      <c r="GC191" s="10">
        <v>142343</v>
      </c>
      <c r="GD191" s="10">
        <v>16.105</v>
      </c>
      <c r="GE191" s="9">
        <v>0</v>
      </c>
      <c r="GF191" s="9">
        <v>0</v>
      </c>
      <c r="GG191" s="9">
        <v>0</v>
      </c>
      <c r="GH191" s="9">
        <v>0</v>
      </c>
      <c r="GI191" s="9">
        <v>0</v>
      </c>
      <c r="GJ191" s="9">
        <v>0</v>
      </c>
      <c r="GK191" s="9">
        <v>5139</v>
      </c>
      <c r="GL191" s="9">
        <v>19097</v>
      </c>
      <c r="GM191" s="9">
        <v>0</v>
      </c>
      <c r="GN191" s="9">
        <v>0</v>
      </c>
      <c r="GO191" s="9">
        <v>0</v>
      </c>
      <c r="GP191" s="9">
        <v>2290625</v>
      </c>
      <c r="GQ191" s="9">
        <v>2290625</v>
      </c>
      <c r="GR191" s="9">
        <v>0</v>
      </c>
      <c r="GS191" s="9">
        <v>0</v>
      </c>
      <c r="GT191" s="9">
        <v>0</v>
      </c>
      <c r="GU191" s="9">
        <v>0</v>
      </c>
      <c r="GV191" s="9">
        <v>0</v>
      </c>
      <c r="GW191" s="9">
        <v>0</v>
      </c>
      <c r="GX191" s="9">
        <v>0</v>
      </c>
      <c r="GY191" s="9">
        <v>0</v>
      </c>
      <c r="GZ191" s="9">
        <v>0</v>
      </c>
      <c r="HA191" s="9">
        <v>0</v>
      </c>
      <c r="HB191" s="9">
        <v>300501363</v>
      </c>
      <c r="HC191" s="9">
        <v>4.4742999999999998E-2</v>
      </c>
      <c r="HD191" s="10">
        <v>35614</v>
      </c>
      <c r="HE191" s="9">
        <v>0</v>
      </c>
      <c r="HF191" s="9">
        <v>0</v>
      </c>
      <c r="HG191" s="9">
        <v>0</v>
      </c>
      <c r="HH191" s="9">
        <v>0</v>
      </c>
      <c r="HI191" s="9">
        <v>0</v>
      </c>
      <c r="HJ191" s="9">
        <v>0</v>
      </c>
      <c r="HK191" s="9">
        <v>0</v>
      </c>
      <c r="HL191" s="9">
        <v>0</v>
      </c>
      <c r="HM191" s="9">
        <v>0</v>
      </c>
      <c r="HN191" s="9">
        <v>0</v>
      </c>
      <c r="HO191" s="9">
        <v>0</v>
      </c>
      <c r="HP191" s="9">
        <v>0</v>
      </c>
      <c r="HQ191" s="9">
        <v>0</v>
      </c>
      <c r="HR191" s="9">
        <v>0</v>
      </c>
      <c r="HS191" s="9">
        <v>0</v>
      </c>
      <c r="HT191" s="9">
        <v>0</v>
      </c>
      <c r="HU191" s="9">
        <v>0</v>
      </c>
      <c r="HV191" s="9">
        <v>0</v>
      </c>
      <c r="HW191" s="9">
        <v>0</v>
      </c>
      <c r="HX191" s="9">
        <v>0</v>
      </c>
      <c r="HY191" s="9">
        <v>0</v>
      </c>
      <c r="HZ191" s="9">
        <v>0</v>
      </c>
      <c r="IA191" s="9">
        <v>0</v>
      </c>
      <c r="IB191" s="9">
        <v>0</v>
      </c>
      <c r="IC191" s="9">
        <v>0</v>
      </c>
      <c r="ID191" s="9">
        <v>0</v>
      </c>
      <c r="IE191" s="9">
        <v>0</v>
      </c>
      <c r="IF191" s="9">
        <v>0</v>
      </c>
      <c r="IG191" s="9">
        <v>0</v>
      </c>
      <c r="IH191" s="9">
        <v>0</v>
      </c>
      <c r="II191" s="9">
        <v>0</v>
      </c>
      <c r="IJ191" s="9">
        <v>0</v>
      </c>
      <c r="IK191" s="9">
        <v>0</v>
      </c>
      <c r="IL191" s="9">
        <v>0</v>
      </c>
      <c r="IM191" s="9">
        <v>0</v>
      </c>
      <c r="IN191" s="9">
        <v>0</v>
      </c>
      <c r="IO191" s="9">
        <v>0</v>
      </c>
      <c r="IP191" s="9">
        <v>0</v>
      </c>
      <c r="IQ191" s="9">
        <v>0</v>
      </c>
      <c r="IR191" s="9">
        <v>0</v>
      </c>
      <c r="IS191" s="9">
        <v>0</v>
      </c>
      <c r="IT191" s="9">
        <v>0</v>
      </c>
      <c r="IU191" s="9">
        <v>0</v>
      </c>
      <c r="IV191" s="9">
        <v>0</v>
      </c>
      <c r="IW191" s="9">
        <v>0</v>
      </c>
      <c r="IX191" s="9">
        <v>0</v>
      </c>
      <c r="IY191" s="9">
        <v>0</v>
      </c>
      <c r="IZ191" s="9">
        <v>0</v>
      </c>
      <c r="JA191" s="9">
        <v>0</v>
      </c>
      <c r="JB191" s="9">
        <v>0</v>
      </c>
      <c r="JC191" s="9">
        <v>0</v>
      </c>
      <c r="JD191" s="9">
        <v>0</v>
      </c>
      <c r="JE191" s="9">
        <v>0</v>
      </c>
      <c r="JF191" s="9">
        <v>0</v>
      </c>
      <c r="JG191" s="9">
        <v>0</v>
      </c>
      <c r="JH191" s="9">
        <v>0</v>
      </c>
      <c r="JI191" s="9">
        <v>0</v>
      </c>
      <c r="JJ191" s="9">
        <v>0</v>
      </c>
      <c r="JK191" s="9">
        <v>0</v>
      </c>
      <c r="JL191" s="9">
        <v>0</v>
      </c>
      <c r="JM191" s="9">
        <v>0</v>
      </c>
      <c r="JN191" s="9">
        <v>36832</v>
      </c>
      <c r="JO191" s="9">
        <v>0</v>
      </c>
      <c r="JP191" s="9">
        <v>0</v>
      </c>
      <c r="JQ191" s="9">
        <v>0</v>
      </c>
      <c r="JR191" s="9">
        <v>0</v>
      </c>
      <c r="JS191" s="9">
        <v>0</v>
      </c>
      <c r="JT191" s="9">
        <v>0</v>
      </c>
      <c r="JU191" s="9">
        <v>0</v>
      </c>
      <c r="JV191" s="9">
        <v>0</v>
      </c>
      <c r="JW191" s="9">
        <v>0</v>
      </c>
      <c r="JX191" s="9">
        <v>0</v>
      </c>
      <c r="JY191" s="9">
        <v>0</v>
      </c>
      <c r="JZ191" s="9">
        <v>0</v>
      </c>
      <c r="KA191" s="9">
        <v>0</v>
      </c>
      <c r="KB191" s="9">
        <v>0</v>
      </c>
      <c r="KC191" s="9">
        <v>0</v>
      </c>
      <c r="KD191" s="9">
        <v>0</v>
      </c>
      <c r="KE191" s="9">
        <v>0</v>
      </c>
      <c r="KF191" s="9">
        <v>0</v>
      </c>
      <c r="KG191" s="9">
        <v>0</v>
      </c>
      <c r="KH191" s="9">
        <v>0</v>
      </c>
      <c r="KI191" s="9">
        <v>0</v>
      </c>
    </row>
    <row r="192" spans="1:295" ht="13" x14ac:dyDescent="0.3">
      <c r="A192" s="9">
        <v>246801</v>
      </c>
      <c r="B192" s="9">
        <v>36871</v>
      </c>
      <c r="C192" s="9">
        <v>35</v>
      </c>
      <c r="D192" s="9">
        <v>2023</v>
      </c>
      <c r="E192" s="9">
        <v>5392</v>
      </c>
      <c r="F192" s="9">
        <v>0</v>
      </c>
      <c r="G192" s="9">
        <v>0</v>
      </c>
      <c r="H192" s="9">
        <v>1598.5720000000001</v>
      </c>
      <c r="I192" s="9">
        <v>1598.5720000000001</v>
      </c>
      <c r="J192" s="9">
        <v>1650.7170000000001</v>
      </c>
      <c r="K192" s="9">
        <v>0</v>
      </c>
      <c r="L192" s="9">
        <v>6547</v>
      </c>
      <c r="M192" s="9">
        <v>0</v>
      </c>
      <c r="N192" s="9">
        <v>0</v>
      </c>
      <c r="O192" s="9">
        <v>0</v>
      </c>
      <c r="P192" s="9">
        <v>1613.2950000000001</v>
      </c>
      <c r="Q192" s="9">
        <v>0</v>
      </c>
      <c r="R192" s="10">
        <v>785549</v>
      </c>
      <c r="S192" s="9">
        <v>486.92200000000003</v>
      </c>
      <c r="T192" s="9">
        <v>0</v>
      </c>
      <c r="U192" s="10">
        <v>785549</v>
      </c>
      <c r="V192" s="10">
        <v>90.727000000000004</v>
      </c>
      <c r="W192" s="10">
        <v>59399</v>
      </c>
      <c r="X192" s="10">
        <v>59399</v>
      </c>
      <c r="Y192" s="9">
        <v>0</v>
      </c>
      <c r="Z192" s="9">
        <v>0</v>
      </c>
      <c r="AA192" s="9">
        <v>1</v>
      </c>
      <c r="AB192" s="9">
        <v>1</v>
      </c>
      <c r="AC192" s="9">
        <v>0</v>
      </c>
      <c r="AD192" s="9" t="s">
        <v>314</v>
      </c>
      <c r="AE192" s="9">
        <v>0</v>
      </c>
      <c r="AF192" s="9">
        <v>0</v>
      </c>
      <c r="AG192" s="9">
        <v>0</v>
      </c>
      <c r="AH192" s="9">
        <v>0</v>
      </c>
      <c r="AI192" s="9">
        <v>0</v>
      </c>
      <c r="AJ192" s="9">
        <v>5104</v>
      </c>
      <c r="AK192" s="9" t="s">
        <v>651</v>
      </c>
      <c r="AL192" s="9" t="s">
        <v>96</v>
      </c>
      <c r="AM192" s="9">
        <v>0</v>
      </c>
      <c r="AN192" s="9">
        <v>0</v>
      </c>
      <c r="AO192" s="9">
        <v>0</v>
      </c>
      <c r="AP192" s="9">
        <v>0</v>
      </c>
      <c r="AQ192" s="9">
        <v>0</v>
      </c>
      <c r="AR192" s="9">
        <v>0</v>
      </c>
      <c r="AS192" s="9">
        <v>0</v>
      </c>
      <c r="AT192" s="9">
        <v>0</v>
      </c>
      <c r="AU192" s="9">
        <v>0</v>
      </c>
      <c r="AV192" s="9">
        <v>6653</v>
      </c>
      <c r="AW192" s="9">
        <v>13853266</v>
      </c>
      <c r="AX192" s="9">
        <v>13462062</v>
      </c>
      <c r="AY192" s="9">
        <v>14443425</v>
      </c>
      <c r="AZ192" s="9">
        <v>885753</v>
      </c>
      <c r="BA192" s="10">
        <v>0</v>
      </c>
      <c r="BB192" s="9">
        <v>0</v>
      </c>
      <c r="BC192" s="9">
        <v>0</v>
      </c>
      <c r="BD192" s="9">
        <v>0</v>
      </c>
      <c r="BE192" s="9">
        <v>0</v>
      </c>
      <c r="BF192" s="9">
        <v>11725403</v>
      </c>
      <c r="BG192" s="9">
        <v>0</v>
      </c>
      <c r="BH192" s="10">
        <v>364.37900000000002</v>
      </c>
      <c r="BI192" s="10">
        <v>100204</v>
      </c>
      <c r="BJ192" s="9">
        <v>12</v>
      </c>
      <c r="BK192" s="9">
        <v>0</v>
      </c>
      <c r="BL192" s="9">
        <v>0</v>
      </c>
      <c r="BM192" s="9">
        <v>0</v>
      </c>
      <c r="BN192" s="9">
        <v>0</v>
      </c>
      <c r="BO192" s="9">
        <v>0</v>
      </c>
      <c r="BP192" s="9">
        <v>0</v>
      </c>
      <c r="BQ192" s="9">
        <v>5392</v>
      </c>
      <c r="BR192" s="9">
        <v>1</v>
      </c>
      <c r="BS192" s="9">
        <v>0</v>
      </c>
      <c r="BT192" s="9">
        <v>0</v>
      </c>
      <c r="BU192" s="9">
        <v>0</v>
      </c>
      <c r="BV192" s="9">
        <v>0</v>
      </c>
      <c r="BW192" s="9">
        <v>0</v>
      </c>
      <c r="BX192" s="9">
        <v>0</v>
      </c>
      <c r="BY192" s="9">
        <v>0</v>
      </c>
      <c r="BZ192" s="9">
        <v>0</v>
      </c>
      <c r="CA192" s="9">
        <v>0</v>
      </c>
      <c r="CB192" s="9">
        <v>0</v>
      </c>
      <c r="CC192" s="9">
        <v>0</v>
      </c>
      <c r="CD192" s="9">
        <v>0</v>
      </c>
      <c r="CE192" s="9">
        <v>0</v>
      </c>
      <c r="CF192" s="9">
        <v>0</v>
      </c>
      <c r="CG192" s="9">
        <v>0</v>
      </c>
      <c r="CH192" s="10">
        <v>291000</v>
      </c>
      <c r="CI192" s="9">
        <v>0</v>
      </c>
      <c r="CJ192" s="9">
        <v>4</v>
      </c>
      <c r="CK192" s="9">
        <v>0</v>
      </c>
      <c r="CL192" s="9">
        <v>0</v>
      </c>
      <c r="CM192" s="9">
        <v>0</v>
      </c>
      <c r="CN192" s="9">
        <v>0</v>
      </c>
      <c r="CO192" s="9">
        <v>0</v>
      </c>
      <c r="CP192" s="9">
        <v>0</v>
      </c>
      <c r="CQ192" s="9">
        <v>0</v>
      </c>
      <c r="CR192" s="9">
        <v>1610.395</v>
      </c>
      <c r="CS192" s="9">
        <v>0</v>
      </c>
      <c r="CT192" s="9">
        <v>0</v>
      </c>
      <c r="CU192" s="9">
        <v>0</v>
      </c>
      <c r="CV192" s="9">
        <v>0</v>
      </c>
      <c r="CW192" s="9">
        <v>0</v>
      </c>
      <c r="CX192" s="9">
        <v>0</v>
      </c>
      <c r="CY192" s="9">
        <v>0</v>
      </c>
      <c r="CZ192" s="9">
        <v>0</v>
      </c>
      <c r="DA192" s="9">
        <v>1</v>
      </c>
      <c r="DB192" s="9">
        <v>10465851</v>
      </c>
      <c r="DC192" s="9">
        <v>0</v>
      </c>
      <c r="DD192" s="9">
        <v>0</v>
      </c>
      <c r="DE192" s="9">
        <v>242894</v>
      </c>
      <c r="DF192" s="9">
        <v>242894</v>
      </c>
      <c r="DG192" s="9">
        <v>185.5</v>
      </c>
      <c r="DH192" s="9">
        <v>0</v>
      </c>
      <c r="DI192" s="9">
        <v>0</v>
      </c>
      <c r="DJ192" s="9">
        <v>0</v>
      </c>
      <c r="DK192" s="9">
        <v>5392</v>
      </c>
      <c r="DL192" s="9">
        <v>0</v>
      </c>
      <c r="DM192" s="9">
        <v>1279312</v>
      </c>
      <c r="DN192" s="9">
        <v>0</v>
      </c>
      <c r="DO192" s="9">
        <v>0</v>
      </c>
      <c r="DP192" s="9">
        <v>0</v>
      </c>
      <c r="DQ192" s="9">
        <v>0</v>
      </c>
      <c r="DR192" s="9">
        <v>0</v>
      </c>
      <c r="DS192" s="9">
        <v>0</v>
      </c>
      <c r="DT192" s="9">
        <v>0</v>
      </c>
      <c r="DU192" s="9">
        <v>0</v>
      </c>
      <c r="DV192" s="9">
        <v>0</v>
      </c>
      <c r="DW192" s="9">
        <v>0</v>
      </c>
      <c r="DX192" s="9">
        <v>0</v>
      </c>
      <c r="DY192" s="9">
        <v>0</v>
      </c>
      <c r="DZ192" s="9">
        <v>0</v>
      </c>
      <c r="EA192" s="9">
        <v>0</v>
      </c>
      <c r="EB192" s="9">
        <v>0</v>
      </c>
      <c r="EC192" s="9">
        <v>29.214000000000002</v>
      </c>
      <c r="ED192" s="9">
        <v>210390</v>
      </c>
      <c r="EE192" s="9">
        <v>0</v>
      </c>
      <c r="EF192" s="9">
        <v>0</v>
      </c>
      <c r="EG192" s="9">
        <v>0.28000000000000003</v>
      </c>
      <c r="EH192" s="9">
        <v>1068922</v>
      </c>
      <c r="EI192" s="9">
        <v>0</v>
      </c>
      <c r="EJ192" s="9">
        <v>0</v>
      </c>
      <c r="EK192" s="9">
        <v>43.201000000000001</v>
      </c>
      <c r="EL192" s="9">
        <v>0</v>
      </c>
      <c r="EM192" s="9">
        <v>5.2050000000000001</v>
      </c>
      <c r="EN192" s="9">
        <v>3.4590000000000001</v>
      </c>
      <c r="EO192" s="9">
        <v>0</v>
      </c>
      <c r="EP192" s="9">
        <v>0</v>
      </c>
      <c r="EQ192" s="9">
        <v>52.145000000000003</v>
      </c>
      <c r="ER192" s="9">
        <v>0</v>
      </c>
      <c r="ES192" s="9">
        <v>163.26900000000001</v>
      </c>
      <c r="ET192" s="10">
        <v>0</v>
      </c>
      <c r="EU192" s="9">
        <v>885753</v>
      </c>
      <c r="EV192" s="9">
        <v>0</v>
      </c>
      <c r="EW192" s="9">
        <v>0</v>
      </c>
      <c r="EX192" s="9">
        <v>0</v>
      </c>
      <c r="EY192" s="9">
        <v>0</v>
      </c>
      <c r="EZ192" s="9">
        <v>11261907</v>
      </c>
      <c r="FA192" s="9">
        <v>0</v>
      </c>
      <c r="FB192" s="10">
        <v>12147660</v>
      </c>
      <c r="FC192" s="9">
        <v>0.97326799999999991</v>
      </c>
      <c r="FD192" s="9">
        <v>0</v>
      </c>
      <c r="FE192" s="9">
        <v>1813888</v>
      </c>
      <c r="FF192" s="9">
        <v>386267</v>
      </c>
      <c r="FG192" s="9">
        <v>5.8088000000000001E-2</v>
      </c>
      <c r="FH192" s="9">
        <v>5.2622999999999996E-2</v>
      </c>
      <c r="FI192" s="9">
        <v>0</v>
      </c>
      <c r="FJ192" s="9">
        <v>0</v>
      </c>
      <c r="FK192" s="9">
        <v>2297.422</v>
      </c>
      <c r="FL192" s="9">
        <v>14638815</v>
      </c>
      <c r="FM192" s="9">
        <v>0</v>
      </c>
      <c r="FN192" s="9">
        <v>0</v>
      </c>
      <c r="FO192" s="9">
        <v>0</v>
      </c>
      <c r="FP192" s="9">
        <v>0</v>
      </c>
      <c r="FQ192" s="9">
        <v>0</v>
      </c>
      <c r="FR192" s="9">
        <v>0</v>
      </c>
      <c r="FS192" s="9">
        <v>0</v>
      </c>
      <c r="FT192" s="9">
        <v>0</v>
      </c>
      <c r="FU192" s="9">
        <v>1</v>
      </c>
      <c r="FV192" s="9">
        <v>0</v>
      </c>
      <c r="FW192" s="9">
        <v>0</v>
      </c>
      <c r="FX192" s="9">
        <v>0</v>
      </c>
      <c r="FY192" s="9">
        <v>0</v>
      </c>
      <c r="FZ192" s="9">
        <v>0</v>
      </c>
      <c r="GA192" s="9">
        <v>0</v>
      </c>
      <c r="GB192" s="10">
        <v>0</v>
      </c>
      <c r="GC192" s="10">
        <v>0</v>
      </c>
      <c r="GD192" s="10">
        <v>0</v>
      </c>
      <c r="GE192" s="9">
        <v>0</v>
      </c>
      <c r="GF192" s="9">
        <v>0</v>
      </c>
      <c r="GG192" s="9">
        <v>0</v>
      </c>
      <c r="GH192" s="9">
        <v>0</v>
      </c>
      <c r="GI192" s="9">
        <v>0</v>
      </c>
      <c r="GJ192" s="9">
        <v>0</v>
      </c>
      <c r="GK192" s="9">
        <v>4971</v>
      </c>
      <c r="GL192" s="9">
        <v>0</v>
      </c>
      <c r="GM192" s="9">
        <v>0</v>
      </c>
      <c r="GN192" s="9">
        <v>0</v>
      </c>
      <c r="GO192" s="9">
        <v>0</v>
      </c>
      <c r="GP192" s="9">
        <v>14347815</v>
      </c>
      <c r="GQ192" s="9">
        <v>14347815</v>
      </c>
      <c r="GR192" s="9">
        <v>0</v>
      </c>
      <c r="GS192" s="9">
        <v>0</v>
      </c>
      <c r="GT192" s="9">
        <v>0</v>
      </c>
      <c r="GU192" s="9">
        <v>0</v>
      </c>
      <c r="GV192" s="9">
        <v>0</v>
      </c>
      <c r="GW192" s="9">
        <v>0</v>
      </c>
      <c r="GX192" s="9">
        <v>0</v>
      </c>
      <c r="GY192" s="9">
        <v>0</v>
      </c>
      <c r="GZ192" s="9">
        <v>0</v>
      </c>
      <c r="HA192" s="9">
        <v>0</v>
      </c>
      <c r="HB192" s="9">
        <v>300501363</v>
      </c>
      <c r="HC192" s="9">
        <v>4.4742999999999998E-2</v>
      </c>
      <c r="HD192" s="10">
        <v>291000</v>
      </c>
      <c r="HE192" s="9">
        <v>0</v>
      </c>
      <c r="HF192" s="9">
        <v>0</v>
      </c>
      <c r="HG192" s="9">
        <v>0</v>
      </c>
      <c r="HH192" s="9">
        <v>0</v>
      </c>
      <c r="HI192" s="9">
        <v>0</v>
      </c>
      <c r="HJ192" s="9">
        <v>0</v>
      </c>
      <c r="HK192" s="9">
        <v>0</v>
      </c>
      <c r="HL192" s="9">
        <v>0</v>
      </c>
      <c r="HM192" s="9">
        <v>0</v>
      </c>
      <c r="HN192" s="9">
        <v>0</v>
      </c>
      <c r="HO192" s="9">
        <v>0</v>
      </c>
      <c r="HP192" s="9">
        <v>0</v>
      </c>
      <c r="HQ192" s="9">
        <v>0</v>
      </c>
      <c r="HR192" s="9">
        <v>0</v>
      </c>
      <c r="HS192" s="9">
        <v>0</v>
      </c>
      <c r="HT192" s="9">
        <v>0</v>
      </c>
      <c r="HU192" s="9">
        <v>0</v>
      </c>
      <c r="HV192" s="9">
        <v>0</v>
      </c>
      <c r="HW192" s="9">
        <v>0</v>
      </c>
      <c r="HX192" s="9">
        <v>0</v>
      </c>
      <c r="HY192" s="9">
        <v>0</v>
      </c>
      <c r="HZ192" s="9">
        <v>0</v>
      </c>
      <c r="IA192" s="9">
        <v>0</v>
      </c>
      <c r="IB192" s="9">
        <v>0</v>
      </c>
      <c r="IC192" s="9">
        <v>0</v>
      </c>
      <c r="ID192" s="9">
        <v>0</v>
      </c>
      <c r="IE192" s="9">
        <v>0</v>
      </c>
      <c r="IF192" s="9">
        <v>0</v>
      </c>
      <c r="IG192" s="9">
        <v>0</v>
      </c>
      <c r="IH192" s="9">
        <v>0</v>
      </c>
      <c r="II192" s="9">
        <v>0</v>
      </c>
      <c r="IJ192" s="9">
        <v>0</v>
      </c>
      <c r="IK192" s="9">
        <v>0</v>
      </c>
      <c r="IL192" s="9">
        <v>0</v>
      </c>
      <c r="IM192" s="9">
        <v>0</v>
      </c>
      <c r="IN192" s="9">
        <v>0</v>
      </c>
      <c r="IO192" s="9">
        <v>0</v>
      </c>
      <c r="IP192" s="9">
        <v>0</v>
      </c>
      <c r="IQ192" s="9">
        <v>0</v>
      </c>
      <c r="IR192" s="9">
        <v>0</v>
      </c>
      <c r="IS192" s="9">
        <v>0</v>
      </c>
      <c r="IT192" s="9">
        <v>0</v>
      </c>
      <c r="IU192" s="9">
        <v>0</v>
      </c>
      <c r="IV192" s="9">
        <v>0</v>
      </c>
      <c r="IW192" s="9">
        <v>0</v>
      </c>
      <c r="IX192" s="9">
        <v>0</v>
      </c>
      <c r="IY192" s="9">
        <v>0</v>
      </c>
      <c r="IZ192" s="9">
        <v>0</v>
      </c>
      <c r="JA192" s="9">
        <v>0</v>
      </c>
      <c r="JB192" s="9">
        <v>0</v>
      </c>
      <c r="JC192" s="9">
        <v>0</v>
      </c>
      <c r="JD192" s="9">
        <v>0</v>
      </c>
      <c r="JE192" s="9">
        <v>0</v>
      </c>
      <c r="JF192" s="9">
        <v>0</v>
      </c>
      <c r="JG192" s="9">
        <v>0</v>
      </c>
      <c r="JH192" s="9">
        <v>0</v>
      </c>
      <c r="JI192" s="9">
        <v>0</v>
      </c>
      <c r="JJ192" s="9">
        <v>0</v>
      </c>
      <c r="JK192" s="9">
        <v>0</v>
      </c>
      <c r="JL192" s="9">
        <v>0</v>
      </c>
      <c r="JM192" s="9">
        <v>0</v>
      </c>
      <c r="JN192" s="9">
        <v>36832</v>
      </c>
      <c r="JO192" s="9">
        <v>0</v>
      </c>
      <c r="JP192" s="9">
        <v>0</v>
      </c>
      <c r="JQ192" s="9">
        <v>0</v>
      </c>
      <c r="JR192" s="9">
        <v>0</v>
      </c>
      <c r="JS192" s="9">
        <v>0</v>
      </c>
      <c r="JT192" s="9">
        <v>0</v>
      </c>
      <c r="JU192" s="9">
        <v>0</v>
      </c>
      <c r="JV192" s="9">
        <v>0</v>
      </c>
      <c r="JW192" s="9">
        <v>0</v>
      </c>
      <c r="JX192" s="9">
        <v>0</v>
      </c>
      <c r="JY192" s="9">
        <v>0</v>
      </c>
      <c r="JZ192" s="9">
        <v>0</v>
      </c>
      <c r="KA192" s="9">
        <v>0</v>
      </c>
      <c r="KB192" s="9">
        <v>0</v>
      </c>
      <c r="KC192" s="9">
        <v>0</v>
      </c>
      <c r="KD192" s="9">
        <v>0</v>
      </c>
      <c r="KE192" s="9">
        <v>0</v>
      </c>
      <c r="KF192" s="9">
        <v>0</v>
      </c>
      <c r="KG192" s="9">
        <v>0</v>
      </c>
      <c r="KH192" s="9">
        <v>0</v>
      </c>
      <c r="KI192" s="9">
        <v>0</v>
      </c>
    </row>
    <row r="193" spans="1:295" x14ac:dyDescent="0.25">
      <c r="A193" s="9">
        <v>246802</v>
      </c>
      <c r="B193" s="9">
        <v>36871</v>
      </c>
      <c r="C193" s="9">
        <v>35</v>
      </c>
      <c r="D193" s="9">
        <v>2023</v>
      </c>
      <c r="E193" s="9">
        <v>5392</v>
      </c>
      <c r="F193" s="9">
        <v>0</v>
      </c>
      <c r="G193" s="9">
        <v>0</v>
      </c>
      <c r="H193" s="9">
        <v>385.12400000000002</v>
      </c>
      <c r="I193" s="9">
        <v>385.12400000000002</v>
      </c>
      <c r="J193" s="9">
        <v>402.61600000000004</v>
      </c>
      <c r="K193" s="9">
        <v>0</v>
      </c>
      <c r="L193" s="9">
        <v>6547</v>
      </c>
      <c r="M193" s="9">
        <v>0</v>
      </c>
      <c r="N193" s="9">
        <v>0</v>
      </c>
      <c r="O193" s="9">
        <v>0</v>
      </c>
      <c r="P193" s="9">
        <v>332.59100000000001</v>
      </c>
      <c r="Q193" s="9">
        <v>0</v>
      </c>
      <c r="R193" s="9">
        <v>161946</v>
      </c>
      <c r="S193" s="9">
        <v>486.92200000000003</v>
      </c>
      <c r="T193" s="9">
        <v>0</v>
      </c>
      <c r="U193" s="9">
        <v>161946</v>
      </c>
      <c r="V193" s="9">
        <v>16.057000000000002</v>
      </c>
      <c r="W193" s="9">
        <v>10513</v>
      </c>
      <c r="X193" s="9">
        <v>10513</v>
      </c>
      <c r="Y193" s="9">
        <v>0</v>
      </c>
      <c r="Z193" s="9">
        <v>0</v>
      </c>
      <c r="AA193" s="9">
        <v>1</v>
      </c>
      <c r="AB193" s="9">
        <v>1</v>
      </c>
      <c r="AC193" s="9">
        <v>0</v>
      </c>
      <c r="AD193" s="9" t="s">
        <v>314</v>
      </c>
      <c r="AE193" s="9">
        <v>0</v>
      </c>
      <c r="AF193" s="9">
        <v>0</v>
      </c>
      <c r="AG193" s="9">
        <v>0</v>
      </c>
      <c r="AH193" s="9">
        <v>0</v>
      </c>
      <c r="AI193" s="9">
        <v>0</v>
      </c>
      <c r="AJ193" s="9">
        <v>5104</v>
      </c>
      <c r="AK193" s="9" t="s">
        <v>651</v>
      </c>
      <c r="AL193" s="9" t="s">
        <v>414</v>
      </c>
      <c r="AM193" s="9">
        <v>0</v>
      </c>
      <c r="AN193" s="9">
        <v>0</v>
      </c>
      <c r="AO193" s="9">
        <v>0</v>
      </c>
      <c r="AP193" s="9">
        <v>0</v>
      </c>
      <c r="AQ193" s="9">
        <v>0</v>
      </c>
      <c r="AR193" s="9">
        <v>0</v>
      </c>
      <c r="AS193" s="9">
        <v>0</v>
      </c>
      <c r="AT193" s="9">
        <v>0</v>
      </c>
      <c r="AU193" s="9">
        <v>0</v>
      </c>
      <c r="AV193" s="9">
        <v>-21722</v>
      </c>
      <c r="AW193" s="9">
        <v>3572506</v>
      </c>
      <c r="AX193" s="9">
        <v>3501530</v>
      </c>
      <c r="AY193" s="9">
        <v>3609795</v>
      </c>
      <c r="AZ193" s="9">
        <v>161946</v>
      </c>
      <c r="BA193" s="9">
        <v>0</v>
      </c>
      <c r="BB193" s="9">
        <v>2357</v>
      </c>
      <c r="BC193" s="9">
        <v>2357</v>
      </c>
      <c r="BD193" s="9">
        <v>3</v>
      </c>
      <c r="BE193" s="9">
        <v>0</v>
      </c>
      <c r="BF193" s="9">
        <v>3014944</v>
      </c>
      <c r="BG193" s="9">
        <v>0</v>
      </c>
      <c r="BH193" s="9">
        <v>0</v>
      </c>
      <c r="BI193" s="9">
        <v>0</v>
      </c>
      <c r="BJ193" s="9">
        <v>12</v>
      </c>
      <c r="BK193" s="9">
        <v>0</v>
      </c>
      <c r="BL193" s="9">
        <v>0</v>
      </c>
      <c r="BM193" s="9">
        <v>0</v>
      </c>
      <c r="BN193" s="9">
        <v>0</v>
      </c>
      <c r="BO193" s="9">
        <v>0</v>
      </c>
      <c r="BP193" s="9">
        <v>0</v>
      </c>
      <c r="BQ193" s="9">
        <v>5392</v>
      </c>
      <c r="BR193" s="9">
        <v>1</v>
      </c>
      <c r="BS193" s="9">
        <v>0</v>
      </c>
      <c r="BT193" s="9">
        <v>0</v>
      </c>
      <c r="BU193" s="9">
        <v>0</v>
      </c>
      <c r="BV193" s="9">
        <v>0</v>
      </c>
      <c r="BW193" s="9">
        <v>0</v>
      </c>
      <c r="BX193" s="9">
        <v>0</v>
      </c>
      <c r="BY193" s="9">
        <v>0</v>
      </c>
      <c r="BZ193" s="9">
        <v>0</v>
      </c>
      <c r="CA193" s="9">
        <v>0</v>
      </c>
      <c r="CB193" s="9">
        <v>0</v>
      </c>
      <c r="CC193" s="9">
        <v>0</v>
      </c>
      <c r="CD193" s="9">
        <v>0</v>
      </c>
      <c r="CE193" s="9">
        <v>0</v>
      </c>
      <c r="CF193" s="9">
        <v>0</v>
      </c>
      <c r="CG193" s="9">
        <v>0</v>
      </c>
      <c r="CH193" s="9">
        <v>70976</v>
      </c>
      <c r="CI193" s="9">
        <v>0</v>
      </c>
      <c r="CJ193" s="9">
        <v>5</v>
      </c>
      <c r="CK193" s="9">
        <v>0</v>
      </c>
      <c r="CL193" s="9">
        <v>0</v>
      </c>
      <c r="CM193" s="9">
        <v>0</v>
      </c>
      <c r="CN193" s="9">
        <v>0</v>
      </c>
      <c r="CO193" s="9">
        <v>0</v>
      </c>
      <c r="CP193" s="9">
        <v>0</v>
      </c>
      <c r="CQ193" s="9">
        <v>0</v>
      </c>
      <c r="CR193" s="9">
        <v>331.17</v>
      </c>
      <c r="CS193" s="9">
        <v>0</v>
      </c>
      <c r="CT193" s="9">
        <v>0</v>
      </c>
      <c r="CU193" s="9">
        <v>0</v>
      </c>
      <c r="CV193" s="9">
        <v>0</v>
      </c>
      <c r="CW193" s="9">
        <v>0</v>
      </c>
      <c r="CX193" s="9">
        <v>0</v>
      </c>
      <c r="CY193" s="9">
        <v>0</v>
      </c>
      <c r="CZ193" s="9">
        <v>0</v>
      </c>
      <c r="DA193" s="9">
        <v>1</v>
      </c>
      <c r="DB193" s="9">
        <v>2521407</v>
      </c>
      <c r="DC193" s="9">
        <v>0</v>
      </c>
      <c r="DD193" s="9">
        <v>0</v>
      </c>
      <c r="DE193" s="9">
        <v>199461</v>
      </c>
      <c r="DF193" s="9">
        <v>199461</v>
      </c>
      <c r="DG193" s="9">
        <v>152.33000000000001</v>
      </c>
      <c r="DH193" s="9">
        <v>0</v>
      </c>
      <c r="DI193" s="9">
        <v>0</v>
      </c>
      <c r="DJ193" s="9">
        <v>0</v>
      </c>
      <c r="DK193" s="9">
        <v>5392</v>
      </c>
      <c r="DL193" s="9">
        <v>0</v>
      </c>
      <c r="DM193" s="9">
        <v>364015</v>
      </c>
      <c r="DN193" s="9">
        <v>0</v>
      </c>
      <c r="DO193" s="9">
        <v>0</v>
      </c>
      <c r="DP193" s="9">
        <v>0</v>
      </c>
      <c r="DQ193" s="9">
        <v>0</v>
      </c>
      <c r="DR193" s="9">
        <v>0</v>
      </c>
      <c r="DS193" s="9">
        <v>0</v>
      </c>
      <c r="DT193" s="9">
        <v>0</v>
      </c>
      <c r="DU193" s="9">
        <v>0</v>
      </c>
      <c r="DV193" s="9">
        <v>0</v>
      </c>
      <c r="DW193" s="9">
        <v>0</v>
      </c>
      <c r="DX193" s="9">
        <v>0</v>
      </c>
      <c r="DY193" s="9">
        <v>0</v>
      </c>
      <c r="DZ193" s="9">
        <v>0</v>
      </c>
      <c r="EA193" s="9">
        <v>0</v>
      </c>
      <c r="EB193" s="9">
        <v>0</v>
      </c>
      <c r="EC193" s="9">
        <v>1.242</v>
      </c>
      <c r="ED193" s="9">
        <v>8945</v>
      </c>
      <c r="EE193" s="9">
        <v>0</v>
      </c>
      <c r="EF193" s="9">
        <v>0</v>
      </c>
      <c r="EG193" s="9">
        <v>0</v>
      </c>
      <c r="EH193" s="9">
        <v>355070</v>
      </c>
      <c r="EI193" s="9">
        <v>0</v>
      </c>
      <c r="EJ193" s="9">
        <v>0</v>
      </c>
      <c r="EK193" s="9">
        <v>16.613</v>
      </c>
      <c r="EL193" s="9">
        <v>0</v>
      </c>
      <c r="EM193" s="9">
        <v>0</v>
      </c>
      <c r="EN193" s="9">
        <v>0.879</v>
      </c>
      <c r="EO193" s="9">
        <v>0</v>
      </c>
      <c r="EP193" s="9">
        <v>0</v>
      </c>
      <c r="EQ193" s="9">
        <v>17.492000000000001</v>
      </c>
      <c r="ER193" s="9">
        <v>0</v>
      </c>
      <c r="ES193" s="9">
        <v>54.234000000000002</v>
      </c>
      <c r="ET193" s="9">
        <v>0</v>
      </c>
      <c r="EU193" s="9">
        <v>161946</v>
      </c>
      <c r="EV193" s="9">
        <v>0</v>
      </c>
      <c r="EW193" s="9">
        <v>0</v>
      </c>
      <c r="EX193" s="9">
        <v>0</v>
      </c>
      <c r="EY193" s="9">
        <v>0</v>
      </c>
      <c r="EZ193" s="9">
        <v>2935807</v>
      </c>
      <c r="FA193" s="9">
        <v>0</v>
      </c>
      <c r="FB193" s="9">
        <v>3097753</v>
      </c>
      <c r="FC193" s="9">
        <v>0.97326799999999991</v>
      </c>
      <c r="FD193" s="9">
        <v>0</v>
      </c>
      <c r="FE193" s="9">
        <v>466403</v>
      </c>
      <c r="FF193" s="9">
        <v>99320</v>
      </c>
      <c r="FG193" s="9">
        <v>5.8088000000000001E-2</v>
      </c>
      <c r="FH193" s="9">
        <v>5.2622999999999996E-2</v>
      </c>
      <c r="FI193" s="9">
        <v>0</v>
      </c>
      <c r="FJ193" s="9">
        <v>0</v>
      </c>
      <c r="FK193" s="9">
        <v>590.73400000000004</v>
      </c>
      <c r="FL193" s="9">
        <v>3734452</v>
      </c>
      <c r="FM193" s="9">
        <v>0</v>
      </c>
      <c r="FN193" s="9">
        <v>0</v>
      </c>
      <c r="FO193" s="9">
        <v>0</v>
      </c>
      <c r="FP193" s="9">
        <v>0</v>
      </c>
      <c r="FQ193" s="9">
        <v>0</v>
      </c>
      <c r="FR193" s="9">
        <v>0</v>
      </c>
      <c r="FS193" s="9">
        <v>0</v>
      </c>
      <c r="FT193" s="9">
        <v>0</v>
      </c>
      <c r="FU193" s="9">
        <v>0</v>
      </c>
      <c r="FV193" s="9">
        <v>0</v>
      </c>
      <c r="FW193" s="9">
        <v>0</v>
      </c>
      <c r="FX193" s="9">
        <v>0</v>
      </c>
      <c r="FY193" s="9">
        <v>0</v>
      </c>
      <c r="FZ193" s="9">
        <v>0</v>
      </c>
      <c r="GA193" s="9">
        <v>0</v>
      </c>
      <c r="GB193" s="9">
        <v>0</v>
      </c>
      <c r="GC193" s="9">
        <v>0</v>
      </c>
      <c r="GD193" s="9">
        <v>0</v>
      </c>
      <c r="GE193" s="9">
        <v>0</v>
      </c>
      <c r="GF193" s="9">
        <v>0</v>
      </c>
      <c r="GG193" s="9">
        <v>0</v>
      </c>
      <c r="GH193" s="9">
        <v>0</v>
      </c>
      <c r="GI193" s="9">
        <v>0</v>
      </c>
      <c r="GJ193" s="9">
        <v>0</v>
      </c>
      <c r="GK193" s="9">
        <v>0</v>
      </c>
      <c r="GL193" s="9">
        <v>0</v>
      </c>
      <c r="GM193" s="9">
        <v>0</v>
      </c>
      <c r="GN193" s="9">
        <v>0</v>
      </c>
      <c r="GO193" s="9">
        <v>0</v>
      </c>
      <c r="GP193" s="9">
        <v>3663476</v>
      </c>
      <c r="GQ193" s="9">
        <v>3663476</v>
      </c>
      <c r="GR193" s="9">
        <v>0</v>
      </c>
      <c r="GS193" s="9">
        <v>0</v>
      </c>
      <c r="GT193" s="9">
        <v>0</v>
      </c>
      <c r="GU193" s="9">
        <v>0</v>
      </c>
      <c r="GV193" s="9">
        <v>0</v>
      </c>
      <c r="GW193" s="9">
        <v>0</v>
      </c>
      <c r="GX193" s="9">
        <v>0</v>
      </c>
      <c r="GY193" s="9">
        <v>0</v>
      </c>
      <c r="GZ193" s="9">
        <v>0</v>
      </c>
      <c r="HA193" s="9">
        <v>0</v>
      </c>
      <c r="HB193" s="9">
        <v>300501363</v>
      </c>
      <c r="HC193" s="9">
        <v>4.4742999999999998E-2</v>
      </c>
      <c r="HD193" s="9">
        <v>70976</v>
      </c>
      <c r="HE193" s="9">
        <v>0</v>
      </c>
      <c r="HF193" s="9">
        <v>0</v>
      </c>
      <c r="HG193" s="9">
        <v>0</v>
      </c>
      <c r="HH193" s="9">
        <v>0</v>
      </c>
      <c r="HI193" s="9">
        <v>0</v>
      </c>
      <c r="HJ193" s="9">
        <v>0</v>
      </c>
      <c r="HK193" s="9">
        <v>0</v>
      </c>
      <c r="HL193" s="9">
        <v>0</v>
      </c>
      <c r="HM193" s="9">
        <v>0</v>
      </c>
      <c r="HN193" s="9">
        <v>0</v>
      </c>
      <c r="HO193" s="9">
        <v>0</v>
      </c>
      <c r="HP193" s="9">
        <v>0</v>
      </c>
      <c r="HQ193" s="9">
        <v>0</v>
      </c>
      <c r="HR193" s="9">
        <v>0</v>
      </c>
      <c r="HS193" s="9">
        <v>0</v>
      </c>
      <c r="HT193" s="9">
        <v>0</v>
      </c>
      <c r="HU193" s="9">
        <v>0</v>
      </c>
      <c r="HV193" s="9">
        <v>0</v>
      </c>
      <c r="HW193" s="9">
        <v>0</v>
      </c>
      <c r="HX193" s="9">
        <v>0</v>
      </c>
      <c r="HY193" s="9">
        <v>0</v>
      </c>
      <c r="HZ193" s="9">
        <v>0</v>
      </c>
      <c r="IA193" s="9">
        <v>0</v>
      </c>
      <c r="IB193" s="9">
        <v>0</v>
      </c>
      <c r="IC193" s="9">
        <v>0</v>
      </c>
      <c r="ID193" s="9">
        <v>0</v>
      </c>
      <c r="IE193" s="9">
        <v>0</v>
      </c>
      <c r="IF193" s="9">
        <v>0</v>
      </c>
      <c r="IG193" s="9">
        <v>0</v>
      </c>
      <c r="IH193" s="9">
        <v>0</v>
      </c>
      <c r="II193" s="9">
        <v>0</v>
      </c>
      <c r="IJ193" s="9">
        <v>0</v>
      </c>
      <c r="IK193" s="9">
        <v>0</v>
      </c>
      <c r="IL193" s="9">
        <v>0</v>
      </c>
      <c r="IM193" s="9">
        <v>0</v>
      </c>
      <c r="IN193" s="9">
        <v>0</v>
      </c>
      <c r="IO193" s="9">
        <v>0</v>
      </c>
      <c r="IP193" s="9">
        <v>0</v>
      </c>
      <c r="IQ193" s="9">
        <v>0</v>
      </c>
      <c r="IR193" s="9">
        <v>0</v>
      </c>
      <c r="IS193" s="9">
        <v>0</v>
      </c>
      <c r="IT193" s="9">
        <v>0</v>
      </c>
      <c r="IU193" s="9">
        <v>0</v>
      </c>
      <c r="IV193" s="9">
        <v>0</v>
      </c>
      <c r="IW193" s="9">
        <v>0</v>
      </c>
      <c r="IX193" s="9">
        <v>0</v>
      </c>
      <c r="IY193" s="9">
        <v>0</v>
      </c>
      <c r="IZ193" s="9">
        <v>0</v>
      </c>
      <c r="JA193" s="9">
        <v>0</v>
      </c>
      <c r="JB193" s="9">
        <v>0</v>
      </c>
      <c r="JC193" s="9">
        <v>0</v>
      </c>
      <c r="JD193" s="9">
        <v>0</v>
      </c>
      <c r="JE193" s="9">
        <v>0</v>
      </c>
      <c r="JF193" s="9">
        <v>0</v>
      </c>
      <c r="JG193" s="9">
        <v>0</v>
      </c>
      <c r="JH193" s="9">
        <v>0</v>
      </c>
      <c r="JI193" s="9">
        <v>0</v>
      </c>
      <c r="JJ193" s="9">
        <v>0</v>
      </c>
      <c r="JK193" s="9">
        <v>0</v>
      </c>
      <c r="JL193" s="9">
        <v>0</v>
      </c>
      <c r="JM193" s="9">
        <v>0</v>
      </c>
      <c r="JN193" s="9">
        <v>36832</v>
      </c>
      <c r="JO193" s="9">
        <v>0</v>
      </c>
      <c r="JP193" s="9">
        <v>0</v>
      </c>
      <c r="JQ193" s="9">
        <v>0</v>
      </c>
      <c r="JR193" s="9">
        <v>0</v>
      </c>
      <c r="JS193" s="9">
        <v>0</v>
      </c>
      <c r="JT193" s="9">
        <v>0</v>
      </c>
      <c r="JU193" s="9">
        <v>0</v>
      </c>
      <c r="JV193" s="9">
        <v>0</v>
      </c>
      <c r="JW193" s="9">
        <v>0</v>
      </c>
      <c r="JX193" s="9">
        <v>0</v>
      </c>
      <c r="JY193" s="9">
        <v>0</v>
      </c>
      <c r="JZ193" s="9">
        <v>0</v>
      </c>
      <c r="KA193" s="9">
        <v>0</v>
      </c>
      <c r="KB193" s="9">
        <v>0</v>
      </c>
      <c r="KC193" s="9">
        <v>0</v>
      </c>
      <c r="KD193" s="9">
        <v>0</v>
      </c>
      <c r="KE193" s="9">
        <v>0</v>
      </c>
      <c r="KF193" s="9">
        <v>0</v>
      </c>
      <c r="KG193" s="9">
        <v>0</v>
      </c>
      <c r="KH193" s="9">
        <v>0</v>
      </c>
      <c r="KI193" s="9">
        <v>0</v>
      </c>
    </row>
  </sheetData>
  <sheetProtection algorithmName="SHA-512" hashValue="Ny5Uo1qrrYcCRm94FBIOzBGvMtyMqeO+xP5x+zaqUp4RtVSvT6DDObVz1h+LrdW03b2UwSG5rxp4pzTVX6vn8g==" saltValue="ITaMzjGt8m2pIfVs7oUNIQ==" spinCount="100000" sheet="1" objects="1" scenarios="1"/>
  <sortState xmlns:xlrd2="http://schemas.microsoft.com/office/spreadsheetml/2017/richdata2" ref="A4:KI193">
    <sortCondition ref="A4:A193"/>
  </sortState>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1A3-CEF5-4015-BF60-EDD0568E0366}">
  <sheetPr codeName="Sheet7">
    <tabColor theme="3" tint="-0.249977111117893"/>
  </sheetPr>
  <dimension ref="A1:X192"/>
  <sheetViews>
    <sheetView workbookViewId="0">
      <pane ySplit="1" topLeftCell="A2" activePane="bottomLeft" state="frozen"/>
      <selection pane="bottomLeft" activeCell="F20" sqref="E20:F20"/>
    </sheetView>
  </sheetViews>
  <sheetFormatPr defaultColWidth="9.1796875" defaultRowHeight="12.5" x14ac:dyDescent="0.25"/>
  <cols>
    <col min="1" max="1" width="11.7265625" style="9" bestFit="1" customWidth="1"/>
    <col min="2" max="2" width="12.453125" style="9" bestFit="1" customWidth="1"/>
    <col min="3" max="3" width="16" style="9" bestFit="1" customWidth="1"/>
    <col min="4" max="4" width="15.7265625" style="9" bestFit="1" customWidth="1"/>
    <col min="5" max="5" width="14.453125" style="9" bestFit="1" customWidth="1"/>
    <col min="6" max="6" width="23.453125" style="9" bestFit="1" customWidth="1"/>
    <col min="7" max="7" width="11.1796875" style="9" bestFit="1" customWidth="1"/>
    <col min="8" max="8" width="18.453125" style="9" bestFit="1" customWidth="1"/>
    <col min="9" max="9" width="11.7265625" style="9" bestFit="1" customWidth="1"/>
    <col min="10" max="10" width="19.453125" style="9" bestFit="1" customWidth="1"/>
    <col min="11" max="11" width="15.1796875" style="9" bestFit="1" customWidth="1"/>
    <col min="12" max="12" width="16.81640625" style="9" bestFit="1" customWidth="1"/>
    <col min="13" max="13" width="11.1796875" style="9" bestFit="1" customWidth="1"/>
    <col min="14" max="15" width="9.1796875" style="9"/>
    <col min="16" max="16" width="18" style="9" bestFit="1" customWidth="1"/>
    <col min="17" max="17" width="23" style="9" bestFit="1" customWidth="1"/>
    <col min="18" max="20" width="9.1796875" style="9"/>
    <col min="21" max="21" width="26.453125" style="9" bestFit="1" customWidth="1"/>
    <col min="22" max="22" width="29.26953125" style="9" bestFit="1" customWidth="1"/>
    <col min="23" max="23" width="24.453125" style="9" bestFit="1" customWidth="1"/>
    <col min="24" max="24" width="11.7265625" style="9" bestFit="1" customWidth="1"/>
    <col min="25" max="16384" width="9.1796875" style="9"/>
  </cols>
  <sheetData>
    <row r="1" spans="1:24" x14ac:dyDescent="0.25">
      <c r="A1" s="9" t="s">
        <v>120</v>
      </c>
      <c r="B1" s="9" t="s">
        <v>119</v>
      </c>
      <c r="C1" s="9" t="s">
        <v>417</v>
      </c>
      <c r="D1" s="9" t="s">
        <v>541</v>
      </c>
      <c r="E1" s="9" t="s">
        <v>542</v>
      </c>
      <c r="F1" s="9" t="s">
        <v>543</v>
      </c>
      <c r="G1" s="9" t="s">
        <v>544</v>
      </c>
      <c r="H1" s="9" t="s">
        <v>545</v>
      </c>
      <c r="I1" s="9" t="s">
        <v>546</v>
      </c>
      <c r="J1" s="9" t="s">
        <v>547</v>
      </c>
      <c r="K1" s="9" t="s">
        <v>548</v>
      </c>
      <c r="L1" s="9" t="s">
        <v>549</v>
      </c>
      <c r="M1" s="9" t="s">
        <v>550</v>
      </c>
      <c r="N1" s="9" t="s">
        <v>674</v>
      </c>
      <c r="O1" s="9" t="s">
        <v>675</v>
      </c>
      <c r="P1" s="9" t="s">
        <v>676</v>
      </c>
      <c r="Q1" s="9" t="s">
        <v>677</v>
      </c>
      <c r="R1" s="9" t="s">
        <v>678</v>
      </c>
      <c r="S1" s="9" t="s">
        <v>679</v>
      </c>
      <c r="T1" s="9" t="s">
        <v>680</v>
      </c>
      <c r="U1" s="9" t="s">
        <v>681</v>
      </c>
      <c r="V1" s="9" t="s">
        <v>682</v>
      </c>
      <c r="W1" s="9" t="s">
        <v>693</v>
      </c>
      <c r="X1" s="9" t="s">
        <v>694</v>
      </c>
    </row>
    <row r="2" spans="1:24" x14ac:dyDescent="0.25">
      <c r="A2" s="9">
        <v>1</v>
      </c>
      <c r="B2" s="9">
        <v>2</v>
      </c>
      <c r="C2" s="9">
        <v>3</v>
      </c>
      <c r="D2" s="9">
        <v>4</v>
      </c>
      <c r="E2" s="9">
        <v>5</v>
      </c>
      <c r="F2" s="9">
        <v>6</v>
      </c>
      <c r="G2" s="9">
        <v>7</v>
      </c>
      <c r="H2" s="9">
        <v>8</v>
      </c>
      <c r="I2" s="9">
        <v>9</v>
      </c>
      <c r="J2" s="9">
        <v>10</v>
      </c>
      <c r="K2" s="9">
        <v>11</v>
      </c>
      <c r="L2" s="9">
        <v>12</v>
      </c>
      <c r="M2" s="9">
        <v>13</v>
      </c>
      <c r="N2" s="9">
        <v>14</v>
      </c>
      <c r="O2" s="9">
        <v>15</v>
      </c>
      <c r="P2" s="9">
        <v>16</v>
      </c>
      <c r="Q2" s="9">
        <v>17</v>
      </c>
      <c r="R2" s="9">
        <v>18</v>
      </c>
      <c r="S2" s="9">
        <v>19</v>
      </c>
      <c r="T2" s="9">
        <v>20</v>
      </c>
      <c r="U2" s="9">
        <v>21</v>
      </c>
      <c r="V2" s="9">
        <v>22</v>
      </c>
      <c r="W2" s="9">
        <v>23</v>
      </c>
      <c r="X2" s="9">
        <v>24</v>
      </c>
    </row>
    <row r="3" spans="1:24" x14ac:dyDescent="0.25">
      <c r="A3" s="9">
        <v>0</v>
      </c>
      <c r="B3" s="9">
        <v>0</v>
      </c>
      <c r="C3" s="9">
        <v>0</v>
      </c>
      <c r="D3" s="9">
        <v>0</v>
      </c>
      <c r="E3" s="9">
        <v>0</v>
      </c>
      <c r="F3" s="9">
        <v>9259</v>
      </c>
    </row>
    <row r="4" spans="1:24" x14ac:dyDescent="0.25">
      <c r="A4" s="9">
        <v>3801</v>
      </c>
      <c r="B4" s="9">
        <v>35795</v>
      </c>
      <c r="C4" s="9">
        <v>9</v>
      </c>
      <c r="D4" s="9">
        <v>9654783</v>
      </c>
      <c r="E4" s="9">
        <v>9778</v>
      </c>
      <c r="F4" s="9">
        <v>9259</v>
      </c>
      <c r="G4" s="9">
        <v>10071</v>
      </c>
      <c r="H4" s="9">
        <v>11852</v>
      </c>
      <c r="I4" s="9">
        <v>10071</v>
      </c>
      <c r="L4" s="9">
        <v>8275667</v>
      </c>
      <c r="M4" s="9">
        <v>8749757</v>
      </c>
      <c r="P4" s="9">
        <v>9343570</v>
      </c>
      <c r="Q4" s="9">
        <v>9654783</v>
      </c>
      <c r="R4" s="9">
        <v>0</v>
      </c>
      <c r="S4" s="9">
        <v>1</v>
      </c>
      <c r="W4" s="9">
        <v>0</v>
      </c>
      <c r="X4" s="9">
        <v>987.399</v>
      </c>
    </row>
    <row r="5" spans="1:24" x14ac:dyDescent="0.25">
      <c r="A5" s="9">
        <v>13801</v>
      </c>
      <c r="B5" s="9">
        <v>35795</v>
      </c>
      <c r="C5" s="9">
        <v>9</v>
      </c>
      <c r="D5" s="9">
        <v>3990223</v>
      </c>
      <c r="E5" s="9">
        <v>9863</v>
      </c>
      <c r="F5" s="9">
        <v>9259</v>
      </c>
      <c r="G5" s="9">
        <v>10159</v>
      </c>
      <c r="H5" s="9">
        <v>11852</v>
      </c>
      <c r="I5" s="9">
        <v>10159</v>
      </c>
      <c r="L5" s="9">
        <v>3788505</v>
      </c>
      <c r="M5" s="9">
        <v>4016480</v>
      </c>
      <c r="P5" s="9">
        <v>3860022</v>
      </c>
      <c r="Q5" s="9">
        <v>3990223</v>
      </c>
      <c r="R5" s="9">
        <v>0</v>
      </c>
      <c r="S5" s="9">
        <v>1</v>
      </c>
      <c r="W5" s="9">
        <v>0</v>
      </c>
      <c r="X5" s="9">
        <v>404.56800000000004</v>
      </c>
    </row>
    <row r="6" spans="1:24" x14ac:dyDescent="0.25">
      <c r="A6" s="9">
        <v>14801</v>
      </c>
      <c r="B6" s="9">
        <v>35795</v>
      </c>
      <c r="C6" s="9">
        <v>9</v>
      </c>
      <c r="D6" s="9">
        <v>17549860</v>
      </c>
      <c r="E6" s="9">
        <v>11413</v>
      </c>
      <c r="F6" s="9">
        <v>9259</v>
      </c>
      <c r="G6" s="9">
        <v>11755</v>
      </c>
      <c r="H6" s="9">
        <v>11852</v>
      </c>
      <c r="I6" s="9">
        <v>11755</v>
      </c>
      <c r="L6" s="9">
        <v>13601019</v>
      </c>
      <c r="M6" s="9">
        <v>14297047</v>
      </c>
      <c r="P6" s="9">
        <v>17048276</v>
      </c>
      <c r="Q6" s="9">
        <v>17549860</v>
      </c>
      <c r="R6" s="9">
        <v>0</v>
      </c>
      <c r="S6" s="9">
        <v>1</v>
      </c>
      <c r="W6" s="9">
        <v>0</v>
      </c>
      <c r="X6" s="9">
        <v>1537.7640000000001</v>
      </c>
    </row>
    <row r="7" spans="1:24" x14ac:dyDescent="0.25">
      <c r="A7" s="9">
        <v>14803</v>
      </c>
      <c r="B7" s="9">
        <v>35795</v>
      </c>
      <c r="C7" s="9">
        <v>9</v>
      </c>
      <c r="D7" s="9">
        <v>7109163</v>
      </c>
      <c r="E7" s="9">
        <v>10057</v>
      </c>
      <c r="F7" s="9">
        <v>9259</v>
      </c>
      <c r="G7" s="9">
        <v>10359</v>
      </c>
      <c r="H7" s="9">
        <v>11852</v>
      </c>
      <c r="I7" s="9">
        <v>10359</v>
      </c>
      <c r="L7" s="9">
        <v>7439243</v>
      </c>
      <c r="M7" s="9">
        <v>7674080</v>
      </c>
      <c r="P7" s="9">
        <v>6887346</v>
      </c>
      <c r="Q7" s="9">
        <v>7109163</v>
      </c>
      <c r="R7" s="9">
        <v>0</v>
      </c>
      <c r="S7" s="9">
        <v>1</v>
      </c>
      <c r="W7" s="9">
        <v>0</v>
      </c>
      <c r="X7" s="9">
        <v>706.88600000000008</v>
      </c>
    </row>
    <row r="8" spans="1:24" x14ac:dyDescent="0.25">
      <c r="A8" s="9">
        <v>14804</v>
      </c>
      <c r="B8" s="9">
        <v>35795</v>
      </c>
      <c r="C8" s="9">
        <v>9</v>
      </c>
      <c r="D8" s="9">
        <v>16275227</v>
      </c>
      <c r="E8" s="9">
        <v>9365</v>
      </c>
      <c r="F8" s="9">
        <v>9259</v>
      </c>
      <c r="G8" s="9">
        <v>9646</v>
      </c>
      <c r="H8" s="9">
        <v>11852</v>
      </c>
      <c r="I8" s="9">
        <v>9646</v>
      </c>
      <c r="L8" s="9">
        <v>17062384</v>
      </c>
      <c r="M8" s="9">
        <v>17257673</v>
      </c>
      <c r="P8" s="9">
        <v>15745168</v>
      </c>
      <c r="Q8" s="9">
        <v>16275227</v>
      </c>
      <c r="R8" s="9">
        <v>0</v>
      </c>
      <c r="S8" s="9">
        <v>1</v>
      </c>
      <c r="W8" s="9">
        <v>0</v>
      </c>
      <c r="X8" s="9">
        <v>1737.817</v>
      </c>
    </row>
    <row r="9" spans="1:24" x14ac:dyDescent="0.25">
      <c r="A9" s="9">
        <v>15801</v>
      </c>
      <c r="B9" s="9">
        <v>35795</v>
      </c>
      <c r="C9" s="9">
        <v>9</v>
      </c>
      <c r="D9" s="9">
        <v>2205611</v>
      </c>
      <c r="E9" s="9">
        <v>12443</v>
      </c>
      <c r="F9" s="9">
        <v>9259</v>
      </c>
      <c r="G9" s="9">
        <v>12816</v>
      </c>
      <c r="H9" s="9">
        <v>11852</v>
      </c>
      <c r="I9" s="9">
        <v>11852</v>
      </c>
      <c r="L9" s="9">
        <v>1254141</v>
      </c>
      <c r="M9" s="9">
        <v>1360867</v>
      </c>
      <c r="P9" s="9">
        <v>2141727</v>
      </c>
      <c r="Q9" s="9">
        <v>2205611</v>
      </c>
      <c r="R9" s="9">
        <v>0</v>
      </c>
      <c r="S9" s="9">
        <v>1</v>
      </c>
      <c r="W9" s="9">
        <v>0</v>
      </c>
      <c r="X9" s="9">
        <v>177.261</v>
      </c>
    </row>
    <row r="10" spans="1:24" x14ac:dyDescent="0.25">
      <c r="A10" s="9">
        <v>15802</v>
      </c>
      <c r="B10" s="9">
        <v>35795</v>
      </c>
      <c r="C10" s="9">
        <v>9</v>
      </c>
      <c r="D10" s="9">
        <v>8472568</v>
      </c>
      <c r="E10" s="9">
        <v>11215</v>
      </c>
      <c r="F10" s="9">
        <v>9259</v>
      </c>
      <c r="G10" s="9">
        <v>11552</v>
      </c>
      <c r="H10" s="9">
        <v>11852</v>
      </c>
      <c r="I10" s="9">
        <v>11552</v>
      </c>
      <c r="L10" s="9">
        <v>6850666</v>
      </c>
      <c r="M10" s="9">
        <v>7057714</v>
      </c>
      <c r="P10" s="9">
        <v>8215259</v>
      </c>
      <c r="Q10" s="9">
        <v>8472568</v>
      </c>
      <c r="R10" s="9">
        <v>0</v>
      </c>
      <c r="S10" s="9">
        <v>1</v>
      </c>
      <c r="W10" s="9">
        <v>0</v>
      </c>
      <c r="X10" s="9">
        <v>755.45500000000004</v>
      </c>
    </row>
    <row r="11" spans="1:24" x14ac:dyDescent="0.25">
      <c r="A11" s="9">
        <v>15805</v>
      </c>
      <c r="B11" s="9">
        <v>35795</v>
      </c>
      <c r="C11" s="9">
        <v>9</v>
      </c>
      <c r="D11" s="9">
        <v>5326361</v>
      </c>
      <c r="E11" s="9">
        <v>10122</v>
      </c>
      <c r="F11" s="9">
        <v>9259</v>
      </c>
      <c r="G11" s="9">
        <v>10425</v>
      </c>
      <c r="H11" s="9">
        <v>11852</v>
      </c>
      <c r="I11" s="9">
        <v>10425</v>
      </c>
      <c r="L11" s="9">
        <v>1491685</v>
      </c>
      <c r="M11" s="9">
        <v>1549378</v>
      </c>
      <c r="P11" s="9">
        <v>5142973</v>
      </c>
      <c r="Q11" s="9">
        <v>5326361</v>
      </c>
      <c r="R11" s="9">
        <v>0</v>
      </c>
      <c r="S11" s="9">
        <v>1</v>
      </c>
      <c r="W11" s="9">
        <v>0</v>
      </c>
      <c r="X11" s="9">
        <v>526.24099999999999</v>
      </c>
    </row>
    <row r="12" spans="1:24" x14ac:dyDescent="0.25">
      <c r="A12" s="9">
        <v>15806</v>
      </c>
      <c r="B12" s="9">
        <v>35795</v>
      </c>
      <c r="C12" s="9">
        <v>9</v>
      </c>
      <c r="D12" s="9">
        <v>4713666</v>
      </c>
      <c r="E12" s="9">
        <v>11615</v>
      </c>
      <c r="F12" s="9">
        <v>9259</v>
      </c>
      <c r="G12" s="9">
        <v>11963</v>
      </c>
      <c r="H12" s="9">
        <v>11852</v>
      </c>
      <c r="I12" s="9">
        <v>11852</v>
      </c>
      <c r="L12" s="9">
        <v>3550344</v>
      </c>
      <c r="M12" s="9">
        <v>3526989</v>
      </c>
      <c r="P12" s="9">
        <v>4535731</v>
      </c>
      <c r="Q12" s="9">
        <v>4713666</v>
      </c>
      <c r="R12" s="9">
        <v>0</v>
      </c>
      <c r="S12" s="9">
        <v>1</v>
      </c>
      <c r="W12" s="9">
        <v>0</v>
      </c>
      <c r="X12" s="9">
        <v>405.83300000000003</v>
      </c>
    </row>
    <row r="13" spans="1:24" x14ac:dyDescent="0.25">
      <c r="A13" s="9">
        <v>15807</v>
      </c>
      <c r="B13" s="9">
        <v>35795</v>
      </c>
      <c r="C13" s="9">
        <v>9</v>
      </c>
      <c r="D13" s="9">
        <v>8980823</v>
      </c>
      <c r="E13" s="9">
        <v>10749</v>
      </c>
      <c r="F13" s="9">
        <v>9259</v>
      </c>
      <c r="G13" s="9">
        <v>11071</v>
      </c>
      <c r="H13" s="9">
        <v>11852</v>
      </c>
      <c r="I13" s="9">
        <v>11071</v>
      </c>
      <c r="L13" s="9">
        <v>7413118</v>
      </c>
      <c r="M13" s="9">
        <v>7701052</v>
      </c>
      <c r="P13" s="9">
        <v>8706541</v>
      </c>
      <c r="Q13" s="9">
        <v>8980823</v>
      </c>
      <c r="R13" s="9">
        <v>0</v>
      </c>
      <c r="S13" s="9">
        <v>1</v>
      </c>
      <c r="W13" s="9">
        <v>0</v>
      </c>
      <c r="X13" s="9">
        <v>835.51</v>
      </c>
    </row>
    <row r="14" spans="1:24" x14ac:dyDescent="0.25">
      <c r="A14" s="9">
        <v>15808</v>
      </c>
      <c r="B14" s="9">
        <v>35795</v>
      </c>
      <c r="C14" s="9">
        <v>9</v>
      </c>
      <c r="D14" s="9">
        <v>10726943</v>
      </c>
      <c r="E14" s="9">
        <v>13967</v>
      </c>
      <c r="F14" s="9">
        <v>9259</v>
      </c>
      <c r="G14" s="9">
        <v>14385</v>
      </c>
      <c r="H14" s="9">
        <v>11852</v>
      </c>
      <c r="I14" s="9">
        <v>11852</v>
      </c>
      <c r="L14" s="9">
        <v>6815754</v>
      </c>
      <c r="M14" s="9">
        <v>6636816</v>
      </c>
      <c r="P14" s="9">
        <v>10468941</v>
      </c>
      <c r="Q14" s="9">
        <v>10726943</v>
      </c>
      <c r="R14" s="9">
        <v>0</v>
      </c>
      <c r="S14" s="9">
        <v>1</v>
      </c>
      <c r="W14" s="9">
        <v>0</v>
      </c>
      <c r="X14" s="9">
        <v>768.048</v>
      </c>
    </row>
    <row r="15" spans="1:24" x14ac:dyDescent="0.25">
      <c r="A15" s="9">
        <v>15809</v>
      </c>
      <c r="B15" s="9">
        <v>35795</v>
      </c>
      <c r="C15" s="9">
        <v>9</v>
      </c>
      <c r="D15" s="9">
        <v>3032102</v>
      </c>
      <c r="E15" s="9">
        <v>10875</v>
      </c>
      <c r="F15" s="9">
        <v>9259</v>
      </c>
      <c r="G15" s="9">
        <v>11201</v>
      </c>
      <c r="H15" s="9">
        <v>11852</v>
      </c>
      <c r="I15" s="9">
        <v>11201</v>
      </c>
      <c r="L15" s="9">
        <v>2448395</v>
      </c>
      <c r="M15" s="9">
        <v>2531733</v>
      </c>
      <c r="P15" s="9">
        <v>2945529</v>
      </c>
      <c r="Q15" s="9">
        <v>3032102</v>
      </c>
      <c r="R15" s="9">
        <v>0</v>
      </c>
      <c r="S15" s="9">
        <v>1</v>
      </c>
      <c r="W15" s="9">
        <v>0</v>
      </c>
      <c r="X15" s="9">
        <v>278.81100000000004</v>
      </c>
    </row>
    <row r="16" spans="1:24" x14ac:dyDescent="0.25">
      <c r="A16" s="9">
        <v>15814</v>
      </c>
      <c r="B16" s="9">
        <v>35795</v>
      </c>
      <c r="C16" s="9">
        <v>9</v>
      </c>
      <c r="D16" s="9">
        <v>1264019</v>
      </c>
      <c r="E16" s="9">
        <v>11379</v>
      </c>
      <c r="F16" s="9">
        <v>9259</v>
      </c>
      <c r="G16" s="9">
        <v>11720</v>
      </c>
      <c r="H16" s="9">
        <v>11852</v>
      </c>
      <c r="I16" s="9">
        <v>11720</v>
      </c>
      <c r="L16" s="9">
        <v>663188</v>
      </c>
      <c r="M16" s="9">
        <v>728829</v>
      </c>
      <c r="P16" s="9">
        <v>1231363</v>
      </c>
      <c r="Q16" s="9">
        <v>1264019</v>
      </c>
      <c r="R16" s="9">
        <v>0</v>
      </c>
      <c r="S16" s="9">
        <v>1</v>
      </c>
      <c r="W16" s="9">
        <v>0</v>
      </c>
      <c r="X16" s="9">
        <v>111.08500000000001</v>
      </c>
    </row>
    <row r="17" spans="1:24" x14ac:dyDescent="0.25">
      <c r="A17" s="9">
        <v>15815</v>
      </c>
      <c r="B17" s="9">
        <v>35795</v>
      </c>
      <c r="C17" s="9">
        <v>9</v>
      </c>
      <c r="D17" s="9">
        <v>6312008</v>
      </c>
      <c r="E17" s="9">
        <v>10384</v>
      </c>
      <c r="F17" s="9">
        <v>9259</v>
      </c>
      <c r="G17" s="9">
        <v>10696</v>
      </c>
      <c r="H17" s="9">
        <v>11852</v>
      </c>
      <c r="I17" s="9">
        <v>10696</v>
      </c>
      <c r="L17" s="9">
        <v>5753655</v>
      </c>
      <c r="M17" s="9">
        <v>5957241</v>
      </c>
      <c r="P17" s="9">
        <v>6124879</v>
      </c>
      <c r="Q17" s="9">
        <v>6312008</v>
      </c>
      <c r="R17" s="9">
        <v>0</v>
      </c>
      <c r="S17" s="9">
        <v>1</v>
      </c>
      <c r="W17" s="9">
        <v>0</v>
      </c>
      <c r="X17" s="9">
        <v>607.85900000000004</v>
      </c>
    </row>
    <row r="18" spans="1:24" x14ac:dyDescent="0.25">
      <c r="A18" s="9">
        <v>15822</v>
      </c>
      <c r="B18" s="9">
        <v>35795</v>
      </c>
      <c r="C18" s="9">
        <v>9</v>
      </c>
      <c r="D18" s="9">
        <v>60527329</v>
      </c>
      <c r="E18" s="9">
        <v>10157</v>
      </c>
      <c r="F18" s="9">
        <v>9259</v>
      </c>
      <c r="G18" s="9">
        <v>10461</v>
      </c>
      <c r="H18" s="9">
        <v>11852</v>
      </c>
      <c r="I18" s="9">
        <v>10461</v>
      </c>
      <c r="L18" s="9">
        <v>53634254</v>
      </c>
      <c r="M18" s="9">
        <v>56875860</v>
      </c>
      <c r="P18" s="9">
        <v>58778779</v>
      </c>
      <c r="Q18" s="9">
        <v>60527329</v>
      </c>
      <c r="R18" s="9">
        <v>0</v>
      </c>
      <c r="S18" s="9">
        <v>1</v>
      </c>
      <c r="W18" s="9">
        <v>0</v>
      </c>
      <c r="X18" s="9">
        <v>5959.4009999999998</v>
      </c>
    </row>
    <row r="19" spans="1:24" x14ac:dyDescent="0.25">
      <c r="A19" s="9">
        <v>15825</v>
      </c>
      <c r="B19" s="9">
        <v>35795</v>
      </c>
      <c r="C19" s="9">
        <v>9</v>
      </c>
      <c r="D19" s="9">
        <v>2953795</v>
      </c>
      <c r="E19" s="9">
        <v>10495</v>
      </c>
      <c r="F19" s="9">
        <v>9259</v>
      </c>
      <c r="G19" s="9">
        <v>10810</v>
      </c>
      <c r="H19" s="9">
        <v>11852</v>
      </c>
      <c r="I19" s="9">
        <v>10810</v>
      </c>
      <c r="L19" s="9">
        <v>3289381</v>
      </c>
      <c r="M19" s="9">
        <v>3657244</v>
      </c>
      <c r="P19" s="9">
        <v>2860077</v>
      </c>
      <c r="Q19" s="9">
        <v>2953795</v>
      </c>
      <c r="R19" s="9">
        <v>0</v>
      </c>
      <c r="S19" s="9">
        <v>1</v>
      </c>
      <c r="W19" s="9">
        <v>0</v>
      </c>
      <c r="X19" s="9">
        <v>281.44800000000004</v>
      </c>
    </row>
    <row r="20" spans="1:24" x14ac:dyDescent="0.25">
      <c r="A20" s="9">
        <v>15827</v>
      </c>
      <c r="B20" s="9">
        <v>35795</v>
      </c>
      <c r="C20" s="9">
        <v>9</v>
      </c>
      <c r="D20" s="9">
        <v>20183769</v>
      </c>
      <c r="E20" s="9">
        <v>9833</v>
      </c>
      <c r="F20" s="9">
        <v>9259</v>
      </c>
      <c r="G20" s="9">
        <v>10128</v>
      </c>
      <c r="H20" s="9">
        <v>11852</v>
      </c>
      <c r="I20" s="9">
        <v>10128</v>
      </c>
      <c r="L20" s="9">
        <v>35257861</v>
      </c>
      <c r="M20" s="9">
        <v>38799083</v>
      </c>
      <c r="P20" s="9">
        <v>19637644</v>
      </c>
      <c r="Q20" s="9">
        <v>20183769</v>
      </c>
      <c r="R20" s="9">
        <v>0</v>
      </c>
      <c r="S20" s="9">
        <v>1</v>
      </c>
      <c r="W20" s="9">
        <v>0</v>
      </c>
      <c r="X20" s="9">
        <v>2052.6770000000001</v>
      </c>
    </row>
    <row r="21" spans="1:24" x14ac:dyDescent="0.25">
      <c r="A21" s="9">
        <v>15828</v>
      </c>
      <c r="B21" s="9">
        <v>35795</v>
      </c>
      <c r="C21" s="9">
        <v>9</v>
      </c>
      <c r="D21" s="9">
        <v>43777141</v>
      </c>
      <c r="E21" s="9">
        <v>10558</v>
      </c>
      <c r="F21" s="9">
        <v>9259</v>
      </c>
      <c r="G21" s="9">
        <v>10875</v>
      </c>
      <c r="H21" s="9">
        <v>11852</v>
      </c>
      <c r="I21" s="9">
        <v>10875</v>
      </c>
      <c r="L21" s="9">
        <v>43131479</v>
      </c>
      <c r="M21" s="9">
        <v>46452649</v>
      </c>
      <c r="P21" s="9">
        <v>42426015</v>
      </c>
      <c r="Q21" s="9">
        <v>43777141</v>
      </c>
      <c r="R21" s="9">
        <v>0</v>
      </c>
      <c r="S21" s="9">
        <v>1</v>
      </c>
      <c r="W21" s="9">
        <v>0</v>
      </c>
      <c r="X21" s="9">
        <v>4146.1860000000006</v>
      </c>
    </row>
    <row r="22" spans="1:24" x14ac:dyDescent="0.25">
      <c r="A22" s="9">
        <v>15830</v>
      </c>
      <c r="B22" s="9">
        <v>35795</v>
      </c>
      <c r="C22" s="9">
        <v>9</v>
      </c>
      <c r="D22" s="9">
        <v>31321786</v>
      </c>
      <c r="E22" s="9">
        <v>10299</v>
      </c>
      <c r="F22" s="9">
        <v>9259</v>
      </c>
      <c r="G22" s="9">
        <v>10608</v>
      </c>
      <c r="H22" s="9">
        <v>11852</v>
      </c>
      <c r="I22" s="9">
        <v>10608</v>
      </c>
      <c r="L22" s="9">
        <v>29840868</v>
      </c>
      <c r="M22" s="9">
        <v>30536091</v>
      </c>
      <c r="P22" s="9">
        <v>30356873</v>
      </c>
      <c r="Q22" s="9">
        <v>31321786</v>
      </c>
      <c r="R22" s="9">
        <v>0</v>
      </c>
      <c r="S22" s="9">
        <v>1</v>
      </c>
      <c r="W22" s="9">
        <v>0</v>
      </c>
      <c r="X22" s="9">
        <v>3041.2960000000003</v>
      </c>
    </row>
    <row r="23" spans="1:24" x14ac:dyDescent="0.25">
      <c r="A23" s="9">
        <v>15831</v>
      </c>
      <c r="B23" s="9">
        <v>35795</v>
      </c>
      <c r="C23" s="9">
        <v>9</v>
      </c>
      <c r="D23" s="9">
        <v>29622773</v>
      </c>
      <c r="E23" s="9">
        <v>9715</v>
      </c>
      <c r="F23" s="9">
        <v>9259</v>
      </c>
      <c r="G23" s="9">
        <v>10007</v>
      </c>
      <c r="H23" s="9">
        <v>11852</v>
      </c>
      <c r="I23" s="9">
        <v>10007</v>
      </c>
      <c r="L23" s="9">
        <v>46623587</v>
      </c>
      <c r="M23" s="9">
        <v>49901559</v>
      </c>
      <c r="P23" s="9">
        <v>28928185</v>
      </c>
      <c r="Q23" s="9">
        <v>29622773</v>
      </c>
      <c r="R23" s="9">
        <v>0</v>
      </c>
      <c r="S23" s="9">
        <v>1</v>
      </c>
      <c r="W23" s="9">
        <v>0</v>
      </c>
      <c r="X23" s="9">
        <v>3049.1060000000002</v>
      </c>
    </row>
    <row r="24" spans="1:24" x14ac:dyDescent="0.25">
      <c r="A24" s="9">
        <v>15833</v>
      </c>
      <c r="B24" s="9">
        <v>35795</v>
      </c>
      <c r="C24" s="9">
        <v>9</v>
      </c>
      <c r="D24" s="9">
        <v>1083515</v>
      </c>
      <c r="E24" s="9">
        <v>10282</v>
      </c>
      <c r="F24" s="9">
        <v>9259</v>
      </c>
      <c r="G24" s="9">
        <v>10591</v>
      </c>
      <c r="H24" s="9">
        <v>11852</v>
      </c>
      <c r="I24" s="9">
        <v>10591</v>
      </c>
      <c r="L24" s="9">
        <v>746887</v>
      </c>
      <c r="M24" s="9">
        <v>690744</v>
      </c>
      <c r="P24" s="9">
        <v>1045668</v>
      </c>
      <c r="Q24" s="9">
        <v>1083515</v>
      </c>
      <c r="R24" s="9">
        <v>0</v>
      </c>
      <c r="S24" s="9">
        <v>1</v>
      </c>
      <c r="W24" s="9">
        <v>0</v>
      </c>
      <c r="X24" s="9">
        <v>105.376</v>
      </c>
    </row>
    <row r="25" spans="1:24" x14ac:dyDescent="0.25">
      <c r="A25" s="9">
        <v>15834</v>
      </c>
      <c r="B25" s="9">
        <v>35795</v>
      </c>
      <c r="C25" s="9">
        <v>9</v>
      </c>
      <c r="D25" s="9">
        <v>19989568</v>
      </c>
      <c r="E25" s="9">
        <v>8176</v>
      </c>
      <c r="F25" s="9">
        <v>9259</v>
      </c>
      <c r="G25" s="9">
        <v>8421</v>
      </c>
      <c r="H25" s="9">
        <v>11852</v>
      </c>
      <c r="I25" s="9">
        <v>8421</v>
      </c>
      <c r="L25" s="9">
        <v>27302351</v>
      </c>
      <c r="M25" s="9">
        <v>28644275</v>
      </c>
      <c r="P25" s="9">
        <v>19201713</v>
      </c>
      <c r="Q25" s="9">
        <v>19989568</v>
      </c>
      <c r="R25" s="9">
        <v>0</v>
      </c>
      <c r="S25" s="9">
        <v>1</v>
      </c>
      <c r="W25" s="9">
        <v>0</v>
      </c>
      <c r="X25" s="9">
        <v>2444.9949999999999</v>
      </c>
    </row>
    <row r="26" spans="1:24" x14ac:dyDescent="0.25">
      <c r="A26" s="9">
        <v>15835</v>
      </c>
      <c r="B26" s="9">
        <v>35795</v>
      </c>
      <c r="C26" s="9">
        <v>9</v>
      </c>
      <c r="D26" s="9">
        <v>40477848</v>
      </c>
      <c r="E26" s="9">
        <v>8780</v>
      </c>
      <c r="F26" s="9">
        <v>9259</v>
      </c>
      <c r="G26" s="9">
        <v>9044</v>
      </c>
      <c r="H26" s="9">
        <v>11852</v>
      </c>
      <c r="I26" s="9">
        <v>9044</v>
      </c>
      <c r="L26" s="9">
        <v>69162890</v>
      </c>
      <c r="M26" s="9">
        <v>71562364</v>
      </c>
      <c r="P26" s="9">
        <v>39378821</v>
      </c>
      <c r="Q26" s="9">
        <v>40477848</v>
      </c>
      <c r="R26" s="9">
        <v>0</v>
      </c>
      <c r="S26" s="9">
        <v>1</v>
      </c>
      <c r="W26" s="9">
        <v>0</v>
      </c>
      <c r="X26" s="9">
        <v>4610.0110000000004</v>
      </c>
    </row>
    <row r="27" spans="1:24" x14ac:dyDescent="0.25">
      <c r="A27" s="9">
        <v>15836</v>
      </c>
      <c r="B27" s="9">
        <v>35795</v>
      </c>
      <c r="C27" s="9">
        <v>9</v>
      </c>
      <c r="D27" s="9">
        <v>3514684</v>
      </c>
      <c r="E27" s="9">
        <v>8597</v>
      </c>
      <c r="F27" s="9">
        <v>9259</v>
      </c>
      <c r="G27" s="9">
        <v>8854</v>
      </c>
      <c r="H27" s="9">
        <v>11852</v>
      </c>
      <c r="I27" s="9">
        <v>8854</v>
      </c>
      <c r="L27" s="9">
        <v>3994722</v>
      </c>
      <c r="M27" s="9">
        <v>4167506</v>
      </c>
      <c r="P27" s="9">
        <v>3410772</v>
      </c>
      <c r="Q27" s="9">
        <v>3514684</v>
      </c>
      <c r="R27" s="9">
        <v>0</v>
      </c>
      <c r="S27" s="9">
        <v>1</v>
      </c>
      <c r="W27" s="9">
        <v>0</v>
      </c>
      <c r="X27" s="9">
        <v>408.84700000000004</v>
      </c>
    </row>
    <row r="28" spans="1:24" x14ac:dyDescent="0.25">
      <c r="A28" s="9">
        <v>15838</v>
      </c>
      <c r="B28" s="9">
        <v>35795</v>
      </c>
      <c r="C28" s="9">
        <v>9</v>
      </c>
      <c r="D28" s="9">
        <v>3345852</v>
      </c>
      <c r="E28" s="9">
        <v>10032</v>
      </c>
      <c r="F28" s="9">
        <v>9259</v>
      </c>
      <c r="G28" s="9">
        <v>10333</v>
      </c>
      <c r="H28" s="9">
        <v>11852</v>
      </c>
      <c r="I28" s="9">
        <v>10333</v>
      </c>
      <c r="L28" s="9">
        <v>16251104</v>
      </c>
      <c r="M28" s="9">
        <v>17950248</v>
      </c>
      <c r="P28" s="9">
        <v>3289647</v>
      </c>
      <c r="Q28" s="9">
        <v>3345852</v>
      </c>
      <c r="R28" s="9">
        <v>0</v>
      </c>
      <c r="S28" s="9">
        <v>1</v>
      </c>
      <c r="W28" s="9">
        <v>0</v>
      </c>
      <c r="X28" s="9">
        <v>333.50600000000003</v>
      </c>
    </row>
    <row r="29" spans="1:24" x14ac:dyDescent="0.25">
      <c r="A29" s="9">
        <v>15839</v>
      </c>
      <c r="B29" s="9">
        <v>35795</v>
      </c>
      <c r="C29" s="9">
        <v>9</v>
      </c>
      <c r="D29" s="9">
        <v>0</v>
      </c>
      <c r="E29" s="9">
        <v>0</v>
      </c>
      <c r="F29" s="9">
        <v>9259</v>
      </c>
      <c r="G29" s="9">
        <v>0</v>
      </c>
      <c r="H29" s="9">
        <v>11852</v>
      </c>
      <c r="I29" s="9">
        <v>0</v>
      </c>
      <c r="L29" s="9">
        <v>0</v>
      </c>
      <c r="M29" s="9">
        <v>2718052</v>
      </c>
      <c r="P29" s="9">
        <v>0</v>
      </c>
      <c r="Q29" s="9">
        <v>0</v>
      </c>
      <c r="R29" s="9">
        <v>0</v>
      </c>
      <c r="S29" s="9">
        <v>1</v>
      </c>
      <c r="W29" s="9">
        <v>0</v>
      </c>
      <c r="X29" s="9">
        <v>0</v>
      </c>
    </row>
    <row r="30" spans="1:24" x14ac:dyDescent="0.25">
      <c r="A30" s="9">
        <v>15840</v>
      </c>
      <c r="B30" s="9">
        <v>35795</v>
      </c>
      <c r="C30" s="9">
        <v>9</v>
      </c>
      <c r="D30" s="9">
        <v>0</v>
      </c>
      <c r="E30" s="9">
        <v>0</v>
      </c>
      <c r="F30" s="9">
        <v>9259</v>
      </c>
      <c r="G30" s="9">
        <v>0</v>
      </c>
      <c r="H30" s="9">
        <v>11852</v>
      </c>
      <c r="I30" s="9">
        <v>0</v>
      </c>
      <c r="L30" s="9">
        <v>0</v>
      </c>
      <c r="M30" s="9">
        <v>1818048</v>
      </c>
      <c r="P30" s="9">
        <v>0</v>
      </c>
      <c r="Q30" s="9">
        <v>0</v>
      </c>
      <c r="R30" s="9">
        <v>0</v>
      </c>
      <c r="S30" s="9">
        <v>1</v>
      </c>
      <c r="W30" s="9">
        <v>0</v>
      </c>
      <c r="X30" s="9">
        <v>0</v>
      </c>
    </row>
    <row r="31" spans="1:24" x14ac:dyDescent="0.25">
      <c r="A31" s="9">
        <v>15841</v>
      </c>
      <c r="B31" s="9">
        <v>35795</v>
      </c>
      <c r="C31" s="9">
        <v>9</v>
      </c>
      <c r="D31" s="9">
        <v>0</v>
      </c>
      <c r="E31" s="9">
        <v>0</v>
      </c>
      <c r="F31" s="9">
        <v>9259</v>
      </c>
      <c r="G31" s="9">
        <v>0</v>
      </c>
      <c r="H31" s="9">
        <v>11852</v>
      </c>
      <c r="I31" s="9">
        <v>0</v>
      </c>
      <c r="L31" s="9">
        <v>0</v>
      </c>
      <c r="M31" s="9">
        <v>6208085</v>
      </c>
      <c r="P31" s="9">
        <v>0</v>
      </c>
      <c r="Q31" s="9">
        <v>0</v>
      </c>
      <c r="R31" s="9">
        <v>0</v>
      </c>
      <c r="S31" s="9">
        <v>1</v>
      </c>
      <c r="W31" s="9">
        <v>0</v>
      </c>
      <c r="X31" s="9">
        <v>0</v>
      </c>
    </row>
    <row r="32" spans="1:24" x14ac:dyDescent="0.25">
      <c r="A32" s="9">
        <v>15842</v>
      </c>
      <c r="B32" s="9">
        <v>35795</v>
      </c>
      <c r="C32" s="9">
        <v>9</v>
      </c>
      <c r="D32" s="9">
        <v>0</v>
      </c>
      <c r="E32" s="9">
        <v>0</v>
      </c>
      <c r="F32" s="9">
        <v>9259</v>
      </c>
      <c r="G32" s="9">
        <v>0</v>
      </c>
      <c r="H32" s="9">
        <v>11852</v>
      </c>
      <c r="I32" s="9">
        <v>0</v>
      </c>
      <c r="L32" s="9">
        <v>0</v>
      </c>
      <c r="M32" s="9">
        <v>1313320</v>
      </c>
      <c r="P32" s="9">
        <v>0</v>
      </c>
      <c r="Q32" s="9">
        <v>0</v>
      </c>
      <c r="R32" s="9">
        <v>0</v>
      </c>
      <c r="S32" s="9">
        <v>1</v>
      </c>
      <c r="W32" s="9">
        <v>0</v>
      </c>
      <c r="X32" s="9">
        <v>0</v>
      </c>
    </row>
    <row r="33" spans="1:24" x14ac:dyDescent="0.25">
      <c r="A33" s="9">
        <v>15843</v>
      </c>
      <c r="B33" s="9">
        <v>35795</v>
      </c>
      <c r="C33" s="9">
        <v>9</v>
      </c>
      <c r="D33" s="9">
        <v>0</v>
      </c>
      <c r="E33" s="9">
        <v>0</v>
      </c>
      <c r="F33" s="9">
        <v>9259</v>
      </c>
      <c r="G33" s="9">
        <v>0</v>
      </c>
      <c r="H33" s="9">
        <v>11852</v>
      </c>
      <c r="I33" s="9">
        <v>0</v>
      </c>
      <c r="L33" s="9">
        <v>0</v>
      </c>
      <c r="M33" s="9">
        <v>436933</v>
      </c>
      <c r="P33" s="9">
        <v>0</v>
      </c>
      <c r="Q33" s="9">
        <v>0</v>
      </c>
      <c r="R33" s="9">
        <v>0</v>
      </c>
      <c r="S33" s="9">
        <v>1</v>
      </c>
      <c r="W33" s="9">
        <v>0</v>
      </c>
      <c r="X33" s="9">
        <v>0</v>
      </c>
    </row>
    <row r="34" spans="1:24" x14ac:dyDescent="0.25">
      <c r="A34" s="9">
        <v>15844</v>
      </c>
      <c r="B34" s="9">
        <v>0</v>
      </c>
      <c r="C34" s="9">
        <v>0</v>
      </c>
      <c r="D34" s="9">
        <v>0</v>
      </c>
      <c r="E34" s="9">
        <v>0</v>
      </c>
      <c r="F34" s="9">
        <v>0</v>
      </c>
      <c r="G34" s="9">
        <v>0</v>
      </c>
      <c r="H34" s="9">
        <v>0</v>
      </c>
      <c r="I34" s="9">
        <v>0</v>
      </c>
      <c r="J34" s="9">
        <v>0</v>
      </c>
      <c r="K34" s="9">
        <v>0</v>
      </c>
      <c r="L34" s="9">
        <v>0</v>
      </c>
      <c r="M34" s="9">
        <v>0</v>
      </c>
      <c r="N34" s="9">
        <v>0</v>
      </c>
      <c r="O34" s="9">
        <v>0</v>
      </c>
      <c r="P34" s="9">
        <v>0</v>
      </c>
      <c r="Q34" s="9">
        <v>0</v>
      </c>
      <c r="R34" s="9">
        <v>0</v>
      </c>
      <c r="S34" s="9">
        <v>0</v>
      </c>
      <c r="T34" s="9">
        <v>0</v>
      </c>
      <c r="U34" s="9">
        <v>0</v>
      </c>
      <c r="V34" s="9">
        <v>0</v>
      </c>
      <c r="W34" s="9">
        <v>0</v>
      </c>
      <c r="X34" s="9">
        <v>0</v>
      </c>
    </row>
    <row r="35" spans="1:24" x14ac:dyDescent="0.25">
      <c r="A35" s="9">
        <v>21803</v>
      </c>
      <c r="B35" s="9">
        <v>35795</v>
      </c>
      <c r="C35" s="9">
        <v>9</v>
      </c>
      <c r="D35" s="9">
        <v>3198357</v>
      </c>
      <c r="E35" s="9">
        <v>10818</v>
      </c>
      <c r="F35" s="9">
        <v>9259</v>
      </c>
      <c r="G35" s="9">
        <v>11142</v>
      </c>
      <c r="H35" s="9">
        <v>11852</v>
      </c>
      <c r="I35" s="9">
        <v>11142</v>
      </c>
      <c r="L35" s="9">
        <v>2992693</v>
      </c>
      <c r="M35" s="9">
        <v>3147034</v>
      </c>
      <c r="P35" s="9">
        <v>3096450</v>
      </c>
      <c r="Q35" s="9">
        <v>3198357</v>
      </c>
      <c r="R35" s="9">
        <v>0</v>
      </c>
      <c r="S35" s="9">
        <v>1</v>
      </c>
      <c r="W35" s="9">
        <v>0</v>
      </c>
      <c r="X35" s="9">
        <v>295.654</v>
      </c>
    </row>
    <row r="36" spans="1:24" x14ac:dyDescent="0.25">
      <c r="A36" s="9">
        <v>21805</v>
      </c>
      <c r="B36" s="9">
        <v>35795</v>
      </c>
      <c r="C36" s="9">
        <v>9</v>
      </c>
      <c r="D36" s="9">
        <v>7285559</v>
      </c>
      <c r="E36" s="9">
        <v>10240</v>
      </c>
      <c r="F36" s="9">
        <v>9259</v>
      </c>
      <c r="G36" s="9">
        <v>10547</v>
      </c>
      <c r="H36" s="9">
        <v>11852</v>
      </c>
      <c r="I36" s="9">
        <v>10547</v>
      </c>
      <c r="L36" s="9">
        <v>5835041</v>
      </c>
      <c r="M36" s="9">
        <v>5991900</v>
      </c>
      <c r="P36" s="9">
        <v>7079624</v>
      </c>
      <c r="Q36" s="9">
        <v>7285559</v>
      </c>
      <c r="R36" s="9">
        <v>0</v>
      </c>
      <c r="S36" s="9">
        <v>1</v>
      </c>
      <c r="W36" s="9">
        <v>0</v>
      </c>
      <c r="X36" s="9">
        <v>711.49800000000005</v>
      </c>
    </row>
    <row r="37" spans="1:24" x14ac:dyDescent="0.25">
      <c r="A37" s="9">
        <v>43801</v>
      </c>
      <c r="B37" s="9">
        <v>35795</v>
      </c>
      <c r="C37" s="9">
        <v>9</v>
      </c>
      <c r="D37" s="9">
        <v>11544765</v>
      </c>
      <c r="E37" s="9">
        <v>8550</v>
      </c>
      <c r="F37" s="9">
        <v>9259</v>
      </c>
      <c r="G37" s="9">
        <v>8807</v>
      </c>
      <c r="H37" s="9">
        <v>11852</v>
      </c>
      <c r="I37" s="9">
        <v>8807</v>
      </c>
      <c r="L37" s="9">
        <v>11544368</v>
      </c>
      <c r="M37" s="9">
        <v>11789377</v>
      </c>
      <c r="P37" s="9">
        <v>11115215</v>
      </c>
      <c r="Q37" s="9">
        <v>11544765</v>
      </c>
      <c r="R37" s="9">
        <v>0</v>
      </c>
      <c r="S37" s="9">
        <v>1</v>
      </c>
      <c r="W37" s="9">
        <v>0</v>
      </c>
      <c r="X37" s="9">
        <v>1350.2250000000001</v>
      </c>
    </row>
    <row r="38" spans="1:24" x14ac:dyDescent="0.25">
      <c r="A38" s="9">
        <v>43802</v>
      </c>
      <c r="B38" s="9">
        <v>35795</v>
      </c>
      <c r="C38" s="9">
        <v>9</v>
      </c>
      <c r="D38" s="9">
        <v>1505291</v>
      </c>
      <c r="E38" s="9">
        <v>8436</v>
      </c>
      <c r="F38" s="9">
        <v>9259</v>
      </c>
      <c r="G38" s="9">
        <v>8689</v>
      </c>
      <c r="H38" s="9">
        <v>11852</v>
      </c>
      <c r="I38" s="9">
        <v>8689</v>
      </c>
      <c r="L38" s="9">
        <v>1284031</v>
      </c>
      <c r="M38" s="9">
        <v>1292311</v>
      </c>
      <c r="P38" s="9">
        <v>1454098</v>
      </c>
      <c r="Q38" s="9">
        <v>1505291</v>
      </c>
      <c r="R38" s="9">
        <v>0</v>
      </c>
      <c r="S38" s="9">
        <v>1</v>
      </c>
      <c r="W38" s="9">
        <v>0</v>
      </c>
      <c r="X38" s="9">
        <v>178.446</v>
      </c>
    </row>
    <row r="39" spans="1:24" x14ac:dyDescent="0.25">
      <c r="A39" s="9">
        <v>46802</v>
      </c>
      <c r="B39" s="9">
        <v>35795</v>
      </c>
      <c r="C39" s="9">
        <v>9</v>
      </c>
      <c r="D39" s="9">
        <v>7429464</v>
      </c>
      <c r="E39" s="9">
        <v>18453</v>
      </c>
      <c r="F39" s="9">
        <v>9259</v>
      </c>
      <c r="G39" s="9">
        <v>19006</v>
      </c>
      <c r="H39" s="9">
        <v>11852</v>
      </c>
      <c r="I39" s="9">
        <v>11852</v>
      </c>
      <c r="L39" s="9">
        <v>3795834</v>
      </c>
      <c r="M39" s="9">
        <v>5743953</v>
      </c>
      <c r="P39" s="9">
        <v>7297699</v>
      </c>
      <c r="Q39" s="9">
        <v>7429464</v>
      </c>
      <c r="R39" s="9">
        <v>0</v>
      </c>
      <c r="S39" s="9">
        <v>1</v>
      </c>
      <c r="W39" s="9">
        <v>0</v>
      </c>
      <c r="X39" s="9">
        <v>402.625</v>
      </c>
    </row>
    <row r="40" spans="1:24" x14ac:dyDescent="0.25">
      <c r="A40" s="9">
        <v>57802</v>
      </c>
      <c r="B40" s="9">
        <v>35795</v>
      </c>
      <c r="C40" s="9">
        <v>9</v>
      </c>
      <c r="D40" s="9">
        <v>6116473</v>
      </c>
      <c r="E40" s="9">
        <v>10788</v>
      </c>
      <c r="F40" s="9">
        <v>9259</v>
      </c>
      <c r="G40" s="9">
        <v>11111</v>
      </c>
      <c r="H40" s="9">
        <v>11852</v>
      </c>
      <c r="I40" s="9">
        <v>11111</v>
      </c>
      <c r="L40" s="9">
        <v>4850179</v>
      </c>
      <c r="M40" s="9">
        <v>5097275</v>
      </c>
      <c r="P40" s="9">
        <v>5916468</v>
      </c>
      <c r="Q40" s="9">
        <v>6116473</v>
      </c>
      <c r="R40" s="9">
        <v>0</v>
      </c>
      <c r="S40" s="9">
        <v>1</v>
      </c>
      <c r="W40" s="9">
        <v>0</v>
      </c>
      <c r="X40" s="9">
        <v>566.98</v>
      </c>
    </row>
    <row r="41" spans="1:24" x14ac:dyDescent="0.25">
      <c r="A41" s="9">
        <v>57803</v>
      </c>
      <c r="B41" s="9">
        <v>35795</v>
      </c>
      <c r="C41" s="9">
        <v>9</v>
      </c>
      <c r="D41" s="9">
        <v>190863253</v>
      </c>
      <c r="E41" s="9">
        <v>10178</v>
      </c>
      <c r="F41" s="9">
        <v>9259</v>
      </c>
      <c r="G41" s="9">
        <v>10484</v>
      </c>
      <c r="H41" s="9">
        <v>11852</v>
      </c>
      <c r="I41" s="9">
        <v>10484</v>
      </c>
      <c r="L41" s="9">
        <v>208117037</v>
      </c>
      <c r="M41" s="9">
        <v>220478511</v>
      </c>
      <c r="P41" s="9">
        <v>185258664</v>
      </c>
      <c r="Q41" s="9">
        <v>190863253</v>
      </c>
      <c r="R41" s="9">
        <v>0</v>
      </c>
      <c r="S41" s="9">
        <v>1</v>
      </c>
      <c r="W41" s="9">
        <v>0</v>
      </c>
      <c r="X41" s="9">
        <v>18751.648000000001</v>
      </c>
    </row>
    <row r="42" spans="1:24" x14ac:dyDescent="0.25">
      <c r="A42" s="9">
        <v>57804</v>
      </c>
      <c r="B42" s="9">
        <v>35795</v>
      </c>
      <c r="C42" s="9">
        <v>9</v>
      </c>
      <c r="D42" s="9">
        <v>49057636</v>
      </c>
      <c r="E42" s="9">
        <v>10963</v>
      </c>
      <c r="F42" s="9">
        <v>9259</v>
      </c>
      <c r="G42" s="9">
        <v>11292</v>
      </c>
      <c r="H42" s="9">
        <v>11852</v>
      </c>
      <c r="I42" s="9">
        <v>11292</v>
      </c>
      <c r="L42" s="9">
        <v>38569320</v>
      </c>
      <c r="M42" s="9">
        <v>42854106</v>
      </c>
      <c r="P42" s="9">
        <v>47590801</v>
      </c>
      <c r="Q42" s="9">
        <v>49057636</v>
      </c>
      <c r="R42" s="9">
        <v>0</v>
      </c>
      <c r="S42" s="9">
        <v>1</v>
      </c>
      <c r="W42" s="9">
        <v>0</v>
      </c>
      <c r="X42" s="9">
        <v>4474.8950000000004</v>
      </c>
    </row>
    <row r="43" spans="1:24" x14ac:dyDescent="0.25">
      <c r="A43" s="9">
        <v>57805</v>
      </c>
      <c r="B43" s="9">
        <v>35795</v>
      </c>
      <c r="C43" s="9">
        <v>9</v>
      </c>
      <c r="D43" s="9">
        <v>2144853</v>
      </c>
      <c r="E43" s="9">
        <v>10339</v>
      </c>
      <c r="F43" s="9">
        <v>9259</v>
      </c>
      <c r="G43" s="9">
        <v>10650</v>
      </c>
      <c r="H43" s="9">
        <v>11852</v>
      </c>
      <c r="I43" s="9">
        <v>10650</v>
      </c>
      <c r="L43" s="9">
        <v>1828711</v>
      </c>
      <c r="M43" s="9">
        <v>1947163</v>
      </c>
      <c r="P43" s="9">
        <v>2077530</v>
      </c>
      <c r="Q43" s="9">
        <v>2144853</v>
      </c>
      <c r="R43" s="9">
        <v>0</v>
      </c>
      <c r="S43" s="9">
        <v>1</v>
      </c>
      <c r="W43" s="9">
        <v>0</v>
      </c>
      <c r="X43" s="9">
        <v>207.44500000000002</v>
      </c>
    </row>
    <row r="44" spans="1:24" x14ac:dyDescent="0.25">
      <c r="A44" s="9">
        <v>57806</v>
      </c>
      <c r="B44" s="9">
        <v>35795</v>
      </c>
      <c r="C44" s="9">
        <v>9</v>
      </c>
      <c r="D44" s="9">
        <v>12517410</v>
      </c>
      <c r="E44" s="9">
        <v>10395</v>
      </c>
      <c r="F44" s="9">
        <v>9259</v>
      </c>
      <c r="G44" s="9">
        <v>10707</v>
      </c>
      <c r="H44" s="9">
        <v>11852</v>
      </c>
      <c r="I44" s="9">
        <v>10707</v>
      </c>
      <c r="L44" s="9">
        <v>10402710</v>
      </c>
      <c r="M44" s="9">
        <v>10975519</v>
      </c>
      <c r="P44" s="9">
        <v>12052465</v>
      </c>
      <c r="Q44" s="9">
        <v>12517410</v>
      </c>
      <c r="R44" s="9">
        <v>0</v>
      </c>
      <c r="S44" s="9">
        <v>1</v>
      </c>
      <c r="W44" s="9">
        <v>0</v>
      </c>
      <c r="X44" s="9">
        <v>1204.1960000000001</v>
      </c>
    </row>
    <row r="45" spans="1:24" x14ac:dyDescent="0.25">
      <c r="A45" s="9">
        <v>57807</v>
      </c>
      <c r="B45" s="9">
        <v>35795</v>
      </c>
      <c r="C45" s="9">
        <v>9</v>
      </c>
      <c r="D45" s="9">
        <v>54055086</v>
      </c>
      <c r="E45" s="9">
        <v>10196</v>
      </c>
      <c r="F45" s="9">
        <v>9259</v>
      </c>
      <c r="G45" s="9">
        <v>10502</v>
      </c>
      <c r="H45" s="9">
        <v>11852</v>
      </c>
      <c r="I45" s="9">
        <v>10502</v>
      </c>
      <c r="L45" s="9">
        <v>53661441</v>
      </c>
      <c r="M45" s="9">
        <v>55710574</v>
      </c>
      <c r="P45" s="9">
        <v>52320506</v>
      </c>
      <c r="Q45" s="9">
        <v>54055086</v>
      </c>
      <c r="R45" s="9">
        <v>0</v>
      </c>
      <c r="S45" s="9">
        <v>1</v>
      </c>
      <c r="W45" s="9">
        <v>0</v>
      </c>
      <c r="X45" s="9">
        <v>5301.4949999999999</v>
      </c>
    </row>
    <row r="46" spans="1:24" x14ac:dyDescent="0.25">
      <c r="A46" s="9">
        <v>57808</v>
      </c>
      <c r="B46" s="9">
        <v>35795</v>
      </c>
      <c r="C46" s="9">
        <v>9</v>
      </c>
      <c r="D46" s="9">
        <v>18122026</v>
      </c>
      <c r="E46" s="9">
        <v>9053</v>
      </c>
      <c r="F46" s="9">
        <v>9259</v>
      </c>
      <c r="G46" s="9">
        <v>9324</v>
      </c>
      <c r="H46" s="9">
        <v>11852</v>
      </c>
      <c r="I46" s="9">
        <v>9324</v>
      </c>
      <c r="L46" s="9">
        <v>16402199</v>
      </c>
      <c r="M46" s="9">
        <v>17285600</v>
      </c>
      <c r="P46" s="9">
        <v>17511192</v>
      </c>
      <c r="Q46" s="9">
        <v>18122026</v>
      </c>
      <c r="R46" s="9">
        <v>0</v>
      </c>
      <c r="S46" s="9">
        <v>1</v>
      </c>
      <c r="W46" s="9">
        <v>0</v>
      </c>
      <c r="X46" s="9">
        <v>2001.82</v>
      </c>
    </row>
    <row r="47" spans="1:24" x14ac:dyDescent="0.25">
      <c r="A47" s="9">
        <v>57809</v>
      </c>
      <c r="B47" s="9">
        <v>35795</v>
      </c>
      <c r="C47" s="9">
        <v>9</v>
      </c>
      <c r="D47" s="9">
        <v>1007803</v>
      </c>
      <c r="E47" s="9">
        <v>10365</v>
      </c>
      <c r="F47" s="9">
        <v>9259</v>
      </c>
      <c r="G47" s="9">
        <v>10676</v>
      </c>
      <c r="H47" s="9">
        <v>11852</v>
      </c>
      <c r="I47" s="9">
        <v>10676</v>
      </c>
      <c r="L47" s="9">
        <v>980590</v>
      </c>
      <c r="M47" s="9">
        <v>1042740</v>
      </c>
      <c r="P47" s="9">
        <v>973428</v>
      </c>
      <c r="Q47" s="9">
        <v>1007803</v>
      </c>
      <c r="R47" s="9">
        <v>0</v>
      </c>
      <c r="S47" s="9">
        <v>1</v>
      </c>
      <c r="W47" s="9">
        <v>0</v>
      </c>
      <c r="X47" s="9">
        <v>97.231000000000009</v>
      </c>
    </row>
    <row r="48" spans="1:24" x14ac:dyDescent="0.25">
      <c r="A48" s="9">
        <v>57810</v>
      </c>
      <c r="B48" s="9">
        <v>35795</v>
      </c>
      <c r="C48" s="9">
        <v>9</v>
      </c>
      <c r="D48" s="9">
        <v>3836310</v>
      </c>
      <c r="E48" s="9">
        <v>10473</v>
      </c>
      <c r="F48" s="9">
        <v>9259</v>
      </c>
      <c r="G48" s="9">
        <v>10787</v>
      </c>
      <c r="H48" s="9">
        <v>11852</v>
      </c>
      <c r="I48" s="9">
        <v>10787</v>
      </c>
      <c r="L48" s="9">
        <v>2025126</v>
      </c>
      <c r="M48" s="9">
        <v>2093474</v>
      </c>
      <c r="P48" s="9">
        <v>3714801</v>
      </c>
      <c r="Q48" s="9">
        <v>3836310</v>
      </c>
      <c r="R48" s="9">
        <v>0</v>
      </c>
      <c r="S48" s="9">
        <v>1</v>
      </c>
      <c r="W48" s="9">
        <v>0</v>
      </c>
      <c r="X48" s="9">
        <v>366.30600000000004</v>
      </c>
    </row>
    <row r="49" spans="1:24" x14ac:dyDescent="0.25">
      <c r="A49" s="9">
        <v>57813</v>
      </c>
      <c r="B49" s="9">
        <v>35795</v>
      </c>
      <c r="C49" s="9">
        <v>9</v>
      </c>
      <c r="D49" s="9">
        <v>35060002</v>
      </c>
      <c r="E49" s="9">
        <v>10524</v>
      </c>
      <c r="F49" s="9">
        <v>9259</v>
      </c>
      <c r="G49" s="9">
        <v>10840</v>
      </c>
      <c r="H49" s="9">
        <v>11852</v>
      </c>
      <c r="I49" s="9">
        <v>10840</v>
      </c>
      <c r="L49" s="9">
        <v>38969776</v>
      </c>
      <c r="M49" s="9">
        <v>41393925</v>
      </c>
      <c r="P49" s="9">
        <v>34086233</v>
      </c>
      <c r="Q49" s="9">
        <v>35060002</v>
      </c>
      <c r="R49" s="9">
        <v>0</v>
      </c>
      <c r="S49" s="9">
        <v>1</v>
      </c>
      <c r="W49" s="9">
        <v>0</v>
      </c>
      <c r="X49" s="9">
        <v>3331.4260000000004</v>
      </c>
    </row>
    <row r="50" spans="1:24" x14ac:dyDescent="0.25">
      <c r="A50" s="9">
        <v>57814</v>
      </c>
      <c r="B50" s="9">
        <v>35795</v>
      </c>
      <c r="C50" s="9">
        <v>9</v>
      </c>
      <c r="D50" s="9">
        <v>6553446</v>
      </c>
      <c r="E50" s="9">
        <v>14764</v>
      </c>
      <c r="F50" s="9">
        <v>9259</v>
      </c>
      <c r="G50" s="9">
        <v>15207</v>
      </c>
      <c r="H50" s="9">
        <v>11852</v>
      </c>
      <c r="I50" s="9">
        <v>11852</v>
      </c>
      <c r="L50" s="9">
        <v>3548104</v>
      </c>
      <c r="M50" s="9">
        <v>4668944</v>
      </c>
      <c r="P50" s="9">
        <v>6403440</v>
      </c>
      <c r="Q50" s="9">
        <v>6553446</v>
      </c>
      <c r="R50" s="9">
        <v>0</v>
      </c>
      <c r="S50" s="9">
        <v>1</v>
      </c>
      <c r="W50" s="9">
        <v>0</v>
      </c>
      <c r="X50" s="9">
        <v>443.87800000000004</v>
      </c>
    </row>
    <row r="51" spans="1:24" x14ac:dyDescent="0.25">
      <c r="A51" s="9">
        <v>57816</v>
      </c>
      <c r="B51" s="9">
        <v>35795</v>
      </c>
      <c r="C51" s="9">
        <v>9</v>
      </c>
      <c r="D51" s="9">
        <v>14194468</v>
      </c>
      <c r="E51" s="9">
        <v>10357</v>
      </c>
      <c r="F51" s="9">
        <v>9259</v>
      </c>
      <c r="G51" s="9">
        <v>10668</v>
      </c>
      <c r="H51" s="9">
        <v>11852</v>
      </c>
      <c r="I51" s="9">
        <v>10668</v>
      </c>
      <c r="L51" s="9">
        <v>9154850</v>
      </c>
      <c r="M51" s="9">
        <v>9301680</v>
      </c>
      <c r="P51" s="9">
        <v>13687665</v>
      </c>
      <c r="Q51" s="9">
        <v>14194468</v>
      </c>
      <c r="R51" s="9">
        <v>0</v>
      </c>
      <c r="S51" s="9">
        <v>1</v>
      </c>
      <c r="W51" s="9">
        <v>0</v>
      </c>
      <c r="X51" s="9">
        <v>1370.471</v>
      </c>
    </row>
    <row r="52" spans="1:24" x14ac:dyDescent="0.25">
      <c r="A52" s="9">
        <v>57819</v>
      </c>
      <c r="B52" s="9">
        <v>35795</v>
      </c>
      <c r="C52" s="9">
        <v>9</v>
      </c>
      <c r="D52" s="9">
        <v>2019805</v>
      </c>
      <c r="E52" s="9">
        <v>10579</v>
      </c>
      <c r="F52" s="9">
        <v>9259</v>
      </c>
      <c r="G52" s="9">
        <v>10896</v>
      </c>
      <c r="H52" s="9">
        <v>11852</v>
      </c>
      <c r="I52" s="9">
        <v>10896</v>
      </c>
      <c r="L52" s="9">
        <v>1894752</v>
      </c>
      <c r="M52" s="9">
        <v>1970611</v>
      </c>
      <c r="P52" s="9">
        <v>1963555</v>
      </c>
      <c r="Q52" s="9">
        <v>2019805</v>
      </c>
      <c r="R52" s="9">
        <v>0</v>
      </c>
      <c r="S52" s="9">
        <v>1</v>
      </c>
      <c r="W52" s="9">
        <v>0</v>
      </c>
      <c r="X52" s="9">
        <v>190.93100000000001</v>
      </c>
    </row>
    <row r="53" spans="1:24" x14ac:dyDescent="0.25">
      <c r="A53" s="9">
        <v>57827</v>
      </c>
      <c r="B53" s="9">
        <v>35795</v>
      </c>
      <c r="C53" s="9">
        <v>9</v>
      </c>
      <c r="D53" s="9">
        <v>5786957</v>
      </c>
      <c r="E53" s="9">
        <v>10277</v>
      </c>
      <c r="F53" s="9">
        <v>9259</v>
      </c>
      <c r="G53" s="9">
        <v>10585</v>
      </c>
      <c r="H53" s="9">
        <v>11852</v>
      </c>
      <c r="I53" s="9">
        <v>10585</v>
      </c>
      <c r="L53" s="9">
        <v>4860105</v>
      </c>
      <c r="M53" s="9">
        <v>5184373</v>
      </c>
      <c r="P53" s="9">
        <v>5609174</v>
      </c>
      <c r="Q53" s="9">
        <v>5786957</v>
      </c>
      <c r="R53" s="9">
        <v>0</v>
      </c>
      <c r="S53" s="9">
        <v>1</v>
      </c>
      <c r="W53" s="9">
        <v>0</v>
      </c>
      <c r="X53" s="9">
        <v>563.10800000000006</v>
      </c>
    </row>
    <row r="54" spans="1:24" x14ac:dyDescent="0.25">
      <c r="A54" s="9">
        <v>57828</v>
      </c>
      <c r="B54" s="9">
        <v>35795</v>
      </c>
      <c r="C54" s="9">
        <v>9</v>
      </c>
      <c r="D54" s="9">
        <v>10715562</v>
      </c>
      <c r="E54" s="9">
        <v>10675</v>
      </c>
      <c r="F54" s="9">
        <v>9259</v>
      </c>
      <c r="G54" s="9">
        <v>10996</v>
      </c>
      <c r="H54" s="9">
        <v>11852</v>
      </c>
      <c r="I54" s="9">
        <v>10996</v>
      </c>
      <c r="L54" s="9">
        <v>7992489</v>
      </c>
      <c r="M54" s="9">
        <v>8425180</v>
      </c>
      <c r="P54" s="9">
        <v>10406496</v>
      </c>
      <c r="Q54" s="9">
        <v>10715562</v>
      </c>
      <c r="R54" s="9">
        <v>0</v>
      </c>
      <c r="S54" s="9">
        <v>1</v>
      </c>
      <c r="W54" s="9">
        <v>0</v>
      </c>
      <c r="X54" s="9">
        <v>1003.7710000000001</v>
      </c>
    </row>
    <row r="55" spans="1:24" x14ac:dyDescent="0.25">
      <c r="A55" s="9">
        <v>57829</v>
      </c>
      <c r="B55" s="9">
        <v>35795</v>
      </c>
      <c r="C55" s="9">
        <v>9</v>
      </c>
      <c r="D55" s="9">
        <v>13714643</v>
      </c>
      <c r="E55" s="9">
        <v>10714</v>
      </c>
      <c r="F55" s="9">
        <v>9259</v>
      </c>
      <c r="G55" s="9">
        <v>11036</v>
      </c>
      <c r="H55" s="9">
        <v>11852</v>
      </c>
      <c r="I55" s="9">
        <v>11036</v>
      </c>
      <c r="L55" s="9">
        <v>14902050</v>
      </c>
      <c r="M55" s="9">
        <v>15832069</v>
      </c>
      <c r="P55" s="9">
        <v>13298968</v>
      </c>
      <c r="Q55" s="9">
        <v>13714643</v>
      </c>
      <c r="R55" s="9">
        <v>0</v>
      </c>
      <c r="S55" s="9">
        <v>1</v>
      </c>
      <c r="W55" s="9">
        <v>0</v>
      </c>
      <c r="X55" s="9">
        <v>1280.048</v>
      </c>
    </row>
    <row r="56" spans="1:24" x14ac:dyDescent="0.25">
      <c r="A56" s="9">
        <v>57830</v>
      </c>
      <c r="B56" s="9">
        <v>35795</v>
      </c>
      <c r="C56" s="9">
        <v>9</v>
      </c>
      <c r="D56" s="9">
        <v>12859300</v>
      </c>
      <c r="E56" s="9">
        <v>10699</v>
      </c>
      <c r="F56" s="9">
        <v>9259</v>
      </c>
      <c r="G56" s="9">
        <v>11020</v>
      </c>
      <c r="H56" s="9">
        <v>11852</v>
      </c>
      <c r="I56" s="9">
        <v>11020</v>
      </c>
      <c r="L56" s="9">
        <v>12469879</v>
      </c>
      <c r="M56" s="9">
        <v>13394543</v>
      </c>
      <c r="P56" s="9">
        <v>12459366</v>
      </c>
      <c r="Q56" s="9">
        <v>12859300</v>
      </c>
      <c r="R56" s="9">
        <v>0</v>
      </c>
      <c r="S56" s="9">
        <v>1</v>
      </c>
      <c r="W56" s="9">
        <v>0</v>
      </c>
      <c r="X56" s="9">
        <v>1201.8990000000001</v>
      </c>
    </row>
    <row r="57" spans="1:24" x14ac:dyDescent="0.25">
      <c r="A57" s="9">
        <v>57831</v>
      </c>
      <c r="B57" s="9">
        <v>35795</v>
      </c>
      <c r="C57" s="9">
        <v>9</v>
      </c>
      <c r="D57" s="9">
        <v>6657660</v>
      </c>
      <c r="E57" s="9">
        <v>10410</v>
      </c>
      <c r="F57" s="9">
        <v>9259</v>
      </c>
      <c r="G57" s="9">
        <v>10722</v>
      </c>
      <c r="H57" s="9">
        <v>11852</v>
      </c>
      <c r="I57" s="9">
        <v>10722</v>
      </c>
      <c r="L57" s="9">
        <v>5532993</v>
      </c>
      <c r="M57" s="9">
        <v>5667389</v>
      </c>
      <c r="P57" s="9">
        <v>6464420</v>
      </c>
      <c r="Q57" s="9">
        <v>6657660</v>
      </c>
      <c r="R57" s="9">
        <v>0</v>
      </c>
      <c r="S57" s="9">
        <v>1</v>
      </c>
      <c r="W57" s="9">
        <v>0</v>
      </c>
      <c r="X57" s="9">
        <v>639.54500000000007</v>
      </c>
    </row>
    <row r="58" spans="1:24" x14ac:dyDescent="0.25">
      <c r="A58" s="9">
        <v>57833</v>
      </c>
      <c r="B58" s="9">
        <v>35795</v>
      </c>
      <c r="C58" s="9">
        <v>9</v>
      </c>
      <c r="D58" s="9">
        <v>5411461</v>
      </c>
      <c r="E58" s="9">
        <v>9575</v>
      </c>
      <c r="F58" s="9">
        <v>9259</v>
      </c>
      <c r="G58" s="9">
        <v>9862</v>
      </c>
      <c r="H58" s="9">
        <v>11852</v>
      </c>
      <c r="I58" s="9">
        <v>9862</v>
      </c>
      <c r="L58" s="9">
        <v>3990625</v>
      </c>
      <c r="M58" s="9">
        <v>4197636</v>
      </c>
      <c r="P58" s="9">
        <v>5234047</v>
      </c>
      <c r="Q58" s="9">
        <v>5411461</v>
      </c>
      <c r="R58" s="9">
        <v>0</v>
      </c>
      <c r="S58" s="9">
        <v>1</v>
      </c>
      <c r="W58" s="9">
        <v>0</v>
      </c>
      <c r="X58" s="9">
        <v>565.154</v>
      </c>
    </row>
    <row r="59" spans="1:24" x14ac:dyDescent="0.25">
      <c r="A59" s="9">
        <v>57834</v>
      </c>
      <c r="B59" s="9">
        <v>35795</v>
      </c>
      <c r="C59" s="9">
        <v>9</v>
      </c>
      <c r="D59" s="9">
        <v>5037452</v>
      </c>
      <c r="E59" s="9">
        <v>11519</v>
      </c>
      <c r="F59" s="9">
        <v>9259</v>
      </c>
      <c r="G59" s="9">
        <v>11865</v>
      </c>
      <c r="H59" s="9">
        <v>11852</v>
      </c>
      <c r="I59" s="9">
        <v>11852</v>
      </c>
      <c r="L59" s="9">
        <v>4756022</v>
      </c>
      <c r="M59" s="9">
        <v>4854982</v>
      </c>
      <c r="P59" s="9">
        <v>4867860</v>
      </c>
      <c r="Q59" s="9">
        <v>5037452</v>
      </c>
      <c r="R59" s="9">
        <v>0</v>
      </c>
      <c r="S59" s="9">
        <v>1</v>
      </c>
      <c r="W59" s="9">
        <v>0</v>
      </c>
      <c r="X59" s="9">
        <v>437.31100000000004</v>
      </c>
    </row>
    <row r="60" spans="1:24" x14ac:dyDescent="0.25">
      <c r="A60" s="9">
        <v>57835</v>
      </c>
      <c r="B60" s="9">
        <v>35795</v>
      </c>
      <c r="C60" s="9">
        <v>9</v>
      </c>
      <c r="D60" s="9">
        <v>14173306</v>
      </c>
      <c r="E60" s="9">
        <v>10657</v>
      </c>
      <c r="F60" s="9">
        <v>9259</v>
      </c>
      <c r="G60" s="9">
        <v>10977</v>
      </c>
      <c r="H60" s="9">
        <v>11852</v>
      </c>
      <c r="I60" s="9">
        <v>10977</v>
      </c>
      <c r="L60" s="9">
        <v>14662709</v>
      </c>
      <c r="M60" s="9">
        <v>15678701</v>
      </c>
      <c r="P60" s="9">
        <v>13758347</v>
      </c>
      <c r="Q60" s="9">
        <v>14173306</v>
      </c>
      <c r="R60" s="9">
        <v>0</v>
      </c>
      <c r="S60" s="9">
        <v>1</v>
      </c>
      <c r="W60" s="9">
        <v>0</v>
      </c>
      <c r="X60" s="9">
        <v>1329.941</v>
      </c>
    </row>
    <row r="61" spans="1:24" x14ac:dyDescent="0.25">
      <c r="A61" s="9">
        <v>57836</v>
      </c>
      <c r="B61" s="9">
        <v>35795</v>
      </c>
      <c r="C61" s="9">
        <v>9</v>
      </c>
      <c r="D61" s="9">
        <v>2950702</v>
      </c>
      <c r="E61" s="9">
        <v>9954</v>
      </c>
      <c r="F61" s="9">
        <v>9259</v>
      </c>
      <c r="G61" s="9">
        <v>10252</v>
      </c>
      <c r="H61" s="9">
        <v>11852</v>
      </c>
      <c r="I61" s="9">
        <v>10252</v>
      </c>
      <c r="L61" s="9">
        <v>3065059</v>
      </c>
      <c r="M61" s="9">
        <v>3349935</v>
      </c>
      <c r="P61" s="9">
        <v>2855607</v>
      </c>
      <c r="Q61" s="9">
        <v>2950702</v>
      </c>
      <c r="R61" s="9">
        <v>0</v>
      </c>
      <c r="S61" s="9">
        <v>1</v>
      </c>
      <c r="W61" s="9">
        <v>0</v>
      </c>
      <c r="X61" s="9">
        <v>296.44499999999999</v>
      </c>
    </row>
    <row r="62" spans="1:24" x14ac:dyDescent="0.25">
      <c r="A62" s="9">
        <v>57839</v>
      </c>
      <c r="B62" s="9">
        <v>35795</v>
      </c>
      <c r="C62" s="9">
        <v>9</v>
      </c>
      <c r="D62" s="9">
        <v>10212843</v>
      </c>
      <c r="E62" s="9">
        <v>10929</v>
      </c>
      <c r="F62" s="9">
        <v>9259</v>
      </c>
      <c r="G62" s="9">
        <v>11257</v>
      </c>
      <c r="H62" s="9">
        <v>11852</v>
      </c>
      <c r="I62" s="9">
        <v>11257</v>
      </c>
      <c r="L62" s="9">
        <v>9628152</v>
      </c>
      <c r="M62" s="9">
        <v>10224978</v>
      </c>
      <c r="P62" s="9">
        <v>9916911</v>
      </c>
      <c r="Q62" s="9">
        <v>10212843</v>
      </c>
      <c r="R62" s="9">
        <v>0</v>
      </c>
      <c r="S62" s="9">
        <v>1</v>
      </c>
      <c r="W62" s="9">
        <v>0</v>
      </c>
      <c r="X62" s="9">
        <v>934.45500000000004</v>
      </c>
    </row>
    <row r="63" spans="1:24" x14ac:dyDescent="0.25">
      <c r="A63" s="9">
        <v>57840</v>
      </c>
      <c r="B63" s="9">
        <v>35795</v>
      </c>
      <c r="C63" s="9">
        <v>9</v>
      </c>
      <c r="D63" s="9">
        <v>4526695</v>
      </c>
      <c r="E63" s="9">
        <v>8913</v>
      </c>
      <c r="F63" s="9">
        <v>9259</v>
      </c>
      <c r="G63" s="9">
        <v>9180</v>
      </c>
      <c r="H63" s="9">
        <v>11852</v>
      </c>
      <c r="I63" s="9">
        <v>9180</v>
      </c>
      <c r="L63" s="9">
        <v>2973902</v>
      </c>
      <c r="M63" s="9">
        <v>3734037</v>
      </c>
      <c r="P63" s="9">
        <v>4339822</v>
      </c>
      <c r="Q63" s="9">
        <v>4526695</v>
      </c>
      <c r="R63" s="9">
        <v>0</v>
      </c>
      <c r="S63" s="9">
        <v>1</v>
      </c>
      <c r="W63" s="9">
        <v>0</v>
      </c>
      <c r="X63" s="9">
        <v>507.887</v>
      </c>
    </row>
    <row r="64" spans="1:24" x14ac:dyDescent="0.25">
      <c r="A64" s="9">
        <v>57841</v>
      </c>
      <c r="B64" s="9">
        <v>35795</v>
      </c>
      <c r="C64" s="9">
        <v>9</v>
      </c>
      <c r="D64" s="9">
        <v>9523726</v>
      </c>
      <c r="E64" s="9">
        <v>10228</v>
      </c>
      <c r="F64" s="9">
        <v>9259</v>
      </c>
      <c r="G64" s="9">
        <v>10534</v>
      </c>
      <c r="H64" s="9">
        <v>11852</v>
      </c>
      <c r="I64" s="9">
        <v>10534</v>
      </c>
      <c r="L64" s="9">
        <v>10947580</v>
      </c>
      <c r="M64" s="9">
        <v>12537741</v>
      </c>
      <c r="P64" s="9">
        <v>9285990</v>
      </c>
      <c r="Q64" s="9">
        <v>9523726</v>
      </c>
      <c r="R64" s="9">
        <v>0</v>
      </c>
      <c r="S64" s="9">
        <v>1</v>
      </c>
      <c r="W64" s="9">
        <v>0</v>
      </c>
      <c r="X64" s="9">
        <v>931.17700000000002</v>
      </c>
    </row>
    <row r="65" spans="1:24" x14ac:dyDescent="0.25">
      <c r="A65" s="9">
        <v>57844</v>
      </c>
      <c r="B65" s="9">
        <v>35795</v>
      </c>
      <c r="C65" s="9">
        <v>9</v>
      </c>
      <c r="D65" s="9">
        <v>6921202</v>
      </c>
      <c r="E65" s="9">
        <v>10120</v>
      </c>
      <c r="F65" s="9">
        <v>9259</v>
      </c>
      <c r="G65" s="9">
        <v>10424</v>
      </c>
      <c r="H65" s="9">
        <v>11852</v>
      </c>
      <c r="I65" s="9">
        <v>10424</v>
      </c>
      <c r="L65" s="9">
        <v>5038938</v>
      </c>
      <c r="M65" s="9">
        <v>5196417</v>
      </c>
      <c r="P65" s="9">
        <v>6662008</v>
      </c>
      <c r="Q65" s="9">
        <v>6921202</v>
      </c>
      <c r="R65" s="9">
        <v>0</v>
      </c>
      <c r="S65" s="9">
        <v>1</v>
      </c>
      <c r="W65" s="9">
        <v>0</v>
      </c>
      <c r="X65" s="9">
        <v>683.89300000000003</v>
      </c>
    </row>
    <row r="66" spans="1:24" x14ac:dyDescent="0.25">
      <c r="A66" s="9">
        <v>57845</v>
      </c>
      <c r="B66" s="9">
        <v>35795</v>
      </c>
      <c r="C66" s="9">
        <v>9</v>
      </c>
      <c r="D66" s="9">
        <v>10062513</v>
      </c>
      <c r="E66" s="9">
        <v>8765</v>
      </c>
      <c r="F66" s="9">
        <v>9259</v>
      </c>
      <c r="G66" s="9">
        <v>9028</v>
      </c>
      <c r="H66" s="9">
        <v>11852</v>
      </c>
      <c r="I66" s="9">
        <v>9028</v>
      </c>
      <c r="L66" s="9">
        <v>11523072</v>
      </c>
      <c r="M66" s="9">
        <v>12411219</v>
      </c>
      <c r="P66" s="9">
        <v>9805168</v>
      </c>
      <c r="Q66" s="9">
        <v>10062513</v>
      </c>
      <c r="R66" s="9">
        <v>0</v>
      </c>
      <c r="S66" s="9">
        <v>1</v>
      </c>
      <c r="W66" s="9">
        <v>0</v>
      </c>
      <c r="X66" s="9">
        <v>1147.979</v>
      </c>
    </row>
    <row r="67" spans="1:24" x14ac:dyDescent="0.25">
      <c r="A67" s="9">
        <v>57846</v>
      </c>
      <c r="B67" s="9">
        <v>35795</v>
      </c>
      <c r="C67" s="9">
        <v>9</v>
      </c>
      <c r="D67" s="9">
        <v>15395546</v>
      </c>
      <c r="E67" s="9">
        <v>10252</v>
      </c>
      <c r="F67" s="9">
        <v>9259</v>
      </c>
      <c r="G67" s="9">
        <v>10559</v>
      </c>
      <c r="H67" s="9">
        <v>11852</v>
      </c>
      <c r="I67" s="9">
        <v>10559</v>
      </c>
      <c r="L67" s="9">
        <v>14163278</v>
      </c>
      <c r="M67" s="9">
        <v>15059784</v>
      </c>
      <c r="P67" s="9">
        <v>14970777</v>
      </c>
      <c r="Q67" s="9">
        <v>15395546</v>
      </c>
      <c r="R67" s="9">
        <v>0</v>
      </c>
      <c r="S67" s="9">
        <v>1</v>
      </c>
      <c r="W67" s="9">
        <v>0</v>
      </c>
      <c r="X67" s="9">
        <v>1501.7760000000001</v>
      </c>
    </row>
    <row r="68" spans="1:24" x14ac:dyDescent="0.25">
      <c r="A68" s="9">
        <v>57847</v>
      </c>
      <c r="B68" s="9">
        <v>35795</v>
      </c>
      <c r="C68" s="9">
        <v>9</v>
      </c>
      <c r="D68" s="9">
        <v>10257231</v>
      </c>
      <c r="E68" s="9">
        <v>9347</v>
      </c>
      <c r="F68" s="9">
        <v>9259</v>
      </c>
      <c r="G68" s="9">
        <v>9627</v>
      </c>
      <c r="H68" s="9">
        <v>11852</v>
      </c>
      <c r="I68" s="9">
        <v>9627</v>
      </c>
      <c r="L68" s="9">
        <v>10723458</v>
      </c>
      <c r="M68" s="9">
        <v>11214723</v>
      </c>
      <c r="P68" s="9">
        <v>9935212</v>
      </c>
      <c r="Q68" s="9">
        <v>10257231</v>
      </c>
      <c r="R68" s="9">
        <v>0</v>
      </c>
      <c r="S68" s="9">
        <v>1</v>
      </c>
      <c r="W68" s="9">
        <v>0</v>
      </c>
      <c r="X68" s="9">
        <v>1097.4180000000001</v>
      </c>
    </row>
    <row r="69" spans="1:24" x14ac:dyDescent="0.25">
      <c r="A69" s="9">
        <v>57848</v>
      </c>
      <c r="B69" s="9">
        <v>35795</v>
      </c>
      <c r="C69" s="9">
        <v>9</v>
      </c>
      <c r="D69" s="9">
        <v>181925526</v>
      </c>
      <c r="E69" s="9">
        <v>9921</v>
      </c>
      <c r="F69" s="9">
        <v>9259</v>
      </c>
      <c r="G69" s="9">
        <v>10219</v>
      </c>
      <c r="H69" s="9">
        <v>11852</v>
      </c>
      <c r="I69" s="9">
        <v>10219</v>
      </c>
      <c r="L69" s="9">
        <v>192847220</v>
      </c>
      <c r="M69" s="9">
        <v>199325083</v>
      </c>
      <c r="P69" s="9">
        <v>176284530</v>
      </c>
      <c r="Q69" s="9">
        <v>181925526</v>
      </c>
      <c r="R69" s="9">
        <v>0</v>
      </c>
      <c r="S69" s="9">
        <v>1</v>
      </c>
      <c r="W69" s="9">
        <v>0</v>
      </c>
      <c r="X69" s="9">
        <v>18337.43</v>
      </c>
    </row>
    <row r="70" spans="1:24" x14ac:dyDescent="0.25">
      <c r="A70" s="9">
        <v>57850</v>
      </c>
      <c r="B70" s="9">
        <v>35795</v>
      </c>
      <c r="C70" s="9">
        <v>9</v>
      </c>
      <c r="D70" s="9">
        <v>10948918</v>
      </c>
      <c r="E70" s="9">
        <v>9247</v>
      </c>
      <c r="F70" s="9">
        <v>9259</v>
      </c>
      <c r="G70" s="9">
        <v>9525</v>
      </c>
      <c r="H70" s="9">
        <v>11852</v>
      </c>
      <c r="I70" s="9">
        <v>9525</v>
      </c>
      <c r="L70" s="9">
        <v>19717585</v>
      </c>
      <c r="M70" s="9">
        <v>20933979</v>
      </c>
      <c r="P70" s="9">
        <v>10761486</v>
      </c>
      <c r="Q70" s="9">
        <v>10948918</v>
      </c>
      <c r="R70" s="9">
        <v>0</v>
      </c>
      <c r="S70" s="9">
        <v>1</v>
      </c>
      <c r="W70" s="9">
        <v>0</v>
      </c>
      <c r="X70" s="9">
        <v>1184.0320000000002</v>
      </c>
    </row>
    <row r="71" spans="1:24" x14ac:dyDescent="0.25">
      <c r="A71" s="9">
        <v>57851</v>
      </c>
      <c r="B71" s="9">
        <v>35795</v>
      </c>
      <c r="C71" s="9">
        <v>9</v>
      </c>
      <c r="D71" s="9">
        <v>532725</v>
      </c>
      <c r="E71" s="9">
        <v>10092</v>
      </c>
      <c r="F71" s="9">
        <v>9259</v>
      </c>
      <c r="G71" s="9">
        <v>10394</v>
      </c>
      <c r="H71" s="9">
        <v>11852</v>
      </c>
      <c r="I71" s="9">
        <v>10394</v>
      </c>
      <c r="L71" s="9">
        <v>717729</v>
      </c>
      <c r="M71" s="9">
        <v>781728</v>
      </c>
      <c r="P71" s="9">
        <v>527768</v>
      </c>
      <c r="Q71" s="9">
        <v>532725</v>
      </c>
      <c r="R71" s="9">
        <v>0</v>
      </c>
      <c r="S71" s="9">
        <v>1</v>
      </c>
      <c r="W71" s="9">
        <v>0</v>
      </c>
      <c r="X71" s="9">
        <v>52.789000000000001</v>
      </c>
    </row>
    <row r="72" spans="1:24" x14ac:dyDescent="0.25">
      <c r="A72" s="9">
        <v>61802</v>
      </c>
      <c r="B72" s="9">
        <v>35795</v>
      </c>
      <c r="C72" s="9">
        <v>9</v>
      </c>
      <c r="D72" s="9">
        <v>5752255</v>
      </c>
      <c r="E72" s="9">
        <v>10490</v>
      </c>
      <c r="F72" s="9">
        <v>9259</v>
      </c>
      <c r="G72" s="9">
        <v>10805</v>
      </c>
      <c r="H72" s="9">
        <v>11852</v>
      </c>
      <c r="I72" s="9">
        <v>10805</v>
      </c>
      <c r="L72" s="9">
        <v>6456091</v>
      </c>
      <c r="M72" s="9">
        <v>6940938</v>
      </c>
      <c r="P72" s="9">
        <v>5601511</v>
      </c>
      <c r="Q72" s="9">
        <v>5752255</v>
      </c>
      <c r="R72" s="9">
        <v>0</v>
      </c>
      <c r="S72" s="9">
        <v>1</v>
      </c>
      <c r="W72" s="9">
        <v>0</v>
      </c>
      <c r="X72" s="9">
        <v>548.35500000000002</v>
      </c>
    </row>
    <row r="73" spans="1:24" x14ac:dyDescent="0.25">
      <c r="A73" s="9">
        <v>61804</v>
      </c>
      <c r="B73" s="9">
        <v>35795</v>
      </c>
      <c r="C73" s="9">
        <v>9</v>
      </c>
      <c r="D73" s="9">
        <v>10578821</v>
      </c>
      <c r="E73" s="9">
        <v>8656</v>
      </c>
      <c r="F73" s="9">
        <v>9259</v>
      </c>
      <c r="G73" s="9">
        <v>8915</v>
      </c>
      <c r="H73" s="9">
        <v>11852</v>
      </c>
      <c r="I73" s="9">
        <v>8915</v>
      </c>
      <c r="L73" s="9">
        <v>11394687</v>
      </c>
      <c r="M73" s="9">
        <v>11628021</v>
      </c>
      <c r="P73" s="9">
        <v>10198091</v>
      </c>
      <c r="Q73" s="9">
        <v>10578821</v>
      </c>
      <c r="R73" s="9">
        <v>0</v>
      </c>
      <c r="S73" s="9">
        <v>1</v>
      </c>
      <c r="W73" s="9">
        <v>0</v>
      </c>
      <c r="X73" s="9">
        <v>1222.163</v>
      </c>
    </row>
    <row r="74" spans="1:24" x14ac:dyDescent="0.25">
      <c r="A74" s="9">
        <v>61805</v>
      </c>
      <c r="B74" s="9">
        <v>35795</v>
      </c>
      <c r="C74" s="9">
        <v>9</v>
      </c>
      <c r="D74" s="9">
        <v>4934790</v>
      </c>
      <c r="E74" s="9">
        <v>8641</v>
      </c>
      <c r="F74" s="9">
        <v>9259</v>
      </c>
      <c r="G74" s="9">
        <v>8900</v>
      </c>
      <c r="H74" s="9">
        <v>11852</v>
      </c>
      <c r="I74" s="9">
        <v>8900</v>
      </c>
      <c r="L74" s="9">
        <v>4753412</v>
      </c>
      <c r="M74" s="9">
        <v>4948973</v>
      </c>
      <c r="P74" s="9">
        <v>4750099</v>
      </c>
      <c r="Q74" s="9">
        <v>4934790</v>
      </c>
      <c r="R74" s="9">
        <v>0</v>
      </c>
      <c r="S74" s="9">
        <v>1</v>
      </c>
      <c r="W74" s="9">
        <v>0</v>
      </c>
      <c r="X74" s="9">
        <v>571.09500000000003</v>
      </c>
    </row>
    <row r="75" spans="1:24" x14ac:dyDescent="0.25">
      <c r="A75" s="9">
        <v>68802</v>
      </c>
      <c r="B75" s="9">
        <v>35795</v>
      </c>
      <c r="C75" s="9">
        <v>9</v>
      </c>
      <c r="D75" s="9">
        <v>10420953</v>
      </c>
      <c r="E75" s="9">
        <v>8814</v>
      </c>
      <c r="F75" s="9">
        <v>9259</v>
      </c>
      <c r="G75" s="9">
        <v>9078</v>
      </c>
      <c r="H75" s="9">
        <v>11852</v>
      </c>
      <c r="I75" s="9">
        <v>9078</v>
      </c>
      <c r="L75" s="9">
        <v>11741561</v>
      </c>
      <c r="M75" s="9">
        <v>11665661</v>
      </c>
      <c r="P75" s="9">
        <v>10081214</v>
      </c>
      <c r="Q75" s="9">
        <v>10420953</v>
      </c>
      <c r="R75" s="9">
        <v>0</v>
      </c>
      <c r="S75" s="9">
        <v>1</v>
      </c>
      <c r="W75" s="9">
        <v>0</v>
      </c>
      <c r="X75" s="9">
        <v>1182.3579999999999</v>
      </c>
    </row>
    <row r="76" spans="1:24" x14ac:dyDescent="0.25">
      <c r="A76" s="9">
        <v>68803</v>
      </c>
      <c r="B76" s="9">
        <v>35795</v>
      </c>
      <c r="C76" s="9">
        <v>9</v>
      </c>
      <c r="D76" s="9">
        <v>6402270</v>
      </c>
      <c r="E76" s="9">
        <v>8820</v>
      </c>
      <c r="F76" s="9">
        <v>9259</v>
      </c>
      <c r="G76" s="9">
        <v>9085</v>
      </c>
      <c r="H76" s="9">
        <v>11852</v>
      </c>
      <c r="I76" s="9">
        <v>9085</v>
      </c>
      <c r="L76" s="9">
        <v>6455572</v>
      </c>
      <c r="M76" s="9">
        <v>6669460</v>
      </c>
      <c r="P76" s="9">
        <v>6182827</v>
      </c>
      <c r="Q76" s="9">
        <v>6402270</v>
      </c>
      <c r="R76" s="9">
        <v>0</v>
      </c>
      <c r="S76" s="9">
        <v>1</v>
      </c>
      <c r="W76" s="9">
        <v>0</v>
      </c>
      <c r="X76" s="9">
        <v>725.88499999999999</v>
      </c>
    </row>
    <row r="77" spans="1:24" x14ac:dyDescent="0.25">
      <c r="A77" s="9">
        <v>70801</v>
      </c>
      <c r="B77" s="9">
        <v>35795</v>
      </c>
      <c r="C77" s="9">
        <v>9</v>
      </c>
      <c r="D77" s="9">
        <v>25493427</v>
      </c>
      <c r="E77" s="9">
        <v>10729</v>
      </c>
      <c r="F77" s="9">
        <v>9259</v>
      </c>
      <c r="G77" s="9">
        <v>11051</v>
      </c>
      <c r="H77" s="9">
        <v>11852</v>
      </c>
      <c r="I77" s="9">
        <v>11051</v>
      </c>
      <c r="L77" s="9">
        <v>25918323</v>
      </c>
      <c r="M77" s="9">
        <v>27589912</v>
      </c>
      <c r="P77" s="9">
        <v>24738742</v>
      </c>
      <c r="Q77" s="9">
        <v>25493427</v>
      </c>
      <c r="R77" s="9">
        <v>0</v>
      </c>
      <c r="S77" s="9">
        <v>1</v>
      </c>
      <c r="W77" s="9">
        <v>0</v>
      </c>
      <c r="X77" s="9">
        <v>2376.0170000000003</v>
      </c>
    </row>
    <row r="78" spans="1:24" x14ac:dyDescent="0.25">
      <c r="A78" s="9">
        <v>71801</v>
      </c>
      <c r="B78" s="9">
        <v>35795</v>
      </c>
      <c r="C78" s="9">
        <v>9</v>
      </c>
      <c r="D78" s="9">
        <v>9502184</v>
      </c>
      <c r="E78" s="9">
        <v>9628</v>
      </c>
      <c r="F78" s="9">
        <v>9259</v>
      </c>
      <c r="G78" s="9">
        <v>9917</v>
      </c>
      <c r="H78" s="9">
        <v>11852</v>
      </c>
      <c r="I78" s="9">
        <v>9917</v>
      </c>
      <c r="L78" s="9">
        <v>11699351</v>
      </c>
      <c r="M78" s="9">
        <v>12114369</v>
      </c>
      <c r="P78" s="9">
        <v>9237329</v>
      </c>
      <c r="Q78" s="9">
        <v>9502184</v>
      </c>
      <c r="R78" s="9">
        <v>0</v>
      </c>
      <c r="S78" s="9">
        <v>1</v>
      </c>
      <c r="W78" s="9">
        <v>0</v>
      </c>
      <c r="X78" s="9">
        <v>986.88300000000004</v>
      </c>
    </row>
    <row r="79" spans="1:24" x14ac:dyDescent="0.25">
      <c r="A79" s="9">
        <v>71803</v>
      </c>
      <c r="B79" s="9">
        <v>35795</v>
      </c>
      <c r="C79" s="9">
        <v>9</v>
      </c>
      <c r="D79" s="9">
        <v>2007723</v>
      </c>
      <c r="E79" s="9">
        <v>11146</v>
      </c>
      <c r="F79" s="9">
        <v>9259</v>
      </c>
      <c r="G79" s="9">
        <v>11480</v>
      </c>
      <c r="H79" s="9">
        <v>11852</v>
      </c>
      <c r="I79" s="9">
        <v>11480</v>
      </c>
      <c r="L79" s="9">
        <v>1909840</v>
      </c>
      <c r="M79" s="9">
        <v>1914739</v>
      </c>
      <c r="P79" s="9">
        <v>1944642</v>
      </c>
      <c r="Q79" s="9">
        <v>2007723</v>
      </c>
      <c r="R79" s="9">
        <v>0</v>
      </c>
      <c r="S79" s="9">
        <v>1</v>
      </c>
      <c r="W79" s="9">
        <v>0</v>
      </c>
      <c r="X79" s="9">
        <v>180.13500000000002</v>
      </c>
    </row>
    <row r="80" spans="1:24" x14ac:dyDescent="0.25">
      <c r="A80" s="9">
        <v>71804</v>
      </c>
      <c r="B80" s="9">
        <v>35795</v>
      </c>
      <c r="C80" s="9">
        <v>9</v>
      </c>
      <c r="D80" s="9">
        <v>2936923</v>
      </c>
      <c r="E80" s="9">
        <v>10720</v>
      </c>
      <c r="F80" s="9">
        <v>9259</v>
      </c>
      <c r="G80" s="9">
        <v>11041</v>
      </c>
      <c r="H80" s="9">
        <v>11852</v>
      </c>
      <c r="I80" s="9">
        <v>11041</v>
      </c>
      <c r="L80" s="9">
        <v>2551742</v>
      </c>
      <c r="M80" s="9">
        <v>2539692</v>
      </c>
      <c r="P80" s="9">
        <v>2845477</v>
      </c>
      <c r="Q80" s="9">
        <v>2936923</v>
      </c>
      <c r="R80" s="9">
        <v>0</v>
      </c>
      <c r="S80" s="9">
        <v>1</v>
      </c>
      <c r="W80" s="9">
        <v>0</v>
      </c>
      <c r="X80" s="9">
        <v>273.97200000000004</v>
      </c>
    </row>
    <row r="81" spans="1:24" x14ac:dyDescent="0.25">
      <c r="A81" s="9">
        <v>71806</v>
      </c>
      <c r="B81" s="9">
        <v>35795</v>
      </c>
      <c r="C81" s="9">
        <v>9</v>
      </c>
      <c r="D81" s="9">
        <v>34926523</v>
      </c>
      <c r="E81" s="9">
        <v>10181</v>
      </c>
      <c r="F81" s="9">
        <v>9259</v>
      </c>
      <c r="G81" s="9">
        <v>10486</v>
      </c>
      <c r="H81" s="9">
        <v>11852</v>
      </c>
      <c r="I81" s="9">
        <v>10486</v>
      </c>
      <c r="L81" s="9">
        <v>43222575</v>
      </c>
      <c r="M81" s="9">
        <v>45419923</v>
      </c>
      <c r="P81" s="9">
        <v>33853937</v>
      </c>
      <c r="Q81" s="9">
        <v>34926523</v>
      </c>
      <c r="R81" s="9">
        <v>0</v>
      </c>
      <c r="S81" s="9">
        <v>1</v>
      </c>
      <c r="W81" s="9">
        <v>0</v>
      </c>
      <c r="X81" s="9">
        <v>3430.721</v>
      </c>
    </row>
    <row r="82" spans="1:24" x14ac:dyDescent="0.25">
      <c r="A82" s="9">
        <v>71807</v>
      </c>
      <c r="B82" s="9">
        <v>35795</v>
      </c>
      <c r="C82" s="9">
        <v>9</v>
      </c>
      <c r="D82" s="9">
        <v>1901288</v>
      </c>
      <c r="E82" s="9">
        <v>9997</v>
      </c>
      <c r="F82" s="9">
        <v>9259</v>
      </c>
      <c r="G82" s="9">
        <v>10297</v>
      </c>
      <c r="H82" s="9">
        <v>11852</v>
      </c>
      <c r="I82" s="9">
        <v>10297</v>
      </c>
      <c r="L82" s="9">
        <v>1646111</v>
      </c>
      <c r="M82" s="9">
        <v>1914122</v>
      </c>
      <c r="P82" s="9">
        <v>1835485</v>
      </c>
      <c r="Q82" s="9">
        <v>1901288</v>
      </c>
      <c r="R82" s="9">
        <v>0</v>
      </c>
      <c r="S82" s="9">
        <v>1</v>
      </c>
      <c r="W82" s="9">
        <v>0</v>
      </c>
      <c r="X82" s="9">
        <v>190.178</v>
      </c>
    </row>
    <row r="83" spans="1:24" x14ac:dyDescent="0.25">
      <c r="A83" s="9">
        <v>71809</v>
      </c>
      <c r="B83" s="9">
        <v>35795</v>
      </c>
      <c r="C83" s="9">
        <v>9</v>
      </c>
      <c r="D83" s="9">
        <v>2658734</v>
      </c>
      <c r="E83" s="9">
        <v>9583</v>
      </c>
      <c r="F83" s="9">
        <v>9259</v>
      </c>
      <c r="G83" s="9">
        <v>9870</v>
      </c>
      <c r="H83" s="9">
        <v>11852</v>
      </c>
      <c r="I83" s="9">
        <v>9870</v>
      </c>
      <c r="L83" s="9">
        <v>2697810</v>
      </c>
      <c r="M83" s="9">
        <v>2806578</v>
      </c>
      <c r="P83" s="9">
        <v>2557023</v>
      </c>
      <c r="Q83" s="9">
        <v>2658734</v>
      </c>
      <c r="R83" s="9">
        <v>0</v>
      </c>
      <c r="S83" s="9">
        <v>1</v>
      </c>
      <c r="W83" s="9">
        <v>0</v>
      </c>
      <c r="X83" s="9">
        <v>277.44499999999999</v>
      </c>
    </row>
    <row r="84" spans="1:24" x14ac:dyDescent="0.25">
      <c r="A84" s="9">
        <v>71810</v>
      </c>
      <c r="B84" s="9">
        <v>35795</v>
      </c>
      <c r="C84" s="9">
        <v>9</v>
      </c>
      <c r="D84" s="9">
        <v>2175390</v>
      </c>
      <c r="E84" s="9">
        <v>10571</v>
      </c>
      <c r="F84" s="9">
        <v>9259</v>
      </c>
      <c r="G84" s="9">
        <v>10888</v>
      </c>
      <c r="H84" s="9">
        <v>11852</v>
      </c>
      <c r="I84" s="9">
        <v>10888</v>
      </c>
      <c r="L84" s="9">
        <v>2707601</v>
      </c>
      <c r="M84" s="9">
        <v>2948681</v>
      </c>
      <c r="P84" s="9">
        <v>2112357</v>
      </c>
      <c r="Q84" s="9">
        <v>2175390</v>
      </c>
      <c r="R84" s="9">
        <v>0</v>
      </c>
      <c r="S84" s="9">
        <v>1</v>
      </c>
      <c r="W84" s="9">
        <v>0</v>
      </c>
      <c r="X84" s="9">
        <v>205.79300000000001</v>
      </c>
    </row>
    <row r="85" spans="1:24" x14ac:dyDescent="0.25">
      <c r="A85" s="9">
        <v>72801</v>
      </c>
      <c r="B85" s="9">
        <v>35795</v>
      </c>
      <c r="C85" s="9">
        <v>9</v>
      </c>
      <c r="D85" s="9">
        <v>50077332</v>
      </c>
      <c r="E85" s="9">
        <v>10639</v>
      </c>
      <c r="F85" s="9">
        <v>9259</v>
      </c>
      <c r="G85" s="9">
        <v>10958</v>
      </c>
      <c r="H85" s="9">
        <v>11852</v>
      </c>
      <c r="I85" s="9">
        <v>10958</v>
      </c>
      <c r="L85" s="9">
        <v>57528948</v>
      </c>
      <c r="M85" s="9">
        <v>59661221</v>
      </c>
      <c r="P85" s="9">
        <v>48693742</v>
      </c>
      <c r="Q85" s="9">
        <v>50077332</v>
      </c>
      <c r="R85" s="9">
        <v>0</v>
      </c>
      <c r="S85" s="9">
        <v>1</v>
      </c>
      <c r="W85" s="9">
        <v>0</v>
      </c>
      <c r="X85" s="9">
        <v>4706.9270000000006</v>
      </c>
    </row>
    <row r="86" spans="1:24" x14ac:dyDescent="0.25">
      <c r="A86" s="9">
        <v>72802</v>
      </c>
      <c r="B86" s="9">
        <v>35795</v>
      </c>
      <c r="C86" s="9">
        <v>9</v>
      </c>
      <c r="D86" s="9">
        <v>1033065</v>
      </c>
      <c r="E86" s="9">
        <v>10570</v>
      </c>
      <c r="F86" s="9">
        <v>9259</v>
      </c>
      <c r="G86" s="9">
        <v>10888</v>
      </c>
      <c r="H86" s="9">
        <v>11852</v>
      </c>
      <c r="I86" s="9">
        <v>10888</v>
      </c>
      <c r="L86" s="9">
        <v>918185</v>
      </c>
      <c r="M86" s="9">
        <v>1015101</v>
      </c>
      <c r="P86" s="9">
        <v>998212</v>
      </c>
      <c r="Q86" s="9">
        <v>1033065</v>
      </c>
      <c r="R86" s="9">
        <v>0</v>
      </c>
      <c r="S86" s="9">
        <v>1</v>
      </c>
      <c r="W86" s="9">
        <v>0</v>
      </c>
      <c r="X86" s="9">
        <v>97.731000000000009</v>
      </c>
    </row>
    <row r="87" spans="1:24" x14ac:dyDescent="0.25">
      <c r="A87" s="9">
        <v>84802</v>
      </c>
      <c r="B87" s="9">
        <v>35795</v>
      </c>
      <c r="C87" s="9">
        <v>9</v>
      </c>
      <c r="D87" s="9">
        <v>10482136</v>
      </c>
      <c r="E87" s="9">
        <v>10287</v>
      </c>
      <c r="F87" s="9">
        <v>9259</v>
      </c>
      <c r="G87" s="9">
        <v>10595</v>
      </c>
      <c r="H87" s="9">
        <v>11852</v>
      </c>
      <c r="I87" s="9">
        <v>10595</v>
      </c>
      <c r="L87" s="9">
        <v>13307840</v>
      </c>
      <c r="M87" s="9">
        <v>13982640</v>
      </c>
      <c r="P87" s="9">
        <v>10156919</v>
      </c>
      <c r="Q87" s="9">
        <v>10482136</v>
      </c>
      <c r="R87" s="9">
        <v>0</v>
      </c>
      <c r="S87" s="9">
        <v>1</v>
      </c>
      <c r="W87" s="9">
        <v>0</v>
      </c>
      <c r="X87" s="9">
        <v>1018.984</v>
      </c>
    </row>
    <row r="88" spans="1:24" x14ac:dyDescent="0.25">
      <c r="A88" s="9">
        <v>84804</v>
      </c>
      <c r="B88" s="9">
        <v>35795</v>
      </c>
      <c r="C88" s="9">
        <v>9</v>
      </c>
      <c r="D88" s="9">
        <v>2331574</v>
      </c>
      <c r="E88" s="9">
        <v>9999</v>
      </c>
      <c r="F88" s="9">
        <v>9259</v>
      </c>
      <c r="G88" s="9">
        <v>10299</v>
      </c>
      <c r="H88" s="9">
        <v>11852</v>
      </c>
      <c r="I88" s="9">
        <v>10299</v>
      </c>
      <c r="L88" s="9">
        <v>1617313</v>
      </c>
      <c r="M88" s="9">
        <v>1705953</v>
      </c>
      <c r="P88" s="9">
        <v>2248421</v>
      </c>
      <c r="Q88" s="9">
        <v>2331574</v>
      </c>
      <c r="R88" s="9">
        <v>0</v>
      </c>
      <c r="S88" s="9">
        <v>1</v>
      </c>
      <c r="W88" s="9">
        <v>0</v>
      </c>
      <c r="X88" s="9">
        <v>233.18900000000002</v>
      </c>
    </row>
    <row r="89" spans="1:24" x14ac:dyDescent="0.25">
      <c r="A89" s="9">
        <v>92801</v>
      </c>
      <c r="B89" s="9">
        <v>35795</v>
      </c>
      <c r="C89" s="9">
        <v>9</v>
      </c>
      <c r="D89" s="9">
        <v>1361891</v>
      </c>
      <c r="E89" s="9">
        <v>10222</v>
      </c>
      <c r="F89" s="9">
        <v>9259</v>
      </c>
      <c r="G89" s="9">
        <v>10529</v>
      </c>
      <c r="H89" s="9">
        <v>11852</v>
      </c>
      <c r="I89" s="9">
        <v>10529</v>
      </c>
      <c r="L89" s="9">
        <v>1416056</v>
      </c>
      <c r="M89" s="9">
        <v>1397871</v>
      </c>
      <c r="P89" s="9">
        <v>1320037</v>
      </c>
      <c r="Q89" s="9">
        <v>1361891</v>
      </c>
      <c r="R89" s="9">
        <v>0</v>
      </c>
      <c r="S89" s="9">
        <v>1</v>
      </c>
      <c r="W89" s="9">
        <v>0</v>
      </c>
      <c r="X89" s="9">
        <v>133.22900000000001</v>
      </c>
    </row>
    <row r="90" spans="1:24" x14ac:dyDescent="0.25">
      <c r="A90" s="9">
        <v>101802</v>
      </c>
      <c r="B90" s="9">
        <v>35795</v>
      </c>
      <c r="C90" s="9">
        <v>9</v>
      </c>
      <c r="D90" s="9">
        <v>10822265</v>
      </c>
      <c r="E90" s="9">
        <v>10600</v>
      </c>
      <c r="F90" s="9">
        <v>9259</v>
      </c>
      <c r="G90" s="9">
        <v>10918</v>
      </c>
      <c r="H90" s="9">
        <v>11852</v>
      </c>
      <c r="I90" s="9">
        <v>10918</v>
      </c>
      <c r="L90" s="9">
        <v>9998612</v>
      </c>
      <c r="M90" s="9">
        <v>11515827</v>
      </c>
      <c r="P90" s="9">
        <v>10502025</v>
      </c>
      <c r="Q90" s="9">
        <v>10822265</v>
      </c>
      <c r="R90" s="9">
        <v>0</v>
      </c>
      <c r="S90" s="9">
        <v>1</v>
      </c>
      <c r="W90" s="9">
        <v>0</v>
      </c>
      <c r="X90" s="9">
        <v>1021.009</v>
      </c>
    </row>
    <row r="91" spans="1:24" x14ac:dyDescent="0.25">
      <c r="A91" s="9">
        <v>101803</v>
      </c>
      <c r="B91" s="9">
        <v>35795</v>
      </c>
      <c r="C91" s="9">
        <v>9</v>
      </c>
      <c r="D91" s="9">
        <v>8379271</v>
      </c>
      <c r="E91" s="9">
        <v>9151</v>
      </c>
      <c r="F91" s="9">
        <v>9259</v>
      </c>
      <c r="G91" s="9">
        <v>9425</v>
      </c>
      <c r="H91" s="9">
        <v>11852</v>
      </c>
      <c r="I91" s="9">
        <v>9425</v>
      </c>
      <c r="L91" s="9">
        <v>10796398</v>
      </c>
      <c r="M91" s="9">
        <v>10585238</v>
      </c>
      <c r="P91" s="9">
        <v>8101212</v>
      </c>
      <c r="Q91" s="9">
        <v>8379271</v>
      </c>
      <c r="R91" s="9">
        <v>0</v>
      </c>
      <c r="S91" s="9">
        <v>1</v>
      </c>
      <c r="W91" s="9">
        <v>0</v>
      </c>
      <c r="X91" s="9">
        <v>915.68799999999999</v>
      </c>
    </row>
    <row r="92" spans="1:24" x14ac:dyDescent="0.25">
      <c r="A92" s="9">
        <v>101804</v>
      </c>
      <c r="B92" s="9">
        <v>35795</v>
      </c>
      <c r="C92" s="9">
        <v>9</v>
      </c>
      <c r="D92" s="9">
        <v>9941841</v>
      </c>
      <c r="E92" s="9">
        <v>11070</v>
      </c>
      <c r="F92" s="9">
        <v>9259</v>
      </c>
      <c r="G92" s="9">
        <v>11402</v>
      </c>
      <c r="H92" s="9">
        <v>11852</v>
      </c>
      <c r="I92" s="9">
        <v>11402</v>
      </c>
      <c r="L92" s="9">
        <v>9291466</v>
      </c>
      <c r="M92" s="9">
        <v>9390578</v>
      </c>
      <c r="P92" s="9">
        <v>9669522</v>
      </c>
      <c r="Q92" s="9">
        <v>9941841</v>
      </c>
      <c r="R92" s="9">
        <v>0</v>
      </c>
      <c r="S92" s="9">
        <v>1</v>
      </c>
      <c r="W92" s="9">
        <v>0</v>
      </c>
      <c r="X92" s="9">
        <v>898.07900000000006</v>
      </c>
    </row>
    <row r="93" spans="1:24" x14ac:dyDescent="0.25">
      <c r="A93" s="9">
        <v>101806</v>
      </c>
      <c r="B93" s="9">
        <v>35795</v>
      </c>
      <c r="C93" s="9">
        <v>9</v>
      </c>
      <c r="D93" s="9">
        <v>13318975</v>
      </c>
      <c r="E93" s="9">
        <v>10619</v>
      </c>
      <c r="F93" s="9">
        <v>9259</v>
      </c>
      <c r="G93" s="9">
        <v>10937</v>
      </c>
      <c r="H93" s="9">
        <v>11852</v>
      </c>
      <c r="I93" s="9">
        <v>10937</v>
      </c>
      <c r="L93" s="9">
        <v>14688325</v>
      </c>
      <c r="M93" s="9">
        <v>15915313</v>
      </c>
      <c r="P93" s="9">
        <v>12915808</v>
      </c>
      <c r="Q93" s="9">
        <v>13318975</v>
      </c>
      <c r="R93" s="9">
        <v>0</v>
      </c>
      <c r="S93" s="9">
        <v>1</v>
      </c>
      <c r="W93" s="9">
        <v>0</v>
      </c>
      <c r="X93" s="9">
        <v>1254.2860000000001</v>
      </c>
    </row>
    <row r="94" spans="1:24" x14ac:dyDescent="0.25">
      <c r="A94" s="9">
        <v>101810</v>
      </c>
      <c r="B94" s="9">
        <v>35795</v>
      </c>
      <c r="C94" s="9">
        <v>9</v>
      </c>
      <c r="D94" s="9">
        <v>7139150</v>
      </c>
      <c r="E94" s="9">
        <v>10225</v>
      </c>
      <c r="F94" s="9">
        <v>9259</v>
      </c>
      <c r="G94" s="9">
        <v>10532</v>
      </c>
      <c r="H94" s="9">
        <v>11852</v>
      </c>
      <c r="I94" s="9">
        <v>10532</v>
      </c>
      <c r="L94" s="9">
        <v>8504838</v>
      </c>
      <c r="M94" s="9">
        <v>8832959</v>
      </c>
      <c r="P94" s="9">
        <v>6932790</v>
      </c>
      <c r="Q94" s="9">
        <v>7139150</v>
      </c>
      <c r="R94" s="9">
        <v>0</v>
      </c>
      <c r="S94" s="9">
        <v>1</v>
      </c>
      <c r="W94" s="9">
        <v>0</v>
      </c>
      <c r="X94" s="9">
        <v>698.21600000000001</v>
      </c>
    </row>
    <row r="95" spans="1:24" x14ac:dyDescent="0.25">
      <c r="A95" s="9">
        <v>101811</v>
      </c>
      <c r="B95" s="9">
        <v>35795</v>
      </c>
      <c r="C95" s="9">
        <v>9</v>
      </c>
      <c r="D95" s="9">
        <v>3693921</v>
      </c>
      <c r="E95" s="9">
        <v>13639</v>
      </c>
      <c r="F95" s="9">
        <v>9259</v>
      </c>
      <c r="G95" s="9">
        <v>14048</v>
      </c>
      <c r="H95" s="9">
        <v>11852</v>
      </c>
      <c r="I95" s="9">
        <v>11852</v>
      </c>
      <c r="L95" s="9">
        <v>2172835</v>
      </c>
      <c r="M95" s="9">
        <v>2759927</v>
      </c>
      <c r="P95" s="9">
        <v>3574559</v>
      </c>
      <c r="Q95" s="9">
        <v>3693921</v>
      </c>
      <c r="R95" s="9">
        <v>0</v>
      </c>
      <c r="S95" s="9">
        <v>1</v>
      </c>
      <c r="W95" s="9">
        <v>0</v>
      </c>
      <c r="X95" s="9">
        <v>270.839</v>
      </c>
    </row>
    <row r="96" spans="1:24" x14ac:dyDescent="0.25">
      <c r="A96" s="9">
        <v>101814</v>
      </c>
      <c r="B96" s="9">
        <v>35795</v>
      </c>
      <c r="C96" s="9">
        <v>9</v>
      </c>
      <c r="D96" s="9">
        <v>14334513</v>
      </c>
      <c r="E96" s="9">
        <v>10226</v>
      </c>
      <c r="F96" s="9">
        <v>9259</v>
      </c>
      <c r="G96" s="9">
        <v>10533</v>
      </c>
      <c r="H96" s="9">
        <v>11852</v>
      </c>
      <c r="I96" s="9">
        <v>10533</v>
      </c>
      <c r="L96" s="9">
        <v>10503409</v>
      </c>
      <c r="M96" s="9">
        <v>11143332</v>
      </c>
      <c r="P96" s="9">
        <v>13840401</v>
      </c>
      <c r="Q96" s="9">
        <v>14334513</v>
      </c>
      <c r="R96" s="9">
        <v>0</v>
      </c>
      <c r="S96" s="9">
        <v>1</v>
      </c>
      <c r="W96" s="9">
        <v>0</v>
      </c>
      <c r="X96" s="9">
        <v>1401.758</v>
      </c>
    </row>
    <row r="97" spans="1:24" x14ac:dyDescent="0.25">
      <c r="A97" s="9">
        <v>101815</v>
      </c>
      <c r="B97" s="9">
        <v>35795</v>
      </c>
      <c r="C97" s="9">
        <v>9</v>
      </c>
      <c r="D97" s="9">
        <v>2791361</v>
      </c>
      <c r="E97" s="9">
        <v>10470</v>
      </c>
      <c r="F97" s="9">
        <v>9259</v>
      </c>
      <c r="G97" s="9">
        <v>10784</v>
      </c>
      <c r="H97" s="9">
        <v>11852</v>
      </c>
      <c r="I97" s="9">
        <v>10784</v>
      </c>
      <c r="L97" s="9">
        <v>3022535</v>
      </c>
      <c r="M97" s="9">
        <v>3154953</v>
      </c>
      <c r="P97" s="9">
        <v>2716837</v>
      </c>
      <c r="Q97" s="9">
        <v>2791361</v>
      </c>
      <c r="R97" s="9">
        <v>0</v>
      </c>
      <c r="S97" s="9">
        <v>1</v>
      </c>
      <c r="W97" s="9">
        <v>0</v>
      </c>
      <c r="X97" s="9">
        <v>266.61799999999999</v>
      </c>
    </row>
    <row r="98" spans="1:24" x14ac:dyDescent="0.25">
      <c r="A98" s="9">
        <v>101819</v>
      </c>
      <c r="B98" s="9">
        <v>35795</v>
      </c>
      <c r="C98" s="9">
        <v>9</v>
      </c>
      <c r="D98" s="9">
        <v>4916366</v>
      </c>
      <c r="E98" s="9">
        <v>10584</v>
      </c>
      <c r="F98" s="9">
        <v>9259</v>
      </c>
      <c r="G98" s="9">
        <v>10901</v>
      </c>
      <c r="H98" s="9">
        <v>11852</v>
      </c>
      <c r="I98" s="9">
        <v>10901</v>
      </c>
      <c r="L98" s="9">
        <v>5494099</v>
      </c>
      <c r="M98" s="9">
        <v>5947851</v>
      </c>
      <c r="P98" s="9">
        <v>4771334</v>
      </c>
      <c r="Q98" s="9">
        <v>4916366</v>
      </c>
      <c r="R98" s="9">
        <v>0</v>
      </c>
      <c r="S98" s="9">
        <v>1</v>
      </c>
      <c r="W98" s="9">
        <v>0</v>
      </c>
      <c r="X98" s="9">
        <v>464.51800000000003</v>
      </c>
    </row>
    <row r="99" spans="1:24" x14ac:dyDescent="0.25">
      <c r="A99" s="9">
        <v>101821</v>
      </c>
      <c r="B99" s="9">
        <v>35795</v>
      </c>
      <c r="C99" s="9">
        <v>9</v>
      </c>
      <c r="D99" s="9">
        <v>1895154</v>
      </c>
      <c r="E99" s="9">
        <v>11498</v>
      </c>
      <c r="F99" s="9">
        <v>9259</v>
      </c>
      <c r="G99" s="9">
        <v>11842</v>
      </c>
      <c r="H99" s="9">
        <v>11852</v>
      </c>
      <c r="I99" s="9">
        <v>11842</v>
      </c>
      <c r="L99" s="9">
        <v>1815370</v>
      </c>
      <c r="M99" s="9">
        <v>1719805</v>
      </c>
      <c r="P99" s="9">
        <v>1833234</v>
      </c>
      <c r="Q99" s="9">
        <v>1895154</v>
      </c>
      <c r="R99" s="9">
        <v>0</v>
      </c>
      <c r="S99" s="9">
        <v>1</v>
      </c>
      <c r="W99" s="9">
        <v>0</v>
      </c>
      <c r="X99" s="9">
        <v>164.83100000000002</v>
      </c>
    </row>
    <row r="100" spans="1:24" x14ac:dyDescent="0.25">
      <c r="A100" s="9">
        <v>101828</v>
      </c>
      <c r="B100" s="9">
        <v>35795</v>
      </c>
      <c r="C100" s="9">
        <v>9</v>
      </c>
      <c r="D100" s="9">
        <v>21130602</v>
      </c>
      <c r="E100" s="9">
        <v>10350</v>
      </c>
      <c r="F100" s="9">
        <v>9259</v>
      </c>
      <c r="G100" s="9">
        <v>10661</v>
      </c>
      <c r="H100" s="9">
        <v>11852</v>
      </c>
      <c r="I100" s="9">
        <v>10661</v>
      </c>
      <c r="L100" s="9">
        <v>19942056</v>
      </c>
      <c r="M100" s="9">
        <v>21030446</v>
      </c>
      <c r="P100" s="9">
        <v>20447631</v>
      </c>
      <c r="Q100" s="9">
        <v>21130602</v>
      </c>
      <c r="R100" s="9">
        <v>0</v>
      </c>
      <c r="S100" s="9">
        <v>1</v>
      </c>
      <c r="W100" s="9">
        <v>0</v>
      </c>
      <c r="X100" s="9">
        <v>2041.5940000000001</v>
      </c>
    </row>
    <row r="101" spans="1:24" x14ac:dyDescent="0.25">
      <c r="A101" s="9">
        <v>101837</v>
      </c>
      <c r="B101" s="9">
        <v>35795</v>
      </c>
      <c r="C101" s="9">
        <v>9</v>
      </c>
      <c r="D101" s="9">
        <v>3023552</v>
      </c>
      <c r="E101" s="9">
        <v>9975</v>
      </c>
      <c r="F101" s="9">
        <v>9259</v>
      </c>
      <c r="G101" s="9">
        <v>10274</v>
      </c>
      <c r="H101" s="9">
        <v>11852</v>
      </c>
      <c r="I101" s="9">
        <v>10274</v>
      </c>
      <c r="L101" s="9">
        <v>3020929</v>
      </c>
      <c r="M101" s="9">
        <v>3120549</v>
      </c>
      <c r="P101" s="9">
        <v>2924394</v>
      </c>
      <c r="Q101" s="9">
        <v>3023552</v>
      </c>
      <c r="R101" s="9">
        <v>0</v>
      </c>
      <c r="S101" s="9">
        <v>1</v>
      </c>
      <c r="W101" s="9">
        <v>0</v>
      </c>
      <c r="X101" s="9">
        <v>303.11900000000003</v>
      </c>
    </row>
    <row r="102" spans="1:24" x14ac:dyDescent="0.25">
      <c r="A102" s="9">
        <v>101838</v>
      </c>
      <c r="B102" s="9">
        <v>35795</v>
      </c>
      <c r="C102" s="9">
        <v>9</v>
      </c>
      <c r="D102" s="9">
        <v>18661125</v>
      </c>
      <c r="E102" s="9">
        <v>10748</v>
      </c>
      <c r="F102" s="9">
        <v>9259</v>
      </c>
      <c r="G102" s="9">
        <v>11070</v>
      </c>
      <c r="H102" s="9">
        <v>11852</v>
      </c>
      <c r="I102" s="9">
        <v>11070</v>
      </c>
      <c r="L102" s="9">
        <v>15811246</v>
      </c>
      <c r="M102" s="9">
        <v>16926977</v>
      </c>
      <c r="P102" s="9">
        <v>18116851</v>
      </c>
      <c r="Q102" s="9">
        <v>18661125</v>
      </c>
      <c r="R102" s="9">
        <v>0</v>
      </c>
      <c r="S102" s="9">
        <v>1</v>
      </c>
      <c r="W102" s="9">
        <v>0</v>
      </c>
      <c r="X102" s="9">
        <v>1736.25</v>
      </c>
    </row>
    <row r="103" spans="1:24" x14ac:dyDescent="0.25">
      <c r="A103" s="9">
        <v>101840</v>
      </c>
      <c r="B103" s="9">
        <v>35795</v>
      </c>
      <c r="C103" s="9">
        <v>9</v>
      </c>
      <c r="D103" s="9">
        <v>4013715</v>
      </c>
      <c r="E103" s="9">
        <v>10330</v>
      </c>
      <c r="F103" s="9">
        <v>9259</v>
      </c>
      <c r="G103" s="9">
        <v>10640</v>
      </c>
      <c r="H103" s="9">
        <v>11852</v>
      </c>
      <c r="I103" s="9">
        <v>10640</v>
      </c>
      <c r="L103" s="9">
        <v>3447248</v>
      </c>
      <c r="M103" s="9">
        <v>3742511</v>
      </c>
      <c r="P103" s="9">
        <v>3896902</v>
      </c>
      <c r="Q103" s="9">
        <v>4013715</v>
      </c>
      <c r="R103" s="9">
        <v>0</v>
      </c>
      <c r="S103" s="9">
        <v>1</v>
      </c>
      <c r="W103" s="9">
        <v>0</v>
      </c>
      <c r="X103" s="9">
        <v>388.53800000000001</v>
      </c>
    </row>
    <row r="104" spans="1:24" x14ac:dyDescent="0.25">
      <c r="A104" s="9">
        <v>101842</v>
      </c>
      <c r="B104" s="9">
        <v>35795</v>
      </c>
      <c r="C104" s="9">
        <v>9</v>
      </c>
      <c r="D104" s="9">
        <v>555052</v>
      </c>
      <c r="E104" s="9">
        <v>11005</v>
      </c>
      <c r="F104" s="9">
        <v>9259</v>
      </c>
      <c r="G104" s="9">
        <v>11335</v>
      </c>
      <c r="H104" s="9">
        <v>11852</v>
      </c>
      <c r="I104" s="9">
        <v>11335</v>
      </c>
      <c r="L104" s="9">
        <v>418100</v>
      </c>
      <c r="M104" s="9">
        <v>439288</v>
      </c>
      <c r="P104" s="9">
        <v>535833</v>
      </c>
      <c r="Q104" s="9">
        <v>555052</v>
      </c>
      <c r="R104" s="9">
        <v>0</v>
      </c>
      <c r="S104" s="9">
        <v>1</v>
      </c>
      <c r="W104" s="9">
        <v>0</v>
      </c>
      <c r="X104" s="9">
        <v>50.436</v>
      </c>
    </row>
    <row r="105" spans="1:24" x14ac:dyDescent="0.25">
      <c r="A105" s="9">
        <v>101845</v>
      </c>
      <c r="B105" s="9">
        <v>35795</v>
      </c>
      <c r="C105" s="9">
        <v>9</v>
      </c>
      <c r="D105" s="9">
        <v>118591335</v>
      </c>
      <c r="E105" s="9">
        <v>10348</v>
      </c>
      <c r="F105" s="9">
        <v>9259</v>
      </c>
      <c r="G105" s="9">
        <v>10659</v>
      </c>
      <c r="H105" s="9">
        <v>11852</v>
      </c>
      <c r="I105" s="9">
        <v>10659</v>
      </c>
      <c r="L105" s="9">
        <v>139463869</v>
      </c>
      <c r="M105" s="9">
        <v>149320649</v>
      </c>
      <c r="P105" s="9">
        <v>115115170</v>
      </c>
      <c r="Q105" s="9">
        <v>118591335</v>
      </c>
      <c r="R105" s="9">
        <v>0</v>
      </c>
      <c r="S105" s="9">
        <v>1</v>
      </c>
      <c r="W105" s="9">
        <v>0</v>
      </c>
      <c r="X105" s="9">
        <v>11459.829</v>
      </c>
    </row>
    <row r="106" spans="1:24" x14ac:dyDescent="0.25">
      <c r="A106" s="9">
        <v>101846</v>
      </c>
      <c r="B106" s="9">
        <v>35795</v>
      </c>
      <c r="C106" s="9">
        <v>9</v>
      </c>
      <c r="D106" s="9">
        <v>34306360</v>
      </c>
      <c r="E106" s="9">
        <v>10512</v>
      </c>
      <c r="F106" s="9">
        <v>9259</v>
      </c>
      <c r="G106" s="9">
        <v>10827</v>
      </c>
      <c r="H106" s="9">
        <v>11852</v>
      </c>
      <c r="I106" s="9">
        <v>10827</v>
      </c>
      <c r="L106" s="9">
        <v>35999167</v>
      </c>
      <c r="M106" s="9">
        <v>38395061</v>
      </c>
      <c r="P106" s="9">
        <v>33294386</v>
      </c>
      <c r="Q106" s="9">
        <v>34306360</v>
      </c>
      <c r="R106" s="9">
        <v>0</v>
      </c>
      <c r="S106" s="9">
        <v>1</v>
      </c>
      <c r="W106" s="9">
        <v>0</v>
      </c>
      <c r="X106" s="9">
        <v>3263.56</v>
      </c>
    </row>
    <row r="107" spans="1:24" x14ac:dyDescent="0.25">
      <c r="A107" s="9">
        <v>101847</v>
      </c>
      <c r="B107" s="9">
        <v>35795</v>
      </c>
      <c r="C107" s="9">
        <v>9</v>
      </c>
      <c r="D107" s="9">
        <v>4472817</v>
      </c>
      <c r="E107" s="9">
        <v>9882</v>
      </c>
      <c r="F107" s="9">
        <v>9259</v>
      </c>
      <c r="G107" s="9">
        <v>10178</v>
      </c>
      <c r="H107" s="9">
        <v>11852</v>
      </c>
      <c r="I107" s="9">
        <v>10178</v>
      </c>
      <c r="L107" s="9">
        <v>4251828</v>
      </c>
      <c r="M107" s="9">
        <v>4358783</v>
      </c>
      <c r="P107" s="9">
        <v>4332154</v>
      </c>
      <c r="Q107" s="9">
        <v>4472817</v>
      </c>
      <c r="R107" s="9">
        <v>0</v>
      </c>
      <c r="S107" s="9">
        <v>1</v>
      </c>
      <c r="W107" s="9">
        <v>0</v>
      </c>
      <c r="X107" s="9">
        <v>452.62800000000004</v>
      </c>
    </row>
    <row r="108" spans="1:24" x14ac:dyDescent="0.25">
      <c r="A108" s="9">
        <v>101849</v>
      </c>
      <c r="B108" s="9">
        <v>35795</v>
      </c>
      <c r="C108" s="9">
        <v>9</v>
      </c>
      <c r="D108" s="9">
        <v>2293183</v>
      </c>
      <c r="E108" s="9">
        <v>10019</v>
      </c>
      <c r="F108" s="9">
        <v>9259</v>
      </c>
      <c r="G108" s="9">
        <v>10320</v>
      </c>
      <c r="H108" s="9">
        <v>11852</v>
      </c>
      <c r="I108" s="9">
        <v>10320</v>
      </c>
      <c r="L108" s="9">
        <v>1983291</v>
      </c>
      <c r="M108" s="9">
        <v>2065618</v>
      </c>
      <c r="P108" s="9">
        <v>2221976</v>
      </c>
      <c r="Q108" s="9">
        <v>2293183</v>
      </c>
      <c r="R108" s="9">
        <v>0</v>
      </c>
      <c r="S108" s="9">
        <v>1</v>
      </c>
      <c r="W108" s="9">
        <v>0</v>
      </c>
      <c r="X108" s="9">
        <v>228.87700000000001</v>
      </c>
    </row>
    <row r="109" spans="1:24" x14ac:dyDescent="0.25">
      <c r="A109" s="9">
        <v>101853</v>
      </c>
      <c r="B109" s="9">
        <v>35795</v>
      </c>
      <c r="C109" s="9">
        <v>9</v>
      </c>
      <c r="D109" s="9">
        <v>14001804</v>
      </c>
      <c r="E109" s="9">
        <v>11289</v>
      </c>
      <c r="F109" s="9">
        <v>9259</v>
      </c>
      <c r="G109" s="9">
        <v>11627</v>
      </c>
      <c r="H109" s="9">
        <v>11852</v>
      </c>
      <c r="I109" s="9">
        <v>11627</v>
      </c>
      <c r="L109" s="9">
        <v>12942357</v>
      </c>
      <c r="M109" s="9">
        <v>13524987</v>
      </c>
      <c r="P109" s="9">
        <v>13595430</v>
      </c>
      <c r="Q109" s="9">
        <v>14001804</v>
      </c>
      <c r="R109" s="9">
        <v>0</v>
      </c>
      <c r="S109" s="9">
        <v>1</v>
      </c>
      <c r="W109" s="9">
        <v>0</v>
      </c>
      <c r="X109" s="9">
        <v>1240.347</v>
      </c>
    </row>
    <row r="110" spans="1:24" x14ac:dyDescent="0.25">
      <c r="A110" s="9">
        <v>101855</v>
      </c>
      <c r="B110" s="9">
        <v>35795</v>
      </c>
      <c r="C110" s="9">
        <v>9</v>
      </c>
      <c r="D110" s="9">
        <v>2245509</v>
      </c>
      <c r="E110" s="9">
        <v>9932</v>
      </c>
      <c r="F110" s="9">
        <v>9259</v>
      </c>
      <c r="G110" s="9">
        <v>10230</v>
      </c>
      <c r="H110" s="9">
        <v>11852</v>
      </c>
      <c r="I110" s="9">
        <v>10230</v>
      </c>
      <c r="L110" s="9">
        <v>2349600</v>
      </c>
      <c r="M110" s="9">
        <v>2519289</v>
      </c>
      <c r="P110" s="9">
        <v>2167829</v>
      </c>
      <c r="Q110" s="9">
        <v>2245509</v>
      </c>
      <c r="R110" s="9">
        <v>0</v>
      </c>
      <c r="S110" s="9">
        <v>1</v>
      </c>
      <c r="W110" s="9">
        <v>0</v>
      </c>
      <c r="X110" s="9">
        <v>226.09</v>
      </c>
    </row>
    <row r="111" spans="1:24" x14ac:dyDescent="0.25">
      <c r="A111" s="9">
        <v>101856</v>
      </c>
      <c r="B111" s="9">
        <v>35795</v>
      </c>
      <c r="C111" s="9">
        <v>9</v>
      </c>
      <c r="D111" s="9">
        <v>6290547</v>
      </c>
      <c r="E111" s="9">
        <v>10414</v>
      </c>
      <c r="F111" s="9">
        <v>9259</v>
      </c>
      <c r="G111" s="9">
        <v>10726</v>
      </c>
      <c r="H111" s="9">
        <v>11852</v>
      </c>
      <c r="I111" s="9">
        <v>10726</v>
      </c>
      <c r="L111" s="9">
        <v>6728477</v>
      </c>
      <c r="M111" s="9">
        <v>7499298</v>
      </c>
      <c r="P111" s="9">
        <v>6107146</v>
      </c>
      <c r="Q111" s="9">
        <v>6290547</v>
      </c>
      <c r="R111" s="9">
        <v>0</v>
      </c>
      <c r="S111" s="9">
        <v>1</v>
      </c>
      <c r="W111" s="9">
        <v>0</v>
      </c>
      <c r="X111" s="9">
        <v>604.05799999999999</v>
      </c>
    </row>
    <row r="112" spans="1:24" x14ac:dyDescent="0.25">
      <c r="A112" s="9">
        <v>101858</v>
      </c>
      <c r="B112" s="9">
        <v>35795</v>
      </c>
      <c r="C112" s="9">
        <v>9</v>
      </c>
      <c r="D112" s="9">
        <v>52018375</v>
      </c>
      <c r="E112" s="9">
        <v>9881</v>
      </c>
      <c r="F112" s="9">
        <v>9259</v>
      </c>
      <c r="G112" s="9">
        <v>10178</v>
      </c>
      <c r="H112" s="9">
        <v>11852</v>
      </c>
      <c r="I112" s="9">
        <v>10178</v>
      </c>
      <c r="L112" s="9">
        <v>55464050</v>
      </c>
      <c r="M112" s="9">
        <v>59656805</v>
      </c>
      <c r="P112" s="9">
        <v>50488780</v>
      </c>
      <c r="Q112" s="9">
        <v>52018375</v>
      </c>
      <c r="R112" s="9">
        <v>0</v>
      </c>
      <c r="S112" s="9">
        <v>1</v>
      </c>
      <c r="W112" s="9">
        <v>0</v>
      </c>
      <c r="X112" s="9">
        <v>5264.3440000000001</v>
      </c>
    </row>
    <row r="113" spans="1:24" x14ac:dyDescent="0.25">
      <c r="A113" s="9">
        <v>101859</v>
      </c>
      <c r="B113" s="9">
        <v>35795</v>
      </c>
      <c r="C113" s="9">
        <v>9</v>
      </c>
      <c r="D113" s="9">
        <v>5213456</v>
      </c>
      <c r="E113" s="9">
        <v>10329</v>
      </c>
      <c r="F113" s="9">
        <v>9259</v>
      </c>
      <c r="G113" s="9">
        <v>10639</v>
      </c>
      <c r="H113" s="9">
        <v>11852</v>
      </c>
      <c r="I113" s="9">
        <v>10639</v>
      </c>
      <c r="L113" s="9">
        <v>5705659</v>
      </c>
      <c r="M113" s="9">
        <v>6126122</v>
      </c>
      <c r="P113" s="9">
        <v>5055223</v>
      </c>
      <c r="Q113" s="9">
        <v>5213456</v>
      </c>
      <c r="R113" s="9">
        <v>0</v>
      </c>
      <c r="S113" s="9">
        <v>1</v>
      </c>
      <c r="W113" s="9">
        <v>0</v>
      </c>
      <c r="X113" s="9">
        <v>504.74900000000002</v>
      </c>
    </row>
    <row r="114" spans="1:24" x14ac:dyDescent="0.25">
      <c r="A114" s="9">
        <v>101861</v>
      </c>
      <c r="B114" s="9">
        <v>35795</v>
      </c>
      <c r="C114" s="9">
        <v>9</v>
      </c>
      <c r="D114" s="9">
        <v>7962102</v>
      </c>
      <c r="E114" s="9">
        <v>10769</v>
      </c>
      <c r="F114" s="9">
        <v>9259</v>
      </c>
      <c r="G114" s="9">
        <v>11092</v>
      </c>
      <c r="H114" s="9">
        <v>11852</v>
      </c>
      <c r="I114" s="9">
        <v>11092</v>
      </c>
      <c r="L114" s="9">
        <v>5770939</v>
      </c>
      <c r="M114" s="9">
        <v>5916324</v>
      </c>
      <c r="P114" s="9">
        <v>7604894</v>
      </c>
      <c r="Q114" s="9">
        <v>7962102</v>
      </c>
      <c r="R114" s="9">
        <v>0</v>
      </c>
      <c r="S114" s="9">
        <v>1</v>
      </c>
      <c r="W114" s="9">
        <v>0</v>
      </c>
      <c r="X114" s="9">
        <v>739.38499999999999</v>
      </c>
    </row>
    <row r="115" spans="1:24" x14ac:dyDescent="0.25">
      <c r="A115" s="9">
        <v>101862</v>
      </c>
      <c r="B115" s="9">
        <v>35795</v>
      </c>
      <c r="C115" s="9">
        <v>9</v>
      </c>
      <c r="D115" s="9">
        <v>35779534</v>
      </c>
      <c r="E115" s="9">
        <v>9721</v>
      </c>
      <c r="F115" s="9">
        <v>9259</v>
      </c>
      <c r="G115" s="9">
        <v>10013</v>
      </c>
      <c r="H115" s="9">
        <v>11852</v>
      </c>
      <c r="I115" s="9">
        <v>10013</v>
      </c>
      <c r="L115" s="9">
        <v>38494542</v>
      </c>
      <c r="M115" s="9">
        <v>41060887</v>
      </c>
      <c r="P115" s="9">
        <v>34623138</v>
      </c>
      <c r="Q115" s="9">
        <v>35779534</v>
      </c>
      <c r="R115" s="9">
        <v>0</v>
      </c>
      <c r="S115" s="9">
        <v>1</v>
      </c>
      <c r="W115" s="9">
        <v>0</v>
      </c>
      <c r="X115" s="9">
        <v>3680.5730000000003</v>
      </c>
    </row>
    <row r="116" spans="1:24" x14ac:dyDescent="0.25">
      <c r="A116" s="9">
        <v>101864</v>
      </c>
      <c r="B116" s="9">
        <v>35795</v>
      </c>
      <c r="C116" s="9">
        <v>9</v>
      </c>
      <c r="D116" s="9">
        <v>1900520</v>
      </c>
      <c r="E116" s="9">
        <v>10647</v>
      </c>
      <c r="F116" s="9">
        <v>9259</v>
      </c>
      <c r="G116" s="9">
        <v>10967</v>
      </c>
      <c r="H116" s="9">
        <v>11852</v>
      </c>
      <c r="I116" s="9">
        <v>10967</v>
      </c>
      <c r="L116" s="9">
        <v>1629922</v>
      </c>
      <c r="M116" s="9">
        <v>1666657</v>
      </c>
      <c r="P116" s="9">
        <v>1831516</v>
      </c>
      <c r="Q116" s="9">
        <v>1900520</v>
      </c>
      <c r="R116" s="9">
        <v>0</v>
      </c>
      <c r="S116" s="9">
        <v>1</v>
      </c>
      <c r="W116" s="9">
        <v>0</v>
      </c>
      <c r="X116" s="9">
        <v>178.495</v>
      </c>
    </row>
    <row r="117" spans="1:24" x14ac:dyDescent="0.25">
      <c r="A117" s="9">
        <v>101868</v>
      </c>
      <c r="B117" s="9">
        <v>35795</v>
      </c>
      <c r="C117" s="9">
        <v>9</v>
      </c>
      <c r="D117" s="9">
        <v>4986356</v>
      </c>
      <c r="E117" s="9">
        <v>11155</v>
      </c>
      <c r="F117" s="9">
        <v>9259</v>
      </c>
      <c r="G117" s="9">
        <v>11490</v>
      </c>
      <c r="H117" s="9">
        <v>11852</v>
      </c>
      <c r="I117" s="9">
        <v>11490</v>
      </c>
      <c r="L117" s="9">
        <v>3823427</v>
      </c>
      <c r="M117" s="9">
        <v>3958629</v>
      </c>
      <c r="P117" s="9">
        <v>4842643</v>
      </c>
      <c r="Q117" s="9">
        <v>4986356</v>
      </c>
      <c r="R117" s="9">
        <v>0</v>
      </c>
      <c r="S117" s="9">
        <v>1</v>
      </c>
      <c r="W117" s="9">
        <v>0</v>
      </c>
      <c r="X117" s="9">
        <v>446.99100000000004</v>
      </c>
    </row>
    <row r="118" spans="1:24" x14ac:dyDescent="0.25">
      <c r="A118" s="9">
        <v>101870</v>
      </c>
      <c r="B118" s="9">
        <v>35795</v>
      </c>
      <c r="C118" s="9">
        <v>9</v>
      </c>
      <c r="D118" s="9">
        <v>7729343</v>
      </c>
      <c r="E118" s="9">
        <v>9641</v>
      </c>
      <c r="F118" s="9">
        <v>9259</v>
      </c>
      <c r="G118" s="9">
        <v>9931</v>
      </c>
      <c r="H118" s="9">
        <v>11852</v>
      </c>
      <c r="I118" s="9">
        <v>9931</v>
      </c>
      <c r="L118" s="9">
        <v>11801879</v>
      </c>
      <c r="M118" s="9">
        <v>12369332</v>
      </c>
      <c r="P118" s="9">
        <v>7527290</v>
      </c>
      <c r="Q118" s="9">
        <v>7729343</v>
      </c>
      <c r="R118" s="9">
        <v>0</v>
      </c>
      <c r="S118" s="9">
        <v>1</v>
      </c>
      <c r="W118" s="9">
        <v>0</v>
      </c>
      <c r="X118" s="9">
        <v>801.69100000000003</v>
      </c>
    </row>
    <row r="119" spans="1:24" x14ac:dyDescent="0.25">
      <c r="A119" s="9">
        <v>101871</v>
      </c>
      <c r="B119" s="9">
        <v>35795</v>
      </c>
      <c r="C119" s="9">
        <v>9</v>
      </c>
      <c r="D119" s="9">
        <v>1413091</v>
      </c>
      <c r="E119" s="9">
        <v>11772</v>
      </c>
      <c r="F119" s="9">
        <v>9259</v>
      </c>
      <c r="G119" s="9">
        <v>12125</v>
      </c>
      <c r="H119" s="9">
        <v>11852</v>
      </c>
      <c r="I119" s="9">
        <v>11852</v>
      </c>
      <c r="L119" s="9">
        <v>1525907</v>
      </c>
      <c r="M119" s="9">
        <v>1530284</v>
      </c>
      <c r="P119" s="9">
        <v>1363001</v>
      </c>
      <c r="Q119" s="9">
        <v>1413091</v>
      </c>
      <c r="R119" s="9">
        <v>0</v>
      </c>
      <c r="S119" s="9">
        <v>1</v>
      </c>
      <c r="W119" s="9">
        <v>0</v>
      </c>
      <c r="X119" s="9">
        <v>120.039</v>
      </c>
    </row>
    <row r="120" spans="1:24" x14ac:dyDescent="0.25">
      <c r="A120" s="9">
        <v>101872</v>
      </c>
      <c r="B120" s="9">
        <v>35795</v>
      </c>
      <c r="C120" s="9">
        <v>9</v>
      </c>
      <c r="D120" s="9">
        <v>1455764</v>
      </c>
      <c r="E120" s="9">
        <v>10202</v>
      </c>
      <c r="F120" s="9">
        <v>9259</v>
      </c>
      <c r="G120" s="9">
        <v>10508</v>
      </c>
      <c r="H120" s="9">
        <v>11852</v>
      </c>
      <c r="I120" s="9">
        <v>10508</v>
      </c>
      <c r="L120" s="9">
        <v>3378325</v>
      </c>
      <c r="M120" s="9">
        <v>3676253</v>
      </c>
      <c r="P120" s="9">
        <v>1435495</v>
      </c>
      <c r="Q120" s="9">
        <v>1455764</v>
      </c>
      <c r="R120" s="9">
        <v>0</v>
      </c>
      <c r="S120" s="9">
        <v>1</v>
      </c>
      <c r="W120" s="9">
        <v>0</v>
      </c>
      <c r="X120" s="9">
        <v>142.70000000000002</v>
      </c>
    </row>
    <row r="121" spans="1:24" x14ac:dyDescent="0.25">
      <c r="A121" s="9">
        <v>101873</v>
      </c>
      <c r="B121" s="9">
        <v>35795</v>
      </c>
      <c r="C121" s="9">
        <v>9</v>
      </c>
      <c r="D121" s="9">
        <v>2386376</v>
      </c>
      <c r="E121" s="9">
        <v>9787</v>
      </c>
      <c r="F121" s="9">
        <v>9259</v>
      </c>
      <c r="G121" s="9">
        <v>10080</v>
      </c>
      <c r="H121" s="9">
        <v>11852</v>
      </c>
      <c r="I121" s="9">
        <v>10080</v>
      </c>
      <c r="L121" s="9">
        <v>1391480</v>
      </c>
      <c r="M121" s="9">
        <v>1448793</v>
      </c>
      <c r="P121" s="9">
        <v>2321462</v>
      </c>
      <c r="Q121" s="9">
        <v>2386376</v>
      </c>
      <c r="R121" s="9">
        <v>0</v>
      </c>
      <c r="S121" s="9">
        <v>1</v>
      </c>
      <c r="W121" s="9">
        <v>0</v>
      </c>
      <c r="X121" s="9">
        <v>243.84300000000002</v>
      </c>
    </row>
    <row r="122" spans="1:24" x14ac:dyDescent="0.25">
      <c r="A122" s="9">
        <v>101874</v>
      </c>
      <c r="B122" s="9">
        <v>35795</v>
      </c>
      <c r="C122" s="9">
        <v>9</v>
      </c>
      <c r="D122" s="9">
        <v>3518201</v>
      </c>
      <c r="E122" s="9">
        <v>9158</v>
      </c>
      <c r="F122" s="9">
        <v>9259</v>
      </c>
      <c r="G122" s="9">
        <v>9433</v>
      </c>
      <c r="H122" s="9">
        <v>11852</v>
      </c>
      <c r="I122" s="9">
        <v>9433</v>
      </c>
      <c r="L122" s="9">
        <v>3162006</v>
      </c>
      <c r="M122" s="9">
        <v>3414452</v>
      </c>
      <c r="P122" s="9">
        <v>3404057</v>
      </c>
      <c r="Q122" s="9">
        <v>3518201</v>
      </c>
      <c r="R122" s="9">
        <v>0</v>
      </c>
      <c r="S122" s="9">
        <v>1</v>
      </c>
      <c r="W122" s="9">
        <v>0</v>
      </c>
      <c r="X122" s="9">
        <v>384.16</v>
      </c>
    </row>
    <row r="123" spans="1:24" x14ac:dyDescent="0.25">
      <c r="A123" s="9">
        <v>101875</v>
      </c>
      <c r="B123" s="9">
        <v>35795</v>
      </c>
      <c r="C123" s="9">
        <v>9</v>
      </c>
      <c r="D123" s="9">
        <v>392275</v>
      </c>
      <c r="E123" s="9">
        <v>10733</v>
      </c>
      <c r="F123" s="9">
        <v>9259</v>
      </c>
      <c r="G123" s="9">
        <v>11055</v>
      </c>
      <c r="H123" s="9">
        <v>11852</v>
      </c>
      <c r="I123" s="9">
        <v>11055</v>
      </c>
      <c r="L123" s="9">
        <v>1904417</v>
      </c>
      <c r="M123" s="9">
        <v>2228142</v>
      </c>
      <c r="P123" s="9">
        <v>392275</v>
      </c>
      <c r="Q123" s="9">
        <v>392275</v>
      </c>
      <c r="R123" s="9">
        <v>0</v>
      </c>
      <c r="S123" s="9">
        <v>1</v>
      </c>
      <c r="W123" s="9">
        <v>0</v>
      </c>
      <c r="X123" s="9">
        <v>36.548999999999999</v>
      </c>
    </row>
    <row r="124" spans="1:24" x14ac:dyDescent="0.25">
      <c r="A124" s="9">
        <v>101876</v>
      </c>
      <c r="B124" s="9">
        <v>35795</v>
      </c>
      <c r="C124" s="9">
        <v>9</v>
      </c>
      <c r="D124" s="9">
        <v>599971</v>
      </c>
      <c r="E124" s="9">
        <v>9729</v>
      </c>
      <c r="F124" s="9">
        <v>9259</v>
      </c>
      <c r="G124" s="9">
        <v>10020</v>
      </c>
      <c r="H124" s="9">
        <v>11852</v>
      </c>
      <c r="I124" s="9">
        <v>10020</v>
      </c>
      <c r="L124" s="9">
        <v>1458153</v>
      </c>
      <c r="M124" s="9">
        <v>1608634</v>
      </c>
      <c r="P124" s="9">
        <v>599971</v>
      </c>
      <c r="Q124" s="9">
        <v>599971</v>
      </c>
      <c r="R124" s="9">
        <v>0</v>
      </c>
      <c r="S124" s="9">
        <v>1</v>
      </c>
      <c r="W124" s="9">
        <v>0</v>
      </c>
      <c r="X124" s="9">
        <v>61.671000000000006</v>
      </c>
    </row>
    <row r="125" spans="1:24" x14ac:dyDescent="0.25">
      <c r="A125" s="9">
        <v>101877</v>
      </c>
      <c r="B125" s="9">
        <v>35795</v>
      </c>
      <c r="C125" s="9">
        <v>9</v>
      </c>
      <c r="D125" s="9">
        <v>0</v>
      </c>
      <c r="E125" s="9">
        <v>0</v>
      </c>
      <c r="F125" s="9">
        <v>9259</v>
      </c>
      <c r="G125" s="9">
        <v>0</v>
      </c>
      <c r="H125" s="9">
        <v>11852</v>
      </c>
      <c r="I125" s="9">
        <v>0</v>
      </c>
      <c r="L125" s="9">
        <v>0</v>
      </c>
      <c r="M125" s="9">
        <v>411555</v>
      </c>
      <c r="P125" s="9">
        <v>0</v>
      </c>
      <c r="Q125" s="9">
        <v>0</v>
      </c>
      <c r="R125" s="9">
        <v>0</v>
      </c>
      <c r="S125" s="9">
        <v>1</v>
      </c>
      <c r="W125" s="9">
        <v>0</v>
      </c>
      <c r="X125" s="9">
        <v>0</v>
      </c>
    </row>
    <row r="126" spans="1:24" x14ac:dyDescent="0.25">
      <c r="A126" s="9">
        <v>101878</v>
      </c>
      <c r="B126" s="9">
        <v>35795</v>
      </c>
      <c r="C126" s="9">
        <v>9</v>
      </c>
      <c r="D126" s="9">
        <v>0</v>
      </c>
      <c r="E126" s="9">
        <v>0</v>
      </c>
      <c r="F126" s="9">
        <v>9259</v>
      </c>
      <c r="G126" s="9">
        <v>0</v>
      </c>
      <c r="H126" s="9">
        <v>11852</v>
      </c>
      <c r="I126" s="9">
        <v>0</v>
      </c>
      <c r="L126" s="9">
        <v>0</v>
      </c>
      <c r="M126" s="9">
        <v>1152181</v>
      </c>
      <c r="P126" s="9">
        <v>0</v>
      </c>
      <c r="Q126" s="9">
        <v>0</v>
      </c>
      <c r="R126" s="9">
        <v>0</v>
      </c>
      <c r="S126" s="9">
        <v>1</v>
      </c>
      <c r="W126" s="9">
        <v>0</v>
      </c>
      <c r="X126" s="9">
        <v>0</v>
      </c>
    </row>
    <row r="127" spans="1:24" x14ac:dyDescent="0.25">
      <c r="A127" s="9">
        <v>105801</v>
      </c>
      <c r="B127" s="9">
        <v>35795</v>
      </c>
      <c r="C127" s="9">
        <v>9</v>
      </c>
      <c r="D127" s="9">
        <v>1451107</v>
      </c>
      <c r="E127" s="9">
        <v>11056</v>
      </c>
      <c r="F127" s="9">
        <v>9259</v>
      </c>
      <c r="G127" s="9">
        <v>11388</v>
      </c>
      <c r="H127" s="9">
        <v>11852</v>
      </c>
      <c r="I127" s="9">
        <v>11388</v>
      </c>
      <c r="L127" s="9">
        <v>1024904</v>
      </c>
      <c r="M127" s="9">
        <v>796826</v>
      </c>
      <c r="P127" s="9">
        <v>1404998</v>
      </c>
      <c r="Q127" s="9">
        <v>1451107</v>
      </c>
      <c r="R127" s="9">
        <v>0</v>
      </c>
      <c r="S127" s="9">
        <v>1</v>
      </c>
      <c r="W127" s="9">
        <v>0</v>
      </c>
      <c r="X127" s="9">
        <v>131.249</v>
      </c>
    </row>
    <row r="128" spans="1:24" x14ac:dyDescent="0.25">
      <c r="A128" s="9">
        <v>105802</v>
      </c>
      <c r="B128" s="9">
        <v>35795</v>
      </c>
      <c r="C128" s="9">
        <v>9</v>
      </c>
      <c r="D128" s="9">
        <v>1903526</v>
      </c>
      <c r="E128" s="9">
        <v>10596</v>
      </c>
      <c r="F128" s="9">
        <v>9259</v>
      </c>
      <c r="G128" s="9">
        <v>10914</v>
      </c>
      <c r="H128" s="9">
        <v>11852</v>
      </c>
      <c r="I128" s="9">
        <v>10914</v>
      </c>
      <c r="L128" s="9">
        <v>1131889</v>
      </c>
      <c r="M128" s="9">
        <v>1038447</v>
      </c>
      <c r="P128" s="9">
        <v>1834045</v>
      </c>
      <c r="Q128" s="9">
        <v>1903526</v>
      </c>
      <c r="R128" s="9">
        <v>0</v>
      </c>
      <c r="S128" s="9">
        <v>1</v>
      </c>
      <c r="W128" s="9">
        <v>0</v>
      </c>
      <c r="X128" s="9">
        <v>179.64400000000001</v>
      </c>
    </row>
    <row r="129" spans="1:24" x14ac:dyDescent="0.25">
      <c r="A129" s="9">
        <v>105803</v>
      </c>
      <c r="B129" s="9">
        <v>35795</v>
      </c>
      <c r="C129" s="9">
        <v>9</v>
      </c>
      <c r="D129" s="9">
        <v>4097018</v>
      </c>
      <c r="E129" s="9">
        <v>22583</v>
      </c>
      <c r="F129" s="9">
        <v>9259</v>
      </c>
      <c r="G129" s="9">
        <v>23261</v>
      </c>
      <c r="H129" s="9">
        <v>11852</v>
      </c>
      <c r="I129" s="9">
        <v>11852</v>
      </c>
      <c r="L129" s="9">
        <v>3364339</v>
      </c>
      <c r="M129" s="9">
        <v>5202651</v>
      </c>
      <c r="P129" s="9">
        <v>4040077</v>
      </c>
      <c r="Q129" s="9">
        <v>4097018</v>
      </c>
      <c r="R129" s="9">
        <v>0</v>
      </c>
      <c r="S129" s="9">
        <v>1</v>
      </c>
      <c r="W129" s="9">
        <v>0</v>
      </c>
      <c r="X129" s="9">
        <v>181.41900000000001</v>
      </c>
    </row>
    <row r="130" spans="1:24" x14ac:dyDescent="0.25">
      <c r="A130" s="9">
        <v>105804</v>
      </c>
      <c r="B130" s="9">
        <v>0</v>
      </c>
      <c r="C130" s="9">
        <v>0</v>
      </c>
      <c r="D130" s="9">
        <v>0</v>
      </c>
      <c r="E130" s="9">
        <v>0</v>
      </c>
      <c r="F130" s="9">
        <v>0</v>
      </c>
      <c r="G130" s="9">
        <v>0</v>
      </c>
      <c r="H130" s="9">
        <v>0</v>
      </c>
      <c r="I130" s="9">
        <v>0</v>
      </c>
      <c r="J130" s="9">
        <v>0</v>
      </c>
      <c r="K130" s="9">
        <v>0</v>
      </c>
      <c r="L130" s="9">
        <v>0</v>
      </c>
      <c r="M130" s="9">
        <v>0</v>
      </c>
      <c r="N130" s="9">
        <v>0</v>
      </c>
      <c r="O130" s="9">
        <v>0</v>
      </c>
      <c r="P130" s="9">
        <v>0</v>
      </c>
      <c r="Q130" s="9">
        <v>0</v>
      </c>
      <c r="R130" s="9">
        <v>0</v>
      </c>
      <c r="S130" s="9">
        <v>0</v>
      </c>
      <c r="T130" s="9">
        <v>0</v>
      </c>
      <c r="U130" s="9">
        <v>0</v>
      </c>
      <c r="V130" s="9">
        <v>0</v>
      </c>
      <c r="W130" s="9">
        <v>0</v>
      </c>
      <c r="X130" s="9">
        <v>0</v>
      </c>
    </row>
    <row r="131" spans="1:24" x14ac:dyDescent="0.25">
      <c r="A131" s="9">
        <v>108802</v>
      </c>
      <c r="B131" s="9">
        <v>35795</v>
      </c>
      <c r="C131" s="9">
        <v>9</v>
      </c>
      <c r="D131" s="9">
        <v>10075465</v>
      </c>
      <c r="E131" s="9">
        <v>10588</v>
      </c>
      <c r="F131" s="9">
        <v>9259</v>
      </c>
      <c r="G131" s="9">
        <v>10906</v>
      </c>
      <c r="H131" s="9">
        <v>11852</v>
      </c>
      <c r="I131" s="9">
        <v>10906</v>
      </c>
      <c r="L131" s="9">
        <v>12224609</v>
      </c>
      <c r="M131" s="9">
        <v>12149422</v>
      </c>
      <c r="P131" s="9">
        <v>9738492</v>
      </c>
      <c r="Q131" s="9">
        <v>10075465</v>
      </c>
      <c r="R131" s="9">
        <v>0</v>
      </c>
      <c r="S131" s="9">
        <v>1</v>
      </c>
      <c r="W131" s="9">
        <v>0</v>
      </c>
      <c r="X131" s="9">
        <v>951.55400000000009</v>
      </c>
    </row>
    <row r="132" spans="1:24" x14ac:dyDescent="0.25">
      <c r="A132" s="9">
        <v>108804</v>
      </c>
      <c r="B132" s="9">
        <v>35795</v>
      </c>
      <c r="C132" s="9">
        <v>9</v>
      </c>
      <c r="D132" s="9">
        <v>4525042</v>
      </c>
      <c r="E132" s="9">
        <v>11071</v>
      </c>
      <c r="F132" s="9">
        <v>9259</v>
      </c>
      <c r="G132" s="9">
        <v>11403</v>
      </c>
      <c r="H132" s="9">
        <v>11852</v>
      </c>
      <c r="I132" s="9">
        <v>11403</v>
      </c>
      <c r="L132" s="9">
        <v>4298884</v>
      </c>
      <c r="M132" s="9">
        <v>4417069</v>
      </c>
      <c r="P132" s="9">
        <v>4415564</v>
      </c>
      <c r="Q132" s="9">
        <v>4525042</v>
      </c>
      <c r="R132" s="9">
        <v>0</v>
      </c>
      <c r="S132" s="9">
        <v>1</v>
      </c>
      <c r="W132" s="9">
        <v>0</v>
      </c>
      <c r="X132" s="9">
        <v>408.74600000000004</v>
      </c>
    </row>
    <row r="133" spans="1:24" x14ac:dyDescent="0.25">
      <c r="A133" s="9">
        <v>108807</v>
      </c>
      <c r="B133" s="9">
        <v>35795</v>
      </c>
      <c r="C133" s="9">
        <v>9</v>
      </c>
      <c r="D133" s="9">
        <v>468910080</v>
      </c>
      <c r="E133" s="9">
        <v>10211</v>
      </c>
      <c r="F133" s="9">
        <v>9259</v>
      </c>
      <c r="G133" s="9">
        <v>10518</v>
      </c>
      <c r="H133" s="9">
        <v>11852</v>
      </c>
      <c r="I133" s="9">
        <v>10518</v>
      </c>
      <c r="L133" s="9">
        <v>616563131</v>
      </c>
      <c r="M133" s="9">
        <v>656581411</v>
      </c>
      <c r="P133" s="9">
        <v>456262707</v>
      </c>
      <c r="Q133" s="9">
        <v>468910080</v>
      </c>
      <c r="R133" s="9">
        <v>0</v>
      </c>
      <c r="S133" s="9">
        <v>1</v>
      </c>
      <c r="W133" s="9">
        <v>0</v>
      </c>
      <c r="X133" s="9">
        <v>45921.092000000004</v>
      </c>
    </row>
    <row r="134" spans="1:24" x14ac:dyDescent="0.25">
      <c r="A134" s="9">
        <v>108808</v>
      </c>
      <c r="B134" s="9">
        <v>35795</v>
      </c>
      <c r="C134" s="9">
        <v>9</v>
      </c>
      <c r="D134" s="9">
        <v>41487804</v>
      </c>
      <c r="E134" s="9">
        <v>10288</v>
      </c>
      <c r="F134" s="9">
        <v>9259</v>
      </c>
      <c r="G134" s="9">
        <v>10596</v>
      </c>
      <c r="H134" s="9">
        <v>11852</v>
      </c>
      <c r="I134" s="9">
        <v>10596</v>
      </c>
      <c r="L134" s="9">
        <v>49432295</v>
      </c>
      <c r="M134" s="9">
        <v>52558398</v>
      </c>
      <c r="P134" s="9">
        <v>40284215</v>
      </c>
      <c r="Q134" s="9">
        <v>41487804</v>
      </c>
      <c r="R134" s="9">
        <v>0</v>
      </c>
      <c r="S134" s="9">
        <v>1</v>
      </c>
      <c r="W134" s="9">
        <v>0</v>
      </c>
      <c r="X134" s="9">
        <v>4032.7270000000003</v>
      </c>
    </row>
    <row r="135" spans="1:24" x14ac:dyDescent="0.25">
      <c r="A135" s="9">
        <v>108809</v>
      </c>
      <c r="B135" s="9">
        <v>35795</v>
      </c>
      <c r="C135" s="9">
        <v>9</v>
      </c>
      <c r="D135" s="9">
        <v>2878310</v>
      </c>
      <c r="E135" s="9">
        <v>10623</v>
      </c>
      <c r="F135" s="9">
        <v>9259</v>
      </c>
      <c r="G135" s="9">
        <v>10942</v>
      </c>
      <c r="H135" s="9">
        <v>11852</v>
      </c>
      <c r="I135" s="9">
        <v>10942</v>
      </c>
      <c r="L135" s="9">
        <v>2938027</v>
      </c>
      <c r="M135" s="9">
        <v>3196518</v>
      </c>
      <c r="P135" s="9">
        <v>2808027</v>
      </c>
      <c r="Q135" s="9">
        <v>2878310</v>
      </c>
      <c r="R135" s="9">
        <v>0</v>
      </c>
      <c r="S135" s="9">
        <v>1</v>
      </c>
      <c r="W135" s="9">
        <v>0</v>
      </c>
      <c r="X135" s="9">
        <v>270.94600000000003</v>
      </c>
    </row>
    <row r="136" spans="1:24" x14ac:dyDescent="0.25">
      <c r="A136" s="9">
        <v>111801</v>
      </c>
      <c r="B136" s="9">
        <v>35795</v>
      </c>
      <c r="C136" s="9">
        <v>9</v>
      </c>
      <c r="D136" s="9">
        <v>919998</v>
      </c>
      <c r="E136" s="9">
        <v>11345</v>
      </c>
      <c r="F136" s="9">
        <v>9259</v>
      </c>
      <c r="G136" s="9">
        <v>11686</v>
      </c>
      <c r="H136" s="9">
        <v>11852</v>
      </c>
      <c r="I136" s="9">
        <v>11686</v>
      </c>
      <c r="L136" s="9">
        <v>541787</v>
      </c>
      <c r="M136" s="9">
        <v>621427</v>
      </c>
      <c r="P136" s="9">
        <v>893697</v>
      </c>
      <c r="Q136" s="9">
        <v>919998</v>
      </c>
      <c r="R136" s="9">
        <v>0</v>
      </c>
      <c r="S136" s="9">
        <v>1</v>
      </c>
      <c r="W136" s="9">
        <v>0</v>
      </c>
      <c r="X136" s="9">
        <v>81.09</v>
      </c>
    </row>
    <row r="137" spans="1:24" x14ac:dyDescent="0.25">
      <c r="A137" s="9">
        <v>123803</v>
      </c>
      <c r="B137" s="9">
        <v>35795</v>
      </c>
      <c r="C137" s="9">
        <v>9</v>
      </c>
      <c r="D137" s="9">
        <v>3748572</v>
      </c>
      <c r="E137" s="9">
        <v>10375</v>
      </c>
      <c r="F137" s="9">
        <v>9259</v>
      </c>
      <c r="G137" s="9">
        <v>10686</v>
      </c>
      <c r="H137" s="9">
        <v>11852</v>
      </c>
      <c r="I137" s="9">
        <v>10686</v>
      </c>
      <c r="L137" s="9">
        <v>4007759</v>
      </c>
      <c r="M137" s="9">
        <v>3853371</v>
      </c>
      <c r="P137" s="9">
        <v>3635108</v>
      </c>
      <c r="Q137" s="9">
        <v>3748572</v>
      </c>
      <c r="R137" s="9">
        <v>0</v>
      </c>
      <c r="S137" s="9">
        <v>1</v>
      </c>
      <c r="W137" s="9">
        <v>0</v>
      </c>
      <c r="X137" s="9">
        <v>361.31600000000003</v>
      </c>
    </row>
    <row r="138" spans="1:24" x14ac:dyDescent="0.25">
      <c r="A138" s="9">
        <v>123805</v>
      </c>
      <c r="B138" s="9">
        <v>35795</v>
      </c>
      <c r="C138" s="9">
        <v>9</v>
      </c>
      <c r="D138" s="9">
        <v>4542026</v>
      </c>
      <c r="E138" s="9">
        <v>10582</v>
      </c>
      <c r="F138" s="9">
        <v>9259</v>
      </c>
      <c r="G138" s="9">
        <v>10900</v>
      </c>
      <c r="H138" s="9">
        <v>11852</v>
      </c>
      <c r="I138" s="9">
        <v>10900</v>
      </c>
      <c r="L138" s="9">
        <v>5025012</v>
      </c>
      <c r="M138" s="9">
        <v>5356421</v>
      </c>
      <c r="P138" s="9">
        <v>4411537</v>
      </c>
      <c r="Q138" s="9">
        <v>4542026</v>
      </c>
      <c r="R138" s="9">
        <v>0</v>
      </c>
      <c r="S138" s="9">
        <v>1</v>
      </c>
      <c r="W138" s="9">
        <v>0</v>
      </c>
      <c r="X138" s="9">
        <v>429.21899999999999</v>
      </c>
    </row>
    <row r="139" spans="1:24" x14ac:dyDescent="0.25">
      <c r="A139" s="9">
        <v>123807</v>
      </c>
      <c r="B139" s="9">
        <v>35795</v>
      </c>
      <c r="C139" s="9">
        <v>9</v>
      </c>
      <c r="D139" s="9">
        <v>17027013</v>
      </c>
      <c r="E139" s="9">
        <v>10430</v>
      </c>
      <c r="F139" s="9">
        <v>9259</v>
      </c>
      <c r="G139" s="9">
        <v>10743</v>
      </c>
      <c r="H139" s="9">
        <v>11852</v>
      </c>
      <c r="I139" s="9">
        <v>10743</v>
      </c>
      <c r="L139" s="9">
        <v>21641193</v>
      </c>
      <c r="M139" s="9">
        <v>22959204</v>
      </c>
      <c r="P139" s="9">
        <v>16617984</v>
      </c>
      <c r="Q139" s="9">
        <v>17027013</v>
      </c>
      <c r="R139" s="9">
        <v>0</v>
      </c>
      <c r="S139" s="9">
        <v>1</v>
      </c>
      <c r="W139" s="9">
        <v>0</v>
      </c>
      <c r="X139" s="9">
        <v>1632.4350000000002</v>
      </c>
    </row>
    <row r="140" spans="1:24" x14ac:dyDescent="0.25">
      <c r="A140" s="9">
        <v>130801</v>
      </c>
      <c r="B140" s="9">
        <v>35795</v>
      </c>
      <c r="C140" s="9">
        <v>9</v>
      </c>
      <c r="D140" s="9">
        <v>1543834</v>
      </c>
      <c r="E140" s="9">
        <v>17894</v>
      </c>
      <c r="F140" s="9">
        <v>9259</v>
      </c>
      <c r="G140" s="9">
        <v>18431</v>
      </c>
      <c r="H140" s="9">
        <v>11852</v>
      </c>
      <c r="I140" s="9">
        <v>11852</v>
      </c>
      <c r="L140" s="9">
        <v>799772</v>
      </c>
      <c r="M140" s="9">
        <v>1236796</v>
      </c>
      <c r="P140" s="9">
        <v>1509476</v>
      </c>
      <c r="Q140" s="9">
        <v>1543834</v>
      </c>
      <c r="R140" s="9">
        <v>0</v>
      </c>
      <c r="S140" s="9">
        <v>1</v>
      </c>
      <c r="W140" s="9">
        <v>0</v>
      </c>
      <c r="X140" s="9">
        <v>86.275000000000006</v>
      </c>
    </row>
    <row r="141" spans="1:24" x14ac:dyDescent="0.25">
      <c r="A141" s="9">
        <v>152802</v>
      </c>
      <c r="B141" s="9">
        <v>35795</v>
      </c>
      <c r="C141" s="9">
        <v>9</v>
      </c>
      <c r="D141" s="9">
        <v>2426310</v>
      </c>
      <c r="E141" s="9">
        <v>9943</v>
      </c>
      <c r="F141" s="9">
        <v>9259</v>
      </c>
      <c r="G141" s="9">
        <v>10241</v>
      </c>
      <c r="H141" s="9">
        <v>11852</v>
      </c>
      <c r="I141" s="9">
        <v>10241</v>
      </c>
      <c r="L141" s="9">
        <v>2518230</v>
      </c>
      <c r="M141" s="9">
        <v>2678770</v>
      </c>
      <c r="P141" s="9">
        <v>2348578</v>
      </c>
      <c r="Q141" s="9">
        <v>2426310</v>
      </c>
      <c r="R141" s="9">
        <v>0</v>
      </c>
      <c r="S141" s="9">
        <v>1</v>
      </c>
      <c r="W141" s="9">
        <v>0</v>
      </c>
      <c r="X141" s="9">
        <v>244.02700000000002</v>
      </c>
    </row>
    <row r="142" spans="1:24" x14ac:dyDescent="0.25">
      <c r="A142" s="9">
        <v>152803</v>
      </c>
      <c r="B142" s="9">
        <v>35795</v>
      </c>
      <c r="C142" s="9">
        <v>9</v>
      </c>
      <c r="D142" s="9">
        <v>1971759</v>
      </c>
      <c r="E142" s="9">
        <v>11912</v>
      </c>
      <c r="F142" s="9">
        <v>9259</v>
      </c>
      <c r="G142" s="9">
        <v>12269</v>
      </c>
      <c r="H142" s="9">
        <v>11852</v>
      </c>
      <c r="I142" s="9">
        <v>11852</v>
      </c>
      <c r="L142" s="9">
        <v>1445610</v>
      </c>
      <c r="M142" s="9">
        <v>1474764</v>
      </c>
      <c r="P142" s="9">
        <v>1913778</v>
      </c>
      <c r="Q142" s="9">
        <v>1971759</v>
      </c>
      <c r="R142" s="9">
        <v>0</v>
      </c>
      <c r="S142" s="9">
        <v>1</v>
      </c>
      <c r="W142" s="9">
        <v>0</v>
      </c>
      <c r="X142" s="9">
        <v>165.52700000000002</v>
      </c>
    </row>
    <row r="143" spans="1:24" x14ac:dyDescent="0.25">
      <c r="A143" s="9">
        <v>152806</v>
      </c>
      <c r="B143" s="9">
        <v>35795</v>
      </c>
      <c r="C143" s="9">
        <v>9</v>
      </c>
      <c r="D143" s="9">
        <v>827065</v>
      </c>
      <c r="E143" s="9">
        <v>11208</v>
      </c>
      <c r="F143" s="9">
        <v>9259</v>
      </c>
      <c r="G143" s="9">
        <v>11545</v>
      </c>
      <c r="H143" s="9">
        <v>11852</v>
      </c>
      <c r="I143" s="9">
        <v>11545</v>
      </c>
      <c r="L143" s="9">
        <v>1936666</v>
      </c>
      <c r="M143" s="9">
        <v>2083293</v>
      </c>
      <c r="P143" s="9">
        <v>827065</v>
      </c>
      <c r="Q143" s="9">
        <v>827065</v>
      </c>
      <c r="R143" s="9">
        <v>0</v>
      </c>
      <c r="S143" s="9">
        <v>1</v>
      </c>
      <c r="W143" s="9">
        <v>0</v>
      </c>
      <c r="X143" s="9">
        <v>73.790000000000006</v>
      </c>
    </row>
    <row r="144" spans="1:24" x14ac:dyDescent="0.25">
      <c r="A144" s="9">
        <v>161801</v>
      </c>
      <c r="B144" s="9">
        <v>35795</v>
      </c>
      <c r="C144" s="9">
        <v>9</v>
      </c>
      <c r="D144" s="9">
        <v>2154980</v>
      </c>
      <c r="E144" s="9">
        <v>10205</v>
      </c>
      <c r="F144" s="9">
        <v>9259</v>
      </c>
      <c r="G144" s="9">
        <v>10511</v>
      </c>
      <c r="H144" s="9">
        <v>11852</v>
      </c>
      <c r="I144" s="9">
        <v>10511</v>
      </c>
      <c r="L144" s="9">
        <v>1787360</v>
      </c>
      <c r="M144" s="9">
        <v>2083734</v>
      </c>
      <c r="P144" s="9">
        <v>2093359</v>
      </c>
      <c r="Q144" s="9">
        <v>2154980</v>
      </c>
      <c r="R144" s="9">
        <v>0</v>
      </c>
      <c r="S144" s="9">
        <v>1</v>
      </c>
      <c r="W144" s="9">
        <v>0</v>
      </c>
      <c r="X144" s="9">
        <v>211.17000000000002</v>
      </c>
    </row>
    <row r="145" spans="1:24" x14ac:dyDescent="0.25">
      <c r="A145" s="9">
        <v>161802</v>
      </c>
      <c r="B145" s="9">
        <v>35795</v>
      </c>
      <c r="C145" s="9">
        <v>9</v>
      </c>
      <c r="D145" s="9">
        <v>7909099</v>
      </c>
      <c r="E145" s="9">
        <v>10464</v>
      </c>
      <c r="F145" s="9">
        <v>9259</v>
      </c>
      <c r="G145" s="9">
        <v>10778</v>
      </c>
      <c r="H145" s="9">
        <v>11852</v>
      </c>
      <c r="I145" s="9">
        <v>10778</v>
      </c>
      <c r="L145" s="9">
        <v>8067054</v>
      </c>
      <c r="M145" s="9">
        <v>8786206</v>
      </c>
      <c r="P145" s="9">
        <v>7669735</v>
      </c>
      <c r="Q145" s="9">
        <v>7909099</v>
      </c>
      <c r="R145" s="9">
        <v>0</v>
      </c>
      <c r="S145" s="9">
        <v>1</v>
      </c>
      <c r="W145" s="9">
        <v>0</v>
      </c>
      <c r="X145" s="9">
        <v>755.81100000000004</v>
      </c>
    </row>
    <row r="146" spans="1:24" x14ac:dyDescent="0.25">
      <c r="A146" s="9">
        <v>161807</v>
      </c>
      <c r="B146" s="9">
        <v>35795</v>
      </c>
      <c r="C146" s="9">
        <v>9</v>
      </c>
      <c r="D146" s="9">
        <v>92718720</v>
      </c>
      <c r="E146" s="9">
        <v>10175</v>
      </c>
      <c r="F146" s="9">
        <v>9259</v>
      </c>
      <c r="G146" s="9">
        <v>10480</v>
      </c>
      <c r="H146" s="9">
        <v>11852</v>
      </c>
      <c r="I146" s="9">
        <v>10480</v>
      </c>
      <c r="L146" s="9">
        <v>94839932</v>
      </c>
      <c r="M146" s="9">
        <v>100423515</v>
      </c>
      <c r="P146" s="9">
        <v>89777220</v>
      </c>
      <c r="Q146" s="9">
        <v>92718720</v>
      </c>
      <c r="R146" s="9">
        <v>0</v>
      </c>
      <c r="S146" s="9">
        <v>1</v>
      </c>
      <c r="W146" s="9">
        <v>0</v>
      </c>
      <c r="X146" s="9">
        <v>9112.2650000000012</v>
      </c>
    </row>
    <row r="147" spans="1:24" x14ac:dyDescent="0.25">
      <c r="A147" s="9">
        <v>165802</v>
      </c>
      <c r="B147" s="9">
        <v>35795</v>
      </c>
      <c r="C147" s="9">
        <v>9</v>
      </c>
      <c r="D147" s="9">
        <v>3323669</v>
      </c>
      <c r="E147" s="9">
        <v>9201</v>
      </c>
      <c r="F147" s="9">
        <v>9259</v>
      </c>
      <c r="G147" s="9">
        <v>9477</v>
      </c>
      <c r="H147" s="9">
        <v>11852</v>
      </c>
      <c r="I147" s="9">
        <v>9477</v>
      </c>
      <c r="L147" s="9">
        <v>3245762</v>
      </c>
      <c r="M147" s="9">
        <v>3278054</v>
      </c>
      <c r="P147" s="9">
        <v>3198769</v>
      </c>
      <c r="Q147" s="9">
        <v>3323669</v>
      </c>
      <c r="R147" s="9">
        <v>0</v>
      </c>
      <c r="S147" s="9">
        <v>1</v>
      </c>
      <c r="W147" s="9">
        <v>0</v>
      </c>
      <c r="X147" s="9">
        <v>361.23200000000003</v>
      </c>
    </row>
    <row r="148" spans="1:24" x14ac:dyDescent="0.25">
      <c r="A148" s="9">
        <v>170801</v>
      </c>
      <c r="B148" s="9">
        <v>35795</v>
      </c>
      <c r="C148" s="9">
        <v>9</v>
      </c>
      <c r="D148" s="9">
        <v>4682988</v>
      </c>
      <c r="E148" s="9">
        <v>10605</v>
      </c>
      <c r="F148" s="9">
        <v>9259</v>
      </c>
      <c r="G148" s="9">
        <v>10923</v>
      </c>
      <c r="H148" s="9">
        <v>11852</v>
      </c>
      <c r="I148" s="9">
        <v>10923</v>
      </c>
      <c r="L148" s="9">
        <v>3123936</v>
      </c>
      <c r="M148" s="9">
        <v>3234130</v>
      </c>
      <c r="P148" s="9">
        <v>4563734</v>
      </c>
      <c r="Q148" s="9">
        <v>4682988</v>
      </c>
      <c r="R148" s="9">
        <v>0</v>
      </c>
      <c r="S148" s="9">
        <v>1</v>
      </c>
      <c r="W148" s="9">
        <v>0</v>
      </c>
      <c r="X148" s="9">
        <v>441.57500000000005</v>
      </c>
    </row>
    <row r="149" spans="1:24" x14ac:dyDescent="0.25">
      <c r="A149" s="9">
        <v>170802</v>
      </c>
      <c r="B149" s="9">
        <v>0</v>
      </c>
      <c r="C149" s="9">
        <v>0</v>
      </c>
      <c r="D149" s="9">
        <v>0</v>
      </c>
      <c r="E149" s="9">
        <v>0</v>
      </c>
      <c r="F149" s="9">
        <v>0</v>
      </c>
      <c r="G149" s="9">
        <v>0</v>
      </c>
      <c r="H149" s="9">
        <v>0</v>
      </c>
      <c r="I149" s="9">
        <v>0</v>
      </c>
      <c r="J149" s="9">
        <v>0</v>
      </c>
      <c r="K149" s="9">
        <v>0</v>
      </c>
      <c r="L149" s="9">
        <v>0</v>
      </c>
      <c r="M149" s="9">
        <v>0</v>
      </c>
      <c r="N149" s="9">
        <v>0</v>
      </c>
      <c r="O149" s="9">
        <v>0</v>
      </c>
      <c r="P149" s="9">
        <v>0</v>
      </c>
      <c r="Q149" s="9">
        <v>0</v>
      </c>
      <c r="R149" s="9">
        <v>0</v>
      </c>
      <c r="S149" s="9">
        <v>0</v>
      </c>
      <c r="T149" s="9">
        <v>0</v>
      </c>
      <c r="U149" s="9">
        <v>0</v>
      </c>
      <c r="V149" s="9">
        <v>0</v>
      </c>
      <c r="W149" s="9">
        <v>0</v>
      </c>
      <c r="X149" s="9">
        <v>0</v>
      </c>
    </row>
    <row r="150" spans="1:24" x14ac:dyDescent="0.25">
      <c r="A150" s="9">
        <v>174801</v>
      </c>
      <c r="B150" s="9">
        <v>35795</v>
      </c>
      <c r="C150" s="9">
        <v>9</v>
      </c>
      <c r="D150" s="9">
        <v>2081246</v>
      </c>
      <c r="E150" s="9">
        <v>8372</v>
      </c>
      <c r="F150" s="9">
        <v>9259</v>
      </c>
      <c r="G150" s="9">
        <v>8624</v>
      </c>
      <c r="H150" s="9">
        <v>11852</v>
      </c>
      <c r="I150" s="9">
        <v>8624</v>
      </c>
      <c r="L150" s="9">
        <v>2140889</v>
      </c>
      <c r="M150" s="9">
        <v>2223632</v>
      </c>
      <c r="P150" s="9">
        <v>2001477</v>
      </c>
      <c r="Q150" s="9">
        <v>2081246</v>
      </c>
      <c r="R150" s="9">
        <v>0</v>
      </c>
      <c r="S150" s="9">
        <v>1</v>
      </c>
      <c r="W150" s="9">
        <v>0</v>
      </c>
      <c r="X150" s="9">
        <v>248.584</v>
      </c>
    </row>
    <row r="151" spans="1:24" x14ac:dyDescent="0.25">
      <c r="A151" s="9">
        <v>178801</v>
      </c>
      <c r="B151" s="9">
        <v>35795</v>
      </c>
      <c r="C151" s="9">
        <v>9</v>
      </c>
      <c r="D151" s="9">
        <v>2065537</v>
      </c>
      <c r="E151" s="9">
        <v>10223</v>
      </c>
      <c r="F151" s="9">
        <v>9259</v>
      </c>
      <c r="G151" s="9">
        <v>10530</v>
      </c>
      <c r="H151" s="9">
        <v>11852</v>
      </c>
      <c r="I151" s="9">
        <v>10530</v>
      </c>
      <c r="L151" s="9">
        <v>1577652</v>
      </c>
      <c r="M151" s="9">
        <v>1688265</v>
      </c>
      <c r="P151" s="9">
        <v>2008488</v>
      </c>
      <c r="Q151" s="9">
        <v>2065537</v>
      </c>
      <c r="R151" s="9">
        <v>0</v>
      </c>
      <c r="S151" s="9">
        <v>1</v>
      </c>
      <c r="W151" s="9">
        <v>0</v>
      </c>
      <c r="X151" s="9">
        <v>202.04</v>
      </c>
    </row>
    <row r="152" spans="1:24" x14ac:dyDescent="0.25">
      <c r="A152" s="9">
        <v>178807</v>
      </c>
      <c r="B152" s="9">
        <v>35795</v>
      </c>
      <c r="C152" s="9">
        <v>9</v>
      </c>
      <c r="D152" s="9">
        <v>1158080</v>
      </c>
      <c r="E152" s="9">
        <v>8801</v>
      </c>
      <c r="F152" s="9">
        <v>9259</v>
      </c>
      <c r="G152" s="9">
        <v>9065</v>
      </c>
      <c r="H152" s="9">
        <v>11852</v>
      </c>
      <c r="I152" s="9">
        <v>9065</v>
      </c>
      <c r="L152" s="9">
        <v>996512</v>
      </c>
      <c r="M152" s="9">
        <v>1019031</v>
      </c>
      <c r="P152" s="9">
        <v>1117576</v>
      </c>
      <c r="Q152" s="9">
        <v>1158080</v>
      </c>
      <c r="R152" s="9">
        <v>0</v>
      </c>
      <c r="S152" s="9">
        <v>1</v>
      </c>
      <c r="W152" s="9">
        <v>0</v>
      </c>
      <c r="X152" s="9">
        <v>131.58600000000001</v>
      </c>
    </row>
    <row r="153" spans="1:24" x14ac:dyDescent="0.25">
      <c r="A153" s="9">
        <v>178808</v>
      </c>
      <c r="B153" s="9">
        <v>35795</v>
      </c>
      <c r="C153" s="9">
        <v>9</v>
      </c>
      <c r="D153" s="9">
        <v>4052154</v>
      </c>
      <c r="E153" s="9">
        <v>8469</v>
      </c>
      <c r="F153" s="9">
        <v>9259</v>
      </c>
      <c r="G153" s="9">
        <v>8723</v>
      </c>
      <c r="H153" s="9">
        <v>11852</v>
      </c>
      <c r="I153" s="9">
        <v>8723</v>
      </c>
      <c r="L153" s="9">
        <v>4081774</v>
      </c>
      <c r="M153" s="9">
        <v>4140735</v>
      </c>
      <c r="P153" s="9">
        <v>3903434</v>
      </c>
      <c r="Q153" s="9">
        <v>4052154</v>
      </c>
      <c r="R153" s="9">
        <v>0</v>
      </c>
      <c r="S153" s="9">
        <v>1</v>
      </c>
      <c r="W153" s="9">
        <v>0</v>
      </c>
      <c r="X153" s="9">
        <v>478.49600000000004</v>
      </c>
    </row>
    <row r="154" spans="1:24" x14ac:dyDescent="0.25">
      <c r="A154" s="9">
        <v>183801</v>
      </c>
      <c r="B154" s="9">
        <v>35795</v>
      </c>
      <c r="C154" s="9">
        <v>9</v>
      </c>
      <c r="D154" s="9">
        <v>1551306</v>
      </c>
      <c r="E154" s="9">
        <v>10150</v>
      </c>
      <c r="F154" s="9">
        <v>9259</v>
      </c>
      <c r="G154" s="9">
        <v>10454</v>
      </c>
      <c r="H154" s="9">
        <v>11852</v>
      </c>
      <c r="I154" s="9">
        <v>10454</v>
      </c>
      <c r="L154" s="9">
        <v>1996569</v>
      </c>
      <c r="M154" s="9">
        <v>1901675</v>
      </c>
      <c r="P154" s="9">
        <v>1506566</v>
      </c>
      <c r="Q154" s="9">
        <v>1551306</v>
      </c>
      <c r="R154" s="9">
        <v>0</v>
      </c>
      <c r="S154" s="9">
        <v>1</v>
      </c>
      <c r="W154" s="9">
        <v>0</v>
      </c>
      <c r="X154" s="9">
        <v>152.84200000000001</v>
      </c>
    </row>
    <row r="155" spans="1:24" x14ac:dyDescent="0.25">
      <c r="A155" s="9">
        <v>184801</v>
      </c>
      <c r="B155" s="9">
        <v>35795</v>
      </c>
      <c r="C155" s="9">
        <v>9</v>
      </c>
      <c r="D155" s="9">
        <v>1394470</v>
      </c>
      <c r="E155" s="9">
        <v>10758</v>
      </c>
      <c r="F155" s="9">
        <v>9259</v>
      </c>
      <c r="G155" s="9">
        <v>11081</v>
      </c>
      <c r="H155" s="9">
        <v>11852</v>
      </c>
      <c r="I155" s="9">
        <v>11081</v>
      </c>
      <c r="L155" s="9">
        <v>1462855</v>
      </c>
      <c r="M155" s="9">
        <v>1487830</v>
      </c>
      <c r="P155" s="9">
        <v>1352846</v>
      </c>
      <c r="Q155" s="9">
        <v>1394470</v>
      </c>
      <c r="R155" s="9">
        <v>0</v>
      </c>
      <c r="S155" s="9">
        <v>1</v>
      </c>
      <c r="W155" s="9">
        <v>0</v>
      </c>
      <c r="X155" s="9">
        <v>129.61600000000001</v>
      </c>
    </row>
    <row r="156" spans="1:24" x14ac:dyDescent="0.25">
      <c r="A156" s="9">
        <v>193801</v>
      </c>
      <c r="B156" s="9">
        <v>35795</v>
      </c>
      <c r="C156" s="9">
        <v>9</v>
      </c>
      <c r="D156" s="9">
        <v>3458869</v>
      </c>
      <c r="E156" s="9">
        <v>17472</v>
      </c>
      <c r="F156" s="9">
        <v>9259</v>
      </c>
      <c r="G156" s="9">
        <v>17996</v>
      </c>
      <c r="H156" s="9">
        <v>11852</v>
      </c>
      <c r="I156" s="9">
        <v>11852</v>
      </c>
      <c r="L156" s="9">
        <v>2004917</v>
      </c>
      <c r="M156" s="9">
        <v>2987211</v>
      </c>
      <c r="P156" s="9">
        <v>3394050</v>
      </c>
      <c r="Q156" s="9">
        <v>3458869</v>
      </c>
      <c r="R156" s="9">
        <v>0</v>
      </c>
      <c r="S156" s="9">
        <v>1</v>
      </c>
      <c r="W156" s="9">
        <v>0</v>
      </c>
      <c r="X156" s="9">
        <v>197.96900000000002</v>
      </c>
    </row>
    <row r="157" spans="1:24" x14ac:dyDescent="0.25">
      <c r="A157" s="9">
        <v>212801</v>
      </c>
      <c r="B157" s="9">
        <v>35795</v>
      </c>
      <c r="C157" s="9">
        <v>9</v>
      </c>
      <c r="D157" s="9">
        <v>18556861</v>
      </c>
      <c r="E157" s="9">
        <v>9891</v>
      </c>
      <c r="F157" s="9">
        <v>9259</v>
      </c>
      <c r="G157" s="9">
        <v>10188</v>
      </c>
      <c r="H157" s="9">
        <v>11852</v>
      </c>
      <c r="I157" s="9">
        <v>10188</v>
      </c>
      <c r="L157" s="9">
        <v>18013997</v>
      </c>
      <c r="M157" s="9">
        <v>18317168</v>
      </c>
      <c r="P157" s="9">
        <v>17973765</v>
      </c>
      <c r="Q157" s="9">
        <v>18556861</v>
      </c>
      <c r="R157" s="9">
        <v>0</v>
      </c>
      <c r="S157" s="9">
        <v>1</v>
      </c>
      <c r="W157" s="9">
        <v>0</v>
      </c>
      <c r="X157" s="9">
        <v>1876.1570000000002</v>
      </c>
    </row>
    <row r="158" spans="1:24" x14ac:dyDescent="0.25">
      <c r="A158" s="9">
        <v>212804</v>
      </c>
      <c r="B158" s="9">
        <v>35795</v>
      </c>
      <c r="C158" s="9">
        <v>9</v>
      </c>
      <c r="D158" s="9">
        <v>7253171</v>
      </c>
      <c r="E158" s="9">
        <v>9087</v>
      </c>
      <c r="F158" s="9">
        <v>9259</v>
      </c>
      <c r="G158" s="9">
        <v>9360</v>
      </c>
      <c r="H158" s="9">
        <v>11852</v>
      </c>
      <c r="I158" s="9">
        <v>9360</v>
      </c>
      <c r="L158" s="9">
        <v>7447011</v>
      </c>
      <c r="M158" s="9">
        <v>7884922</v>
      </c>
      <c r="P158" s="9">
        <v>7024962</v>
      </c>
      <c r="Q158" s="9">
        <v>7253171</v>
      </c>
      <c r="R158" s="9">
        <v>0</v>
      </c>
      <c r="S158" s="9">
        <v>1</v>
      </c>
      <c r="W158" s="9">
        <v>0</v>
      </c>
      <c r="X158" s="9">
        <v>798.18799999999999</v>
      </c>
    </row>
    <row r="159" spans="1:24" x14ac:dyDescent="0.25">
      <c r="A159" s="9">
        <v>213801</v>
      </c>
      <c r="B159" s="9">
        <v>35795</v>
      </c>
      <c r="C159" s="9">
        <v>9</v>
      </c>
      <c r="D159" s="9">
        <v>2408601</v>
      </c>
      <c r="E159" s="9">
        <v>11536</v>
      </c>
      <c r="F159" s="9">
        <v>9259</v>
      </c>
      <c r="G159" s="9">
        <v>11882</v>
      </c>
      <c r="H159" s="9">
        <v>11852</v>
      </c>
      <c r="I159" s="9">
        <v>11852</v>
      </c>
      <c r="L159" s="9">
        <v>2185956</v>
      </c>
      <c r="M159" s="9">
        <v>2124773</v>
      </c>
      <c r="P159" s="9">
        <v>2341517</v>
      </c>
      <c r="Q159" s="9">
        <v>2408601</v>
      </c>
      <c r="R159" s="9">
        <v>0</v>
      </c>
      <c r="S159" s="9">
        <v>1</v>
      </c>
      <c r="W159" s="9">
        <v>0</v>
      </c>
      <c r="X159" s="9">
        <v>208.79400000000001</v>
      </c>
    </row>
    <row r="160" spans="1:24" x14ac:dyDescent="0.25">
      <c r="A160" s="9">
        <v>220801</v>
      </c>
      <c r="B160" s="9">
        <v>35795</v>
      </c>
      <c r="C160" s="9">
        <v>9</v>
      </c>
      <c r="D160" s="9">
        <v>3097978</v>
      </c>
      <c r="E160" s="9">
        <v>8384</v>
      </c>
      <c r="F160" s="9">
        <v>9259</v>
      </c>
      <c r="G160" s="9">
        <v>8636</v>
      </c>
      <c r="H160" s="9">
        <v>11852</v>
      </c>
      <c r="I160" s="9">
        <v>8636</v>
      </c>
      <c r="L160" s="9">
        <v>2623857</v>
      </c>
      <c r="M160" s="9">
        <v>2797882</v>
      </c>
      <c r="P160" s="9">
        <v>2980502</v>
      </c>
      <c r="Q160" s="9">
        <v>3097978</v>
      </c>
      <c r="R160" s="9">
        <v>0</v>
      </c>
      <c r="S160" s="9">
        <v>1</v>
      </c>
      <c r="W160" s="9">
        <v>0</v>
      </c>
      <c r="X160" s="9">
        <v>369.505</v>
      </c>
    </row>
    <row r="161" spans="1:24" x14ac:dyDescent="0.25">
      <c r="A161" s="9">
        <v>220802</v>
      </c>
      <c r="B161" s="9">
        <v>35795</v>
      </c>
      <c r="C161" s="9">
        <v>9</v>
      </c>
      <c r="D161" s="9">
        <v>12968373</v>
      </c>
      <c r="E161" s="9">
        <v>8564</v>
      </c>
      <c r="F161" s="9">
        <v>9259</v>
      </c>
      <c r="G161" s="9">
        <v>8821</v>
      </c>
      <c r="H161" s="9">
        <v>11852</v>
      </c>
      <c r="I161" s="9">
        <v>8821</v>
      </c>
      <c r="L161" s="9">
        <v>12837207</v>
      </c>
      <c r="M161" s="9">
        <v>13584801</v>
      </c>
      <c r="P161" s="9">
        <v>12486944</v>
      </c>
      <c r="Q161" s="9">
        <v>12968373</v>
      </c>
      <c r="R161" s="9">
        <v>0</v>
      </c>
      <c r="S161" s="9">
        <v>1</v>
      </c>
      <c r="W161" s="9">
        <v>0</v>
      </c>
      <c r="X161" s="9">
        <v>1514.3320000000001</v>
      </c>
    </row>
    <row r="162" spans="1:24" x14ac:dyDescent="0.25">
      <c r="A162" s="9">
        <v>220809</v>
      </c>
      <c r="B162" s="9">
        <v>35795</v>
      </c>
      <c r="C162" s="9">
        <v>9</v>
      </c>
      <c r="D162" s="9">
        <v>4315308</v>
      </c>
      <c r="E162" s="9">
        <v>8617</v>
      </c>
      <c r="F162" s="9">
        <v>9259</v>
      </c>
      <c r="G162" s="9">
        <v>8876</v>
      </c>
      <c r="H162" s="9">
        <v>11852</v>
      </c>
      <c r="I162" s="9">
        <v>8876</v>
      </c>
      <c r="L162" s="9">
        <v>5475176</v>
      </c>
      <c r="M162" s="9">
        <v>5693402</v>
      </c>
      <c r="P162" s="9">
        <v>4139056</v>
      </c>
      <c r="Q162" s="9">
        <v>4315308</v>
      </c>
      <c r="R162" s="9">
        <v>0</v>
      </c>
      <c r="S162" s="9">
        <v>1</v>
      </c>
      <c r="W162" s="9">
        <v>0</v>
      </c>
      <c r="X162" s="9">
        <v>500.78700000000003</v>
      </c>
    </row>
    <row r="163" spans="1:24" x14ac:dyDescent="0.25">
      <c r="A163" s="9">
        <v>220810</v>
      </c>
      <c r="B163" s="9">
        <v>35795</v>
      </c>
      <c r="C163" s="9">
        <v>9</v>
      </c>
      <c r="D163" s="9">
        <v>7382599</v>
      </c>
      <c r="E163" s="9">
        <v>8485</v>
      </c>
      <c r="F163" s="9">
        <v>9259</v>
      </c>
      <c r="G163" s="9">
        <v>8739</v>
      </c>
      <c r="H163" s="9">
        <v>11852</v>
      </c>
      <c r="I163" s="9">
        <v>8739</v>
      </c>
      <c r="L163" s="9">
        <v>7328436</v>
      </c>
      <c r="M163" s="9">
        <v>7529165</v>
      </c>
      <c r="P163" s="9">
        <v>7111548</v>
      </c>
      <c r="Q163" s="9">
        <v>7382599</v>
      </c>
      <c r="R163" s="9">
        <v>0</v>
      </c>
      <c r="S163" s="9">
        <v>1</v>
      </c>
      <c r="W163" s="9">
        <v>0</v>
      </c>
      <c r="X163" s="9">
        <v>870.09</v>
      </c>
    </row>
    <row r="164" spans="1:24" x14ac:dyDescent="0.25">
      <c r="A164" s="9">
        <v>220811</v>
      </c>
      <c r="B164" s="9">
        <v>35795</v>
      </c>
      <c r="C164" s="9">
        <v>9</v>
      </c>
      <c r="D164" s="9">
        <v>2147453</v>
      </c>
      <c r="E164" s="9">
        <v>10507</v>
      </c>
      <c r="F164" s="9">
        <v>9259</v>
      </c>
      <c r="G164" s="9">
        <v>10822</v>
      </c>
      <c r="H164" s="9">
        <v>11852</v>
      </c>
      <c r="I164" s="9">
        <v>10822</v>
      </c>
      <c r="L164" s="9">
        <v>1790739</v>
      </c>
      <c r="M164" s="9">
        <v>1751984</v>
      </c>
      <c r="P164" s="9">
        <v>2067503</v>
      </c>
      <c r="Q164" s="9">
        <v>2147453</v>
      </c>
      <c r="R164" s="9">
        <v>0</v>
      </c>
      <c r="S164" s="9">
        <v>1</v>
      </c>
      <c r="W164" s="9">
        <v>0</v>
      </c>
      <c r="X164" s="9">
        <v>204.38200000000001</v>
      </c>
    </row>
    <row r="165" spans="1:24" x14ac:dyDescent="0.25">
      <c r="A165" s="9">
        <v>220814</v>
      </c>
      <c r="B165" s="9">
        <v>35795</v>
      </c>
      <c r="C165" s="9">
        <v>9</v>
      </c>
      <c r="D165" s="9">
        <v>2680920</v>
      </c>
      <c r="E165" s="9">
        <v>8570</v>
      </c>
      <c r="F165" s="9">
        <v>9259</v>
      </c>
      <c r="G165" s="9">
        <v>8827</v>
      </c>
      <c r="H165" s="9">
        <v>11852</v>
      </c>
      <c r="I165" s="9">
        <v>8827</v>
      </c>
      <c r="L165" s="9">
        <v>2479636</v>
      </c>
      <c r="M165" s="9">
        <v>2600971</v>
      </c>
      <c r="P165" s="9">
        <v>2579379</v>
      </c>
      <c r="Q165" s="9">
        <v>2680920</v>
      </c>
      <c r="R165" s="9">
        <v>0</v>
      </c>
      <c r="S165" s="9">
        <v>1</v>
      </c>
      <c r="W165" s="9">
        <v>0</v>
      </c>
      <c r="X165" s="9">
        <v>312.81200000000001</v>
      </c>
    </row>
    <row r="166" spans="1:24" x14ac:dyDescent="0.25">
      <c r="A166" s="9">
        <v>220815</v>
      </c>
      <c r="B166" s="9">
        <v>35795</v>
      </c>
      <c r="C166" s="9">
        <v>9</v>
      </c>
      <c r="D166" s="9">
        <v>6475923</v>
      </c>
      <c r="E166" s="9">
        <v>9647</v>
      </c>
      <c r="F166" s="9">
        <v>9259</v>
      </c>
      <c r="G166" s="9">
        <v>9937</v>
      </c>
      <c r="H166" s="9">
        <v>11852</v>
      </c>
      <c r="I166" s="9">
        <v>9937</v>
      </c>
      <c r="L166" s="9">
        <v>6006013</v>
      </c>
      <c r="M166" s="9">
        <v>6264202</v>
      </c>
      <c r="P166" s="9">
        <v>6287356</v>
      </c>
      <c r="Q166" s="9">
        <v>6475923</v>
      </c>
      <c r="R166" s="9">
        <v>0</v>
      </c>
      <c r="S166" s="9">
        <v>1</v>
      </c>
      <c r="W166" s="9">
        <v>0</v>
      </c>
      <c r="X166" s="9">
        <v>671.27</v>
      </c>
    </row>
    <row r="167" spans="1:24" x14ac:dyDescent="0.25">
      <c r="A167" s="9">
        <v>220817</v>
      </c>
      <c r="B167" s="9">
        <v>35795</v>
      </c>
      <c r="C167" s="9">
        <v>9</v>
      </c>
      <c r="D167" s="9">
        <v>27394618</v>
      </c>
      <c r="E167" s="9">
        <v>9544</v>
      </c>
      <c r="F167" s="9">
        <v>9259</v>
      </c>
      <c r="G167" s="9">
        <v>9830</v>
      </c>
      <c r="H167" s="9">
        <v>11852</v>
      </c>
      <c r="I167" s="9">
        <v>9830</v>
      </c>
      <c r="L167" s="9">
        <v>26577273</v>
      </c>
      <c r="M167" s="9">
        <v>27400055</v>
      </c>
      <c r="P167" s="9">
        <v>26509451</v>
      </c>
      <c r="Q167" s="9">
        <v>27394618</v>
      </c>
      <c r="R167" s="9">
        <v>0</v>
      </c>
      <c r="S167" s="9">
        <v>1</v>
      </c>
      <c r="W167" s="9">
        <v>0</v>
      </c>
      <c r="X167" s="9">
        <v>2870.4410000000003</v>
      </c>
    </row>
    <row r="168" spans="1:24" x14ac:dyDescent="0.25">
      <c r="A168" s="9">
        <v>220819</v>
      </c>
      <c r="B168" s="9">
        <v>35795</v>
      </c>
      <c r="C168" s="9">
        <v>9</v>
      </c>
      <c r="D168" s="9">
        <v>14529739</v>
      </c>
      <c r="E168" s="9">
        <v>9134</v>
      </c>
      <c r="F168" s="9">
        <v>9259</v>
      </c>
      <c r="G168" s="9">
        <v>9408</v>
      </c>
      <c r="H168" s="9">
        <v>11852</v>
      </c>
      <c r="I168" s="9">
        <v>9408</v>
      </c>
      <c r="L168" s="9">
        <v>12308740</v>
      </c>
      <c r="M168" s="9">
        <v>14203871</v>
      </c>
      <c r="P168" s="9">
        <v>14106171</v>
      </c>
      <c r="Q168" s="9">
        <v>14529739</v>
      </c>
      <c r="R168" s="9">
        <v>0</v>
      </c>
      <c r="S168" s="9">
        <v>1</v>
      </c>
      <c r="W168" s="9">
        <v>0</v>
      </c>
      <c r="X168" s="9">
        <v>1590.7140000000002</v>
      </c>
    </row>
    <row r="169" spans="1:24" x14ac:dyDescent="0.25">
      <c r="A169" s="9">
        <v>220820</v>
      </c>
      <c r="B169" s="9">
        <v>0</v>
      </c>
      <c r="C169" s="9">
        <v>0</v>
      </c>
      <c r="D169" s="9">
        <v>0</v>
      </c>
      <c r="E169" s="9">
        <v>0</v>
      </c>
      <c r="F169" s="9">
        <v>0</v>
      </c>
      <c r="G169" s="9">
        <v>0</v>
      </c>
      <c r="H169" s="9">
        <v>0</v>
      </c>
      <c r="I169" s="9">
        <v>0</v>
      </c>
      <c r="J169" s="9">
        <v>0</v>
      </c>
      <c r="K169" s="9">
        <v>0</v>
      </c>
      <c r="L169" s="9">
        <v>0</v>
      </c>
      <c r="M169" s="9">
        <v>0</v>
      </c>
      <c r="N169" s="9">
        <v>0</v>
      </c>
      <c r="O169" s="9">
        <v>0</v>
      </c>
      <c r="P169" s="9">
        <v>0</v>
      </c>
      <c r="Q169" s="9">
        <v>0</v>
      </c>
      <c r="R169" s="9">
        <v>0</v>
      </c>
      <c r="S169" s="9">
        <v>0</v>
      </c>
      <c r="T169" s="9">
        <v>0</v>
      </c>
      <c r="U169" s="9">
        <v>0</v>
      </c>
      <c r="V169" s="9">
        <v>0</v>
      </c>
      <c r="W169" s="9">
        <v>0</v>
      </c>
      <c r="X169" s="9">
        <v>0</v>
      </c>
    </row>
    <row r="170" spans="1:24" x14ac:dyDescent="0.25">
      <c r="A170" s="9">
        <v>221801</v>
      </c>
      <c r="B170" s="9">
        <v>35795</v>
      </c>
      <c r="C170" s="9">
        <v>9</v>
      </c>
      <c r="D170" s="9">
        <v>114350227</v>
      </c>
      <c r="E170" s="9">
        <v>9155</v>
      </c>
      <c r="F170" s="9">
        <v>9259</v>
      </c>
      <c r="G170" s="9">
        <v>9430</v>
      </c>
      <c r="H170" s="9">
        <v>11852</v>
      </c>
      <c r="I170" s="9">
        <v>9430</v>
      </c>
      <c r="L170" s="9">
        <v>132111238</v>
      </c>
      <c r="M170" s="9">
        <v>137635670</v>
      </c>
      <c r="P170" s="9">
        <v>110684489</v>
      </c>
      <c r="Q170" s="9">
        <v>114350227</v>
      </c>
      <c r="R170" s="9">
        <v>0</v>
      </c>
      <c r="S170" s="9">
        <v>1</v>
      </c>
      <c r="W170" s="9">
        <v>0</v>
      </c>
      <c r="X170" s="9">
        <v>12489.932000000001</v>
      </c>
    </row>
    <row r="171" spans="1:24" x14ac:dyDescent="0.25">
      <c r="A171" s="9">
        <v>226801</v>
      </c>
      <c r="B171" s="9">
        <v>35795</v>
      </c>
      <c r="C171" s="9">
        <v>9</v>
      </c>
      <c r="D171" s="9">
        <v>26573337</v>
      </c>
      <c r="E171" s="9">
        <v>9498</v>
      </c>
      <c r="F171" s="9">
        <v>9259</v>
      </c>
      <c r="G171" s="9">
        <v>9783</v>
      </c>
      <c r="H171" s="9">
        <v>11852</v>
      </c>
      <c r="I171" s="9">
        <v>9783</v>
      </c>
      <c r="L171" s="9">
        <v>31503136</v>
      </c>
      <c r="M171" s="9">
        <v>32468502</v>
      </c>
      <c r="P171" s="9">
        <v>25723839</v>
      </c>
      <c r="Q171" s="9">
        <v>26573337</v>
      </c>
      <c r="R171" s="9">
        <v>0</v>
      </c>
      <c r="S171" s="9">
        <v>1</v>
      </c>
      <c r="W171" s="9">
        <v>0</v>
      </c>
      <c r="X171" s="9">
        <v>2797.7350000000001</v>
      </c>
    </row>
    <row r="172" spans="1:24" x14ac:dyDescent="0.25">
      <c r="A172" s="9">
        <v>227803</v>
      </c>
      <c r="B172" s="9">
        <v>35795</v>
      </c>
      <c r="C172" s="9">
        <v>9</v>
      </c>
      <c r="D172" s="9">
        <v>18331374</v>
      </c>
      <c r="E172" s="9">
        <v>10292</v>
      </c>
      <c r="F172" s="9">
        <v>9259</v>
      </c>
      <c r="G172" s="9">
        <v>10601</v>
      </c>
      <c r="H172" s="9">
        <v>11852</v>
      </c>
      <c r="I172" s="9">
        <v>10601</v>
      </c>
      <c r="L172" s="9">
        <v>15280269</v>
      </c>
      <c r="M172" s="9">
        <v>16523097</v>
      </c>
      <c r="P172" s="9">
        <v>17750272</v>
      </c>
      <c r="Q172" s="9">
        <v>18331374</v>
      </c>
      <c r="R172" s="9">
        <v>0</v>
      </c>
      <c r="S172" s="9">
        <v>1</v>
      </c>
      <c r="W172" s="9">
        <v>0</v>
      </c>
      <c r="X172" s="9">
        <v>1781.1390000000001</v>
      </c>
    </row>
    <row r="173" spans="1:24" x14ac:dyDescent="0.25">
      <c r="A173" s="9">
        <v>227804</v>
      </c>
      <c r="B173" s="9">
        <v>35795</v>
      </c>
      <c r="C173" s="9">
        <v>9</v>
      </c>
      <c r="D173" s="9">
        <v>9319968</v>
      </c>
      <c r="E173" s="9">
        <v>9548</v>
      </c>
      <c r="F173" s="9">
        <v>9259</v>
      </c>
      <c r="G173" s="9">
        <v>9834</v>
      </c>
      <c r="H173" s="9">
        <v>11852</v>
      </c>
      <c r="I173" s="9">
        <v>9834</v>
      </c>
      <c r="L173" s="9">
        <v>12918527</v>
      </c>
      <c r="M173" s="9">
        <v>14197824</v>
      </c>
      <c r="P173" s="9">
        <v>9019786</v>
      </c>
      <c r="Q173" s="9">
        <v>9319968</v>
      </c>
      <c r="R173" s="9">
        <v>0</v>
      </c>
      <c r="S173" s="9">
        <v>1</v>
      </c>
      <c r="W173" s="9">
        <v>0</v>
      </c>
      <c r="X173" s="9">
        <v>976.11900000000003</v>
      </c>
    </row>
    <row r="174" spans="1:24" x14ac:dyDescent="0.25">
      <c r="A174" s="9">
        <v>227805</v>
      </c>
      <c r="B174" s="9">
        <v>35795</v>
      </c>
      <c r="C174" s="9">
        <v>9</v>
      </c>
      <c r="D174" s="9">
        <v>3392187</v>
      </c>
      <c r="E174" s="9">
        <v>10175</v>
      </c>
      <c r="F174" s="9">
        <v>9259</v>
      </c>
      <c r="G174" s="9">
        <v>10481</v>
      </c>
      <c r="H174" s="9">
        <v>11852</v>
      </c>
      <c r="I174" s="9">
        <v>10481</v>
      </c>
      <c r="L174" s="9">
        <v>3658385</v>
      </c>
      <c r="M174" s="9">
        <v>3536852</v>
      </c>
      <c r="P174" s="9">
        <v>3293055</v>
      </c>
      <c r="Q174" s="9">
        <v>3392187</v>
      </c>
      <c r="R174" s="9">
        <v>0</v>
      </c>
      <c r="S174" s="9">
        <v>1</v>
      </c>
      <c r="W174" s="9">
        <v>0</v>
      </c>
      <c r="X174" s="9">
        <v>333.36900000000003</v>
      </c>
    </row>
    <row r="175" spans="1:24" x14ac:dyDescent="0.25">
      <c r="A175" s="9">
        <v>227806</v>
      </c>
      <c r="B175" s="9">
        <v>35795</v>
      </c>
      <c r="C175" s="9">
        <v>9</v>
      </c>
      <c r="D175" s="9">
        <v>10128743</v>
      </c>
      <c r="E175" s="9">
        <v>17550</v>
      </c>
      <c r="F175" s="9">
        <v>9259</v>
      </c>
      <c r="G175" s="9">
        <v>18077</v>
      </c>
      <c r="H175" s="9">
        <v>11852</v>
      </c>
      <c r="I175" s="9">
        <v>11852</v>
      </c>
      <c r="L175" s="9">
        <v>5497340</v>
      </c>
      <c r="M175" s="9">
        <v>8183940</v>
      </c>
      <c r="P175" s="9">
        <v>9942442</v>
      </c>
      <c r="Q175" s="9">
        <v>10128743</v>
      </c>
      <c r="R175" s="9">
        <v>0</v>
      </c>
      <c r="S175" s="9">
        <v>1</v>
      </c>
      <c r="W175" s="9">
        <v>0</v>
      </c>
      <c r="X175" s="9">
        <v>577.12900000000002</v>
      </c>
    </row>
    <row r="176" spans="1:24" x14ac:dyDescent="0.25">
      <c r="A176" s="9">
        <v>227814</v>
      </c>
      <c r="B176" s="9">
        <v>35795</v>
      </c>
      <c r="C176" s="9">
        <v>9</v>
      </c>
      <c r="D176" s="9">
        <v>2853465</v>
      </c>
      <c r="E176" s="9">
        <v>8211</v>
      </c>
      <c r="F176" s="9">
        <v>9259</v>
      </c>
      <c r="G176" s="9">
        <v>8457</v>
      </c>
      <c r="H176" s="9">
        <v>11852</v>
      </c>
      <c r="I176" s="9">
        <v>8457</v>
      </c>
      <c r="L176" s="9">
        <v>2843149</v>
      </c>
      <c r="M176" s="9">
        <v>3012039</v>
      </c>
      <c r="P176" s="9">
        <v>2740329</v>
      </c>
      <c r="Q176" s="9">
        <v>2853465</v>
      </c>
      <c r="R176" s="9">
        <v>0</v>
      </c>
      <c r="S176" s="9">
        <v>1</v>
      </c>
      <c r="W176" s="9">
        <v>0</v>
      </c>
      <c r="X176" s="9">
        <v>347.529</v>
      </c>
    </row>
    <row r="177" spans="1:24" x14ac:dyDescent="0.25">
      <c r="A177" s="9">
        <v>227816</v>
      </c>
      <c r="B177" s="9">
        <v>35795</v>
      </c>
      <c r="C177" s="9">
        <v>9</v>
      </c>
      <c r="D177" s="9">
        <v>39624960</v>
      </c>
      <c r="E177" s="9">
        <v>10210</v>
      </c>
      <c r="F177" s="9">
        <v>9259</v>
      </c>
      <c r="G177" s="9">
        <v>10516</v>
      </c>
      <c r="H177" s="9">
        <v>11852</v>
      </c>
      <c r="I177" s="9">
        <v>10516</v>
      </c>
      <c r="L177" s="9">
        <v>40488547</v>
      </c>
      <c r="M177" s="9">
        <v>42021985</v>
      </c>
      <c r="P177" s="9">
        <v>38422322</v>
      </c>
      <c r="Q177" s="9">
        <v>39624960</v>
      </c>
      <c r="R177" s="9">
        <v>0</v>
      </c>
      <c r="S177" s="9">
        <v>1</v>
      </c>
      <c r="W177" s="9">
        <v>0</v>
      </c>
      <c r="X177" s="9">
        <v>3881.0220000000004</v>
      </c>
    </row>
    <row r="178" spans="1:24" x14ac:dyDescent="0.25">
      <c r="A178" s="9">
        <v>227817</v>
      </c>
      <c r="B178" s="9">
        <v>35795</v>
      </c>
      <c r="C178" s="9">
        <v>9</v>
      </c>
      <c r="D178" s="9">
        <v>4878414</v>
      </c>
      <c r="E178" s="9">
        <v>10874</v>
      </c>
      <c r="F178" s="9">
        <v>9259</v>
      </c>
      <c r="G178" s="9">
        <v>11201</v>
      </c>
      <c r="H178" s="9">
        <v>11852</v>
      </c>
      <c r="I178" s="9">
        <v>11201</v>
      </c>
      <c r="L178" s="9">
        <v>4812044</v>
      </c>
      <c r="M178" s="9">
        <v>5111081</v>
      </c>
      <c r="P178" s="9">
        <v>4720122</v>
      </c>
      <c r="Q178" s="9">
        <v>4878414</v>
      </c>
      <c r="R178" s="9">
        <v>0</v>
      </c>
      <c r="S178" s="9">
        <v>1</v>
      </c>
      <c r="W178" s="9">
        <v>0</v>
      </c>
      <c r="X178" s="9">
        <v>448.61400000000003</v>
      </c>
    </row>
    <row r="179" spans="1:24" x14ac:dyDescent="0.25">
      <c r="A179" s="9">
        <v>227819</v>
      </c>
      <c r="B179" s="9">
        <v>35795</v>
      </c>
      <c r="C179" s="9">
        <v>9</v>
      </c>
      <c r="D179" s="9">
        <v>2636424</v>
      </c>
      <c r="E179" s="9">
        <v>10032</v>
      </c>
      <c r="F179" s="9">
        <v>9259</v>
      </c>
      <c r="G179" s="9">
        <v>10333</v>
      </c>
      <c r="H179" s="9">
        <v>11852</v>
      </c>
      <c r="I179" s="9">
        <v>10333</v>
      </c>
      <c r="L179" s="9">
        <v>2583772</v>
      </c>
      <c r="M179" s="9">
        <v>2751191</v>
      </c>
      <c r="P179" s="9">
        <v>2552795</v>
      </c>
      <c r="Q179" s="9">
        <v>2636424</v>
      </c>
      <c r="R179" s="9">
        <v>0</v>
      </c>
      <c r="S179" s="9">
        <v>1</v>
      </c>
      <c r="W179" s="9">
        <v>0</v>
      </c>
      <c r="X179" s="9">
        <v>262.80200000000002</v>
      </c>
    </row>
    <row r="180" spans="1:24" x14ac:dyDescent="0.25">
      <c r="A180" s="9">
        <v>227820</v>
      </c>
      <c r="B180" s="9">
        <v>35795</v>
      </c>
      <c r="C180" s="9">
        <v>9</v>
      </c>
      <c r="D180" s="9">
        <v>268911545</v>
      </c>
      <c r="E180" s="9">
        <v>10366</v>
      </c>
      <c r="F180" s="9">
        <v>9259</v>
      </c>
      <c r="G180" s="9">
        <v>10677</v>
      </c>
      <c r="H180" s="9">
        <v>11852</v>
      </c>
      <c r="I180" s="9">
        <v>10677</v>
      </c>
      <c r="L180" s="9">
        <v>296681958</v>
      </c>
      <c r="M180" s="9">
        <v>318056110</v>
      </c>
      <c r="P180" s="9">
        <v>261028070</v>
      </c>
      <c r="Q180" s="9">
        <v>268911545</v>
      </c>
      <c r="R180" s="9">
        <v>0</v>
      </c>
      <c r="S180" s="9">
        <v>1</v>
      </c>
      <c r="W180" s="9">
        <v>0</v>
      </c>
      <c r="X180" s="9">
        <v>25942.050999999999</v>
      </c>
    </row>
    <row r="181" spans="1:24" x14ac:dyDescent="0.25">
      <c r="A181" s="9">
        <v>227821</v>
      </c>
      <c r="B181" s="9">
        <v>35795</v>
      </c>
      <c r="C181" s="9">
        <v>9</v>
      </c>
      <c r="D181" s="9">
        <v>3798873</v>
      </c>
      <c r="E181" s="9">
        <v>9122</v>
      </c>
      <c r="F181" s="9">
        <v>9259</v>
      </c>
      <c r="G181" s="9">
        <v>9396</v>
      </c>
      <c r="H181" s="9">
        <v>11852</v>
      </c>
      <c r="I181" s="9">
        <v>9396</v>
      </c>
      <c r="L181" s="9">
        <v>3653155</v>
      </c>
      <c r="M181" s="9">
        <v>3644395</v>
      </c>
      <c r="P181" s="9">
        <v>3646844</v>
      </c>
      <c r="Q181" s="9">
        <v>3798873</v>
      </c>
      <c r="R181" s="9">
        <v>0</v>
      </c>
      <c r="S181" s="9">
        <v>1</v>
      </c>
      <c r="W181" s="9">
        <v>0</v>
      </c>
      <c r="X181" s="9">
        <v>416.44</v>
      </c>
    </row>
    <row r="182" spans="1:24" x14ac:dyDescent="0.25">
      <c r="A182" s="9">
        <v>227824</v>
      </c>
      <c r="B182" s="9">
        <v>35795</v>
      </c>
      <c r="C182" s="9">
        <v>9</v>
      </c>
      <c r="D182" s="9">
        <v>8418339</v>
      </c>
      <c r="E182" s="9">
        <v>10440</v>
      </c>
      <c r="F182" s="9">
        <v>9259</v>
      </c>
      <c r="G182" s="9">
        <v>10754</v>
      </c>
      <c r="H182" s="9">
        <v>11852</v>
      </c>
      <c r="I182" s="9">
        <v>10754</v>
      </c>
      <c r="L182" s="9">
        <v>9035983</v>
      </c>
      <c r="M182" s="9">
        <v>9506873</v>
      </c>
      <c r="P182" s="9">
        <v>8147847</v>
      </c>
      <c r="Q182" s="9">
        <v>8418339</v>
      </c>
      <c r="R182" s="9">
        <v>0</v>
      </c>
      <c r="S182" s="9">
        <v>1</v>
      </c>
      <c r="W182" s="9">
        <v>0</v>
      </c>
      <c r="X182" s="9">
        <v>806.327</v>
      </c>
    </row>
    <row r="183" spans="1:24" x14ac:dyDescent="0.25">
      <c r="A183" s="9">
        <v>227825</v>
      </c>
      <c r="B183" s="9">
        <v>35795</v>
      </c>
      <c r="C183" s="9">
        <v>9</v>
      </c>
      <c r="D183" s="9">
        <v>18571526</v>
      </c>
      <c r="E183" s="9">
        <v>10924</v>
      </c>
      <c r="F183" s="9">
        <v>9259</v>
      </c>
      <c r="G183" s="9">
        <v>11251</v>
      </c>
      <c r="H183" s="9">
        <v>11852</v>
      </c>
      <c r="I183" s="9">
        <v>11251</v>
      </c>
      <c r="L183" s="9">
        <v>22524148</v>
      </c>
      <c r="M183" s="9">
        <v>23173035</v>
      </c>
      <c r="P183" s="9">
        <v>18100045</v>
      </c>
      <c r="Q183" s="9">
        <v>18571526</v>
      </c>
      <c r="R183" s="9">
        <v>0</v>
      </c>
      <c r="S183" s="9">
        <v>1</v>
      </c>
      <c r="W183" s="9">
        <v>0</v>
      </c>
      <c r="X183" s="9">
        <v>1700.14</v>
      </c>
    </row>
    <row r="184" spans="1:24" x14ac:dyDescent="0.25">
      <c r="A184" s="9">
        <v>227826</v>
      </c>
      <c r="B184" s="9">
        <v>35795</v>
      </c>
      <c r="C184" s="9">
        <v>9</v>
      </c>
      <c r="D184" s="9">
        <v>3688071</v>
      </c>
      <c r="E184" s="9">
        <v>9713</v>
      </c>
      <c r="F184" s="9">
        <v>9259</v>
      </c>
      <c r="G184" s="9">
        <v>10005</v>
      </c>
      <c r="H184" s="9">
        <v>11852</v>
      </c>
      <c r="I184" s="9">
        <v>10005</v>
      </c>
      <c r="L184" s="9">
        <v>3675844</v>
      </c>
      <c r="M184" s="9">
        <v>3794239</v>
      </c>
      <c r="P184" s="9">
        <v>3564084</v>
      </c>
      <c r="Q184" s="9">
        <v>3688071</v>
      </c>
      <c r="R184" s="9">
        <v>0</v>
      </c>
      <c r="S184" s="9">
        <v>1</v>
      </c>
      <c r="W184" s="9">
        <v>0</v>
      </c>
      <c r="X184" s="9">
        <v>379.68800000000005</v>
      </c>
    </row>
    <row r="185" spans="1:24" x14ac:dyDescent="0.25">
      <c r="A185" s="9">
        <v>227827</v>
      </c>
      <c r="B185" s="9">
        <v>35795</v>
      </c>
      <c r="C185" s="9">
        <v>9</v>
      </c>
      <c r="D185" s="9">
        <v>4554587</v>
      </c>
      <c r="E185" s="9">
        <v>9875</v>
      </c>
      <c r="F185" s="9">
        <v>9259</v>
      </c>
      <c r="G185" s="9">
        <v>10171</v>
      </c>
      <c r="H185" s="9">
        <v>11852</v>
      </c>
      <c r="I185" s="9">
        <v>10171</v>
      </c>
      <c r="L185" s="9">
        <v>6225971</v>
      </c>
      <c r="M185" s="9">
        <v>6800465</v>
      </c>
      <c r="P185" s="9">
        <v>4487523</v>
      </c>
      <c r="Q185" s="9">
        <v>4554587</v>
      </c>
      <c r="R185" s="9">
        <v>0</v>
      </c>
      <c r="S185" s="9">
        <v>1</v>
      </c>
      <c r="W185" s="9">
        <v>0</v>
      </c>
      <c r="X185" s="9">
        <v>461.21300000000002</v>
      </c>
    </row>
    <row r="186" spans="1:24" x14ac:dyDescent="0.25">
      <c r="A186" s="9">
        <v>227829</v>
      </c>
      <c r="B186" s="9">
        <v>35795</v>
      </c>
      <c r="C186" s="9">
        <v>9</v>
      </c>
      <c r="D186" s="9">
        <v>4506315</v>
      </c>
      <c r="E186" s="9">
        <v>8800</v>
      </c>
      <c r="F186" s="9">
        <v>9259</v>
      </c>
      <c r="G186" s="9">
        <v>9064</v>
      </c>
      <c r="H186" s="9">
        <v>11852</v>
      </c>
      <c r="I186" s="9">
        <v>9064</v>
      </c>
      <c r="L186" s="9">
        <v>11772447</v>
      </c>
      <c r="M186" s="9">
        <v>12195356</v>
      </c>
      <c r="P186" s="9">
        <v>4364486</v>
      </c>
      <c r="Q186" s="9">
        <v>4506315</v>
      </c>
      <c r="R186" s="9">
        <v>0</v>
      </c>
      <c r="S186" s="9">
        <v>1</v>
      </c>
      <c r="W186" s="9">
        <v>0</v>
      </c>
      <c r="X186" s="9">
        <v>512.06799999999998</v>
      </c>
    </row>
    <row r="187" spans="1:24" x14ac:dyDescent="0.25">
      <c r="A187" s="9">
        <v>234801</v>
      </c>
      <c r="B187" s="9">
        <v>35795</v>
      </c>
      <c r="C187" s="9">
        <v>9</v>
      </c>
      <c r="D187" s="9">
        <v>840982</v>
      </c>
      <c r="E187" s="9">
        <v>11985</v>
      </c>
      <c r="F187" s="9">
        <v>9259</v>
      </c>
      <c r="G187" s="9">
        <v>12344</v>
      </c>
      <c r="H187" s="9">
        <v>11852</v>
      </c>
      <c r="I187" s="9">
        <v>11852</v>
      </c>
      <c r="L187" s="9">
        <v>773733</v>
      </c>
      <c r="M187" s="9">
        <v>845492</v>
      </c>
      <c r="P187" s="9">
        <v>821760</v>
      </c>
      <c r="Q187" s="9">
        <v>840982</v>
      </c>
      <c r="R187" s="9">
        <v>0</v>
      </c>
      <c r="S187" s="9">
        <v>1</v>
      </c>
      <c r="W187" s="9">
        <v>0</v>
      </c>
      <c r="X187" s="9">
        <v>70.171999999999997</v>
      </c>
    </row>
    <row r="188" spans="1:24" x14ac:dyDescent="0.25">
      <c r="A188" s="9">
        <v>236801</v>
      </c>
      <c r="B188" s="9">
        <v>35795</v>
      </c>
      <c r="C188" s="9">
        <v>9</v>
      </c>
      <c r="D188" s="9">
        <v>1161375</v>
      </c>
      <c r="E188" s="9">
        <v>20999</v>
      </c>
      <c r="F188" s="9">
        <v>9259</v>
      </c>
      <c r="G188" s="9">
        <v>21629</v>
      </c>
      <c r="H188" s="9">
        <v>11852</v>
      </c>
      <c r="I188" s="9">
        <v>11852</v>
      </c>
      <c r="L188" s="9">
        <v>328798</v>
      </c>
      <c r="M188" s="9">
        <v>788033</v>
      </c>
      <c r="P188" s="9">
        <v>1128171</v>
      </c>
      <c r="Q188" s="9">
        <v>1161375</v>
      </c>
      <c r="R188" s="9">
        <v>0</v>
      </c>
      <c r="S188" s="9">
        <v>1</v>
      </c>
      <c r="W188" s="9">
        <v>0</v>
      </c>
      <c r="X188" s="9">
        <v>55.305</v>
      </c>
    </row>
    <row r="189" spans="1:24" x14ac:dyDescent="0.25">
      <c r="A189" s="9">
        <v>236802</v>
      </c>
      <c r="B189" s="9">
        <v>35795</v>
      </c>
      <c r="C189" s="9">
        <v>9</v>
      </c>
      <c r="D189" s="9">
        <v>2944200</v>
      </c>
      <c r="E189" s="9">
        <v>8770</v>
      </c>
      <c r="F189" s="9">
        <v>9259</v>
      </c>
      <c r="G189" s="9">
        <v>9033</v>
      </c>
      <c r="H189" s="9">
        <v>11852</v>
      </c>
      <c r="I189" s="9">
        <v>9033</v>
      </c>
      <c r="L189" s="9">
        <v>3587624</v>
      </c>
      <c r="M189" s="9">
        <v>3819760</v>
      </c>
      <c r="P189" s="9">
        <v>2855578</v>
      </c>
      <c r="Q189" s="9">
        <v>2944200</v>
      </c>
      <c r="R189" s="9">
        <v>0</v>
      </c>
      <c r="S189" s="9">
        <v>1</v>
      </c>
      <c r="W189" s="9">
        <v>0</v>
      </c>
      <c r="X189" s="9">
        <v>335.71500000000003</v>
      </c>
    </row>
    <row r="190" spans="1:24" x14ac:dyDescent="0.25">
      <c r="A190" s="9">
        <v>240801</v>
      </c>
      <c r="B190" s="9">
        <v>35795</v>
      </c>
      <c r="C190" s="9">
        <v>9</v>
      </c>
      <c r="D190" s="9">
        <v>2410038</v>
      </c>
      <c r="E190" s="9">
        <v>11764</v>
      </c>
      <c r="F190" s="9">
        <v>9259</v>
      </c>
      <c r="G190" s="9">
        <v>12117</v>
      </c>
      <c r="H190" s="9">
        <v>11852</v>
      </c>
      <c r="I190" s="9">
        <v>11852</v>
      </c>
      <c r="L190" s="9">
        <v>1759581</v>
      </c>
      <c r="M190" s="9">
        <v>1846275</v>
      </c>
      <c r="P190" s="9">
        <v>2330166</v>
      </c>
      <c r="Q190" s="9">
        <v>2410038</v>
      </c>
      <c r="R190" s="9">
        <v>0</v>
      </c>
      <c r="S190" s="9">
        <v>1</v>
      </c>
      <c r="W190" s="9">
        <v>0</v>
      </c>
      <c r="X190" s="9">
        <v>204.86600000000001</v>
      </c>
    </row>
    <row r="191" spans="1:24" x14ac:dyDescent="0.25">
      <c r="A191" s="9">
        <v>246801</v>
      </c>
      <c r="B191" s="9">
        <v>35795</v>
      </c>
      <c r="C191" s="9">
        <v>9</v>
      </c>
      <c r="D191" s="9">
        <v>14361219</v>
      </c>
      <c r="E191" s="9">
        <v>8902</v>
      </c>
      <c r="F191" s="9">
        <v>9259</v>
      </c>
      <c r="G191" s="9">
        <v>9169</v>
      </c>
      <c r="H191" s="9">
        <v>11852</v>
      </c>
      <c r="I191" s="9">
        <v>9169</v>
      </c>
      <c r="L191" s="9">
        <v>14751575</v>
      </c>
      <c r="M191" s="9">
        <v>14763343</v>
      </c>
      <c r="P191" s="9">
        <v>13852160</v>
      </c>
      <c r="Q191" s="9">
        <v>14361219</v>
      </c>
      <c r="R191" s="9">
        <v>0</v>
      </c>
      <c r="S191" s="9">
        <v>1</v>
      </c>
      <c r="W191" s="9">
        <v>0</v>
      </c>
      <c r="X191" s="9">
        <v>1613.2950000000001</v>
      </c>
    </row>
    <row r="192" spans="1:24" x14ac:dyDescent="0.25">
      <c r="A192" s="9">
        <v>246802</v>
      </c>
      <c r="B192" s="9">
        <v>35795</v>
      </c>
      <c r="C192" s="9">
        <v>9</v>
      </c>
      <c r="D192" s="9">
        <v>3053747</v>
      </c>
      <c r="E192" s="9">
        <v>9182</v>
      </c>
      <c r="F192" s="9">
        <v>9259</v>
      </c>
      <c r="G192" s="9">
        <v>9457</v>
      </c>
      <c r="H192" s="9">
        <v>11852</v>
      </c>
      <c r="I192" s="9">
        <v>9457</v>
      </c>
      <c r="L192" s="9">
        <v>2790613</v>
      </c>
      <c r="M192" s="9">
        <v>2898711</v>
      </c>
      <c r="P192" s="9">
        <v>2964860</v>
      </c>
      <c r="Q192" s="9">
        <v>3053747</v>
      </c>
      <c r="R192" s="9">
        <v>0</v>
      </c>
      <c r="S192" s="9">
        <v>1</v>
      </c>
      <c r="W192" s="9">
        <v>0</v>
      </c>
      <c r="X192" s="9">
        <v>332.59100000000001</v>
      </c>
    </row>
  </sheetData>
  <sheetProtection algorithmName="SHA-512" hashValue="pIfh31aBZcfzkxvZbF58zBp4UHYzTvCwFZcKn1NlX0/7Sf/9DtjNG32GQKQDE43c8BUfWBHcc7Ui1bkxjmQeVA==" saltValue="IPDQcjPVlS3Zl9SBLHUjcw==" spinCount="100000" sheet="1" objects="1" scenarios="1"/>
  <sortState xmlns:xlrd2="http://schemas.microsoft.com/office/spreadsheetml/2017/richdata2" ref="A3:X192">
    <sortCondition ref="A3:A192"/>
  </sortState>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29B13-89DF-44CB-875C-22074E5C2EB3}">
  <sheetPr>
    <tabColor theme="3" tint="-0.249977111117893"/>
  </sheetPr>
  <dimension ref="A1:AI194"/>
  <sheetViews>
    <sheetView workbookViewId="0">
      <pane ySplit="1" topLeftCell="A2" activePane="bottomLeft" state="frozen"/>
      <selection pane="bottomLeft" sqref="A1:XFD1048576"/>
    </sheetView>
  </sheetViews>
  <sheetFormatPr defaultColWidth="9.1796875" defaultRowHeight="12.5" x14ac:dyDescent="0.25"/>
  <cols>
    <col min="1" max="1" width="11.7265625" style="476" bestFit="1" customWidth="1"/>
    <col min="2" max="2" width="12.453125" style="476" bestFit="1" customWidth="1"/>
    <col min="3" max="3" width="16" style="476" bestFit="1" customWidth="1"/>
    <col min="4" max="4" width="15.7265625" style="476" bestFit="1" customWidth="1"/>
    <col min="5" max="5" width="14.453125" style="476" bestFit="1" customWidth="1"/>
    <col min="6" max="6" width="23.453125" style="476" bestFit="1" customWidth="1"/>
    <col min="7" max="7" width="11.1796875" style="476" bestFit="1" customWidth="1"/>
    <col min="8" max="8" width="18.453125" style="476" bestFit="1" customWidth="1"/>
    <col min="9" max="9" width="11.7265625" style="476" bestFit="1" customWidth="1"/>
    <col min="10" max="10" width="19.453125" style="476" bestFit="1" customWidth="1"/>
    <col min="11" max="11" width="15.1796875" style="476" bestFit="1" customWidth="1"/>
    <col min="12" max="12" width="16.81640625" style="476" bestFit="1" customWidth="1"/>
    <col min="13" max="13" width="11.1796875" style="476" bestFit="1" customWidth="1"/>
    <col min="14" max="15" width="9.1796875" style="476"/>
    <col min="16" max="16" width="18" style="476" bestFit="1" customWidth="1"/>
    <col min="17" max="17" width="23" style="476" bestFit="1" customWidth="1"/>
    <col min="18" max="20" width="9.1796875" style="476"/>
    <col min="21" max="21" width="26.453125" style="476" bestFit="1" customWidth="1"/>
    <col min="22" max="22" width="29.26953125" style="476" bestFit="1" customWidth="1"/>
    <col min="23" max="23" width="24.453125" style="476" bestFit="1" customWidth="1"/>
    <col min="24" max="24" width="11.7265625" style="476" bestFit="1" customWidth="1"/>
    <col min="25" max="16384" width="9.1796875" style="476"/>
  </cols>
  <sheetData>
    <row r="1" spans="1:24" x14ac:dyDescent="0.25">
      <c r="A1" s="476" t="s">
        <v>120</v>
      </c>
      <c r="B1" s="476" t="s">
        <v>119</v>
      </c>
      <c r="C1" s="476" t="s">
        <v>417</v>
      </c>
      <c r="D1" s="476" t="s">
        <v>541</v>
      </c>
      <c r="E1" s="476" t="s">
        <v>542</v>
      </c>
      <c r="F1" s="476" t="s">
        <v>543</v>
      </c>
      <c r="G1" s="476" t="s">
        <v>544</v>
      </c>
      <c r="H1" s="476" t="s">
        <v>545</v>
      </c>
      <c r="I1" s="476" t="s">
        <v>546</v>
      </c>
      <c r="J1" s="476" t="s">
        <v>547</v>
      </c>
      <c r="K1" s="476" t="s">
        <v>548</v>
      </c>
      <c r="L1" s="476" t="s">
        <v>549</v>
      </c>
      <c r="M1" s="476" t="s">
        <v>550</v>
      </c>
      <c r="N1" s="476" t="s">
        <v>674</v>
      </c>
      <c r="O1" s="476" t="s">
        <v>675</v>
      </c>
      <c r="P1" s="476" t="s">
        <v>676</v>
      </c>
      <c r="Q1" s="476" t="s">
        <v>677</v>
      </c>
      <c r="R1" s="476" t="s">
        <v>678</v>
      </c>
      <c r="S1" s="476" t="s">
        <v>679</v>
      </c>
      <c r="T1" s="476" t="s">
        <v>680</v>
      </c>
      <c r="U1" s="476" t="s">
        <v>681</v>
      </c>
      <c r="V1" s="476" t="s">
        <v>682</v>
      </c>
      <c r="W1" s="476" t="s">
        <v>693</v>
      </c>
      <c r="X1" s="476" t="s">
        <v>694</v>
      </c>
    </row>
    <row r="2" spans="1:24" x14ac:dyDescent="0.25">
      <c r="A2" s="476">
        <v>1</v>
      </c>
      <c r="B2" s="476">
        <v>2</v>
      </c>
      <c r="C2" s="476">
        <v>3</v>
      </c>
      <c r="D2" s="476">
        <v>4</v>
      </c>
      <c r="E2" s="476">
        <v>5</v>
      </c>
      <c r="F2" s="476">
        <v>6</v>
      </c>
      <c r="G2" s="476">
        <v>7</v>
      </c>
      <c r="H2" s="476">
        <v>8</v>
      </c>
      <c r="I2" s="476">
        <v>9</v>
      </c>
      <c r="J2" s="476">
        <v>10</v>
      </c>
      <c r="K2" s="476">
        <v>11</v>
      </c>
      <c r="L2" s="476">
        <v>12</v>
      </c>
      <c r="M2" s="476">
        <v>13</v>
      </c>
      <c r="N2" s="476">
        <v>14</v>
      </c>
      <c r="O2" s="476">
        <v>15</v>
      </c>
      <c r="P2" s="476">
        <v>16</v>
      </c>
      <c r="Q2" s="476">
        <v>17</v>
      </c>
      <c r="R2" s="476">
        <v>18</v>
      </c>
      <c r="S2" s="476">
        <v>19</v>
      </c>
      <c r="T2" s="476">
        <v>20</v>
      </c>
      <c r="U2" s="476">
        <v>21</v>
      </c>
      <c r="V2" s="476">
        <v>22</v>
      </c>
      <c r="W2" s="476">
        <v>23</v>
      </c>
      <c r="X2" s="476">
        <v>24</v>
      </c>
    </row>
    <row r="3" spans="1:24" x14ac:dyDescent="0.25">
      <c r="A3" s="476">
        <v>0</v>
      </c>
      <c r="B3" s="476">
        <v>0</v>
      </c>
      <c r="C3" s="476">
        <v>0</v>
      </c>
      <c r="D3" s="476">
        <v>0</v>
      </c>
      <c r="E3" s="476">
        <v>0</v>
      </c>
      <c r="F3" s="476">
        <v>9015</v>
      </c>
    </row>
    <row r="4" spans="1:24" x14ac:dyDescent="0.25">
      <c r="A4" s="476">
        <v>3801</v>
      </c>
      <c r="B4" s="476">
        <v>36832</v>
      </c>
      <c r="C4" s="476">
        <v>9</v>
      </c>
      <c r="D4" s="476">
        <v>8691134</v>
      </c>
      <c r="E4" s="476">
        <v>9943</v>
      </c>
      <c r="F4" s="476">
        <v>9015</v>
      </c>
      <c r="G4" s="476">
        <v>10241</v>
      </c>
      <c r="H4" s="476">
        <v>11539</v>
      </c>
      <c r="I4" s="476">
        <v>10241</v>
      </c>
      <c r="J4" s="476">
        <v>8691134</v>
      </c>
      <c r="K4" s="476">
        <v>9943</v>
      </c>
      <c r="L4" s="476">
        <v>8951869</v>
      </c>
      <c r="M4" s="476">
        <v>9107000</v>
      </c>
      <c r="N4" s="476">
        <v>10241</v>
      </c>
      <c r="O4" s="476">
        <v>10071</v>
      </c>
      <c r="P4" s="476">
        <v>8210348</v>
      </c>
      <c r="Q4" s="476">
        <v>8691134</v>
      </c>
      <c r="S4" s="476">
        <v>1</v>
      </c>
      <c r="T4" s="476">
        <v>0</v>
      </c>
      <c r="U4" s="476">
        <v>8691134</v>
      </c>
      <c r="V4" s="476">
        <v>10071</v>
      </c>
    </row>
    <row r="5" spans="1:24" x14ac:dyDescent="0.25">
      <c r="A5" s="476">
        <v>13801</v>
      </c>
      <c r="B5" s="476">
        <v>36832</v>
      </c>
      <c r="C5" s="476">
        <v>9</v>
      </c>
      <c r="D5" s="476">
        <v>3690211</v>
      </c>
      <c r="E5" s="476">
        <v>10012</v>
      </c>
      <c r="F5" s="476">
        <v>9015</v>
      </c>
      <c r="G5" s="476">
        <v>10312</v>
      </c>
      <c r="H5" s="476">
        <v>11539</v>
      </c>
      <c r="I5" s="476">
        <v>10312</v>
      </c>
      <c r="J5" s="476">
        <v>3690211</v>
      </c>
      <c r="K5" s="476">
        <v>10012</v>
      </c>
      <c r="L5" s="476">
        <v>3800917</v>
      </c>
      <c r="M5" s="476">
        <v>3928980</v>
      </c>
      <c r="N5" s="476">
        <v>10312</v>
      </c>
      <c r="O5" s="476">
        <v>10159</v>
      </c>
      <c r="P5" s="476">
        <v>3493218</v>
      </c>
      <c r="Q5" s="476">
        <v>3690211</v>
      </c>
      <c r="S5" s="476">
        <v>1</v>
      </c>
      <c r="T5" s="476">
        <v>0</v>
      </c>
      <c r="U5" s="476">
        <v>3690211</v>
      </c>
      <c r="V5" s="476">
        <v>10159</v>
      </c>
    </row>
    <row r="6" spans="1:24" x14ac:dyDescent="0.25">
      <c r="A6" s="476">
        <v>14801</v>
      </c>
      <c r="B6" s="476">
        <v>36832</v>
      </c>
      <c r="C6" s="476">
        <v>9</v>
      </c>
      <c r="D6" s="476">
        <v>14302954</v>
      </c>
      <c r="E6" s="476">
        <v>11520</v>
      </c>
      <c r="F6" s="476">
        <v>9015</v>
      </c>
      <c r="G6" s="476">
        <v>11866</v>
      </c>
      <c r="H6" s="476">
        <v>11539</v>
      </c>
      <c r="I6" s="476">
        <v>11539</v>
      </c>
      <c r="J6" s="476">
        <v>14302954</v>
      </c>
      <c r="K6" s="476">
        <v>11520</v>
      </c>
      <c r="L6" s="476">
        <v>14594714</v>
      </c>
      <c r="M6" s="476">
        <v>14885115</v>
      </c>
      <c r="N6" s="476">
        <v>11539</v>
      </c>
      <c r="O6" s="476">
        <v>11755</v>
      </c>
      <c r="P6" s="476">
        <v>13554183</v>
      </c>
      <c r="Q6" s="476">
        <v>14302954</v>
      </c>
      <c r="S6" s="476">
        <v>1</v>
      </c>
      <c r="T6" s="476">
        <v>0</v>
      </c>
      <c r="U6" s="476">
        <v>14302954</v>
      </c>
      <c r="V6" s="476">
        <v>11755</v>
      </c>
    </row>
    <row r="7" spans="1:24" x14ac:dyDescent="0.25">
      <c r="A7" s="476">
        <v>14803</v>
      </c>
      <c r="B7" s="476">
        <v>36832</v>
      </c>
      <c r="C7" s="476">
        <v>9</v>
      </c>
      <c r="D7" s="476">
        <v>7789218</v>
      </c>
      <c r="E7" s="476">
        <v>10213</v>
      </c>
      <c r="F7" s="476">
        <v>9015</v>
      </c>
      <c r="G7" s="476">
        <v>10519</v>
      </c>
      <c r="H7" s="476">
        <v>11539</v>
      </c>
      <c r="I7" s="476">
        <v>10519</v>
      </c>
      <c r="J7" s="476">
        <v>7789218</v>
      </c>
      <c r="K7" s="476">
        <v>10213</v>
      </c>
      <c r="L7" s="476">
        <v>8022895</v>
      </c>
      <c r="M7" s="476">
        <v>8041185</v>
      </c>
      <c r="N7" s="476">
        <v>10519</v>
      </c>
      <c r="O7" s="476">
        <v>10359</v>
      </c>
      <c r="P7" s="476">
        <v>7445020</v>
      </c>
      <c r="Q7" s="476">
        <v>7789218</v>
      </c>
      <c r="S7" s="476">
        <v>1</v>
      </c>
      <c r="T7" s="476">
        <v>0</v>
      </c>
      <c r="U7" s="476">
        <v>7789218</v>
      </c>
      <c r="V7" s="476">
        <v>10359</v>
      </c>
    </row>
    <row r="8" spans="1:24" x14ac:dyDescent="0.25">
      <c r="A8" s="476">
        <v>14804</v>
      </c>
      <c r="B8" s="476">
        <v>36832</v>
      </c>
      <c r="C8" s="476">
        <v>9</v>
      </c>
      <c r="D8" s="476">
        <v>16885281</v>
      </c>
      <c r="E8" s="476">
        <v>9305</v>
      </c>
      <c r="F8" s="476">
        <v>9015</v>
      </c>
      <c r="G8" s="476">
        <v>9584</v>
      </c>
      <c r="H8" s="476">
        <v>11539</v>
      </c>
      <c r="I8" s="476">
        <v>9584</v>
      </c>
      <c r="J8" s="476">
        <v>16885281</v>
      </c>
      <c r="K8" s="476">
        <v>9305</v>
      </c>
      <c r="L8" s="476">
        <v>17504982</v>
      </c>
      <c r="M8" s="476">
        <v>17475780</v>
      </c>
      <c r="N8" s="476">
        <v>9584</v>
      </c>
      <c r="O8" s="476">
        <v>9646</v>
      </c>
      <c r="P8" s="476">
        <v>16039100</v>
      </c>
      <c r="Q8" s="476">
        <v>16885281</v>
      </c>
      <c r="S8" s="476">
        <v>1</v>
      </c>
      <c r="T8" s="476">
        <v>0</v>
      </c>
      <c r="U8" s="476">
        <v>16885281</v>
      </c>
      <c r="V8" s="476">
        <v>9646</v>
      </c>
    </row>
    <row r="9" spans="1:24" x14ac:dyDescent="0.25">
      <c r="A9" s="476">
        <v>15801</v>
      </c>
      <c r="B9" s="476">
        <v>36832</v>
      </c>
      <c r="C9" s="476">
        <v>9</v>
      </c>
      <c r="D9" s="476">
        <v>1399306</v>
      </c>
      <c r="E9" s="476">
        <v>12814</v>
      </c>
      <c r="F9" s="476">
        <v>9015</v>
      </c>
      <c r="G9" s="476">
        <v>13199</v>
      </c>
      <c r="H9" s="476">
        <v>11539</v>
      </c>
      <c r="I9" s="476">
        <v>11539</v>
      </c>
      <c r="J9" s="476">
        <v>1399306</v>
      </c>
      <c r="K9" s="476">
        <v>12814</v>
      </c>
      <c r="L9" s="476">
        <v>1399306</v>
      </c>
      <c r="M9" s="476">
        <v>1419973</v>
      </c>
      <c r="N9" s="476">
        <v>12814</v>
      </c>
      <c r="O9" s="476">
        <v>11849</v>
      </c>
      <c r="P9" s="476">
        <v>1312994</v>
      </c>
      <c r="Q9" s="476">
        <v>1399306</v>
      </c>
      <c r="S9" s="476">
        <v>1</v>
      </c>
      <c r="T9" s="476">
        <v>0</v>
      </c>
      <c r="U9" s="476">
        <v>1399306</v>
      </c>
      <c r="V9" s="476">
        <v>11849</v>
      </c>
    </row>
    <row r="10" spans="1:24" x14ac:dyDescent="0.25">
      <c r="A10" s="476">
        <v>15802</v>
      </c>
      <c r="B10" s="476">
        <v>36832</v>
      </c>
      <c r="C10" s="476">
        <v>9</v>
      </c>
      <c r="D10" s="476">
        <v>7961919</v>
      </c>
      <c r="E10" s="476">
        <v>11229</v>
      </c>
      <c r="F10" s="476">
        <v>9015</v>
      </c>
      <c r="G10" s="476">
        <v>11566</v>
      </c>
      <c r="H10" s="476">
        <v>11539</v>
      </c>
      <c r="I10" s="476">
        <v>11539</v>
      </c>
      <c r="J10" s="476">
        <v>7961919</v>
      </c>
      <c r="K10" s="476">
        <v>11229</v>
      </c>
      <c r="L10" s="476">
        <v>8191119</v>
      </c>
      <c r="M10" s="476">
        <v>8700194</v>
      </c>
      <c r="N10" s="476">
        <v>11539</v>
      </c>
      <c r="O10" s="476">
        <v>11552</v>
      </c>
      <c r="P10" s="476">
        <v>7594071</v>
      </c>
      <c r="Q10" s="476">
        <v>7961919</v>
      </c>
      <c r="S10" s="476">
        <v>1</v>
      </c>
      <c r="T10" s="476">
        <v>0</v>
      </c>
      <c r="U10" s="476">
        <v>7961919</v>
      </c>
      <c r="V10" s="476">
        <v>11552</v>
      </c>
    </row>
    <row r="11" spans="1:24" x14ac:dyDescent="0.25">
      <c r="A11" s="476">
        <v>15805</v>
      </c>
      <c r="B11" s="476">
        <v>36832</v>
      </c>
      <c r="C11" s="476">
        <v>9</v>
      </c>
      <c r="D11" s="476">
        <v>4626609</v>
      </c>
      <c r="E11" s="476">
        <v>10463</v>
      </c>
      <c r="F11" s="476">
        <v>9015</v>
      </c>
      <c r="G11" s="476">
        <v>10777</v>
      </c>
      <c r="H11" s="476">
        <v>11539</v>
      </c>
      <c r="I11" s="476">
        <v>10777</v>
      </c>
      <c r="J11" s="476">
        <v>4626609</v>
      </c>
      <c r="K11" s="476">
        <v>10463</v>
      </c>
      <c r="L11" s="476">
        <v>4765407</v>
      </c>
      <c r="M11" s="476">
        <v>4900812</v>
      </c>
      <c r="N11" s="476">
        <v>10777</v>
      </c>
      <c r="O11" s="476">
        <v>10425</v>
      </c>
      <c r="P11" s="476">
        <v>4370371</v>
      </c>
      <c r="Q11" s="476">
        <v>4626609</v>
      </c>
      <c r="S11" s="476">
        <v>1</v>
      </c>
      <c r="T11" s="476">
        <v>0</v>
      </c>
      <c r="U11" s="476">
        <v>4626609</v>
      </c>
      <c r="V11" s="476">
        <v>10425</v>
      </c>
    </row>
    <row r="12" spans="1:24" x14ac:dyDescent="0.25">
      <c r="A12" s="476">
        <v>15806</v>
      </c>
      <c r="B12" s="476">
        <v>36832</v>
      </c>
      <c r="C12" s="476">
        <v>9</v>
      </c>
      <c r="D12" s="476">
        <v>3622509</v>
      </c>
      <c r="E12" s="476">
        <v>11760</v>
      </c>
      <c r="F12" s="476">
        <v>9015</v>
      </c>
      <c r="G12" s="476">
        <v>12113</v>
      </c>
      <c r="H12" s="476">
        <v>11539</v>
      </c>
      <c r="I12" s="476">
        <v>11539</v>
      </c>
      <c r="J12" s="476">
        <v>3622509</v>
      </c>
      <c r="K12" s="476">
        <v>11760</v>
      </c>
      <c r="L12" s="476">
        <v>3649966</v>
      </c>
      <c r="M12" s="476">
        <v>3903846</v>
      </c>
      <c r="N12" s="476">
        <v>11760</v>
      </c>
      <c r="O12" s="476">
        <v>11849</v>
      </c>
      <c r="P12" s="476">
        <v>3424900</v>
      </c>
      <c r="Q12" s="476">
        <v>3622509</v>
      </c>
      <c r="S12" s="476">
        <v>1</v>
      </c>
      <c r="T12" s="476">
        <v>0</v>
      </c>
      <c r="U12" s="476">
        <v>3622509</v>
      </c>
      <c r="V12" s="476">
        <v>11849</v>
      </c>
    </row>
    <row r="13" spans="1:24" x14ac:dyDescent="0.25">
      <c r="A13" s="476">
        <v>15807</v>
      </c>
      <c r="B13" s="476">
        <v>36832</v>
      </c>
      <c r="C13" s="476">
        <v>9</v>
      </c>
      <c r="D13" s="476">
        <v>8285171</v>
      </c>
      <c r="E13" s="476">
        <v>11092</v>
      </c>
      <c r="F13" s="476">
        <v>9015</v>
      </c>
      <c r="G13" s="476">
        <v>11425</v>
      </c>
      <c r="H13" s="476">
        <v>11539</v>
      </c>
      <c r="I13" s="476">
        <v>11425</v>
      </c>
      <c r="J13" s="476">
        <v>8285171</v>
      </c>
      <c r="K13" s="476">
        <v>11092</v>
      </c>
      <c r="L13" s="476">
        <v>8533726</v>
      </c>
      <c r="M13" s="476">
        <v>8592540</v>
      </c>
      <c r="N13" s="476">
        <v>11425</v>
      </c>
      <c r="O13" s="476">
        <v>11071</v>
      </c>
      <c r="P13" s="476">
        <v>7878343</v>
      </c>
      <c r="Q13" s="476">
        <v>8285171</v>
      </c>
      <c r="S13" s="476">
        <v>1</v>
      </c>
      <c r="T13" s="476">
        <v>0</v>
      </c>
      <c r="U13" s="476">
        <v>8285171</v>
      </c>
      <c r="V13" s="476">
        <v>11071</v>
      </c>
    </row>
    <row r="14" spans="1:24" x14ac:dyDescent="0.25">
      <c r="A14" s="476">
        <v>15808</v>
      </c>
      <c r="B14" s="476">
        <v>36832</v>
      </c>
      <c r="C14" s="476">
        <v>9</v>
      </c>
      <c r="D14" s="476">
        <v>6647198</v>
      </c>
      <c r="E14" s="476">
        <v>12215</v>
      </c>
      <c r="F14" s="476">
        <v>9015</v>
      </c>
      <c r="G14" s="476">
        <v>12581</v>
      </c>
      <c r="H14" s="476">
        <v>11539</v>
      </c>
      <c r="I14" s="476">
        <v>11539</v>
      </c>
      <c r="J14" s="476">
        <v>6647198</v>
      </c>
      <c r="K14" s="476">
        <v>12215</v>
      </c>
      <c r="L14" s="476">
        <v>6647198</v>
      </c>
      <c r="M14" s="476">
        <v>6903806</v>
      </c>
      <c r="N14" s="476">
        <v>12215</v>
      </c>
      <c r="O14" s="476">
        <v>11849</v>
      </c>
      <c r="P14" s="476">
        <v>6273219</v>
      </c>
      <c r="Q14" s="476">
        <v>6647198</v>
      </c>
      <c r="S14" s="476">
        <v>1</v>
      </c>
      <c r="T14" s="476">
        <v>0</v>
      </c>
      <c r="U14" s="476">
        <v>6647198</v>
      </c>
      <c r="V14" s="476">
        <v>11849</v>
      </c>
    </row>
    <row r="15" spans="1:24" x14ac:dyDescent="0.25">
      <c r="A15" s="476">
        <v>15809</v>
      </c>
      <c r="B15" s="476">
        <v>36832</v>
      </c>
      <c r="C15" s="476">
        <v>9</v>
      </c>
      <c r="D15" s="476">
        <v>2571879</v>
      </c>
      <c r="E15" s="476">
        <v>11248</v>
      </c>
      <c r="F15" s="476">
        <v>9015</v>
      </c>
      <c r="G15" s="476">
        <v>11585</v>
      </c>
      <c r="H15" s="476">
        <v>11539</v>
      </c>
      <c r="I15" s="476">
        <v>11539</v>
      </c>
      <c r="J15" s="476">
        <v>2571879</v>
      </c>
      <c r="K15" s="476">
        <v>11248</v>
      </c>
      <c r="L15" s="476">
        <v>2638588</v>
      </c>
      <c r="M15" s="476">
        <v>2866679</v>
      </c>
      <c r="N15" s="476">
        <v>11539</v>
      </c>
      <c r="O15" s="476">
        <v>11201</v>
      </c>
      <c r="P15" s="476">
        <v>2436120</v>
      </c>
      <c r="Q15" s="476">
        <v>2571879</v>
      </c>
      <c r="S15" s="476">
        <v>1</v>
      </c>
      <c r="T15" s="476">
        <v>0</v>
      </c>
      <c r="U15" s="476">
        <v>2571879</v>
      </c>
      <c r="V15" s="476">
        <v>11201</v>
      </c>
    </row>
    <row r="16" spans="1:24" x14ac:dyDescent="0.25">
      <c r="A16" s="476">
        <v>15814</v>
      </c>
      <c r="B16" s="476">
        <v>36832</v>
      </c>
      <c r="C16" s="476">
        <v>9</v>
      </c>
      <c r="D16" s="476">
        <v>833002</v>
      </c>
      <c r="E16" s="476">
        <v>12069</v>
      </c>
      <c r="F16" s="476">
        <v>9015</v>
      </c>
      <c r="G16" s="476">
        <v>12431</v>
      </c>
      <c r="H16" s="476">
        <v>11539</v>
      </c>
      <c r="I16" s="476">
        <v>11539</v>
      </c>
      <c r="J16" s="476">
        <v>833002</v>
      </c>
      <c r="K16" s="476">
        <v>12069</v>
      </c>
      <c r="L16" s="476">
        <v>833002</v>
      </c>
      <c r="M16" s="476">
        <v>882225</v>
      </c>
      <c r="N16" s="476">
        <v>12069</v>
      </c>
      <c r="O16" s="476">
        <v>11720</v>
      </c>
      <c r="P16" s="476">
        <v>778912</v>
      </c>
      <c r="Q16" s="476">
        <v>833002</v>
      </c>
      <c r="S16" s="476">
        <v>1</v>
      </c>
      <c r="T16" s="476">
        <v>0</v>
      </c>
      <c r="U16" s="476">
        <v>833002</v>
      </c>
      <c r="V16" s="476">
        <v>11720</v>
      </c>
    </row>
    <row r="17" spans="1:24" x14ac:dyDescent="0.25">
      <c r="A17" s="476">
        <v>15815</v>
      </c>
      <c r="B17" s="476">
        <v>36832</v>
      </c>
      <c r="C17" s="476">
        <v>9</v>
      </c>
      <c r="D17" s="476">
        <v>6132632</v>
      </c>
      <c r="E17" s="476">
        <v>10425</v>
      </c>
      <c r="F17" s="476">
        <v>9015</v>
      </c>
      <c r="G17" s="476">
        <v>10737</v>
      </c>
      <c r="H17" s="476">
        <v>11539</v>
      </c>
      <c r="I17" s="476">
        <v>10737</v>
      </c>
      <c r="J17" s="476">
        <v>6132632</v>
      </c>
      <c r="K17" s="476">
        <v>10425</v>
      </c>
      <c r="L17" s="476">
        <v>6316611</v>
      </c>
      <c r="M17" s="476">
        <v>6179461</v>
      </c>
      <c r="N17" s="476">
        <v>10737</v>
      </c>
      <c r="O17" s="476">
        <v>10696</v>
      </c>
      <c r="P17" s="476">
        <v>5836652</v>
      </c>
      <c r="Q17" s="476">
        <v>6132632</v>
      </c>
      <c r="S17" s="476">
        <v>1</v>
      </c>
      <c r="T17" s="476">
        <v>0</v>
      </c>
      <c r="U17" s="476">
        <v>6132632</v>
      </c>
      <c r="V17" s="476">
        <v>10696</v>
      </c>
    </row>
    <row r="18" spans="1:24" x14ac:dyDescent="0.25">
      <c r="A18" s="476">
        <v>15822</v>
      </c>
      <c r="B18" s="476">
        <v>36832</v>
      </c>
      <c r="C18" s="476">
        <v>9</v>
      </c>
      <c r="D18" s="476">
        <v>58229358</v>
      </c>
      <c r="E18" s="476">
        <v>10308</v>
      </c>
      <c r="F18" s="476">
        <v>9015</v>
      </c>
      <c r="G18" s="476">
        <v>10617</v>
      </c>
      <c r="H18" s="476">
        <v>11539</v>
      </c>
      <c r="I18" s="476">
        <v>10617</v>
      </c>
      <c r="J18" s="476">
        <v>58229358</v>
      </c>
      <c r="K18" s="476">
        <v>10308</v>
      </c>
      <c r="L18" s="476">
        <v>59976260</v>
      </c>
      <c r="M18" s="476">
        <v>61816959</v>
      </c>
      <c r="N18" s="476">
        <v>10617</v>
      </c>
      <c r="O18" s="476">
        <v>10461</v>
      </c>
      <c r="P18" s="476">
        <v>55327595</v>
      </c>
      <c r="Q18" s="476">
        <v>58229358</v>
      </c>
      <c r="S18" s="476">
        <v>1</v>
      </c>
      <c r="T18" s="476">
        <v>0</v>
      </c>
      <c r="U18" s="476">
        <v>58229358</v>
      </c>
      <c r="V18" s="476">
        <v>10461</v>
      </c>
    </row>
    <row r="19" spans="1:24" x14ac:dyDescent="0.25">
      <c r="A19" s="476">
        <v>15825</v>
      </c>
      <c r="B19" s="476">
        <v>36832</v>
      </c>
      <c r="C19" s="476">
        <v>9</v>
      </c>
      <c r="D19" s="476">
        <v>3091801</v>
      </c>
      <c r="E19" s="476">
        <v>10549</v>
      </c>
      <c r="F19" s="476">
        <v>9015</v>
      </c>
      <c r="G19" s="476">
        <v>10866</v>
      </c>
      <c r="H19" s="476">
        <v>11539</v>
      </c>
      <c r="I19" s="476">
        <v>10866</v>
      </c>
      <c r="J19" s="476">
        <v>3091801</v>
      </c>
      <c r="K19" s="476">
        <v>10549</v>
      </c>
      <c r="L19" s="476">
        <v>3184555</v>
      </c>
      <c r="M19" s="476">
        <v>3261642</v>
      </c>
      <c r="N19" s="476">
        <v>10866</v>
      </c>
      <c r="O19" s="476">
        <v>10810</v>
      </c>
      <c r="P19" s="476">
        <v>2954758</v>
      </c>
      <c r="Q19" s="476">
        <v>3091801</v>
      </c>
      <c r="S19" s="476">
        <v>1</v>
      </c>
      <c r="T19" s="476">
        <v>0</v>
      </c>
      <c r="U19" s="476">
        <v>3091801</v>
      </c>
      <c r="V19" s="476">
        <v>10810</v>
      </c>
    </row>
    <row r="20" spans="1:24" x14ac:dyDescent="0.25">
      <c r="A20" s="476">
        <v>15827</v>
      </c>
      <c r="B20" s="476">
        <v>36832</v>
      </c>
      <c r="C20" s="476">
        <v>9</v>
      </c>
      <c r="D20" s="476">
        <v>31467757</v>
      </c>
      <c r="E20" s="476">
        <v>10166</v>
      </c>
      <c r="F20" s="476">
        <v>9015</v>
      </c>
      <c r="G20" s="476">
        <v>10471</v>
      </c>
      <c r="H20" s="476">
        <v>11539</v>
      </c>
      <c r="I20" s="476">
        <v>10471</v>
      </c>
      <c r="J20" s="476">
        <v>31467757</v>
      </c>
      <c r="K20" s="476">
        <v>10166</v>
      </c>
      <c r="L20" s="476">
        <v>32411790</v>
      </c>
      <c r="M20" s="476">
        <v>33488569</v>
      </c>
      <c r="N20" s="476">
        <v>10471</v>
      </c>
      <c r="O20" s="476">
        <v>10128</v>
      </c>
      <c r="P20" s="476">
        <v>30468263</v>
      </c>
      <c r="Q20" s="476">
        <v>31467757</v>
      </c>
      <c r="S20" s="476">
        <v>1</v>
      </c>
      <c r="T20" s="476">
        <v>0</v>
      </c>
      <c r="U20" s="476">
        <v>31467757</v>
      </c>
      <c r="V20" s="476">
        <v>10128</v>
      </c>
    </row>
    <row r="21" spans="1:24" x14ac:dyDescent="0.25">
      <c r="A21" s="476">
        <v>15828</v>
      </c>
      <c r="B21" s="476">
        <v>36832</v>
      </c>
      <c r="C21" s="476">
        <v>9</v>
      </c>
      <c r="D21" s="476">
        <v>44328102</v>
      </c>
      <c r="E21" s="476">
        <v>10466</v>
      </c>
      <c r="F21" s="476">
        <v>9015</v>
      </c>
      <c r="G21" s="476">
        <v>10780</v>
      </c>
      <c r="H21" s="476">
        <v>11539</v>
      </c>
      <c r="I21" s="476">
        <v>10780</v>
      </c>
      <c r="J21" s="476">
        <v>44328102</v>
      </c>
      <c r="K21" s="476">
        <v>10466</v>
      </c>
      <c r="L21" s="476">
        <v>46061900</v>
      </c>
      <c r="M21" s="476">
        <v>47264177</v>
      </c>
      <c r="N21" s="476">
        <v>10780</v>
      </c>
      <c r="O21" s="476">
        <v>10875</v>
      </c>
      <c r="P21" s="476">
        <v>42309233</v>
      </c>
      <c r="Q21" s="476">
        <v>44328102</v>
      </c>
      <c r="S21" s="476">
        <v>1</v>
      </c>
      <c r="T21" s="476">
        <v>0</v>
      </c>
      <c r="U21" s="476">
        <v>44328102</v>
      </c>
      <c r="V21" s="476">
        <v>10875</v>
      </c>
    </row>
    <row r="22" spans="1:24" x14ac:dyDescent="0.25">
      <c r="A22" s="476">
        <v>15830</v>
      </c>
      <c r="B22" s="476">
        <v>36832</v>
      </c>
      <c r="C22" s="476">
        <v>9</v>
      </c>
      <c r="D22" s="476">
        <v>29382976</v>
      </c>
      <c r="E22" s="476">
        <v>10541</v>
      </c>
      <c r="F22" s="476">
        <v>9015</v>
      </c>
      <c r="G22" s="476">
        <v>10857</v>
      </c>
      <c r="H22" s="476">
        <v>11539</v>
      </c>
      <c r="I22" s="476">
        <v>10857</v>
      </c>
      <c r="J22" s="476">
        <v>29382976</v>
      </c>
      <c r="K22" s="476">
        <v>10541</v>
      </c>
      <c r="L22" s="476">
        <v>30264444</v>
      </c>
      <c r="M22" s="476">
        <v>30697049</v>
      </c>
      <c r="N22" s="476">
        <v>10857</v>
      </c>
      <c r="O22" s="476">
        <v>10608</v>
      </c>
      <c r="P22" s="476">
        <v>27902102</v>
      </c>
      <c r="Q22" s="476">
        <v>29382976</v>
      </c>
      <c r="S22" s="476">
        <v>1</v>
      </c>
      <c r="T22" s="476">
        <v>0</v>
      </c>
      <c r="U22" s="476">
        <v>29382976</v>
      </c>
      <c r="V22" s="476">
        <v>10608</v>
      </c>
    </row>
    <row r="23" spans="1:24" x14ac:dyDescent="0.25">
      <c r="A23" s="476">
        <v>15831</v>
      </c>
      <c r="B23" s="476">
        <v>36832</v>
      </c>
      <c r="C23" s="476">
        <v>9</v>
      </c>
      <c r="D23" s="476">
        <v>44581150</v>
      </c>
      <c r="E23" s="476">
        <v>9771</v>
      </c>
      <c r="F23" s="476">
        <v>9015</v>
      </c>
      <c r="G23" s="476">
        <v>10064</v>
      </c>
      <c r="H23" s="476">
        <v>11539</v>
      </c>
      <c r="I23" s="476">
        <v>10064</v>
      </c>
      <c r="J23" s="476">
        <v>44581150</v>
      </c>
      <c r="K23" s="476">
        <v>9771</v>
      </c>
      <c r="L23" s="476">
        <v>45918585</v>
      </c>
      <c r="M23" s="476">
        <v>47580594</v>
      </c>
      <c r="N23" s="476">
        <v>10064</v>
      </c>
      <c r="O23" s="476">
        <v>10007</v>
      </c>
      <c r="P23" s="476">
        <v>43096473</v>
      </c>
      <c r="Q23" s="476">
        <v>44581150</v>
      </c>
      <c r="S23" s="476">
        <v>1</v>
      </c>
      <c r="T23" s="476">
        <v>0</v>
      </c>
      <c r="U23" s="476">
        <v>44581150</v>
      </c>
      <c r="V23" s="476">
        <v>10007</v>
      </c>
    </row>
    <row r="24" spans="1:24" x14ac:dyDescent="0.25">
      <c r="A24" s="476">
        <v>15833</v>
      </c>
      <c r="B24" s="476">
        <v>36832</v>
      </c>
      <c r="C24" s="476">
        <v>9</v>
      </c>
      <c r="D24" s="476">
        <v>870937</v>
      </c>
      <c r="E24" s="476">
        <v>10867</v>
      </c>
      <c r="F24" s="476">
        <v>9015</v>
      </c>
      <c r="G24" s="476">
        <v>11193</v>
      </c>
      <c r="H24" s="476">
        <v>11539</v>
      </c>
      <c r="I24" s="476">
        <v>11193</v>
      </c>
      <c r="J24" s="476">
        <v>870937</v>
      </c>
      <c r="K24" s="476">
        <v>10867</v>
      </c>
      <c r="L24" s="476">
        <v>897065</v>
      </c>
      <c r="M24" s="476">
        <v>824646</v>
      </c>
      <c r="N24" s="476">
        <v>11193</v>
      </c>
      <c r="O24" s="476">
        <v>10591</v>
      </c>
      <c r="P24" s="476">
        <v>819627</v>
      </c>
      <c r="Q24" s="476">
        <v>870937</v>
      </c>
      <c r="S24" s="476">
        <v>1</v>
      </c>
      <c r="T24" s="476">
        <v>0</v>
      </c>
      <c r="U24" s="476">
        <v>870937</v>
      </c>
      <c r="V24" s="476">
        <v>10591</v>
      </c>
    </row>
    <row r="25" spans="1:24" x14ac:dyDescent="0.25">
      <c r="A25" s="476">
        <v>15834</v>
      </c>
      <c r="B25" s="476">
        <v>36832</v>
      </c>
      <c r="C25" s="476">
        <v>9</v>
      </c>
      <c r="D25" s="476">
        <v>24414307</v>
      </c>
      <c r="E25" s="476">
        <v>8231</v>
      </c>
      <c r="F25" s="476">
        <v>9015</v>
      </c>
      <c r="G25" s="476">
        <v>8478</v>
      </c>
      <c r="H25" s="476">
        <v>11539</v>
      </c>
      <c r="I25" s="476">
        <v>8478</v>
      </c>
      <c r="J25" s="476">
        <v>24414307</v>
      </c>
      <c r="K25" s="476">
        <v>8231</v>
      </c>
      <c r="L25" s="476">
        <v>25146736</v>
      </c>
      <c r="M25" s="476">
        <v>25879497</v>
      </c>
      <c r="N25" s="476">
        <v>8478</v>
      </c>
      <c r="O25" s="476">
        <v>8421</v>
      </c>
      <c r="P25" s="476">
        <v>23223785</v>
      </c>
      <c r="Q25" s="476">
        <v>24414307</v>
      </c>
      <c r="S25" s="476">
        <v>1</v>
      </c>
      <c r="T25" s="476">
        <v>0</v>
      </c>
      <c r="U25" s="476">
        <v>24414307</v>
      </c>
      <c r="V25" s="476">
        <v>8421</v>
      </c>
    </row>
    <row r="26" spans="1:24" x14ac:dyDescent="0.25">
      <c r="A26" s="476">
        <v>15835</v>
      </c>
      <c r="B26" s="476">
        <v>36832</v>
      </c>
      <c r="C26" s="476">
        <v>9</v>
      </c>
      <c r="D26" s="476">
        <v>57493216</v>
      </c>
      <c r="E26" s="476">
        <v>8872</v>
      </c>
      <c r="F26" s="476">
        <v>9015</v>
      </c>
      <c r="G26" s="476">
        <v>9138</v>
      </c>
      <c r="H26" s="476">
        <v>11539</v>
      </c>
      <c r="I26" s="476">
        <v>9138</v>
      </c>
      <c r="J26" s="476">
        <v>57493216</v>
      </c>
      <c r="K26" s="476">
        <v>8872</v>
      </c>
      <c r="L26" s="476">
        <v>59217967</v>
      </c>
      <c r="M26" s="476">
        <v>60456001</v>
      </c>
      <c r="N26" s="476">
        <v>9138</v>
      </c>
      <c r="O26" s="476">
        <v>9044</v>
      </c>
      <c r="P26" s="476">
        <v>55248500</v>
      </c>
      <c r="Q26" s="476">
        <v>57493216</v>
      </c>
      <c r="S26" s="476">
        <v>1</v>
      </c>
      <c r="T26" s="476">
        <v>0</v>
      </c>
      <c r="U26" s="476">
        <v>57493216</v>
      </c>
      <c r="V26" s="476">
        <v>9044</v>
      </c>
    </row>
    <row r="27" spans="1:24" x14ac:dyDescent="0.25">
      <c r="A27" s="476">
        <v>15836</v>
      </c>
      <c r="B27" s="476">
        <v>36832</v>
      </c>
      <c r="C27" s="476">
        <v>9</v>
      </c>
      <c r="D27" s="476">
        <v>3952079</v>
      </c>
      <c r="E27" s="476">
        <v>8598</v>
      </c>
      <c r="F27" s="476">
        <v>9015</v>
      </c>
      <c r="G27" s="476">
        <v>8856</v>
      </c>
      <c r="H27" s="476">
        <v>11539</v>
      </c>
      <c r="I27" s="476">
        <v>8856</v>
      </c>
      <c r="J27" s="476">
        <v>3952079</v>
      </c>
      <c r="K27" s="476">
        <v>8598</v>
      </c>
      <c r="L27" s="476">
        <v>4070642</v>
      </c>
      <c r="M27" s="476">
        <v>4156216</v>
      </c>
      <c r="N27" s="476">
        <v>8856</v>
      </c>
      <c r="O27" s="476">
        <v>8854</v>
      </c>
      <c r="P27" s="476">
        <v>3753002</v>
      </c>
      <c r="Q27" s="476">
        <v>3952079</v>
      </c>
      <c r="S27" s="476">
        <v>1</v>
      </c>
      <c r="T27" s="476">
        <v>0</v>
      </c>
      <c r="U27" s="476">
        <v>3952079</v>
      </c>
      <c r="V27" s="476">
        <v>8854</v>
      </c>
    </row>
    <row r="28" spans="1:24" x14ac:dyDescent="0.25">
      <c r="A28" s="476">
        <v>15838</v>
      </c>
      <c r="B28" s="476">
        <v>36832</v>
      </c>
      <c r="C28" s="476">
        <v>9</v>
      </c>
      <c r="D28" s="476">
        <v>10542168</v>
      </c>
      <c r="E28" s="476">
        <v>10109</v>
      </c>
      <c r="F28" s="476">
        <v>9015</v>
      </c>
      <c r="G28" s="476">
        <v>10413</v>
      </c>
      <c r="H28" s="476">
        <v>11539</v>
      </c>
      <c r="I28" s="476">
        <v>10413</v>
      </c>
      <c r="J28" s="476">
        <v>10542168</v>
      </c>
      <c r="K28" s="476">
        <v>10109</v>
      </c>
      <c r="L28" s="476">
        <v>10858433</v>
      </c>
      <c r="M28" s="476">
        <v>12395709</v>
      </c>
      <c r="N28" s="476">
        <v>10413</v>
      </c>
      <c r="O28" s="476">
        <v>10333</v>
      </c>
      <c r="P28" s="476">
        <v>10379777</v>
      </c>
      <c r="Q28" s="476">
        <v>10542168</v>
      </c>
      <c r="S28" s="476">
        <v>1</v>
      </c>
      <c r="T28" s="476">
        <v>0</v>
      </c>
      <c r="U28" s="476">
        <v>10542168</v>
      </c>
      <c r="V28" s="476">
        <v>10333</v>
      </c>
    </row>
    <row r="29" spans="1:24" x14ac:dyDescent="0.25">
      <c r="A29" s="476">
        <v>15839</v>
      </c>
      <c r="B29" s="476">
        <v>36832</v>
      </c>
      <c r="C29" s="476">
        <v>9</v>
      </c>
      <c r="F29" s="476">
        <v>9015</v>
      </c>
      <c r="H29" s="476">
        <v>11539</v>
      </c>
      <c r="I29" s="476">
        <v>11539</v>
      </c>
      <c r="L29" s="476">
        <v>2192457</v>
      </c>
      <c r="M29" s="476">
        <v>2456611</v>
      </c>
      <c r="N29" s="476">
        <v>11539</v>
      </c>
      <c r="S29" s="476">
        <v>1</v>
      </c>
      <c r="T29" s="476">
        <v>0</v>
      </c>
    </row>
    <row r="30" spans="1:24" x14ac:dyDescent="0.25">
      <c r="A30" s="476">
        <v>15840</v>
      </c>
      <c r="B30" s="476">
        <v>36832</v>
      </c>
      <c r="C30" s="476">
        <v>9</v>
      </c>
      <c r="F30" s="476">
        <v>9015</v>
      </c>
      <c r="H30" s="476">
        <v>11539</v>
      </c>
      <c r="I30" s="476">
        <v>11539</v>
      </c>
      <c r="L30" s="476">
        <v>2204170</v>
      </c>
      <c r="M30" s="476">
        <v>2294148</v>
      </c>
      <c r="N30" s="476">
        <v>11539</v>
      </c>
      <c r="S30" s="476">
        <v>1</v>
      </c>
      <c r="T30" s="476">
        <v>0</v>
      </c>
    </row>
    <row r="31" spans="1:24" x14ac:dyDescent="0.25">
      <c r="A31" s="476">
        <v>15841</v>
      </c>
      <c r="B31" s="476">
        <v>36832</v>
      </c>
      <c r="C31" s="476">
        <v>9</v>
      </c>
      <c r="F31" s="476">
        <v>9015</v>
      </c>
      <c r="H31" s="476">
        <v>11539</v>
      </c>
      <c r="I31" s="476">
        <v>11539</v>
      </c>
      <c r="L31" s="476">
        <v>3749125</v>
      </c>
      <c r="M31" s="476">
        <v>3696932</v>
      </c>
      <c r="N31" s="476">
        <v>11539</v>
      </c>
      <c r="S31" s="476">
        <v>1</v>
      </c>
      <c r="T31" s="476">
        <v>0</v>
      </c>
    </row>
    <row r="32" spans="1:24" x14ac:dyDescent="0.25">
      <c r="A32" s="476">
        <v>15842</v>
      </c>
      <c r="B32" s="476">
        <v>0</v>
      </c>
      <c r="C32" s="476">
        <v>0</v>
      </c>
      <c r="D32" s="476">
        <v>0</v>
      </c>
      <c r="E32" s="476">
        <v>0</v>
      </c>
      <c r="F32" s="476">
        <v>0</v>
      </c>
      <c r="G32" s="476">
        <v>0</v>
      </c>
      <c r="H32" s="476">
        <v>0</v>
      </c>
      <c r="I32" s="476">
        <v>0</v>
      </c>
      <c r="J32" s="476">
        <v>0</v>
      </c>
      <c r="K32" s="476">
        <v>0</v>
      </c>
      <c r="L32" s="476">
        <v>0</v>
      </c>
      <c r="M32" s="476">
        <v>0</v>
      </c>
      <c r="N32" s="476">
        <v>0</v>
      </c>
      <c r="O32" s="476">
        <v>0</v>
      </c>
      <c r="P32" s="476">
        <v>0</v>
      </c>
      <c r="Q32" s="476">
        <v>0</v>
      </c>
      <c r="R32" s="476">
        <v>0</v>
      </c>
      <c r="S32" s="476">
        <v>0</v>
      </c>
      <c r="T32" s="476">
        <v>0</v>
      </c>
      <c r="U32" s="476">
        <v>0</v>
      </c>
      <c r="V32" s="476">
        <v>0</v>
      </c>
      <c r="W32" s="476">
        <v>0</v>
      </c>
      <c r="X32" s="476">
        <v>0</v>
      </c>
    </row>
    <row r="33" spans="1:35" x14ac:dyDescent="0.25">
      <c r="A33" s="476">
        <v>15843</v>
      </c>
      <c r="B33" s="476">
        <v>0</v>
      </c>
      <c r="C33" s="476">
        <v>0</v>
      </c>
      <c r="D33" s="476">
        <v>0</v>
      </c>
      <c r="E33" s="476">
        <v>0</v>
      </c>
      <c r="F33" s="476">
        <v>0</v>
      </c>
      <c r="G33" s="476">
        <v>0</v>
      </c>
      <c r="H33" s="476">
        <v>0</v>
      </c>
      <c r="I33" s="476">
        <v>0</v>
      </c>
      <c r="J33" s="476">
        <v>0</v>
      </c>
      <c r="K33" s="476">
        <v>0</v>
      </c>
      <c r="L33" s="476">
        <v>0</v>
      </c>
      <c r="M33" s="476">
        <v>0</v>
      </c>
      <c r="N33" s="476">
        <v>0</v>
      </c>
      <c r="O33" s="476">
        <v>0</v>
      </c>
      <c r="P33" s="476">
        <v>0</v>
      </c>
      <c r="Q33" s="476">
        <v>0</v>
      </c>
      <c r="R33" s="476">
        <v>0</v>
      </c>
      <c r="S33" s="476">
        <v>0</v>
      </c>
      <c r="T33" s="476">
        <v>0</v>
      </c>
      <c r="U33" s="476">
        <v>0</v>
      </c>
      <c r="V33" s="476">
        <v>0</v>
      </c>
      <c r="W33" s="476">
        <v>0</v>
      </c>
      <c r="X33" s="476">
        <v>0</v>
      </c>
    </row>
    <row r="34" spans="1:35" x14ac:dyDescent="0.25">
      <c r="A34" s="476">
        <v>15844</v>
      </c>
      <c r="B34" s="476">
        <v>0</v>
      </c>
      <c r="C34" s="476">
        <v>0</v>
      </c>
      <c r="D34" s="476">
        <v>0</v>
      </c>
      <c r="E34" s="476">
        <v>0</v>
      </c>
      <c r="F34" s="476">
        <v>0</v>
      </c>
      <c r="G34" s="476">
        <v>0</v>
      </c>
      <c r="H34" s="476">
        <v>0</v>
      </c>
      <c r="I34" s="476">
        <v>0</v>
      </c>
      <c r="J34" s="476">
        <v>0</v>
      </c>
      <c r="K34" s="476">
        <v>0</v>
      </c>
      <c r="L34" s="476">
        <v>0</v>
      </c>
      <c r="M34" s="476">
        <v>0</v>
      </c>
      <c r="N34" s="476">
        <v>0</v>
      </c>
      <c r="O34" s="476">
        <v>0</v>
      </c>
      <c r="P34" s="476">
        <v>0</v>
      </c>
      <c r="Q34" s="476">
        <v>0</v>
      </c>
      <c r="R34" s="476">
        <v>0</v>
      </c>
      <c r="S34" s="476">
        <v>0</v>
      </c>
      <c r="T34" s="476">
        <v>0</v>
      </c>
      <c r="U34" s="476">
        <v>0</v>
      </c>
      <c r="V34" s="476">
        <v>0</v>
      </c>
      <c r="W34" s="476">
        <v>0</v>
      </c>
      <c r="X34" s="476">
        <v>0</v>
      </c>
      <c r="Y34" s="476">
        <v>0</v>
      </c>
      <c r="Z34" s="476">
        <v>0</v>
      </c>
      <c r="AA34" s="476">
        <v>0</v>
      </c>
      <c r="AB34" s="476">
        <v>0</v>
      </c>
      <c r="AC34" s="476">
        <v>0</v>
      </c>
      <c r="AD34" s="476">
        <v>0</v>
      </c>
      <c r="AE34" s="476">
        <v>0</v>
      </c>
      <c r="AF34" s="476">
        <v>0</v>
      </c>
      <c r="AG34" s="476">
        <v>0</v>
      </c>
      <c r="AH34" s="476">
        <v>0</v>
      </c>
      <c r="AI34" s="476">
        <v>0</v>
      </c>
    </row>
    <row r="35" spans="1:35" x14ac:dyDescent="0.25">
      <c r="A35" s="476">
        <v>220821</v>
      </c>
      <c r="B35" s="476">
        <v>0</v>
      </c>
      <c r="C35" s="476">
        <v>0</v>
      </c>
      <c r="D35" s="476">
        <v>0</v>
      </c>
      <c r="E35" s="476">
        <v>0</v>
      </c>
      <c r="F35" s="476">
        <v>0</v>
      </c>
      <c r="G35" s="476">
        <v>0</v>
      </c>
      <c r="H35" s="476">
        <v>0</v>
      </c>
      <c r="I35" s="476">
        <v>0</v>
      </c>
      <c r="J35" s="476">
        <v>0</v>
      </c>
      <c r="K35" s="476">
        <v>0</v>
      </c>
      <c r="L35" s="476">
        <v>0</v>
      </c>
      <c r="M35" s="476">
        <v>0</v>
      </c>
      <c r="N35" s="476">
        <v>0</v>
      </c>
      <c r="O35" s="476">
        <v>0</v>
      </c>
      <c r="P35" s="476">
        <v>0</v>
      </c>
      <c r="Q35" s="476">
        <v>0</v>
      </c>
      <c r="R35" s="476">
        <v>0</v>
      </c>
      <c r="S35" s="476">
        <v>0</v>
      </c>
      <c r="T35" s="476">
        <v>0</v>
      </c>
      <c r="U35" s="476">
        <v>0</v>
      </c>
      <c r="V35" s="476">
        <v>0</v>
      </c>
      <c r="W35" s="476">
        <v>0</v>
      </c>
      <c r="X35" s="476">
        <v>0</v>
      </c>
      <c r="Y35" s="476">
        <v>0</v>
      </c>
      <c r="Z35" s="476">
        <v>0</v>
      </c>
      <c r="AA35" s="476">
        <v>0</v>
      </c>
      <c r="AB35" s="476">
        <v>0</v>
      </c>
      <c r="AC35" s="476">
        <v>0</v>
      </c>
      <c r="AD35" s="476">
        <v>0</v>
      </c>
      <c r="AE35" s="476">
        <v>0</v>
      </c>
      <c r="AF35" s="476">
        <v>0</v>
      </c>
      <c r="AG35" s="476">
        <v>0</v>
      </c>
      <c r="AH35" s="476">
        <v>0</v>
      </c>
      <c r="AI35" s="476">
        <v>0</v>
      </c>
    </row>
    <row r="36" spans="1:35" x14ac:dyDescent="0.25">
      <c r="A36" s="476">
        <v>108810</v>
      </c>
      <c r="B36" s="476">
        <v>0</v>
      </c>
      <c r="C36" s="476">
        <v>0</v>
      </c>
      <c r="D36" s="476">
        <v>0</v>
      </c>
      <c r="E36" s="476">
        <v>0</v>
      </c>
      <c r="F36" s="476">
        <v>0</v>
      </c>
      <c r="G36" s="476">
        <v>0</v>
      </c>
      <c r="H36" s="476">
        <v>0</v>
      </c>
      <c r="I36" s="476">
        <v>0</v>
      </c>
      <c r="J36" s="476">
        <v>0</v>
      </c>
      <c r="K36" s="476">
        <v>0</v>
      </c>
      <c r="L36" s="476">
        <v>0</v>
      </c>
      <c r="M36" s="476">
        <v>0</v>
      </c>
      <c r="N36" s="476">
        <v>0</v>
      </c>
      <c r="O36" s="476">
        <v>0</v>
      </c>
      <c r="P36" s="476">
        <v>0</v>
      </c>
      <c r="Q36" s="476">
        <v>0</v>
      </c>
      <c r="R36" s="476">
        <v>0</v>
      </c>
      <c r="S36" s="476">
        <v>0</v>
      </c>
      <c r="T36" s="476">
        <v>0</v>
      </c>
      <c r="U36" s="476">
        <v>0</v>
      </c>
      <c r="V36" s="476">
        <v>0</v>
      </c>
      <c r="W36" s="476">
        <v>0</v>
      </c>
      <c r="X36" s="476">
        <v>0</v>
      </c>
      <c r="Y36" s="476">
        <v>0</v>
      </c>
      <c r="Z36" s="476">
        <v>0</v>
      </c>
      <c r="AA36" s="476">
        <v>0</v>
      </c>
      <c r="AB36" s="476">
        <v>0</v>
      </c>
      <c r="AC36" s="476">
        <v>0</v>
      </c>
      <c r="AD36" s="476">
        <v>0</v>
      </c>
      <c r="AE36" s="476">
        <v>0</v>
      </c>
      <c r="AF36" s="476">
        <v>0</v>
      </c>
      <c r="AG36" s="476">
        <v>0</v>
      </c>
      <c r="AH36" s="476">
        <v>0</v>
      </c>
      <c r="AI36" s="476">
        <v>0</v>
      </c>
    </row>
    <row r="37" spans="1:35" x14ac:dyDescent="0.25">
      <c r="A37" s="476">
        <v>21803</v>
      </c>
      <c r="B37" s="476">
        <v>36832</v>
      </c>
      <c r="C37" s="476">
        <v>9</v>
      </c>
      <c r="D37" s="476">
        <v>3039025</v>
      </c>
      <c r="E37" s="476">
        <v>11056</v>
      </c>
      <c r="F37" s="476">
        <v>9015</v>
      </c>
      <c r="G37" s="476">
        <v>11388</v>
      </c>
      <c r="H37" s="476">
        <v>11539</v>
      </c>
      <c r="I37" s="476">
        <v>11388</v>
      </c>
      <c r="J37" s="476">
        <v>3039025</v>
      </c>
      <c r="K37" s="476">
        <v>11056</v>
      </c>
      <c r="L37" s="476">
        <v>3130195</v>
      </c>
      <c r="M37" s="476">
        <v>3297105</v>
      </c>
      <c r="N37" s="476">
        <v>11388</v>
      </c>
      <c r="O37" s="476">
        <v>11142</v>
      </c>
      <c r="P37" s="476">
        <v>2895065</v>
      </c>
      <c r="Q37" s="476">
        <v>3039025</v>
      </c>
      <c r="S37" s="476">
        <v>1</v>
      </c>
      <c r="T37" s="476">
        <v>0</v>
      </c>
      <c r="U37" s="476">
        <v>3039025</v>
      </c>
      <c r="V37" s="476">
        <v>11142</v>
      </c>
    </row>
    <row r="38" spans="1:35" x14ac:dyDescent="0.25">
      <c r="A38" s="476">
        <v>21805</v>
      </c>
      <c r="B38" s="476">
        <v>36832</v>
      </c>
      <c r="C38" s="476">
        <v>9</v>
      </c>
      <c r="D38" s="476">
        <v>6696000</v>
      </c>
      <c r="E38" s="476">
        <v>10550</v>
      </c>
      <c r="F38" s="476">
        <v>9015</v>
      </c>
      <c r="G38" s="476">
        <v>10867</v>
      </c>
      <c r="H38" s="476">
        <v>11539</v>
      </c>
      <c r="I38" s="476">
        <v>10867</v>
      </c>
      <c r="J38" s="476">
        <v>6696000</v>
      </c>
      <c r="K38" s="476">
        <v>10550</v>
      </c>
      <c r="L38" s="476">
        <v>6896880</v>
      </c>
      <c r="M38" s="476">
        <v>7106291</v>
      </c>
      <c r="N38" s="476">
        <v>10867</v>
      </c>
      <c r="O38" s="476">
        <v>10547</v>
      </c>
      <c r="P38" s="476">
        <v>6349556</v>
      </c>
      <c r="Q38" s="476">
        <v>6696000</v>
      </c>
      <c r="S38" s="476">
        <v>1</v>
      </c>
      <c r="T38" s="476">
        <v>0</v>
      </c>
      <c r="U38" s="476">
        <v>6696000</v>
      </c>
      <c r="V38" s="476">
        <v>10547</v>
      </c>
    </row>
    <row r="39" spans="1:35" x14ac:dyDescent="0.25">
      <c r="A39" s="476">
        <v>43801</v>
      </c>
      <c r="B39" s="476">
        <v>36832</v>
      </c>
      <c r="C39" s="476">
        <v>9</v>
      </c>
      <c r="D39" s="476">
        <v>11793333</v>
      </c>
      <c r="E39" s="476">
        <v>8475</v>
      </c>
      <c r="F39" s="476">
        <v>9015</v>
      </c>
      <c r="G39" s="476">
        <v>8729</v>
      </c>
      <c r="H39" s="476">
        <v>11539</v>
      </c>
      <c r="I39" s="476">
        <v>8729</v>
      </c>
      <c r="J39" s="476">
        <v>11793333</v>
      </c>
      <c r="K39" s="476">
        <v>8475</v>
      </c>
      <c r="L39" s="476">
        <v>12255046</v>
      </c>
      <c r="M39" s="476">
        <v>12413578</v>
      </c>
      <c r="N39" s="476">
        <v>8729</v>
      </c>
      <c r="O39" s="476">
        <v>8807</v>
      </c>
      <c r="P39" s="476">
        <v>11135879</v>
      </c>
      <c r="Q39" s="476">
        <v>11793333</v>
      </c>
      <c r="S39" s="476">
        <v>1</v>
      </c>
      <c r="T39" s="476">
        <v>0</v>
      </c>
      <c r="U39" s="476">
        <v>11793333</v>
      </c>
      <c r="V39" s="476">
        <v>8807</v>
      </c>
    </row>
    <row r="40" spans="1:35" x14ac:dyDescent="0.25">
      <c r="A40" s="476">
        <v>43802</v>
      </c>
      <c r="B40" s="476">
        <v>36832</v>
      </c>
      <c r="C40" s="476">
        <v>9</v>
      </c>
      <c r="D40" s="476">
        <v>1681255</v>
      </c>
      <c r="E40" s="476">
        <v>8380</v>
      </c>
      <c r="F40" s="476">
        <v>9015</v>
      </c>
      <c r="G40" s="476">
        <v>8631</v>
      </c>
      <c r="H40" s="476">
        <v>11539</v>
      </c>
      <c r="I40" s="476">
        <v>8631</v>
      </c>
      <c r="J40" s="476">
        <v>1681255</v>
      </c>
      <c r="K40" s="476">
        <v>8380</v>
      </c>
      <c r="L40" s="476">
        <v>1743248</v>
      </c>
      <c r="M40" s="476">
        <v>1767599</v>
      </c>
      <c r="N40" s="476">
        <v>8631</v>
      </c>
      <c r="O40" s="476">
        <v>8689</v>
      </c>
      <c r="P40" s="476">
        <v>1594366</v>
      </c>
      <c r="Q40" s="476">
        <v>1681255</v>
      </c>
      <c r="S40" s="476">
        <v>1</v>
      </c>
      <c r="T40" s="476">
        <v>0</v>
      </c>
      <c r="U40" s="476">
        <v>1681255</v>
      </c>
      <c r="V40" s="476">
        <v>8689</v>
      </c>
    </row>
    <row r="41" spans="1:35" x14ac:dyDescent="0.25">
      <c r="A41" s="476">
        <v>46802</v>
      </c>
      <c r="B41" s="476">
        <v>36832</v>
      </c>
      <c r="C41" s="476">
        <v>9</v>
      </c>
      <c r="D41" s="476">
        <v>7013185</v>
      </c>
      <c r="E41" s="476">
        <v>17699</v>
      </c>
      <c r="F41" s="476">
        <v>9015</v>
      </c>
      <c r="G41" s="476">
        <v>18230</v>
      </c>
      <c r="H41" s="476">
        <v>11539</v>
      </c>
      <c r="I41" s="476">
        <v>11539</v>
      </c>
      <c r="J41" s="476">
        <v>7013185</v>
      </c>
      <c r="K41" s="476">
        <v>17699</v>
      </c>
      <c r="L41" s="476">
        <v>7013185</v>
      </c>
      <c r="M41" s="476">
        <v>6825416</v>
      </c>
      <c r="N41" s="476">
        <v>17699</v>
      </c>
      <c r="O41" s="476">
        <v>11849</v>
      </c>
      <c r="P41" s="476">
        <v>6817138</v>
      </c>
      <c r="Q41" s="476">
        <v>7013185</v>
      </c>
      <c r="S41" s="476">
        <v>1</v>
      </c>
      <c r="T41" s="476">
        <v>0</v>
      </c>
      <c r="U41" s="476">
        <v>7013185</v>
      </c>
      <c r="V41" s="476">
        <v>11849</v>
      </c>
    </row>
    <row r="42" spans="1:35" x14ac:dyDescent="0.25">
      <c r="A42" s="476">
        <v>57802</v>
      </c>
      <c r="B42" s="476">
        <v>36832</v>
      </c>
      <c r="C42" s="476">
        <v>9</v>
      </c>
      <c r="D42" s="476">
        <v>5229593</v>
      </c>
      <c r="E42" s="476">
        <v>10993</v>
      </c>
      <c r="F42" s="476">
        <v>9015</v>
      </c>
      <c r="G42" s="476">
        <v>11323</v>
      </c>
      <c r="H42" s="476">
        <v>11539</v>
      </c>
      <c r="I42" s="476">
        <v>11323</v>
      </c>
      <c r="J42" s="476">
        <v>5229593</v>
      </c>
      <c r="K42" s="476">
        <v>10993</v>
      </c>
      <c r="L42" s="476">
        <v>5386481</v>
      </c>
      <c r="M42" s="476">
        <v>5577470</v>
      </c>
      <c r="N42" s="476">
        <v>11323</v>
      </c>
      <c r="O42" s="476">
        <v>11111</v>
      </c>
      <c r="P42" s="476">
        <v>4953518</v>
      </c>
      <c r="Q42" s="476">
        <v>5229593</v>
      </c>
      <c r="S42" s="476">
        <v>1</v>
      </c>
      <c r="T42" s="476">
        <v>0</v>
      </c>
      <c r="U42" s="476">
        <v>5229593</v>
      </c>
      <c r="V42" s="476">
        <v>11111</v>
      </c>
    </row>
    <row r="43" spans="1:35" x14ac:dyDescent="0.25">
      <c r="A43" s="476">
        <v>57803</v>
      </c>
      <c r="B43" s="476">
        <v>36832</v>
      </c>
      <c r="C43" s="476">
        <v>9</v>
      </c>
      <c r="D43" s="476">
        <v>198938919</v>
      </c>
      <c r="E43" s="476">
        <v>10170</v>
      </c>
      <c r="F43" s="476">
        <v>9015</v>
      </c>
      <c r="G43" s="476">
        <v>10475</v>
      </c>
      <c r="H43" s="476">
        <v>11539</v>
      </c>
      <c r="I43" s="476">
        <v>10475</v>
      </c>
      <c r="J43" s="476">
        <v>198938919</v>
      </c>
      <c r="K43" s="476">
        <v>10170</v>
      </c>
      <c r="L43" s="476">
        <v>205079956</v>
      </c>
      <c r="M43" s="476">
        <v>216534712</v>
      </c>
      <c r="N43" s="476">
        <v>10475</v>
      </c>
      <c r="O43" s="476">
        <v>10484</v>
      </c>
      <c r="P43" s="476">
        <v>189808329</v>
      </c>
      <c r="Q43" s="476">
        <v>198938919</v>
      </c>
      <c r="S43" s="476">
        <v>1</v>
      </c>
      <c r="T43" s="476">
        <v>0</v>
      </c>
      <c r="U43" s="476">
        <v>198938919</v>
      </c>
      <c r="V43" s="476">
        <v>10484</v>
      </c>
    </row>
    <row r="44" spans="1:35" x14ac:dyDescent="0.25">
      <c r="A44" s="476">
        <v>57804</v>
      </c>
      <c r="B44" s="476">
        <v>36832</v>
      </c>
      <c r="C44" s="476">
        <v>9</v>
      </c>
      <c r="D44" s="476">
        <v>49812499</v>
      </c>
      <c r="E44" s="476">
        <v>10715</v>
      </c>
      <c r="F44" s="476">
        <v>9015</v>
      </c>
      <c r="G44" s="476">
        <v>11037</v>
      </c>
      <c r="H44" s="476">
        <v>11539</v>
      </c>
      <c r="I44" s="476">
        <v>11037</v>
      </c>
      <c r="J44" s="476">
        <v>49812499</v>
      </c>
      <c r="K44" s="476">
        <v>10715</v>
      </c>
      <c r="L44" s="476">
        <v>52493945</v>
      </c>
      <c r="M44" s="476">
        <v>52869592</v>
      </c>
      <c r="N44" s="476">
        <v>11037</v>
      </c>
      <c r="O44" s="476">
        <v>11292</v>
      </c>
      <c r="P44" s="476">
        <v>47633574</v>
      </c>
      <c r="Q44" s="476">
        <v>49812499</v>
      </c>
      <c r="S44" s="476">
        <v>1</v>
      </c>
      <c r="T44" s="476">
        <v>0</v>
      </c>
      <c r="U44" s="476">
        <v>49812499</v>
      </c>
      <c r="V44" s="476">
        <v>11292</v>
      </c>
    </row>
    <row r="45" spans="1:35" x14ac:dyDescent="0.25">
      <c r="A45" s="476">
        <v>57805</v>
      </c>
      <c r="B45" s="476">
        <v>36832</v>
      </c>
      <c r="C45" s="476">
        <v>9</v>
      </c>
      <c r="D45" s="476">
        <v>1907752</v>
      </c>
      <c r="E45" s="476">
        <v>10457</v>
      </c>
      <c r="F45" s="476">
        <v>9015</v>
      </c>
      <c r="G45" s="476">
        <v>10770</v>
      </c>
      <c r="H45" s="476">
        <v>11539</v>
      </c>
      <c r="I45" s="476">
        <v>10770</v>
      </c>
      <c r="J45" s="476">
        <v>1907752</v>
      </c>
      <c r="K45" s="476">
        <v>10457</v>
      </c>
      <c r="L45" s="476">
        <v>1964985</v>
      </c>
      <c r="M45" s="476">
        <v>2047599</v>
      </c>
      <c r="N45" s="476">
        <v>10770</v>
      </c>
      <c r="O45" s="476">
        <v>10650</v>
      </c>
      <c r="P45" s="476">
        <v>1806742</v>
      </c>
      <c r="Q45" s="476">
        <v>1907752</v>
      </c>
      <c r="S45" s="476">
        <v>1</v>
      </c>
      <c r="T45" s="476">
        <v>0</v>
      </c>
      <c r="U45" s="476">
        <v>1907752</v>
      </c>
      <c r="V45" s="476">
        <v>10650</v>
      </c>
    </row>
    <row r="46" spans="1:35" x14ac:dyDescent="0.25">
      <c r="A46" s="476">
        <v>57806</v>
      </c>
      <c r="B46" s="476">
        <v>36832</v>
      </c>
      <c r="C46" s="476">
        <v>9</v>
      </c>
      <c r="D46" s="476">
        <v>11380024</v>
      </c>
      <c r="E46" s="476">
        <v>10385</v>
      </c>
      <c r="F46" s="476">
        <v>9015</v>
      </c>
      <c r="G46" s="476">
        <v>10697</v>
      </c>
      <c r="H46" s="476">
        <v>11539</v>
      </c>
      <c r="I46" s="476">
        <v>10697</v>
      </c>
      <c r="J46" s="476">
        <v>11380024</v>
      </c>
      <c r="K46" s="476">
        <v>10385</v>
      </c>
      <c r="L46" s="476">
        <v>11732549</v>
      </c>
      <c r="M46" s="476">
        <v>12305030</v>
      </c>
      <c r="N46" s="476">
        <v>10697</v>
      </c>
      <c r="O46" s="476">
        <v>10707</v>
      </c>
      <c r="P46" s="476">
        <v>10793674</v>
      </c>
      <c r="Q46" s="476">
        <v>11380024</v>
      </c>
      <c r="S46" s="476">
        <v>1</v>
      </c>
      <c r="T46" s="476">
        <v>0</v>
      </c>
      <c r="U46" s="476">
        <v>11380024</v>
      </c>
      <c r="V46" s="476">
        <v>10707</v>
      </c>
    </row>
    <row r="47" spans="1:35" x14ac:dyDescent="0.25">
      <c r="A47" s="476">
        <v>57807</v>
      </c>
      <c r="B47" s="476">
        <v>36832</v>
      </c>
      <c r="C47" s="476">
        <v>9</v>
      </c>
      <c r="D47" s="476">
        <v>53775875</v>
      </c>
      <c r="E47" s="476">
        <v>10252</v>
      </c>
      <c r="F47" s="476">
        <v>9015</v>
      </c>
      <c r="G47" s="476">
        <v>10559</v>
      </c>
      <c r="H47" s="476">
        <v>11539</v>
      </c>
      <c r="I47" s="476">
        <v>10559</v>
      </c>
      <c r="J47" s="476">
        <v>53775875</v>
      </c>
      <c r="K47" s="476">
        <v>10252</v>
      </c>
      <c r="L47" s="476">
        <v>55389130</v>
      </c>
      <c r="M47" s="476">
        <v>55833500</v>
      </c>
      <c r="N47" s="476">
        <v>10559</v>
      </c>
      <c r="O47" s="476">
        <v>10502</v>
      </c>
      <c r="P47" s="476">
        <v>51194460</v>
      </c>
      <c r="Q47" s="476">
        <v>53775875</v>
      </c>
      <c r="S47" s="476">
        <v>1</v>
      </c>
      <c r="T47" s="476">
        <v>0</v>
      </c>
      <c r="U47" s="476">
        <v>53775875</v>
      </c>
      <c r="V47" s="476">
        <v>10502</v>
      </c>
    </row>
    <row r="48" spans="1:35" x14ac:dyDescent="0.25">
      <c r="A48" s="476">
        <v>57808</v>
      </c>
      <c r="B48" s="476">
        <v>36832</v>
      </c>
      <c r="C48" s="476">
        <v>9</v>
      </c>
      <c r="D48" s="476">
        <v>19945275</v>
      </c>
      <c r="E48" s="476">
        <v>9098</v>
      </c>
      <c r="F48" s="476">
        <v>9015</v>
      </c>
      <c r="G48" s="476">
        <v>9371</v>
      </c>
      <c r="H48" s="476">
        <v>11539</v>
      </c>
      <c r="I48" s="476">
        <v>9371</v>
      </c>
      <c r="J48" s="476">
        <v>19945275</v>
      </c>
      <c r="K48" s="476">
        <v>9098</v>
      </c>
      <c r="L48" s="476">
        <v>20543633</v>
      </c>
      <c r="M48" s="476">
        <v>21174412</v>
      </c>
      <c r="N48" s="476">
        <v>9371</v>
      </c>
      <c r="O48" s="476">
        <v>9324</v>
      </c>
      <c r="P48" s="476">
        <v>18970545</v>
      </c>
      <c r="Q48" s="476">
        <v>19945275</v>
      </c>
      <c r="S48" s="476">
        <v>1</v>
      </c>
      <c r="T48" s="476">
        <v>0</v>
      </c>
      <c r="U48" s="476">
        <v>19945275</v>
      </c>
      <c r="V48" s="476">
        <v>9324</v>
      </c>
    </row>
    <row r="49" spans="1:22" x14ac:dyDescent="0.25">
      <c r="A49" s="476">
        <v>57809</v>
      </c>
      <c r="B49" s="476">
        <v>36832</v>
      </c>
      <c r="C49" s="476">
        <v>9</v>
      </c>
      <c r="D49" s="476">
        <v>910068</v>
      </c>
      <c r="E49" s="476">
        <v>10200</v>
      </c>
      <c r="F49" s="476">
        <v>9015</v>
      </c>
      <c r="G49" s="476">
        <v>10506</v>
      </c>
      <c r="H49" s="476">
        <v>11539</v>
      </c>
      <c r="I49" s="476">
        <v>10506</v>
      </c>
      <c r="J49" s="476">
        <v>910068</v>
      </c>
      <c r="K49" s="476">
        <v>10200</v>
      </c>
      <c r="L49" s="476">
        <v>952534</v>
      </c>
      <c r="M49" s="476">
        <v>1101344</v>
      </c>
      <c r="N49" s="476">
        <v>10506</v>
      </c>
      <c r="O49" s="476">
        <v>10676</v>
      </c>
      <c r="P49" s="476">
        <v>862724</v>
      </c>
      <c r="Q49" s="476">
        <v>910068</v>
      </c>
      <c r="S49" s="476">
        <v>1</v>
      </c>
      <c r="T49" s="476">
        <v>0</v>
      </c>
      <c r="U49" s="476">
        <v>910068</v>
      </c>
      <c r="V49" s="476">
        <v>10676</v>
      </c>
    </row>
    <row r="50" spans="1:22" x14ac:dyDescent="0.25">
      <c r="A50" s="476">
        <v>57810</v>
      </c>
      <c r="B50" s="476">
        <v>36832</v>
      </c>
      <c r="C50" s="476">
        <v>9</v>
      </c>
      <c r="D50" s="476">
        <v>2973858</v>
      </c>
      <c r="E50" s="476">
        <v>11082</v>
      </c>
      <c r="F50" s="476">
        <v>9015</v>
      </c>
      <c r="G50" s="476">
        <v>11414</v>
      </c>
      <c r="H50" s="476">
        <v>11539</v>
      </c>
      <c r="I50" s="476">
        <v>11414</v>
      </c>
      <c r="J50" s="476">
        <v>2973858</v>
      </c>
      <c r="K50" s="476">
        <v>11082</v>
      </c>
      <c r="L50" s="476">
        <v>3063074</v>
      </c>
      <c r="M50" s="476">
        <v>3320083</v>
      </c>
      <c r="N50" s="476">
        <v>11414</v>
      </c>
      <c r="O50" s="476">
        <v>10787</v>
      </c>
      <c r="P50" s="476">
        <v>2795496</v>
      </c>
      <c r="Q50" s="476">
        <v>2973858</v>
      </c>
      <c r="S50" s="476">
        <v>1</v>
      </c>
      <c r="T50" s="476">
        <v>0</v>
      </c>
      <c r="U50" s="476">
        <v>2973858</v>
      </c>
      <c r="V50" s="476">
        <v>10787</v>
      </c>
    </row>
    <row r="51" spans="1:22" x14ac:dyDescent="0.25">
      <c r="A51" s="476">
        <v>57813</v>
      </c>
      <c r="B51" s="476">
        <v>36832</v>
      </c>
      <c r="C51" s="476">
        <v>9</v>
      </c>
      <c r="D51" s="476">
        <v>38242493</v>
      </c>
      <c r="E51" s="476">
        <v>10576</v>
      </c>
      <c r="F51" s="476">
        <v>9015</v>
      </c>
      <c r="G51" s="476">
        <v>10893</v>
      </c>
      <c r="H51" s="476">
        <v>11539</v>
      </c>
      <c r="I51" s="476">
        <v>10893</v>
      </c>
      <c r="J51" s="476">
        <v>38242493</v>
      </c>
      <c r="K51" s="476">
        <v>10576</v>
      </c>
      <c r="L51" s="476">
        <v>39389768</v>
      </c>
      <c r="M51" s="476">
        <v>41931597</v>
      </c>
      <c r="N51" s="476">
        <v>10893</v>
      </c>
      <c r="O51" s="476">
        <v>10840</v>
      </c>
      <c r="P51" s="476">
        <v>36620348</v>
      </c>
      <c r="Q51" s="476">
        <v>38242493</v>
      </c>
      <c r="S51" s="476">
        <v>1</v>
      </c>
      <c r="T51" s="476">
        <v>0</v>
      </c>
      <c r="U51" s="476">
        <v>38242493</v>
      </c>
      <c r="V51" s="476">
        <v>10840</v>
      </c>
    </row>
    <row r="52" spans="1:22" x14ac:dyDescent="0.25">
      <c r="A52" s="476">
        <v>57814</v>
      </c>
      <c r="B52" s="476">
        <v>36832</v>
      </c>
      <c r="C52" s="476">
        <v>9</v>
      </c>
      <c r="D52" s="476">
        <v>4458492</v>
      </c>
      <c r="E52" s="476">
        <v>16569</v>
      </c>
      <c r="F52" s="476">
        <v>9015</v>
      </c>
      <c r="G52" s="476">
        <v>17066</v>
      </c>
      <c r="H52" s="476">
        <v>11539</v>
      </c>
      <c r="I52" s="476">
        <v>11539</v>
      </c>
      <c r="J52" s="476">
        <v>4458492</v>
      </c>
      <c r="K52" s="476">
        <v>16569</v>
      </c>
      <c r="L52" s="476">
        <v>4458492</v>
      </c>
      <c r="M52" s="476">
        <v>4593544</v>
      </c>
      <c r="N52" s="476">
        <v>16569</v>
      </c>
      <c r="O52" s="476">
        <v>11849</v>
      </c>
      <c r="P52" s="476">
        <v>4242358</v>
      </c>
      <c r="Q52" s="476">
        <v>4458492</v>
      </c>
      <c r="S52" s="476">
        <v>1</v>
      </c>
      <c r="T52" s="476">
        <v>0</v>
      </c>
      <c r="U52" s="476">
        <v>4458492</v>
      </c>
      <c r="V52" s="476">
        <v>11849</v>
      </c>
    </row>
    <row r="53" spans="1:22" x14ac:dyDescent="0.25">
      <c r="A53" s="476">
        <v>57816</v>
      </c>
      <c r="B53" s="476">
        <v>36832</v>
      </c>
      <c r="C53" s="476">
        <v>9</v>
      </c>
      <c r="D53" s="476">
        <v>11162209</v>
      </c>
      <c r="E53" s="476">
        <v>10355</v>
      </c>
      <c r="F53" s="476">
        <v>9015</v>
      </c>
      <c r="G53" s="476">
        <v>10666</v>
      </c>
      <c r="H53" s="476">
        <v>11539</v>
      </c>
      <c r="I53" s="476">
        <v>10666</v>
      </c>
      <c r="J53" s="476">
        <v>11162209</v>
      </c>
      <c r="K53" s="476">
        <v>10355</v>
      </c>
      <c r="L53" s="476">
        <v>11499645</v>
      </c>
      <c r="M53" s="476">
        <v>12202203</v>
      </c>
      <c r="N53" s="476">
        <v>10666</v>
      </c>
      <c r="O53" s="476">
        <v>10668</v>
      </c>
      <c r="P53" s="476">
        <v>10494897</v>
      </c>
      <c r="Q53" s="476">
        <v>11162209</v>
      </c>
      <c r="S53" s="476">
        <v>1</v>
      </c>
      <c r="T53" s="476">
        <v>0</v>
      </c>
      <c r="U53" s="476">
        <v>11162209</v>
      </c>
      <c r="V53" s="476">
        <v>10668</v>
      </c>
    </row>
    <row r="54" spans="1:22" x14ac:dyDescent="0.25">
      <c r="A54" s="476">
        <v>57819</v>
      </c>
      <c r="B54" s="476">
        <v>36832</v>
      </c>
      <c r="C54" s="476">
        <v>9</v>
      </c>
      <c r="D54" s="476">
        <v>1957168</v>
      </c>
      <c r="E54" s="476">
        <v>10746</v>
      </c>
      <c r="F54" s="476">
        <v>9015</v>
      </c>
      <c r="G54" s="476">
        <v>11069</v>
      </c>
      <c r="H54" s="476">
        <v>11539</v>
      </c>
      <c r="I54" s="476">
        <v>11069</v>
      </c>
      <c r="J54" s="476">
        <v>1957168</v>
      </c>
      <c r="K54" s="476">
        <v>10746</v>
      </c>
      <c r="L54" s="476">
        <v>2015883</v>
      </c>
      <c r="M54" s="476">
        <v>2042564</v>
      </c>
      <c r="N54" s="476">
        <v>11069</v>
      </c>
      <c r="O54" s="476">
        <v>10896</v>
      </c>
      <c r="P54" s="476">
        <v>1864199</v>
      </c>
      <c r="Q54" s="476">
        <v>1957168</v>
      </c>
      <c r="S54" s="476">
        <v>1</v>
      </c>
      <c r="T54" s="476">
        <v>0</v>
      </c>
      <c r="U54" s="476">
        <v>1957168</v>
      </c>
      <c r="V54" s="476">
        <v>10896</v>
      </c>
    </row>
    <row r="55" spans="1:22" x14ac:dyDescent="0.25">
      <c r="A55" s="476">
        <v>57827</v>
      </c>
      <c r="B55" s="476">
        <v>36832</v>
      </c>
      <c r="C55" s="476">
        <v>9</v>
      </c>
      <c r="D55" s="476">
        <v>5560622</v>
      </c>
      <c r="E55" s="476">
        <v>10437</v>
      </c>
      <c r="F55" s="476">
        <v>9015</v>
      </c>
      <c r="G55" s="476">
        <v>10750</v>
      </c>
      <c r="H55" s="476">
        <v>11539</v>
      </c>
      <c r="I55" s="476">
        <v>10750</v>
      </c>
      <c r="J55" s="476">
        <v>5560622</v>
      </c>
      <c r="K55" s="476">
        <v>10437</v>
      </c>
      <c r="L55" s="476">
        <v>5727440</v>
      </c>
      <c r="M55" s="476">
        <v>5961032</v>
      </c>
      <c r="N55" s="476">
        <v>10750</v>
      </c>
      <c r="O55" s="476">
        <v>10585</v>
      </c>
      <c r="P55" s="476">
        <v>5286432</v>
      </c>
      <c r="Q55" s="476">
        <v>5560622</v>
      </c>
      <c r="S55" s="476">
        <v>1</v>
      </c>
      <c r="T55" s="476">
        <v>0</v>
      </c>
      <c r="U55" s="476">
        <v>5560622</v>
      </c>
      <c r="V55" s="476">
        <v>10585</v>
      </c>
    </row>
    <row r="56" spans="1:22" x14ac:dyDescent="0.25">
      <c r="A56" s="476">
        <v>57828</v>
      </c>
      <c r="B56" s="476">
        <v>36832</v>
      </c>
      <c r="C56" s="476">
        <v>9</v>
      </c>
      <c r="D56" s="476">
        <v>9886290</v>
      </c>
      <c r="E56" s="476">
        <v>10657</v>
      </c>
      <c r="F56" s="476">
        <v>9015</v>
      </c>
      <c r="G56" s="476">
        <v>10976</v>
      </c>
      <c r="H56" s="476">
        <v>11539</v>
      </c>
      <c r="I56" s="476">
        <v>10976</v>
      </c>
      <c r="J56" s="476">
        <v>9886290</v>
      </c>
      <c r="K56" s="476">
        <v>10657</v>
      </c>
      <c r="L56" s="476">
        <v>10200989</v>
      </c>
      <c r="M56" s="476">
        <v>10301914</v>
      </c>
      <c r="N56" s="476">
        <v>10976</v>
      </c>
      <c r="O56" s="476">
        <v>10996</v>
      </c>
      <c r="P56" s="476">
        <v>9397532</v>
      </c>
      <c r="Q56" s="476">
        <v>9886290</v>
      </c>
      <c r="S56" s="476">
        <v>1</v>
      </c>
      <c r="T56" s="476">
        <v>0</v>
      </c>
      <c r="U56" s="476">
        <v>9886290</v>
      </c>
      <c r="V56" s="476">
        <v>10996</v>
      </c>
    </row>
    <row r="57" spans="1:22" x14ac:dyDescent="0.25">
      <c r="A57" s="476">
        <v>57829</v>
      </c>
      <c r="B57" s="476">
        <v>36832</v>
      </c>
      <c r="C57" s="476">
        <v>9</v>
      </c>
      <c r="D57" s="476">
        <v>13840100</v>
      </c>
      <c r="E57" s="476">
        <v>10720</v>
      </c>
      <c r="F57" s="476">
        <v>9015</v>
      </c>
      <c r="G57" s="476">
        <v>11042</v>
      </c>
      <c r="H57" s="476">
        <v>11539</v>
      </c>
      <c r="I57" s="476">
        <v>11042</v>
      </c>
      <c r="J57" s="476">
        <v>13840100</v>
      </c>
      <c r="K57" s="476">
        <v>10720</v>
      </c>
      <c r="L57" s="476">
        <v>14255336</v>
      </c>
      <c r="M57" s="476">
        <v>14805035</v>
      </c>
      <c r="N57" s="476">
        <v>11042</v>
      </c>
      <c r="O57" s="476">
        <v>11036</v>
      </c>
      <c r="P57" s="476">
        <v>13216816</v>
      </c>
      <c r="Q57" s="476">
        <v>13840100</v>
      </c>
      <c r="S57" s="476">
        <v>1</v>
      </c>
      <c r="T57" s="476">
        <v>0</v>
      </c>
      <c r="U57" s="476">
        <v>13840100</v>
      </c>
      <c r="V57" s="476">
        <v>11036</v>
      </c>
    </row>
    <row r="58" spans="1:22" x14ac:dyDescent="0.25">
      <c r="A58" s="476">
        <v>57830</v>
      </c>
      <c r="B58" s="476">
        <v>36832</v>
      </c>
      <c r="C58" s="476">
        <v>9</v>
      </c>
      <c r="D58" s="476">
        <v>12203931</v>
      </c>
      <c r="E58" s="476">
        <v>10820</v>
      </c>
      <c r="F58" s="476">
        <v>9015</v>
      </c>
      <c r="G58" s="476">
        <v>11145</v>
      </c>
      <c r="H58" s="476">
        <v>11539</v>
      </c>
      <c r="I58" s="476">
        <v>11145</v>
      </c>
      <c r="J58" s="476">
        <v>12203931</v>
      </c>
      <c r="K58" s="476">
        <v>10820</v>
      </c>
      <c r="L58" s="476">
        <v>12570082</v>
      </c>
      <c r="M58" s="476">
        <v>13019275</v>
      </c>
      <c r="N58" s="476">
        <v>11145</v>
      </c>
      <c r="O58" s="476">
        <v>11020</v>
      </c>
      <c r="P58" s="476">
        <v>11618700</v>
      </c>
      <c r="Q58" s="476">
        <v>12203931</v>
      </c>
      <c r="S58" s="476">
        <v>1</v>
      </c>
      <c r="T58" s="476">
        <v>0</v>
      </c>
      <c r="U58" s="476">
        <v>12203931</v>
      </c>
      <c r="V58" s="476">
        <v>11020</v>
      </c>
    </row>
    <row r="59" spans="1:22" x14ac:dyDescent="0.25">
      <c r="A59" s="476">
        <v>57831</v>
      </c>
      <c r="B59" s="476">
        <v>36832</v>
      </c>
      <c r="C59" s="476">
        <v>9</v>
      </c>
      <c r="D59" s="476">
        <v>6669222</v>
      </c>
      <c r="E59" s="476">
        <v>10585</v>
      </c>
      <c r="F59" s="476">
        <v>9015</v>
      </c>
      <c r="G59" s="476">
        <v>10903</v>
      </c>
      <c r="H59" s="476">
        <v>11539</v>
      </c>
      <c r="I59" s="476">
        <v>10903</v>
      </c>
      <c r="J59" s="476">
        <v>6669222</v>
      </c>
      <c r="K59" s="476">
        <v>10585</v>
      </c>
      <c r="L59" s="476">
        <v>6869299</v>
      </c>
      <c r="M59" s="476">
        <v>7112001</v>
      </c>
      <c r="N59" s="476">
        <v>10903</v>
      </c>
      <c r="O59" s="476">
        <v>10722</v>
      </c>
      <c r="P59" s="476">
        <v>6357813</v>
      </c>
      <c r="Q59" s="476">
        <v>6669222</v>
      </c>
      <c r="S59" s="476">
        <v>1</v>
      </c>
      <c r="T59" s="476">
        <v>0</v>
      </c>
      <c r="U59" s="476">
        <v>6669222</v>
      </c>
      <c r="V59" s="476">
        <v>10722</v>
      </c>
    </row>
    <row r="60" spans="1:22" x14ac:dyDescent="0.25">
      <c r="A60" s="476">
        <v>57833</v>
      </c>
      <c r="B60" s="476">
        <v>36832</v>
      </c>
      <c r="C60" s="476">
        <v>9</v>
      </c>
      <c r="D60" s="476">
        <v>5024758</v>
      </c>
      <c r="E60" s="476">
        <v>10187</v>
      </c>
      <c r="F60" s="476">
        <v>9015</v>
      </c>
      <c r="G60" s="476">
        <v>10493</v>
      </c>
      <c r="H60" s="476">
        <v>11539</v>
      </c>
      <c r="I60" s="476">
        <v>10493</v>
      </c>
      <c r="J60" s="476">
        <v>5024758</v>
      </c>
      <c r="K60" s="476">
        <v>10187</v>
      </c>
      <c r="L60" s="476">
        <v>5175501</v>
      </c>
      <c r="M60" s="476">
        <v>5215604</v>
      </c>
      <c r="N60" s="476">
        <v>10493</v>
      </c>
      <c r="O60" s="476">
        <v>9862</v>
      </c>
      <c r="P60" s="476">
        <v>4749572</v>
      </c>
      <c r="Q60" s="476">
        <v>5024758</v>
      </c>
      <c r="S60" s="476">
        <v>1</v>
      </c>
      <c r="T60" s="476">
        <v>0</v>
      </c>
      <c r="U60" s="476">
        <v>5024758</v>
      </c>
      <c r="V60" s="476">
        <v>9862</v>
      </c>
    </row>
    <row r="61" spans="1:22" x14ac:dyDescent="0.25">
      <c r="A61" s="476">
        <v>57834</v>
      </c>
      <c r="B61" s="476">
        <v>36832</v>
      </c>
      <c r="C61" s="476">
        <v>9</v>
      </c>
      <c r="D61" s="476">
        <v>5945475</v>
      </c>
      <c r="E61" s="476">
        <v>11037</v>
      </c>
      <c r="F61" s="476">
        <v>9015</v>
      </c>
      <c r="G61" s="476">
        <v>11368</v>
      </c>
      <c r="H61" s="476">
        <v>11539</v>
      </c>
      <c r="I61" s="476">
        <v>11368</v>
      </c>
      <c r="J61" s="476">
        <v>5945475</v>
      </c>
      <c r="K61" s="476">
        <v>11037</v>
      </c>
      <c r="L61" s="476">
        <v>6383033</v>
      </c>
      <c r="M61" s="476">
        <v>6185271</v>
      </c>
      <c r="N61" s="476">
        <v>11368</v>
      </c>
      <c r="O61" s="476">
        <v>11849</v>
      </c>
      <c r="P61" s="476">
        <v>5732539</v>
      </c>
      <c r="Q61" s="476">
        <v>5945475</v>
      </c>
      <c r="S61" s="476">
        <v>1</v>
      </c>
      <c r="T61" s="476">
        <v>0</v>
      </c>
      <c r="U61" s="476">
        <v>5945475</v>
      </c>
      <c r="V61" s="476">
        <v>11849</v>
      </c>
    </row>
    <row r="62" spans="1:22" x14ac:dyDescent="0.25">
      <c r="A62" s="476">
        <v>57835</v>
      </c>
      <c r="B62" s="476">
        <v>36832</v>
      </c>
      <c r="C62" s="476">
        <v>9</v>
      </c>
      <c r="D62" s="476">
        <v>14305543</v>
      </c>
      <c r="E62" s="476">
        <v>10524</v>
      </c>
      <c r="F62" s="476">
        <v>9015</v>
      </c>
      <c r="G62" s="476">
        <v>10839</v>
      </c>
      <c r="H62" s="476">
        <v>11539</v>
      </c>
      <c r="I62" s="476">
        <v>10839</v>
      </c>
      <c r="J62" s="476">
        <v>14305543</v>
      </c>
      <c r="K62" s="476">
        <v>10524</v>
      </c>
      <c r="L62" s="476">
        <v>14921717</v>
      </c>
      <c r="M62" s="476">
        <v>15926742</v>
      </c>
      <c r="N62" s="476">
        <v>10839</v>
      </c>
      <c r="O62" s="476">
        <v>10977</v>
      </c>
      <c r="P62" s="476">
        <v>13657965</v>
      </c>
      <c r="Q62" s="476">
        <v>14305543</v>
      </c>
      <c r="S62" s="476">
        <v>1</v>
      </c>
      <c r="T62" s="476">
        <v>0</v>
      </c>
      <c r="U62" s="476">
        <v>14305543</v>
      </c>
      <c r="V62" s="476">
        <v>10977</v>
      </c>
    </row>
    <row r="63" spans="1:22" x14ac:dyDescent="0.25">
      <c r="A63" s="476">
        <v>57836</v>
      </c>
      <c r="B63" s="476">
        <v>36832</v>
      </c>
      <c r="C63" s="476">
        <v>9</v>
      </c>
      <c r="D63" s="476">
        <v>3069570</v>
      </c>
      <c r="E63" s="476">
        <v>9878</v>
      </c>
      <c r="F63" s="476">
        <v>9015</v>
      </c>
      <c r="G63" s="476">
        <v>10174</v>
      </c>
      <c r="H63" s="476">
        <v>11539</v>
      </c>
      <c r="I63" s="476">
        <v>10174</v>
      </c>
      <c r="J63" s="476">
        <v>3069570</v>
      </c>
      <c r="K63" s="476">
        <v>9878</v>
      </c>
      <c r="L63" s="476">
        <v>3185778</v>
      </c>
      <c r="M63" s="476">
        <v>3389414</v>
      </c>
      <c r="N63" s="476">
        <v>10174</v>
      </c>
      <c r="O63" s="476">
        <v>10252</v>
      </c>
      <c r="P63" s="476">
        <v>2925224</v>
      </c>
      <c r="Q63" s="476">
        <v>3069570</v>
      </c>
      <c r="S63" s="476">
        <v>1</v>
      </c>
      <c r="T63" s="476">
        <v>0</v>
      </c>
      <c r="U63" s="476">
        <v>3069570</v>
      </c>
      <c r="V63" s="476">
        <v>10252</v>
      </c>
    </row>
    <row r="64" spans="1:22" x14ac:dyDescent="0.25">
      <c r="A64" s="476">
        <v>57839</v>
      </c>
      <c r="B64" s="476">
        <v>36832</v>
      </c>
      <c r="C64" s="476">
        <v>9</v>
      </c>
      <c r="D64" s="476">
        <v>9857433</v>
      </c>
      <c r="E64" s="476">
        <v>11186</v>
      </c>
      <c r="F64" s="476">
        <v>9015</v>
      </c>
      <c r="G64" s="476">
        <v>11522</v>
      </c>
      <c r="H64" s="476">
        <v>11539</v>
      </c>
      <c r="I64" s="476">
        <v>11522</v>
      </c>
      <c r="J64" s="476">
        <v>9857433</v>
      </c>
      <c r="K64" s="476">
        <v>11186</v>
      </c>
      <c r="L64" s="476">
        <v>10153156</v>
      </c>
      <c r="M64" s="476">
        <v>10658416</v>
      </c>
      <c r="N64" s="476">
        <v>11522</v>
      </c>
      <c r="O64" s="476">
        <v>11257</v>
      </c>
      <c r="P64" s="476">
        <v>9402426</v>
      </c>
      <c r="Q64" s="476">
        <v>9857433</v>
      </c>
      <c r="S64" s="476">
        <v>1</v>
      </c>
      <c r="T64" s="476">
        <v>0</v>
      </c>
      <c r="U64" s="476">
        <v>9857433</v>
      </c>
      <c r="V64" s="476">
        <v>11257</v>
      </c>
    </row>
    <row r="65" spans="1:22" x14ac:dyDescent="0.25">
      <c r="A65" s="476">
        <v>57840</v>
      </c>
      <c r="B65" s="476">
        <v>36832</v>
      </c>
      <c r="C65" s="476">
        <v>9</v>
      </c>
      <c r="D65" s="476">
        <v>4220094</v>
      </c>
      <c r="E65" s="476">
        <v>9230</v>
      </c>
      <c r="F65" s="476">
        <v>9015</v>
      </c>
      <c r="G65" s="476">
        <v>9507</v>
      </c>
      <c r="H65" s="476">
        <v>11539</v>
      </c>
      <c r="I65" s="476">
        <v>9507</v>
      </c>
      <c r="J65" s="476">
        <v>4220094</v>
      </c>
      <c r="K65" s="476">
        <v>9230</v>
      </c>
      <c r="L65" s="476">
        <v>4346697</v>
      </c>
      <c r="M65" s="476">
        <v>4539377</v>
      </c>
      <c r="N65" s="476">
        <v>9507</v>
      </c>
      <c r="O65" s="476">
        <v>9180</v>
      </c>
      <c r="P65" s="476">
        <v>3972793</v>
      </c>
      <c r="Q65" s="476">
        <v>4220094</v>
      </c>
      <c r="S65" s="476">
        <v>1</v>
      </c>
      <c r="T65" s="476">
        <v>0</v>
      </c>
      <c r="U65" s="476">
        <v>4220094</v>
      </c>
      <c r="V65" s="476">
        <v>9180</v>
      </c>
    </row>
    <row r="66" spans="1:22" x14ac:dyDescent="0.25">
      <c r="A66" s="476">
        <v>57841</v>
      </c>
      <c r="B66" s="476">
        <v>36832</v>
      </c>
      <c r="C66" s="476">
        <v>9</v>
      </c>
      <c r="D66" s="476">
        <v>10502582</v>
      </c>
      <c r="E66" s="476">
        <v>10501</v>
      </c>
      <c r="F66" s="476">
        <v>9015</v>
      </c>
      <c r="G66" s="476">
        <v>10816</v>
      </c>
      <c r="H66" s="476">
        <v>11539</v>
      </c>
      <c r="I66" s="476">
        <v>10816</v>
      </c>
      <c r="J66" s="476">
        <v>10502582</v>
      </c>
      <c r="K66" s="476">
        <v>10501</v>
      </c>
      <c r="L66" s="476">
        <v>10817692</v>
      </c>
      <c r="M66" s="476">
        <v>11658795</v>
      </c>
      <c r="N66" s="476">
        <v>10816</v>
      </c>
      <c r="O66" s="476">
        <v>10534</v>
      </c>
      <c r="P66" s="476">
        <v>10049171</v>
      </c>
      <c r="Q66" s="476">
        <v>10502582</v>
      </c>
      <c r="S66" s="476">
        <v>1</v>
      </c>
      <c r="T66" s="476">
        <v>0</v>
      </c>
      <c r="U66" s="476">
        <v>10502582</v>
      </c>
      <c r="V66" s="476">
        <v>10534</v>
      </c>
    </row>
    <row r="67" spans="1:22" x14ac:dyDescent="0.25">
      <c r="A67" s="476">
        <v>57844</v>
      </c>
      <c r="B67" s="476">
        <v>36832</v>
      </c>
      <c r="C67" s="476">
        <v>9</v>
      </c>
      <c r="D67" s="476">
        <v>6242007</v>
      </c>
      <c r="E67" s="476">
        <v>10434</v>
      </c>
      <c r="F67" s="476">
        <v>9015</v>
      </c>
      <c r="G67" s="476">
        <v>10747</v>
      </c>
      <c r="H67" s="476">
        <v>11539</v>
      </c>
      <c r="I67" s="476">
        <v>10747</v>
      </c>
      <c r="J67" s="476">
        <v>6242007</v>
      </c>
      <c r="K67" s="476">
        <v>10434</v>
      </c>
      <c r="L67" s="476">
        <v>6429267</v>
      </c>
      <c r="M67" s="476">
        <v>6433527</v>
      </c>
      <c r="N67" s="476">
        <v>10747</v>
      </c>
      <c r="O67" s="476">
        <v>10424</v>
      </c>
      <c r="P67" s="476">
        <v>5909004</v>
      </c>
      <c r="Q67" s="476">
        <v>6242007</v>
      </c>
      <c r="S67" s="476">
        <v>1</v>
      </c>
      <c r="T67" s="476">
        <v>0</v>
      </c>
      <c r="U67" s="476">
        <v>6242007</v>
      </c>
      <c r="V67" s="476">
        <v>10424</v>
      </c>
    </row>
    <row r="68" spans="1:22" x14ac:dyDescent="0.25">
      <c r="A68" s="476">
        <v>57845</v>
      </c>
      <c r="B68" s="476">
        <v>36832</v>
      </c>
      <c r="C68" s="476">
        <v>9</v>
      </c>
      <c r="D68" s="476">
        <v>11016478</v>
      </c>
      <c r="E68" s="476">
        <v>8984</v>
      </c>
      <c r="F68" s="476">
        <v>9015</v>
      </c>
      <c r="G68" s="476">
        <v>9254</v>
      </c>
      <c r="H68" s="476">
        <v>11539</v>
      </c>
      <c r="I68" s="476">
        <v>9254</v>
      </c>
      <c r="J68" s="476">
        <v>11016478</v>
      </c>
      <c r="K68" s="476">
        <v>8984</v>
      </c>
      <c r="L68" s="476">
        <v>11346972</v>
      </c>
      <c r="M68" s="476">
        <v>11540582</v>
      </c>
      <c r="N68" s="476">
        <v>9254</v>
      </c>
      <c r="O68" s="476">
        <v>9028</v>
      </c>
      <c r="P68" s="476">
        <v>10457502</v>
      </c>
      <c r="Q68" s="476">
        <v>11016478</v>
      </c>
      <c r="S68" s="476">
        <v>1</v>
      </c>
      <c r="T68" s="476">
        <v>0</v>
      </c>
      <c r="U68" s="476">
        <v>11016478</v>
      </c>
      <c r="V68" s="476">
        <v>9028</v>
      </c>
    </row>
    <row r="69" spans="1:22" x14ac:dyDescent="0.25">
      <c r="A69" s="476">
        <v>57846</v>
      </c>
      <c r="B69" s="476">
        <v>36832</v>
      </c>
      <c r="C69" s="476">
        <v>9</v>
      </c>
      <c r="D69" s="476">
        <v>15067086</v>
      </c>
      <c r="E69" s="476">
        <v>10198</v>
      </c>
      <c r="F69" s="476">
        <v>9015</v>
      </c>
      <c r="G69" s="476">
        <v>10504</v>
      </c>
      <c r="H69" s="476">
        <v>11539</v>
      </c>
      <c r="I69" s="476">
        <v>10504</v>
      </c>
      <c r="J69" s="476">
        <v>15067086</v>
      </c>
      <c r="K69" s="476">
        <v>10198</v>
      </c>
      <c r="L69" s="476">
        <v>15600923</v>
      </c>
      <c r="M69" s="476">
        <v>16231521</v>
      </c>
      <c r="N69" s="476">
        <v>10504</v>
      </c>
      <c r="O69" s="476">
        <v>10559</v>
      </c>
      <c r="P69" s="476">
        <v>14335838</v>
      </c>
      <c r="Q69" s="476">
        <v>15067086</v>
      </c>
      <c r="S69" s="476">
        <v>1</v>
      </c>
      <c r="T69" s="476">
        <v>0</v>
      </c>
      <c r="U69" s="476">
        <v>15067086</v>
      </c>
      <c r="V69" s="476">
        <v>10559</v>
      </c>
    </row>
    <row r="70" spans="1:22" x14ac:dyDescent="0.25">
      <c r="A70" s="476">
        <v>57847</v>
      </c>
      <c r="B70" s="476">
        <v>36832</v>
      </c>
      <c r="C70" s="476">
        <v>9</v>
      </c>
      <c r="D70" s="476">
        <v>10622196</v>
      </c>
      <c r="E70" s="476">
        <v>9499</v>
      </c>
      <c r="F70" s="476">
        <v>9015</v>
      </c>
      <c r="G70" s="476">
        <v>9784</v>
      </c>
      <c r="H70" s="476">
        <v>11539</v>
      </c>
      <c r="I70" s="476">
        <v>9784</v>
      </c>
      <c r="J70" s="476">
        <v>10622196</v>
      </c>
      <c r="K70" s="476">
        <v>9499</v>
      </c>
      <c r="L70" s="476">
        <v>10940862</v>
      </c>
      <c r="M70" s="476">
        <v>11121864</v>
      </c>
      <c r="N70" s="476">
        <v>9784</v>
      </c>
      <c r="O70" s="476">
        <v>9627</v>
      </c>
      <c r="P70" s="476">
        <v>10087839</v>
      </c>
      <c r="Q70" s="476">
        <v>10622196</v>
      </c>
      <c r="S70" s="476">
        <v>1</v>
      </c>
      <c r="T70" s="476">
        <v>0</v>
      </c>
      <c r="U70" s="476">
        <v>10622196</v>
      </c>
      <c r="V70" s="476">
        <v>9627</v>
      </c>
    </row>
    <row r="71" spans="1:22" x14ac:dyDescent="0.25">
      <c r="A71" s="476">
        <v>57848</v>
      </c>
      <c r="B71" s="476">
        <v>36832</v>
      </c>
      <c r="C71" s="476">
        <v>9</v>
      </c>
      <c r="D71" s="476">
        <v>192967370</v>
      </c>
      <c r="E71" s="476">
        <v>9807</v>
      </c>
      <c r="F71" s="476">
        <v>9015</v>
      </c>
      <c r="G71" s="476">
        <v>10101</v>
      </c>
      <c r="H71" s="476">
        <v>11539</v>
      </c>
      <c r="I71" s="476">
        <v>10101</v>
      </c>
      <c r="J71" s="476">
        <v>192967370</v>
      </c>
      <c r="K71" s="476">
        <v>9807</v>
      </c>
      <c r="L71" s="476">
        <v>201079263</v>
      </c>
      <c r="M71" s="476">
        <v>203681282</v>
      </c>
      <c r="N71" s="476">
        <v>10101</v>
      </c>
      <c r="O71" s="476">
        <v>10219</v>
      </c>
      <c r="P71" s="476">
        <v>184038472</v>
      </c>
      <c r="Q71" s="476">
        <v>192967370</v>
      </c>
      <c r="S71" s="476">
        <v>1</v>
      </c>
      <c r="T71" s="476">
        <v>0</v>
      </c>
      <c r="U71" s="476">
        <v>192967370</v>
      </c>
      <c r="V71" s="476">
        <v>10219</v>
      </c>
    </row>
    <row r="72" spans="1:22" x14ac:dyDescent="0.25">
      <c r="A72" s="476">
        <v>57850</v>
      </c>
      <c r="B72" s="476">
        <v>36832</v>
      </c>
      <c r="C72" s="476">
        <v>9</v>
      </c>
      <c r="D72" s="476">
        <v>15372190</v>
      </c>
      <c r="E72" s="476">
        <v>9119</v>
      </c>
      <c r="F72" s="476">
        <v>9015</v>
      </c>
      <c r="G72" s="476">
        <v>9393</v>
      </c>
      <c r="H72" s="476">
        <v>11539</v>
      </c>
      <c r="I72" s="476">
        <v>9393</v>
      </c>
      <c r="J72" s="476">
        <v>15372190</v>
      </c>
      <c r="K72" s="476">
        <v>9119</v>
      </c>
      <c r="L72" s="476">
        <v>16056454</v>
      </c>
      <c r="M72" s="476">
        <v>16228532</v>
      </c>
      <c r="N72" s="476">
        <v>9393</v>
      </c>
      <c r="O72" s="476">
        <v>9525</v>
      </c>
      <c r="P72" s="476">
        <v>14795659</v>
      </c>
      <c r="Q72" s="476">
        <v>15372190</v>
      </c>
      <c r="S72" s="476">
        <v>1</v>
      </c>
      <c r="T72" s="476">
        <v>0</v>
      </c>
      <c r="U72" s="476">
        <v>15372190</v>
      </c>
      <c r="V72" s="476">
        <v>9525</v>
      </c>
    </row>
    <row r="73" spans="1:22" x14ac:dyDescent="0.25">
      <c r="A73" s="476">
        <v>57851</v>
      </c>
      <c r="B73" s="476">
        <v>36832</v>
      </c>
      <c r="C73" s="476">
        <v>9</v>
      </c>
      <c r="D73" s="476">
        <v>669281</v>
      </c>
      <c r="E73" s="476">
        <v>9195</v>
      </c>
      <c r="F73" s="476">
        <v>9015</v>
      </c>
      <c r="G73" s="476">
        <v>9471</v>
      </c>
      <c r="H73" s="476">
        <v>11539</v>
      </c>
      <c r="I73" s="476">
        <v>9471</v>
      </c>
      <c r="J73" s="476">
        <v>669281</v>
      </c>
      <c r="K73" s="476">
        <v>9195</v>
      </c>
      <c r="L73" s="476">
        <v>756548</v>
      </c>
      <c r="M73" s="476">
        <v>780401</v>
      </c>
      <c r="N73" s="476">
        <v>9471</v>
      </c>
      <c r="O73" s="476">
        <v>10394</v>
      </c>
      <c r="P73" s="476">
        <v>643577</v>
      </c>
      <c r="Q73" s="476">
        <v>669281</v>
      </c>
      <c r="S73" s="476">
        <v>1</v>
      </c>
      <c r="T73" s="476">
        <v>0</v>
      </c>
      <c r="U73" s="476">
        <v>669281</v>
      </c>
      <c r="V73" s="476">
        <v>10394</v>
      </c>
    </row>
    <row r="74" spans="1:22" x14ac:dyDescent="0.25">
      <c r="A74" s="476">
        <v>61802</v>
      </c>
      <c r="B74" s="476">
        <v>36832</v>
      </c>
      <c r="C74" s="476">
        <v>9</v>
      </c>
      <c r="D74" s="476">
        <v>5960394</v>
      </c>
      <c r="E74" s="476">
        <v>10760</v>
      </c>
      <c r="F74" s="476">
        <v>9015</v>
      </c>
      <c r="G74" s="476">
        <v>11083</v>
      </c>
      <c r="H74" s="476">
        <v>11539</v>
      </c>
      <c r="I74" s="476">
        <v>11083</v>
      </c>
      <c r="J74" s="476">
        <v>5960394</v>
      </c>
      <c r="K74" s="476">
        <v>10760</v>
      </c>
      <c r="L74" s="476">
        <v>6139206</v>
      </c>
      <c r="M74" s="476">
        <v>6232898</v>
      </c>
      <c r="N74" s="476">
        <v>11083</v>
      </c>
      <c r="O74" s="476">
        <v>10805</v>
      </c>
      <c r="P74" s="476">
        <v>5693388</v>
      </c>
      <c r="Q74" s="476">
        <v>5960394</v>
      </c>
      <c r="S74" s="476">
        <v>1</v>
      </c>
      <c r="T74" s="476">
        <v>0</v>
      </c>
      <c r="U74" s="476">
        <v>5960394</v>
      </c>
      <c r="V74" s="476">
        <v>10805</v>
      </c>
    </row>
    <row r="75" spans="1:22" x14ac:dyDescent="0.25">
      <c r="A75" s="476">
        <v>61804</v>
      </c>
      <c r="B75" s="476">
        <v>36832</v>
      </c>
      <c r="C75" s="476">
        <v>9</v>
      </c>
      <c r="D75" s="476">
        <v>11436348</v>
      </c>
      <c r="E75" s="476">
        <v>8656</v>
      </c>
      <c r="F75" s="476">
        <v>9015</v>
      </c>
      <c r="G75" s="476">
        <v>8916</v>
      </c>
      <c r="H75" s="476">
        <v>11539</v>
      </c>
      <c r="I75" s="476">
        <v>8916</v>
      </c>
      <c r="J75" s="476">
        <v>11436348</v>
      </c>
      <c r="K75" s="476">
        <v>8656</v>
      </c>
      <c r="L75" s="476">
        <v>11779421</v>
      </c>
      <c r="M75" s="476">
        <v>11799946</v>
      </c>
      <c r="N75" s="476">
        <v>8916</v>
      </c>
      <c r="O75" s="476">
        <v>8915</v>
      </c>
      <c r="P75" s="476">
        <v>10841250</v>
      </c>
      <c r="Q75" s="476">
        <v>11436348</v>
      </c>
      <c r="S75" s="476">
        <v>1</v>
      </c>
      <c r="T75" s="476">
        <v>0</v>
      </c>
      <c r="U75" s="476">
        <v>11436348</v>
      </c>
      <c r="V75" s="476">
        <v>8915</v>
      </c>
    </row>
    <row r="76" spans="1:22" x14ac:dyDescent="0.25">
      <c r="A76" s="476">
        <v>61805</v>
      </c>
      <c r="B76" s="476">
        <v>36832</v>
      </c>
      <c r="C76" s="476">
        <v>9</v>
      </c>
      <c r="D76" s="476">
        <v>4905309</v>
      </c>
      <c r="E76" s="476">
        <v>8655</v>
      </c>
      <c r="F76" s="476">
        <v>9015</v>
      </c>
      <c r="G76" s="476">
        <v>8914</v>
      </c>
      <c r="H76" s="476">
        <v>11539</v>
      </c>
      <c r="I76" s="476">
        <v>8914</v>
      </c>
      <c r="J76" s="476">
        <v>4905309</v>
      </c>
      <c r="K76" s="476">
        <v>8655</v>
      </c>
      <c r="L76" s="476">
        <v>5052469</v>
      </c>
      <c r="M76" s="476">
        <v>5101868</v>
      </c>
      <c r="N76" s="476">
        <v>8914</v>
      </c>
      <c r="O76" s="476">
        <v>8900</v>
      </c>
      <c r="P76" s="476">
        <v>4627230</v>
      </c>
      <c r="Q76" s="476">
        <v>4905309</v>
      </c>
      <c r="S76" s="476">
        <v>1</v>
      </c>
      <c r="T76" s="476">
        <v>0</v>
      </c>
      <c r="U76" s="476">
        <v>4905309</v>
      </c>
      <c r="V76" s="476">
        <v>8900</v>
      </c>
    </row>
    <row r="77" spans="1:22" x14ac:dyDescent="0.25">
      <c r="A77" s="476">
        <v>68802</v>
      </c>
      <c r="B77" s="476">
        <v>36832</v>
      </c>
      <c r="C77" s="476">
        <v>9</v>
      </c>
      <c r="D77" s="476">
        <v>10902447</v>
      </c>
      <c r="E77" s="476">
        <v>8654</v>
      </c>
      <c r="F77" s="476">
        <v>9015</v>
      </c>
      <c r="G77" s="476">
        <v>8914</v>
      </c>
      <c r="H77" s="476">
        <v>11539</v>
      </c>
      <c r="I77" s="476">
        <v>8914</v>
      </c>
      <c r="J77" s="476">
        <v>10902447</v>
      </c>
      <c r="K77" s="476">
        <v>8654</v>
      </c>
      <c r="L77" s="476">
        <v>11436764</v>
      </c>
      <c r="M77" s="476">
        <v>11383426</v>
      </c>
      <c r="N77" s="476">
        <v>8914</v>
      </c>
      <c r="O77" s="476">
        <v>9078</v>
      </c>
      <c r="P77" s="476">
        <v>10326731</v>
      </c>
      <c r="Q77" s="476">
        <v>10902447</v>
      </c>
      <c r="S77" s="476">
        <v>1</v>
      </c>
      <c r="T77" s="476">
        <v>0</v>
      </c>
      <c r="U77" s="476">
        <v>10902447</v>
      </c>
      <c r="V77" s="476">
        <v>9078</v>
      </c>
    </row>
    <row r="78" spans="1:22" x14ac:dyDescent="0.25">
      <c r="A78" s="476">
        <v>68803</v>
      </c>
      <c r="B78" s="476">
        <v>36832</v>
      </c>
      <c r="C78" s="476">
        <v>9</v>
      </c>
      <c r="D78" s="476">
        <v>6596738</v>
      </c>
      <c r="E78" s="476">
        <v>8712</v>
      </c>
      <c r="F78" s="476">
        <v>9015</v>
      </c>
      <c r="G78" s="476">
        <v>8973</v>
      </c>
      <c r="H78" s="476">
        <v>11539</v>
      </c>
      <c r="I78" s="476">
        <v>8973</v>
      </c>
      <c r="J78" s="476">
        <v>6596738</v>
      </c>
      <c r="K78" s="476">
        <v>8712</v>
      </c>
      <c r="L78" s="476">
        <v>6879407</v>
      </c>
      <c r="M78" s="476">
        <v>6928490</v>
      </c>
      <c r="N78" s="476">
        <v>8973</v>
      </c>
      <c r="O78" s="476">
        <v>9085</v>
      </c>
      <c r="P78" s="476">
        <v>6243289</v>
      </c>
      <c r="Q78" s="476">
        <v>6596738</v>
      </c>
      <c r="S78" s="476">
        <v>1</v>
      </c>
      <c r="T78" s="476">
        <v>0</v>
      </c>
      <c r="U78" s="476">
        <v>6596738</v>
      </c>
      <c r="V78" s="476">
        <v>9085</v>
      </c>
    </row>
    <row r="79" spans="1:22" x14ac:dyDescent="0.25">
      <c r="A79" s="476">
        <v>70801</v>
      </c>
      <c r="B79" s="476">
        <v>36832</v>
      </c>
      <c r="C79" s="476">
        <v>9</v>
      </c>
      <c r="D79" s="476">
        <v>26700966</v>
      </c>
      <c r="E79" s="476">
        <v>10961</v>
      </c>
      <c r="F79" s="476">
        <v>9015</v>
      </c>
      <c r="G79" s="476">
        <v>11290</v>
      </c>
      <c r="H79" s="476">
        <v>11539</v>
      </c>
      <c r="I79" s="476">
        <v>11290</v>
      </c>
      <c r="J79" s="476">
        <v>26700966</v>
      </c>
      <c r="K79" s="476">
        <v>10961</v>
      </c>
      <c r="L79" s="476">
        <v>27501938</v>
      </c>
      <c r="M79" s="476">
        <v>28314649</v>
      </c>
      <c r="N79" s="476">
        <v>11290</v>
      </c>
      <c r="O79" s="476">
        <v>11051</v>
      </c>
      <c r="P79" s="476">
        <v>25544031</v>
      </c>
      <c r="Q79" s="476">
        <v>26700966</v>
      </c>
      <c r="S79" s="476">
        <v>1</v>
      </c>
      <c r="T79" s="476">
        <v>0</v>
      </c>
      <c r="U79" s="476">
        <v>26700966</v>
      </c>
      <c r="V79" s="476">
        <v>11051</v>
      </c>
    </row>
    <row r="80" spans="1:22" x14ac:dyDescent="0.25">
      <c r="A80" s="476">
        <v>71801</v>
      </c>
      <c r="B80" s="476">
        <v>36832</v>
      </c>
      <c r="C80" s="476">
        <v>9</v>
      </c>
      <c r="D80" s="476">
        <v>10807114</v>
      </c>
      <c r="E80" s="476">
        <v>9536</v>
      </c>
      <c r="F80" s="476">
        <v>9015</v>
      </c>
      <c r="G80" s="476">
        <v>9822</v>
      </c>
      <c r="H80" s="476">
        <v>11539</v>
      </c>
      <c r="I80" s="476">
        <v>9822</v>
      </c>
      <c r="J80" s="476">
        <v>10807114</v>
      </c>
      <c r="K80" s="476">
        <v>9536</v>
      </c>
      <c r="L80" s="476">
        <v>11238460</v>
      </c>
      <c r="M80" s="476">
        <v>11314861</v>
      </c>
      <c r="N80" s="476">
        <v>9822</v>
      </c>
      <c r="O80" s="476">
        <v>9917</v>
      </c>
      <c r="P80" s="476">
        <v>10326579</v>
      </c>
      <c r="Q80" s="476">
        <v>10807114</v>
      </c>
      <c r="S80" s="476">
        <v>1</v>
      </c>
      <c r="T80" s="476">
        <v>0</v>
      </c>
      <c r="U80" s="476">
        <v>10807114</v>
      </c>
      <c r="V80" s="476">
        <v>9917</v>
      </c>
    </row>
    <row r="81" spans="1:22" x14ac:dyDescent="0.25">
      <c r="A81" s="476">
        <v>71803</v>
      </c>
      <c r="B81" s="476">
        <v>36832</v>
      </c>
      <c r="C81" s="476">
        <v>9</v>
      </c>
      <c r="D81" s="476">
        <v>1787410</v>
      </c>
      <c r="E81" s="476">
        <v>10871</v>
      </c>
      <c r="F81" s="476">
        <v>9015</v>
      </c>
      <c r="G81" s="476">
        <v>11197</v>
      </c>
      <c r="H81" s="476">
        <v>11539</v>
      </c>
      <c r="I81" s="476">
        <v>11197</v>
      </c>
      <c r="J81" s="476">
        <v>1787410</v>
      </c>
      <c r="K81" s="476">
        <v>10871</v>
      </c>
      <c r="L81" s="476">
        <v>1887507</v>
      </c>
      <c r="M81" s="476">
        <v>1877001</v>
      </c>
      <c r="N81" s="476">
        <v>11197</v>
      </c>
      <c r="O81" s="476">
        <v>11480</v>
      </c>
      <c r="P81" s="476">
        <v>1699698</v>
      </c>
      <c r="Q81" s="476">
        <v>1787410</v>
      </c>
      <c r="S81" s="476">
        <v>1</v>
      </c>
      <c r="T81" s="476">
        <v>0</v>
      </c>
      <c r="U81" s="476">
        <v>1787410</v>
      </c>
      <c r="V81" s="476">
        <v>11480</v>
      </c>
    </row>
    <row r="82" spans="1:22" x14ac:dyDescent="0.25">
      <c r="A82" s="476">
        <v>71804</v>
      </c>
      <c r="B82" s="476">
        <v>36832</v>
      </c>
      <c r="C82" s="476">
        <v>9</v>
      </c>
      <c r="D82" s="476">
        <v>2690779</v>
      </c>
      <c r="E82" s="476">
        <v>11020</v>
      </c>
      <c r="F82" s="476">
        <v>9015</v>
      </c>
      <c r="G82" s="476">
        <v>11351</v>
      </c>
      <c r="H82" s="476">
        <v>11539</v>
      </c>
      <c r="I82" s="476">
        <v>11351</v>
      </c>
      <c r="J82" s="476">
        <v>2690779</v>
      </c>
      <c r="K82" s="476">
        <v>11020</v>
      </c>
      <c r="L82" s="476">
        <v>2771502</v>
      </c>
      <c r="M82" s="476">
        <v>2787623</v>
      </c>
      <c r="N82" s="476">
        <v>11351</v>
      </c>
      <c r="O82" s="476">
        <v>11041</v>
      </c>
      <c r="P82" s="476">
        <v>2557376</v>
      </c>
      <c r="Q82" s="476">
        <v>2690779</v>
      </c>
      <c r="S82" s="476">
        <v>1</v>
      </c>
      <c r="T82" s="476">
        <v>0</v>
      </c>
      <c r="U82" s="476">
        <v>2690779</v>
      </c>
      <c r="V82" s="476">
        <v>11041</v>
      </c>
    </row>
    <row r="83" spans="1:22" x14ac:dyDescent="0.25">
      <c r="A83" s="476">
        <v>71806</v>
      </c>
      <c r="B83" s="476">
        <v>36832</v>
      </c>
      <c r="C83" s="476">
        <v>9</v>
      </c>
      <c r="D83" s="476">
        <v>39307649</v>
      </c>
      <c r="E83" s="476">
        <v>9875</v>
      </c>
      <c r="F83" s="476">
        <v>9015</v>
      </c>
      <c r="G83" s="476">
        <v>10172</v>
      </c>
      <c r="H83" s="476">
        <v>11539</v>
      </c>
      <c r="I83" s="476">
        <v>10172</v>
      </c>
      <c r="J83" s="476">
        <v>39307649</v>
      </c>
      <c r="K83" s="476">
        <v>9875</v>
      </c>
      <c r="L83" s="476">
        <v>41738474</v>
      </c>
      <c r="M83" s="476">
        <v>42285826</v>
      </c>
      <c r="N83" s="476">
        <v>10172</v>
      </c>
      <c r="O83" s="476">
        <v>10486</v>
      </c>
      <c r="P83" s="476">
        <v>37637155</v>
      </c>
      <c r="Q83" s="476">
        <v>39307649</v>
      </c>
      <c r="S83" s="476">
        <v>1</v>
      </c>
      <c r="T83" s="476">
        <v>0</v>
      </c>
      <c r="U83" s="476">
        <v>39307649</v>
      </c>
      <c r="V83" s="476">
        <v>10486</v>
      </c>
    </row>
    <row r="84" spans="1:22" x14ac:dyDescent="0.25">
      <c r="A84" s="476">
        <v>71807</v>
      </c>
      <c r="B84" s="476">
        <v>36832</v>
      </c>
      <c r="C84" s="476">
        <v>9</v>
      </c>
      <c r="D84" s="476">
        <v>1628851</v>
      </c>
      <c r="E84" s="476">
        <v>10642</v>
      </c>
      <c r="F84" s="476">
        <v>9015</v>
      </c>
      <c r="G84" s="476">
        <v>10961</v>
      </c>
      <c r="H84" s="476">
        <v>11539</v>
      </c>
      <c r="I84" s="476">
        <v>10961</v>
      </c>
      <c r="J84" s="476">
        <v>1628851</v>
      </c>
      <c r="K84" s="476">
        <v>10642</v>
      </c>
      <c r="L84" s="476">
        <v>1677717</v>
      </c>
      <c r="M84" s="476">
        <v>1869818</v>
      </c>
      <c r="N84" s="476">
        <v>10961</v>
      </c>
      <c r="O84" s="476">
        <v>10297</v>
      </c>
      <c r="P84" s="476">
        <v>1536249</v>
      </c>
      <c r="Q84" s="476">
        <v>1628851</v>
      </c>
      <c r="S84" s="476">
        <v>1</v>
      </c>
      <c r="T84" s="476">
        <v>0</v>
      </c>
      <c r="U84" s="476">
        <v>1628851</v>
      </c>
      <c r="V84" s="476">
        <v>10297</v>
      </c>
    </row>
    <row r="85" spans="1:22" x14ac:dyDescent="0.25">
      <c r="A85" s="476">
        <v>71809</v>
      </c>
      <c r="B85" s="476">
        <v>36832</v>
      </c>
      <c r="C85" s="476">
        <v>9</v>
      </c>
      <c r="D85" s="476">
        <v>2284738</v>
      </c>
      <c r="E85" s="476">
        <v>9687</v>
      </c>
      <c r="F85" s="476">
        <v>9015</v>
      </c>
      <c r="G85" s="476">
        <v>9977</v>
      </c>
      <c r="H85" s="476">
        <v>11539</v>
      </c>
      <c r="I85" s="476">
        <v>9977</v>
      </c>
      <c r="J85" s="476">
        <v>2284738</v>
      </c>
      <c r="K85" s="476">
        <v>9687</v>
      </c>
      <c r="L85" s="476">
        <v>2353280</v>
      </c>
      <c r="M85" s="476">
        <v>2466377</v>
      </c>
      <c r="N85" s="476">
        <v>9977</v>
      </c>
      <c r="O85" s="476">
        <v>9870</v>
      </c>
      <c r="P85" s="476">
        <v>2149644</v>
      </c>
      <c r="Q85" s="476">
        <v>2284738</v>
      </c>
      <c r="S85" s="476">
        <v>1</v>
      </c>
      <c r="T85" s="476">
        <v>0</v>
      </c>
      <c r="U85" s="476">
        <v>2284738</v>
      </c>
      <c r="V85" s="476">
        <v>9870</v>
      </c>
    </row>
    <row r="86" spans="1:22" x14ac:dyDescent="0.25">
      <c r="A86" s="476">
        <v>71810</v>
      </c>
      <c r="B86" s="476">
        <v>36832</v>
      </c>
      <c r="C86" s="476">
        <v>9</v>
      </c>
      <c r="D86" s="476">
        <v>2123285</v>
      </c>
      <c r="E86" s="476">
        <v>10716</v>
      </c>
      <c r="F86" s="476">
        <v>9015</v>
      </c>
      <c r="G86" s="476">
        <v>11038</v>
      </c>
      <c r="H86" s="476">
        <v>11539</v>
      </c>
      <c r="I86" s="476">
        <v>11038</v>
      </c>
      <c r="J86" s="476">
        <v>2123285</v>
      </c>
      <c r="K86" s="476">
        <v>10716</v>
      </c>
      <c r="L86" s="476">
        <v>2186983</v>
      </c>
      <c r="M86" s="476">
        <v>2227114</v>
      </c>
      <c r="N86" s="476">
        <v>11038</v>
      </c>
      <c r="O86" s="476">
        <v>10888</v>
      </c>
      <c r="P86" s="476">
        <v>2023080</v>
      </c>
      <c r="Q86" s="476">
        <v>2123285</v>
      </c>
      <c r="S86" s="476">
        <v>1</v>
      </c>
      <c r="T86" s="476">
        <v>0</v>
      </c>
      <c r="U86" s="476">
        <v>2123285</v>
      </c>
      <c r="V86" s="476">
        <v>10888</v>
      </c>
    </row>
    <row r="87" spans="1:22" x14ac:dyDescent="0.25">
      <c r="A87" s="476">
        <v>72801</v>
      </c>
      <c r="B87" s="476">
        <v>36832</v>
      </c>
      <c r="C87" s="476">
        <v>9</v>
      </c>
      <c r="D87" s="476">
        <v>53403072</v>
      </c>
      <c r="E87" s="476">
        <v>10439</v>
      </c>
      <c r="F87" s="476">
        <v>9015</v>
      </c>
      <c r="G87" s="476">
        <v>10753</v>
      </c>
      <c r="H87" s="476">
        <v>11539</v>
      </c>
      <c r="I87" s="476">
        <v>10753</v>
      </c>
      <c r="J87" s="476">
        <v>53403072</v>
      </c>
      <c r="K87" s="476">
        <v>10439</v>
      </c>
      <c r="L87" s="476">
        <v>56055463</v>
      </c>
      <c r="M87" s="476">
        <v>56911911</v>
      </c>
      <c r="N87" s="476">
        <v>10753</v>
      </c>
      <c r="O87" s="476">
        <v>10958</v>
      </c>
      <c r="P87" s="476">
        <v>51111166</v>
      </c>
      <c r="Q87" s="476">
        <v>53403072</v>
      </c>
      <c r="S87" s="476">
        <v>1</v>
      </c>
      <c r="T87" s="476">
        <v>0</v>
      </c>
      <c r="U87" s="476">
        <v>53403072</v>
      </c>
      <c r="V87" s="476">
        <v>10958</v>
      </c>
    </row>
    <row r="88" spans="1:22" x14ac:dyDescent="0.25">
      <c r="A88" s="476">
        <v>72802</v>
      </c>
      <c r="B88" s="476">
        <v>36832</v>
      </c>
      <c r="C88" s="476">
        <v>9</v>
      </c>
      <c r="D88" s="476">
        <v>1084325</v>
      </c>
      <c r="E88" s="476">
        <v>10021</v>
      </c>
      <c r="F88" s="476">
        <v>9015</v>
      </c>
      <c r="G88" s="476">
        <v>10322</v>
      </c>
      <c r="H88" s="476">
        <v>11539</v>
      </c>
      <c r="I88" s="476">
        <v>10322</v>
      </c>
      <c r="J88" s="476">
        <v>1084325</v>
      </c>
      <c r="K88" s="476">
        <v>10021</v>
      </c>
      <c r="L88" s="476">
        <v>1178082</v>
      </c>
      <c r="M88" s="476">
        <v>1223406</v>
      </c>
      <c r="N88" s="476">
        <v>10322</v>
      </c>
      <c r="O88" s="476">
        <v>10888</v>
      </c>
      <c r="P88" s="476">
        <v>1036738</v>
      </c>
      <c r="Q88" s="476">
        <v>1084325</v>
      </c>
      <c r="S88" s="476">
        <v>1</v>
      </c>
      <c r="T88" s="476">
        <v>0</v>
      </c>
      <c r="U88" s="476">
        <v>1084325</v>
      </c>
      <c r="V88" s="476">
        <v>10888</v>
      </c>
    </row>
    <row r="89" spans="1:22" x14ac:dyDescent="0.25">
      <c r="A89" s="476">
        <v>84802</v>
      </c>
      <c r="B89" s="476">
        <v>36832</v>
      </c>
      <c r="C89" s="476">
        <v>9</v>
      </c>
      <c r="D89" s="476">
        <v>12339747</v>
      </c>
      <c r="E89" s="476">
        <v>10174</v>
      </c>
      <c r="F89" s="476">
        <v>9015</v>
      </c>
      <c r="G89" s="476">
        <v>10479</v>
      </c>
      <c r="H89" s="476">
        <v>11539</v>
      </c>
      <c r="I89" s="476">
        <v>10479</v>
      </c>
      <c r="J89" s="476">
        <v>12339747</v>
      </c>
      <c r="K89" s="476">
        <v>10174</v>
      </c>
      <c r="L89" s="476">
        <v>12850389</v>
      </c>
      <c r="M89" s="476">
        <v>13116991</v>
      </c>
      <c r="N89" s="476">
        <v>10479</v>
      </c>
      <c r="O89" s="476">
        <v>10595</v>
      </c>
      <c r="P89" s="476">
        <v>11843581</v>
      </c>
      <c r="Q89" s="476">
        <v>12339747</v>
      </c>
      <c r="S89" s="476">
        <v>1</v>
      </c>
      <c r="T89" s="476">
        <v>0</v>
      </c>
      <c r="U89" s="476">
        <v>12339747</v>
      </c>
      <c r="V89" s="476">
        <v>10595</v>
      </c>
    </row>
    <row r="90" spans="1:22" x14ac:dyDescent="0.25">
      <c r="A90" s="476">
        <v>84804</v>
      </c>
      <c r="B90" s="476">
        <v>36832</v>
      </c>
      <c r="C90" s="476">
        <v>9</v>
      </c>
      <c r="D90" s="476">
        <v>2114159</v>
      </c>
      <c r="E90" s="476">
        <v>9773</v>
      </c>
      <c r="F90" s="476">
        <v>9015</v>
      </c>
      <c r="G90" s="476">
        <v>10066</v>
      </c>
      <c r="H90" s="476">
        <v>11539</v>
      </c>
      <c r="I90" s="476">
        <v>10066</v>
      </c>
      <c r="J90" s="476">
        <v>2114159</v>
      </c>
      <c r="K90" s="476">
        <v>9773</v>
      </c>
      <c r="L90" s="476">
        <v>2227962</v>
      </c>
      <c r="M90" s="476">
        <v>2371138</v>
      </c>
      <c r="N90" s="476">
        <v>10066</v>
      </c>
      <c r="O90" s="476">
        <v>10299</v>
      </c>
      <c r="P90" s="476">
        <v>2000614</v>
      </c>
      <c r="Q90" s="476">
        <v>2114159</v>
      </c>
      <c r="S90" s="476">
        <v>1</v>
      </c>
      <c r="T90" s="476">
        <v>0</v>
      </c>
      <c r="U90" s="476">
        <v>2114159</v>
      </c>
      <c r="V90" s="476">
        <v>10299</v>
      </c>
    </row>
    <row r="91" spans="1:22" x14ac:dyDescent="0.25">
      <c r="A91" s="476">
        <v>92801</v>
      </c>
      <c r="B91" s="476">
        <v>36832</v>
      </c>
      <c r="C91" s="476">
        <v>9</v>
      </c>
      <c r="D91" s="476">
        <v>1293499</v>
      </c>
      <c r="E91" s="476">
        <v>10088</v>
      </c>
      <c r="F91" s="476">
        <v>9015</v>
      </c>
      <c r="G91" s="476">
        <v>10391</v>
      </c>
      <c r="H91" s="476">
        <v>11539</v>
      </c>
      <c r="I91" s="476">
        <v>10391</v>
      </c>
      <c r="J91" s="476">
        <v>1293499</v>
      </c>
      <c r="K91" s="476">
        <v>10088</v>
      </c>
      <c r="L91" s="476">
        <v>1350060</v>
      </c>
      <c r="M91" s="476">
        <v>1266893</v>
      </c>
      <c r="N91" s="476">
        <v>10391</v>
      </c>
      <c r="O91" s="476">
        <v>10529</v>
      </c>
      <c r="P91" s="476">
        <v>1228627</v>
      </c>
      <c r="Q91" s="476">
        <v>1293499</v>
      </c>
      <c r="S91" s="476">
        <v>1</v>
      </c>
      <c r="T91" s="476">
        <v>0</v>
      </c>
      <c r="U91" s="476">
        <v>1293499</v>
      </c>
      <c r="V91" s="476">
        <v>10529</v>
      </c>
    </row>
    <row r="92" spans="1:22" x14ac:dyDescent="0.25">
      <c r="A92" s="476">
        <v>101802</v>
      </c>
      <c r="B92" s="476">
        <v>36832</v>
      </c>
      <c r="C92" s="476">
        <v>9</v>
      </c>
      <c r="D92" s="476">
        <v>10348535</v>
      </c>
      <c r="E92" s="476">
        <v>10718</v>
      </c>
      <c r="F92" s="476">
        <v>9015</v>
      </c>
      <c r="G92" s="476">
        <v>11040</v>
      </c>
      <c r="H92" s="476">
        <v>11539</v>
      </c>
      <c r="I92" s="476">
        <v>11040</v>
      </c>
      <c r="J92" s="476">
        <v>10348535</v>
      </c>
      <c r="K92" s="476">
        <v>10718</v>
      </c>
      <c r="L92" s="476">
        <v>10658992</v>
      </c>
      <c r="M92" s="476">
        <v>11571367</v>
      </c>
      <c r="N92" s="476">
        <v>11040</v>
      </c>
      <c r="O92" s="476">
        <v>10918</v>
      </c>
      <c r="P92" s="476">
        <v>9851383</v>
      </c>
      <c r="Q92" s="476">
        <v>10348535</v>
      </c>
      <c r="S92" s="476">
        <v>1</v>
      </c>
      <c r="T92" s="476">
        <v>0</v>
      </c>
      <c r="U92" s="476">
        <v>10348535</v>
      </c>
      <c r="V92" s="476">
        <v>10918</v>
      </c>
    </row>
    <row r="93" spans="1:22" x14ac:dyDescent="0.25">
      <c r="A93" s="476">
        <v>101803</v>
      </c>
      <c r="B93" s="476">
        <v>36832</v>
      </c>
      <c r="C93" s="476">
        <v>9</v>
      </c>
      <c r="D93" s="476">
        <v>9707670</v>
      </c>
      <c r="E93" s="476">
        <v>9192</v>
      </c>
      <c r="F93" s="476">
        <v>9015</v>
      </c>
      <c r="G93" s="476">
        <v>9467</v>
      </c>
      <c r="H93" s="476">
        <v>11539</v>
      </c>
      <c r="I93" s="476">
        <v>9467</v>
      </c>
      <c r="J93" s="476">
        <v>9707670</v>
      </c>
      <c r="K93" s="476">
        <v>9192</v>
      </c>
      <c r="L93" s="476">
        <v>9998900</v>
      </c>
      <c r="M93" s="476">
        <v>10174479</v>
      </c>
      <c r="N93" s="476">
        <v>9467</v>
      </c>
      <c r="O93" s="476">
        <v>9425</v>
      </c>
      <c r="P93" s="476">
        <v>9261801</v>
      </c>
      <c r="Q93" s="476">
        <v>9707670</v>
      </c>
      <c r="S93" s="476">
        <v>1</v>
      </c>
      <c r="T93" s="476">
        <v>0</v>
      </c>
      <c r="U93" s="476">
        <v>9707670</v>
      </c>
      <c r="V93" s="476">
        <v>9425</v>
      </c>
    </row>
    <row r="94" spans="1:22" x14ac:dyDescent="0.25">
      <c r="A94" s="476">
        <v>101804</v>
      </c>
      <c r="B94" s="476">
        <v>36832</v>
      </c>
      <c r="C94" s="476">
        <v>9</v>
      </c>
      <c r="D94" s="476">
        <v>10315526</v>
      </c>
      <c r="E94" s="476">
        <v>11074</v>
      </c>
      <c r="F94" s="476">
        <v>9015</v>
      </c>
      <c r="G94" s="476">
        <v>11407</v>
      </c>
      <c r="H94" s="476">
        <v>11539</v>
      </c>
      <c r="I94" s="476">
        <v>11407</v>
      </c>
      <c r="J94" s="476">
        <v>10315526</v>
      </c>
      <c r="K94" s="476">
        <v>11074</v>
      </c>
      <c r="L94" s="476">
        <v>10624991</v>
      </c>
      <c r="M94" s="476">
        <v>10494614</v>
      </c>
      <c r="N94" s="476">
        <v>11407</v>
      </c>
      <c r="O94" s="476">
        <v>11402</v>
      </c>
      <c r="P94" s="476">
        <v>9878232</v>
      </c>
      <c r="Q94" s="476">
        <v>10315526</v>
      </c>
      <c r="S94" s="476">
        <v>1</v>
      </c>
      <c r="T94" s="476">
        <v>0</v>
      </c>
      <c r="U94" s="476">
        <v>10315526</v>
      </c>
      <c r="V94" s="476">
        <v>11402</v>
      </c>
    </row>
    <row r="95" spans="1:22" x14ac:dyDescent="0.25">
      <c r="A95" s="476">
        <v>101806</v>
      </c>
      <c r="B95" s="476">
        <v>36832</v>
      </c>
      <c r="C95" s="476">
        <v>9</v>
      </c>
      <c r="D95" s="476">
        <v>14024503</v>
      </c>
      <c r="E95" s="476">
        <v>11188</v>
      </c>
      <c r="F95" s="476">
        <v>9015</v>
      </c>
      <c r="G95" s="476">
        <v>11524</v>
      </c>
      <c r="H95" s="476">
        <v>11539</v>
      </c>
      <c r="I95" s="476">
        <v>11524</v>
      </c>
      <c r="J95" s="476">
        <v>14024503</v>
      </c>
      <c r="K95" s="476">
        <v>11188</v>
      </c>
      <c r="L95" s="476">
        <v>14445261</v>
      </c>
      <c r="M95" s="476">
        <v>14370890</v>
      </c>
      <c r="N95" s="476">
        <v>11524</v>
      </c>
      <c r="O95" s="476">
        <v>10937</v>
      </c>
      <c r="P95" s="476">
        <v>13413764</v>
      </c>
      <c r="Q95" s="476">
        <v>14024503</v>
      </c>
      <c r="S95" s="476">
        <v>1</v>
      </c>
      <c r="T95" s="476">
        <v>0</v>
      </c>
      <c r="U95" s="476">
        <v>14024503</v>
      </c>
      <c r="V95" s="476">
        <v>10937</v>
      </c>
    </row>
    <row r="96" spans="1:22" x14ac:dyDescent="0.25">
      <c r="A96" s="476">
        <v>101810</v>
      </c>
      <c r="B96" s="476">
        <v>36832</v>
      </c>
      <c r="C96" s="476">
        <v>9</v>
      </c>
      <c r="D96" s="476">
        <v>7765671</v>
      </c>
      <c r="E96" s="476">
        <v>10062</v>
      </c>
      <c r="F96" s="476">
        <v>9015</v>
      </c>
      <c r="G96" s="476">
        <v>10364</v>
      </c>
      <c r="H96" s="476">
        <v>11539</v>
      </c>
      <c r="I96" s="476">
        <v>10364</v>
      </c>
      <c r="J96" s="476">
        <v>7765671</v>
      </c>
      <c r="K96" s="476">
        <v>10062</v>
      </c>
      <c r="L96" s="476">
        <v>8128187</v>
      </c>
      <c r="M96" s="476">
        <v>8764877</v>
      </c>
      <c r="N96" s="476">
        <v>10364</v>
      </c>
      <c r="O96" s="476">
        <v>10532</v>
      </c>
      <c r="P96" s="476">
        <v>7425694</v>
      </c>
      <c r="Q96" s="476">
        <v>7765671</v>
      </c>
      <c r="S96" s="476">
        <v>1</v>
      </c>
      <c r="T96" s="476">
        <v>0</v>
      </c>
      <c r="U96" s="476">
        <v>7765671</v>
      </c>
      <c r="V96" s="476">
        <v>10532</v>
      </c>
    </row>
    <row r="97" spans="1:22" x14ac:dyDescent="0.25">
      <c r="A97" s="476">
        <v>101811</v>
      </c>
      <c r="B97" s="476">
        <v>36832</v>
      </c>
      <c r="C97" s="476">
        <v>9</v>
      </c>
      <c r="D97" s="476">
        <v>2482943</v>
      </c>
      <c r="E97" s="476">
        <v>15168</v>
      </c>
      <c r="F97" s="476">
        <v>9015</v>
      </c>
      <c r="G97" s="476">
        <v>15623</v>
      </c>
      <c r="H97" s="476">
        <v>11539</v>
      </c>
      <c r="I97" s="476">
        <v>11539</v>
      </c>
      <c r="J97" s="476">
        <v>2482943</v>
      </c>
      <c r="K97" s="476">
        <v>15168</v>
      </c>
      <c r="L97" s="476">
        <v>2482943</v>
      </c>
      <c r="M97" s="476">
        <v>2595863</v>
      </c>
      <c r="N97" s="476">
        <v>15168</v>
      </c>
      <c r="O97" s="476">
        <v>11849</v>
      </c>
      <c r="P97" s="476">
        <v>2351066</v>
      </c>
      <c r="Q97" s="476">
        <v>2482943</v>
      </c>
      <c r="S97" s="476">
        <v>1</v>
      </c>
      <c r="T97" s="476">
        <v>0</v>
      </c>
      <c r="U97" s="476">
        <v>2482943</v>
      </c>
      <c r="V97" s="476">
        <v>11849</v>
      </c>
    </row>
    <row r="98" spans="1:22" x14ac:dyDescent="0.25">
      <c r="A98" s="476">
        <v>101814</v>
      </c>
      <c r="B98" s="476">
        <v>36832</v>
      </c>
      <c r="C98" s="476">
        <v>9</v>
      </c>
      <c r="D98" s="476">
        <v>12227353</v>
      </c>
      <c r="E98" s="476">
        <v>10350</v>
      </c>
      <c r="F98" s="476">
        <v>9015</v>
      </c>
      <c r="G98" s="476">
        <v>10660</v>
      </c>
      <c r="H98" s="476">
        <v>11539</v>
      </c>
      <c r="I98" s="476">
        <v>10660</v>
      </c>
      <c r="J98" s="476">
        <v>12227353</v>
      </c>
      <c r="K98" s="476">
        <v>10350</v>
      </c>
      <c r="L98" s="476">
        <v>12594174</v>
      </c>
      <c r="M98" s="476">
        <v>13938183</v>
      </c>
      <c r="N98" s="476">
        <v>10660</v>
      </c>
      <c r="O98" s="476">
        <v>10533</v>
      </c>
      <c r="P98" s="476">
        <v>11544806</v>
      </c>
      <c r="Q98" s="476">
        <v>12227353</v>
      </c>
      <c r="S98" s="476">
        <v>1</v>
      </c>
      <c r="T98" s="476">
        <v>0</v>
      </c>
      <c r="U98" s="476">
        <v>12227353</v>
      </c>
      <c r="V98" s="476">
        <v>10533</v>
      </c>
    </row>
    <row r="99" spans="1:22" x14ac:dyDescent="0.25">
      <c r="A99" s="476">
        <v>101815</v>
      </c>
      <c r="B99" s="476">
        <v>36832</v>
      </c>
      <c r="C99" s="476">
        <v>9</v>
      </c>
      <c r="D99" s="476">
        <v>2763238</v>
      </c>
      <c r="E99" s="476">
        <v>10562</v>
      </c>
      <c r="F99" s="476">
        <v>9015</v>
      </c>
      <c r="G99" s="476">
        <v>10879</v>
      </c>
      <c r="H99" s="476">
        <v>11539</v>
      </c>
      <c r="I99" s="476">
        <v>10879</v>
      </c>
      <c r="J99" s="476">
        <v>2763238</v>
      </c>
      <c r="K99" s="476">
        <v>10562</v>
      </c>
      <c r="L99" s="476">
        <v>2846136</v>
      </c>
      <c r="M99" s="476">
        <v>2898306</v>
      </c>
      <c r="N99" s="476">
        <v>10879</v>
      </c>
      <c r="O99" s="476">
        <v>10784</v>
      </c>
      <c r="P99" s="476">
        <v>2633416</v>
      </c>
      <c r="Q99" s="476">
        <v>2763238</v>
      </c>
      <c r="S99" s="476">
        <v>1</v>
      </c>
      <c r="T99" s="476">
        <v>0</v>
      </c>
      <c r="U99" s="476">
        <v>2763238</v>
      </c>
      <c r="V99" s="476">
        <v>10784</v>
      </c>
    </row>
    <row r="100" spans="1:22" x14ac:dyDescent="0.25">
      <c r="A100" s="476">
        <v>101819</v>
      </c>
      <c r="B100" s="476">
        <v>36832</v>
      </c>
      <c r="C100" s="476">
        <v>9</v>
      </c>
      <c r="D100" s="476">
        <v>4689848</v>
      </c>
      <c r="E100" s="476">
        <v>10131</v>
      </c>
      <c r="F100" s="476">
        <v>9015</v>
      </c>
      <c r="G100" s="476">
        <v>10435</v>
      </c>
      <c r="H100" s="476">
        <v>11539</v>
      </c>
      <c r="I100" s="476">
        <v>10435</v>
      </c>
      <c r="J100" s="476">
        <v>4689848</v>
      </c>
      <c r="K100" s="476">
        <v>10131</v>
      </c>
      <c r="L100" s="476">
        <v>5046422</v>
      </c>
      <c r="M100" s="476">
        <v>5262441</v>
      </c>
      <c r="N100" s="476">
        <v>10435</v>
      </c>
      <c r="O100" s="476">
        <v>10901</v>
      </c>
      <c r="P100" s="476">
        <v>4463664</v>
      </c>
      <c r="Q100" s="476">
        <v>4689848</v>
      </c>
      <c r="S100" s="476">
        <v>1</v>
      </c>
      <c r="T100" s="476">
        <v>0</v>
      </c>
      <c r="U100" s="476">
        <v>4689848</v>
      </c>
      <c r="V100" s="476">
        <v>10901</v>
      </c>
    </row>
    <row r="101" spans="1:22" x14ac:dyDescent="0.25">
      <c r="A101" s="476">
        <v>101821</v>
      </c>
      <c r="B101" s="476">
        <v>36832</v>
      </c>
      <c r="C101" s="476">
        <v>9</v>
      </c>
      <c r="D101" s="476">
        <v>1882542</v>
      </c>
      <c r="E101" s="476">
        <v>11418</v>
      </c>
      <c r="F101" s="476">
        <v>9015</v>
      </c>
      <c r="G101" s="476">
        <v>11760</v>
      </c>
      <c r="H101" s="476">
        <v>11539</v>
      </c>
      <c r="I101" s="476">
        <v>11539</v>
      </c>
      <c r="J101" s="476">
        <v>1882542</v>
      </c>
      <c r="K101" s="476">
        <v>11418</v>
      </c>
      <c r="L101" s="476">
        <v>1952533</v>
      </c>
      <c r="M101" s="476">
        <v>1865368</v>
      </c>
      <c r="N101" s="476">
        <v>11539</v>
      </c>
      <c r="O101" s="476">
        <v>11842</v>
      </c>
      <c r="P101" s="476">
        <v>1802282</v>
      </c>
      <c r="Q101" s="476">
        <v>1882542</v>
      </c>
      <c r="S101" s="476">
        <v>1</v>
      </c>
      <c r="T101" s="476">
        <v>0</v>
      </c>
      <c r="U101" s="476">
        <v>1882542</v>
      </c>
      <c r="V101" s="476">
        <v>11842</v>
      </c>
    </row>
    <row r="102" spans="1:22" x14ac:dyDescent="0.25">
      <c r="A102" s="476">
        <v>101828</v>
      </c>
      <c r="B102" s="476">
        <v>36832</v>
      </c>
      <c r="C102" s="476">
        <v>9</v>
      </c>
      <c r="D102" s="476">
        <v>21366057</v>
      </c>
      <c r="E102" s="476">
        <v>10549</v>
      </c>
      <c r="F102" s="476">
        <v>9015</v>
      </c>
      <c r="G102" s="476">
        <v>10865</v>
      </c>
      <c r="H102" s="476">
        <v>11539</v>
      </c>
      <c r="I102" s="476">
        <v>10865</v>
      </c>
      <c r="J102" s="476">
        <v>21366057</v>
      </c>
      <c r="K102" s="476">
        <v>10549</v>
      </c>
      <c r="L102" s="476">
        <v>22007071</v>
      </c>
      <c r="M102" s="476">
        <v>23464892</v>
      </c>
      <c r="N102" s="476">
        <v>10865</v>
      </c>
      <c r="O102" s="476">
        <v>10661</v>
      </c>
      <c r="P102" s="476">
        <v>20371960</v>
      </c>
      <c r="Q102" s="476">
        <v>21366057</v>
      </c>
      <c r="S102" s="476">
        <v>1</v>
      </c>
      <c r="T102" s="476">
        <v>0</v>
      </c>
      <c r="U102" s="476">
        <v>21366057</v>
      </c>
      <c r="V102" s="476">
        <v>10661</v>
      </c>
    </row>
    <row r="103" spans="1:22" x14ac:dyDescent="0.25">
      <c r="A103" s="476">
        <v>101837</v>
      </c>
      <c r="B103" s="476">
        <v>36832</v>
      </c>
      <c r="C103" s="476">
        <v>9</v>
      </c>
      <c r="D103" s="476">
        <v>2987247</v>
      </c>
      <c r="E103" s="476">
        <v>10011</v>
      </c>
      <c r="F103" s="476">
        <v>9015</v>
      </c>
      <c r="G103" s="476">
        <v>10312</v>
      </c>
      <c r="H103" s="476">
        <v>11539</v>
      </c>
      <c r="I103" s="476">
        <v>10312</v>
      </c>
      <c r="J103" s="476">
        <v>2987247</v>
      </c>
      <c r="K103" s="476">
        <v>10011</v>
      </c>
      <c r="L103" s="476">
        <v>3076864</v>
      </c>
      <c r="M103" s="476">
        <v>3076475</v>
      </c>
      <c r="N103" s="476">
        <v>10312</v>
      </c>
      <c r="O103" s="476">
        <v>10274</v>
      </c>
      <c r="P103" s="476">
        <v>2839652</v>
      </c>
      <c r="Q103" s="476">
        <v>2987247</v>
      </c>
      <c r="S103" s="476">
        <v>1</v>
      </c>
      <c r="T103" s="476">
        <v>0</v>
      </c>
      <c r="U103" s="476">
        <v>2987247</v>
      </c>
      <c r="V103" s="476">
        <v>10274</v>
      </c>
    </row>
    <row r="104" spans="1:22" x14ac:dyDescent="0.25">
      <c r="A104" s="476">
        <v>101838</v>
      </c>
      <c r="B104" s="476">
        <v>36832</v>
      </c>
      <c r="C104" s="476">
        <v>9</v>
      </c>
      <c r="D104" s="476">
        <v>16672417</v>
      </c>
      <c r="E104" s="476">
        <v>10977</v>
      </c>
      <c r="F104" s="476">
        <v>9015</v>
      </c>
      <c r="G104" s="476">
        <v>11306</v>
      </c>
      <c r="H104" s="476">
        <v>11539</v>
      </c>
      <c r="I104" s="476">
        <v>11306</v>
      </c>
      <c r="J104" s="476">
        <v>16672417</v>
      </c>
      <c r="K104" s="476">
        <v>10977</v>
      </c>
      <c r="L104" s="476">
        <v>17172533</v>
      </c>
      <c r="M104" s="476">
        <v>18794093</v>
      </c>
      <c r="N104" s="476">
        <v>11306</v>
      </c>
      <c r="O104" s="476">
        <v>11070</v>
      </c>
      <c r="P104" s="476">
        <v>15826999</v>
      </c>
      <c r="Q104" s="476">
        <v>16672417</v>
      </c>
      <c r="S104" s="476">
        <v>1</v>
      </c>
      <c r="T104" s="476">
        <v>0</v>
      </c>
      <c r="U104" s="476">
        <v>16672417</v>
      </c>
      <c r="V104" s="476">
        <v>11070</v>
      </c>
    </row>
    <row r="105" spans="1:22" x14ac:dyDescent="0.25">
      <c r="A105" s="476">
        <v>101840</v>
      </c>
      <c r="B105" s="476">
        <v>36832</v>
      </c>
      <c r="C105" s="476">
        <v>9</v>
      </c>
      <c r="D105" s="476">
        <v>3584270</v>
      </c>
      <c r="E105" s="476">
        <v>10666</v>
      </c>
      <c r="F105" s="476">
        <v>9015</v>
      </c>
      <c r="G105" s="476">
        <v>10986</v>
      </c>
      <c r="H105" s="476">
        <v>11539</v>
      </c>
      <c r="I105" s="476">
        <v>10986</v>
      </c>
      <c r="J105" s="476">
        <v>3584270</v>
      </c>
      <c r="K105" s="476">
        <v>10666</v>
      </c>
      <c r="L105" s="476">
        <v>3691798</v>
      </c>
      <c r="M105" s="476">
        <v>3906825</v>
      </c>
      <c r="N105" s="476">
        <v>10986</v>
      </c>
      <c r="O105" s="476">
        <v>10640</v>
      </c>
      <c r="P105" s="476">
        <v>3395082</v>
      </c>
      <c r="Q105" s="476">
        <v>3584270</v>
      </c>
      <c r="S105" s="476">
        <v>1</v>
      </c>
      <c r="T105" s="476">
        <v>0</v>
      </c>
      <c r="U105" s="476">
        <v>3584270</v>
      </c>
      <c r="V105" s="476">
        <v>10640</v>
      </c>
    </row>
    <row r="106" spans="1:22" x14ac:dyDescent="0.25">
      <c r="A106" s="476">
        <v>101842</v>
      </c>
      <c r="B106" s="476">
        <v>36832</v>
      </c>
      <c r="C106" s="476">
        <v>9</v>
      </c>
      <c r="D106" s="476">
        <v>469929</v>
      </c>
      <c r="E106" s="476">
        <v>11942</v>
      </c>
      <c r="F106" s="476">
        <v>9015</v>
      </c>
      <c r="G106" s="476">
        <v>12300</v>
      </c>
      <c r="H106" s="476">
        <v>11539</v>
      </c>
      <c r="I106" s="476">
        <v>11539</v>
      </c>
      <c r="J106" s="476">
        <v>469929</v>
      </c>
      <c r="K106" s="476">
        <v>11942</v>
      </c>
      <c r="L106" s="476">
        <v>469929</v>
      </c>
      <c r="M106" s="476">
        <v>434383</v>
      </c>
      <c r="N106" s="476">
        <v>11942</v>
      </c>
      <c r="O106" s="476">
        <v>11335</v>
      </c>
      <c r="P106" s="476">
        <v>445371</v>
      </c>
      <c r="Q106" s="476">
        <v>469929</v>
      </c>
      <c r="S106" s="476">
        <v>1</v>
      </c>
      <c r="T106" s="476">
        <v>0</v>
      </c>
      <c r="U106" s="476">
        <v>469929</v>
      </c>
      <c r="V106" s="476">
        <v>11335</v>
      </c>
    </row>
    <row r="107" spans="1:22" x14ac:dyDescent="0.25">
      <c r="A107" s="476">
        <v>101845</v>
      </c>
      <c r="B107" s="476">
        <v>36832</v>
      </c>
      <c r="C107" s="476">
        <v>9</v>
      </c>
      <c r="D107" s="476">
        <v>134043704</v>
      </c>
      <c r="E107" s="476">
        <v>10492</v>
      </c>
      <c r="F107" s="476">
        <v>9015</v>
      </c>
      <c r="G107" s="476">
        <v>10807</v>
      </c>
      <c r="H107" s="476">
        <v>11539</v>
      </c>
      <c r="I107" s="476">
        <v>10807</v>
      </c>
      <c r="J107" s="476">
        <v>134043704</v>
      </c>
      <c r="K107" s="476">
        <v>10492</v>
      </c>
      <c r="L107" s="476">
        <v>138065015</v>
      </c>
      <c r="M107" s="476">
        <v>142753024</v>
      </c>
      <c r="N107" s="476">
        <v>10807</v>
      </c>
      <c r="O107" s="476">
        <v>10659</v>
      </c>
      <c r="P107" s="476">
        <v>128463661</v>
      </c>
      <c r="Q107" s="476">
        <v>134043704</v>
      </c>
      <c r="S107" s="476">
        <v>1</v>
      </c>
      <c r="T107" s="476">
        <v>0</v>
      </c>
      <c r="U107" s="476">
        <v>134043704</v>
      </c>
      <c r="V107" s="476">
        <v>10659</v>
      </c>
    </row>
    <row r="108" spans="1:22" x14ac:dyDescent="0.25">
      <c r="A108" s="476">
        <v>101846</v>
      </c>
      <c r="B108" s="476">
        <v>36832</v>
      </c>
      <c r="C108" s="476">
        <v>9</v>
      </c>
      <c r="D108" s="476">
        <v>37068398</v>
      </c>
      <c r="E108" s="476">
        <v>10412</v>
      </c>
      <c r="F108" s="476">
        <v>9015</v>
      </c>
      <c r="G108" s="476">
        <v>10725</v>
      </c>
      <c r="H108" s="476">
        <v>11539</v>
      </c>
      <c r="I108" s="476">
        <v>10725</v>
      </c>
      <c r="J108" s="476">
        <v>37068398</v>
      </c>
      <c r="K108" s="476">
        <v>10412</v>
      </c>
      <c r="L108" s="476">
        <v>38544304</v>
      </c>
      <c r="M108" s="476">
        <v>39836607</v>
      </c>
      <c r="N108" s="476">
        <v>10725</v>
      </c>
      <c r="O108" s="476">
        <v>10827</v>
      </c>
      <c r="P108" s="476">
        <v>35479299</v>
      </c>
      <c r="Q108" s="476">
        <v>37068398</v>
      </c>
      <c r="S108" s="476">
        <v>1</v>
      </c>
      <c r="T108" s="476">
        <v>0</v>
      </c>
      <c r="U108" s="476">
        <v>37068398</v>
      </c>
      <c r="V108" s="476">
        <v>10827</v>
      </c>
    </row>
    <row r="109" spans="1:22" x14ac:dyDescent="0.25">
      <c r="A109" s="476">
        <v>101847</v>
      </c>
      <c r="B109" s="476">
        <v>36832</v>
      </c>
      <c r="C109" s="476">
        <v>9</v>
      </c>
      <c r="D109" s="476">
        <v>4468276</v>
      </c>
      <c r="E109" s="476">
        <v>9773</v>
      </c>
      <c r="F109" s="476">
        <v>9015</v>
      </c>
      <c r="G109" s="476">
        <v>10066</v>
      </c>
      <c r="H109" s="476">
        <v>11539</v>
      </c>
      <c r="I109" s="476">
        <v>10066</v>
      </c>
      <c r="J109" s="476">
        <v>4468276</v>
      </c>
      <c r="K109" s="476">
        <v>9773</v>
      </c>
      <c r="L109" s="476">
        <v>4653555</v>
      </c>
      <c r="M109" s="476">
        <v>4654385</v>
      </c>
      <c r="N109" s="476">
        <v>10066</v>
      </c>
      <c r="O109" s="476">
        <v>10178</v>
      </c>
      <c r="P109" s="476">
        <v>4247881</v>
      </c>
      <c r="Q109" s="476">
        <v>4468276</v>
      </c>
      <c r="S109" s="476">
        <v>1</v>
      </c>
      <c r="T109" s="476">
        <v>0</v>
      </c>
      <c r="U109" s="476">
        <v>4468276</v>
      </c>
      <c r="V109" s="476">
        <v>10178</v>
      </c>
    </row>
    <row r="110" spans="1:22" x14ac:dyDescent="0.25">
      <c r="A110" s="476">
        <v>101849</v>
      </c>
      <c r="B110" s="476">
        <v>36832</v>
      </c>
      <c r="C110" s="476">
        <v>9</v>
      </c>
      <c r="D110" s="476">
        <v>2137940</v>
      </c>
      <c r="E110" s="476">
        <v>9983</v>
      </c>
      <c r="F110" s="476">
        <v>9015</v>
      </c>
      <c r="G110" s="476">
        <v>10282</v>
      </c>
      <c r="H110" s="476">
        <v>11539</v>
      </c>
      <c r="I110" s="476">
        <v>10282</v>
      </c>
      <c r="J110" s="476">
        <v>2137940</v>
      </c>
      <c r="K110" s="476">
        <v>9983</v>
      </c>
      <c r="L110" s="476">
        <v>2210183</v>
      </c>
      <c r="M110" s="476">
        <v>2387146</v>
      </c>
      <c r="N110" s="476">
        <v>10282</v>
      </c>
      <c r="O110" s="476">
        <v>10320</v>
      </c>
      <c r="P110" s="476">
        <v>2026495</v>
      </c>
      <c r="Q110" s="476">
        <v>2137940</v>
      </c>
      <c r="S110" s="476">
        <v>1</v>
      </c>
      <c r="T110" s="476">
        <v>0</v>
      </c>
      <c r="U110" s="476">
        <v>2137940</v>
      </c>
      <c r="V110" s="476">
        <v>10320</v>
      </c>
    </row>
    <row r="111" spans="1:22" x14ac:dyDescent="0.25">
      <c r="A111" s="476">
        <v>101853</v>
      </c>
      <c r="B111" s="476">
        <v>36832</v>
      </c>
      <c r="C111" s="476">
        <v>9</v>
      </c>
      <c r="D111" s="476">
        <v>12646387</v>
      </c>
      <c r="E111" s="476">
        <v>11502</v>
      </c>
      <c r="F111" s="476">
        <v>9015</v>
      </c>
      <c r="G111" s="476">
        <v>11847</v>
      </c>
      <c r="H111" s="476">
        <v>11539</v>
      </c>
      <c r="I111" s="476">
        <v>11539</v>
      </c>
      <c r="J111" s="476">
        <v>12646387</v>
      </c>
      <c r="K111" s="476">
        <v>11502</v>
      </c>
      <c r="L111" s="476">
        <v>12784259</v>
      </c>
      <c r="M111" s="476">
        <v>13835837</v>
      </c>
      <c r="N111" s="476">
        <v>11539</v>
      </c>
      <c r="O111" s="476">
        <v>11627</v>
      </c>
      <c r="P111" s="476">
        <v>12042435</v>
      </c>
      <c r="Q111" s="476">
        <v>12646387</v>
      </c>
      <c r="S111" s="476">
        <v>1</v>
      </c>
      <c r="T111" s="476">
        <v>0</v>
      </c>
      <c r="U111" s="476">
        <v>12646387</v>
      </c>
      <c r="V111" s="476">
        <v>11627</v>
      </c>
    </row>
    <row r="112" spans="1:22" x14ac:dyDescent="0.25">
      <c r="A112" s="476">
        <v>101855</v>
      </c>
      <c r="B112" s="476">
        <v>36832</v>
      </c>
      <c r="C112" s="476">
        <v>9</v>
      </c>
      <c r="D112" s="476">
        <v>2242192</v>
      </c>
      <c r="E112" s="476">
        <v>9963</v>
      </c>
      <c r="F112" s="476">
        <v>9015</v>
      </c>
      <c r="G112" s="476">
        <v>10262</v>
      </c>
      <c r="H112" s="476">
        <v>11539</v>
      </c>
      <c r="I112" s="476">
        <v>10262</v>
      </c>
      <c r="J112" s="476">
        <v>2242192</v>
      </c>
      <c r="K112" s="476">
        <v>9963</v>
      </c>
      <c r="L112" s="476">
        <v>2309457</v>
      </c>
      <c r="M112" s="476">
        <v>2468220</v>
      </c>
      <c r="N112" s="476">
        <v>10262</v>
      </c>
      <c r="O112" s="476">
        <v>10230</v>
      </c>
      <c r="P112" s="476">
        <v>2132104</v>
      </c>
      <c r="Q112" s="476">
        <v>2242192</v>
      </c>
      <c r="S112" s="476">
        <v>1</v>
      </c>
      <c r="T112" s="476">
        <v>0</v>
      </c>
      <c r="U112" s="476">
        <v>2242192</v>
      </c>
      <c r="V112" s="476">
        <v>10230</v>
      </c>
    </row>
    <row r="113" spans="1:24" x14ac:dyDescent="0.25">
      <c r="A113" s="476">
        <v>101856</v>
      </c>
      <c r="B113" s="476">
        <v>36832</v>
      </c>
      <c r="C113" s="476">
        <v>9</v>
      </c>
      <c r="D113" s="476">
        <v>6623913</v>
      </c>
      <c r="E113" s="476">
        <v>10407</v>
      </c>
      <c r="F113" s="476">
        <v>9015</v>
      </c>
      <c r="G113" s="476">
        <v>10719</v>
      </c>
      <c r="H113" s="476">
        <v>11539</v>
      </c>
      <c r="I113" s="476">
        <v>10719</v>
      </c>
      <c r="J113" s="476">
        <v>6623913</v>
      </c>
      <c r="K113" s="476">
        <v>10407</v>
      </c>
      <c r="L113" s="476">
        <v>6826799</v>
      </c>
      <c r="M113" s="476">
        <v>7544372</v>
      </c>
      <c r="N113" s="476">
        <v>10719</v>
      </c>
      <c r="O113" s="476">
        <v>10726</v>
      </c>
      <c r="P113" s="476">
        <v>6329784</v>
      </c>
      <c r="Q113" s="476">
        <v>6623913</v>
      </c>
      <c r="S113" s="476">
        <v>1</v>
      </c>
      <c r="T113" s="476">
        <v>0</v>
      </c>
      <c r="U113" s="476">
        <v>6623913</v>
      </c>
      <c r="V113" s="476">
        <v>10726</v>
      </c>
    </row>
    <row r="114" spans="1:24" x14ac:dyDescent="0.25">
      <c r="A114" s="476">
        <v>101858</v>
      </c>
      <c r="B114" s="476">
        <v>36832</v>
      </c>
      <c r="C114" s="476">
        <v>9</v>
      </c>
      <c r="D114" s="476">
        <v>56806054</v>
      </c>
      <c r="E114" s="476">
        <v>9834</v>
      </c>
      <c r="F114" s="476">
        <v>9015</v>
      </c>
      <c r="G114" s="476">
        <v>10129</v>
      </c>
      <c r="H114" s="476">
        <v>11539</v>
      </c>
      <c r="I114" s="476">
        <v>10129</v>
      </c>
      <c r="J114" s="476">
        <v>56806054</v>
      </c>
      <c r="K114" s="476">
        <v>9834</v>
      </c>
      <c r="L114" s="476">
        <v>58791263</v>
      </c>
      <c r="M114" s="476">
        <v>60344648</v>
      </c>
      <c r="N114" s="476">
        <v>10129</v>
      </c>
      <c r="O114" s="476">
        <v>10178</v>
      </c>
      <c r="P114" s="476">
        <v>54242729</v>
      </c>
      <c r="Q114" s="476">
        <v>56806054</v>
      </c>
      <c r="S114" s="476">
        <v>1</v>
      </c>
      <c r="T114" s="476">
        <v>0</v>
      </c>
      <c r="U114" s="476">
        <v>56806054</v>
      </c>
      <c r="V114" s="476">
        <v>10178</v>
      </c>
    </row>
    <row r="115" spans="1:24" x14ac:dyDescent="0.25">
      <c r="A115" s="476">
        <v>101859</v>
      </c>
      <c r="B115" s="476">
        <v>36832</v>
      </c>
      <c r="C115" s="476">
        <v>9</v>
      </c>
      <c r="D115" s="476">
        <v>4885023</v>
      </c>
      <c r="E115" s="476">
        <v>10467</v>
      </c>
      <c r="F115" s="476">
        <v>9015</v>
      </c>
      <c r="G115" s="476">
        <v>10781</v>
      </c>
      <c r="H115" s="476">
        <v>11539</v>
      </c>
      <c r="I115" s="476">
        <v>10781</v>
      </c>
      <c r="J115" s="476">
        <v>4885023</v>
      </c>
      <c r="K115" s="476">
        <v>10467</v>
      </c>
      <c r="L115" s="476">
        <v>5031574</v>
      </c>
      <c r="M115" s="476">
        <v>5406766</v>
      </c>
      <c r="N115" s="476">
        <v>10781</v>
      </c>
      <c r="O115" s="476">
        <v>10639</v>
      </c>
      <c r="P115" s="476">
        <v>4639250</v>
      </c>
      <c r="Q115" s="476">
        <v>4885023</v>
      </c>
      <c r="S115" s="476">
        <v>1</v>
      </c>
      <c r="T115" s="476">
        <v>0</v>
      </c>
      <c r="U115" s="476">
        <v>4885023</v>
      </c>
      <c r="V115" s="476">
        <v>10639</v>
      </c>
    </row>
    <row r="116" spans="1:24" x14ac:dyDescent="0.25">
      <c r="A116" s="476">
        <v>101861</v>
      </c>
      <c r="B116" s="476">
        <v>36832</v>
      </c>
      <c r="C116" s="476">
        <v>9</v>
      </c>
      <c r="D116" s="476">
        <v>7080203</v>
      </c>
      <c r="E116" s="476">
        <v>11106</v>
      </c>
      <c r="F116" s="476">
        <v>9015</v>
      </c>
      <c r="G116" s="476">
        <v>11439</v>
      </c>
      <c r="H116" s="476">
        <v>11539</v>
      </c>
      <c r="I116" s="476">
        <v>11439</v>
      </c>
      <c r="J116" s="476">
        <v>7080203</v>
      </c>
      <c r="K116" s="476">
        <v>11106</v>
      </c>
      <c r="L116" s="476">
        <v>7292609</v>
      </c>
      <c r="M116" s="476">
        <v>7716729</v>
      </c>
      <c r="N116" s="476">
        <v>11439</v>
      </c>
      <c r="O116" s="476">
        <v>11092</v>
      </c>
      <c r="P116" s="476">
        <v>6720180</v>
      </c>
      <c r="Q116" s="476">
        <v>7080203</v>
      </c>
      <c r="S116" s="476">
        <v>1</v>
      </c>
      <c r="T116" s="476">
        <v>0</v>
      </c>
      <c r="U116" s="476">
        <v>7080203</v>
      </c>
      <c r="V116" s="476">
        <v>11092</v>
      </c>
    </row>
    <row r="117" spans="1:24" x14ac:dyDescent="0.25">
      <c r="A117" s="476">
        <v>101862</v>
      </c>
      <c r="B117" s="476">
        <v>36832</v>
      </c>
      <c r="C117" s="476">
        <v>9</v>
      </c>
      <c r="D117" s="476">
        <v>37586287</v>
      </c>
      <c r="E117" s="476">
        <v>9633</v>
      </c>
      <c r="F117" s="476">
        <v>9015</v>
      </c>
      <c r="G117" s="476">
        <v>9922</v>
      </c>
      <c r="H117" s="476">
        <v>11539</v>
      </c>
      <c r="I117" s="476">
        <v>9922</v>
      </c>
      <c r="J117" s="476">
        <v>37586287</v>
      </c>
      <c r="K117" s="476">
        <v>9633</v>
      </c>
      <c r="L117" s="476">
        <v>39068353</v>
      </c>
      <c r="M117" s="476">
        <v>39786622</v>
      </c>
      <c r="N117" s="476">
        <v>9922</v>
      </c>
      <c r="O117" s="476">
        <v>10013</v>
      </c>
      <c r="P117" s="476">
        <v>35794135</v>
      </c>
      <c r="Q117" s="476">
        <v>37586287</v>
      </c>
      <c r="S117" s="476">
        <v>1</v>
      </c>
      <c r="T117" s="476">
        <v>0</v>
      </c>
      <c r="U117" s="476">
        <v>37586287</v>
      </c>
      <c r="V117" s="476">
        <v>10013</v>
      </c>
    </row>
    <row r="118" spans="1:24" x14ac:dyDescent="0.25">
      <c r="A118" s="476">
        <v>101864</v>
      </c>
      <c r="B118" s="476">
        <v>36832</v>
      </c>
      <c r="C118" s="476">
        <v>9</v>
      </c>
      <c r="D118" s="476">
        <v>1796566</v>
      </c>
      <c r="E118" s="476">
        <v>10428</v>
      </c>
      <c r="F118" s="476">
        <v>9015</v>
      </c>
      <c r="G118" s="476">
        <v>10740</v>
      </c>
      <c r="H118" s="476">
        <v>11539</v>
      </c>
      <c r="I118" s="476">
        <v>10740</v>
      </c>
      <c r="J118" s="476">
        <v>1796566</v>
      </c>
      <c r="K118" s="476">
        <v>10428</v>
      </c>
      <c r="L118" s="476">
        <v>1889504</v>
      </c>
      <c r="M118" s="476">
        <v>1872039</v>
      </c>
      <c r="N118" s="476">
        <v>10740</v>
      </c>
      <c r="O118" s="476">
        <v>10967</v>
      </c>
      <c r="P118" s="476">
        <v>1709653</v>
      </c>
      <c r="Q118" s="476">
        <v>1796566</v>
      </c>
      <c r="S118" s="476">
        <v>1</v>
      </c>
      <c r="T118" s="476">
        <v>0</v>
      </c>
      <c r="U118" s="476">
        <v>1796566</v>
      </c>
      <c r="V118" s="476">
        <v>10967</v>
      </c>
    </row>
    <row r="119" spans="1:24" x14ac:dyDescent="0.25">
      <c r="A119" s="476">
        <v>101868</v>
      </c>
      <c r="B119" s="476">
        <v>36832</v>
      </c>
      <c r="C119" s="476">
        <v>9</v>
      </c>
      <c r="D119" s="476">
        <v>4412464</v>
      </c>
      <c r="E119" s="476">
        <v>11821</v>
      </c>
      <c r="F119" s="476">
        <v>9015</v>
      </c>
      <c r="G119" s="476">
        <v>12176</v>
      </c>
      <c r="H119" s="476">
        <v>11539</v>
      </c>
      <c r="I119" s="476">
        <v>11539</v>
      </c>
      <c r="J119" s="476">
        <v>4412464</v>
      </c>
      <c r="K119" s="476">
        <v>11821</v>
      </c>
      <c r="L119" s="476">
        <v>4412464</v>
      </c>
      <c r="M119" s="476">
        <v>4372453</v>
      </c>
      <c r="N119" s="476">
        <v>11821</v>
      </c>
      <c r="O119" s="476">
        <v>11490</v>
      </c>
      <c r="P119" s="476">
        <v>4194814</v>
      </c>
      <c r="Q119" s="476">
        <v>4412464</v>
      </c>
      <c r="S119" s="476">
        <v>1</v>
      </c>
      <c r="T119" s="476">
        <v>0</v>
      </c>
      <c r="U119" s="476">
        <v>4412464</v>
      </c>
      <c r="V119" s="476">
        <v>11490</v>
      </c>
    </row>
    <row r="120" spans="1:24" x14ac:dyDescent="0.25">
      <c r="A120" s="476">
        <v>101870</v>
      </c>
      <c r="B120" s="476">
        <v>36832</v>
      </c>
      <c r="C120" s="476">
        <v>9</v>
      </c>
      <c r="D120" s="476">
        <v>10039824</v>
      </c>
      <c r="E120" s="476">
        <v>9364</v>
      </c>
      <c r="F120" s="476">
        <v>9015</v>
      </c>
      <c r="G120" s="476">
        <v>9645</v>
      </c>
      <c r="H120" s="476">
        <v>11539</v>
      </c>
      <c r="I120" s="476">
        <v>9645</v>
      </c>
      <c r="J120" s="476">
        <v>10039824</v>
      </c>
      <c r="K120" s="476">
        <v>9364</v>
      </c>
      <c r="L120" s="476">
        <v>10648018</v>
      </c>
      <c r="M120" s="476">
        <v>10983747</v>
      </c>
      <c r="N120" s="476">
        <v>9645</v>
      </c>
      <c r="O120" s="476">
        <v>9931</v>
      </c>
      <c r="P120" s="476">
        <v>9649463</v>
      </c>
      <c r="Q120" s="476">
        <v>10039824</v>
      </c>
      <c r="S120" s="476">
        <v>1</v>
      </c>
      <c r="T120" s="476">
        <v>0</v>
      </c>
      <c r="U120" s="476">
        <v>10039824</v>
      </c>
      <c r="V120" s="476">
        <v>9931</v>
      </c>
    </row>
    <row r="121" spans="1:24" x14ac:dyDescent="0.25">
      <c r="A121" s="476">
        <v>101871</v>
      </c>
      <c r="B121" s="476">
        <v>36832</v>
      </c>
      <c r="C121" s="476">
        <v>9</v>
      </c>
      <c r="D121" s="476">
        <v>1568779</v>
      </c>
      <c r="E121" s="476">
        <v>11091</v>
      </c>
      <c r="F121" s="476">
        <v>9015</v>
      </c>
      <c r="G121" s="476">
        <v>11424</v>
      </c>
      <c r="H121" s="476">
        <v>11539</v>
      </c>
      <c r="I121" s="476">
        <v>11424</v>
      </c>
      <c r="J121" s="476">
        <v>1568779</v>
      </c>
      <c r="K121" s="476">
        <v>11091</v>
      </c>
      <c r="L121" s="476">
        <v>1675946</v>
      </c>
      <c r="M121" s="476">
        <v>1657183</v>
      </c>
      <c r="N121" s="476">
        <v>11424</v>
      </c>
      <c r="O121" s="476">
        <v>11849</v>
      </c>
      <c r="P121" s="476">
        <v>1510329</v>
      </c>
      <c r="Q121" s="476">
        <v>1568779</v>
      </c>
      <c r="S121" s="476">
        <v>1</v>
      </c>
      <c r="T121" s="476">
        <v>0</v>
      </c>
      <c r="U121" s="476">
        <v>1568779</v>
      </c>
      <c r="V121" s="476">
        <v>11849</v>
      </c>
    </row>
    <row r="122" spans="1:24" x14ac:dyDescent="0.25">
      <c r="A122" s="476">
        <v>101872</v>
      </c>
      <c r="B122" s="476">
        <v>36832</v>
      </c>
      <c r="C122" s="476">
        <v>9</v>
      </c>
      <c r="D122" s="476">
        <v>2150562</v>
      </c>
      <c r="E122" s="476">
        <v>10258</v>
      </c>
      <c r="F122" s="476">
        <v>9015</v>
      </c>
      <c r="G122" s="476">
        <v>10566</v>
      </c>
      <c r="H122" s="476">
        <v>11539</v>
      </c>
      <c r="I122" s="476">
        <v>10566</v>
      </c>
      <c r="J122" s="476">
        <v>2150562</v>
      </c>
      <c r="K122" s="476">
        <v>10258</v>
      </c>
      <c r="L122" s="476">
        <v>2215079</v>
      </c>
      <c r="M122" s="476">
        <v>2370125</v>
      </c>
      <c r="N122" s="476">
        <v>10566</v>
      </c>
      <c r="O122" s="476">
        <v>10508</v>
      </c>
      <c r="P122" s="476">
        <v>2081078</v>
      </c>
      <c r="Q122" s="476">
        <v>2150562</v>
      </c>
      <c r="S122" s="476">
        <v>1</v>
      </c>
      <c r="T122" s="476">
        <v>0</v>
      </c>
      <c r="U122" s="476">
        <v>2150562</v>
      </c>
      <c r="V122" s="476">
        <v>10508</v>
      </c>
    </row>
    <row r="123" spans="1:24" x14ac:dyDescent="0.25">
      <c r="A123" s="476">
        <v>101873</v>
      </c>
      <c r="B123" s="476">
        <v>36832</v>
      </c>
      <c r="C123" s="476">
        <v>9</v>
      </c>
      <c r="D123" s="476">
        <v>2152766</v>
      </c>
      <c r="E123" s="476">
        <v>10441</v>
      </c>
      <c r="F123" s="476">
        <v>9015</v>
      </c>
      <c r="G123" s="476">
        <v>10754</v>
      </c>
      <c r="H123" s="476">
        <v>11539</v>
      </c>
      <c r="I123" s="476">
        <v>10754</v>
      </c>
      <c r="J123" s="476">
        <v>2152766</v>
      </c>
      <c r="K123" s="476">
        <v>10441</v>
      </c>
      <c r="L123" s="476">
        <v>2217349</v>
      </c>
      <c r="M123" s="476">
        <v>2258473</v>
      </c>
      <c r="N123" s="476">
        <v>10754</v>
      </c>
      <c r="O123" s="476">
        <v>10080</v>
      </c>
      <c r="P123" s="476">
        <v>2034033</v>
      </c>
      <c r="Q123" s="476">
        <v>2152766</v>
      </c>
      <c r="S123" s="476">
        <v>1</v>
      </c>
      <c r="T123" s="476">
        <v>0</v>
      </c>
      <c r="U123" s="476">
        <v>2152766</v>
      </c>
      <c r="V123" s="476">
        <v>10080</v>
      </c>
    </row>
    <row r="124" spans="1:24" x14ac:dyDescent="0.25">
      <c r="A124" s="476">
        <v>101874</v>
      </c>
      <c r="B124" s="476">
        <v>36832</v>
      </c>
      <c r="C124" s="476">
        <v>9</v>
      </c>
      <c r="D124" s="476">
        <v>3037284</v>
      </c>
      <c r="E124" s="476">
        <v>8794</v>
      </c>
      <c r="F124" s="476">
        <v>9015</v>
      </c>
      <c r="G124" s="476">
        <v>9058</v>
      </c>
      <c r="H124" s="476">
        <v>11539</v>
      </c>
      <c r="I124" s="476">
        <v>9058</v>
      </c>
      <c r="J124" s="476">
        <v>3037284</v>
      </c>
      <c r="K124" s="476">
        <v>8794</v>
      </c>
      <c r="L124" s="476">
        <v>3257800</v>
      </c>
      <c r="M124" s="476">
        <v>3251850</v>
      </c>
      <c r="N124" s="476">
        <v>9058</v>
      </c>
      <c r="O124" s="476">
        <v>9433</v>
      </c>
      <c r="P124" s="476">
        <v>2850228</v>
      </c>
      <c r="Q124" s="476">
        <v>3037284</v>
      </c>
      <c r="S124" s="476">
        <v>1</v>
      </c>
      <c r="T124" s="476">
        <v>0</v>
      </c>
      <c r="U124" s="476">
        <v>3037284</v>
      </c>
      <c r="V124" s="476">
        <v>9433</v>
      </c>
    </row>
    <row r="125" spans="1:24" x14ac:dyDescent="0.25">
      <c r="A125" s="476">
        <v>101875</v>
      </c>
      <c r="B125" s="476">
        <v>36832</v>
      </c>
      <c r="C125" s="476">
        <v>9</v>
      </c>
      <c r="F125" s="476">
        <v>9015</v>
      </c>
      <c r="H125" s="476">
        <v>11539</v>
      </c>
      <c r="I125" s="476">
        <v>11539</v>
      </c>
      <c r="L125" s="476">
        <v>907747</v>
      </c>
      <c r="M125" s="476">
        <v>855730</v>
      </c>
      <c r="N125" s="476">
        <v>11539</v>
      </c>
      <c r="O125" s="476">
        <v>11055</v>
      </c>
      <c r="S125" s="476">
        <v>1</v>
      </c>
      <c r="T125" s="476">
        <v>0</v>
      </c>
      <c r="V125" s="476">
        <v>11055</v>
      </c>
    </row>
    <row r="126" spans="1:24" x14ac:dyDescent="0.25">
      <c r="A126" s="476">
        <v>101876</v>
      </c>
      <c r="B126" s="476">
        <v>36832</v>
      </c>
      <c r="C126" s="476">
        <v>9</v>
      </c>
      <c r="F126" s="476">
        <v>9015</v>
      </c>
      <c r="H126" s="476">
        <v>11539</v>
      </c>
      <c r="I126" s="476">
        <v>11539</v>
      </c>
      <c r="L126" s="476">
        <v>1476701</v>
      </c>
      <c r="M126" s="476">
        <v>1270681</v>
      </c>
      <c r="N126" s="476">
        <v>11539</v>
      </c>
      <c r="O126" s="476">
        <v>10020</v>
      </c>
      <c r="S126" s="476">
        <v>1</v>
      </c>
      <c r="T126" s="476">
        <v>0</v>
      </c>
      <c r="V126" s="476">
        <v>10020</v>
      </c>
    </row>
    <row r="127" spans="1:24" x14ac:dyDescent="0.25">
      <c r="A127" s="476">
        <v>101877</v>
      </c>
      <c r="B127" s="476">
        <v>0</v>
      </c>
      <c r="C127" s="476">
        <v>0</v>
      </c>
      <c r="D127" s="476">
        <v>0</v>
      </c>
      <c r="E127" s="476">
        <v>0</v>
      </c>
      <c r="F127" s="476">
        <v>0</v>
      </c>
      <c r="G127" s="476">
        <v>0</v>
      </c>
      <c r="H127" s="476">
        <v>0</v>
      </c>
      <c r="I127" s="476">
        <v>0</v>
      </c>
      <c r="J127" s="476">
        <v>0</v>
      </c>
      <c r="K127" s="476">
        <v>0</v>
      </c>
      <c r="L127" s="476">
        <v>0</v>
      </c>
      <c r="M127" s="476">
        <v>0</v>
      </c>
      <c r="N127" s="476">
        <v>0</v>
      </c>
      <c r="O127" s="476">
        <v>0</v>
      </c>
      <c r="P127" s="476">
        <v>0</v>
      </c>
      <c r="Q127" s="476">
        <v>0</v>
      </c>
      <c r="R127" s="476">
        <v>0</v>
      </c>
      <c r="S127" s="476">
        <v>0</v>
      </c>
      <c r="T127" s="476">
        <v>0</v>
      </c>
      <c r="U127" s="476">
        <v>0</v>
      </c>
      <c r="V127" s="476">
        <v>0</v>
      </c>
      <c r="W127" s="476">
        <v>0</v>
      </c>
      <c r="X127" s="476">
        <v>0</v>
      </c>
    </row>
    <row r="128" spans="1:24" x14ac:dyDescent="0.25">
      <c r="A128" s="476">
        <v>101878</v>
      </c>
      <c r="B128" s="476">
        <v>36832</v>
      </c>
      <c r="C128" s="476">
        <v>9</v>
      </c>
      <c r="F128" s="476">
        <v>9015</v>
      </c>
      <c r="H128" s="476">
        <v>11539</v>
      </c>
      <c r="I128" s="476">
        <v>11539</v>
      </c>
      <c r="L128" s="476">
        <v>475798</v>
      </c>
      <c r="M128" s="476">
        <v>405563</v>
      </c>
      <c r="N128" s="476">
        <v>11539</v>
      </c>
      <c r="S128" s="476">
        <v>1</v>
      </c>
      <c r="T128" s="476">
        <v>0</v>
      </c>
    </row>
    <row r="129" spans="1:24" x14ac:dyDescent="0.25">
      <c r="A129" s="476">
        <v>105801</v>
      </c>
      <c r="B129" s="476">
        <v>36832</v>
      </c>
      <c r="C129" s="476">
        <v>9</v>
      </c>
      <c r="D129" s="476">
        <v>924449</v>
      </c>
      <c r="E129" s="476">
        <v>12299</v>
      </c>
      <c r="F129" s="476">
        <v>9015</v>
      </c>
      <c r="G129" s="476">
        <v>12668</v>
      </c>
      <c r="H129" s="476">
        <v>11539</v>
      </c>
      <c r="I129" s="476">
        <v>11539</v>
      </c>
      <c r="J129" s="476">
        <v>924449</v>
      </c>
      <c r="K129" s="476">
        <v>12299</v>
      </c>
      <c r="L129" s="476">
        <v>924449</v>
      </c>
      <c r="M129" s="476">
        <v>962353</v>
      </c>
      <c r="N129" s="476">
        <v>12299</v>
      </c>
      <c r="O129" s="476">
        <v>11388</v>
      </c>
      <c r="P129" s="476">
        <v>860541</v>
      </c>
      <c r="Q129" s="476">
        <v>924449</v>
      </c>
      <c r="S129" s="476">
        <v>1</v>
      </c>
      <c r="T129" s="476">
        <v>0</v>
      </c>
      <c r="U129" s="476">
        <v>924449</v>
      </c>
      <c r="V129" s="476">
        <v>11388</v>
      </c>
    </row>
    <row r="130" spans="1:24" x14ac:dyDescent="0.25">
      <c r="A130" s="476">
        <v>105802</v>
      </c>
      <c r="B130" s="476">
        <v>36832</v>
      </c>
      <c r="C130" s="476">
        <v>9</v>
      </c>
      <c r="D130" s="476">
        <v>1549640</v>
      </c>
      <c r="E130" s="476">
        <v>10512</v>
      </c>
      <c r="F130" s="476">
        <v>9015</v>
      </c>
      <c r="G130" s="476">
        <v>10827</v>
      </c>
      <c r="H130" s="476">
        <v>11539</v>
      </c>
      <c r="I130" s="476">
        <v>10827</v>
      </c>
      <c r="J130" s="476">
        <v>1549640</v>
      </c>
      <c r="K130" s="476">
        <v>10512</v>
      </c>
      <c r="L130" s="476">
        <v>1608942</v>
      </c>
      <c r="M130" s="476">
        <v>1618192</v>
      </c>
      <c r="N130" s="476">
        <v>10827</v>
      </c>
      <c r="O130" s="476">
        <v>10914</v>
      </c>
      <c r="P130" s="476">
        <v>1462167</v>
      </c>
      <c r="Q130" s="476">
        <v>1549640</v>
      </c>
      <c r="S130" s="476">
        <v>1</v>
      </c>
      <c r="T130" s="476">
        <v>0</v>
      </c>
      <c r="U130" s="476">
        <v>1549640</v>
      </c>
      <c r="V130" s="476">
        <v>10914</v>
      </c>
    </row>
    <row r="131" spans="1:24" x14ac:dyDescent="0.25">
      <c r="A131" s="476">
        <v>105803</v>
      </c>
      <c r="B131" s="476">
        <v>36832</v>
      </c>
      <c r="C131" s="476">
        <v>9</v>
      </c>
      <c r="D131" s="476">
        <v>4722554</v>
      </c>
      <c r="E131" s="476">
        <v>17323</v>
      </c>
      <c r="F131" s="476">
        <v>9015</v>
      </c>
      <c r="G131" s="476">
        <v>17843</v>
      </c>
      <c r="H131" s="476">
        <v>11539</v>
      </c>
      <c r="I131" s="476">
        <v>11539</v>
      </c>
      <c r="J131" s="476">
        <v>4722554</v>
      </c>
      <c r="K131" s="476">
        <v>17323</v>
      </c>
      <c r="L131" s="476">
        <v>4722554</v>
      </c>
      <c r="M131" s="476">
        <v>4767706</v>
      </c>
      <c r="N131" s="476">
        <v>17323</v>
      </c>
      <c r="O131" s="476">
        <v>11849</v>
      </c>
      <c r="P131" s="476">
        <v>4634217</v>
      </c>
      <c r="Q131" s="476">
        <v>4722554</v>
      </c>
      <c r="S131" s="476">
        <v>1</v>
      </c>
      <c r="T131" s="476">
        <v>0</v>
      </c>
      <c r="U131" s="476">
        <v>4722554</v>
      </c>
      <c r="V131" s="476">
        <v>11849</v>
      </c>
    </row>
    <row r="132" spans="1:24" x14ac:dyDescent="0.25">
      <c r="A132" s="476">
        <v>105804</v>
      </c>
      <c r="B132" s="476">
        <v>0</v>
      </c>
      <c r="C132" s="476">
        <v>0</v>
      </c>
      <c r="D132" s="476">
        <v>0</v>
      </c>
      <c r="E132" s="476">
        <v>0</v>
      </c>
      <c r="F132" s="476">
        <v>0</v>
      </c>
      <c r="G132" s="476">
        <v>0</v>
      </c>
      <c r="H132" s="476">
        <v>0</v>
      </c>
      <c r="I132" s="476">
        <v>0</v>
      </c>
      <c r="J132" s="476">
        <v>0</v>
      </c>
      <c r="K132" s="476">
        <v>0</v>
      </c>
      <c r="L132" s="476">
        <v>0</v>
      </c>
      <c r="M132" s="476">
        <v>0</v>
      </c>
      <c r="N132" s="476">
        <v>0</v>
      </c>
      <c r="O132" s="476">
        <v>0</v>
      </c>
      <c r="P132" s="476">
        <v>0</v>
      </c>
      <c r="Q132" s="476">
        <v>0</v>
      </c>
      <c r="R132" s="476">
        <v>0</v>
      </c>
      <c r="S132" s="476">
        <v>0</v>
      </c>
      <c r="T132" s="476">
        <v>0</v>
      </c>
      <c r="U132" s="476">
        <v>0</v>
      </c>
      <c r="V132" s="476">
        <v>0</v>
      </c>
      <c r="W132" s="476">
        <v>0</v>
      </c>
      <c r="X132" s="476">
        <v>0</v>
      </c>
    </row>
    <row r="133" spans="1:24" x14ac:dyDescent="0.25">
      <c r="A133" s="476">
        <v>108802</v>
      </c>
      <c r="B133" s="476">
        <v>36832</v>
      </c>
      <c r="C133" s="476">
        <v>9</v>
      </c>
      <c r="D133" s="476">
        <v>10860045</v>
      </c>
      <c r="E133" s="476">
        <v>10397</v>
      </c>
      <c r="F133" s="476">
        <v>9015</v>
      </c>
      <c r="G133" s="476">
        <v>10709</v>
      </c>
      <c r="H133" s="476">
        <v>11539</v>
      </c>
      <c r="I133" s="476">
        <v>10709</v>
      </c>
      <c r="J133" s="476">
        <v>10860045</v>
      </c>
      <c r="K133" s="476">
        <v>10397</v>
      </c>
      <c r="L133" s="476">
        <v>11391786</v>
      </c>
      <c r="M133" s="476">
        <v>11425922</v>
      </c>
      <c r="N133" s="476">
        <v>10709</v>
      </c>
      <c r="O133" s="476">
        <v>10906</v>
      </c>
      <c r="P133" s="476">
        <v>10396712</v>
      </c>
      <c r="Q133" s="476">
        <v>10860045</v>
      </c>
      <c r="S133" s="476">
        <v>1</v>
      </c>
      <c r="T133" s="476">
        <v>0</v>
      </c>
      <c r="U133" s="476">
        <v>10860045</v>
      </c>
      <c r="V133" s="476">
        <v>10906</v>
      </c>
    </row>
    <row r="134" spans="1:24" x14ac:dyDescent="0.25">
      <c r="A134" s="476">
        <v>108804</v>
      </c>
      <c r="B134" s="476">
        <v>36832</v>
      </c>
      <c r="C134" s="476">
        <v>9</v>
      </c>
      <c r="D134" s="476">
        <v>4824282</v>
      </c>
      <c r="E134" s="476">
        <v>10946</v>
      </c>
      <c r="F134" s="476">
        <v>9015</v>
      </c>
      <c r="G134" s="476">
        <v>11275</v>
      </c>
      <c r="H134" s="476">
        <v>11539</v>
      </c>
      <c r="I134" s="476">
        <v>11275</v>
      </c>
      <c r="J134" s="476">
        <v>4824282</v>
      </c>
      <c r="K134" s="476">
        <v>10946</v>
      </c>
      <c r="L134" s="476">
        <v>5025496</v>
      </c>
      <c r="M134" s="476">
        <v>5129280</v>
      </c>
      <c r="N134" s="476">
        <v>11275</v>
      </c>
      <c r="O134" s="476">
        <v>11403</v>
      </c>
      <c r="P134" s="476">
        <v>4625255</v>
      </c>
      <c r="Q134" s="476">
        <v>4824282</v>
      </c>
      <c r="S134" s="476">
        <v>1</v>
      </c>
      <c r="T134" s="476">
        <v>0</v>
      </c>
      <c r="U134" s="476">
        <v>4824282</v>
      </c>
      <c r="V134" s="476">
        <v>11403</v>
      </c>
    </row>
    <row r="135" spans="1:24" x14ac:dyDescent="0.25">
      <c r="A135" s="476">
        <v>108807</v>
      </c>
      <c r="B135" s="476">
        <v>36832</v>
      </c>
      <c r="C135" s="476">
        <v>9</v>
      </c>
      <c r="D135" s="476">
        <v>603354091</v>
      </c>
      <c r="E135" s="476">
        <v>10289</v>
      </c>
      <c r="F135" s="476">
        <v>9015</v>
      </c>
      <c r="G135" s="476">
        <v>10598</v>
      </c>
      <c r="H135" s="476">
        <v>11539</v>
      </c>
      <c r="I135" s="476">
        <v>10598</v>
      </c>
      <c r="J135" s="476">
        <v>603354091</v>
      </c>
      <c r="K135" s="476">
        <v>10289</v>
      </c>
      <c r="L135" s="476">
        <v>621454735</v>
      </c>
      <c r="M135" s="476">
        <v>641492881</v>
      </c>
      <c r="N135" s="476">
        <v>10598</v>
      </c>
      <c r="O135" s="476">
        <v>10518</v>
      </c>
      <c r="P135" s="476">
        <v>580994101</v>
      </c>
      <c r="Q135" s="476">
        <v>603354091</v>
      </c>
      <c r="S135" s="476">
        <v>1</v>
      </c>
      <c r="T135" s="476">
        <v>0</v>
      </c>
      <c r="U135" s="476">
        <v>603354091</v>
      </c>
      <c r="V135" s="476">
        <v>10518</v>
      </c>
    </row>
    <row r="136" spans="1:24" x14ac:dyDescent="0.25">
      <c r="A136" s="476">
        <v>108808</v>
      </c>
      <c r="B136" s="476">
        <v>36832</v>
      </c>
      <c r="C136" s="476">
        <v>9</v>
      </c>
      <c r="D136" s="476">
        <v>45449625</v>
      </c>
      <c r="E136" s="476">
        <v>10051</v>
      </c>
      <c r="F136" s="476">
        <v>9015</v>
      </c>
      <c r="G136" s="476">
        <v>10353</v>
      </c>
      <c r="H136" s="476">
        <v>11539</v>
      </c>
      <c r="I136" s="476">
        <v>10353</v>
      </c>
      <c r="J136" s="476">
        <v>45449625</v>
      </c>
      <c r="K136" s="476">
        <v>10051</v>
      </c>
      <c r="L136" s="476">
        <v>47912569</v>
      </c>
      <c r="M136" s="476">
        <v>47936161</v>
      </c>
      <c r="N136" s="476">
        <v>10353</v>
      </c>
      <c r="O136" s="476">
        <v>10596</v>
      </c>
      <c r="P136" s="476">
        <v>43486002</v>
      </c>
      <c r="Q136" s="476">
        <v>45449625</v>
      </c>
      <c r="S136" s="476">
        <v>1</v>
      </c>
      <c r="T136" s="476">
        <v>0</v>
      </c>
      <c r="U136" s="476">
        <v>45449625</v>
      </c>
      <c r="V136" s="476">
        <v>10596</v>
      </c>
    </row>
    <row r="137" spans="1:24" x14ac:dyDescent="0.25">
      <c r="A137" s="476">
        <v>108809</v>
      </c>
      <c r="B137" s="476">
        <v>36832</v>
      </c>
      <c r="C137" s="476">
        <v>9</v>
      </c>
      <c r="D137" s="476">
        <v>2920282</v>
      </c>
      <c r="E137" s="476">
        <v>10906</v>
      </c>
      <c r="F137" s="476">
        <v>9015</v>
      </c>
      <c r="G137" s="476">
        <v>11233</v>
      </c>
      <c r="H137" s="476">
        <v>11539</v>
      </c>
      <c r="I137" s="476">
        <v>11233</v>
      </c>
      <c r="J137" s="476">
        <v>2920282</v>
      </c>
      <c r="K137" s="476">
        <v>10906</v>
      </c>
      <c r="L137" s="476">
        <v>3007891</v>
      </c>
      <c r="M137" s="476">
        <v>3102688</v>
      </c>
      <c r="N137" s="476">
        <v>11233</v>
      </c>
      <c r="O137" s="476">
        <v>10942</v>
      </c>
      <c r="P137" s="476">
        <v>2788352</v>
      </c>
      <c r="Q137" s="476">
        <v>2920282</v>
      </c>
      <c r="S137" s="476">
        <v>1</v>
      </c>
      <c r="T137" s="476">
        <v>0</v>
      </c>
      <c r="U137" s="476">
        <v>2920282</v>
      </c>
      <c r="V137" s="476">
        <v>10942</v>
      </c>
    </row>
    <row r="138" spans="1:24" x14ac:dyDescent="0.25">
      <c r="A138" s="476">
        <v>111801</v>
      </c>
      <c r="B138" s="476">
        <v>36832</v>
      </c>
      <c r="C138" s="476">
        <v>9</v>
      </c>
      <c r="D138" s="476">
        <v>664857</v>
      </c>
      <c r="E138" s="476">
        <v>10296</v>
      </c>
      <c r="F138" s="476">
        <v>9015</v>
      </c>
      <c r="G138" s="476">
        <v>10605</v>
      </c>
      <c r="H138" s="476">
        <v>11539</v>
      </c>
      <c r="I138" s="476">
        <v>10605</v>
      </c>
      <c r="J138" s="476">
        <v>664857</v>
      </c>
      <c r="K138" s="476">
        <v>10296</v>
      </c>
      <c r="L138" s="476">
        <v>754600</v>
      </c>
      <c r="M138" s="476">
        <v>822545</v>
      </c>
      <c r="N138" s="476">
        <v>10605</v>
      </c>
      <c r="O138" s="476">
        <v>11686</v>
      </c>
      <c r="P138" s="476">
        <v>625372</v>
      </c>
      <c r="Q138" s="476">
        <v>664857</v>
      </c>
      <c r="S138" s="476">
        <v>1</v>
      </c>
      <c r="T138" s="476">
        <v>0</v>
      </c>
      <c r="U138" s="476">
        <v>664857</v>
      </c>
      <c r="V138" s="476">
        <v>11686</v>
      </c>
    </row>
    <row r="139" spans="1:24" x14ac:dyDescent="0.25">
      <c r="A139" s="476">
        <v>123803</v>
      </c>
      <c r="B139" s="476">
        <v>36832</v>
      </c>
      <c r="C139" s="476">
        <v>9</v>
      </c>
      <c r="D139" s="476">
        <v>3880794</v>
      </c>
      <c r="E139" s="476">
        <v>10132</v>
      </c>
      <c r="F139" s="476">
        <v>9015</v>
      </c>
      <c r="G139" s="476">
        <v>10436</v>
      </c>
      <c r="H139" s="476">
        <v>11539</v>
      </c>
      <c r="I139" s="476">
        <v>10436</v>
      </c>
      <c r="J139" s="476">
        <v>3880794</v>
      </c>
      <c r="K139" s="476">
        <v>10132</v>
      </c>
      <c r="L139" s="476">
        <v>4092845</v>
      </c>
      <c r="M139" s="476">
        <v>4180708</v>
      </c>
      <c r="N139" s="476">
        <v>10436</v>
      </c>
      <c r="O139" s="476">
        <v>10686</v>
      </c>
      <c r="P139" s="476">
        <v>3704861</v>
      </c>
      <c r="Q139" s="476">
        <v>3880794</v>
      </c>
      <c r="S139" s="476">
        <v>1</v>
      </c>
      <c r="T139" s="476">
        <v>0</v>
      </c>
      <c r="U139" s="476">
        <v>3880794</v>
      </c>
      <c r="V139" s="476">
        <v>10686</v>
      </c>
    </row>
    <row r="140" spans="1:24" x14ac:dyDescent="0.25">
      <c r="A140" s="476">
        <v>123805</v>
      </c>
      <c r="B140" s="476">
        <v>36832</v>
      </c>
      <c r="C140" s="476">
        <v>9</v>
      </c>
      <c r="D140" s="476">
        <v>4733178</v>
      </c>
      <c r="E140" s="476">
        <v>10537</v>
      </c>
      <c r="F140" s="476">
        <v>9015</v>
      </c>
      <c r="G140" s="476">
        <v>10853</v>
      </c>
      <c r="H140" s="476">
        <v>11539</v>
      </c>
      <c r="I140" s="476">
        <v>10853</v>
      </c>
      <c r="J140" s="476">
        <v>4733178</v>
      </c>
      <c r="K140" s="476">
        <v>10537</v>
      </c>
      <c r="L140" s="476">
        <v>4896193</v>
      </c>
      <c r="M140" s="476">
        <v>5135595</v>
      </c>
      <c r="N140" s="476">
        <v>10853</v>
      </c>
      <c r="O140" s="476">
        <v>10900</v>
      </c>
      <c r="P140" s="476">
        <v>4524182</v>
      </c>
      <c r="Q140" s="476">
        <v>4733178</v>
      </c>
      <c r="S140" s="476">
        <v>1</v>
      </c>
      <c r="T140" s="476">
        <v>0</v>
      </c>
      <c r="U140" s="476">
        <v>4733178</v>
      </c>
      <c r="V140" s="476">
        <v>10900</v>
      </c>
    </row>
    <row r="141" spans="1:24" x14ac:dyDescent="0.25">
      <c r="A141" s="476">
        <v>123807</v>
      </c>
      <c r="B141" s="476">
        <v>36832</v>
      </c>
      <c r="C141" s="476">
        <v>9</v>
      </c>
      <c r="D141" s="476">
        <v>20258810</v>
      </c>
      <c r="E141" s="476">
        <v>10322</v>
      </c>
      <c r="F141" s="476">
        <v>9015</v>
      </c>
      <c r="G141" s="476">
        <v>10631</v>
      </c>
      <c r="H141" s="476">
        <v>11539</v>
      </c>
      <c r="I141" s="476">
        <v>10631</v>
      </c>
      <c r="J141" s="476">
        <v>20258810</v>
      </c>
      <c r="K141" s="476">
        <v>10322</v>
      </c>
      <c r="L141" s="476">
        <v>21085555</v>
      </c>
      <c r="M141" s="476">
        <v>21406704</v>
      </c>
      <c r="N141" s="476">
        <v>10631</v>
      </c>
      <c r="O141" s="476">
        <v>10743</v>
      </c>
      <c r="P141" s="476">
        <v>19463941</v>
      </c>
      <c r="Q141" s="476">
        <v>20258810</v>
      </c>
      <c r="S141" s="476">
        <v>1</v>
      </c>
      <c r="T141" s="476">
        <v>0</v>
      </c>
      <c r="U141" s="476">
        <v>20258810</v>
      </c>
      <c r="V141" s="476">
        <v>10743</v>
      </c>
    </row>
    <row r="142" spans="1:24" x14ac:dyDescent="0.25">
      <c r="A142" s="476">
        <v>130801</v>
      </c>
      <c r="B142" s="476">
        <v>36832</v>
      </c>
      <c r="C142" s="476">
        <v>9</v>
      </c>
      <c r="D142" s="476">
        <v>1367572</v>
      </c>
      <c r="E142" s="476">
        <v>17536</v>
      </c>
      <c r="F142" s="476">
        <v>9015</v>
      </c>
      <c r="G142" s="476">
        <v>18062</v>
      </c>
      <c r="H142" s="476">
        <v>11539</v>
      </c>
      <c r="I142" s="476">
        <v>11539</v>
      </c>
      <c r="J142" s="476">
        <v>1367572</v>
      </c>
      <c r="K142" s="476">
        <v>17536</v>
      </c>
      <c r="L142" s="476">
        <v>1367572</v>
      </c>
      <c r="M142" s="476">
        <v>1320104</v>
      </c>
      <c r="N142" s="476">
        <v>17536</v>
      </c>
      <c r="O142" s="476">
        <v>11849</v>
      </c>
      <c r="P142" s="476">
        <v>1325563</v>
      </c>
      <c r="Q142" s="476">
        <v>1367572</v>
      </c>
      <c r="S142" s="476">
        <v>1</v>
      </c>
      <c r="T142" s="476">
        <v>0</v>
      </c>
      <c r="U142" s="476">
        <v>1367572</v>
      </c>
      <c r="V142" s="476">
        <v>11849</v>
      </c>
    </row>
    <row r="143" spans="1:24" x14ac:dyDescent="0.25">
      <c r="A143" s="476">
        <v>152802</v>
      </c>
      <c r="B143" s="476">
        <v>36832</v>
      </c>
      <c r="C143" s="476">
        <v>9</v>
      </c>
      <c r="D143" s="476">
        <v>2273212</v>
      </c>
      <c r="E143" s="476">
        <v>10241</v>
      </c>
      <c r="F143" s="476">
        <v>9015</v>
      </c>
      <c r="G143" s="476">
        <v>10548</v>
      </c>
      <c r="H143" s="476">
        <v>11539</v>
      </c>
      <c r="I143" s="476">
        <v>10548</v>
      </c>
      <c r="J143" s="476">
        <v>2273212</v>
      </c>
      <c r="K143" s="476">
        <v>10241</v>
      </c>
      <c r="L143" s="476">
        <v>2341408</v>
      </c>
      <c r="M143" s="476">
        <v>2492174</v>
      </c>
      <c r="N143" s="476">
        <v>10548</v>
      </c>
      <c r="O143" s="476">
        <v>10241</v>
      </c>
      <c r="P143" s="476">
        <v>2154390</v>
      </c>
      <c r="Q143" s="476">
        <v>2273212</v>
      </c>
      <c r="S143" s="476">
        <v>1</v>
      </c>
      <c r="T143" s="476">
        <v>0</v>
      </c>
      <c r="U143" s="476">
        <v>2273212</v>
      </c>
      <c r="V143" s="476">
        <v>10241</v>
      </c>
    </row>
    <row r="144" spans="1:24" x14ac:dyDescent="0.25">
      <c r="A144" s="476">
        <v>152803</v>
      </c>
      <c r="B144" s="476">
        <v>36832</v>
      </c>
      <c r="C144" s="476">
        <v>9</v>
      </c>
      <c r="D144" s="476">
        <v>1746128</v>
      </c>
      <c r="E144" s="476">
        <v>11431</v>
      </c>
      <c r="F144" s="476">
        <v>9015</v>
      </c>
      <c r="G144" s="476">
        <v>11774</v>
      </c>
      <c r="H144" s="476">
        <v>11539</v>
      </c>
      <c r="I144" s="476">
        <v>11539</v>
      </c>
      <c r="J144" s="476">
        <v>1746128</v>
      </c>
      <c r="K144" s="476">
        <v>11431</v>
      </c>
      <c r="L144" s="476">
        <v>1809970</v>
      </c>
      <c r="M144" s="476">
        <v>1801333</v>
      </c>
      <c r="N144" s="476">
        <v>11539</v>
      </c>
      <c r="O144" s="476">
        <v>11849</v>
      </c>
      <c r="P144" s="476">
        <v>1665529</v>
      </c>
      <c r="Q144" s="476">
        <v>1746128</v>
      </c>
      <c r="S144" s="476">
        <v>1</v>
      </c>
      <c r="T144" s="476">
        <v>0</v>
      </c>
      <c r="U144" s="476">
        <v>1746128</v>
      </c>
      <c r="V144" s="476">
        <v>11849</v>
      </c>
    </row>
    <row r="145" spans="1:24" x14ac:dyDescent="0.25">
      <c r="A145" s="476">
        <v>152806</v>
      </c>
      <c r="B145" s="476">
        <v>36832</v>
      </c>
      <c r="C145" s="476">
        <v>9</v>
      </c>
      <c r="F145" s="476">
        <v>9015</v>
      </c>
      <c r="H145" s="476">
        <v>11539</v>
      </c>
      <c r="I145" s="476">
        <v>11539</v>
      </c>
      <c r="L145" s="476">
        <v>1582219</v>
      </c>
      <c r="M145" s="476">
        <v>1600762</v>
      </c>
      <c r="N145" s="476">
        <v>11539</v>
      </c>
      <c r="O145" s="476">
        <v>11545</v>
      </c>
      <c r="S145" s="476">
        <v>1</v>
      </c>
      <c r="T145" s="476">
        <v>0</v>
      </c>
      <c r="V145" s="476">
        <v>11545</v>
      </c>
    </row>
    <row r="146" spans="1:24" x14ac:dyDescent="0.25">
      <c r="A146" s="476">
        <v>161801</v>
      </c>
      <c r="B146" s="476">
        <v>36832</v>
      </c>
      <c r="C146" s="476">
        <v>9</v>
      </c>
      <c r="D146" s="476">
        <v>2084332</v>
      </c>
      <c r="E146" s="476">
        <v>11233</v>
      </c>
      <c r="F146" s="476">
        <v>9015</v>
      </c>
      <c r="G146" s="476">
        <v>11570</v>
      </c>
      <c r="H146" s="476">
        <v>11539</v>
      </c>
      <c r="I146" s="476">
        <v>11539</v>
      </c>
      <c r="J146" s="476">
        <v>2084332</v>
      </c>
      <c r="K146" s="476">
        <v>11233</v>
      </c>
      <c r="L146" s="476">
        <v>2141246</v>
      </c>
      <c r="M146" s="476">
        <v>2307317</v>
      </c>
      <c r="N146" s="476">
        <v>11539</v>
      </c>
      <c r="O146" s="476">
        <v>10511</v>
      </c>
      <c r="P146" s="476">
        <v>1981509</v>
      </c>
      <c r="Q146" s="476">
        <v>2084332</v>
      </c>
      <c r="S146" s="476">
        <v>1</v>
      </c>
      <c r="T146" s="476">
        <v>0</v>
      </c>
      <c r="U146" s="476">
        <v>2084332</v>
      </c>
      <c r="V146" s="476">
        <v>10511</v>
      </c>
    </row>
    <row r="147" spans="1:24" x14ac:dyDescent="0.25">
      <c r="A147" s="476">
        <v>161802</v>
      </c>
      <c r="B147" s="476">
        <v>36832</v>
      </c>
      <c r="C147" s="476">
        <v>9</v>
      </c>
      <c r="D147" s="476">
        <v>8168593</v>
      </c>
      <c r="E147" s="476">
        <v>10798</v>
      </c>
      <c r="F147" s="476">
        <v>9015</v>
      </c>
      <c r="G147" s="476">
        <v>11122</v>
      </c>
      <c r="H147" s="476">
        <v>11539</v>
      </c>
      <c r="I147" s="476">
        <v>11122</v>
      </c>
      <c r="J147" s="476">
        <v>8168593</v>
      </c>
      <c r="K147" s="476">
        <v>10798</v>
      </c>
      <c r="L147" s="476">
        <v>8413651</v>
      </c>
      <c r="M147" s="476">
        <v>8623268</v>
      </c>
      <c r="N147" s="476">
        <v>11122</v>
      </c>
      <c r="O147" s="476">
        <v>10778</v>
      </c>
      <c r="P147" s="476">
        <v>7800572</v>
      </c>
      <c r="Q147" s="476">
        <v>8168593</v>
      </c>
      <c r="S147" s="476">
        <v>1</v>
      </c>
      <c r="T147" s="476">
        <v>0</v>
      </c>
      <c r="U147" s="476">
        <v>8168593</v>
      </c>
      <c r="V147" s="476">
        <v>10778</v>
      </c>
    </row>
    <row r="148" spans="1:24" x14ac:dyDescent="0.25">
      <c r="A148" s="476">
        <v>161807</v>
      </c>
      <c r="B148" s="476">
        <v>36832</v>
      </c>
      <c r="C148" s="476">
        <v>9</v>
      </c>
      <c r="D148" s="476">
        <v>97460478</v>
      </c>
      <c r="E148" s="476">
        <v>10074</v>
      </c>
      <c r="F148" s="476">
        <v>9015</v>
      </c>
      <c r="G148" s="476">
        <v>10376</v>
      </c>
      <c r="H148" s="476">
        <v>11539</v>
      </c>
      <c r="I148" s="476">
        <v>10376</v>
      </c>
      <c r="J148" s="476">
        <v>97460478</v>
      </c>
      <c r="K148" s="476">
        <v>10074</v>
      </c>
      <c r="L148" s="476">
        <v>101389305</v>
      </c>
      <c r="M148" s="476">
        <v>103069209</v>
      </c>
      <c r="N148" s="476">
        <v>10376</v>
      </c>
      <c r="O148" s="476">
        <v>10480</v>
      </c>
      <c r="P148" s="476">
        <v>93023516</v>
      </c>
      <c r="Q148" s="476">
        <v>97460478</v>
      </c>
      <c r="S148" s="476">
        <v>1</v>
      </c>
      <c r="T148" s="476">
        <v>0</v>
      </c>
      <c r="U148" s="476">
        <v>97460478</v>
      </c>
      <c r="V148" s="476">
        <v>10480</v>
      </c>
    </row>
    <row r="149" spans="1:24" x14ac:dyDescent="0.25">
      <c r="A149" s="476">
        <v>165802</v>
      </c>
      <c r="B149" s="476">
        <v>36832</v>
      </c>
      <c r="C149" s="476">
        <v>9</v>
      </c>
      <c r="D149" s="476">
        <v>3149559</v>
      </c>
      <c r="E149" s="476">
        <v>9106</v>
      </c>
      <c r="F149" s="476">
        <v>9015</v>
      </c>
      <c r="G149" s="476">
        <v>9379</v>
      </c>
      <c r="H149" s="476">
        <v>11539</v>
      </c>
      <c r="I149" s="476">
        <v>9379</v>
      </c>
      <c r="J149" s="476">
        <v>3149559</v>
      </c>
      <c r="K149" s="476">
        <v>9106</v>
      </c>
      <c r="L149" s="476">
        <v>3277886</v>
      </c>
      <c r="M149" s="476">
        <v>3313858</v>
      </c>
      <c r="N149" s="476">
        <v>9379</v>
      </c>
      <c r="O149" s="476">
        <v>9477</v>
      </c>
      <c r="P149" s="476">
        <v>2973667</v>
      </c>
      <c r="Q149" s="476">
        <v>3149559</v>
      </c>
      <c r="S149" s="476">
        <v>1</v>
      </c>
      <c r="T149" s="476">
        <v>0</v>
      </c>
      <c r="U149" s="476">
        <v>3149559</v>
      </c>
      <c r="V149" s="476">
        <v>9477</v>
      </c>
    </row>
    <row r="150" spans="1:24" x14ac:dyDescent="0.25">
      <c r="A150" s="476">
        <v>170801</v>
      </c>
      <c r="B150" s="476">
        <v>36832</v>
      </c>
      <c r="C150" s="476">
        <v>9</v>
      </c>
      <c r="D150" s="476">
        <v>4762415</v>
      </c>
      <c r="E150" s="476">
        <v>10743</v>
      </c>
      <c r="F150" s="476">
        <v>9015</v>
      </c>
      <c r="G150" s="476">
        <v>11066</v>
      </c>
      <c r="H150" s="476">
        <v>11539</v>
      </c>
      <c r="I150" s="476">
        <v>11066</v>
      </c>
      <c r="J150" s="476">
        <v>4762415</v>
      </c>
      <c r="K150" s="476">
        <v>10743</v>
      </c>
      <c r="L150" s="476">
        <v>4905288</v>
      </c>
      <c r="M150" s="476">
        <v>5168402</v>
      </c>
      <c r="N150" s="476">
        <v>11066</v>
      </c>
      <c r="O150" s="476">
        <v>10923</v>
      </c>
      <c r="P150" s="476">
        <v>4547402</v>
      </c>
      <c r="Q150" s="476">
        <v>4762415</v>
      </c>
      <c r="S150" s="476">
        <v>1</v>
      </c>
      <c r="T150" s="476">
        <v>0</v>
      </c>
      <c r="U150" s="476">
        <v>4762415</v>
      </c>
      <c r="V150" s="476">
        <v>10923</v>
      </c>
    </row>
    <row r="151" spans="1:24" x14ac:dyDescent="0.25">
      <c r="A151" s="476">
        <v>170802</v>
      </c>
      <c r="B151" s="476">
        <v>0</v>
      </c>
      <c r="C151" s="476">
        <v>0</v>
      </c>
      <c r="D151" s="476">
        <v>0</v>
      </c>
      <c r="E151" s="476">
        <v>0</v>
      </c>
      <c r="F151" s="476">
        <v>0</v>
      </c>
      <c r="G151" s="476">
        <v>0</v>
      </c>
      <c r="H151" s="476">
        <v>0</v>
      </c>
      <c r="I151" s="476">
        <v>0</v>
      </c>
      <c r="J151" s="476">
        <v>0</v>
      </c>
      <c r="K151" s="476">
        <v>0</v>
      </c>
      <c r="L151" s="476">
        <v>0</v>
      </c>
      <c r="M151" s="476">
        <v>0</v>
      </c>
      <c r="N151" s="476">
        <v>0</v>
      </c>
      <c r="O151" s="476">
        <v>0</v>
      </c>
      <c r="P151" s="476">
        <v>0</v>
      </c>
      <c r="Q151" s="476">
        <v>0</v>
      </c>
      <c r="R151" s="476">
        <v>0</v>
      </c>
      <c r="S151" s="476">
        <v>0</v>
      </c>
      <c r="T151" s="476">
        <v>0</v>
      </c>
      <c r="U151" s="476">
        <v>0</v>
      </c>
      <c r="V151" s="476">
        <v>0</v>
      </c>
      <c r="W151" s="476">
        <v>0</v>
      </c>
      <c r="X151" s="476">
        <v>0</v>
      </c>
    </row>
    <row r="152" spans="1:24" x14ac:dyDescent="0.25">
      <c r="A152" s="476">
        <v>174801</v>
      </c>
      <c r="B152" s="476">
        <v>36832</v>
      </c>
      <c r="C152" s="476">
        <v>9</v>
      </c>
      <c r="D152" s="476">
        <v>2076492</v>
      </c>
      <c r="E152" s="476">
        <v>8321</v>
      </c>
      <c r="F152" s="476">
        <v>9015</v>
      </c>
      <c r="G152" s="476">
        <v>8571</v>
      </c>
      <c r="H152" s="476">
        <v>11539</v>
      </c>
      <c r="I152" s="476">
        <v>8571</v>
      </c>
      <c r="J152" s="476">
        <v>2076492</v>
      </c>
      <c r="K152" s="476">
        <v>8321</v>
      </c>
      <c r="L152" s="476">
        <v>2152033</v>
      </c>
      <c r="M152" s="476">
        <v>2195085</v>
      </c>
      <c r="N152" s="476">
        <v>8571</v>
      </c>
      <c r="O152" s="476">
        <v>8624</v>
      </c>
      <c r="P152" s="476">
        <v>1955451</v>
      </c>
      <c r="Q152" s="476">
        <v>2076492</v>
      </c>
      <c r="S152" s="476">
        <v>1</v>
      </c>
      <c r="T152" s="476">
        <v>0</v>
      </c>
      <c r="U152" s="476">
        <v>2076492</v>
      </c>
      <c r="V152" s="476">
        <v>8624</v>
      </c>
    </row>
    <row r="153" spans="1:24" x14ac:dyDescent="0.25">
      <c r="A153" s="476">
        <v>178801</v>
      </c>
      <c r="B153" s="476">
        <v>36832</v>
      </c>
      <c r="C153" s="476">
        <v>9</v>
      </c>
      <c r="D153" s="476">
        <v>2085065</v>
      </c>
      <c r="E153" s="476">
        <v>10416</v>
      </c>
      <c r="F153" s="476">
        <v>9015</v>
      </c>
      <c r="G153" s="476">
        <v>10728</v>
      </c>
      <c r="H153" s="476">
        <v>11539</v>
      </c>
      <c r="I153" s="476">
        <v>10728</v>
      </c>
      <c r="J153" s="476">
        <v>2085065</v>
      </c>
      <c r="K153" s="476">
        <v>10416</v>
      </c>
      <c r="L153" s="476">
        <v>2147617</v>
      </c>
      <c r="M153" s="476">
        <v>2216751</v>
      </c>
      <c r="N153" s="476">
        <v>10728</v>
      </c>
      <c r="O153" s="476">
        <v>10530</v>
      </c>
      <c r="P153" s="476">
        <v>1986687</v>
      </c>
      <c r="Q153" s="476">
        <v>2085065</v>
      </c>
      <c r="S153" s="476">
        <v>1</v>
      </c>
      <c r="T153" s="476">
        <v>0</v>
      </c>
      <c r="U153" s="476">
        <v>2085065</v>
      </c>
      <c r="V153" s="476">
        <v>10530</v>
      </c>
    </row>
    <row r="154" spans="1:24" x14ac:dyDescent="0.25">
      <c r="A154" s="476">
        <v>178807</v>
      </c>
      <c r="B154" s="476">
        <v>36832</v>
      </c>
      <c r="C154" s="476">
        <v>9</v>
      </c>
      <c r="D154" s="476">
        <v>985014</v>
      </c>
      <c r="E154" s="476">
        <v>8697</v>
      </c>
      <c r="F154" s="476">
        <v>9015</v>
      </c>
      <c r="G154" s="476">
        <v>8957</v>
      </c>
      <c r="H154" s="476">
        <v>11539</v>
      </c>
      <c r="I154" s="476">
        <v>8957</v>
      </c>
      <c r="J154" s="476">
        <v>985014</v>
      </c>
      <c r="K154" s="476">
        <v>8697</v>
      </c>
      <c r="L154" s="476">
        <v>1026747</v>
      </c>
      <c r="M154" s="476">
        <v>1078357</v>
      </c>
      <c r="N154" s="476">
        <v>8957</v>
      </c>
      <c r="O154" s="476">
        <v>9065</v>
      </c>
      <c r="P154" s="476">
        <v>920942</v>
      </c>
      <c r="Q154" s="476">
        <v>985014</v>
      </c>
      <c r="S154" s="476">
        <v>1</v>
      </c>
      <c r="T154" s="476">
        <v>0</v>
      </c>
      <c r="U154" s="476">
        <v>985014</v>
      </c>
      <c r="V154" s="476">
        <v>9065</v>
      </c>
    </row>
    <row r="155" spans="1:24" x14ac:dyDescent="0.25">
      <c r="A155" s="476">
        <v>178808</v>
      </c>
      <c r="B155" s="476">
        <v>36832</v>
      </c>
      <c r="C155" s="476">
        <v>9</v>
      </c>
      <c r="D155" s="476">
        <v>4107677</v>
      </c>
      <c r="E155" s="476">
        <v>8377</v>
      </c>
      <c r="F155" s="476">
        <v>9015</v>
      </c>
      <c r="G155" s="476">
        <v>8628</v>
      </c>
      <c r="H155" s="476">
        <v>11539</v>
      </c>
      <c r="I155" s="476">
        <v>8628</v>
      </c>
      <c r="J155" s="476">
        <v>4107677</v>
      </c>
      <c r="K155" s="476">
        <v>8377</v>
      </c>
      <c r="L155" s="476">
        <v>4277297</v>
      </c>
      <c r="M155" s="476">
        <v>4298634</v>
      </c>
      <c r="N155" s="476">
        <v>8628</v>
      </c>
      <c r="O155" s="476">
        <v>8723</v>
      </c>
      <c r="P155" s="476">
        <v>3874687</v>
      </c>
      <c r="Q155" s="476">
        <v>4107677</v>
      </c>
      <c r="S155" s="476">
        <v>1</v>
      </c>
      <c r="T155" s="476">
        <v>0</v>
      </c>
      <c r="U155" s="476">
        <v>4107677</v>
      </c>
      <c r="V155" s="476">
        <v>8723</v>
      </c>
    </row>
    <row r="156" spans="1:24" x14ac:dyDescent="0.25">
      <c r="A156" s="476">
        <v>183801</v>
      </c>
      <c r="B156" s="476">
        <v>36832</v>
      </c>
      <c r="C156" s="476">
        <v>9</v>
      </c>
      <c r="D156" s="476">
        <v>1808849</v>
      </c>
      <c r="E156" s="476">
        <v>9706</v>
      </c>
      <c r="F156" s="476">
        <v>9015</v>
      </c>
      <c r="G156" s="476">
        <v>9997</v>
      </c>
      <c r="H156" s="476">
        <v>11539</v>
      </c>
      <c r="I156" s="476">
        <v>9997</v>
      </c>
      <c r="J156" s="476">
        <v>1808849</v>
      </c>
      <c r="K156" s="476">
        <v>9706</v>
      </c>
      <c r="L156" s="476">
        <v>1948343</v>
      </c>
      <c r="M156" s="476">
        <v>1809239</v>
      </c>
      <c r="N156" s="476">
        <v>9997</v>
      </c>
      <c r="O156" s="476">
        <v>10454</v>
      </c>
      <c r="P156" s="476">
        <v>1734427</v>
      </c>
      <c r="Q156" s="476">
        <v>1808849</v>
      </c>
      <c r="S156" s="476">
        <v>1</v>
      </c>
      <c r="T156" s="476">
        <v>0</v>
      </c>
      <c r="U156" s="476">
        <v>1808849</v>
      </c>
      <c r="V156" s="476">
        <v>10454</v>
      </c>
    </row>
    <row r="157" spans="1:24" x14ac:dyDescent="0.25">
      <c r="A157" s="476">
        <v>184801</v>
      </c>
      <c r="B157" s="476">
        <v>36832</v>
      </c>
      <c r="C157" s="476">
        <v>9</v>
      </c>
      <c r="D157" s="476">
        <v>1237025</v>
      </c>
      <c r="E157" s="476">
        <v>11128</v>
      </c>
      <c r="F157" s="476">
        <v>9015</v>
      </c>
      <c r="G157" s="476">
        <v>11461</v>
      </c>
      <c r="H157" s="476">
        <v>11539</v>
      </c>
      <c r="I157" s="476">
        <v>11461</v>
      </c>
      <c r="J157" s="476">
        <v>1237025</v>
      </c>
      <c r="K157" s="476">
        <v>11128</v>
      </c>
      <c r="L157" s="476">
        <v>1274136</v>
      </c>
      <c r="M157" s="476">
        <v>1180914</v>
      </c>
      <c r="N157" s="476">
        <v>11461</v>
      </c>
      <c r="O157" s="476">
        <v>11081</v>
      </c>
      <c r="P157" s="476">
        <v>1173912</v>
      </c>
      <c r="Q157" s="476">
        <v>1237025</v>
      </c>
      <c r="S157" s="476">
        <v>1</v>
      </c>
      <c r="T157" s="476">
        <v>0</v>
      </c>
      <c r="U157" s="476">
        <v>1237025</v>
      </c>
      <c r="V157" s="476">
        <v>11081</v>
      </c>
    </row>
    <row r="158" spans="1:24" x14ac:dyDescent="0.25">
      <c r="A158" s="476">
        <v>193801</v>
      </c>
      <c r="B158" s="476">
        <v>36832</v>
      </c>
      <c r="C158" s="476">
        <v>9</v>
      </c>
      <c r="D158" s="476">
        <v>3425370</v>
      </c>
      <c r="E158" s="476">
        <v>17545</v>
      </c>
      <c r="F158" s="476">
        <v>9015</v>
      </c>
      <c r="G158" s="476">
        <v>18071</v>
      </c>
      <c r="H158" s="476">
        <v>11539</v>
      </c>
      <c r="I158" s="476">
        <v>11539</v>
      </c>
      <c r="J158" s="476">
        <v>3425370</v>
      </c>
      <c r="K158" s="476">
        <v>17545</v>
      </c>
      <c r="L158" s="476">
        <v>3425370</v>
      </c>
      <c r="M158" s="476">
        <v>3303984</v>
      </c>
      <c r="N158" s="476">
        <v>17545</v>
      </c>
      <c r="O158" s="476">
        <v>11849</v>
      </c>
      <c r="P158" s="476">
        <v>3328975</v>
      </c>
      <c r="Q158" s="476">
        <v>3425370</v>
      </c>
      <c r="S158" s="476">
        <v>1</v>
      </c>
      <c r="T158" s="476">
        <v>0</v>
      </c>
      <c r="U158" s="476">
        <v>3425370</v>
      </c>
      <c r="V158" s="476">
        <v>11849</v>
      </c>
    </row>
    <row r="159" spans="1:24" x14ac:dyDescent="0.25">
      <c r="A159" s="476">
        <v>212801</v>
      </c>
      <c r="B159" s="476">
        <v>36832</v>
      </c>
      <c r="C159" s="476">
        <v>9</v>
      </c>
      <c r="D159" s="476">
        <v>18106764</v>
      </c>
      <c r="E159" s="476">
        <v>9877</v>
      </c>
      <c r="F159" s="476">
        <v>9015</v>
      </c>
      <c r="G159" s="476">
        <v>10173</v>
      </c>
      <c r="H159" s="476">
        <v>11539</v>
      </c>
      <c r="I159" s="476">
        <v>10173</v>
      </c>
      <c r="J159" s="476">
        <v>18106764</v>
      </c>
      <c r="K159" s="476">
        <v>9877</v>
      </c>
      <c r="L159" s="476">
        <v>18677436</v>
      </c>
      <c r="M159" s="476">
        <v>18440579</v>
      </c>
      <c r="N159" s="476">
        <v>10173</v>
      </c>
      <c r="O159" s="476">
        <v>10188</v>
      </c>
      <c r="P159" s="476">
        <v>17193222</v>
      </c>
      <c r="Q159" s="476">
        <v>18106764</v>
      </c>
      <c r="S159" s="476">
        <v>1</v>
      </c>
      <c r="T159" s="476">
        <v>0</v>
      </c>
      <c r="U159" s="476">
        <v>18106764</v>
      </c>
      <c r="V159" s="476">
        <v>10188</v>
      </c>
    </row>
    <row r="160" spans="1:24" x14ac:dyDescent="0.25">
      <c r="A160" s="476">
        <v>212804</v>
      </c>
      <c r="B160" s="476">
        <v>36832</v>
      </c>
      <c r="C160" s="476">
        <v>9</v>
      </c>
      <c r="D160" s="476">
        <v>7403276</v>
      </c>
      <c r="E160" s="476">
        <v>9221</v>
      </c>
      <c r="F160" s="476">
        <v>9015</v>
      </c>
      <c r="G160" s="476">
        <v>9497</v>
      </c>
      <c r="H160" s="476">
        <v>11539</v>
      </c>
      <c r="I160" s="476">
        <v>9497</v>
      </c>
      <c r="J160" s="476">
        <v>7403276</v>
      </c>
      <c r="K160" s="476">
        <v>9221</v>
      </c>
      <c r="L160" s="476">
        <v>7625374</v>
      </c>
      <c r="M160" s="476">
        <v>7621166</v>
      </c>
      <c r="N160" s="476">
        <v>9497</v>
      </c>
      <c r="O160" s="476">
        <v>9360</v>
      </c>
      <c r="P160" s="476">
        <v>7014621</v>
      </c>
      <c r="Q160" s="476">
        <v>7403276</v>
      </c>
      <c r="S160" s="476">
        <v>1</v>
      </c>
      <c r="T160" s="476">
        <v>0</v>
      </c>
      <c r="U160" s="476">
        <v>7403276</v>
      </c>
      <c r="V160" s="476">
        <v>9360</v>
      </c>
    </row>
    <row r="161" spans="1:24" x14ac:dyDescent="0.25">
      <c r="A161" s="476">
        <v>213801</v>
      </c>
      <c r="B161" s="476">
        <v>36832</v>
      </c>
      <c r="C161" s="476">
        <v>9</v>
      </c>
      <c r="D161" s="476">
        <v>2278195</v>
      </c>
      <c r="E161" s="476">
        <v>11540</v>
      </c>
      <c r="F161" s="476">
        <v>9015</v>
      </c>
      <c r="G161" s="476">
        <v>11886</v>
      </c>
      <c r="H161" s="476">
        <v>11539</v>
      </c>
      <c r="I161" s="476">
        <v>11539</v>
      </c>
      <c r="J161" s="476">
        <v>2278195</v>
      </c>
      <c r="K161" s="476">
        <v>11540</v>
      </c>
      <c r="L161" s="476">
        <v>2339147</v>
      </c>
      <c r="M161" s="476">
        <v>2322450</v>
      </c>
      <c r="N161" s="476">
        <v>11540</v>
      </c>
      <c r="O161" s="476">
        <v>11849</v>
      </c>
      <c r="P161" s="476">
        <v>2176529</v>
      </c>
      <c r="Q161" s="476">
        <v>2278195</v>
      </c>
      <c r="S161" s="476">
        <v>1</v>
      </c>
      <c r="T161" s="476">
        <v>0</v>
      </c>
      <c r="U161" s="476">
        <v>2278195</v>
      </c>
      <c r="V161" s="476">
        <v>11849</v>
      </c>
    </row>
    <row r="162" spans="1:24" x14ac:dyDescent="0.25">
      <c r="A162" s="476">
        <v>220801</v>
      </c>
      <c r="B162" s="476">
        <v>36832</v>
      </c>
      <c r="C162" s="476">
        <v>9</v>
      </c>
      <c r="D162" s="476">
        <v>3232899</v>
      </c>
      <c r="E162" s="476">
        <v>8346</v>
      </c>
      <c r="F162" s="476">
        <v>9015</v>
      </c>
      <c r="G162" s="476">
        <v>8596</v>
      </c>
      <c r="H162" s="476">
        <v>11539</v>
      </c>
      <c r="I162" s="476">
        <v>8596</v>
      </c>
      <c r="J162" s="476">
        <v>3232899</v>
      </c>
      <c r="K162" s="476">
        <v>8346</v>
      </c>
      <c r="L162" s="476">
        <v>3345284</v>
      </c>
      <c r="M162" s="476">
        <v>3540780</v>
      </c>
      <c r="N162" s="476">
        <v>8596</v>
      </c>
      <c r="O162" s="476">
        <v>8636</v>
      </c>
      <c r="P162" s="476">
        <v>3052979</v>
      </c>
      <c r="Q162" s="476">
        <v>3232899</v>
      </c>
      <c r="S162" s="476">
        <v>1</v>
      </c>
      <c r="T162" s="476">
        <v>0</v>
      </c>
      <c r="U162" s="476">
        <v>3232899</v>
      </c>
      <c r="V162" s="476">
        <v>8636</v>
      </c>
    </row>
    <row r="163" spans="1:24" x14ac:dyDescent="0.25">
      <c r="A163" s="476">
        <v>220802</v>
      </c>
      <c r="B163" s="476">
        <v>36832</v>
      </c>
      <c r="C163" s="476">
        <v>9</v>
      </c>
      <c r="D163" s="476">
        <v>13108201</v>
      </c>
      <c r="E163" s="476">
        <v>8572</v>
      </c>
      <c r="F163" s="476">
        <v>9015</v>
      </c>
      <c r="G163" s="476">
        <v>8830</v>
      </c>
      <c r="H163" s="476">
        <v>11539</v>
      </c>
      <c r="I163" s="476">
        <v>8830</v>
      </c>
      <c r="J163" s="476">
        <v>13108201</v>
      </c>
      <c r="K163" s="476">
        <v>8572</v>
      </c>
      <c r="L163" s="476">
        <v>13501403</v>
      </c>
      <c r="M163" s="476">
        <v>13796632</v>
      </c>
      <c r="N163" s="476">
        <v>8830</v>
      </c>
      <c r="O163" s="476">
        <v>8821</v>
      </c>
      <c r="P163" s="476">
        <v>12370839</v>
      </c>
      <c r="Q163" s="476">
        <v>13108201</v>
      </c>
      <c r="S163" s="476">
        <v>1</v>
      </c>
      <c r="T163" s="476">
        <v>0</v>
      </c>
      <c r="U163" s="476">
        <v>13108201</v>
      </c>
      <c r="V163" s="476">
        <v>8821</v>
      </c>
    </row>
    <row r="164" spans="1:24" x14ac:dyDescent="0.25">
      <c r="A164" s="476">
        <v>220809</v>
      </c>
      <c r="B164" s="476">
        <v>36832</v>
      </c>
      <c r="C164" s="476">
        <v>9</v>
      </c>
      <c r="D164" s="476">
        <v>5146726</v>
      </c>
      <c r="E164" s="476">
        <v>8418</v>
      </c>
      <c r="F164" s="476">
        <v>9015</v>
      </c>
      <c r="G164" s="476">
        <v>8670</v>
      </c>
      <c r="H164" s="476">
        <v>11539</v>
      </c>
      <c r="I164" s="476">
        <v>8670</v>
      </c>
      <c r="J164" s="476">
        <v>5146726</v>
      </c>
      <c r="K164" s="476">
        <v>8418</v>
      </c>
      <c r="L164" s="476">
        <v>5426937</v>
      </c>
      <c r="M164" s="476">
        <v>5562474</v>
      </c>
      <c r="N164" s="476">
        <v>8670</v>
      </c>
      <c r="O164" s="476">
        <v>8876</v>
      </c>
      <c r="P164" s="476">
        <v>4902882</v>
      </c>
      <c r="Q164" s="476">
        <v>5146726</v>
      </c>
      <c r="S164" s="476">
        <v>1</v>
      </c>
      <c r="T164" s="476">
        <v>0</v>
      </c>
      <c r="U164" s="476">
        <v>5146726</v>
      </c>
      <c r="V164" s="476">
        <v>8876</v>
      </c>
    </row>
    <row r="165" spans="1:24" x14ac:dyDescent="0.25">
      <c r="A165" s="476">
        <v>220810</v>
      </c>
      <c r="B165" s="476">
        <v>36832</v>
      </c>
      <c r="C165" s="476">
        <v>9</v>
      </c>
      <c r="D165" s="476">
        <v>7051743</v>
      </c>
      <c r="E165" s="476">
        <v>8367</v>
      </c>
      <c r="F165" s="476">
        <v>9015</v>
      </c>
      <c r="G165" s="476">
        <v>8618</v>
      </c>
      <c r="H165" s="476">
        <v>11539</v>
      </c>
      <c r="I165" s="476">
        <v>8618</v>
      </c>
      <c r="J165" s="476">
        <v>7051743</v>
      </c>
      <c r="K165" s="476">
        <v>8367</v>
      </c>
      <c r="L165" s="476">
        <v>7365290</v>
      </c>
      <c r="M165" s="476">
        <v>7478398</v>
      </c>
      <c r="N165" s="476">
        <v>8618</v>
      </c>
      <c r="O165" s="476">
        <v>8739</v>
      </c>
      <c r="P165" s="476">
        <v>6628077</v>
      </c>
      <c r="Q165" s="476">
        <v>7051743</v>
      </c>
      <c r="S165" s="476">
        <v>1</v>
      </c>
      <c r="T165" s="476">
        <v>0</v>
      </c>
      <c r="U165" s="476">
        <v>7051743</v>
      </c>
      <c r="V165" s="476">
        <v>8739</v>
      </c>
    </row>
    <row r="166" spans="1:24" x14ac:dyDescent="0.25">
      <c r="A166" s="476">
        <v>220811</v>
      </c>
      <c r="B166" s="476">
        <v>36832</v>
      </c>
      <c r="C166" s="476">
        <v>9</v>
      </c>
      <c r="D166" s="476">
        <v>2027662</v>
      </c>
      <c r="E166" s="476">
        <v>10336</v>
      </c>
      <c r="F166" s="476">
        <v>9015</v>
      </c>
      <c r="G166" s="476">
        <v>10646</v>
      </c>
      <c r="H166" s="476">
        <v>11539</v>
      </c>
      <c r="I166" s="476">
        <v>10646</v>
      </c>
      <c r="J166" s="476">
        <v>2027662</v>
      </c>
      <c r="K166" s="476">
        <v>10336</v>
      </c>
      <c r="L166" s="476">
        <v>2123027</v>
      </c>
      <c r="M166" s="476">
        <v>2190929</v>
      </c>
      <c r="N166" s="476">
        <v>10646</v>
      </c>
      <c r="O166" s="476">
        <v>10822</v>
      </c>
      <c r="P166" s="476">
        <v>1928144</v>
      </c>
      <c r="Q166" s="476">
        <v>2027662</v>
      </c>
      <c r="S166" s="476">
        <v>1</v>
      </c>
      <c r="T166" s="476">
        <v>0</v>
      </c>
      <c r="U166" s="476">
        <v>2027662</v>
      </c>
      <c r="V166" s="476">
        <v>10822</v>
      </c>
    </row>
    <row r="167" spans="1:24" x14ac:dyDescent="0.25">
      <c r="A167" s="476">
        <v>220814</v>
      </c>
      <c r="B167" s="476">
        <v>36832</v>
      </c>
      <c r="C167" s="476">
        <v>9</v>
      </c>
      <c r="D167" s="476">
        <v>2362525</v>
      </c>
      <c r="E167" s="476">
        <v>8408</v>
      </c>
      <c r="F167" s="476">
        <v>9015</v>
      </c>
      <c r="G167" s="476">
        <v>8661</v>
      </c>
      <c r="H167" s="476">
        <v>11539</v>
      </c>
      <c r="I167" s="476">
        <v>8661</v>
      </c>
      <c r="J167" s="476">
        <v>2362525</v>
      </c>
      <c r="K167" s="476">
        <v>8408</v>
      </c>
      <c r="L167" s="476">
        <v>2480122</v>
      </c>
      <c r="M167" s="476">
        <v>2577791</v>
      </c>
      <c r="N167" s="476">
        <v>8661</v>
      </c>
      <c r="O167" s="476">
        <v>8827</v>
      </c>
      <c r="P167" s="476">
        <v>2210210</v>
      </c>
      <c r="Q167" s="476">
        <v>2362525</v>
      </c>
      <c r="S167" s="476">
        <v>1</v>
      </c>
      <c r="T167" s="476">
        <v>0</v>
      </c>
      <c r="U167" s="476">
        <v>2362525</v>
      </c>
      <c r="V167" s="476">
        <v>8827</v>
      </c>
    </row>
    <row r="168" spans="1:24" x14ac:dyDescent="0.25">
      <c r="A168" s="476">
        <v>220815</v>
      </c>
      <c r="B168" s="476">
        <v>36832</v>
      </c>
      <c r="C168" s="476">
        <v>9</v>
      </c>
      <c r="D168" s="476">
        <v>6769243</v>
      </c>
      <c r="E168" s="476">
        <v>10006</v>
      </c>
      <c r="F168" s="476">
        <v>9015</v>
      </c>
      <c r="G168" s="476">
        <v>10307</v>
      </c>
      <c r="H168" s="476">
        <v>11539</v>
      </c>
      <c r="I168" s="476">
        <v>10307</v>
      </c>
      <c r="J168" s="476">
        <v>6769243</v>
      </c>
      <c r="K168" s="476">
        <v>10006</v>
      </c>
      <c r="L168" s="476">
        <v>6972321</v>
      </c>
      <c r="M168" s="476">
        <v>6946165</v>
      </c>
      <c r="N168" s="476">
        <v>10307</v>
      </c>
      <c r="O168" s="476">
        <v>9937</v>
      </c>
      <c r="P168" s="476">
        <v>6442387</v>
      </c>
      <c r="Q168" s="476">
        <v>6769243</v>
      </c>
      <c r="S168" s="476">
        <v>1</v>
      </c>
      <c r="T168" s="476">
        <v>0</v>
      </c>
      <c r="U168" s="476">
        <v>6769243</v>
      </c>
      <c r="V168" s="476">
        <v>9937</v>
      </c>
    </row>
    <row r="169" spans="1:24" x14ac:dyDescent="0.25">
      <c r="A169" s="476">
        <v>220817</v>
      </c>
      <c r="B169" s="476">
        <v>36832</v>
      </c>
      <c r="C169" s="476">
        <v>9</v>
      </c>
      <c r="D169" s="476">
        <v>26875505</v>
      </c>
      <c r="E169" s="476">
        <v>9503</v>
      </c>
      <c r="F169" s="476">
        <v>9015</v>
      </c>
      <c r="G169" s="476">
        <v>9788</v>
      </c>
      <c r="H169" s="476">
        <v>11539</v>
      </c>
      <c r="I169" s="476">
        <v>9788</v>
      </c>
      <c r="J169" s="476">
        <v>26875505</v>
      </c>
      <c r="K169" s="476">
        <v>9503</v>
      </c>
      <c r="L169" s="476">
        <v>27799260</v>
      </c>
      <c r="M169" s="476">
        <v>28203600</v>
      </c>
      <c r="N169" s="476">
        <v>9788</v>
      </c>
      <c r="O169" s="476">
        <v>9830</v>
      </c>
      <c r="P169" s="476">
        <v>25477824</v>
      </c>
      <c r="Q169" s="476">
        <v>26875505</v>
      </c>
      <c r="S169" s="476">
        <v>1</v>
      </c>
      <c r="T169" s="476">
        <v>0</v>
      </c>
      <c r="U169" s="476">
        <v>26875505</v>
      </c>
      <c r="V169" s="476">
        <v>9830</v>
      </c>
    </row>
    <row r="170" spans="1:24" x14ac:dyDescent="0.25">
      <c r="A170" s="476">
        <v>220819</v>
      </c>
      <c r="B170" s="476">
        <v>36832</v>
      </c>
      <c r="C170" s="476">
        <v>9</v>
      </c>
      <c r="D170" s="476">
        <v>13851404</v>
      </c>
      <c r="E170" s="476">
        <v>9223</v>
      </c>
      <c r="F170" s="476">
        <v>9015</v>
      </c>
      <c r="G170" s="476">
        <v>9500</v>
      </c>
      <c r="H170" s="476">
        <v>11539</v>
      </c>
      <c r="I170" s="476">
        <v>9500</v>
      </c>
      <c r="J170" s="476">
        <v>13851404</v>
      </c>
      <c r="K170" s="476">
        <v>9223</v>
      </c>
      <c r="L170" s="476">
        <v>14266898</v>
      </c>
      <c r="M170" s="476">
        <v>14553068</v>
      </c>
      <c r="N170" s="476">
        <v>9500</v>
      </c>
      <c r="O170" s="476">
        <v>9408</v>
      </c>
      <c r="P170" s="476">
        <v>13076850</v>
      </c>
      <c r="Q170" s="476">
        <v>13851404</v>
      </c>
      <c r="S170" s="476">
        <v>1</v>
      </c>
      <c r="T170" s="476">
        <v>0</v>
      </c>
      <c r="U170" s="476">
        <v>13851404</v>
      </c>
      <c r="V170" s="476">
        <v>9408</v>
      </c>
    </row>
    <row r="171" spans="1:24" x14ac:dyDescent="0.25">
      <c r="A171" s="476">
        <v>220820</v>
      </c>
      <c r="B171" s="476">
        <v>0</v>
      </c>
      <c r="C171" s="476">
        <v>0</v>
      </c>
      <c r="D171" s="476">
        <v>0</v>
      </c>
      <c r="E171" s="476">
        <v>0</v>
      </c>
      <c r="F171" s="476">
        <v>0</v>
      </c>
      <c r="G171" s="476">
        <v>0</v>
      </c>
      <c r="H171" s="476">
        <v>0</v>
      </c>
      <c r="I171" s="476">
        <v>0</v>
      </c>
      <c r="J171" s="476">
        <v>0</v>
      </c>
      <c r="K171" s="476">
        <v>0</v>
      </c>
      <c r="L171" s="476">
        <v>0</v>
      </c>
      <c r="M171" s="476">
        <v>0</v>
      </c>
      <c r="N171" s="476">
        <v>0</v>
      </c>
      <c r="O171" s="476">
        <v>0</v>
      </c>
      <c r="P171" s="476">
        <v>0</v>
      </c>
      <c r="Q171" s="476">
        <v>0</v>
      </c>
      <c r="R171" s="476">
        <v>0</v>
      </c>
      <c r="S171" s="476">
        <v>0</v>
      </c>
      <c r="T171" s="476">
        <v>0</v>
      </c>
      <c r="U171" s="476">
        <v>0</v>
      </c>
      <c r="V171" s="476">
        <v>0</v>
      </c>
      <c r="W171" s="476">
        <v>0</v>
      </c>
      <c r="X171" s="476">
        <v>0</v>
      </c>
    </row>
    <row r="172" spans="1:24" x14ac:dyDescent="0.25">
      <c r="A172" s="476">
        <v>221801</v>
      </c>
      <c r="B172" s="476">
        <v>36832</v>
      </c>
      <c r="C172" s="476">
        <v>9</v>
      </c>
      <c r="D172" s="476">
        <v>131556062</v>
      </c>
      <c r="E172" s="476">
        <v>9106</v>
      </c>
      <c r="F172" s="476">
        <v>9015</v>
      </c>
      <c r="G172" s="476">
        <v>9379</v>
      </c>
      <c r="H172" s="476">
        <v>11539</v>
      </c>
      <c r="I172" s="476">
        <v>9379</v>
      </c>
      <c r="J172" s="476">
        <v>131556062</v>
      </c>
      <c r="K172" s="476">
        <v>9106</v>
      </c>
      <c r="L172" s="476">
        <v>136233447</v>
      </c>
      <c r="M172" s="476">
        <v>140474585</v>
      </c>
      <c r="N172" s="476">
        <v>9379</v>
      </c>
      <c r="O172" s="476">
        <v>9430</v>
      </c>
      <c r="P172" s="476">
        <v>125474439</v>
      </c>
      <c r="Q172" s="476">
        <v>131556062</v>
      </c>
      <c r="S172" s="476">
        <v>1</v>
      </c>
      <c r="T172" s="476">
        <v>0</v>
      </c>
      <c r="U172" s="476">
        <v>131556062</v>
      </c>
      <c r="V172" s="476">
        <v>9430</v>
      </c>
    </row>
    <row r="173" spans="1:24" x14ac:dyDescent="0.25">
      <c r="A173" s="476">
        <v>226801</v>
      </c>
      <c r="B173" s="476">
        <v>36832</v>
      </c>
      <c r="C173" s="476">
        <v>9</v>
      </c>
      <c r="D173" s="476">
        <v>25617660</v>
      </c>
      <c r="E173" s="476">
        <v>9452</v>
      </c>
      <c r="F173" s="476">
        <v>9015</v>
      </c>
      <c r="G173" s="476">
        <v>9735</v>
      </c>
      <c r="H173" s="476">
        <v>11539</v>
      </c>
      <c r="I173" s="476">
        <v>9735</v>
      </c>
      <c r="J173" s="476">
        <v>25617660</v>
      </c>
      <c r="K173" s="476">
        <v>9452</v>
      </c>
      <c r="L173" s="476">
        <v>26515579</v>
      </c>
      <c r="M173" s="476">
        <v>27099013</v>
      </c>
      <c r="N173" s="476">
        <v>9735</v>
      </c>
      <c r="O173" s="476">
        <v>9783</v>
      </c>
      <c r="P173" s="476">
        <v>24255381</v>
      </c>
      <c r="Q173" s="476">
        <v>25617660</v>
      </c>
      <c r="S173" s="476">
        <v>1</v>
      </c>
      <c r="T173" s="476">
        <v>0</v>
      </c>
      <c r="U173" s="476">
        <v>25617660</v>
      </c>
      <c r="V173" s="476">
        <v>9783</v>
      </c>
    </row>
    <row r="174" spans="1:24" x14ac:dyDescent="0.25">
      <c r="A174" s="476">
        <v>227803</v>
      </c>
      <c r="B174" s="476">
        <v>36832</v>
      </c>
      <c r="C174" s="476">
        <v>9</v>
      </c>
      <c r="D174" s="476">
        <v>18542420</v>
      </c>
      <c r="E174" s="476">
        <v>10201</v>
      </c>
      <c r="F174" s="476">
        <v>9015</v>
      </c>
      <c r="G174" s="476">
        <v>10507</v>
      </c>
      <c r="H174" s="476">
        <v>11539</v>
      </c>
      <c r="I174" s="476">
        <v>10507</v>
      </c>
      <c r="J174" s="476">
        <v>18542420</v>
      </c>
      <c r="K174" s="476">
        <v>10201</v>
      </c>
      <c r="L174" s="476">
        <v>19269809</v>
      </c>
      <c r="M174" s="476">
        <v>19783876</v>
      </c>
      <c r="N174" s="476">
        <v>10507</v>
      </c>
      <c r="O174" s="476">
        <v>10601</v>
      </c>
      <c r="P174" s="476">
        <v>17675144</v>
      </c>
      <c r="Q174" s="476">
        <v>18542420</v>
      </c>
      <c r="S174" s="476">
        <v>1</v>
      </c>
      <c r="T174" s="476">
        <v>0</v>
      </c>
      <c r="U174" s="476">
        <v>18542420</v>
      </c>
      <c r="V174" s="476">
        <v>10601</v>
      </c>
    </row>
    <row r="175" spans="1:24" x14ac:dyDescent="0.25">
      <c r="A175" s="476">
        <v>227804</v>
      </c>
      <c r="B175" s="476">
        <v>36832</v>
      </c>
      <c r="C175" s="476">
        <v>9</v>
      </c>
      <c r="D175" s="476">
        <v>9431928</v>
      </c>
      <c r="E175" s="476">
        <v>9450</v>
      </c>
      <c r="F175" s="476">
        <v>9015</v>
      </c>
      <c r="G175" s="476">
        <v>9734</v>
      </c>
      <c r="H175" s="476">
        <v>11539</v>
      </c>
      <c r="I175" s="476">
        <v>9734</v>
      </c>
      <c r="J175" s="476">
        <v>9431928</v>
      </c>
      <c r="K175" s="476">
        <v>9450</v>
      </c>
      <c r="L175" s="476">
        <v>9815001</v>
      </c>
      <c r="M175" s="476">
        <v>9903084</v>
      </c>
      <c r="N175" s="476">
        <v>9734</v>
      </c>
      <c r="O175" s="476">
        <v>9834</v>
      </c>
      <c r="P175" s="476">
        <v>8956634</v>
      </c>
      <c r="Q175" s="476">
        <v>9431928</v>
      </c>
      <c r="S175" s="476">
        <v>1</v>
      </c>
      <c r="T175" s="476">
        <v>0</v>
      </c>
      <c r="U175" s="476">
        <v>9431928</v>
      </c>
      <c r="V175" s="476">
        <v>9834</v>
      </c>
    </row>
    <row r="176" spans="1:24" x14ac:dyDescent="0.25">
      <c r="A176" s="476">
        <v>227805</v>
      </c>
      <c r="B176" s="476">
        <v>36832</v>
      </c>
      <c r="C176" s="476">
        <v>9</v>
      </c>
      <c r="D176" s="476">
        <v>3500543</v>
      </c>
      <c r="E176" s="476">
        <v>10241</v>
      </c>
      <c r="F176" s="476">
        <v>9015</v>
      </c>
      <c r="G176" s="476">
        <v>10548</v>
      </c>
      <c r="H176" s="476">
        <v>11539</v>
      </c>
      <c r="I176" s="476">
        <v>10548</v>
      </c>
      <c r="J176" s="476">
        <v>3500543</v>
      </c>
      <c r="K176" s="476">
        <v>10241</v>
      </c>
      <c r="L176" s="476">
        <v>3605559</v>
      </c>
      <c r="M176" s="476">
        <v>3653212</v>
      </c>
      <c r="N176" s="476">
        <v>10548</v>
      </c>
      <c r="O176" s="476">
        <v>10481</v>
      </c>
      <c r="P176" s="476">
        <v>3338218</v>
      </c>
      <c r="Q176" s="476">
        <v>3500543</v>
      </c>
      <c r="S176" s="476">
        <v>1</v>
      </c>
      <c r="T176" s="476">
        <v>0</v>
      </c>
      <c r="U176" s="476">
        <v>3500543</v>
      </c>
      <c r="V176" s="476">
        <v>10481</v>
      </c>
    </row>
    <row r="177" spans="1:22" x14ac:dyDescent="0.25">
      <c r="A177" s="476">
        <v>227806</v>
      </c>
      <c r="B177" s="476">
        <v>36832</v>
      </c>
      <c r="C177" s="476">
        <v>9</v>
      </c>
      <c r="D177" s="476">
        <v>10242541</v>
      </c>
      <c r="E177" s="476">
        <v>18095</v>
      </c>
      <c r="F177" s="476">
        <v>9015</v>
      </c>
      <c r="G177" s="476">
        <v>18638</v>
      </c>
      <c r="H177" s="476">
        <v>11539</v>
      </c>
      <c r="I177" s="476">
        <v>11539</v>
      </c>
      <c r="J177" s="476">
        <v>10242541</v>
      </c>
      <c r="K177" s="476">
        <v>18095</v>
      </c>
      <c r="L177" s="476">
        <v>10242541</v>
      </c>
      <c r="M177" s="476">
        <v>9676306</v>
      </c>
      <c r="N177" s="476">
        <v>18095</v>
      </c>
      <c r="O177" s="476">
        <v>11849</v>
      </c>
      <c r="P177" s="476">
        <v>9961524</v>
      </c>
      <c r="Q177" s="476">
        <v>10242541</v>
      </c>
      <c r="S177" s="476">
        <v>1</v>
      </c>
      <c r="T177" s="476">
        <v>0</v>
      </c>
      <c r="U177" s="476">
        <v>10242541</v>
      </c>
      <c r="V177" s="476">
        <v>11849</v>
      </c>
    </row>
    <row r="178" spans="1:22" x14ac:dyDescent="0.25">
      <c r="A178" s="476">
        <v>227814</v>
      </c>
      <c r="B178" s="476">
        <v>36832</v>
      </c>
      <c r="C178" s="476">
        <v>9</v>
      </c>
      <c r="D178" s="476">
        <v>2934677</v>
      </c>
      <c r="E178" s="476">
        <v>8156</v>
      </c>
      <c r="F178" s="476">
        <v>9015</v>
      </c>
      <c r="G178" s="476">
        <v>8401</v>
      </c>
      <c r="H178" s="476">
        <v>11539</v>
      </c>
      <c r="I178" s="476">
        <v>8401</v>
      </c>
      <c r="J178" s="476">
        <v>2934677</v>
      </c>
      <c r="K178" s="476">
        <v>8156</v>
      </c>
      <c r="L178" s="476">
        <v>3042896</v>
      </c>
      <c r="M178" s="476">
        <v>3130754</v>
      </c>
      <c r="N178" s="476">
        <v>8401</v>
      </c>
      <c r="O178" s="476">
        <v>8457</v>
      </c>
      <c r="P178" s="476">
        <v>2765457</v>
      </c>
      <c r="Q178" s="476">
        <v>2934677</v>
      </c>
      <c r="S178" s="476">
        <v>1</v>
      </c>
      <c r="T178" s="476">
        <v>0</v>
      </c>
      <c r="U178" s="476">
        <v>2934677</v>
      </c>
      <c r="V178" s="476">
        <v>8457</v>
      </c>
    </row>
    <row r="179" spans="1:22" x14ac:dyDescent="0.25">
      <c r="A179" s="476">
        <v>227816</v>
      </c>
      <c r="B179" s="476">
        <v>36832</v>
      </c>
      <c r="C179" s="476">
        <v>9</v>
      </c>
      <c r="D179" s="476">
        <v>42412457</v>
      </c>
      <c r="E179" s="476">
        <v>9997</v>
      </c>
      <c r="F179" s="476">
        <v>9015</v>
      </c>
      <c r="G179" s="476">
        <v>10297</v>
      </c>
      <c r="H179" s="476">
        <v>11539</v>
      </c>
      <c r="I179" s="476">
        <v>10297</v>
      </c>
      <c r="J179" s="476">
        <v>42412457</v>
      </c>
      <c r="K179" s="476">
        <v>9997</v>
      </c>
      <c r="L179" s="476">
        <v>44614088</v>
      </c>
      <c r="M179" s="476">
        <v>44921494</v>
      </c>
      <c r="N179" s="476">
        <v>10297</v>
      </c>
      <c r="O179" s="476">
        <v>10516</v>
      </c>
      <c r="P179" s="476">
        <v>40522702</v>
      </c>
      <c r="Q179" s="476">
        <v>42412457</v>
      </c>
      <c r="S179" s="476">
        <v>1</v>
      </c>
      <c r="T179" s="476">
        <v>0</v>
      </c>
      <c r="U179" s="476">
        <v>42412457</v>
      </c>
      <c r="V179" s="476">
        <v>10516</v>
      </c>
    </row>
    <row r="180" spans="1:22" x14ac:dyDescent="0.25">
      <c r="A180" s="476">
        <v>227817</v>
      </c>
      <c r="B180" s="476">
        <v>36832</v>
      </c>
      <c r="C180" s="476">
        <v>9</v>
      </c>
      <c r="D180" s="476">
        <v>5072911</v>
      </c>
      <c r="E180" s="476">
        <v>11096</v>
      </c>
      <c r="F180" s="476">
        <v>9015</v>
      </c>
      <c r="G180" s="476">
        <v>11429</v>
      </c>
      <c r="H180" s="476">
        <v>11539</v>
      </c>
      <c r="I180" s="476">
        <v>11429</v>
      </c>
      <c r="J180" s="476">
        <v>5072911</v>
      </c>
      <c r="K180" s="476">
        <v>11096</v>
      </c>
      <c r="L180" s="476">
        <v>5225098</v>
      </c>
      <c r="M180" s="476">
        <v>5291912</v>
      </c>
      <c r="N180" s="476">
        <v>11429</v>
      </c>
      <c r="O180" s="476">
        <v>11201</v>
      </c>
      <c r="P180" s="476">
        <v>4854471</v>
      </c>
      <c r="Q180" s="476">
        <v>5072911</v>
      </c>
      <c r="S180" s="476">
        <v>1</v>
      </c>
      <c r="T180" s="476">
        <v>0</v>
      </c>
      <c r="U180" s="476">
        <v>5072911</v>
      </c>
      <c r="V180" s="476">
        <v>11201</v>
      </c>
    </row>
    <row r="181" spans="1:22" x14ac:dyDescent="0.25">
      <c r="A181" s="476">
        <v>227819</v>
      </c>
      <c r="B181" s="476">
        <v>36832</v>
      </c>
      <c r="C181" s="476">
        <v>9</v>
      </c>
      <c r="D181" s="476">
        <v>2692283</v>
      </c>
      <c r="E181" s="476">
        <v>10272</v>
      </c>
      <c r="F181" s="476">
        <v>9015</v>
      </c>
      <c r="G181" s="476">
        <v>10580</v>
      </c>
      <c r="H181" s="476">
        <v>11539</v>
      </c>
      <c r="I181" s="476">
        <v>10580</v>
      </c>
      <c r="J181" s="476">
        <v>2692283</v>
      </c>
      <c r="K181" s="476">
        <v>10272</v>
      </c>
      <c r="L181" s="476">
        <v>2773051</v>
      </c>
      <c r="M181" s="476">
        <v>2853648</v>
      </c>
      <c r="N181" s="476">
        <v>10580</v>
      </c>
      <c r="O181" s="476">
        <v>10333</v>
      </c>
      <c r="P181" s="476">
        <v>2564319</v>
      </c>
      <c r="Q181" s="476">
        <v>2692283</v>
      </c>
      <c r="S181" s="476">
        <v>1</v>
      </c>
      <c r="T181" s="476">
        <v>0</v>
      </c>
      <c r="U181" s="476">
        <v>2692283</v>
      </c>
      <c r="V181" s="476">
        <v>10333</v>
      </c>
    </row>
    <row r="182" spans="1:22" x14ac:dyDescent="0.25">
      <c r="A182" s="476">
        <v>227820</v>
      </c>
      <c r="B182" s="476">
        <v>36832</v>
      </c>
      <c r="C182" s="476">
        <v>9</v>
      </c>
      <c r="D182" s="476">
        <v>297326877</v>
      </c>
      <c r="E182" s="476">
        <v>10599</v>
      </c>
      <c r="F182" s="476">
        <v>9015</v>
      </c>
      <c r="G182" s="476">
        <v>10917</v>
      </c>
      <c r="H182" s="476">
        <v>11539</v>
      </c>
      <c r="I182" s="476">
        <v>10917</v>
      </c>
      <c r="J182" s="476">
        <v>297326877</v>
      </c>
      <c r="K182" s="476">
        <v>10599</v>
      </c>
      <c r="L182" s="476">
        <v>306246684</v>
      </c>
      <c r="M182" s="476">
        <v>311405081</v>
      </c>
      <c r="N182" s="476">
        <v>10917</v>
      </c>
      <c r="O182" s="476">
        <v>10677</v>
      </c>
      <c r="P182" s="476">
        <v>284695122</v>
      </c>
      <c r="Q182" s="476">
        <v>297326877</v>
      </c>
      <c r="S182" s="476">
        <v>1</v>
      </c>
      <c r="T182" s="476">
        <v>0</v>
      </c>
      <c r="U182" s="476">
        <v>297326877</v>
      </c>
      <c r="V182" s="476">
        <v>10677</v>
      </c>
    </row>
    <row r="183" spans="1:22" x14ac:dyDescent="0.25">
      <c r="A183" s="476">
        <v>227821</v>
      </c>
      <c r="B183" s="476">
        <v>36832</v>
      </c>
      <c r="C183" s="476">
        <v>9</v>
      </c>
      <c r="D183" s="476">
        <v>3687144</v>
      </c>
      <c r="E183" s="476">
        <v>8982</v>
      </c>
      <c r="F183" s="476">
        <v>9015</v>
      </c>
      <c r="G183" s="476">
        <v>9251</v>
      </c>
      <c r="H183" s="476">
        <v>11539</v>
      </c>
      <c r="I183" s="476">
        <v>9251</v>
      </c>
      <c r="J183" s="476">
        <v>3687144</v>
      </c>
      <c r="K183" s="476">
        <v>8982</v>
      </c>
      <c r="L183" s="476">
        <v>3857227</v>
      </c>
      <c r="M183" s="476">
        <v>3903661</v>
      </c>
      <c r="N183" s="476">
        <v>9251</v>
      </c>
      <c r="O183" s="476">
        <v>9396</v>
      </c>
      <c r="P183" s="476">
        <v>3484370</v>
      </c>
      <c r="Q183" s="476">
        <v>3687144</v>
      </c>
      <c r="S183" s="476">
        <v>1</v>
      </c>
      <c r="T183" s="476">
        <v>0</v>
      </c>
      <c r="U183" s="476">
        <v>3687144</v>
      </c>
      <c r="V183" s="476">
        <v>9396</v>
      </c>
    </row>
    <row r="184" spans="1:22" x14ac:dyDescent="0.25">
      <c r="A184" s="476">
        <v>227824</v>
      </c>
      <c r="B184" s="476">
        <v>36832</v>
      </c>
      <c r="C184" s="476">
        <v>9</v>
      </c>
      <c r="D184" s="476">
        <v>8496889</v>
      </c>
      <c r="E184" s="476">
        <v>10322</v>
      </c>
      <c r="F184" s="476">
        <v>9015</v>
      </c>
      <c r="G184" s="476">
        <v>10631</v>
      </c>
      <c r="H184" s="476">
        <v>11539</v>
      </c>
      <c r="I184" s="476">
        <v>10631</v>
      </c>
      <c r="J184" s="476">
        <v>8496889</v>
      </c>
      <c r="K184" s="476">
        <v>10322</v>
      </c>
      <c r="L184" s="476">
        <v>8852800</v>
      </c>
      <c r="M184" s="476">
        <v>9203951</v>
      </c>
      <c r="N184" s="476">
        <v>10631</v>
      </c>
      <c r="O184" s="476">
        <v>10754</v>
      </c>
      <c r="P184" s="476">
        <v>8104271</v>
      </c>
      <c r="Q184" s="476">
        <v>8496889</v>
      </c>
      <c r="S184" s="476">
        <v>1</v>
      </c>
      <c r="T184" s="476">
        <v>0</v>
      </c>
      <c r="U184" s="476">
        <v>8496889</v>
      </c>
      <c r="V184" s="476">
        <v>10754</v>
      </c>
    </row>
    <row r="185" spans="1:22" x14ac:dyDescent="0.25">
      <c r="A185" s="476">
        <v>227825</v>
      </c>
      <c r="B185" s="476">
        <v>36832</v>
      </c>
      <c r="C185" s="476">
        <v>9</v>
      </c>
      <c r="D185" s="476">
        <v>21519224</v>
      </c>
      <c r="E185" s="476">
        <v>10674</v>
      </c>
      <c r="F185" s="476">
        <v>9015</v>
      </c>
      <c r="G185" s="476">
        <v>10994</v>
      </c>
      <c r="H185" s="476">
        <v>11539</v>
      </c>
      <c r="I185" s="476">
        <v>10994</v>
      </c>
      <c r="J185" s="476">
        <v>21519224</v>
      </c>
      <c r="K185" s="476">
        <v>10674</v>
      </c>
      <c r="L185" s="476">
        <v>22682016</v>
      </c>
      <c r="M185" s="476">
        <v>23096208</v>
      </c>
      <c r="N185" s="476">
        <v>10994</v>
      </c>
      <c r="O185" s="476">
        <v>11251</v>
      </c>
      <c r="P185" s="476">
        <v>20691388</v>
      </c>
      <c r="Q185" s="476">
        <v>21519224</v>
      </c>
      <c r="S185" s="476">
        <v>1</v>
      </c>
      <c r="T185" s="476">
        <v>0</v>
      </c>
      <c r="U185" s="476">
        <v>21519224</v>
      </c>
      <c r="V185" s="476">
        <v>11251</v>
      </c>
    </row>
    <row r="186" spans="1:22" x14ac:dyDescent="0.25">
      <c r="A186" s="476">
        <v>227826</v>
      </c>
      <c r="B186" s="476">
        <v>36832</v>
      </c>
      <c r="C186" s="476">
        <v>9</v>
      </c>
      <c r="D186" s="476">
        <v>3600141</v>
      </c>
      <c r="E186" s="476">
        <v>9863</v>
      </c>
      <c r="F186" s="476">
        <v>9015</v>
      </c>
      <c r="G186" s="476">
        <v>10159</v>
      </c>
      <c r="H186" s="476">
        <v>11539</v>
      </c>
      <c r="I186" s="476">
        <v>10159</v>
      </c>
      <c r="J186" s="476">
        <v>3600141</v>
      </c>
      <c r="K186" s="476">
        <v>9863</v>
      </c>
      <c r="L186" s="476">
        <v>3708145</v>
      </c>
      <c r="M186" s="476">
        <v>3783212</v>
      </c>
      <c r="N186" s="476">
        <v>10159</v>
      </c>
      <c r="O186" s="476">
        <v>10005</v>
      </c>
      <c r="P186" s="476">
        <v>3415263</v>
      </c>
      <c r="Q186" s="476">
        <v>3600141</v>
      </c>
      <c r="S186" s="476">
        <v>1</v>
      </c>
      <c r="T186" s="476">
        <v>0</v>
      </c>
      <c r="U186" s="476">
        <v>3600141</v>
      </c>
      <c r="V186" s="476">
        <v>10005</v>
      </c>
    </row>
    <row r="187" spans="1:22" x14ac:dyDescent="0.25">
      <c r="A187" s="476">
        <v>227827</v>
      </c>
      <c r="B187" s="476">
        <v>36832</v>
      </c>
      <c r="C187" s="476">
        <v>9</v>
      </c>
      <c r="D187" s="476">
        <v>4449822</v>
      </c>
      <c r="E187" s="476">
        <v>8134</v>
      </c>
      <c r="F187" s="476">
        <v>9015</v>
      </c>
      <c r="G187" s="476">
        <v>8379</v>
      </c>
      <c r="H187" s="476">
        <v>11539</v>
      </c>
      <c r="I187" s="476">
        <v>8379</v>
      </c>
      <c r="J187" s="476">
        <v>4449822</v>
      </c>
      <c r="K187" s="476">
        <v>8134</v>
      </c>
      <c r="L187" s="476">
        <v>5563862</v>
      </c>
      <c r="M187" s="476">
        <v>5805292</v>
      </c>
      <c r="N187" s="476">
        <v>8379</v>
      </c>
      <c r="O187" s="476">
        <v>10171</v>
      </c>
      <c r="P187" s="476">
        <v>4225247</v>
      </c>
      <c r="Q187" s="476">
        <v>4449822</v>
      </c>
      <c r="S187" s="476">
        <v>1</v>
      </c>
      <c r="T187" s="476">
        <v>0</v>
      </c>
      <c r="U187" s="476">
        <v>4449822</v>
      </c>
      <c r="V187" s="476">
        <v>10171</v>
      </c>
    </row>
    <row r="188" spans="1:22" x14ac:dyDescent="0.25">
      <c r="A188" s="476">
        <v>227829</v>
      </c>
      <c r="B188" s="476">
        <v>36832</v>
      </c>
      <c r="C188" s="476">
        <v>9</v>
      </c>
      <c r="D188" s="476">
        <v>9694965</v>
      </c>
      <c r="E188" s="476">
        <v>9079</v>
      </c>
      <c r="F188" s="476">
        <v>9015</v>
      </c>
      <c r="G188" s="476">
        <v>9351</v>
      </c>
      <c r="H188" s="476">
        <v>11539</v>
      </c>
      <c r="I188" s="476">
        <v>9351</v>
      </c>
      <c r="J188" s="476">
        <v>9694965</v>
      </c>
      <c r="K188" s="476">
        <v>9079</v>
      </c>
      <c r="L188" s="476">
        <v>9985842</v>
      </c>
      <c r="M188" s="476">
        <v>10234805</v>
      </c>
      <c r="N188" s="476">
        <v>9351</v>
      </c>
      <c r="O188" s="476">
        <v>9064</v>
      </c>
      <c r="P188" s="476">
        <v>9445628</v>
      </c>
      <c r="Q188" s="476">
        <v>9694965</v>
      </c>
      <c r="S188" s="476">
        <v>1</v>
      </c>
      <c r="T188" s="476">
        <v>0</v>
      </c>
      <c r="U188" s="476">
        <v>9694965</v>
      </c>
      <c r="V188" s="476">
        <v>9064</v>
      </c>
    </row>
    <row r="189" spans="1:22" x14ac:dyDescent="0.25">
      <c r="A189" s="476">
        <v>234801</v>
      </c>
      <c r="B189" s="476">
        <v>36832</v>
      </c>
      <c r="C189" s="476">
        <v>9</v>
      </c>
      <c r="D189" s="476">
        <v>775439</v>
      </c>
      <c r="E189" s="476">
        <v>11182</v>
      </c>
      <c r="F189" s="476">
        <v>9015</v>
      </c>
      <c r="G189" s="476">
        <v>11517</v>
      </c>
      <c r="H189" s="476">
        <v>11539</v>
      </c>
      <c r="I189" s="476">
        <v>11517</v>
      </c>
      <c r="J189" s="476">
        <v>775439</v>
      </c>
      <c r="K189" s="476">
        <v>11182</v>
      </c>
      <c r="L189" s="476">
        <v>821728</v>
      </c>
      <c r="M189" s="476">
        <v>818193</v>
      </c>
      <c r="N189" s="476">
        <v>11517</v>
      </c>
      <c r="O189" s="476">
        <v>11849</v>
      </c>
      <c r="P189" s="476">
        <v>741271</v>
      </c>
      <c r="Q189" s="476">
        <v>775439</v>
      </c>
      <c r="S189" s="476">
        <v>1</v>
      </c>
      <c r="T189" s="476">
        <v>0</v>
      </c>
      <c r="U189" s="476">
        <v>775439</v>
      </c>
      <c r="V189" s="476">
        <v>11849</v>
      </c>
    </row>
    <row r="190" spans="1:22" x14ac:dyDescent="0.25">
      <c r="A190" s="476">
        <v>236801</v>
      </c>
      <c r="B190" s="476">
        <v>36832</v>
      </c>
      <c r="C190" s="476">
        <v>9</v>
      </c>
      <c r="D190" s="476">
        <v>1165192</v>
      </c>
      <c r="E190" s="476">
        <v>45229</v>
      </c>
      <c r="F190" s="476">
        <v>9015</v>
      </c>
      <c r="G190" s="476">
        <v>46586</v>
      </c>
      <c r="H190" s="476">
        <v>11539</v>
      </c>
      <c r="I190" s="476">
        <v>11539</v>
      </c>
      <c r="J190" s="476">
        <v>1165192</v>
      </c>
      <c r="K190" s="476">
        <v>45229</v>
      </c>
      <c r="L190" s="476">
        <v>1165192</v>
      </c>
      <c r="M190" s="476">
        <v>497800</v>
      </c>
      <c r="N190" s="476">
        <v>45229</v>
      </c>
      <c r="O190" s="476">
        <v>11849</v>
      </c>
      <c r="P190" s="476">
        <v>1138263</v>
      </c>
      <c r="Q190" s="476">
        <v>1165192</v>
      </c>
      <c r="S190" s="476">
        <v>1</v>
      </c>
      <c r="T190" s="476">
        <v>0</v>
      </c>
      <c r="U190" s="476">
        <v>1165192</v>
      </c>
      <c r="V190" s="476">
        <v>11849</v>
      </c>
    </row>
    <row r="191" spans="1:22" x14ac:dyDescent="0.25">
      <c r="A191" s="476">
        <v>236802</v>
      </c>
      <c r="B191" s="476">
        <v>36832</v>
      </c>
      <c r="C191" s="476">
        <v>9</v>
      </c>
      <c r="D191" s="476">
        <v>3376360</v>
      </c>
      <c r="E191" s="476">
        <v>8849</v>
      </c>
      <c r="F191" s="476">
        <v>9015</v>
      </c>
      <c r="G191" s="476">
        <v>9115</v>
      </c>
      <c r="H191" s="476">
        <v>11539</v>
      </c>
      <c r="I191" s="476">
        <v>9115</v>
      </c>
      <c r="J191" s="476">
        <v>3376360</v>
      </c>
      <c r="K191" s="476">
        <v>8849</v>
      </c>
      <c r="L191" s="476">
        <v>3477651</v>
      </c>
      <c r="M191" s="476">
        <v>3568398</v>
      </c>
      <c r="N191" s="476">
        <v>9115</v>
      </c>
      <c r="O191" s="476">
        <v>9033</v>
      </c>
      <c r="P191" s="476">
        <v>3212893</v>
      </c>
      <c r="Q191" s="476">
        <v>3376360</v>
      </c>
      <c r="S191" s="476">
        <v>1</v>
      </c>
      <c r="T191" s="476">
        <v>0</v>
      </c>
      <c r="U191" s="476">
        <v>3376360</v>
      </c>
      <c r="V191" s="476">
        <v>9033</v>
      </c>
    </row>
    <row r="192" spans="1:22" x14ac:dyDescent="0.25">
      <c r="A192" s="476">
        <v>240801</v>
      </c>
      <c r="B192" s="476">
        <v>36832</v>
      </c>
      <c r="C192" s="476">
        <v>9</v>
      </c>
      <c r="D192" s="476">
        <v>2477074</v>
      </c>
      <c r="E192" s="476">
        <v>11042</v>
      </c>
      <c r="F192" s="476">
        <v>9015</v>
      </c>
      <c r="G192" s="476">
        <v>11374</v>
      </c>
      <c r="H192" s="476">
        <v>11539</v>
      </c>
      <c r="I192" s="476">
        <v>11374</v>
      </c>
      <c r="J192" s="476">
        <v>2477074</v>
      </c>
      <c r="K192" s="476">
        <v>11042</v>
      </c>
      <c r="L192" s="476">
        <v>2658003</v>
      </c>
      <c r="M192" s="476">
        <v>2630383</v>
      </c>
      <c r="N192" s="476">
        <v>11374</v>
      </c>
      <c r="O192" s="476">
        <v>11849</v>
      </c>
      <c r="P192" s="476">
        <v>2377320</v>
      </c>
      <c r="Q192" s="476">
        <v>2477074</v>
      </c>
      <c r="S192" s="476">
        <v>1</v>
      </c>
      <c r="T192" s="476">
        <v>0</v>
      </c>
      <c r="U192" s="476">
        <v>2477074</v>
      </c>
      <c r="V192" s="476">
        <v>11849</v>
      </c>
    </row>
    <row r="193" spans="1:22" x14ac:dyDescent="0.25">
      <c r="A193" s="476">
        <v>246801</v>
      </c>
      <c r="B193" s="476">
        <v>36832</v>
      </c>
      <c r="C193" s="476">
        <v>9</v>
      </c>
      <c r="D193" s="476">
        <v>14530992</v>
      </c>
      <c r="E193" s="476">
        <v>8821</v>
      </c>
      <c r="F193" s="476">
        <v>9015</v>
      </c>
      <c r="G193" s="476">
        <v>9086</v>
      </c>
      <c r="H193" s="476">
        <v>11539</v>
      </c>
      <c r="I193" s="476">
        <v>9086</v>
      </c>
      <c r="J193" s="476">
        <v>14530992</v>
      </c>
      <c r="K193" s="476">
        <v>8821</v>
      </c>
      <c r="L193" s="476">
        <v>15104341</v>
      </c>
      <c r="M193" s="476">
        <v>15142015</v>
      </c>
      <c r="N193" s="476">
        <v>9086</v>
      </c>
      <c r="O193" s="476">
        <v>9169</v>
      </c>
      <c r="P193" s="476">
        <v>13745443</v>
      </c>
      <c r="Q193" s="476">
        <v>14530992</v>
      </c>
      <c r="S193" s="476">
        <v>1</v>
      </c>
      <c r="T193" s="476">
        <v>0</v>
      </c>
      <c r="U193" s="476">
        <v>14530992</v>
      </c>
      <c r="V193" s="476">
        <v>9169</v>
      </c>
    </row>
    <row r="194" spans="1:22" x14ac:dyDescent="0.25">
      <c r="A194" s="476">
        <v>246802</v>
      </c>
      <c r="B194" s="476">
        <v>36832</v>
      </c>
      <c r="C194" s="476">
        <v>9</v>
      </c>
      <c r="D194" s="476">
        <v>3166393</v>
      </c>
      <c r="E194" s="476">
        <v>9371</v>
      </c>
      <c r="F194" s="476">
        <v>9015</v>
      </c>
      <c r="G194" s="476">
        <v>9652</v>
      </c>
      <c r="H194" s="476">
        <v>11539</v>
      </c>
      <c r="I194" s="476">
        <v>9652</v>
      </c>
      <c r="J194" s="476">
        <v>3166393</v>
      </c>
      <c r="K194" s="476">
        <v>9371</v>
      </c>
      <c r="L194" s="476">
        <v>3261385</v>
      </c>
      <c r="M194" s="476">
        <v>3247537</v>
      </c>
      <c r="N194" s="476">
        <v>9652</v>
      </c>
      <c r="O194" s="476">
        <v>9457</v>
      </c>
      <c r="P194" s="476">
        <v>3004447</v>
      </c>
      <c r="Q194" s="476">
        <v>3166393</v>
      </c>
      <c r="S194" s="476">
        <v>1</v>
      </c>
      <c r="T194" s="476">
        <v>0</v>
      </c>
      <c r="U194" s="476">
        <v>3166393</v>
      </c>
      <c r="V194" s="476">
        <v>9457</v>
      </c>
    </row>
  </sheetData>
  <sheetProtection algorithmName="SHA-512" hashValue="3ucutudIvyCWa1Cvyrvntl4l43cjtEoU9FCbnA2e4TBZtPnVuv6Pk70FUpt0F62ZfpUZFK2WB4In+o8v3f6baQ==" saltValue="BKf/DEaztcen0PgPATBFFg==" spinCount="100000" sheet="1" objects="1" scenarios="1"/>
  <sortState xmlns:xlrd2="http://schemas.microsoft.com/office/spreadsheetml/2017/richdata2" ref="A4:X194">
    <sortCondition ref="A4:A194"/>
  </sortState>
  <pageMargins left="0.7" right="0.7" top="0.75" bottom="0.75" header="0.3" footer="0.3"/>
  <pageSetup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1">
    <tabColor rgb="FFFFFF00"/>
  </sheetPr>
  <dimension ref="A1:G189"/>
  <sheetViews>
    <sheetView zoomScale="85" zoomScaleNormal="85" workbookViewId="0">
      <selection activeCell="A152" sqref="A1:XFD1048576"/>
    </sheetView>
  </sheetViews>
  <sheetFormatPr defaultColWidth="89.1796875" defaultRowHeight="12.5" x14ac:dyDescent="0.25"/>
  <cols>
    <col min="1" max="1" width="7.81640625" style="476" customWidth="1"/>
    <col min="2" max="2" width="63.26953125" style="476" customWidth="1"/>
    <col min="3" max="3" width="23.26953125" style="492" bestFit="1" customWidth="1"/>
    <col min="4" max="4" width="25.1796875" style="488" bestFit="1" customWidth="1"/>
    <col min="5" max="5" width="27.26953125" style="488" customWidth="1"/>
    <col min="6" max="6" width="17.1796875" style="488" bestFit="1" customWidth="1"/>
    <col min="7" max="7" width="27.1796875" style="488" customWidth="1"/>
    <col min="8" max="16384" width="89.1796875" style="476"/>
  </cols>
  <sheetData>
    <row r="1" spans="1:7" ht="37.5" x14ac:dyDescent="0.25">
      <c r="A1" s="485" t="s">
        <v>60</v>
      </c>
      <c r="B1" s="486" t="s">
        <v>1042</v>
      </c>
      <c r="C1" s="487" t="s">
        <v>1039</v>
      </c>
      <c r="D1" s="487" t="s">
        <v>1040</v>
      </c>
      <c r="E1" s="487" t="s">
        <v>755</v>
      </c>
      <c r="F1" s="487" t="s">
        <v>754</v>
      </c>
      <c r="G1" s="487" t="s">
        <v>1041</v>
      </c>
    </row>
    <row r="2" spans="1:7" x14ac:dyDescent="0.25">
      <c r="A2" s="485">
        <v>0</v>
      </c>
      <c r="B2" s="486" t="s">
        <v>688</v>
      </c>
      <c r="C2" s="487">
        <v>5000</v>
      </c>
      <c r="D2" s="488" t="s">
        <v>66</v>
      </c>
      <c r="E2" s="488">
        <v>0</v>
      </c>
      <c r="F2" s="488" t="str">
        <f t="shared" ref="F2" si="0">IF(E2=0,"No","Yes")</f>
        <v>No</v>
      </c>
      <c r="G2" s="488">
        <f>VLOOKUP(A2,'CASH FLOW'!B:KE,211,FALSE)</f>
        <v>0</v>
      </c>
    </row>
    <row r="3" spans="1:7" x14ac:dyDescent="0.25">
      <c r="A3" s="489">
        <v>3801</v>
      </c>
      <c r="B3" s="489" t="s">
        <v>53</v>
      </c>
      <c r="C3" s="487">
        <v>1500</v>
      </c>
      <c r="D3" s="488" t="s">
        <v>65</v>
      </c>
      <c r="E3" s="488">
        <v>1</v>
      </c>
      <c r="F3" s="488" t="str">
        <f t="shared" ref="F3:F32" si="1">IF(E3=0,"No","Yes")</f>
        <v>Yes</v>
      </c>
      <c r="G3" s="488">
        <f>VLOOKUP(A3,'CASH FLOW'!B:KE,211,FALSE)</f>
        <v>3.9981999999999997E-2</v>
      </c>
    </row>
    <row r="4" spans="1:7" x14ac:dyDescent="0.25">
      <c r="A4" s="489">
        <v>13801</v>
      </c>
      <c r="B4" s="489" t="s">
        <v>377</v>
      </c>
      <c r="C4" s="487">
        <v>700</v>
      </c>
      <c r="D4" s="488" t="s">
        <v>65</v>
      </c>
      <c r="E4" s="488">
        <v>1</v>
      </c>
      <c r="F4" s="488" t="str">
        <f t="shared" si="1"/>
        <v>Yes</v>
      </c>
      <c r="G4" s="488">
        <f>VLOOKUP(A4,'CASH FLOW'!B:KE,211,FALSE)</f>
        <v>3.9981999999999997E-2</v>
      </c>
    </row>
    <row r="5" spans="1:7" x14ac:dyDescent="0.25">
      <c r="A5" s="489">
        <v>14801</v>
      </c>
      <c r="B5" s="489" t="s">
        <v>35</v>
      </c>
      <c r="C5" s="487">
        <v>3000</v>
      </c>
      <c r="D5" s="488" t="s">
        <v>66</v>
      </c>
      <c r="E5" s="488">
        <v>1</v>
      </c>
      <c r="F5" s="488" t="str">
        <f t="shared" si="1"/>
        <v>Yes</v>
      </c>
      <c r="G5" s="488">
        <f>VLOOKUP(A5,'CASH FLOW'!B:KE,211,FALSE)</f>
        <v>3.9981999999999997E-2</v>
      </c>
    </row>
    <row r="6" spans="1:7" x14ac:dyDescent="0.25">
      <c r="A6" s="485">
        <v>14803</v>
      </c>
      <c r="B6" s="486" t="s">
        <v>315</v>
      </c>
      <c r="C6" s="487">
        <v>1200</v>
      </c>
      <c r="D6" s="488" t="s">
        <v>65</v>
      </c>
      <c r="E6" s="488">
        <v>1</v>
      </c>
      <c r="F6" s="488" t="str">
        <f t="shared" si="1"/>
        <v>Yes</v>
      </c>
      <c r="G6" s="488">
        <f>VLOOKUP(A6,'CASH FLOW'!B:KE,211,FALSE)</f>
        <v>3.9981999999999997E-2</v>
      </c>
    </row>
    <row r="7" spans="1:7" x14ac:dyDescent="0.25">
      <c r="A7" s="485">
        <v>14804</v>
      </c>
      <c r="B7" s="486" t="s">
        <v>1</v>
      </c>
      <c r="C7" s="487">
        <v>2500</v>
      </c>
      <c r="D7" s="488" t="s">
        <v>65</v>
      </c>
      <c r="E7" s="488">
        <v>1</v>
      </c>
      <c r="F7" s="488" t="str">
        <f t="shared" si="1"/>
        <v>Yes</v>
      </c>
      <c r="G7" s="488">
        <f>VLOOKUP(A7,'CASH FLOW'!B:KE,211,FALSE)</f>
        <v>3.9981999999999997E-2</v>
      </c>
    </row>
    <row r="8" spans="1:7" x14ac:dyDescent="0.25">
      <c r="A8" s="485">
        <v>15801</v>
      </c>
      <c r="B8" s="486" t="s">
        <v>36</v>
      </c>
      <c r="C8" s="487">
        <v>1000</v>
      </c>
      <c r="D8" s="488" t="s">
        <v>65</v>
      </c>
      <c r="E8" s="488">
        <v>1</v>
      </c>
      <c r="F8" s="488" t="str">
        <f t="shared" si="1"/>
        <v>Yes</v>
      </c>
      <c r="G8" s="488">
        <f>VLOOKUP(A8,'CASH FLOW'!B:KE,211,FALSE)</f>
        <v>3.9981999999999997E-2</v>
      </c>
    </row>
    <row r="9" spans="1:7" x14ac:dyDescent="0.25">
      <c r="A9" s="485">
        <v>15802</v>
      </c>
      <c r="B9" s="486" t="s">
        <v>55</v>
      </c>
      <c r="C9" s="487">
        <v>2500</v>
      </c>
      <c r="D9" s="488" t="s">
        <v>66</v>
      </c>
      <c r="E9" s="488">
        <v>1</v>
      </c>
      <c r="F9" s="488" t="str">
        <f t="shared" si="1"/>
        <v>Yes</v>
      </c>
      <c r="G9" s="488">
        <f>VLOOKUP(A9,'CASH FLOW'!B:KE,211,FALSE)</f>
        <v>3.9981999999999997E-2</v>
      </c>
    </row>
    <row r="10" spans="1:7" x14ac:dyDescent="0.25">
      <c r="A10" s="485">
        <v>15805</v>
      </c>
      <c r="B10" s="486" t="s">
        <v>442</v>
      </c>
      <c r="C10" s="487">
        <v>1176</v>
      </c>
      <c r="D10" s="488" t="s">
        <v>66</v>
      </c>
      <c r="E10" s="488">
        <v>1</v>
      </c>
      <c r="F10" s="488" t="str">
        <f t="shared" si="1"/>
        <v>Yes</v>
      </c>
      <c r="G10" s="488">
        <f>VLOOKUP(A10,'CASH FLOW'!B:KE,211,FALSE)</f>
        <v>3.9981999999999997E-2</v>
      </c>
    </row>
    <row r="11" spans="1:7" x14ac:dyDescent="0.25">
      <c r="A11" s="485">
        <v>15806</v>
      </c>
      <c r="B11" s="486" t="s">
        <v>698</v>
      </c>
      <c r="C11" s="487">
        <v>4500</v>
      </c>
      <c r="D11" s="488" t="s">
        <v>65</v>
      </c>
      <c r="E11" s="488">
        <v>1</v>
      </c>
      <c r="F11" s="488" t="str">
        <f t="shared" si="1"/>
        <v>Yes</v>
      </c>
      <c r="G11" s="488">
        <f>VLOOKUP(A11,'CASH FLOW'!B:KE,211,FALSE)</f>
        <v>3.9981999999999997E-2</v>
      </c>
    </row>
    <row r="12" spans="1:7" x14ac:dyDescent="0.25">
      <c r="A12" s="485">
        <v>15807</v>
      </c>
      <c r="B12" s="486" t="s">
        <v>38</v>
      </c>
      <c r="C12" s="487">
        <v>1350</v>
      </c>
      <c r="D12" s="488" t="s">
        <v>65</v>
      </c>
      <c r="E12" s="488">
        <v>1</v>
      </c>
      <c r="F12" s="488" t="str">
        <f t="shared" si="1"/>
        <v>Yes</v>
      </c>
      <c r="G12" s="488">
        <f>VLOOKUP(A12,'CASH FLOW'!B:KE,211,FALSE)</f>
        <v>3.9981999999999997E-2</v>
      </c>
    </row>
    <row r="13" spans="1:7" x14ac:dyDescent="0.25">
      <c r="A13" s="485">
        <v>15808</v>
      </c>
      <c r="B13" s="486" t="s">
        <v>438</v>
      </c>
      <c r="C13" s="487">
        <v>1400</v>
      </c>
      <c r="D13" s="488" t="s">
        <v>66</v>
      </c>
      <c r="E13" s="488">
        <v>1</v>
      </c>
      <c r="F13" s="488" t="str">
        <f t="shared" si="1"/>
        <v>Yes</v>
      </c>
      <c r="G13" s="488">
        <f>VLOOKUP(A13,'CASH FLOW'!B:KE,211,FALSE)</f>
        <v>3.9981999999999997E-2</v>
      </c>
    </row>
    <row r="14" spans="1:7" x14ac:dyDescent="0.25">
      <c r="A14" s="485">
        <v>15809</v>
      </c>
      <c r="B14" s="486" t="s">
        <v>37</v>
      </c>
      <c r="C14" s="487">
        <v>1000</v>
      </c>
      <c r="D14" s="488" t="s">
        <v>66</v>
      </c>
      <c r="E14" s="488">
        <v>1</v>
      </c>
      <c r="F14" s="488" t="str">
        <f t="shared" si="1"/>
        <v>Yes</v>
      </c>
      <c r="G14" s="488">
        <f>VLOOKUP(A14,'CASH FLOW'!B:KE,211,FALSE)</f>
        <v>3.9981999999999997E-2</v>
      </c>
    </row>
    <row r="15" spans="1:7" x14ac:dyDescent="0.25">
      <c r="A15" s="485">
        <v>15814</v>
      </c>
      <c r="B15" s="486" t="s">
        <v>39</v>
      </c>
      <c r="C15" s="487">
        <v>425</v>
      </c>
      <c r="D15" s="488" t="s">
        <v>66</v>
      </c>
      <c r="E15" s="488">
        <v>1</v>
      </c>
      <c r="F15" s="488" t="str">
        <f t="shared" si="1"/>
        <v>Yes</v>
      </c>
      <c r="G15" s="488">
        <f>VLOOKUP(A15,'CASH FLOW'!B:KE,211,FALSE)</f>
        <v>3.9981999999999997E-2</v>
      </c>
    </row>
    <row r="16" spans="1:7" x14ac:dyDescent="0.25">
      <c r="A16" s="485">
        <v>15815</v>
      </c>
      <c r="B16" s="486" t="s">
        <v>386</v>
      </c>
      <c r="C16" s="487">
        <v>1500</v>
      </c>
      <c r="D16" s="488" t="s">
        <v>65</v>
      </c>
      <c r="E16" s="488">
        <v>1</v>
      </c>
      <c r="F16" s="488" t="str">
        <f t="shared" si="1"/>
        <v>Yes</v>
      </c>
      <c r="G16" s="488">
        <f>VLOOKUP(A16,'CASH FLOW'!B:KE,211,FALSE)</f>
        <v>3.9981999999999997E-2</v>
      </c>
    </row>
    <row r="17" spans="1:7" x14ac:dyDescent="0.25">
      <c r="A17" s="485">
        <v>15822</v>
      </c>
      <c r="B17" s="486" t="s">
        <v>424</v>
      </c>
      <c r="C17" s="487">
        <v>12000</v>
      </c>
      <c r="D17" s="488" t="s">
        <v>66</v>
      </c>
      <c r="E17" s="488">
        <v>1</v>
      </c>
      <c r="F17" s="488" t="str">
        <f t="shared" si="1"/>
        <v>Yes</v>
      </c>
      <c r="G17" s="488">
        <f>VLOOKUP(A17,'CASH FLOW'!B:KE,211,FALSE)</f>
        <v>3.9981999999999997E-2</v>
      </c>
    </row>
    <row r="18" spans="1:7" x14ac:dyDescent="0.25">
      <c r="A18" s="489">
        <v>15825</v>
      </c>
      <c r="B18" s="489" t="s">
        <v>61</v>
      </c>
      <c r="C18" s="487">
        <v>600</v>
      </c>
      <c r="D18" s="488" t="s">
        <v>65</v>
      </c>
      <c r="E18" s="488">
        <v>0</v>
      </c>
      <c r="F18" s="488" t="str">
        <f t="shared" si="1"/>
        <v>No</v>
      </c>
      <c r="G18" s="488">
        <f>VLOOKUP(A18,'CASH FLOW'!B:KE,211,FALSE)</f>
        <v>3.9981999999999997E-2</v>
      </c>
    </row>
    <row r="19" spans="1:7" x14ac:dyDescent="0.25">
      <c r="A19" s="485">
        <v>15827</v>
      </c>
      <c r="B19" s="486" t="s">
        <v>15</v>
      </c>
      <c r="C19" s="487">
        <v>3000</v>
      </c>
      <c r="D19" s="488" t="s">
        <v>65</v>
      </c>
      <c r="E19" s="488">
        <v>1</v>
      </c>
      <c r="F19" s="488" t="str">
        <f t="shared" si="1"/>
        <v>Yes</v>
      </c>
      <c r="G19" s="488">
        <f>VLOOKUP(A19,'CASH FLOW'!B:KE,211,FALSE)</f>
        <v>3.9981999999999997E-2</v>
      </c>
    </row>
    <row r="20" spans="1:7" x14ac:dyDescent="0.25">
      <c r="A20" s="485">
        <v>15828</v>
      </c>
      <c r="B20" s="486" t="s">
        <v>16</v>
      </c>
      <c r="C20" s="487">
        <v>5500</v>
      </c>
      <c r="D20" s="488" t="s">
        <v>65</v>
      </c>
      <c r="E20" s="488">
        <v>1</v>
      </c>
      <c r="F20" s="488" t="str">
        <f t="shared" si="1"/>
        <v>Yes</v>
      </c>
      <c r="G20" s="488">
        <f>VLOOKUP(A20,'CASH FLOW'!B:KE,211,FALSE)</f>
        <v>3.9981999999999997E-2</v>
      </c>
    </row>
    <row r="21" spans="1:7" x14ac:dyDescent="0.25">
      <c r="A21" s="485">
        <v>15830</v>
      </c>
      <c r="B21" s="486" t="s">
        <v>57</v>
      </c>
      <c r="C21" s="487">
        <v>3600</v>
      </c>
      <c r="D21" s="488" t="s">
        <v>66</v>
      </c>
      <c r="E21" s="488">
        <v>1</v>
      </c>
      <c r="F21" s="488" t="str">
        <f t="shared" si="1"/>
        <v>Yes</v>
      </c>
      <c r="G21" s="488">
        <f>VLOOKUP(A21,'CASH FLOW'!B:KE,211,FALSE)</f>
        <v>3.9981999999999997E-2</v>
      </c>
    </row>
    <row r="22" spans="1:7" x14ac:dyDescent="0.25">
      <c r="A22" s="485">
        <v>15831</v>
      </c>
      <c r="B22" s="486" t="s">
        <v>316</v>
      </c>
      <c r="C22" s="487">
        <v>3000</v>
      </c>
      <c r="D22" s="488" t="s">
        <v>65</v>
      </c>
      <c r="E22" s="488">
        <v>1</v>
      </c>
      <c r="F22" s="488" t="str">
        <f t="shared" si="1"/>
        <v>Yes</v>
      </c>
      <c r="G22" s="488">
        <f>VLOOKUP(A22,'CASH FLOW'!B:KE,211,FALSE)</f>
        <v>3.9981999999999997E-2</v>
      </c>
    </row>
    <row r="23" spans="1:7" x14ac:dyDescent="0.25">
      <c r="A23" s="485">
        <v>15833</v>
      </c>
      <c r="B23" s="486" t="s">
        <v>94</v>
      </c>
      <c r="C23" s="487">
        <v>480</v>
      </c>
      <c r="D23" s="488" t="s">
        <v>66</v>
      </c>
      <c r="E23" s="488">
        <v>1</v>
      </c>
      <c r="F23" s="488" t="str">
        <f t="shared" si="1"/>
        <v>Yes</v>
      </c>
      <c r="G23" s="488">
        <f>VLOOKUP(A23,'CASH FLOW'!B:KE,211,FALSE)</f>
        <v>3.9981999999999997E-2</v>
      </c>
    </row>
    <row r="24" spans="1:7" x14ac:dyDescent="0.25">
      <c r="A24" s="485">
        <v>15834</v>
      </c>
      <c r="B24" s="486" t="s">
        <v>317</v>
      </c>
      <c r="C24" s="487">
        <v>3750</v>
      </c>
      <c r="D24" s="488" t="s">
        <v>66</v>
      </c>
      <c r="E24" s="488">
        <v>1</v>
      </c>
      <c r="F24" s="488" t="str">
        <f t="shared" si="1"/>
        <v>Yes</v>
      </c>
      <c r="G24" s="488">
        <f>VLOOKUP(A24,'CASH FLOW'!B:KE,211,FALSE)</f>
        <v>3.9981999999999997E-2</v>
      </c>
    </row>
    <row r="25" spans="1:7" x14ac:dyDescent="0.25">
      <c r="A25" s="485">
        <v>15835</v>
      </c>
      <c r="B25" s="486" t="s">
        <v>318</v>
      </c>
      <c r="C25" s="487">
        <v>5600</v>
      </c>
      <c r="D25" s="488" t="s">
        <v>66</v>
      </c>
      <c r="E25" s="488">
        <v>1</v>
      </c>
      <c r="F25" s="488" t="str">
        <f t="shared" si="1"/>
        <v>Yes</v>
      </c>
      <c r="G25" s="488">
        <f>VLOOKUP(A25,'CASH FLOW'!B:KE,211,FALSE)</f>
        <v>3.9981999999999997E-2</v>
      </c>
    </row>
    <row r="26" spans="1:7" x14ac:dyDescent="0.25">
      <c r="A26" s="485">
        <v>15836</v>
      </c>
      <c r="B26" s="486" t="s">
        <v>319</v>
      </c>
      <c r="C26" s="487">
        <v>700</v>
      </c>
      <c r="D26" s="488" t="s">
        <v>66</v>
      </c>
      <c r="E26" s="488">
        <v>1</v>
      </c>
      <c r="F26" s="488" t="str">
        <f t="shared" si="1"/>
        <v>Yes</v>
      </c>
      <c r="G26" s="488">
        <f>VLOOKUP(A26,'CASH FLOW'!B:KE,211,FALSE)</f>
        <v>3.9981999999999997E-2</v>
      </c>
    </row>
    <row r="27" spans="1:7" x14ac:dyDescent="0.25">
      <c r="A27" s="485">
        <v>15838</v>
      </c>
      <c r="B27" s="486" t="s">
        <v>413</v>
      </c>
      <c r="C27" s="487">
        <v>3780</v>
      </c>
      <c r="D27" s="488" t="s">
        <v>66</v>
      </c>
      <c r="E27" s="488">
        <v>1</v>
      </c>
      <c r="F27" s="488" t="str">
        <f t="shared" si="1"/>
        <v>Yes</v>
      </c>
      <c r="G27" s="488">
        <f>VLOOKUP(A27,'CASH FLOW'!B:KE,211,FALSE)</f>
        <v>3.9981999999999997E-2</v>
      </c>
    </row>
    <row r="28" spans="1:7" x14ac:dyDescent="0.25">
      <c r="A28" s="485">
        <v>15839</v>
      </c>
      <c r="B28" s="486" t="s">
        <v>536</v>
      </c>
      <c r="C28" s="487">
        <v>90000</v>
      </c>
      <c r="D28" s="488" t="s">
        <v>66</v>
      </c>
      <c r="E28" s="488">
        <v>0</v>
      </c>
      <c r="F28" s="488" t="str">
        <f t="shared" si="1"/>
        <v>No</v>
      </c>
      <c r="G28" s="488">
        <f>VLOOKUP(A28,'CASH FLOW'!B:KE,211,FALSE)</f>
        <v>3.9981999999999997E-2</v>
      </c>
    </row>
    <row r="29" spans="1:7" x14ac:dyDescent="0.25">
      <c r="A29" s="485">
        <v>15840</v>
      </c>
      <c r="B29" s="486" t="s">
        <v>537</v>
      </c>
      <c r="C29" s="487">
        <v>90000</v>
      </c>
      <c r="D29" s="488" t="s">
        <v>66</v>
      </c>
      <c r="E29" s="488">
        <v>1</v>
      </c>
      <c r="F29" s="488" t="str">
        <f t="shared" si="1"/>
        <v>Yes</v>
      </c>
      <c r="G29" s="488">
        <f>VLOOKUP(A29,'CASH FLOW'!B:KE,211,FALSE)</f>
        <v>3.9981999999999997E-2</v>
      </c>
    </row>
    <row r="30" spans="1:7" x14ac:dyDescent="0.25">
      <c r="A30" s="485">
        <v>15841</v>
      </c>
      <c r="B30" s="486" t="s">
        <v>538</v>
      </c>
      <c r="C30" s="487">
        <v>90000</v>
      </c>
      <c r="D30" s="488" t="s">
        <v>66</v>
      </c>
      <c r="E30" s="488">
        <v>0</v>
      </c>
      <c r="F30" s="488" t="str">
        <f t="shared" si="1"/>
        <v>No</v>
      </c>
      <c r="G30" s="488">
        <f>VLOOKUP(A30,'CASH FLOW'!B:KE,211,FALSE)</f>
        <v>3.9981999999999997E-2</v>
      </c>
    </row>
    <row r="31" spans="1:7" x14ac:dyDescent="0.25">
      <c r="A31" s="485">
        <v>15842</v>
      </c>
      <c r="B31" s="486" t="s">
        <v>708</v>
      </c>
      <c r="C31" s="487">
        <v>90000</v>
      </c>
      <c r="D31" s="488" t="s">
        <v>66</v>
      </c>
      <c r="E31" s="488">
        <v>0</v>
      </c>
      <c r="F31" s="488" t="str">
        <f t="shared" si="1"/>
        <v>No</v>
      </c>
      <c r="G31" s="488">
        <f>VLOOKUP(A31,'CASH FLOW'!B:KE,211,FALSE)</f>
        <v>3.9981999999999997E-2</v>
      </c>
    </row>
    <row r="32" spans="1:7" x14ac:dyDescent="0.25">
      <c r="A32" s="485">
        <v>15843</v>
      </c>
      <c r="B32" s="486" t="s">
        <v>707</v>
      </c>
      <c r="C32" s="487">
        <v>90000</v>
      </c>
      <c r="D32" s="488" t="s">
        <v>66</v>
      </c>
      <c r="E32" s="488">
        <v>0</v>
      </c>
      <c r="F32" s="488" t="str">
        <f t="shared" si="1"/>
        <v>No</v>
      </c>
      <c r="G32" s="488">
        <f>VLOOKUP(A32,'CASH FLOW'!B:KE,211,FALSE)</f>
        <v>3.9981999999999997E-2</v>
      </c>
    </row>
    <row r="33" spans="1:7" x14ac:dyDescent="0.25">
      <c r="A33" s="490">
        <v>15844</v>
      </c>
      <c r="B33" s="491" t="s">
        <v>808</v>
      </c>
      <c r="C33" s="487"/>
      <c r="D33" s="488" t="s">
        <v>66</v>
      </c>
      <c r="E33" s="488">
        <v>0</v>
      </c>
      <c r="F33" s="488" t="s">
        <v>809</v>
      </c>
      <c r="G33" s="488">
        <f>VLOOKUP(A33,'CASH FLOW'!B:KE,211,FALSE)</f>
        <v>3.9981999999999997E-2</v>
      </c>
    </row>
    <row r="34" spans="1:7" x14ac:dyDescent="0.25">
      <c r="A34" s="485">
        <v>21803</v>
      </c>
      <c r="B34" s="486" t="s">
        <v>40</v>
      </c>
      <c r="C34" s="487">
        <v>500</v>
      </c>
      <c r="D34" s="488" t="s">
        <v>65</v>
      </c>
      <c r="E34" s="488">
        <v>1</v>
      </c>
      <c r="F34" s="488" t="str">
        <f t="shared" ref="F34:F64" si="2">IF(E34=0,"No","Yes")</f>
        <v>Yes</v>
      </c>
      <c r="G34" s="488">
        <f>VLOOKUP(A34,'CASH FLOW'!B:KE,211,FALSE)</f>
        <v>3.9981999999999997E-2</v>
      </c>
    </row>
    <row r="35" spans="1:7" x14ac:dyDescent="0.25">
      <c r="A35" s="485">
        <v>21805</v>
      </c>
      <c r="B35" s="486" t="s">
        <v>320</v>
      </c>
      <c r="C35" s="487">
        <v>1000</v>
      </c>
      <c r="D35" s="488" t="s">
        <v>66</v>
      </c>
      <c r="E35" s="488">
        <v>1</v>
      </c>
      <c r="F35" s="488" t="str">
        <f t="shared" si="2"/>
        <v>Yes</v>
      </c>
      <c r="G35" s="488">
        <f>VLOOKUP(A35,'CASH FLOW'!B:KE,211,FALSE)</f>
        <v>3.9981999999999997E-2</v>
      </c>
    </row>
    <row r="36" spans="1:7" x14ac:dyDescent="0.25">
      <c r="A36" s="485">
        <v>43801</v>
      </c>
      <c r="B36" s="486" t="s">
        <v>321</v>
      </c>
      <c r="C36" s="487">
        <v>1500</v>
      </c>
      <c r="D36" s="488" t="s">
        <v>66</v>
      </c>
      <c r="E36" s="488">
        <v>1</v>
      </c>
      <c r="F36" s="488" t="str">
        <f t="shared" si="2"/>
        <v>Yes</v>
      </c>
      <c r="G36" s="488">
        <f>VLOOKUP(A36,'CASH FLOW'!B:KE,211,FALSE)</f>
        <v>3.9981999999999997E-2</v>
      </c>
    </row>
    <row r="37" spans="1:7" x14ac:dyDescent="0.25">
      <c r="A37" s="485">
        <v>43802</v>
      </c>
      <c r="B37" s="486" t="s">
        <v>440</v>
      </c>
      <c r="C37" s="487">
        <v>1300</v>
      </c>
      <c r="D37" s="488" t="s">
        <v>66</v>
      </c>
      <c r="E37" s="488">
        <v>1</v>
      </c>
      <c r="F37" s="488" t="str">
        <f t="shared" si="2"/>
        <v>Yes</v>
      </c>
      <c r="G37" s="488">
        <f>VLOOKUP(A37,'CASH FLOW'!B:KE,211,FALSE)</f>
        <v>3.9981999999999997E-2</v>
      </c>
    </row>
    <row r="38" spans="1:7" x14ac:dyDescent="0.25">
      <c r="A38" s="485">
        <v>46802</v>
      </c>
      <c r="B38" s="486" t="s">
        <v>41</v>
      </c>
      <c r="C38" s="487">
        <v>1000</v>
      </c>
      <c r="D38" s="488" t="s">
        <v>65</v>
      </c>
      <c r="E38" s="488">
        <v>1</v>
      </c>
      <c r="F38" s="488" t="str">
        <f t="shared" si="2"/>
        <v>Yes</v>
      </c>
      <c r="G38" s="488">
        <f>VLOOKUP(A38,'CASH FLOW'!B:KE,211,FALSE)</f>
        <v>3.9981999999999997E-2</v>
      </c>
    </row>
    <row r="39" spans="1:7" x14ac:dyDescent="0.25">
      <c r="A39" s="485">
        <v>57802</v>
      </c>
      <c r="B39" s="486" t="s">
        <v>17</v>
      </c>
      <c r="C39" s="487">
        <v>1000</v>
      </c>
      <c r="D39" s="488" t="s">
        <v>65</v>
      </c>
      <c r="E39" s="488">
        <v>1</v>
      </c>
      <c r="F39" s="488" t="str">
        <f t="shared" si="2"/>
        <v>Yes</v>
      </c>
      <c r="G39" s="488">
        <f>VLOOKUP(A39,'CASH FLOW'!B:KE,211,FALSE)</f>
        <v>3.9981999999999997E-2</v>
      </c>
    </row>
    <row r="40" spans="1:7" x14ac:dyDescent="0.25">
      <c r="A40" s="485">
        <v>57803</v>
      </c>
      <c r="B40" s="486" t="s">
        <v>381</v>
      </c>
      <c r="C40" s="487">
        <v>24000</v>
      </c>
      <c r="D40" s="488" t="s">
        <v>65</v>
      </c>
      <c r="E40" s="488">
        <v>1</v>
      </c>
      <c r="F40" s="488" t="str">
        <f t="shared" si="2"/>
        <v>Yes</v>
      </c>
      <c r="G40" s="488">
        <f>VLOOKUP(A40,'CASH FLOW'!B:KE,211,FALSE)</f>
        <v>3.9981999999999997E-2</v>
      </c>
    </row>
    <row r="41" spans="1:7" x14ac:dyDescent="0.25">
      <c r="A41" s="485">
        <v>57804</v>
      </c>
      <c r="B41" s="486" t="s">
        <v>322</v>
      </c>
      <c r="C41" s="487">
        <v>7500</v>
      </c>
      <c r="D41" s="488" t="s">
        <v>66</v>
      </c>
      <c r="E41" s="488">
        <v>1</v>
      </c>
      <c r="F41" s="488" t="str">
        <f t="shared" si="2"/>
        <v>Yes</v>
      </c>
      <c r="G41" s="488">
        <f>VLOOKUP(A41,'CASH FLOW'!B:KE,211,FALSE)</f>
        <v>3.9981999999999997E-2</v>
      </c>
    </row>
    <row r="42" spans="1:7" x14ac:dyDescent="0.25">
      <c r="A42" s="485">
        <v>57806</v>
      </c>
      <c r="B42" s="486" t="s">
        <v>324</v>
      </c>
      <c r="C42" s="487">
        <v>3000</v>
      </c>
      <c r="D42" s="488" t="s">
        <v>65</v>
      </c>
      <c r="E42" s="488">
        <v>1</v>
      </c>
      <c r="F42" s="488" t="str">
        <f t="shared" si="2"/>
        <v>Yes</v>
      </c>
      <c r="G42" s="488">
        <f>VLOOKUP(A42,'CASH FLOW'!B:KE,211,FALSE)</f>
        <v>3.9981999999999997E-2</v>
      </c>
    </row>
    <row r="43" spans="1:7" x14ac:dyDescent="0.25">
      <c r="A43" s="485">
        <v>57807</v>
      </c>
      <c r="B43" s="486" t="s">
        <v>18</v>
      </c>
      <c r="C43" s="487">
        <v>15000</v>
      </c>
      <c r="D43" s="488" t="s">
        <v>66</v>
      </c>
      <c r="E43" s="488">
        <v>1</v>
      </c>
      <c r="F43" s="488" t="str">
        <f t="shared" si="2"/>
        <v>Yes</v>
      </c>
      <c r="G43" s="488">
        <f>VLOOKUP(A43,'CASH FLOW'!B:KE,211,FALSE)</f>
        <v>3.9981999999999997E-2</v>
      </c>
    </row>
    <row r="44" spans="1:7" x14ac:dyDescent="0.25">
      <c r="A44" s="485">
        <v>57808</v>
      </c>
      <c r="B44" s="486" t="s">
        <v>42</v>
      </c>
      <c r="C44" s="487">
        <v>3000</v>
      </c>
      <c r="D44" s="488" t="s">
        <v>65</v>
      </c>
      <c r="E44" s="488">
        <v>1</v>
      </c>
      <c r="F44" s="488" t="str">
        <f t="shared" si="2"/>
        <v>Yes</v>
      </c>
      <c r="G44" s="488">
        <f>VLOOKUP(A44,'CASH FLOW'!B:KE,211,FALSE)</f>
        <v>3.9981999999999997E-2</v>
      </c>
    </row>
    <row r="45" spans="1:7" x14ac:dyDescent="0.25">
      <c r="A45" s="485">
        <v>57809</v>
      </c>
      <c r="B45" s="486" t="s">
        <v>19</v>
      </c>
      <c r="C45" s="487">
        <v>500</v>
      </c>
      <c r="D45" s="488" t="s">
        <v>65</v>
      </c>
      <c r="E45" s="488">
        <v>1</v>
      </c>
      <c r="F45" s="488" t="str">
        <f t="shared" si="2"/>
        <v>Yes</v>
      </c>
      <c r="G45" s="488">
        <f>VLOOKUP(A45,'CASH FLOW'!B:KE,211,FALSE)</f>
        <v>3.9981999999999997E-2</v>
      </c>
    </row>
    <row r="46" spans="1:7" x14ac:dyDescent="0.25">
      <c r="A46" s="485">
        <v>57810</v>
      </c>
      <c r="B46" s="486" t="s">
        <v>20</v>
      </c>
      <c r="C46" s="487">
        <v>1000</v>
      </c>
      <c r="D46" s="488" t="s">
        <v>66</v>
      </c>
      <c r="E46" s="488">
        <v>1</v>
      </c>
      <c r="F46" s="488" t="str">
        <f t="shared" si="2"/>
        <v>Yes</v>
      </c>
      <c r="G46" s="488">
        <f>VLOOKUP(A46,'CASH FLOW'!B:KE,211,FALSE)</f>
        <v>3.9981999999999997E-2</v>
      </c>
    </row>
    <row r="47" spans="1:7" x14ac:dyDescent="0.25">
      <c r="A47" s="485">
        <v>57813</v>
      </c>
      <c r="B47" s="486" t="s">
        <v>21</v>
      </c>
      <c r="C47" s="487">
        <v>5000</v>
      </c>
      <c r="D47" s="488" t="s">
        <v>65</v>
      </c>
      <c r="E47" s="488">
        <v>1</v>
      </c>
      <c r="F47" s="488" t="str">
        <f t="shared" si="2"/>
        <v>Yes</v>
      </c>
      <c r="G47" s="488">
        <f>VLOOKUP(A47,'CASH FLOW'!B:KE,211,FALSE)</f>
        <v>3.9981999999999997E-2</v>
      </c>
    </row>
    <row r="48" spans="1:7" x14ac:dyDescent="0.25">
      <c r="A48" s="485">
        <v>57814</v>
      </c>
      <c r="B48" s="486" t="s">
        <v>326</v>
      </c>
      <c r="C48" s="487">
        <v>900</v>
      </c>
      <c r="D48" s="488" t="s">
        <v>66</v>
      </c>
      <c r="E48" s="488">
        <v>1</v>
      </c>
      <c r="F48" s="488" t="str">
        <f t="shared" si="2"/>
        <v>Yes</v>
      </c>
      <c r="G48" s="488">
        <f>VLOOKUP(A48,'CASH FLOW'!B:KE,211,FALSE)</f>
        <v>3.9981999999999997E-2</v>
      </c>
    </row>
    <row r="49" spans="1:7" x14ac:dyDescent="0.25">
      <c r="A49" s="485">
        <v>57816</v>
      </c>
      <c r="B49" s="486" t="s">
        <v>412</v>
      </c>
      <c r="C49" s="487">
        <v>2500</v>
      </c>
      <c r="D49" s="488" t="s">
        <v>65</v>
      </c>
      <c r="E49" s="488">
        <v>1</v>
      </c>
      <c r="F49" s="488" t="str">
        <f t="shared" si="2"/>
        <v>Yes</v>
      </c>
      <c r="G49" s="488">
        <f>VLOOKUP(A49,'CASH FLOW'!B:KE,211,FALSE)</f>
        <v>3.9981999999999997E-2</v>
      </c>
    </row>
    <row r="50" spans="1:7" x14ac:dyDescent="0.25">
      <c r="A50" s="485">
        <v>57819</v>
      </c>
      <c r="B50" s="486" t="s">
        <v>43</v>
      </c>
      <c r="C50" s="487">
        <v>400</v>
      </c>
      <c r="D50" s="488" t="s">
        <v>65</v>
      </c>
      <c r="E50" s="488">
        <v>1</v>
      </c>
      <c r="F50" s="488" t="str">
        <f t="shared" si="2"/>
        <v>Yes</v>
      </c>
      <c r="G50" s="488">
        <f>VLOOKUP(A50,'CASH FLOW'!B:KE,211,FALSE)</f>
        <v>3.9981999999999997E-2</v>
      </c>
    </row>
    <row r="51" spans="1:7" x14ac:dyDescent="0.25">
      <c r="A51" s="485">
        <v>57827</v>
      </c>
      <c r="B51" s="486" t="s">
        <v>22</v>
      </c>
      <c r="C51" s="487">
        <v>1000</v>
      </c>
      <c r="D51" s="488" t="s">
        <v>65</v>
      </c>
      <c r="E51" s="488">
        <v>1</v>
      </c>
      <c r="F51" s="488" t="str">
        <f t="shared" si="2"/>
        <v>Yes</v>
      </c>
      <c r="G51" s="488">
        <f>VLOOKUP(A51,'CASH FLOW'!B:KE,211,FALSE)</f>
        <v>3.9981999999999997E-2</v>
      </c>
    </row>
    <row r="52" spans="1:7" x14ac:dyDescent="0.25">
      <c r="A52" s="485">
        <v>57828</v>
      </c>
      <c r="B52" s="486" t="s">
        <v>83</v>
      </c>
      <c r="C52" s="487">
        <v>3000</v>
      </c>
      <c r="D52" s="488" t="s">
        <v>66</v>
      </c>
      <c r="E52" s="488">
        <v>1</v>
      </c>
      <c r="F52" s="488" t="str">
        <f t="shared" si="2"/>
        <v>Yes</v>
      </c>
      <c r="G52" s="488">
        <f>VLOOKUP(A52,'CASH FLOW'!B:KE,211,FALSE)</f>
        <v>3.9981999999999997E-2</v>
      </c>
    </row>
    <row r="53" spans="1:7" x14ac:dyDescent="0.25">
      <c r="A53" s="485">
        <v>57829</v>
      </c>
      <c r="B53" s="486" t="s">
        <v>44</v>
      </c>
      <c r="C53" s="487">
        <v>1750</v>
      </c>
      <c r="D53" s="488" t="s">
        <v>65</v>
      </c>
      <c r="E53" s="488">
        <v>1</v>
      </c>
      <c r="F53" s="488" t="str">
        <f t="shared" si="2"/>
        <v>Yes</v>
      </c>
      <c r="G53" s="488">
        <f>VLOOKUP(A53,'CASH FLOW'!B:KE,211,FALSE)</f>
        <v>3.9981999999999997E-2</v>
      </c>
    </row>
    <row r="54" spans="1:7" x14ac:dyDescent="0.25">
      <c r="A54" s="485">
        <v>57830</v>
      </c>
      <c r="B54" s="486" t="s">
        <v>45</v>
      </c>
      <c r="C54" s="487">
        <v>2000</v>
      </c>
      <c r="D54" s="488" t="s">
        <v>65</v>
      </c>
      <c r="E54" s="488">
        <v>1</v>
      </c>
      <c r="F54" s="488" t="str">
        <f t="shared" si="2"/>
        <v>Yes</v>
      </c>
      <c r="G54" s="488">
        <f>VLOOKUP(A54,'CASH FLOW'!B:KE,211,FALSE)</f>
        <v>3.9981999999999997E-2</v>
      </c>
    </row>
    <row r="55" spans="1:7" x14ac:dyDescent="0.25">
      <c r="A55" s="485">
        <v>57831</v>
      </c>
      <c r="B55" s="486" t="s">
        <v>46</v>
      </c>
      <c r="C55" s="487">
        <v>1200</v>
      </c>
      <c r="D55" s="488" t="s">
        <v>65</v>
      </c>
      <c r="E55" s="488">
        <v>1</v>
      </c>
      <c r="F55" s="488" t="str">
        <f t="shared" si="2"/>
        <v>Yes</v>
      </c>
      <c r="G55" s="488">
        <f>VLOOKUP(A55,'CASH FLOW'!B:KE,211,FALSE)</f>
        <v>3.9981999999999997E-2</v>
      </c>
    </row>
    <row r="56" spans="1:7" x14ac:dyDescent="0.25">
      <c r="A56" s="485">
        <v>57833</v>
      </c>
      <c r="B56" s="486" t="s">
        <v>47</v>
      </c>
      <c r="C56" s="487">
        <v>1000</v>
      </c>
      <c r="D56" s="488" t="s">
        <v>65</v>
      </c>
      <c r="E56" s="488">
        <v>1</v>
      </c>
      <c r="F56" s="488" t="str">
        <f t="shared" si="2"/>
        <v>Yes</v>
      </c>
      <c r="G56" s="488">
        <f>VLOOKUP(A56,'CASH FLOW'!B:KE,211,FALSE)</f>
        <v>3.9981999999999997E-2</v>
      </c>
    </row>
    <row r="57" spans="1:7" x14ac:dyDescent="0.25">
      <c r="A57" s="485">
        <v>57834</v>
      </c>
      <c r="B57" s="486" t="s">
        <v>23</v>
      </c>
      <c r="C57" s="487">
        <v>1200</v>
      </c>
      <c r="D57" s="488" t="s">
        <v>65</v>
      </c>
      <c r="E57" s="488">
        <v>1</v>
      </c>
      <c r="F57" s="488" t="str">
        <f t="shared" si="2"/>
        <v>Yes</v>
      </c>
      <c r="G57" s="488">
        <f>VLOOKUP(A57,'CASH FLOW'!B:KE,211,FALSE)</f>
        <v>3.9981999999999997E-2</v>
      </c>
    </row>
    <row r="58" spans="1:7" x14ac:dyDescent="0.25">
      <c r="A58" s="485">
        <v>57835</v>
      </c>
      <c r="B58" s="486" t="s">
        <v>48</v>
      </c>
      <c r="C58" s="487">
        <v>2500</v>
      </c>
      <c r="D58" s="488" t="s">
        <v>66</v>
      </c>
      <c r="E58" s="488">
        <v>1</v>
      </c>
      <c r="F58" s="488" t="str">
        <f t="shared" si="2"/>
        <v>Yes</v>
      </c>
      <c r="G58" s="488">
        <f>VLOOKUP(A58,'CASH FLOW'!B:KE,211,FALSE)</f>
        <v>3.9981999999999997E-2</v>
      </c>
    </row>
    <row r="59" spans="1:7" x14ac:dyDescent="0.25">
      <c r="A59" s="485">
        <v>57836</v>
      </c>
      <c r="B59" s="486" t="s">
        <v>24</v>
      </c>
      <c r="C59" s="487">
        <v>500</v>
      </c>
      <c r="D59" s="488" t="s">
        <v>65</v>
      </c>
      <c r="E59" s="488">
        <v>1</v>
      </c>
      <c r="F59" s="488" t="str">
        <f t="shared" si="2"/>
        <v>Yes</v>
      </c>
      <c r="G59" s="488">
        <f>VLOOKUP(A59,'CASH FLOW'!B:KE,211,FALSE)</f>
        <v>3.9981999999999997E-2</v>
      </c>
    </row>
    <row r="60" spans="1:7" x14ac:dyDescent="0.25">
      <c r="A60" s="485">
        <v>57839</v>
      </c>
      <c r="B60" s="486" t="s">
        <v>58</v>
      </c>
      <c r="C60" s="487">
        <v>1550</v>
      </c>
      <c r="D60" s="488" t="s">
        <v>66</v>
      </c>
      <c r="E60" s="488">
        <v>1</v>
      </c>
      <c r="F60" s="488" t="str">
        <f t="shared" si="2"/>
        <v>Yes</v>
      </c>
      <c r="G60" s="488">
        <f>VLOOKUP(A60,'CASH FLOW'!B:KE,211,FALSE)</f>
        <v>3.9981999999999997E-2</v>
      </c>
    </row>
    <row r="61" spans="1:7" x14ac:dyDescent="0.25">
      <c r="A61" s="485">
        <v>57840</v>
      </c>
      <c r="B61" s="486" t="s">
        <v>328</v>
      </c>
      <c r="C61" s="487">
        <v>900</v>
      </c>
      <c r="D61" s="488" t="s">
        <v>66</v>
      </c>
      <c r="E61" s="488">
        <v>1</v>
      </c>
      <c r="F61" s="488" t="str">
        <f t="shared" si="2"/>
        <v>Yes</v>
      </c>
      <c r="G61" s="488">
        <f>VLOOKUP(A61,'CASH FLOW'!B:KE,211,FALSE)</f>
        <v>3.9981999999999997E-2</v>
      </c>
    </row>
    <row r="62" spans="1:7" x14ac:dyDescent="0.25">
      <c r="A62" s="485">
        <v>57841</v>
      </c>
      <c r="B62" s="486" t="s">
        <v>329</v>
      </c>
      <c r="C62" s="487">
        <v>2000</v>
      </c>
      <c r="D62" s="488" t="s">
        <v>66</v>
      </c>
      <c r="E62" s="488">
        <v>1</v>
      </c>
      <c r="F62" s="488" t="str">
        <f t="shared" si="2"/>
        <v>Yes</v>
      </c>
      <c r="G62" s="488">
        <f>VLOOKUP(A62,'CASH FLOW'!B:KE,211,FALSE)</f>
        <v>3.9981999999999997E-2</v>
      </c>
    </row>
    <row r="63" spans="1:7" x14ac:dyDescent="0.25">
      <c r="A63" s="485">
        <v>57844</v>
      </c>
      <c r="B63" s="486" t="s">
        <v>330</v>
      </c>
      <c r="C63" s="487">
        <v>1500</v>
      </c>
      <c r="D63" s="488" t="s">
        <v>66</v>
      </c>
      <c r="E63" s="488">
        <v>1</v>
      </c>
      <c r="F63" s="488" t="str">
        <f t="shared" si="2"/>
        <v>Yes</v>
      </c>
      <c r="G63" s="488">
        <f>VLOOKUP(A63,'CASH FLOW'!B:KE,211,FALSE)</f>
        <v>3.9981999999999997E-2</v>
      </c>
    </row>
    <row r="64" spans="1:7" x14ac:dyDescent="0.25">
      <c r="A64" s="485">
        <v>57845</v>
      </c>
      <c r="B64" s="486" t="s">
        <v>114</v>
      </c>
      <c r="C64" s="487">
        <v>2000</v>
      </c>
      <c r="D64" s="488" t="s">
        <v>66</v>
      </c>
      <c r="E64" s="488">
        <v>1</v>
      </c>
      <c r="F64" s="488" t="str">
        <f t="shared" si="2"/>
        <v>Yes</v>
      </c>
      <c r="G64" s="488">
        <f>VLOOKUP(A64,'CASH FLOW'!B:KE,211,FALSE)</f>
        <v>3.9981999999999997E-2</v>
      </c>
    </row>
    <row r="65" spans="1:7" x14ac:dyDescent="0.25">
      <c r="A65" s="485">
        <v>57846</v>
      </c>
      <c r="B65" s="486" t="s">
        <v>115</v>
      </c>
      <c r="C65" s="487">
        <v>2600</v>
      </c>
      <c r="D65" s="488" t="s">
        <v>66</v>
      </c>
      <c r="E65" s="488">
        <v>1</v>
      </c>
      <c r="F65" s="488" t="str">
        <f t="shared" ref="F65:F96" si="3">IF(E65=0,"No","Yes")</f>
        <v>Yes</v>
      </c>
      <c r="G65" s="488">
        <f>VLOOKUP(A65,'CASH FLOW'!B:KE,211,FALSE)</f>
        <v>3.9981999999999997E-2</v>
      </c>
    </row>
    <row r="66" spans="1:7" x14ac:dyDescent="0.25">
      <c r="A66" s="485">
        <v>57847</v>
      </c>
      <c r="B66" s="486" t="s">
        <v>331</v>
      </c>
      <c r="C66" s="487">
        <v>1400</v>
      </c>
      <c r="D66" s="488" t="s">
        <v>66</v>
      </c>
      <c r="E66" s="488">
        <v>1</v>
      </c>
      <c r="F66" s="488" t="str">
        <f t="shared" si="3"/>
        <v>Yes</v>
      </c>
      <c r="G66" s="488">
        <f>VLOOKUP(A66,'CASH FLOW'!B:KE,211,FALSE)</f>
        <v>3.9981999999999997E-2</v>
      </c>
    </row>
    <row r="67" spans="1:7" x14ac:dyDescent="0.25">
      <c r="A67" s="485">
        <v>57848</v>
      </c>
      <c r="B67" s="486" t="s">
        <v>332</v>
      </c>
      <c r="C67" s="487">
        <v>29340</v>
      </c>
      <c r="D67" s="488" t="s">
        <v>66</v>
      </c>
      <c r="E67" s="488">
        <v>1</v>
      </c>
      <c r="F67" s="488" t="str">
        <f t="shared" si="3"/>
        <v>Yes</v>
      </c>
      <c r="G67" s="488">
        <f>VLOOKUP(A67,'CASH FLOW'!B:KE,211,FALSE)</f>
        <v>3.9981999999999997E-2</v>
      </c>
    </row>
    <row r="68" spans="1:7" x14ac:dyDescent="0.25">
      <c r="A68" s="485">
        <v>57850</v>
      </c>
      <c r="B68" s="486" t="s">
        <v>383</v>
      </c>
      <c r="C68" s="487">
        <v>3550</v>
      </c>
      <c r="D68" s="488" t="s">
        <v>66</v>
      </c>
      <c r="E68" s="488">
        <v>1</v>
      </c>
      <c r="F68" s="488" t="str">
        <f t="shared" si="3"/>
        <v>Yes</v>
      </c>
      <c r="G68" s="488">
        <f>VLOOKUP(A68,'CASH FLOW'!B:KE,211,FALSE)</f>
        <v>3.9981999999999997E-2</v>
      </c>
    </row>
    <row r="69" spans="1:7" x14ac:dyDescent="0.25">
      <c r="A69" s="485">
        <v>57851</v>
      </c>
      <c r="B69" s="486" t="s">
        <v>436</v>
      </c>
      <c r="C69" s="487">
        <v>1560</v>
      </c>
      <c r="D69" s="488" t="s">
        <v>66</v>
      </c>
      <c r="E69" s="488">
        <v>1</v>
      </c>
      <c r="F69" s="488" t="str">
        <f t="shared" si="3"/>
        <v>Yes</v>
      </c>
      <c r="G69" s="488">
        <f>VLOOKUP(A69,'CASH FLOW'!B:KE,211,FALSE)</f>
        <v>3.9981999999999997E-2</v>
      </c>
    </row>
    <row r="70" spans="1:7" x14ac:dyDescent="0.25">
      <c r="A70" s="485">
        <v>61802</v>
      </c>
      <c r="B70" s="486" t="s">
        <v>333</v>
      </c>
      <c r="C70" s="487">
        <v>1200</v>
      </c>
      <c r="D70" s="488" t="s">
        <v>65</v>
      </c>
      <c r="E70" s="488">
        <v>1</v>
      </c>
      <c r="F70" s="488" t="str">
        <f t="shared" si="3"/>
        <v>Yes</v>
      </c>
      <c r="G70" s="488">
        <f>VLOOKUP(A70,'CASH FLOW'!B:KE,211,FALSE)</f>
        <v>3.9981999999999997E-2</v>
      </c>
    </row>
    <row r="71" spans="1:7" x14ac:dyDescent="0.25">
      <c r="A71" s="485">
        <v>61804</v>
      </c>
      <c r="B71" s="486" t="s">
        <v>334</v>
      </c>
      <c r="C71" s="487">
        <v>1300</v>
      </c>
      <c r="D71" s="488" t="s">
        <v>66</v>
      </c>
      <c r="E71" s="488">
        <v>1</v>
      </c>
      <c r="F71" s="488" t="str">
        <f t="shared" si="3"/>
        <v>Yes</v>
      </c>
      <c r="G71" s="488">
        <f>VLOOKUP(A71,'CASH FLOW'!B:KE,211,FALSE)</f>
        <v>3.9981999999999997E-2</v>
      </c>
    </row>
    <row r="72" spans="1:7" x14ac:dyDescent="0.25">
      <c r="A72" s="485">
        <v>61805</v>
      </c>
      <c r="B72" s="486" t="s">
        <v>384</v>
      </c>
      <c r="C72" s="487">
        <v>2000</v>
      </c>
      <c r="D72" s="488" t="s">
        <v>66</v>
      </c>
      <c r="E72" s="488">
        <v>1</v>
      </c>
      <c r="F72" s="488" t="str">
        <f t="shared" si="3"/>
        <v>Yes</v>
      </c>
      <c r="G72" s="488">
        <f>VLOOKUP(A72,'CASH FLOW'!B:KE,211,FALSE)</f>
        <v>3.9981999999999997E-2</v>
      </c>
    </row>
    <row r="73" spans="1:7" x14ac:dyDescent="0.25">
      <c r="A73" s="485">
        <v>68802</v>
      </c>
      <c r="B73" s="486" t="s">
        <v>335</v>
      </c>
      <c r="C73" s="487">
        <v>1200</v>
      </c>
      <c r="D73" s="488" t="s">
        <v>66</v>
      </c>
      <c r="E73" s="488">
        <v>1</v>
      </c>
      <c r="F73" s="488" t="str">
        <f t="shared" si="3"/>
        <v>Yes</v>
      </c>
      <c r="G73" s="488">
        <f>VLOOKUP(A73,'CASH FLOW'!B:KE,211,FALSE)</f>
        <v>3.9981999999999997E-2</v>
      </c>
    </row>
    <row r="74" spans="1:7" x14ac:dyDescent="0.25">
      <c r="A74" s="485">
        <v>70801</v>
      </c>
      <c r="B74" s="486" t="s">
        <v>689</v>
      </c>
      <c r="C74" s="487">
        <v>3000</v>
      </c>
      <c r="D74" s="488" t="s">
        <v>65</v>
      </c>
      <c r="E74" s="488">
        <v>1</v>
      </c>
      <c r="F74" s="488" t="str">
        <f t="shared" si="3"/>
        <v>Yes</v>
      </c>
      <c r="G74" s="488">
        <f>VLOOKUP(A74,'CASH FLOW'!B:KE,211,FALSE)</f>
        <v>3.9981999999999997E-2</v>
      </c>
    </row>
    <row r="75" spans="1:7" x14ac:dyDescent="0.25">
      <c r="A75" s="485">
        <v>71801</v>
      </c>
      <c r="B75" s="486" t="s">
        <v>84</v>
      </c>
      <c r="C75" s="487">
        <v>1300</v>
      </c>
      <c r="D75" s="488" t="s">
        <v>65</v>
      </c>
      <c r="E75" s="488">
        <v>1</v>
      </c>
      <c r="F75" s="488" t="str">
        <f t="shared" si="3"/>
        <v>Yes</v>
      </c>
      <c r="G75" s="488">
        <f>VLOOKUP(A75,'CASH FLOW'!B:KE,211,FALSE)</f>
        <v>3.9981999999999997E-2</v>
      </c>
    </row>
    <row r="76" spans="1:7" x14ac:dyDescent="0.25">
      <c r="A76" s="485">
        <v>71803</v>
      </c>
      <c r="B76" s="486" t="s">
        <v>337</v>
      </c>
      <c r="C76" s="487">
        <v>800</v>
      </c>
      <c r="D76" s="488" t="s">
        <v>65</v>
      </c>
      <c r="E76" s="488">
        <v>1</v>
      </c>
      <c r="F76" s="488" t="str">
        <f t="shared" si="3"/>
        <v>Yes</v>
      </c>
      <c r="G76" s="488">
        <f>VLOOKUP(A76,'CASH FLOW'!B:KE,211,FALSE)</f>
        <v>3.9981999999999997E-2</v>
      </c>
    </row>
    <row r="77" spans="1:7" x14ac:dyDescent="0.25">
      <c r="A77" s="485">
        <v>71804</v>
      </c>
      <c r="B77" s="486" t="s">
        <v>25</v>
      </c>
      <c r="C77" s="487">
        <v>500</v>
      </c>
      <c r="D77" s="488" t="s">
        <v>65</v>
      </c>
      <c r="E77" s="488">
        <v>1</v>
      </c>
      <c r="F77" s="488" t="str">
        <f t="shared" si="3"/>
        <v>Yes</v>
      </c>
      <c r="G77" s="488">
        <f>VLOOKUP(A77,'CASH FLOW'!B:KE,211,FALSE)</f>
        <v>3.9981999999999997E-2</v>
      </c>
    </row>
    <row r="78" spans="1:7" x14ac:dyDescent="0.25">
      <c r="A78" s="485">
        <v>71806</v>
      </c>
      <c r="B78" s="486" t="s">
        <v>26</v>
      </c>
      <c r="C78" s="487">
        <v>4500</v>
      </c>
      <c r="D78" s="488" t="s">
        <v>65</v>
      </c>
      <c r="E78" s="488">
        <v>1</v>
      </c>
      <c r="F78" s="488" t="str">
        <f t="shared" si="3"/>
        <v>Yes</v>
      </c>
      <c r="G78" s="488">
        <f>VLOOKUP(A78,'CASH FLOW'!B:KE,211,FALSE)</f>
        <v>3.9981999999999997E-2</v>
      </c>
    </row>
    <row r="79" spans="1:7" x14ac:dyDescent="0.25">
      <c r="A79" s="485">
        <v>71807</v>
      </c>
      <c r="B79" s="486" t="s">
        <v>63</v>
      </c>
      <c r="C79" s="487">
        <v>672</v>
      </c>
      <c r="D79" s="488" t="s">
        <v>66</v>
      </c>
      <c r="E79" s="488">
        <v>1</v>
      </c>
      <c r="F79" s="488" t="str">
        <f t="shared" si="3"/>
        <v>Yes</v>
      </c>
      <c r="G79" s="488">
        <f>VLOOKUP(A79,'CASH FLOW'!B:KE,211,FALSE)</f>
        <v>3.9981999999999997E-2</v>
      </c>
    </row>
    <row r="80" spans="1:7" x14ac:dyDescent="0.25">
      <c r="A80" s="485">
        <v>71809</v>
      </c>
      <c r="B80" s="486" t="s">
        <v>338</v>
      </c>
      <c r="C80" s="487">
        <v>1240</v>
      </c>
      <c r="D80" s="488" t="s">
        <v>65</v>
      </c>
      <c r="E80" s="488">
        <v>1</v>
      </c>
      <c r="F80" s="488" t="str">
        <f t="shared" si="3"/>
        <v>Yes</v>
      </c>
      <c r="G80" s="488">
        <f>VLOOKUP(A80,'CASH FLOW'!B:KE,211,FALSE)</f>
        <v>3.9981999999999997E-2</v>
      </c>
    </row>
    <row r="81" spans="1:7" x14ac:dyDescent="0.25">
      <c r="A81" s="485">
        <v>71810</v>
      </c>
      <c r="B81" s="486" t="s">
        <v>339</v>
      </c>
      <c r="C81" s="487">
        <v>625</v>
      </c>
      <c r="D81" s="488" t="s">
        <v>66</v>
      </c>
      <c r="E81" s="488">
        <v>0</v>
      </c>
      <c r="F81" s="488" t="str">
        <f t="shared" si="3"/>
        <v>No</v>
      </c>
      <c r="G81" s="488">
        <f>VLOOKUP(A81,'CASH FLOW'!B:KE,211,FALSE)</f>
        <v>3.9981999999999997E-2</v>
      </c>
    </row>
    <row r="82" spans="1:7" x14ac:dyDescent="0.25">
      <c r="A82" s="485">
        <v>72801</v>
      </c>
      <c r="B82" s="486" t="s">
        <v>97</v>
      </c>
      <c r="C82" s="487">
        <v>10000</v>
      </c>
      <c r="D82" s="488" t="s">
        <v>65</v>
      </c>
      <c r="E82" s="488">
        <v>1</v>
      </c>
      <c r="F82" s="488" t="str">
        <f t="shared" si="3"/>
        <v>Yes</v>
      </c>
      <c r="G82" s="488">
        <f>VLOOKUP(A82,'CASH FLOW'!B:KE,211,FALSE)</f>
        <v>3.9981999999999997E-2</v>
      </c>
    </row>
    <row r="83" spans="1:7" x14ac:dyDescent="0.25">
      <c r="A83" s="485">
        <v>72802</v>
      </c>
      <c r="B83" s="486" t="s">
        <v>340</v>
      </c>
      <c r="C83" s="487">
        <v>600</v>
      </c>
      <c r="D83" s="488" t="s">
        <v>65</v>
      </c>
      <c r="E83" s="488">
        <v>1</v>
      </c>
      <c r="F83" s="488" t="str">
        <f t="shared" si="3"/>
        <v>Yes</v>
      </c>
      <c r="G83" s="488">
        <f>VLOOKUP(A83,'CASH FLOW'!B:KE,211,FALSE)</f>
        <v>3.9981999999999997E-2</v>
      </c>
    </row>
    <row r="84" spans="1:7" x14ac:dyDescent="0.25">
      <c r="A84" s="485">
        <v>84802</v>
      </c>
      <c r="B84" s="486" t="s">
        <v>27</v>
      </c>
      <c r="C84" s="487">
        <v>2254</v>
      </c>
      <c r="D84" s="488" t="s">
        <v>65</v>
      </c>
      <c r="E84" s="488">
        <v>1</v>
      </c>
      <c r="F84" s="488" t="str">
        <f t="shared" si="3"/>
        <v>Yes</v>
      </c>
      <c r="G84" s="488">
        <f>VLOOKUP(A84,'CASH FLOW'!B:KE,211,FALSE)</f>
        <v>3.9981999999999997E-2</v>
      </c>
    </row>
    <row r="85" spans="1:7" x14ac:dyDescent="0.25">
      <c r="A85" s="485">
        <v>84804</v>
      </c>
      <c r="B85" s="486" t="s">
        <v>64</v>
      </c>
      <c r="C85" s="487">
        <v>600</v>
      </c>
      <c r="D85" s="488" t="s">
        <v>66</v>
      </c>
      <c r="E85" s="488">
        <v>1</v>
      </c>
      <c r="F85" s="488" t="str">
        <f t="shared" si="3"/>
        <v>Yes</v>
      </c>
      <c r="G85" s="488">
        <f>VLOOKUP(A85,'CASH FLOW'!B:KE,211,FALSE)</f>
        <v>3.9981999999999997E-2</v>
      </c>
    </row>
    <row r="86" spans="1:7" x14ac:dyDescent="0.25">
      <c r="A86" s="485">
        <v>92801</v>
      </c>
      <c r="B86" s="486" t="s">
        <v>28</v>
      </c>
      <c r="C86" s="487">
        <v>500</v>
      </c>
      <c r="D86" s="488" t="s">
        <v>65</v>
      </c>
      <c r="E86" s="488">
        <v>1</v>
      </c>
      <c r="F86" s="488" t="str">
        <f t="shared" si="3"/>
        <v>Yes</v>
      </c>
      <c r="G86" s="488">
        <f>VLOOKUP(A86,'CASH FLOW'!B:KE,211,FALSE)</f>
        <v>3.9981999999999997E-2</v>
      </c>
    </row>
    <row r="87" spans="1:7" x14ac:dyDescent="0.25">
      <c r="A87" s="485">
        <v>101802</v>
      </c>
      <c r="B87" s="486" t="s">
        <v>50</v>
      </c>
      <c r="C87" s="487">
        <v>1750</v>
      </c>
      <c r="D87" s="488" t="s">
        <v>66</v>
      </c>
      <c r="E87" s="488">
        <v>1</v>
      </c>
      <c r="F87" s="488" t="str">
        <f t="shared" si="3"/>
        <v>Yes</v>
      </c>
      <c r="G87" s="488">
        <f>VLOOKUP(A87,'CASH FLOW'!B:KE,211,FALSE)</f>
        <v>3.9981999999999997E-2</v>
      </c>
    </row>
    <row r="88" spans="1:7" x14ac:dyDescent="0.25">
      <c r="A88" s="485">
        <v>101803</v>
      </c>
      <c r="B88" s="486" t="s">
        <v>91</v>
      </c>
      <c r="C88" s="487">
        <v>1128</v>
      </c>
      <c r="D88" s="488" t="s">
        <v>65</v>
      </c>
      <c r="E88" s="488">
        <v>1</v>
      </c>
      <c r="F88" s="488" t="str">
        <f t="shared" si="3"/>
        <v>Yes</v>
      </c>
      <c r="G88" s="488">
        <f>VLOOKUP(A88,'CASH FLOW'!B:KE,211,FALSE)</f>
        <v>3.9981999999999997E-2</v>
      </c>
    </row>
    <row r="89" spans="1:7" x14ac:dyDescent="0.25">
      <c r="A89" s="485">
        <v>101804</v>
      </c>
      <c r="B89" s="486" t="s">
        <v>7</v>
      </c>
      <c r="C89" s="487">
        <v>1450</v>
      </c>
      <c r="D89" s="488" t="s">
        <v>66</v>
      </c>
      <c r="E89" s="488">
        <v>1</v>
      </c>
      <c r="F89" s="488" t="str">
        <f t="shared" si="3"/>
        <v>Yes</v>
      </c>
      <c r="G89" s="488">
        <f>VLOOKUP(A89,'CASH FLOW'!B:KE,211,FALSE)</f>
        <v>3.9981999999999997E-2</v>
      </c>
    </row>
    <row r="90" spans="1:7" x14ac:dyDescent="0.25">
      <c r="A90" s="485">
        <v>101806</v>
      </c>
      <c r="B90" s="486" t="s">
        <v>444</v>
      </c>
      <c r="C90" s="487">
        <v>1330</v>
      </c>
      <c r="D90" s="488" t="s">
        <v>65</v>
      </c>
      <c r="E90" s="488">
        <v>1</v>
      </c>
      <c r="F90" s="488" t="str">
        <f t="shared" si="3"/>
        <v>Yes</v>
      </c>
      <c r="G90" s="488">
        <f>VLOOKUP(A90,'CASH FLOW'!B:KE,211,FALSE)</f>
        <v>3.9981999999999997E-2</v>
      </c>
    </row>
    <row r="91" spans="1:7" x14ac:dyDescent="0.25">
      <c r="A91" s="485">
        <v>101810</v>
      </c>
      <c r="B91" s="486" t="s">
        <v>51</v>
      </c>
      <c r="C91" s="487">
        <v>750</v>
      </c>
      <c r="D91" s="488" t="s">
        <v>65</v>
      </c>
      <c r="E91" s="488">
        <v>0</v>
      </c>
      <c r="F91" s="488" t="str">
        <f t="shared" si="3"/>
        <v>No</v>
      </c>
      <c r="G91" s="488">
        <f>VLOOKUP(A91,'CASH FLOW'!B:KE,211,FALSE)</f>
        <v>3.9981999999999997E-2</v>
      </c>
    </row>
    <row r="92" spans="1:7" x14ac:dyDescent="0.25">
      <c r="A92" s="485">
        <v>101811</v>
      </c>
      <c r="B92" s="486" t="s">
        <v>343</v>
      </c>
      <c r="C92" s="487">
        <v>1000</v>
      </c>
      <c r="D92" s="488" t="s">
        <v>66</v>
      </c>
      <c r="E92" s="488">
        <v>1</v>
      </c>
      <c r="F92" s="488" t="str">
        <f t="shared" si="3"/>
        <v>Yes</v>
      </c>
      <c r="G92" s="488">
        <f>VLOOKUP(A92,'CASH FLOW'!B:KE,211,FALSE)</f>
        <v>3.9981999999999997E-2</v>
      </c>
    </row>
    <row r="93" spans="1:7" x14ac:dyDescent="0.25">
      <c r="A93" s="485">
        <v>101814</v>
      </c>
      <c r="B93" s="486" t="s">
        <v>379</v>
      </c>
      <c r="C93" s="487">
        <v>2500</v>
      </c>
      <c r="D93" s="488" t="s">
        <v>65</v>
      </c>
      <c r="E93" s="488">
        <v>1</v>
      </c>
      <c r="F93" s="488" t="str">
        <f t="shared" si="3"/>
        <v>Yes</v>
      </c>
      <c r="G93" s="488">
        <f>VLOOKUP(A93,'CASH FLOW'!B:KE,211,FALSE)</f>
        <v>3.9981999999999997E-2</v>
      </c>
    </row>
    <row r="94" spans="1:7" x14ac:dyDescent="0.25">
      <c r="A94" s="485">
        <v>101815</v>
      </c>
      <c r="B94" s="486" t="s">
        <v>52</v>
      </c>
      <c r="C94" s="487">
        <v>600</v>
      </c>
      <c r="D94" s="488" t="s">
        <v>65</v>
      </c>
      <c r="E94" s="488">
        <v>1</v>
      </c>
      <c r="F94" s="488" t="str">
        <f t="shared" si="3"/>
        <v>Yes</v>
      </c>
      <c r="G94" s="488">
        <f>VLOOKUP(A94,'CASH FLOW'!B:KE,211,FALSE)</f>
        <v>3.9981999999999997E-2</v>
      </c>
    </row>
    <row r="95" spans="1:7" x14ac:dyDescent="0.25">
      <c r="A95" s="485">
        <v>101819</v>
      </c>
      <c r="B95" s="486" t="s">
        <v>8</v>
      </c>
      <c r="C95" s="487">
        <v>1500</v>
      </c>
      <c r="D95" s="488" t="s">
        <v>66</v>
      </c>
      <c r="E95" s="488">
        <v>1</v>
      </c>
      <c r="F95" s="488" t="str">
        <f t="shared" si="3"/>
        <v>Yes</v>
      </c>
      <c r="G95" s="488">
        <f>VLOOKUP(A95,'CASH FLOW'!B:KE,211,FALSE)</f>
        <v>3.9981999999999997E-2</v>
      </c>
    </row>
    <row r="96" spans="1:7" x14ac:dyDescent="0.25">
      <c r="A96" s="485">
        <v>101821</v>
      </c>
      <c r="B96" s="486" t="s">
        <v>9</v>
      </c>
      <c r="C96" s="487">
        <v>450</v>
      </c>
      <c r="D96" s="488" t="s">
        <v>66</v>
      </c>
      <c r="E96" s="488">
        <v>1</v>
      </c>
      <c r="F96" s="488" t="str">
        <f t="shared" si="3"/>
        <v>Yes</v>
      </c>
      <c r="G96" s="488">
        <f>VLOOKUP(A96,'CASH FLOW'!B:KE,211,FALSE)</f>
        <v>3.9981999999999997E-2</v>
      </c>
    </row>
    <row r="97" spans="1:7" x14ac:dyDescent="0.25">
      <c r="A97" s="485">
        <v>101828</v>
      </c>
      <c r="B97" s="486" t="s">
        <v>10</v>
      </c>
      <c r="C97" s="487">
        <v>2400</v>
      </c>
      <c r="D97" s="488" t="s">
        <v>66</v>
      </c>
      <c r="E97" s="488">
        <v>1</v>
      </c>
      <c r="F97" s="488" t="str">
        <f t="shared" ref="F97:F126" si="4">IF(E97=0,"No","Yes")</f>
        <v>Yes</v>
      </c>
      <c r="G97" s="488">
        <f>VLOOKUP(A97,'CASH FLOW'!B:KE,211,FALSE)</f>
        <v>3.9981999999999997E-2</v>
      </c>
    </row>
    <row r="98" spans="1:7" x14ac:dyDescent="0.25">
      <c r="A98" s="485">
        <v>101837</v>
      </c>
      <c r="B98" s="486" t="s">
        <v>12</v>
      </c>
      <c r="C98" s="487">
        <v>750</v>
      </c>
      <c r="D98" s="488" t="s">
        <v>65</v>
      </c>
      <c r="E98" s="488">
        <v>1</v>
      </c>
      <c r="F98" s="488" t="str">
        <f t="shared" si="4"/>
        <v>Yes</v>
      </c>
      <c r="G98" s="488">
        <f>VLOOKUP(A98,'CASH FLOW'!B:KE,211,FALSE)</f>
        <v>3.9981999999999997E-2</v>
      </c>
    </row>
    <row r="99" spans="1:7" x14ac:dyDescent="0.25">
      <c r="A99" s="485">
        <v>101838</v>
      </c>
      <c r="B99" s="486" t="s">
        <v>415</v>
      </c>
      <c r="C99" s="487">
        <v>4250</v>
      </c>
      <c r="D99" s="488" t="s">
        <v>66</v>
      </c>
      <c r="E99" s="488">
        <v>1</v>
      </c>
      <c r="F99" s="488" t="str">
        <f t="shared" si="4"/>
        <v>Yes</v>
      </c>
      <c r="G99" s="488">
        <f>VLOOKUP(A99,'CASH FLOW'!B:KE,211,FALSE)</f>
        <v>3.9981999999999997E-2</v>
      </c>
    </row>
    <row r="100" spans="1:7" x14ac:dyDescent="0.25">
      <c r="A100" s="485">
        <v>101840</v>
      </c>
      <c r="B100" s="486" t="s">
        <v>29</v>
      </c>
      <c r="C100" s="487">
        <v>700</v>
      </c>
      <c r="D100" s="488" t="s">
        <v>65</v>
      </c>
      <c r="E100" s="488">
        <v>1</v>
      </c>
      <c r="F100" s="488" t="str">
        <f t="shared" si="4"/>
        <v>Yes</v>
      </c>
      <c r="G100" s="488">
        <f>VLOOKUP(A100,'CASH FLOW'!B:KE,211,FALSE)</f>
        <v>3.9981999999999997E-2</v>
      </c>
    </row>
    <row r="101" spans="1:7" x14ac:dyDescent="0.25">
      <c r="A101" s="485">
        <v>101842</v>
      </c>
      <c r="B101" s="486" t="s">
        <v>30</v>
      </c>
      <c r="C101" s="487">
        <v>700</v>
      </c>
      <c r="D101" s="488" t="s">
        <v>65</v>
      </c>
      <c r="E101" s="488">
        <v>1</v>
      </c>
      <c r="F101" s="488" t="str">
        <f t="shared" si="4"/>
        <v>Yes</v>
      </c>
      <c r="G101" s="488">
        <f>VLOOKUP(A101,'CASH FLOW'!B:KE,211,FALSE)</f>
        <v>3.9981999999999997E-2</v>
      </c>
    </row>
    <row r="102" spans="1:7" x14ac:dyDescent="0.25">
      <c r="A102" s="485">
        <v>101845</v>
      </c>
      <c r="B102" s="486" t="s">
        <v>380</v>
      </c>
      <c r="C102" s="487">
        <v>12500</v>
      </c>
      <c r="D102" s="488" t="s">
        <v>65</v>
      </c>
      <c r="E102" s="488">
        <v>1</v>
      </c>
      <c r="F102" s="488" t="str">
        <f t="shared" si="4"/>
        <v>Yes</v>
      </c>
      <c r="G102" s="488">
        <f>VLOOKUP(A102,'CASH FLOW'!B:KE,211,FALSE)</f>
        <v>3.9981999999999997E-2</v>
      </c>
    </row>
    <row r="103" spans="1:7" x14ac:dyDescent="0.25">
      <c r="A103" s="485">
        <v>101846</v>
      </c>
      <c r="B103" s="486" t="s">
        <v>372</v>
      </c>
      <c r="C103" s="487">
        <v>7000</v>
      </c>
      <c r="D103" s="488" t="s">
        <v>65</v>
      </c>
      <c r="E103" s="488">
        <v>1</v>
      </c>
      <c r="F103" s="488" t="str">
        <f t="shared" si="4"/>
        <v>Yes</v>
      </c>
      <c r="G103" s="488">
        <f>VLOOKUP(A103,'CASH FLOW'!B:KE,211,FALSE)</f>
        <v>3.9981999999999997E-2</v>
      </c>
    </row>
    <row r="104" spans="1:7" x14ac:dyDescent="0.25">
      <c r="A104" s="485">
        <v>101847</v>
      </c>
      <c r="B104" s="486" t="s">
        <v>32</v>
      </c>
      <c r="C104" s="487">
        <v>650</v>
      </c>
      <c r="D104" s="488" t="s">
        <v>65</v>
      </c>
      <c r="E104" s="488">
        <v>1</v>
      </c>
      <c r="F104" s="488" t="str">
        <f t="shared" si="4"/>
        <v>Yes</v>
      </c>
      <c r="G104" s="488">
        <f>VLOOKUP(A104,'CASH FLOW'!B:KE,211,FALSE)</f>
        <v>3.9981999999999997E-2</v>
      </c>
    </row>
    <row r="105" spans="1:7" x14ac:dyDescent="0.25">
      <c r="A105" s="485">
        <v>101849</v>
      </c>
      <c r="B105" s="486" t="s">
        <v>14</v>
      </c>
      <c r="C105" s="487">
        <v>1300</v>
      </c>
      <c r="D105" s="488" t="s">
        <v>65</v>
      </c>
      <c r="E105" s="488">
        <v>1</v>
      </c>
      <c r="F105" s="488" t="str">
        <f t="shared" si="4"/>
        <v>Yes</v>
      </c>
      <c r="G105" s="488">
        <f>VLOOKUP(A105,'CASH FLOW'!B:KE,211,FALSE)</f>
        <v>3.9981999999999997E-2</v>
      </c>
    </row>
    <row r="106" spans="1:7" x14ac:dyDescent="0.25">
      <c r="A106" s="485">
        <v>101853</v>
      </c>
      <c r="B106" s="486" t="s">
        <v>812</v>
      </c>
      <c r="C106" s="487">
        <v>2500</v>
      </c>
      <c r="D106" s="488" t="s">
        <v>66</v>
      </c>
      <c r="E106" s="488">
        <v>1</v>
      </c>
      <c r="F106" s="488" t="str">
        <f t="shared" si="4"/>
        <v>Yes</v>
      </c>
      <c r="G106" s="488">
        <f>VLOOKUP(A106,'CASH FLOW'!B:KE,211,FALSE)</f>
        <v>3.9981999999999997E-2</v>
      </c>
    </row>
    <row r="107" spans="1:7" x14ac:dyDescent="0.25">
      <c r="A107" s="485">
        <v>101855</v>
      </c>
      <c r="B107" s="486" t="s">
        <v>2</v>
      </c>
      <c r="C107" s="487">
        <v>500</v>
      </c>
      <c r="D107" s="488" t="s">
        <v>66</v>
      </c>
      <c r="E107" s="488">
        <v>1</v>
      </c>
      <c r="F107" s="488" t="str">
        <f t="shared" si="4"/>
        <v>Yes</v>
      </c>
      <c r="G107" s="488">
        <f>VLOOKUP(A107,'CASH FLOW'!B:KE,211,FALSE)</f>
        <v>3.9981999999999997E-2</v>
      </c>
    </row>
    <row r="108" spans="1:7" x14ac:dyDescent="0.25">
      <c r="A108" s="485">
        <v>101856</v>
      </c>
      <c r="B108" s="486" t="s">
        <v>33</v>
      </c>
      <c r="C108" s="487">
        <v>750</v>
      </c>
      <c r="D108" s="488" t="s">
        <v>66</v>
      </c>
      <c r="E108" s="488">
        <v>1</v>
      </c>
      <c r="F108" s="488" t="str">
        <f t="shared" si="4"/>
        <v>Yes</v>
      </c>
      <c r="G108" s="488">
        <f>VLOOKUP(A108,'CASH FLOW'!B:KE,211,FALSE)</f>
        <v>3.9981999999999997E-2</v>
      </c>
    </row>
    <row r="109" spans="1:7" x14ac:dyDescent="0.25">
      <c r="A109" s="485">
        <v>101858</v>
      </c>
      <c r="B109" s="486" t="s">
        <v>59</v>
      </c>
      <c r="C109" s="487">
        <v>7000</v>
      </c>
      <c r="D109" s="488" t="s">
        <v>65</v>
      </c>
      <c r="E109" s="488">
        <v>1</v>
      </c>
      <c r="F109" s="488" t="str">
        <f t="shared" si="4"/>
        <v>Yes</v>
      </c>
      <c r="G109" s="488">
        <f>VLOOKUP(A109,'CASH FLOW'!B:KE,211,FALSE)</f>
        <v>3.9981999999999997E-2</v>
      </c>
    </row>
    <row r="110" spans="1:7" x14ac:dyDescent="0.25">
      <c r="A110" s="485">
        <v>101859</v>
      </c>
      <c r="B110" s="486" t="s">
        <v>347</v>
      </c>
      <c r="C110" s="487">
        <v>818</v>
      </c>
      <c r="D110" s="488" t="s">
        <v>66</v>
      </c>
      <c r="E110" s="488">
        <v>1</v>
      </c>
      <c r="F110" s="488" t="str">
        <f t="shared" si="4"/>
        <v>Yes</v>
      </c>
      <c r="G110" s="488">
        <f>VLOOKUP(A110,'CASH FLOW'!B:KE,211,FALSE)</f>
        <v>3.9981999999999997E-2</v>
      </c>
    </row>
    <row r="111" spans="1:7" x14ac:dyDescent="0.25">
      <c r="A111" s="485">
        <v>101861</v>
      </c>
      <c r="B111" s="486" t="s">
        <v>376</v>
      </c>
      <c r="C111" s="487">
        <v>2000</v>
      </c>
      <c r="D111" s="488" t="s">
        <v>66</v>
      </c>
      <c r="E111" s="488">
        <v>1</v>
      </c>
      <c r="F111" s="488" t="str">
        <f t="shared" si="4"/>
        <v>Yes</v>
      </c>
      <c r="G111" s="488">
        <f>VLOOKUP(A111,'CASH FLOW'!B:KE,211,FALSE)</f>
        <v>3.9981999999999997E-2</v>
      </c>
    </row>
    <row r="112" spans="1:7" x14ac:dyDescent="0.25">
      <c r="A112" s="485">
        <v>101862</v>
      </c>
      <c r="B112" s="486" t="s">
        <v>349</v>
      </c>
      <c r="C112" s="487">
        <v>6000</v>
      </c>
      <c r="D112" s="488" t="s">
        <v>65</v>
      </c>
      <c r="E112" s="488">
        <v>1</v>
      </c>
      <c r="F112" s="488" t="str">
        <f t="shared" si="4"/>
        <v>Yes</v>
      </c>
      <c r="G112" s="488">
        <f>VLOOKUP(A112,'CASH FLOW'!B:KE,211,FALSE)</f>
        <v>3.9981999999999997E-2</v>
      </c>
    </row>
    <row r="113" spans="1:7" x14ac:dyDescent="0.25">
      <c r="A113" s="485">
        <v>101864</v>
      </c>
      <c r="B113" s="486" t="s">
        <v>350</v>
      </c>
      <c r="C113" s="487">
        <v>1080</v>
      </c>
      <c r="D113" s="488" t="s">
        <v>66</v>
      </c>
      <c r="E113" s="488">
        <v>1</v>
      </c>
      <c r="F113" s="488" t="str">
        <f t="shared" si="4"/>
        <v>Yes</v>
      </c>
      <c r="G113" s="488">
        <f>VLOOKUP(A113,'CASH FLOW'!B:KE,211,FALSE)</f>
        <v>3.9981999999999997E-2</v>
      </c>
    </row>
    <row r="114" spans="1:7" x14ac:dyDescent="0.25">
      <c r="A114" s="485">
        <v>101868</v>
      </c>
      <c r="B114" s="486" t="s">
        <v>351</v>
      </c>
      <c r="C114" s="487">
        <v>800</v>
      </c>
      <c r="D114" s="488" t="s">
        <v>66</v>
      </c>
      <c r="E114" s="488">
        <v>1</v>
      </c>
      <c r="F114" s="488" t="str">
        <f t="shared" si="4"/>
        <v>Yes</v>
      </c>
      <c r="G114" s="488">
        <f>VLOOKUP(A114,'CASH FLOW'!B:KE,211,FALSE)</f>
        <v>3.9981999999999997E-2</v>
      </c>
    </row>
    <row r="115" spans="1:7" x14ac:dyDescent="0.25">
      <c r="A115" s="485">
        <v>101870</v>
      </c>
      <c r="B115" s="486" t="s">
        <v>368</v>
      </c>
      <c r="C115" s="487">
        <v>1680</v>
      </c>
      <c r="D115" s="488" t="s">
        <v>66</v>
      </c>
      <c r="E115" s="488">
        <v>1</v>
      </c>
      <c r="F115" s="488" t="str">
        <f t="shared" si="4"/>
        <v>Yes</v>
      </c>
      <c r="G115" s="488">
        <f>VLOOKUP(A115,'CASH FLOW'!B:KE,211,FALSE)</f>
        <v>3.9981999999999997E-2</v>
      </c>
    </row>
    <row r="116" spans="1:7" x14ac:dyDescent="0.25">
      <c r="A116" s="485">
        <v>101871</v>
      </c>
      <c r="B116" s="486" t="s">
        <v>382</v>
      </c>
      <c r="C116" s="487">
        <v>540</v>
      </c>
      <c r="D116" s="488" t="s">
        <v>66</v>
      </c>
      <c r="E116" s="488">
        <v>1</v>
      </c>
      <c r="F116" s="488" t="str">
        <f t="shared" si="4"/>
        <v>Yes</v>
      </c>
      <c r="G116" s="488">
        <f>VLOOKUP(A116,'CASH FLOW'!B:KE,211,FALSE)</f>
        <v>3.9981999999999997E-2</v>
      </c>
    </row>
    <row r="117" spans="1:7" x14ac:dyDescent="0.25">
      <c r="A117" s="485">
        <v>101872</v>
      </c>
      <c r="B117" s="486" t="s">
        <v>437</v>
      </c>
      <c r="C117" s="487">
        <v>1200</v>
      </c>
      <c r="D117" s="488" t="s">
        <v>66</v>
      </c>
      <c r="E117" s="488">
        <v>1</v>
      </c>
      <c r="F117" s="488" t="str">
        <f t="shared" si="4"/>
        <v>Yes</v>
      </c>
      <c r="G117" s="488">
        <f>VLOOKUP(A117,'CASH FLOW'!B:KE,211,FALSE)</f>
        <v>3.9981999999999997E-2</v>
      </c>
    </row>
    <row r="118" spans="1:7" x14ac:dyDescent="0.25">
      <c r="A118" s="485">
        <v>101873</v>
      </c>
      <c r="B118" s="486" t="s">
        <v>446</v>
      </c>
      <c r="C118" s="487">
        <v>1000</v>
      </c>
      <c r="D118" s="488" t="s">
        <v>66</v>
      </c>
      <c r="E118" s="488">
        <v>1</v>
      </c>
      <c r="F118" s="488" t="str">
        <f t="shared" si="4"/>
        <v>Yes</v>
      </c>
      <c r="G118" s="488">
        <f>VLOOKUP(A118,'CASH FLOW'!B:KE,211,FALSE)</f>
        <v>3.9981999999999997E-2</v>
      </c>
    </row>
    <row r="119" spans="1:7" x14ac:dyDescent="0.25">
      <c r="A119" s="485">
        <v>101874</v>
      </c>
      <c r="B119" s="486" t="s">
        <v>439</v>
      </c>
      <c r="C119" s="487">
        <v>2400</v>
      </c>
      <c r="D119" s="488" t="s">
        <v>66</v>
      </c>
      <c r="E119" s="488">
        <v>1</v>
      </c>
      <c r="F119" s="488" t="str">
        <f t="shared" si="4"/>
        <v>Yes</v>
      </c>
      <c r="G119" s="488">
        <f>VLOOKUP(A119,'CASH FLOW'!B:KE,211,FALSE)</f>
        <v>3.9981999999999997E-2</v>
      </c>
    </row>
    <row r="120" spans="1:7" x14ac:dyDescent="0.25">
      <c r="A120" s="485">
        <v>101875</v>
      </c>
      <c r="B120" s="486" t="s">
        <v>484</v>
      </c>
      <c r="C120" s="487"/>
      <c r="D120" s="488" t="s">
        <v>66</v>
      </c>
      <c r="E120" s="488">
        <v>0</v>
      </c>
      <c r="F120" s="488" t="str">
        <f t="shared" si="4"/>
        <v>No</v>
      </c>
      <c r="G120" s="488">
        <f>VLOOKUP(A120,'CASH FLOW'!B:KE,211,FALSE)</f>
        <v>3.9981999999999997E-2</v>
      </c>
    </row>
    <row r="121" spans="1:7" x14ac:dyDescent="0.25">
      <c r="A121" s="485">
        <v>101876</v>
      </c>
      <c r="B121" s="486" t="s">
        <v>485</v>
      </c>
      <c r="C121" s="487"/>
      <c r="D121" s="488" t="s">
        <v>66</v>
      </c>
      <c r="E121" s="488">
        <v>0</v>
      </c>
      <c r="F121" s="488" t="str">
        <f t="shared" si="4"/>
        <v>No</v>
      </c>
      <c r="G121" s="488">
        <f>VLOOKUP(A121,'CASH FLOW'!B:KE,211,FALSE)</f>
        <v>3.9981999999999997E-2</v>
      </c>
    </row>
    <row r="122" spans="1:7" x14ac:dyDescent="0.25">
      <c r="A122" s="485">
        <v>101877</v>
      </c>
      <c r="B122" s="486" t="s">
        <v>539</v>
      </c>
      <c r="C122" s="487">
        <v>90000</v>
      </c>
      <c r="D122" s="488" t="s">
        <v>66</v>
      </c>
      <c r="E122" s="488">
        <v>0</v>
      </c>
      <c r="F122" s="488" t="str">
        <f t="shared" si="4"/>
        <v>No</v>
      </c>
      <c r="G122" s="488">
        <f>VLOOKUP(A122,'CASH FLOW'!B:KE,211,FALSE)</f>
        <v>3.9981999999999997E-2</v>
      </c>
    </row>
    <row r="123" spans="1:7" x14ac:dyDescent="0.25">
      <c r="A123" s="485">
        <v>101878</v>
      </c>
      <c r="B123" s="486" t="s">
        <v>540</v>
      </c>
      <c r="C123" s="487">
        <v>90000</v>
      </c>
      <c r="D123" s="488" t="s">
        <v>66</v>
      </c>
      <c r="E123" s="488">
        <v>0</v>
      </c>
      <c r="F123" s="488" t="str">
        <f t="shared" si="4"/>
        <v>No</v>
      </c>
      <c r="G123" s="488">
        <f>VLOOKUP(A123,'CASH FLOW'!B:KE,211,FALSE)</f>
        <v>3.9981999999999997E-2</v>
      </c>
    </row>
    <row r="124" spans="1:7" x14ac:dyDescent="0.25">
      <c r="A124" s="485">
        <v>105801</v>
      </c>
      <c r="B124" s="486" t="s">
        <v>34</v>
      </c>
      <c r="C124" s="487">
        <v>300</v>
      </c>
      <c r="D124" s="488" t="s">
        <v>65</v>
      </c>
      <c r="E124" s="488">
        <v>1</v>
      </c>
      <c r="F124" s="488" t="str">
        <f t="shared" si="4"/>
        <v>Yes</v>
      </c>
      <c r="G124" s="488">
        <f>VLOOKUP(A124,'CASH FLOW'!B:KE,211,FALSE)</f>
        <v>3.9981999999999997E-2</v>
      </c>
    </row>
    <row r="125" spans="1:7" x14ac:dyDescent="0.25">
      <c r="A125" s="485">
        <v>105802</v>
      </c>
      <c r="B125" s="486" t="s">
        <v>3</v>
      </c>
      <c r="C125" s="487">
        <v>635</v>
      </c>
      <c r="D125" s="488" t="s">
        <v>65</v>
      </c>
      <c r="E125" s="488">
        <v>1</v>
      </c>
      <c r="F125" s="488" t="str">
        <f t="shared" si="4"/>
        <v>Yes</v>
      </c>
      <c r="G125" s="488">
        <f>VLOOKUP(A125,'CASH FLOW'!B:KE,211,FALSE)</f>
        <v>3.9981999999999997E-2</v>
      </c>
    </row>
    <row r="126" spans="1:7" x14ac:dyDescent="0.25">
      <c r="A126" s="485">
        <v>105803</v>
      </c>
      <c r="B126" s="486" t="s">
        <v>369</v>
      </c>
      <c r="C126" s="487">
        <v>220</v>
      </c>
      <c r="D126" s="488" t="s">
        <v>66</v>
      </c>
      <c r="E126" s="488">
        <v>1</v>
      </c>
      <c r="F126" s="488" t="str">
        <f t="shared" si="4"/>
        <v>Yes</v>
      </c>
      <c r="G126" s="488">
        <f>VLOOKUP(A126,'CASH FLOW'!B:KE,211,FALSE)</f>
        <v>3.9981999999999997E-2</v>
      </c>
    </row>
    <row r="127" spans="1:7" x14ac:dyDescent="0.25">
      <c r="A127" s="490">
        <v>105804</v>
      </c>
      <c r="B127" s="491" t="s">
        <v>806</v>
      </c>
      <c r="C127" s="487"/>
      <c r="D127" s="488" t="s">
        <v>66</v>
      </c>
      <c r="E127" s="488">
        <v>0</v>
      </c>
      <c r="F127" s="488" t="s">
        <v>809</v>
      </c>
      <c r="G127" s="488">
        <f>VLOOKUP(A127,'CASH FLOW'!B:KE,211,FALSE)</f>
        <v>3.9981999999999997E-2</v>
      </c>
    </row>
    <row r="128" spans="1:7" x14ac:dyDescent="0.25">
      <c r="A128" s="485">
        <v>108802</v>
      </c>
      <c r="B128" s="486" t="s">
        <v>352</v>
      </c>
      <c r="C128" s="487">
        <v>2500</v>
      </c>
      <c r="D128" s="488" t="s">
        <v>65</v>
      </c>
      <c r="E128" s="488">
        <v>1</v>
      </c>
      <c r="F128" s="488" t="str">
        <f t="shared" ref="F128:F144" si="5">IF(E128=0,"No","Yes")</f>
        <v>Yes</v>
      </c>
      <c r="G128" s="488">
        <f>VLOOKUP(A128,'CASH FLOW'!B:KE,211,FALSE)</f>
        <v>3.9981999999999997E-2</v>
      </c>
    </row>
    <row r="129" spans="1:7" x14ac:dyDescent="0.25">
      <c r="A129" s="485">
        <v>108804</v>
      </c>
      <c r="B129" s="486" t="s">
        <v>353</v>
      </c>
      <c r="C129" s="487">
        <v>700</v>
      </c>
      <c r="D129" s="488" t="s">
        <v>65</v>
      </c>
      <c r="E129" s="488">
        <v>1</v>
      </c>
      <c r="F129" s="488" t="str">
        <f t="shared" si="5"/>
        <v>Yes</v>
      </c>
      <c r="G129" s="488">
        <f>VLOOKUP(A129,'CASH FLOW'!B:KE,211,FALSE)</f>
        <v>3.9981999999999997E-2</v>
      </c>
    </row>
    <row r="130" spans="1:7" x14ac:dyDescent="0.25">
      <c r="A130" s="485">
        <v>108807</v>
      </c>
      <c r="B130" s="486" t="s">
        <v>95</v>
      </c>
      <c r="C130" s="487">
        <v>57000</v>
      </c>
      <c r="D130" s="488" t="s">
        <v>65</v>
      </c>
      <c r="E130" s="488">
        <v>1</v>
      </c>
      <c r="F130" s="488" t="str">
        <f t="shared" si="5"/>
        <v>Yes</v>
      </c>
      <c r="G130" s="488">
        <f>VLOOKUP(A130,'CASH FLOW'!B:KE,211,FALSE)</f>
        <v>3.9981999999999997E-2</v>
      </c>
    </row>
    <row r="131" spans="1:7" x14ac:dyDescent="0.25">
      <c r="A131" s="485">
        <v>108808</v>
      </c>
      <c r="B131" s="486" t="s">
        <v>88</v>
      </c>
      <c r="C131" s="487">
        <v>5750</v>
      </c>
      <c r="D131" s="488" t="s">
        <v>66</v>
      </c>
      <c r="E131" s="488">
        <v>1</v>
      </c>
      <c r="F131" s="488" t="str">
        <f t="shared" si="5"/>
        <v>Yes</v>
      </c>
      <c r="G131" s="488">
        <f>VLOOKUP(A131,'CASH FLOW'!B:KE,211,FALSE)</f>
        <v>3.9981999999999997E-2</v>
      </c>
    </row>
    <row r="132" spans="1:7" x14ac:dyDescent="0.25">
      <c r="A132" s="485">
        <v>108809</v>
      </c>
      <c r="B132" s="486" t="s">
        <v>116</v>
      </c>
      <c r="C132" s="487">
        <v>600</v>
      </c>
      <c r="D132" s="488" t="s">
        <v>66</v>
      </c>
      <c r="E132" s="488">
        <v>1</v>
      </c>
      <c r="F132" s="488" t="str">
        <f t="shared" si="5"/>
        <v>Yes</v>
      </c>
      <c r="G132" s="488">
        <f>VLOOKUP(A132,'CASH FLOW'!B:KE,211,FALSE)</f>
        <v>3.9981999999999997E-2</v>
      </c>
    </row>
    <row r="133" spans="1:7" x14ac:dyDescent="0.25">
      <c r="A133" s="485">
        <v>108810</v>
      </c>
      <c r="B133" s="486" t="s">
        <v>1067</v>
      </c>
      <c r="C133" s="487"/>
      <c r="D133" s="488" t="s">
        <v>809</v>
      </c>
      <c r="E133" s="488">
        <v>0</v>
      </c>
      <c r="F133" s="488" t="s">
        <v>809</v>
      </c>
    </row>
    <row r="134" spans="1:7" x14ac:dyDescent="0.25">
      <c r="A134" s="485">
        <v>111801</v>
      </c>
      <c r="B134" s="486" t="s">
        <v>461</v>
      </c>
      <c r="C134" s="487"/>
      <c r="D134" s="488" t="s">
        <v>66</v>
      </c>
      <c r="E134" s="488">
        <v>1</v>
      </c>
      <c r="F134" s="488" t="str">
        <f t="shared" si="5"/>
        <v>Yes</v>
      </c>
      <c r="G134" s="488">
        <f>VLOOKUP(A134,'CASH FLOW'!B:KE,211,FALSE)</f>
        <v>3.9981999999999997E-2</v>
      </c>
    </row>
    <row r="135" spans="1:7" x14ac:dyDescent="0.25">
      <c r="A135" s="485">
        <v>123803</v>
      </c>
      <c r="B135" s="486" t="s">
        <v>378</v>
      </c>
      <c r="C135" s="487">
        <v>1500</v>
      </c>
      <c r="D135" s="488" t="s">
        <v>65</v>
      </c>
      <c r="E135" s="488">
        <v>1</v>
      </c>
      <c r="F135" s="488" t="str">
        <f t="shared" si="5"/>
        <v>Yes</v>
      </c>
      <c r="G135" s="488">
        <f>VLOOKUP(A135,'CASH FLOW'!B:KE,211,FALSE)</f>
        <v>3.9981999999999997E-2</v>
      </c>
    </row>
    <row r="136" spans="1:7" x14ac:dyDescent="0.25">
      <c r="A136" s="485">
        <v>123805</v>
      </c>
      <c r="B136" s="486" t="s">
        <v>4</v>
      </c>
      <c r="C136" s="487">
        <v>500</v>
      </c>
      <c r="D136" s="488" t="s">
        <v>65</v>
      </c>
      <c r="E136" s="488">
        <v>1</v>
      </c>
      <c r="F136" s="488" t="str">
        <f t="shared" si="5"/>
        <v>Yes</v>
      </c>
      <c r="G136" s="488">
        <f>VLOOKUP(A136,'CASH FLOW'!B:KE,211,FALSE)</f>
        <v>3.9981999999999997E-2</v>
      </c>
    </row>
    <row r="137" spans="1:7" x14ac:dyDescent="0.25">
      <c r="A137" s="485">
        <v>123807</v>
      </c>
      <c r="B137" s="486" t="s">
        <v>355</v>
      </c>
      <c r="C137" s="487">
        <v>2200</v>
      </c>
      <c r="D137" s="488" t="s">
        <v>66</v>
      </c>
      <c r="E137" s="488">
        <v>1</v>
      </c>
      <c r="F137" s="488" t="str">
        <f t="shared" si="5"/>
        <v>Yes</v>
      </c>
      <c r="G137" s="488">
        <f>VLOOKUP(A137,'CASH FLOW'!B:KE,211,FALSE)</f>
        <v>3.9981999999999997E-2</v>
      </c>
    </row>
    <row r="138" spans="1:7" x14ac:dyDescent="0.25">
      <c r="A138" s="485">
        <v>130801</v>
      </c>
      <c r="B138" s="486" t="s">
        <v>441</v>
      </c>
      <c r="C138" s="487">
        <v>300</v>
      </c>
      <c r="D138" s="488" t="s">
        <v>66</v>
      </c>
      <c r="E138" s="488">
        <v>1</v>
      </c>
      <c r="F138" s="488" t="str">
        <f t="shared" si="5"/>
        <v>Yes</v>
      </c>
      <c r="G138" s="488">
        <f>VLOOKUP(A138,'CASH FLOW'!B:KE,211,FALSE)</f>
        <v>3.9981999999999997E-2</v>
      </c>
    </row>
    <row r="139" spans="1:7" x14ac:dyDescent="0.25">
      <c r="A139" s="485">
        <v>152802</v>
      </c>
      <c r="B139" s="486" t="s">
        <v>89</v>
      </c>
      <c r="C139" s="487">
        <v>350</v>
      </c>
      <c r="D139" s="488" t="s">
        <v>65</v>
      </c>
      <c r="E139" s="488">
        <v>1</v>
      </c>
      <c r="F139" s="488" t="str">
        <f t="shared" si="5"/>
        <v>Yes</v>
      </c>
      <c r="G139" s="488">
        <f>VLOOKUP(A139,'CASH FLOW'!B:KE,211,FALSE)</f>
        <v>3.9981999999999997E-2</v>
      </c>
    </row>
    <row r="140" spans="1:7" x14ac:dyDescent="0.25">
      <c r="A140" s="485">
        <v>152803</v>
      </c>
      <c r="B140" s="486" t="s">
        <v>356</v>
      </c>
      <c r="C140" s="487">
        <v>400</v>
      </c>
      <c r="D140" s="488" t="s">
        <v>65</v>
      </c>
      <c r="E140" s="488">
        <v>1</v>
      </c>
      <c r="F140" s="488" t="str">
        <f t="shared" si="5"/>
        <v>Yes</v>
      </c>
      <c r="G140" s="488">
        <f>VLOOKUP(A140,'CASH FLOW'!B:KE,211,FALSE)</f>
        <v>3.9981999999999997E-2</v>
      </c>
    </row>
    <row r="141" spans="1:7" x14ac:dyDescent="0.25">
      <c r="A141" s="485">
        <v>152806</v>
      </c>
      <c r="B141" s="486" t="s">
        <v>652</v>
      </c>
      <c r="C141" s="487"/>
      <c r="D141" s="488" t="s">
        <v>66</v>
      </c>
      <c r="E141" s="488">
        <v>0</v>
      </c>
      <c r="F141" s="488" t="str">
        <f t="shared" si="5"/>
        <v>No</v>
      </c>
      <c r="G141" s="488">
        <f>VLOOKUP(A141,'CASH FLOW'!B:KE,211,FALSE)</f>
        <v>3.9981999999999997E-2</v>
      </c>
    </row>
    <row r="142" spans="1:7" x14ac:dyDescent="0.25">
      <c r="A142" s="485">
        <v>161802</v>
      </c>
      <c r="B142" s="486" t="s">
        <v>357</v>
      </c>
      <c r="C142" s="487">
        <v>950</v>
      </c>
      <c r="D142" s="488" t="s">
        <v>66</v>
      </c>
      <c r="E142" s="488">
        <v>1</v>
      </c>
      <c r="F142" s="488" t="str">
        <f t="shared" si="5"/>
        <v>Yes</v>
      </c>
      <c r="G142" s="488">
        <f>VLOOKUP(A142,'CASH FLOW'!B:KE,211,FALSE)</f>
        <v>3.9981999999999997E-2</v>
      </c>
    </row>
    <row r="143" spans="1:7" x14ac:dyDescent="0.25">
      <c r="A143" s="485">
        <v>161807</v>
      </c>
      <c r="B143" s="486" t="s">
        <v>358</v>
      </c>
      <c r="C143" s="487">
        <v>15000</v>
      </c>
      <c r="D143" s="488" t="s">
        <v>65</v>
      </c>
      <c r="E143" s="488">
        <v>1</v>
      </c>
      <c r="F143" s="488" t="str">
        <f t="shared" si="5"/>
        <v>Yes</v>
      </c>
      <c r="G143" s="488">
        <f>VLOOKUP(A143,'CASH FLOW'!B:KE,211,FALSE)</f>
        <v>3.9981999999999997E-2</v>
      </c>
    </row>
    <row r="144" spans="1:7" x14ac:dyDescent="0.25">
      <c r="A144" s="485">
        <v>165802</v>
      </c>
      <c r="B144" s="486" t="s">
        <v>90</v>
      </c>
      <c r="C144" s="487">
        <v>1170</v>
      </c>
      <c r="D144" s="488" t="s">
        <v>65</v>
      </c>
      <c r="E144" s="488">
        <v>1</v>
      </c>
      <c r="F144" s="488" t="str">
        <f t="shared" si="5"/>
        <v>Yes</v>
      </c>
      <c r="G144" s="488">
        <f>VLOOKUP(A144,'CASH FLOW'!B:KE,211,FALSE)</f>
        <v>3.9981999999999997E-2</v>
      </c>
    </row>
    <row r="145" spans="1:7" x14ac:dyDescent="0.25">
      <c r="A145" s="490">
        <v>170802</v>
      </c>
      <c r="B145" s="491" t="s">
        <v>805</v>
      </c>
      <c r="C145" s="487"/>
      <c r="D145" s="488" t="s">
        <v>66</v>
      </c>
      <c r="E145" s="488">
        <v>0</v>
      </c>
      <c r="F145" s="488" t="s">
        <v>809</v>
      </c>
      <c r="G145" s="488">
        <f>VLOOKUP(A145,'CASH FLOW'!B:KE,211,FALSE)</f>
        <v>3.9981999999999997E-2</v>
      </c>
    </row>
    <row r="146" spans="1:7" x14ac:dyDescent="0.25">
      <c r="A146" s="485">
        <v>174801</v>
      </c>
      <c r="B146" s="486" t="s">
        <v>359</v>
      </c>
      <c r="C146" s="487">
        <v>320</v>
      </c>
      <c r="D146" s="488" t="s">
        <v>66</v>
      </c>
      <c r="E146" s="488">
        <v>1</v>
      </c>
      <c r="F146" s="488" t="str">
        <f t="shared" ref="F146:F163" si="6">IF(E146=0,"No","Yes")</f>
        <v>Yes</v>
      </c>
      <c r="G146" s="488">
        <f>VLOOKUP(A146,'CASH FLOW'!B:KE,211,FALSE)</f>
        <v>3.9981999999999997E-2</v>
      </c>
    </row>
    <row r="147" spans="1:7" x14ac:dyDescent="0.25">
      <c r="A147" s="485">
        <v>178801</v>
      </c>
      <c r="B147" s="486" t="s">
        <v>371</v>
      </c>
      <c r="C147" s="487">
        <v>500</v>
      </c>
      <c r="D147" s="488" t="s">
        <v>65</v>
      </c>
      <c r="E147" s="488">
        <v>1</v>
      </c>
      <c r="F147" s="488" t="str">
        <f t="shared" si="6"/>
        <v>Yes</v>
      </c>
      <c r="G147" s="488">
        <f>VLOOKUP(A147,'CASH FLOW'!B:KE,211,FALSE)</f>
        <v>3.9981999999999997E-2</v>
      </c>
    </row>
    <row r="148" spans="1:7" x14ac:dyDescent="0.25">
      <c r="A148" s="485">
        <v>178807</v>
      </c>
      <c r="B148" s="486" t="s">
        <v>68</v>
      </c>
      <c r="C148" s="487">
        <v>300</v>
      </c>
      <c r="D148" s="488" t="s">
        <v>66</v>
      </c>
      <c r="E148" s="488">
        <v>1</v>
      </c>
      <c r="F148" s="488" t="str">
        <f t="shared" si="6"/>
        <v>Yes</v>
      </c>
      <c r="G148" s="488">
        <f>VLOOKUP(A148,'CASH FLOW'!B:KE,211,FALSE)</f>
        <v>3.9981999999999997E-2</v>
      </c>
    </row>
    <row r="149" spans="1:7" x14ac:dyDescent="0.25">
      <c r="A149" s="485">
        <v>178808</v>
      </c>
      <c r="B149" s="486" t="s">
        <v>99</v>
      </c>
      <c r="C149" s="487">
        <v>600</v>
      </c>
      <c r="D149" s="488" t="s">
        <v>66</v>
      </c>
      <c r="E149" s="488">
        <v>1</v>
      </c>
      <c r="F149" s="488" t="str">
        <f t="shared" si="6"/>
        <v>Yes</v>
      </c>
      <c r="G149" s="488">
        <f>VLOOKUP(A149,'CASH FLOW'!B:KE,211,FALSE)</f>
        <v>3.9981999999999997E-2</v>
      </c>
    </row>
    <row r="150" spans="1:7" x14ac:dyDescent="0.25">
      <c r="A150" s="485">
        <v>183801</v>
      </c>
      <c r="B150" s="486" t="s">
        <v>71</v>
      </c>
      <c r="C150" s="487">
        <v>600</v>
      </c>
      <c r="D150" s="488" t="s">
        <v>65</v>
      </c>
      <c r="E150" s="488">
        <v>1</v>
      </c>
      <c r="F150" s="488" t="str">
        <f t="shared" si="6"/>
        <v>Yes</v>
      </c>
      <c r="G150" s="488">
        <f>VLOOKUP(A150,'CASH FLOW'!B:KE,211,FALSE)</f>
        <v>3.9981999999999997E-2</v>
      </c>
    </row>
    <row r="151" spans="1:7" x14ac:dyDescent="0.25">
      <c r="A151" s="485">
        <v>184801</v>
      </c>
      <c r="B151" s="486" t="s">
        <v>6</v>
      </c>
      <c r="C151" s="487">
        <v>350</v>
      </c>
      <c r="D151" s="488" t="s">
        <v>65</v>
      </c>
      <c r="E151" s="488">
        <v>1</v>
      </c>
      <c r="F151" s="488" t="str">
        <f t="shared" si="6"/>
        <v>Yes</v>
      </c>
      <c r="G151" s="488">
        <f>VLOOKUP(A151,'CASH FLOW'!B:KE,211,FALSE)</f>
        <v>3.9981999999999997E-2</v>
      </c>
    </row>
    <row r="152" spans="1:7" x14ac:dyDescent="0.25">
      <c r="A152" s="485">
        <v>193801</v>
      </c>
      <c r="B152" s="486" t="s">
        <v>72</v>
      </c>
      <c r="C152" s="487">
        <v>250</v>
      </c>
      <c r="D152" s="488" t="s">
        <v>65</v>
      </c>
      <c r="E152" s="488">
        <v>1</v>
      </c>
      <c r="F152" s="488" t="str">
        <f t="shared" si="6"/>
        <v>Yes</v>
      </c>
      <c r="G152" s="488">
        <f>VLOOKUP(A152,'CASH FLOW'!B:KE,211,FALSE)</f>
        <v>3.9981999999999997E-2</v>
      </c>
    </row>
    <row r="153" spans="1:7" x14ac:dyDescent="0.25">
      <c r="A153" s="485">
        <v>212801</v>
      </c>
      <c r="B153" s="486" t="s">
        <v>73</v>
      </c>
      <c r="C153" s="487">
        <v>2500</v>
      </c>
      <c r="D153" s="488" t="s">
        <v>65</v>
      </c>
      <c r="E153" s="488">
        <v>1</v>
      </c>
      <c r="F153" s="488" t="str">
        <f t="shared" si="6"/>
        <v>Yes</v>
      </c>
      <c r="G153" s="488">
        <f>VLOOKUP(A153,'CASH FLOW'!B:KE,211,FALSE)</f>
        <v>3.9981999999999997E-2</v>
      </c>
    </row>
    <row r="154" spans="1:7" x14ac:dyDescent="0.25">
      <c r="A154" s="485">
        <v>212804</v>
      </c>
      <c r="B154" s="486" t="s">
        <v>117</v>
      </c>
      <c r="C154" s="487">
        <v>2400</v>
      </c>
      <c r="D154" s="488" t="s">
        <v>66</v>
      </c>
      <c r="E154" s="488">
        <v>1</v>
      </c>
      <c r="F154" s="488" t="str">
        <f t="shared" si="6"/>
        <v>Yes</v>
      </c>
      <c r="G154" s="488">
        <f>VLOOKUP(A154,'CASH FLOW'!B:KE,211,FALSE)</f>
        <v>3.9981999999999997E-2</v>
      </c>
    </row>
    <row r="155" spans="1:7" x14ac:dyDescent="0.25">
      <c r="A155" s="485">
        <v>213801</v>
      </c>
      <c r="B155" s="486" t="s">
        <v>74</v>
      </c>
      <c r="C155" s="487">
        <v>350</v>
      </c>
      <c r="D155" s="488" t="s">
        <v>65</v>
      </c>
      <c r="E155" s="488">
        <v>1</v>
      </c>
      <c r="F155" s="488" t="str">
        <f t="shared" si="6"/>
        <v>Yes</v>
      </c>
      <c r="G155" s="488">
        <f>VLOOKUP(A155,'CASH FLOW'!B:KE,211,FALSE)</f>
        <v>3.9981999999999997E-2</v>
      </c>
    </row>
    <row r="156" spans="1:7" x14ac:dyDescent="0.25">
      <c r="A156" s="485">
        <v>220801</v>
      </c>
      <c r="B156" s="486" t="s">
        <v>75</v>
      </c>
      <c r="C156" s="487">
        <v>600</v>
      </c>
      <c r="D156" s="488" t="s">
        <v>65</v>
      </c>
      <c r="E156" s="488">
        <v>1</v>
      </c>
      <c r="F156" s="488" t="str">
        <f t="shared" si="6"/>
        <v>Yes</v>
      </c>
      <c r="G156" s="488">
        <f>VLOOKUP(A156,'CASH FLOW'!B:KE,211,FALSE)</f>
        <v>3.9981999999999997E-2</v>
      </c>
    </row>
    <row r="157" spans="1:7" x14ac:dyDescent="0.25">
      <c r="A157" s="485">
        <v>220802</v>
      </c>
      <c r="B157" s="486" t="s">
        <v>76</v>
      </c>
      <c r="C157" s="487">
        <v>2500</v>
      </c>
      <c r="D157" s="488" t="s">
        <v>65</v>
      </c>
      <c r="E157" s="488">
        <v>1</v>
      </c>
      <c r="F157" s="488" t="str">
        <f t="shared" si="6"/>
        <v>Yes</v>
      </c>
      <c r="G157" s="488">
        <f>VLOOKUP(A157,'CASH FLOW'!B:KE,211,FALSE)</f>
        <v>3.9981999999999997E-2</v>
      </c>
    </row>
    <row r="158" spans="1:7" x14ac:dyDescent="0.25">
      <c r="A158" s="485">
        <v>220809</v>
      </c>
      <c r="B158" s="486" t="s">
        <v>77</v>
      </c>
      <c r="C158" s="487">
        <v>1000</v>
      </c>
      <c r="D158" s="488" t="s">
        <v>65</v>
      </c>
      <c r="E158" s="488">
        <v>1</v>
      </c>
      <c r="F158" s="488" t="str">
        <f t="shared" si="6"/>
        <v>Yes</v>
      </c>
      <c r="G158" s="488">
        <f>VLOOKUP(A158,'CASH FLOW'!B:KE,211,FALSE)</f>
        <v>3.9981999999999997E-2</v>
      </c>
    </row>
    <row r="159" spans="1:7" x14ac:dyDescent="0.25">
      <c r="A159" s="485">
        <v>220810</v>
      </c>
      <c r="B159" s="486" t="s">
        <v>0</v>
      </c>
      <c r="C159" s="487">
        <v>1450</v>
      </c>
      <c r="D159" s="488" t="s">
        <v>66</v>
      </c>
      <c r="E159" s="488">
        <v>1</v>
      </c>
      <c r="F159" s="488" t="str">
        <f t="shared" si="6"/>
        <v>Yes</v>
      </c>
      <c r="G159" s="488">
        <f>VLOOKUP(A159,'CASH FLOW'!B:KE,211,FALSE)</f>
        <v>3.9981999999999997E-2</v>
      </c>
    </row>
    <row r="160" spans="1:7" x14ac:dyDescent="0.25">
      <c r="A160" s="485">
        <v>220811</v>
      </c>
      <c r="B160" s="486" t="s">
        <v>62</v>
      </c>
      <c r="C160" s="487">
        <v>800</v>
      </c>
      <c r="D160" s="488" t="s">
        <v>65</v>
      </c>
      <c r="E160" s="488">
        <v>1</v>
      </c>
      <c r="F160" s="488" t="str">
        <f t="shared" si="6"/>
        <v>Yes</v>
      </c>
      <c r="G160" s="488">
        <f>VLOOKUP(A160,'CASH FLOW'!B:KE,211,FALSE)</f>
        <v>3.9981999999999997E-2</v>
      </c>
    </row>
    <row r="161" spans="1:7" x14ac:dyDescent="0.25">
      <c r="A161" s="485">
        <v>220814</v>
      </c>
      <c r="B161" s="486" t="s">
        <v>360</v>
      </c>
      <c r="C161" s="487">
        <v>1250</v>
      </c>
      <c r="D161" s="488" t="s">
        <v>65</v>
      </c>
      <c r="E161" s="488">
        <v>1</v>
      </c>
      <c r="F161" s="488" t="str">
        <f t="shared" si="6"/>
        <v>Yes</v>
      </c>
      <c r="G161" s="488">
        <f>VLOOKUP(A161,'CASH FLOW'!B:KE,211,FALSE)</f>
        <v>3.9981999999999997E-2</v>
      </c>
    </row>
    <row r="162" spans="1:7" x14ac:dyDescent="0.25">
      <c r="A162" s="485">
        <v>220815</v>
      </c>
      <c r="B162" s="486" t="s">
        <v>361</v>
      </c>
      <c r="C162" s="487">
        <v>1200</v>
      </c>
      <c r="D162" s="488" t="s">
        <v>66</v>
      </c>
      <c r="E162" s="488">
        <v>1</v>
      </c>
      <c r="F162" s="488" t="str">
        <f t="shared" si="6"/>
        <v>Yes</v>
      </c>
      <c r="G162" s="488">
        <f>VLOOKUP(A162,'CASH FLOW'!B:KE,211,FALSE)</f>
        <v>3.9981999999999997E-2</v>
      </c>
    </row>
    <row r="163" spans="1:7" x14ac:dyDescent="0.25">
      <c r="A163" s="485">
        <v>220817</v>
      </c>
      <c r="B163" s="486" t="s">
        <v>362</v>
      </c>
      <c r="C163" s="487">
        <v>3500</v>
      </c>
      <c r="D163" s="488" t="s">
        <v>66</v>
      </c>
      <c r="E163" s="488">
        <v>1</v>
      </c>
      <c r="F163" s="488" t="str">
        <f t="shared" si="6"/>
        <v>Yes</v>
      </c>
      <c r="G163" s="488">
        <f>VLOOKUP(A163,'CASH FLOW'!B:KE,211,FALSE)</f>
        <v>3.9981999999999997E-2</v>
      </c>
    </row>
    <row r="164" spans="1:7" x14ac:dyDescent="0.25">
      <c r="A164" s="490">
        <v>220820</v>
      </c>
      <c r="B164" s="491" t="s">
        <v>807</v>
      </c>
      <c r="C164" s="487"/>
      <c r="D164" s="488" t="s">
        <v>66</v>
      </c>
      <c r="E164" s="488">
        <v>0</v>
      </c>
      <c r="F164" s="488" t="s">
        <v>809</v>
      </c>
      <c r="G164" s="488">
        <f>VLOOKUP(A164,'CASH FLOW'!B:KE,211,FALSE)</f>
        <v>3.9981999999999997E-2</v>
      </c>
    </row>
    <row r="165" spans="1:7" x14ac:dyDescent="0.25">
      <c r="A165" s="490">
        <v>220821</v>
      </c>
      <c r="B165" s="491" t="s">
        <v>1061</v>
      </c>
      <c r="C165" s="487"/>
      <c r="D165" s="488" t="s">
        <v>66</v>
      </c>
      <c r="E165" s="488">
        <v>0</v>
      </c>
      <c r="F165" s="488" t="s">
        <v>809</v>
      </c>
    </row>
    <row r="166" spans="1:7" x14ac:dyDescent="0.25">
      <c r="A166" s="485">
        <v>221801</v>
      </c>
      <c r="B166" s="486" t="s">
        <v>363</v>
      </c>
      <c r="C166" s="487">
        <v>25000</v>
      </c>
      <c r="D166" s="488" t="s">
        <v>65</v>
      </c>
      <c r="E166" s="488">
        <v>1</v>
      </c>
      <c r="F166" s="488" t="str">
        <f t="shared" ref="F166:F188" si="7">IF(E166=0,"No","Yes")</f>
        <v>Yes</v>
      </c>
      <c r="G166" s="488">
        <f>VLOOKUP(A166,'CASH FLOW'!B:KE,211,FALSE)</f>
        <v>3.9981999999999997E-2</v>
      </c>
    </row>
    <row r="167" spans="1:7" x14ac:dyDescent="0.25">
      <c r="A167" s="485">
        <v>226801</v>
      </c>
      <c r="B167" s="486" t="s">
        <v>100</v>
      </c>
      <c r="C167" s="487">
        <v>4000</v>
      </c>
      <c r="D167" s="488" t="s">
        <v>66</v>
      </c>
      <c r="E167" s="488">
        <v>1</v>
      </c>
      <c r="F167" s="488" t="str">
        <f t="shared" si="7"/>
        <v>Yes</v>
      </c>
      <c r="G167" s="488">
        <f>VLOOKUP(A167,'CASH FLOW'!B:KE,211,FALSE)</f>
        <v>3.9981999999999997E-2</v>
      </c>
    </row>
    <row r="168" spans="1:7" x14ac:dyDescent="0.25">
      <c r="A168" s="485">
        <v>227803</v>
      </c>
      <c r="B168" s="486" t="s">
        <v>364</v>
      </c>
      <c r="C168" s="487">
        <v>3500</v>
      </c>
      <c r="D168" s="488" t="s">
        <v>65</v>
      </c>
      <c r="E168" s="488">
        <v>1</v>
      </c>
      <c r="F168" s="488" t="str">
        <f t="shared" si="7"/>
        <v>Yes</v>
      </c>
      <c r="G168" s="488">
        <f>VLOOKUP(A168,'CASH FLOW'!B:KE,211,FALSE)</f>
        <v>3.9981999999999997E-2</v>
      </c>
    </row>
    <row r="169" spans="1:7" x14ac:dyDescent="0.25">
      <c r="A169" s="485">
        <v>227804</v>
      </c>
      <c r="B169" s="486" t="s">
        <v>78</v>
      </c>
      <c r="C169" s="487">
        <v>2500</v>
      </c>
      <c r="D169" s="488" t="s">
        <v>66</v>
      </c>
      <c r="E169" s="488">
        <v>1</v>
      </c>
      <c r="F169" s="488" t="str">
        <f t="shared" si="7"/>
        <v>Yes</v>
      </c>
      <c r="G169" s="488">
        <f>VLOOKUP(A169,'CASH FLOW'!B:KE,211,FALSE)</f>
        <v>3.9981999999999997E-2</v>
      </c>
    </row>
    <row r="170" spans="1:7" x14ac:dyDescent="0.25">
      <c r="A170" s="485">
        <v>227805</v>
      </c>
      <c r="B170" s="486" t="s">
        <v>79</v>
      </c>
      <c r="C170" s="487">
        <v>400</v>
      </c>
      <c r="D170" s="488" t="s">
        <v>65</v>
      </c>
      <c r="E170" s="488">
        <v>1</v>
      </c>
      <c r="F170" s="488" t="str">
        <f t="shared" si="7"/>
        <v>Yes</v>
      </c>
      <c r="G170" s="488">
        <f>VLOOKUP(A170,'CASH FLOW'!B:KE,211,FALSE)</f>
        <v>3.9981999999999997E-2</v>
      </c>
    </row>
    <row r="171" spans="1:7" x14ac:dyDescent="0.25">
      <c r="A171" s="485">
        <v>227806</v>
      </c>
      <c r="B171" s="486" t="s">
        <v>85</v>
      </c>
      <c r="C171" s="487">
        <v>2000</v>
      </c>
      <c r="D171" s="488" t="s">
        <v>66</v>
      </c>
      <c r="E171" s="488">
        <v>1</v>
      </c>
      <c r="F171" s="488" t="str">
        <f t="shared" si="7"/>
        <v>Yes</v>
      </c>
      <c r="G171" s="488">
        <f>VLOOKUP(A171,'CASH FLOW'!B:KE,211,FALSE)</f>
        <v>3.9981999999999997E-2</v>
      </c>
    </row>
    <row r="172" spans="1:7" x14ac:dyDescent="0.25">
      <c r="A172" s="485">
        <v>227814</v>
      </c>
      <c r="B172" s="486" t="s">
        <v>92</v>
      </c>
      <c r="C172" s="487">
        <v>520</v>
      </c>
      <c r="D172" s="488" t="s">
        <v>65</v>
      </c>
      <c r="E172" s="488">
        <v>1</v>
      </c>
      <c r="F172" s="488" t="str">
        <f t="shared" si="7"/>
        <v>Yes</v>
      </c>
      <c r="G172" s="488">
        <f>VLOOKUP(A172,'CASH FLOW'!B:KE,211,FALSE)</f>
        <v>3.9981999999999997E-2</v>
      </c>
    </row>
    <row r="173" spans="1:7" x14ac:dyDescent="0.25">
      <c r="A173" s="485">
        <v>227816</v>
      </c>
      <c r="B173" s="486" t="s">
        <v>373</v>
      </c>
      <c r="C173" s="487">
        <v>5000</v>
      </c>
      <c r="D173" s="488" t="s">
        <v>65</v>
      </c>
      <c r="E173" s="488">
        <v>1</v>
      </c>
      <c r="F173" s="488" t="str">
        <f t="shared" si="7"/>
        <v>Yes</v>
      </c>
      <c r="G173" s="488">
        <f>VLOOKUP(A173,'CASH FLOW'!B:KE,211,FALSE)</f>
        <v>3.9981999999999997E-2</v>
      </c>
    </row>
    <row r="174" spans="1:7" x14ac:dyDescent="0.25">
      <c r="A174" s="485">
        <v>227817</v>
      </c>
      <c r="B174" s="486" t="s">
        <v>80</v>
      </c>
      <c r="C174" s="487">
        <v>1000</v>
      </c>
      <c r="D174" s="488" t="s">
        <v>65</v>
      </c>
      <c r="E174" s="488">
        <v>1</v>
      </c>
      <c r="F174" s="488" t="str">
        <f t="shared" si="7"/>
        <v>Yes</v>
      </c>
      <c r="G174" s="488">
        <f>VLOOKUP(A174,'CASH FLOW'!B:KE,211,FALSE)</f>
        <v>3.9981999999999997E-2</v>
      </c>
    </row>
    <row r="175" spans="1:7" x14ac:dyDescent="0.25">
      <c r="A175" s="485">
        <v>227819</v>
      </c>
      <c r="B175" s="486" t="s">
        <v>87</v>
      </c>
      <c r="C175" s="487">
        <v>340</v>
      </c>
      <c r="D175" s="488" t="s">
        <v>66</v>
      </c>
      <c r="E175" s="488">
        <v>1</v>
      </c>
      <c r="F175" s="488" t="str">
        <f t="shared" si="7"/>
        <v>Yes</v>
      </c>
      <c r="G175" s="488">
        <f>VLOOKUP(A175,'CASH FLOW'!B:KE,211,FALSE)</f>
        <v>3.9981999999999997E-2</v>
      </c>
    </row>
    <row r="176" spans="1:7" x14ac:dyDescent="0.25">
      <c r="A176" s="485">
        <v>227820</v>
      </c>
      <c r="B176" s="486" t="s">
        <v>374</v>
      </c>
      <c r="C176" s="487">
        <v>8500</v>
      </c>
      <c r="D176" s="488" t="s">
        <v>66</v>
      </c>
      <c r="E176" s="488">
        <v>1</v>
      </c>
      <c r="F176" s="488" t="str">
        <f t="shared" si="7"/>
        <v>Yes</v>
      </c>
      <c r="G176" s="488">
        <f>VLOOKUP(A176,'CASH FLOW'!B:KE,211,FALSE)</f>
        <v>3.9981999999999997E-2</v>
      </c>
    </row>
    <row r="177" spans="1:7" x14ac:dyDescent="0.25">
      <c r="A177" s="485">
        <v>227821</v>
      </c>
      <c r="B177" s="486" t="s">
        <v>67</v>
      </c>
      <c r="C177" s="487">
        <v>650</v>
      </c>
      <c r="D177" s="488" t="s">
        <v>65</v>
      </c>
      <c r="E177" s="488">
        <v>1</v>
      </c>
      <c r="F177" s="488" t="str">
        <f t="shared" si="7"/>
        <v>Yes</v>
      </c>
      <c r="G177" s="488">
        <f>VLOOKUP(A177,'CASH FLOW'!B:KE,211,FALSE)</f>
        <v>3.9981999999999997E-2</v>
      </c>
    </row>
    <row r="178" spans="1:7" x14ac:dyDescent="0.25">
      <c r="A178" s="485">
        <v>227824</v>
      </c>
      <c r="B178" s="486" t="s">
        <v>443</v>
      </c>
      <c r="C178" s="487">
        <v>2800</v>
      </c>
      <c r="D178" s="488" t="s">
        <v>66</v>
      </c>
      <c r="E178" s="488">
        <v>1</v>
      </c>
      <c r="F178" s="488" t="str">
        <f t="shared" si="7"/>
        <v>Yes</v>
      </c>
      <c r="G178" s="488">
        <f>VLOOKUP(A178,'CASH FLOW'!B:KE,211,FALSE)</f>
        <v>3.9981999999999997E-2</v>
      </c>
    </row>
    <row r="179" spans="1:7" x14ac:dyDescent="0.25">
      <c r="A179" s="485">
        <v>227825</v>
      </c>
      <c r="B179" s="486" t="s">
        <v>118</v>
      </c>
      <c r="C179" s="487">
        <v>2100</v>
      </c>
      <c r="D179" s="488" t="s">
        <v>66</v>
      </c>
      <c r="E179" s="488">
        <v>1</v>
      </c>
      <c r="F179" s="488" t="str">
        <f t="shared" si="7"/>
        <v>Yes</v>
      </c>
      <c r="G179" s="488">
        <f>VLOOKUP(A179,'CASH FLOW'!B:KE,211,FALSE)</f>
        <v>3.9981999999999997E-2</v>
      </c>
    </row>
    <row r="180" spans="1:7" x14ac:dyDescent="0.25">
      <c r="A180" s="485">
        <v>227826</v>
      </c>
      <c r="B180" s="486" t="s">
        <v>365</v>
      </c>
      <c r="C180" s="487">
        <v>1100</v>
      </c>
      <c r="D180" s="488" t="s">
        <v>66</v>
      </c>
      <c r="E180" s="488">
        <v>1</v>
      </c>
      <c r="F180" s="488" t="str">
        <f t="shared" si="7"/>
        <v>Yes</v>
      </c>
      <c r="G180" s="488">
        <f>VLOOKUP(A180,'CASH FLOW'!B:KE,211,FALSE)</f>
        <v>3.9981999999999997E-2</v>
      </c>
    </row>
    <row r="181" spans="1:7" x14ac:dyDescent="0.25">
      <c r="A181" s="485">
        <v>227827</v>
      </c>
      <c r="B181" s="486" t="s">
        <v>366</v>
      </c>
      <c r="C181" s="487">
        <v>999999</v>
      </c>
      <c r="D181" s="488" t="s">
        <v>66</v>
      </c>
      <c r="E181" s="488">
        <v>0</v>
      </c>
      <c r="F181" s="488" t="str">
        <f t="shared" si="7"/>
        <v>No</v>
      </c>
      <c r="G181" s="488">
        <f>VLOOKUP(A181,'CASH FLOW'!B:KE,211,FALSE)</f>
        <v>3.9981999999999997E-2</v>
      </c>
    </row>
    <row r="182" spans="1:7" x14ac:dyDescent="0.25">
      <c r="A182" s="485">
        <v>227829</v>
      </c>
      <c r="B182" s="486" t="s">
        <v>445</v>
      </c>
      <c r="C182" s="487">
        <v>2600</v>
      </c>
      <c r="D182" s="488" t="s">
        <v>66</v>
      </c>
      <c r="E182" s="488">
        <v>1</v>
      </c>
      <c r="F182" s="488" t="str">
        <f t="shared" si="7"/>
        <v>Yes</v>
      </c>
      <c r="G182" s="488">
        <f>VLOOKUP(A182,'CASH FLOW'!B:KE,211,FALSE)</f>
        <v>3.9981999999999997E-2</v>
      </c>
    </row>
    <row r="183" spans="1:7" x14ac:dyDescent="0.25">
      <c r="A183" s="485">
        <v>234801</v>
      </c>
      <c r="B183" s="486" t="s">
        <v>81</v>
      </c>
      <c r="C183" s="487">
        <v>250</v>
      </c>
      <c r="D183" s="488" t="s">
        <v>65</v>
      </c>
      <c r="E183" s="488">
        <v>1</v>
      </c>
      <c r="F183" s="488" t="str">
        <f t="shared" si="7"/>
        <v>Yes</v>
      </c>
      <c r="G183" s="488">
        <f>VLOOKUP(A183,'CASH FLOW'!B:KE,211,FALSE)</f>
        <v>3.9981999999999997E-2</v>
      </c>
    </row>
    <row r="184" spans="1:7" x14ac:dyDescent="0.25">
      <c r="A184" s="485">
        <v>236801</v>
      </c>
      <c r="B184" s="486" t="s">
        <v>82</v>
      </c>
      <c r="C184" s="487">
        <v>400</v>
      </c>
      <c r="D184" s="488" t="s">
        <v>65</v>
      </c>
      <c r="E184" s="488">
        <v>1</v>
      </c>
      <c r="F184" s="488" t="str">
        <f t="shared" si="7"/>
        <v>Yes</v>
      </c>
      <c r="G184" s="488">
        <f>VLOOKUP(A184,'CASH FLOW'!B:KE,211,FALSE)</f>
        <v>3.9981999999999997E-2</v>
      </c>
    </row>
    <row r="185" spans="1:7" x14ac:dyDescent="0.25">
      <c r="A185" s="485">
        <v>236802</v>
      </c>
      <c r="B185" s="486" t="s">
        <v>385</v>
      </c>
      <c r="C185" s="487">
        <v>2820</v>
      </c>
      <c r="D185" s="488" t="s">
        <v>66</v>
      </c>
      <c r="E185" s="488">
        <v>1</v>
      </c>
      <c r="F185" s="488" t="str">
        <f t="shared" si="7"/>
        <v>Yes</v>
      </c>
      <c r="G185" s="488">
        <f>VLOOKUP(A185,'CASH FLOW'!B:KE,211,FALSE)</f>
        <v>3.9981999999999997E-2</v>
      </c>
    </row>
    <row r="186" spans="1:7" x14ac:dyDescent="0.25">
      <c r="A186" s="485">
        <v>240801</v>
      </c>
      <c r="B186" s="486" t="s">
        <v>367</v>
      </c>
      <c r="C186" s="487">
        <v>700</v>
      </c>
      <c r="D186" s="488" t="s">
        <v>65</v>
      </c>
      <c r="E186" s="488">
        <v>1</v>
      </c>
      <c r="F186" s="488" t="str">
        <f t="shared" si="7"/>
        <v>Yes</v>
      </c>
      <c r="G186" s="488">
        <f>VLOOKUP(A186,'CASH FLOW'!B:KE,211,FALSE)</f>
        <v>3.9981999999999997E-2</v>
      </c>
    </row>
    <row r="187" spans="1:7" x14ac:dyDescent="0.25">
      <c r="A187" s="485">
        <v>246801</v>
      </c>
      <c r="B187" s="486" t="s">
        <v>375</v>
      </c>
      <c r="C187" s="487">
        <v>1800</v>
      </c>
      <c r="D187" s="488" t="s">
        <v>66</v>
      </c>
      <c r="E187" s="488">
        <v>1</v>
      </c>
      <c r="F187" s="488" t="str">
        <f t="shared" si="7"/>
        <v>Yes</v>
      </c>
      <c r="G187" s="488">
        <f>VLOOKUP(A187,'CASH FLOW'!B:KE,211,FALSE)</f>
        <v>3.9981999999999997E-2</v>
      </c>
    </row>
    <row r="188" spans="1:7" x14ac:dyDescent="0.25">
      <c r="A188" s="485">
        <v>246802</v>
      </c>
      <c r="B188" s="486" t="s">
        <v>414</v>
      </c>
      <c r="C188" s="487">
        <v>540</v>
      </c>
      <c r="D188" s="488" t="s">
        <v>66</v>
      </c>
      <c r="E188" s="488">
        <v>1</v>
      </c>
      <c r="F188" s="488" t="str">
        <f t="shared" si="7"/>
        <v>Yes</v>
      </c>
      <c r="G188" s="488">
        <f>VLOOKUP(A188,'CASH FLOW'!B:KE,211,FALSE)</f>
        <v>3.9981999999999997E-2</v>
      </c>
    </row>
    <row r="189" spans="1:7" x14ac:dyDescent="0.25">
      <c r="A189" s="485"/>
      <c r="B189" s="486"/>
      <c r="C189" s="487"/>
    </row>
  </sheetData>
  <sheetProtection algorithmName="SHA-512" hashValue="hMd7OcBG6viemVYFM/X03ABdg55tPVa84sFMxUHJcSYoqJ+W7E1JQXJ+CBUiolxm63RDxmkp/hprjPfZ0lIsoA==" saltValue="8Vu2Rx7aEFn4xSL0agyoXw==" spinCount="100000" sheet="1" objects="1" scenarios="1"/>
  <sortState xmlns:xlrd2="http://schemas.microsoft.com/office/spreadsheetml/2017/richdata2" ref="A4:G188">
    <sortCondition ref="A3:A188"/>
  </sortState>
  <phoneticPr fontId="6" type="noConversion"/>
  <printOptions horizontalCentered="1"/>
  <pageMargins left="0.75" right="0.75" top="1" bottom="1" header="0.5" footer="0.5"/>
  <pageSetup scale="70" orientation="portrait" r:id="rId1"/>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69A3-5A58-4652-A519-E82E9946B73D}">
  <dimension ref="A1"/>
  <sheetViews>
    <sheetView workbookViewId="0">
      <selection activeCell="I38" sqref="I38"/>
    </sheetView>
  </sheetViews>
  <sheetFormatPr defaultColWidth="9.1796875" defaultRowHeight="12.5" x14ac:dyDescent="0.25"/>
  <cols>
    <col min="1" max="16384" width="9.1796875" style="15"/>
  </cols>
  <sheetData/>
  <sheetProtection algorithmName="SHA-512" hashValue="jbYkffVS4kLVCTaI3Pky0PSSMebaMrW7h2ttzxN5LDvn6Q0P9PsTQupRWXgeqduA0VD8Ze4tMt6uXusu/H5Kag==" saltValue="F7aTcKh8XJyBs6cjZp1eG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1D4E-4687-4F27-B42E-5B86A96BB6CD}">
  <dimension ref="A1:B93"/>
  <sheetViews>
    <sheetView tabSelected="1" zoomScale="145" zoomScaleNormal="145" zoomScaleSheetLayoutView="110" workbookViewId="0"/>
  </sheetViews>
  <sheetFormatPr defaultRowHeight="12.5" x14ac:dyDescent="0.25"/>
  <cols>
    <col min="1" max="1" width="118.81640625" style="397" customWidth="1"/>
  </cols>
  <sheetData>
    <row r="1" spans="1:1" x14ac:dyDescent="0.25">
      <c r="A1" s="160"/>
    </row>
    <row r="2" spans="1:1" ht="26" x14ac:dyDescent="0.25">
      <c r="A2" s="465" t="s">
        <v>1960</v>
      </c>
    </row>
    <row r="3" spans="1:1" ht="13" x14ac:dyDescent="0.25">
      <c r="A3" s="398" t="s">
        <v>817</v>
      </c>
    </row>
    <row r="4" spans="1:1" x14ac:dyDescent="0.25">
      <c r="A4" s="400"/>
    </row>
    <row r="5" spans="1:1" ht="25" x14ac:dyDescent="0.25">
      <c r="A5" s="399" t="s">
        <v>1000</v>
      </c>
    </row>
    <row r="6" spans="1:1" x14ac:dyDescent="0.25">
      <c r="A6" s="160" t="s">
        <v>1019</v>
      </c>
    </row>
    <row r="7" spans="1:1" x14ac:dyDescent="0.25">
      <c r="A7" s="160" t="s">
        <v>1007</v>
      </c>
    </row>
    <row r="8" spans="1:1" x14ac:dyDescent="0.25">
      <c r="A8" s="411" t="s">
        <v>1020</v>
      </c>
    </row>
    <row r="9" spans="1:1" x14ac:dyDescent="0.25">
      <c r="A9" s="160" t="s">
        <v>1095</v>
      </c>
    </row>
    <row r="10" spans="1:1" x14ac:dyDescent="0.25">
      <c r="A10" s="160" t="s">
        <v>1932</v>
      </c>
    </row>
    <row r="11" spans="1:1" x14ac:dyDescent="0.25">
      <c r="A11" s="399" t="s">
        <v>1002</v>
      </c>
    </row>
    <row r="12" spans="1:1" x14ac:dyDescent="0.25">
      <c r="A12" s="399" t="s">
        <v>1001</v>
      </c>
    </row>
    <row r="13" spans="1:1" x14ac:dyDescent="0.25">
      <c r="A13" s="400"/>
    </row>
    <row r="14" spans="1:1" ht="13" x14ac:dyDescent="0.25">
      <c r="A14" s="398" t="s">
        <v>1935</v>
      </c>
    </row>
    <row r="15" spans="1:1" x14ac:dyDescent="0.25">
      <c r="A15" s="401"/>
    </row>
    <row r="16" spans="1:1" ht="13" x14ac:dyDescent="0.25">
      <c r="A16" s="410" t="s">
        <v>960</v>
      </c>
    </row>
    <row r="17" spans="1:2" ht="8" customHeight="1" x14ac:dyDescent="0.25">
      <c r="A17" s="410"/>
    </row>
    <row r="18" spans="1:2" ht="13" x14ac:dyDescent="0.25">
      <c r="A18" s="407" t="s">
        <v>1941</v>
      </c>
    </row>
    <row r="19" spans="1:2" x14ac:dyDescent="0.25">
      <c r="A19" s="402" t="s">
        <v>1937</v>
      </c>
    </row>
    <row r="20" spans="1:2" s="626" customFormat="1" x14ac:dyDescent="0.25">
      <c r="A20" s="658" t="s">
        <v>1938</v>
      </c>
    </row>
    <row r="21" spans="1:2" x14ac:dyDescent="0.25">
      <c r="A21" s="658" t="s">
        <v>1939</v>
      </c>
    </row>
    <row r="22" spans="1:2" x14ac:dyDescent="0.25">
      <c r="A22" s="625"/>
    </row>
    <row r="23" spans="1:2" ht="13" x14ac:dyDescent="0.25">
      <c r="A23" s="407" t="s">
        <v>1092</v>
      </c>
    </row>
    <row r="24" spans="1:2" x14ac:dyDescent="0.25">
      <c r="A24" s="658" t="s">
        <v>1940</v>
      </c>
    </row>
    <row r="25" spans="1:2" x14ac:dyDescent="0.25">
      <c r="A25" s="400"/>
    </row>
    <row r="26" spans="1:2" ht="13" x14ac:dyDescent="0.25">
      <c r="A26" s="398" t="s">
        <v>1073</v>
      </c>
    </row>
    <row r="27" spans="1:2" ht="13" x14ac:dyDescent="0.25">
      <c r="A27" s="406" t="s">
        <v>1942</v>
      </c>
    </row>
    <row r="28" spans="1:2" x14ac:dyDescent="0.25">
      <c r="A28" s="658" t="s">
        <v>1944</v>
      </c>
      <c r="B28" s="161"/>
    </row>
    <row r="29" spans="1:2" ht="25" x14ac:dyDescent="0.25">
      <c r="A29" s="402" t="s">
        <v>1945</v>
      </c>
    </row>
    <row r="30" spans="1:2" s="630" customFormat="1" x14ac:dyDescent="0.25">
      <c r="A30" s="629" t="s">
        <v>1931</v>
      </c>
    </row>
    <row r="31" spans="1:2" s="518" customFormat="1" x14ac:dyDescent="0.25">
      <c r="A31" s="517"/>
    </row>
    <row r="32" spans="1:2" ht="13" x14ac:dyDescent="0.25">
      <c r="A32" s="406" t="s">
        <v>1946</v>
      </c>
    </row>
    <row r="33" spans="1:1" ht="25" x14ac:dyDescent="0.25">
      <c r="A33" s="402" t="s">
        <v>1947</v>
      </c>
    </row>
    <row r="34" spans="1:1" x14ac:dyDescent="0.25">
      <c r="A34" s="402"/>
    </row>
    <row r="35" spans="1:1" ht="13" x14ac:dyDescent="0.25">
      <c r="A35" s="447" t="s">
        <v>998</v>
      </c>
    </row>
    <row r="36" spans="1:1" ht="25" x14ac:dyDescent="0.25">
      <c r="A36" s="404" t="s">
        <v>819</v>
      </c>
    </row>
    <row r="37" spans="1:1" x14ac:dyDescent="0.25">
      <c r="A37" s="402"/>
    </row>
    <row r="38" spans="1:1" ht="13" x14ac:dyDescent="0.25">
      <c r="A38" s="406" t="s">
        <v>1943</v>
      </c>
    </row>
    <row r="39" spans="1:1" s="404" customFormat="1" ht="25" x14ac:dyDescent="0.25">
      <c r="A39" s="659" t="s">
        <v>1961</v>
      </c>
    </row>
    <row r="40" spans="1:1" x14ac:dyDescent="0.25">
      <c r="A40" s="402"/>
    </row>
    <row r="41" spans="1:1" ht="13" x14ac:dyDescent="0.25">
      <c r="A41" s="406" t="s">
        <v>1953</v>
      </c>
    </row>
    <row r="42" spans="1:1" ht="37.5" x14ac:dyDescent="0.25">
      <c r="A42" s="402" t="s">
        <v>1951</v>
      </c>
    </row>
    <row r="43" spans="1:1" x14ac:dyDescent="0.25">
      <c r="A43" s="402"/>
    </row>
    <row r="44" spans="1:1" ht="13" x14ac:dyDescent="0.25">
      <c r="A44" s="406" t="s">
        <v>1083</v>
      </c>
    </row>
    <row r="45" spans="1:1" ht="13" x14ac:dyDescent="0.25">
      <c r="A45" s="472" t="s">
        <v>1948</v>
      </c>
    </row>
    <row r="46" spans="1:1" ht="42.4" customHeight="1" x14ac:dyDescent="0.25">
      <c r="A46" s="473" t="s">
        <v>1952</v>
      </c>
    </row>
    <row r="47" spans="1:1" s="632" customFormat="1" x14ac:dyDescent="0.25">
      <c r="A47" s="631" t="s">
        <v>999</v>
      </c>
    </row>
    <row r="48" spans="1:1" ht="7.15" customHeight="1" x14ac:dyDescent="0.25">
      <c r="A48" s="474"/>
    </row>
    <row r="49" spans="1:1" ht="13" x14ac:dyDescent="0.25">
      <c r="A49" s="472" t="s">
        <v>1949</v>
      </c>
    </row>
    <row r="50" spans="1:1" x14ac:dyDescent="0.25">
      <c r="A50" s="473" t="s">
        <v>1950</v>
      </c>
    </row>
    <row r="51" spans="1:1" x14ac:dyDescent="0.25">
      <c r="A51" s="473"/>
    </row>
    <row r="52" spans="1:1" ht="13" x14ac:dyDescent="0.25">
      <c r="A52" s="398" t="s">
        <v>965</v>
      </c>
    </row>
    <row r="53" spans="1:1" x14ac:dyDescent="0.25">
      <c r="A53" s="411" t="s">
        <v>1010</v>
      </c>
    </row>
    <row r="54" spans="1:1" x14ac:dyDescent="0.25">
      <c r="A54" s="399" t="s">
        <v>1068</v>
      </c>
    </row>
    <row r="55" spans="1:1" ht="13" x14ac:dyDescent="0.25">
      <c r="A55" s="406"/>
    </row>
    <row r="56" spans="1:1" ht="13" x14ac:dyDescent="0.25">
      <c r="A56" s="406" t="s">
        <v>1008</v>
      </c>
    </row>
    <row r="57" spans="1:1" ht="76.150000000000006" customHeight="1" x14ac:dyDescent="0.25">
      <c r="A57" s="400" t="s">
        <v>1954</v>
      </c>
    </row>
    <row r="58" spans="1:1" x14ac:dyDescent="0.25">
      <c r="A58" s="400"/>
    </row>
    <row r="59" spans="1:1" ht="13" x14ac:dyDescent="0.25">
      <c r="A59" s="406" t="s">
        <v>1009</v>
      </c>
    </row>
    <row r="60" spans="1:1" x14ac:dyDescent="0.25">
      <c r="A60" s="403" t="s">
        <v>1053</v>
      </c>
    </row>
    <row r="61" spans="1:1" ht="25" x14ac:dyDescent="0.25">
      <c r="A61" s="403" t="s">
        <v>1959</v>
      </c>
    </row>
    <row r="62" spans="1:1" ht="52.5" customHeight="1" x14ac:dyDescent="0.25">
      <c r="A62" s="403" t="s">
        <v>1958</v>
      </c>
    </row>
    <row r="63" spans="1:1" s="632" customFormat="1" x14ac:dyDescent="0.25">
      <c r="A63" s="633" t="s">
        <v>1003</v>
      </c>
    </row>
    <row r="64" spans="1:1" x14ac:dyDescent="0.25">
      <c r="A64" s="400"/>
    </row>
    <row r="65" spans="1:1" ht="13" x14ac:dyDescent="0.25">
      <c r="A65" s="398" t="s">
        <v>966</v>
      </c>
    </row>
    <row r="66" spans="1:1" x14ac:dyDescent="0.25">
      <c r="A66" s="411" t="s">
        <v>1010</v>
      </c>
    </row>
    <row r="67" spans="1:1" x14ac:dyDescent="0.25">
      <c r="A67" s="161" t="s">
        <v>1068</v>
      </c>
    </row>
    <row r="68" spans="1:1" x14ac:dyDescent="0.25">
      <c r="A68" s="161"/>
    </row>
    <row r="69" spans="1:1" ht="13" x14ac:dyDescent="0.25">
      <c r="A69" s="406" t="s">
        <v>1004</v>
      </c>
    </row>
    <row r="70" spans="1:1" x14ac:dyDescent="0.25">
      <c r="A70" s="402" t="s">
        <v>1084</v>
      </c>
    </row>
    <row r="71" spans="1:1" x14ac:dyDescent="0.25">
      <c r="A71" s="402"/>
    </row>
    <row r="72" spans="1:1" ht="13" x14ac:dyDescent="0.25">
      <c r="A72" s="406" t="s">
        <v>1005</v>
      </c>
    </row>
    <row r="73" spans="1:1" ht="25" x14ac:dyDescent="0.25">
      <c r="A73" s="402" t="s">
        <v>1054</v>
      </c>
    </row>
    <row r="74" spans="1:1" x14ac:dyDescent="0.25">
      <c r="A74" s="400"/>
    </row>
    <row r="75" spans="1:1" ht="13" x14ac:dyDescent="0.25">
      <c r="A75" s="406" t="s">
        <v>1006</v>
      </c>
    </row>
    <row r="76" spans="1:1" ht="38" x14ac:dyDescent="0.25">
      <c r="A76" s="402" t="s">
        <v>1936</v>
      </c>
    </row>
    <row r="77" spans="1:1" x14ac:dyDescent="0.25">
      <c r="A77" s="400"/>
    </row>
    <row r="78" spans="1:1" ht="13" x14ac:dyDescent="0.25">
      <c r="A78" s="406" t="s">
        <v>818</v>
      </c>
    </row>
    <row r="79" spans="1:1" ht="25" x14ac:dyDescent="0.25">
      <c r="A79" s="402" t="s">
        <v>1055</v>
      </c>
    </row>
    <row r="81" spans="1:1" ht="13" x14ac:dyDescent="0.25">
      <c r="A81" s="398" t="s">
        <v>967</v>
      </c>
    </row>
    <row r="82" spans="1:1" x14ac:dyDescent="0.25">
      <c r="A82" s="400" t="s">
        <v>1069</v>
      </c>
    </row>
    <row r="83" spans="1:1" x14ac:dyDescent="0.25">
      <c r="A83" s="400"/>
    </row>
    <row r="84" spans="1:1" ht="25" x14ac:dyDescent="0.25">
      <c r="A84" s="402" t="s">
        <v>1090</v>
      </c>
    </row>
    <row r="85" spans="1:1" x14ac:dyDescent="0.25">
      <c r="A85" s="400"/>
    </row>
    <row r="86" spans="1:1" ht="13" x14ac:dyDescent="0.25">
      <c r="A86" s="398" t="s">
        <v>968</v>
      </c>
    </row>
    <row r="88" spans="1:1" ht="62.65" customHeight="1" x14ac:dyDescent="0.25">
      <c r="A88" s="409" t="s">
        <v>1056</v>
      </c>
    </row>
    <row r="90" spans="1:1" ht="13" x14ac:dyDescent="0.25">
      <c r="A90" s="398" t="s">
        <v>969</v>
      </c>
    </row>
    <row r="92" spans="1:1" x14ac:dyDescent="0.25">
      <c r="A92" s="409" t="s">
        <v>1011</v>
      </c>
    </row>
    <row r="93" spans="1:1" x14ac:dyDescent="0.25">
      <c r="A93" s="400"/>
    </row>
  </sheetData>
  <sheetProtection algorithmName="SHA-512" hashValue="Nf2mm0iV0hJig3Zrkixs5ac/12XSYSPiQBWrCwx6taV+kbBE8F4U75yJnia9OoDHEAxu67tNfBzfnMmqw4FyYg==" saltValue="StfdwV2m3lM9C1U0348M3g==" spinCount="100000" sheet="1" objects="1" scenarios="1"/>
  <hyperlinks>
    <hyperlink ref="A30:XFD30" r:id="rId1" display="Eligible (and ineligible) campuses " xr:uid="{F6AE8E64-F5B9-4321-9F10-1CACDE0757C4}"/>
  </hyperlinks>
  <pageMargins left="0.7" right="0.7" top="0.75" bottom="0.75" header="0.3" footer="0.3"/>
  <pageSetup scale="76" orientation="portrait" horizontalDpi="360" verticalDpi="360" r:id="rId2"/>
  <headerFooter>
    <oddFooter>&amp;R&amp;P/&amp;N</oddFooter>
  </headerFooter>
  <rowBreaks count="2" manualBreakCount="2">
    <brk id="48" max="16383" man="1"/>
    <brk id="85"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000"/>
    <pageSetUpPr fitToPage="1"/>
  </sheetPr>
  <dimension ref="A1:S77"/>
  <sheetViews>
    <sheetView showRuler="0" zoomScaleNormal="100" zoomScaleSheetLayoutView="40" workbookViewId="0">
      <selection activeCell="E1" sqref="E1"/>
    </sheetView>
  </sheetViews>
  <sheetFormatPr defaultColWidth="63.81640625" defaultRowHeight="15" customHeight="1" x14ac:dyDescent="0.35"/>
  <cols>
    <col min="1" max="1" width="11.08984375" style="24" customWidth="1"/>
    <col min="2" max="2" width="56.1796875" style="52" customWidth="1"/>
    <col min="3" max="3" width="7.6328125" style="39" customWidth="1"/>
    <col min="4" max="4" width="7.54296875" style="52" bestFit="1" customWidth="1"/>
    <col min="5" max="5" width="21.453125" style="53" bestFit="1" customWidth="1"/>
    <col min="6" max="6" width="12.54296875" style="320" customWidth="1"/>
    <col min="7" max="7" width="14.08984375" style="52" bestFit="1" customWidth="1"/>
    <col min="8" max="8" width="23.6328125" style="52" bestFit="1" customWidth="1"/>
    <col min="9" max="12" width="25.7265625" style="52" customWidth="1"/>
    <col min="13" max="17" width="63.81640625" style="52"/>
    <col min="18" max="18" width="4.08984375" style="52" bestFit="1" customWidth="1"/>
    <col min="19" max="19" width="63.81640625" style="52"/>
    <col min="20" max="16384" width="63.81640625" style="2"/>
  </cols>
  <sheetData>
    <row r="1" spans="1:19" s="1" customFormat="1" ht="40.15" customHeight="1" x14ac:dyDescent="0.35">
      <c r="A1" s="330"/>
      <c r="B1" s="504" t="s">
        <v>945</v>
      </c>
      <c r="C1" s="697" t="s">
        <v>981</v>
      </c>
      <c r="D1" s="698"/>
      <c r="E1" s="162">
        <v>0</v>
      </c>
      <c r="F1" s="311"/>
      <c r="G1" s="52"/>
      <c r="H1" s="52"/>
      <c r="I1" s="52"/>
      <c r="J1" s="52"/>
      <c r="K1" s="52"/>
      <c r="L1" s="52"/>
      <c r="M1" s="52"/>
      <c r="N1" s="52"/>
      <c r="O1" s="52"/>
      <c r="P1" s="52"/>
      <c r="Q1" s="52"/>
      <c r="R1" s="52" t="s">
        <v>66</v>
      </c>
      <c r="S1" s="52"/>
    </row>
    <row r="2" spans="1:19" s="1" customFormat="1" ht="32.25" customHeight="1" x14ac:dyDescent="0.35">
      <c r="A2" s="459"/>
      <c r="B2" s="505" t="str">
        <f>VLOOKUP(E1,DATA!A:D,2,FALSE)</f>
        <v>CHARTER DISTRICT</v>
      </c>
      <c r="C2" s="460"/>
      <c r="D2" s="461"/>
      <c r="E2" s="456"/>
      <c r="F2" s="304"/>
      <c r="G2" s="304"/>
      <c r="H2" s="52"/>
      <c r="I2" s="52"/>
      <c r="J2" s="52"/>
      <c r="K2" s="52"/>
      <c r="L2" s="52"/>
      <c r="M2" s="52"/>
      <c r="N2" s="52"/>
      <c r="O2" s="52"/>
      <c r="P2" s="52"/>
      <c r="Q2" s="52"/>
      <c r="R2" s="52" t="s">
        <v>65</v>
      </c>
      <c r="S2" s="52"/>
    </row>
    <row r="3" spans="1:19" s="1" customFormat="1" ht="25.15" customHeight="1" x14ac:dyDescent="0.35">
      <c r="A3" s="24"/>
      <c r="B3" s="25" t="s">
        <v>961</v>
      </c>
      <c r="C3" s="26"/>
      <c r="D3" s="27"/>
      <c r="E3" s="28">
        <v>0.95</v>
      </c>
      <c r="F3" s="320"/>
      <c r="G3" s="52"/>
      <c r="H3" s="52"/>
      <c r="I3" s="52"/>
      <c r="J3" s="52"/>
      <c r="K3" s="52"/>
      <c r="L3" s="52"/>
      <c r="M3" s="52"/>
      <c r="N3" s="52"/>
      <c r="O3" s="52"/>
      <c r="P3" s="52"/>
      <c r="Q3" s="52"/>
      <c r="R3" s="52"/>
      <c r="S3" s="52"/>
    </row>
    <row r="4" spans="1:19" s="1" customFormat="1" ht="32.25" customHeight="1" x14ac:dyDescent="0.35">
      <c r="A4" s="456" t="s">
        <v>946</v>
      </c>
      <c r="B4" s="455" t="s">
        <v>872</v>
      </c>
      <c r="C4" s="456" t="s">
        <v>596</v>
      </c>
      <c r="D4" s="458"/>
      <c r="E4" s="456" t="s">
        <v>939</v>
      </c>
      <c r="F4" s="304"/>
      <c r="G4" s="304"/>
      <c r="H4" s="52"/>
      <c r="I4" s="52"/>
      <c r="J4" s="52"/>
      <c r="K4" s="52"/>
      <c r="L4" s="52"/>
      <c r="M4" s="52"/>
      <c r="N4" s="52"/>
      <c r="O4" s="52"/>
      <c r="P4" s="52"/>
      <c r="Q4" s="52"/>
      <c r="R4" s="52"/>
      <c r="S4" s="52"/>
    </row>
    <row r="5" spans="1:19" s="1" customFormat="1" ht="18" customHeight="1" x14ac:dyDescent="0.35">
      <c r="A5" s="29">
        <v>48.051000000000002</v>
      </c>
      <c r="B5" s="506" t="s">
        <v>820</v>
      </c>
      <c r="C5" s="30" t="s">
        <v>953</v>
      </c>
      <c r="D5" s="31"/>
      <c r="E5" s="408">
        <v>0</v>
      </c>
      <c r="F5" s="311"/>
      <c r="G5" s="52"/>
      <c r="H5" s="52"/>
      <c r="I5" s="52"/>
      <c r="J5" s="52"/>
      <c r="K5" s="52"/>
      <c r="L5" s="52"/>
      <c r="M5" s="52"/>
      <c r="N5" s="52"/>
      <c r="O5" s="52"/>
      <c r="P5" s="52"/>
      <c r="Q5" s="52"/>
      <c r="R5" s="52"/>
      <c r="S5" s="52"/>
    </row>
    <row r="6" spans="1:19" s="4" customFormat="1" ht="15.5" x14ac:dyDescent="0.35">
      <c r="A6" s="29">
        <v>48.103000000000002</v>
      </c>
      <c r="B6" s="506" t="s">
        <v>1070</v>
      </c>
      <c r="C6" s="30" t="s">
        <v>952</v>
      </c>
      <c r="D6" s="31"/>
      <c r="E6" s="32">
        <v>0</v>
      </c>
      <c r="F6" s="311"/>
      <c r="G6" s="52"/>
      <c r="H6" s="52"/>
      <c r="I6" s="52"/>
      <c r="J6" s="52"/>
      <c r="K6" s="52"/>
      <c r="L6" s="52"/>
      <c r="M6" s="52"/>
      <c r="N6" s="52"/>
      <c r="O6" s="52"/>
      <c r="P6" s="52"/>
      <c r="Q6" s="52"/>
      <c r="R6" s="52"/>
      <c r="S6" s="52"/>
    </row>
    <row r="7" spans="1:19" s="4" customFormat="1" ht="28.15" customHeight="1" x14ac:dyDescent="0.35">
      <c r="A7" s="29">
        <v>48.103000000000002</v>
      </c>
      <c r="B7" s="506" t="s">
        <v>1071</v>
      </c>
      <c r="C7" s="30" t="s">
        <v>952</v>
      </c>
      <c r="D7" s="31"/>
      <c r="E7" s="32">
        <v>0</v>
      </c>
      <c r="F7" s="311"/>
      <c r="G7" s="52"/>
      <c r="H7" s="52"/>
      <c r="I7" s="52"/>
      <c r="J7" s="52"/>
      <c r="K7" s="52"/>
      <c r="L7" s="52"/>
      <c r="M7" s="52"/>
      <c r="N7" s="52"/>
      <c r="O7" s="52"/>
      <c r="P7" s="52"/>
      <c r="Q7" s="52"/>
      <c r="R7" s="52"/>
      <c r="S7" s="52"/>
    </row>
    <row r="8" spans="1:19" ht="54.4" customHeight="1" x14ac:dyDescent="0.35">
      <c r="A8" s="29">
        <v>48.107999999999997</v>
      </c>
      <c r="B8" s="507" t="s">
        <v>1029</v>
      </c>
      <c r="C8" s="30" t="s">
        <v>952</v>
      </c>
      <c r="D8" s="33"/>
      <c r="E8" s="32">
        <v>0</v>
      </c>
    </row>
    <row r="9" spans="1:19" s="4" customFormat="1" ht="15.5" x14ac:dyDescent="0.35">
      <c r="A9" s="29">
        <v>48.152999999999999</v>
      </c>
      <c r="B9" s="506" t="s">
        <v>1030</v>
      </c>
      <c r="C9" s="34">
        <v>275</v>
      </c>
      <c r="D9" s="35"/>
      <c r="E9" s="32">
        <v>0</v>
      </c>
      <c r="F9" s="311"/>
      <c r="G9" s="286"/>
      <c r="H9" s="286"/>
      <c r="I9" s="286"/>
      <c r="J9" s="286"/>
      <c r="K9" s="286"/>
      <c r="L9" s="52"/>
      <c r="M9" s="52"/>
      <c r="N9" s="52"/>
      <c r="O9" s="52"/>
      <c r="P9" s="52"/>
      <c r="Q9" s="52"/>
      <c r="R9" s="52"/>
      <c r="S9" s="52"/>
    </row>
    <row r="10" spans="1:19" ht="18" customHeight="1" x14ac:dyDescent="0.35">
      <c r="A10" s="29">
        <v>48.152999999999999</v>
      </c>
      <c r="B10" s="506" t="s">
        <v>1031</v>
      </c>
      <c r="C10" s="34">
        <v>275</v>
      </c>
      <c r="D10" s="31"/>
      <c r="E10" s="32">
        <v>0</v>
      </c>
    </row>
    <row r="11" spans="1:19" ht="18" customHeight="1" x14ac:dyDescent="0.35">
      <c r="A11" s="29" t="s">
        <v>1034</v>
      </c>
      <c r="B11" s="506" t="s">
        <v>1032</v>
      </c>
      <c r="C11" s="30" t="s">
        <v>954</v>
      </c>
      <c r="D11" s="31"/>
      <c r="E11" s="32">
        <v>0</v>
      </c>
    </row>
    <row r="12" spans="1:19" s="6" customFormat="1" ht="18" customHeight="1" x14ac:dyDescent="0.25">
      <c r="A12" s="24">
        <v>48.109000000000002</v>
      </c>
      <c r="B12" s="506" t="s">
        <v>1033</v>
      </c>
      <c r="C12" s="36">
        <v>7.0000000000000007E-2</v>
      </c>
      <c r="D12" s="31"/>
      <c r="E12" s="32">
        <v>0</v>
      </c>
      <c r="F12" s="320"/>
      <c r="G12" s="311"/>
      <c r="H12" s="311"/>
      <c r="I12" s="311"/>
      <c r="J12" s="311"/>
      <c r="K12" s="311"/>
      <c r="L12" s="311"/>
      <c r="M12" s="311"/>
      <c r="N12" s="311"/>
      <c r="O12" s="311"/>
      <c r="P12" s="311"/>
      <c r="Q12" s="311"/>
      <c r="R12" s="311"/>
      <c r="S12" s="311"/>
    </row>
    <row r="13" spans="1:19" s="1" customFormat="1" ht="32.25" customHeight="1" x14ac:dyDescent="0.35">
      <c r="A13" s="456">
        <v>48.104999999999997</v>
      </c>
      <c r="B13" s="455" t="s">
        <v>1016</v>
      </c>
      <c r="C13" s="456" t="s">
        <v>596</v>
      </c>
      <c r="D13" s="458"/>
      <c r="E13" s="456" t="s">
        <v>940</v>
      </c>
      <c r="F13" s="304"/>
      <c r="G13" s="304"/>
      <c r="H13" s="52"/>
      <c r="I13" s="52"/>
      <c r="J13" s="52"/>
      <c r="K13" s="52"/>
      <c r="L13" s="52"/>
      <c r="M13" s="52"/>
      <c r="N13" s="52"/>
      <c r="O13" s="52"/>
      <c r="P13" s="52"/>
      <c r="Q13" s="52"/>
      <c r="R13" s="52"/>
      <c r="S13" s="52"/>
    </row>
    <row r="14" spans="1:19" ht="18" customHeight="1" x14ac:dyDescent="0.35">
      <c r="B14" s="506" t="s">
        <v>822</v>
      </c>
      <c r="C14" s="30" t="s">
        <v>952</v>
      </c>
      <c r="D14" s="31"/>
      <c r="E14" s="32">
        <v>0</v>
      </c>
    </row>
    <row r="15" spans="1:19" ht="18" customHeight="1" x14ac:dyDescent="0.35">
      <c r="B15" s="506" t="s">
        <v>1074</v>
      </c>
      <c r="C15" s="36">
        <v>0.15</v>
      </c>
      <c r="D15" s="31"/>
      <c r="E15" s="32">
        <v>0</v>
      </c>
    </row>
    <row r="16" spans="1:19" ht="18" customHeight="1" x14ac:dyDescent="0.35">
      <c r="B16" s="507" t="s">
        <v>1076</v>
      </c>
      <c r="C16" s="36">
        <v>0.05</v>
      </c>
      <c r="D16" s="33"/>
      <c r="E16" s="32">
        <v>0</v>
      </c>
    </row>
    <row r="17" spans="1:19" s="1" customFormat="1" ht="32.25" customHeight="1" x14ac:dyDescent="0.35">
      <c r="A17" s="456">
        <v>48.101999999999997</v>
      </c>
      <c r="B17" s="455" t="s">
        <v>1017</v>
      </c>
      <c r="C17" s="456" t="s">
        <v>596</v>
      </c>
      <c r="D17" s="456" t="s">
        <v>951</v>
      </c>
      <c r="E17" s="456" t="s">
        <v>941</v>
      </c>
      <c r="F17" s="304"/>
      <c r="G17" s="304"/>
      <c r="H17" s="52"/>
      <c r="I17" s="52"/>
      <c r="J17" s="52"/>
      <c r="K17" s="52"/>
      <c r="L17" s="52"/>
      <c r="M17" s="52"/>
      <c r="N17" s="52"/>
      <c r="O17" s="52"/>
      <c r="P17" s="52"/>
      <c r="Q17" s="52"/>
      <c r="R17" s="52"/>
      <c r="S17" s="52"/>
    </row>
    <row r="18" spans="1:19" ht="18" customHeight="1" x14ac:dyDescent="0.35">
      <c r="B18" s="506" t="s">
        <v>827</v>
      </c>
      <c r="C18" s="37">
        <v>5</v>
      </c>
      <c r="D18" s="38" t="s">
        <v>823</v>
      </c>
      <c r="E18" s="32">
        <v>0</v>
      </c>
    </row>
    <row r="19" spans="1:19" ht="18" customHeight="1" x14ac:dyDescent="0.35">
      <c r="B19" s="506" t="s">
        <v>828</v>
      </c>
      <c r="C19" s="37">
        <v>3</v>
      </c>
      <c r="D19" s="38" t="s">
        <v>825</v>
      </c>
      <c r="E19" s="32">
        <v>0</v>
      </c>
    </row>
    <row r="20" spans="1:19" ht="18" customHeight="1" x14ac:dyDescent="0.35">
      <c r="B20" s="506" t="s">
        <v>829</v>
      </c>
      <c r="C20" s="37">
        <v>5</v>
      </c>
      <c r="D20" s="38" t="s">
        <v>826</v>
      </c>
      <c r="E20" s="32">
        <v>0</v>
      </c>
    </row>
    <row r="21" spans="1:19" ht="18" customHeight="1" x14ac:dyDescent="0.35">
      <c r="B21" s="506" t="s">
        <v>834</v>
      </c>
      <c r="C21" s="37">
        <v>3</v>
      </c>
      <c r="D21" s="38" t="s">
        <v>831</v>
      </c>
      <c r="E21" s="32">
        <v>0</v>
      </c>
    </row>
    <row r="22" spans="1:19" ht="18" customHeight="1" x14ac:dyDescent="0.35">
      <c r="B22" s="506" t="s">
        <v>1035</v>
      </c>
      <c r="C22" s="37">
        <v>3</v>
      </c>
      <c r="D22" s="38" t="s">
        <v>833</v>
      </c>
      <c r="E22" s="32">
        <v>0</v>
      </c>
    </row>
    <row r="23" spans="1:19" ht="18" customHeight="1" x14ac:dyDescent="0.35">
      <c r="B23" s="506" t="s">
        <v>836</v>
      </c>
      <c r="C23" s="37">
        <v>3</v>
      </c>
      <c r="D23" s="38">
        <v>45</v>
      </c>
      <c r="E23" s="32">
        <v>0</v>
      </c>
    </row>
    <row r="24" spans="1:19" ht="18" customHeight="1" x14ac:dyDescent="0.35">
      <c r="B24" s="506" t="s">
        <v>837</v>
      </c>
      <c r="C24" s="37">
        <v>2.7</v>
      </c>
      <c r="D24" s="38" t="s">
        <v>832</v>
      </c>
      <c r="E24" s="32">
        <v>0</v>
      </c>
    </row>
    <row r="25" spans="1:19" ht="18" customHeight="1" x14ac:dyDescent="0.35">
      <c r="B25" s="506" t="s">
        <v>1036</v>
      </c>
      <c r="C25" s="37">
        <v>2.2999999999999998</v>
      </c>
      <c r="D25" s="38" t="s">
        <v>824</v>
      </c>
      <c r="E25" s="32">
        <v>0</v>
      </c>
    </row>
    <row r="26" spans="1:19" ht="18" customHeight="1" x14ac:dyDescent="0.35">
      <c r="B26" s="506" t="s">
        <v>839</v>
      </c>
      <c r="C26" s="37">
        <v>2.8</v>
      </c>
      <c r="D26" s="38">
        <v>30</v>
      </c>
      <c r="E26" s="32">
        <v>0</v>
      </c>
    </row>
    <row r="27" spans="1:19" ht="18" customHeight="1" x14ac:dyDescent="0.35">
      <c r="B27" s="506" t="s">
        <v>840</v>
      </c>
      <c r="C27" s="37">
        <v>4</v>
      </c>
      <c r="D27" s="38" t="s">
        <v>830</v>
      </c>
      <c r="E27" s="32">
        <v>0</v>
      </c>
    </row>
    <row r="28" spans="1:19" ht="18" customHeight="1" x14ac:dyDescent="0.35">
      <c r="B28" s="506" t="s">
        <v>841</v>
      </c>
      <c r="C28" s="39">
        <v>1.1499999999999999</v>
      </c>
      <c r="D28" s="38">
        <v>40</v>
      </c>
      <c r="E28" s="32">
        <v>0</v>
      </c>
    </row>
    <row r="29" spans="1:19" s="1" customFormat="1" ht="32.25" customHeight="1" x14ac:dyDescent="0.35">
      <c r="A29" s="456" t="s">
        <v>947</v>
      </c>
      <c r="B29" s="455" t="s">
        <v>1018</v>
      </c>
      <c r="C29" s="456" t="s">
        <v>596</v>
      </c>
      <c r="D29" s="456" t="s">
        <v>951</v>
      </c>
      <c r="E29" s="456" t="s">
        <v>942</v>
      </c>
      <c r="F29" s="304"/>
      <c r="G29" s="304"/>
      <c r="H29" s="52"/>
      <c r="I29" s="52"/>
      <c r="J29" s="52"/>
      <c r="K29" s="52"/>
      <c r="L29" s="52"/>
      <c r="M29" s="52"/>
      <c r="N29" s="52"/>
      <c r="O29" s="52"/>
      <c r="P29" s="52"/>
      <c r="Q29" s="52"/>
      <c r="R29" s="52"/>
      <c r="S29" s="52"/>
    </row>
    <row r="30" spans="1:19" ht="18" customHeight="1" x14ac:dyDescent="0.35">
      <c r="B30" s="506" t="s">
        <v>842</v>
      </c>
      <c r="C30" s="37">
        <v>5</v>
      </c>
      <c r="D30" s="38" t="s">
        <v>823</v>
      </c>
      <c r="E30" s="32">
        <v>0</v>
      </c>
    </row>
    <row r="31" spans="1:19" ht="18" customHeight="1" x14ac:dyDescent="0.35">
      <c r="B31" s="506" t="s">
        <v>843</v>
      </c>
      <c r="C31" s="37">
        <v>3</v>
      </c>
      <c r="D31" s="38" t="s">
        <v>825</v>
      </c>
      <c r="E31" s="32">
        <v>0</v>
      </c>
    </row>
    <row r="32" spans="1:19" ht="18" customHeight="1" x14ac:dyDescent="0.35">
      <c r="B32" s="506" t="s">
        <v>844</v>
      </c>
      <c r="C32" s="37">
        <v>5</v>
      </c>
      <c r="D32" s="38" t="s">
        <v>826</v>
      </c>
      <c r="E32" s="32">
        <v>0</v>
      </c>
    </row>
    <row r="33" spans="1:19" ht="18" customHeight="1" x14ac:dyDescent="0.35">
      <c r="B33" s="506" t="s">
        <v>845</v>
      </c>
      <c r="C33" s="37">
        <v>3</v>
      </c>
      <c r="D33" s="38" t="s">
        <v>831</v>
      </c>
      <c r="E33" s="32">
        <v>0</v>
      </c>
    </row>
    <row r="34" spans="1:19" ht="18" customHeight="1" x14ac:dyDescent="0.35">
      <c r="B34" s="506" t="s">
        <v>1038</v>
      </c>
      <c r="C34" s="37">
        <v>3</v>
      </c>
      <c r="D34" s="38" t="s">
        <v>833</v>
      </c>
      <c r="E34" s="32">
        <v>0</v>
      </c>
    </row>
    <row r="35" spans="1:19" ht="18" customHeight="1" x14ac:dyDescent="0.35">
      <c r="B35" s="506" t="s">
        <v>847</v>
      </c>
      <c r="C35" s="37">
        <v>3</v>
      </c>
      <c r="D35" s="38">
        <v>45</v>
      </c>
      <c r="E35" s="32">
        <v>0</v>
      </c>
    </row>
    <row r="36" spans="1:19" ht="18" customHeight="1" x14ac:dyDescent="0.35">
      <c r="B36" s="506" t="s">
        <v>848</v>
      </c>
      <c r="C36" s="37">
        <v>2.7</v>
      </c>
      <c r="D36" s="38" t="s">
        <v>832</v>
      </c>
      <c r="E36" s="32">
        <v>0</v>
      </c>
    </row>
    <row r="37" spans="1:19" ht="18" customHeight="1" x14ac:dyDescent="0.35">
      <c r="B37" s="506" t="s">
        <v>1037</v>
      </c>
      <c r="C37" s="37">
        <v>2.2999999999999998</v>
      </c>
      <c r="D37" s="38" t="s">
        <v>824</v>
      </c>
      <c r="E37" s="32">
        <v>0</v>
      </c>
    </row>
    <row r="38" spans="1:19" ht="18" customHeight="1" x14ac:dyDescent="0.35">
      <c r="B38" s="506" t="s">
        <v>850</v>
      </c>
      <c r="C38" s="37">
        <v>2.8</v>
      </c>
      <c r="D38" s="38">
        <v>30</v>
      </c>
      <c r="E38" s="32">
        <v>0</v>
      </c>
    </row>
    <row r="39" spans="1:19" ht="18" customHeight="1" x14ac:dyDescent="0.35">
      <c r="B39" s="506" t="s">
        <v>851</v>
      </c>
      <c r="C39" s="37">
        <v>4</v>
      </c>
      <c r="D39" s="38" t="s">
        <v>830</v>
      </c>
      <c r="E39" s="32">
        <v>0</v>
      </c>
    </row>
    <row r="40" spans="1:19" ht="18" customHeight="1" x14ac:dyDescent="0.35">
      <c r="B40" s="506" t="s">
        <v>852</v>
      </c>
      <c r="C40" s="39">
        <v>1.1499999999999999</v>
      </c>
      <c r="D40" s="38">
        <v>40</v>
      </c>
      <c r="E40" s="32">
        <v>0</v>
      </c>
      <c r="G40" s="286"/>
    </row>
    <row r="41" spans="1:19" s="1" customFormat="1" ht="32.25" customHeight="1" x14ac:dyDescent="0.35">
      <c r="A41" s="456" t="s">
        <v>948</v>
      </c>
      <c r="B41" s="455" t="s">
        <v>853</v>
      </c>
      <c r="C41" s="456" t="s">
        <v>596</v>
      </c>
      <c r="D41" s="456" t="s">
        <v>871</v>
      </c>
      <c r="E41" s="456" t="s">
        <v>936</v>
      </c>
      <c r="F41" s="699" t="s">
        <v>1013</v>
      </c>
      <c r="G41" s="700"/>
      <c r="H41" s="52"/>
      <c r="I41" s="52"/>
      <c r="J41" s="52"/>
      <c r="K41" s="52"/>
      <c r="L41" s="52"/>
      <c r="M41" s="52"/>
      <c r="N41" s="52"/>
      <c r="O41" s="52"/>
      <c r="P41" s="52"/>
      <c r="Q41" s="52"/>
      <c r="R41" s="52"/>
      <c r="S41" s="52"/>
    </row>
    <row r="42" spans="1:19" s="16" customFormat="1" ht="25" x14ac:dyDescent="0.25">
      <c r="A42" s="40"/>
      <c r="B42" s="455" t="s">
        <v>957</v>
      </c>
      <c r="C42" s="456">
        <v>1.1000000000000001</v>
      </c>
      <c r="D42" s="455"/>
      <c r="E42" s="456" t="s">
        <v>956</v>
      </c>
      <c r="F42" s="456" t="s">
        <v>980</v>
      </c>
      <c r="G42" s="456" t="s">
        <v>783</v>
      </c>
      <c r="H42" s="321"/>
      <c r="I42" s="321"/>
      <c r="J42" s="321"/>
      <c r="K42" s="321"/>
      <c r="L42" s="321"/>
      <c r="M42" s="321"/>
      <c r="N42" s="321"/>
      <c r="O42" s="321"/>
      <c r="P42" s="321"/>
      <c r="Q42" s="321"/>
      <c r="R42" s="321"/>
      <c r="S42" s="321"/>
    </row>
    <row r="43" spans="1:19" ht="18" customHeight="1" x14ac:dyDescent="0.35">
      <c r="A43" s="41"/>
      <c r="B43" s="506" t="s">
        <v>857</v>
      </c>
      <c r="C43" s="42"/>
      <c r="D43" s="42" t="s">
        <v>854</v>
      </c>
      <c r="E43" s="32">
        <v>0</v>
      </c>
      <c r="F43" s="322">
        <f>E43*0.167*$E$3</f>
        <v>0</v>
      </c>
      <c r="G43" s="323"/>
    </row>
    <row r="44" spans="1:19" ht="18" customHeight="1" x14ac:dyDescent="0.35">
      <c r="A44" s="41"/>
      <c r="B44" s="506" t="s">
        <v>858</v>
      </c>
      <c r="C44" s="42"/>
      <c r="D44" s="42" t="s">
        <v>855</v>
      </c>
      <c r="E44" s="32">
        <v>0</v>
      </c>
      <c r="F44" s="322">
        <f>E44*0.333*$E$3</f>
        <v>0</v>
      </c>
      <c r="G44" s="324"/>
    </row>
    <row r="45" spans="1:19" ht="18" customHeight="1" x14ac:dyDescent="0.35">
      <c r="A45" s="41"/>
      <c r="B45" s="506" t="s">
        <v>859</v>
      </c>
      <c r="C45" s="42"/>
      <c r="D45" s="42" t="s">
        <v>856</v>
      </c>
      <c r="E45" s="32">
        <v>0</v>
      </c>
      <c r="F45" s="322">
        <f>E45*0.5*$E$3</f>
        <v>0</v>
      </c>
      <c r="G45" s="327">
        <f>SUM(F43:F45)</f>
        <v>0</v>
      </c>
      <c r="H45" s="320"/>
    </row>
    <row r="46" spans="1:19" s="16" customFormat="1" ht="25.15" customHeight="1" x14ac:dyDescent="0.25">
      <c r="A46" s="41"/>
      <c r="B46" s="455" t="s">
        <v>958</v>
      </c>
      <c r="C46" s="456">
        <v>1.28</v>
      </c>
      <c r="D46" s="455"/>
      <c r="E46" s="456" t="s">
        <v>934</v>
      </c>
      <c r="F46" s="456" t="s">
        <v>980</v>
      </c>
      <c r="G46" s="457" t="s">
        <v>789</v>
      </c>
      <c r="H46" s="321"/>
      <c r="I46" s="321"/>
      <c r="J46" s="321"/>
      <c r="K46" s="321"/>
      <c r="L46" s="321"/>
      <c r="M46" s="321"/>
      <c r="N46" s="321"/>
      <c r="O46" s="321"/>
      <c r="P46" s="321"/>
      <c r="Q46" s="321"/>
      <c r="R46" s="321"/>
      <c r="S46" s="321"/>
    </row>
    <row r="47" spans="1:19" ht="18" customHeight="1" x14ac:dyDescent="0.35">
      <c r="A47" s="41"/>
      <c r="B47" s="506" t="s">
        <v>857</v>
      </c>
      <c r="C47" s="42"/>
      <c r="D47" s="42" t="s">
        <v>854</v>
      </c>
      <c r="E47" s="32">
        <v>0</v>
      </c>
      <c r="F47" s="322">
        <f>E47*0.167*$E$3</f>
        <v>0</v>
      </c>
      <c r="G47" s="323"/>
    </row>
    <row r="48" spans="1:19" ht="18" customHeight="1" x14ac:dyDescent="0.35">
      <c r="A48" s="41"/>
      <c r="B48" s="506" t="s">
        <v>858</v>
      </c>
      <c r="C48" s="42"/>
      <c r="D48" s="42" t="s">
        <v>855</v>
      </c>
      <c r="E48" s="32">
        <v>0</v>
      </c>
      <c r="F48" s="322">
        <f>E48*0.333*$E$3</f>
        <v>0</v>
      </c>
      <c r="G48" s="324"/>
    </row>
    <row r="49" spans="1:19" ht="18" customHeight="1" x14ac:dyDescent="0.35">
      <c r="A49" s="41"/>
      <c r="B49" s="506" t="s">
        <v>859</v>
      </c>
      <c r="C49" s="42"/>
      <c r="D49" s="42" t="s">
        <v>856</v>
      </c>
      <c r="E49" s="32">
        <v>0</v>
      </c>
      <c r="F49" s="322">
        <f>E49*0.5*$E$3</f>
        <v>0</v>
      </c>
      <c r="G49" s="328">
        <f>SUM(F47:F49)</f>
        <v>0</v>
      </c>
      <c r="H49" s="311"/>
    </row>
    <row r="50" spans="1:19" s="16" customFormat="1" ht="25.15" customHeight="1" x14ac:dyDescent="0.25">
      <c r="A50" s="41"/>
      <c r="B50" s="455" t="s">
        <v>959</v>
      </c>
      <c r="C50" s="456">
        <v>1.47</v>
      </c>
      <c r="D50" s="455"/>
      <c r="E50" s="456" t="s">
        <v>935</v>
      </c>
      <c r="F50" s="456" t="s">
        <v>980</v>
      </c>
      <c r="G50" s="456" t="s">
        <v>790</v>
      </c>
      <c r="H50" s="321"/>
      <c r="I50" s="321"/>
      <c r="J50" s="321"/>
      <c r="K50" s="321"/>
      <c r="L50" s="321"/>
      <c r="M50" s="321"/>
      <c r="N50" s="321"/>
      <c r="O50" s="321"/>
      <c r="P50" s="321"/>
      <c r="Q50" s="321"/>
      <c r="R50" s="321"/>
      <c r="S50" s="321"/>
    </row>
    <row r="51" spans="1:19" ht="18" customHeight="1" x14ac:dyDescent="0.35">
      <c r="A51" s="41"/>
      <c r="B51" s="506" t="s">
        <v>857</v>
      </c>
      <c r="C51" s="42"/>
      <c r="D51" s="42" t="s">
        <v>854</v>
      </c>
      <c r="E51" s="32">
        <v>0</v>
      </c>
      <c r="F51" s="322">
        <f>E51*0.167*$E$3</f>
        <v>0</v>
      </c>
      <c r="G51" s="323"/>
    </row>
    <row r="52" spans="1:19" ht="18" customHeight="1" x14ac:dyDescent="0.35">
      <c r="B52" s="506" t="s">
        <v>858</v>
      </c>
      <c r="C52" s="42"/>
      <c r="D52" s="42" t="s">
        <v>855</v>
      </c>
      <c r="E52" s="32">
        <v>0</v>
      </c>
      <c r="F52" s="322">
        <f>E52*0.333*$E$3</f>
        <v>0</v>
      </c>
      <c r="G52" s="324"/>
    </row>
    <row r="53" spans="1:19" ht="18" customHeight="1" x14ac:dyDescent="0.35">
      <c r="B53" s="506" t="s">
        <v>859</v>
      </c>
      <c r="C53" s="42"/>
      <c r="D53" s="42" t="s">
        <v>856</v>
      </c>
      <c r="E53" s="32">
        <v>0</v>
      </c>
      <c r="F53" s="322">
        <f>E53*0.5*$E$3</f>
        <v>0</v>
      </c>
      <c r="G53" s="327">
        <f>SUM(F51:F53)</f>
        <v>0</v>
      </c>
      <c r="H53" s="311"/>
    </row>
    <row r="54" spans="1:19" s="1" customFormat="1" ht="32.25" customHeight="1" x14ac:dyDescent="0.35">
      <c r="A54" s="456" t="s">
        <v>1028</v>
      </c>
      <c r="B54" s="455" t="s">
        <v>860</v>
      </c>
      <c r="C54" s="462" t="s">
        <v>598</v>
      </c>
      <c r="D54" s="463"/>
      <c r="E54" s="456" t="s">
        <v>937</v>
      </c>
      <c r="F54" s="304"/>
      <c r="G54" s="304"/>
      <c r="H54" s="52"/>
      <c r="I54" s="52"/>
      <c r="J54" s="52"/>
      <c r="K54" s="52"/>
      <c r="L54" s="52"/>
      <c r="M54" s="52"/>
      <c r="N54" s="52"/>
      <c r="O54" s="52"/>
      <c r="P54" s="52"/>
      <c r="Q54" s="52"/>
      <c r="R54" s="52"/>
      <c r="S54" s="52"/>
    </row>
    <row r="55" spans="1:19" ht="18.399999999999999" customHeight="1" x14ac:dyDescent="0.35">
      <c r="B55" s="506" t="s">
        <v>1014</v>
      </c>
      <c r="C55" s="34">
        <v>50</v>
      </c>
      <c r="D55" s="31"/>
      <c r="E55" s="413">
        <f>VLOOKUP($E$1,INITIAL_EST,269,FALSE)</f>
        <v>0</v>
      </c>
    </row>
    <row r="56" spans="1:19" ht="18.399999999999999" customHeight="1" x14ac:dyDescent="0.35">
      <c r="B56" s="506" t="s">
        <v>1015</v>
      </c>
      <c r="C56" s="34">
        <v>50</v>
      </c>
      <c r="D56" s="31"/>
      <c r="E56" s="413">
        <f>VLOOKUP($E$1,INITIAL_EST,270,FALSE)</f>
        <v>0</v>
      </c>
    </row>
    <row r="57" spans="1:19" s="1" customFormat="1" ht="32.25" customHeight="1" x14ac:dyDescent="0.35">
      <c r="A57" s="456">
        <v>48.103999999999999</v>
      </c>
      <c r="B57" s="455" t="s">
        <v>938</v>
      </c>
      <c r="C57" s="455" t="s">
        <v>596</v>
      </c>
      <c r="D57" s="458"/>
      <c r="E57" s="456" t="s">
        <v>943</v>
      </c>
      <c r="F57" s="304"/>
      <c r="G57" s="304"/>
      <c r="H57" s="52"/>
      <c r="I57" s="52"/>
      <c r="J57" s="52"/>
      <c r="K57" s="52"/>
      <c r="L57" s="52"/>
      <c r="M57" s="52"/>
      <c r="N57" s="52"/>
      <c r="O57" s="52"/>
      <c r="P57" s="52"/>
      <c r="Q57" s="52"/>
      <c r="R57" s="52"/>
      <c r="S57" s="52"/>
    </row>
    <row r="58" spans="1:19" ht="18" customHeight="1" x14ac:dyDescent="0.35">
      <c r="B58" s="508" t="s">
        <v>553</v>
      </c>
      <c r="C58" s="43" t="s">
        <v>863</v>
      </c>
      <c r="D58" s="35"/>
      <c r="E58" s="412">
        <f>VLOOKUP($E$1,INITIAL_EST,231,FALSE)</f>
        <v>0</v>
      </c>
      <c r="F58" s="311"/>
    </row>
    <row r="59" spans="1:19" ht="18" customHeight="1" x14ac:dyDescent="0.35">
      <c r="B59" s="506" t="s">
        <v>861</v>
      </c>
      <c r="C59" s="43">
        <v>0.23749999999999999</v>
      </c>
      <c r="D59" s="31"/>
      <c r="E59" s="412">
        <f>VLOOKUP($E$1,INITIAL_EST,232,FALSE)</f>
        <v>0</v>
      </c>
    </row>
    <row r="60" spans="1:19" ht="18" customHeight="1" x14ac:dyDescent="0.35">
      <c r="B60" s="506" t="s">
        <v>862</v>
      </c>
      <c r="C60" s="43" t="s">
        <v>864</v>
      </c>
      <c r="D60" s="31"/>
      <c r="E60" s="412">
        <f>VLOOKUP($E$1,INITIAL_EST,233,FALSE)</f>
        <v>0</v>
      </c>
    </row>
    <row r="61" spans="1:19" ht="18" customHeight="1" x14ac:dyDescent="0.35">
      <c r="B61" s="506" t="s">
        <v>685</v>
      </c>
      <c r="C61" s="43">
        <v>0.26250000000000001</v>
      </c>
      <c r="D61" s="31"/>
      <c r="E61" s="412">
        <f>VLOOKUP($E$1,INITIAL_EST,234,FALSE)</f>
        <v>0</v>
      </c>
    </row>
    <row r="62" spans="1:19" ht="18" customHeight="1" x14ac:dyDescent="0.35">
      <c r="B62" s="506" t="s">
        <v>552</v>
      </c>
      <c r="C62" s="43" t="s">
        <v>865</v>
      </c>
      <c r="D62" s="31"/>
      <c r="E62" s="412">
        <f>VLOOKUP($E$1,INITIAL_EST,235,FALSE)</f>
        <v>0</v>
      </c>
    </row>
    <row r="63" spans="1:19" s="1" customFormat="1" ht="32.25" customHeight="1" x14ac:dyDescent="0.35">
      <c r="A63" s="456" t="s">
        <v>946</v>
      </c>
      <c r="B63" s="509" t="s">
        <v>870</v>
      </c>
      <c r="C63" s="464"/>
      <c r="D63" s="463"/>
      <c r="E63" s="455">
        <f>VLOOKUP($E$1,INITIAL_EST,15,FALSE)</f>
        <v>0</v>
      </c>
      <c r="F63" s="304"/>
      <c r="G63" s="304"/>
      <c r="H63" s="52"/>
      <c r="I63" s="52"/>
      <c r="J63" s="52"/>
      <c r="K63" s="52"/>
      <c r="L63" s="52"/>
      <c r="M63" s="52"/>
      <c r="N63" s="52"/>
      <c r="O63" s="52"/>
      <c r="P63" s="52"/>
      <c r="Q63" s="52"/>
      <c r="R63" s="52"/>
      <c r="S63" s="52"/>
    </row>
    <row r="64" spans="1:19" s="1" customFormat="1" ht="32.25" customHeight="1" x14ac:dyDescent="0.35">
      <c r="A64" s="29" t="s">
        <v>1022</v>
      </c>
      <c r="B64" s="25" t="s">
        <v>821</v>
      </c>
      <c r="C64" s="44"/>
      <c r="D64" s="45"/>
      <c r="E64" s="412" t="str">
        <f>VLOOKUP(E1,DATA!A:F,6,FALSE)</f>
        <v>No</v>
      </c>
      <c r="F64" s="304"/>
      <c r="G64" s="304"/>
      <c r="H64" s="52"/>
      <c r="I64" s="52"/>
      <c r="J64" s="52"/>
      <c r="K64" s="52"/>
      <c r="L64" s="52"/>
      <c r="M64" s="52"/>
      <c r="N64" s="52"/>
      <c r="O64" s="52"/>
      <c r="P64" s="52"/>
      <c r="Q64" s="52"/>
      <c r="R64" s="52"/>
      <c r="S64" s="52"/>
    </row>
    <row r="65" spans="1:19" s="1" customFormat="1" ht="32.25" customHeight="1" x14ac:dyDescent="0.35">
      <c r="A65" s="456" t="s">
        <v>946</v>
      </c>
      <c r="B65" s="509" t="s">
        <v>1021</v>
      </c>
      <c r="C65" s="464"/>
      <c r="D65" s="463"/>
      <c r="E65" s="456" t="s">
        <v>944</v>
      </c>
      <c r="F65" s="304"/>
      <c r="G65" s="304"/>
      <c r="H65" s="52"/>
      <c r="I65" s="52"/>
      <c r="J65" s="52"/>
      <c r="K65" s="52"/>
      <c r="L65" s="52"/>
      <c r="M65" s="52"/>
      <c r="N65" s="52"/>
      <c r="O65" s="52"/>
      <c r="P65" s="52"/>
      <c r="Q65" s="52"/>
      <c r="R65" s="52"/>
      <c r="S65" s="52"/>
    </row>
    <row r="66" spans="1:19" ht="18" customHeight="1" x14ac:dyDescent="0.35">
      <c r="A66" s="46" t="s">
        <v>950</v>
      </c>
      <c r="B66" s="25" t="s">
        <v>949</v>
      </c>
      <c r="C66" s="47"/>
      <c r="D66" s="48"/>
      <c r="E66" s="414">
        <f>VLOOKUP($E$1,INITIAL_EST,220,FALSE)</f>
        <v>0</v>
      </c>
    </row>
    <row r="67" spans="1:19" ht="18" customHeight="1" x14ac:dyDescent="0.35">
      <c r="A67" s="49">
        <v>48.112000000000002</v>
      </c>
      <c r="B67" s="25" t="s">
        <v>1023</v>
      </c>
      <c r="C67" s="47"/>
      <c r="D67" s="48"/>
      <c r="E67" s="414">
        <f>VLOOKUP($E$1,INITIAL_EST,221,FALSE)</f>
        <v>0</v>
      </c>
    </row>
    <row r="68" spans="1:19" ht="18" customHeight="1" x14ac:dyDescent="0.35">
      <c r="A68" s="49">
        <v>48.113999999999997</v>
      </c>
      <c r="B68" s="25" t="s">
        <v>1024</v>
      </c>
      <c r="C68" s="47"/>
      <c r="D68" s="48"/>
      <c r="E68" s="414">
        <f>VLOOKUP($E$1,INITIAL_EST,222,FALSE)</f>
        <v>0</v>
      </c>
    </row>
    <row r="69" spans="1:19" ht="19.5" customHeight="1" x14ac:dyDescent="0.35">
      <c r="A69" s="49">
        <v>48.152000000000001</v>
      </c>
      <c r="B69" s="25" t="s">
        <v>1025</v>
      </c>
      <c r="C69" s="47"/>
      <c r="D69" s="48"/>
      <c r="E69" s="414">
        <f>VLOOKUP($E$1,INITIAL_EST,79,FALSE)</f>
        <v>0</v>
      </c>
      <c r="F69" s="325"/>
      <c r="G69" s="329"/>
      <c r="H69" s="326"/>
    </row>
    <row r="70" spans="1:19" ht="18" customHeight="1" x14ac:dyDescent="0.35">
      <c r="A70" s="49">
        <v>48.155000000000001</v>
      </c>
      <c r="B70" s="25" t="s">
        <v>1026</v>
      </c>
      <c r="C70" s="47"/>
      <c r="D70" s="48"/>
      <c r="E70" s="414">
        <f>VLOOKUP($E$1,INITIAL_EST,218,FALSE)</f>
        <v>0</v>
      </c>
    </row>
    <row r="71" spans="1:19" ht="18" customHeight="1" x14ac:dyDescent="0.35">
      <c r="A71" s="49">
        <v>48.155999999999999</v>
      </c>
      <c r="B71" s="25" t="s">
        <v>1027</v>
      </c>
      <c r="C71" s="47"/>
      <c r="D71" s="48"/>
      <c r="E71" s="414">
        <f>VLOOKUP($E$1,INITIAL_EST,219,FALSE)</f>
        <v>0</v>
      </c>
    </row>
    <row r="72" spans="1:19" ht="18" customHeight="1" x14ac:dyDescent="0.35">
      <c r="A72" s="40"/>
      <c r="B72" s="510" t="s">
        <v>955</v>
      </c>
      <c r="C72" s="50"/>
      <c r="D72" s="45"/>
      <c r="E72" s="415"/>
    </row>
    <row r="73" spans="1:19" ht="18" customHeight="1" x14ac:dyDescent="0.35">
      <c r="B73" s="25" t="s">
        <v>866</v>
      </c>
      <c r="C73" s="50"/>
      <c r="D73" s="48"/>
      <c r="E73" s="414">
        <f>VLOOKUP($E$1,INITIAL_EST,170,FALSE)</f>
        <v>0</v>
      </c>
    </row>
    <row r="74" spans="1:19" ht="18" customHeight="1" x14ac:dyDescent="0.35">
      <c r="B74" s="25" t="s">
        <v>867</v>
      </c>
      <c r="C74" s="50"/>
      <c r="D74" s="48"/>
      <c r="E74" s="414">
        <f>VLOOKUP($E$1,INITIAL_EST,169,FALSE)</f>
        <v>0</v>
      </c>
    </row>
    <row r="75" spans="1:19" ht="18" customHeight="1" x14ac:dyDescent="0.35">
      <c r="B75" s="25" t="s">
        <v>868</v>
      </c>
      <c r="C75" s="50"/>
      <c r="D75" s="48"/>
      <c r="E75" s="414">
        <f>VLOOKUP($E$1,INITIAL_EST,171,FALSE)</f>
        <v>0</v>
      </c>
    </row>
    <row r="76" spans="1:19" ht="18" customHeight="1" x14ac:dyDescent="0.35">
      <c r="B76" s="25" t="s">
        <v>869</v>
      </c>
      <c r="C76" s="50"/>
      <c r="D76" s="48"/>
      <c r="E76" s="414">
        <f>VLOOKUP($E$1,INITIAL_EST,174,FALSE)</f>
        <v>0</v>
      </c>
    </row>
    <row r="77" spans="1:19" ht="18" customHeight="1" x14ac:dyDescent="0.35">
      <c r="A77" s="29">
        <v>48.151000000000003</v>
      </c>
      <c r="B77" s="25" t="s">
        <v>472</v>
      </c>
      <c r="C77" s="50"/>
      <c r="D77" s="45"/>
      <c r="E77" s="414">
        <f>SUM(E73:E76)</f>
        <v>0</v>
      </c>
    </row>
  </sheetData>
  <sheetProtection algorithmName="SHA-512" hashValue="6vxmJKLXMI+OpDMWhxRzF2XMj69xb0bJpB/DdkGuHGRHZ27aHThTo0TPN41mQo0KYDmSaQNSvn8sOcCWgU9qKg==" saltValue="DpVBC/IOWDzmTHXHbCygWQ==" spinCount="100000" sheet="1" objects="1" scenarios="1"/>
  <mergeCells count="2">
    <mergeCell ref="C1:D1"/>
    <mergeCell ref="F41:G41"/>
  </mergeCells>
  <phoneticPr fontId="6" type="noConversion"/>
  <dataValidations xWindow="1744" yWindow="999" count="26">
    <dataValidation type="custom" allowBlank="1" showInputMessage="1" showErrorMessage="1" errorTitle="Value Error" error="Students in this instructional setting cannot exceed Total Enrollment.  Also, the data required is students enrolled, not ADA or FTE's._x000a_" sqref="E24:E28 E35:E40 E30:E33 E18:E22 E14:E16" xr:uid="{CC87186C-BC27-4A27-8F3C-A71B56D7D3D5}">
      <formula1>AND(E14&lt;=E$5,MOD(E14,0.5)=0)</formula1>
    </dataValidation>
    <dataValidation errorStyle="warning" allowBlank="1" showInputMessage="1" showErrorMessage="1" sqref="E73:E76 E11 E57:E63 E67:E71" xr:uid="{A41BC670-8A07-4957-9BD4-A5203148BD63}"/>
    <dataValidation type="custom" showInputMessage="1" showErrorMessage="1" errorTitle="Invalid Value" error="Total Enrollment entered must be whole number or end in .5 decimal. No data entry of ADA." promptTitle="Total Enrollment" sqref="E5" xr:uid="{7CBBF372-BE4E-4339-A487-5C448EF1703B}">
      <formula1>AND(MOD(E5,0.5)=0)</formula1>
    </dataValidation>
    <dataValidation type="custom" allowBlank="1" showInputMessage="1" showErrorMessage="1" errorTitle="Value Error" error="Students enrolled in V1 cannot exceed Total Enrollment.  Additionally the data entered here must be students enrolled, not ADA or FTE's._x000a_" promptTitle="Approved Level Three and Four V3" prompt="Number of students in an Approved Level One and Two CTE courses for an average of 135 to 180+ minutes per day." sqref="E53" xr:uid="{712F0B13-6D42-4B3B-8385-CF9390DCD3BF}">
      <formula1>AND(E53&lt;=E$5,MOD(E53,0.5)=0)</formula1>
    </dataValidation>
    <dataValidation type="whole" allowBlank="1" showInputMessage="1" showErrorMessage="1" error="Dyslexia Enrollment enrollment cannot be greater than Total Enrollment and must be a whole number. No data entry of half students, ADA or FTE." promptTitle="Dyslexia" sqref="E6:E7" xr:uid="{1ED286F8-89F8-456A-AC1F-B3F24260EF0D}">
      <formula1>0</formula1>
      <formula2>E5</formula2>
    </dataValidation>
    <dataValidation type="whole" allowBlank="1" showInputMessage="1" showErrorMessage="1" error="K through 3 Early Education enrollment cannot be greater than Total Enrollment and must be a whole number.  No data entry of half students, ADA or FTE." promptTitle="Early Education (K-3)" sqref="E8" xr:uid="{5E6B6990-EB98-45F9-93F1-92C7B4A82085}">
      <formula1>0</formula1>
      <formula2>E5</formula2>
    </dataValidation>
    <dataValidation type="custom" allowBlank="1" showInputMessage="1" showErrorMessage="1" errorTitle="Value Error" error="Residential Placement Facility Enrollment must not exceed Total Enrollment.  Additionally the data entered here must be students enrolled, not ADA or FTE's._x000a_" sqref="E10" xr:uid="{30AF3AC4-D02B-4640-9BD3-401B1235367E}">
      <formula1>AND(E10&lt;=E$5,MOD(E10,0.5)=0)</formula1>
    </dataValidation>
    <dataValidation type="custom" allowBlank="1" showInputMessage="1" showErrorMessage="1" errorTitle="Value Error" error="Students in this instructional setting cannot exceed Total Enrollment.  Also, the data required is students enrolled, not ADA or FTE's._x000a__x000a_" sqref="E23" xr:uid="{961A6620-DB4E-44C0-90AD-8CE8749110CF}">
      <formula1>AND(E23&lt;=E$5,MOD(E23,0.5)=0)</formula1>
    </dataValidation>
    <dataValidation type="custom" allowBlank="1" showInputMessage="1" showErrorMessage="1" errorTitle="Value Error" error="Students in this instructional setting cannot exceed Total Enrollment.  Also, the data required is students enrolled, not ADA or FTE's._x000a_FTE's._x000a_" sqref="E34" xr:uid="{9A9B2CBA-7507-4124-87E2-F5ABEDD4F29C}">
      <formula1>AND(E34&lt;=E$5,MOD(E34,0.5)=0)</formula1>
    </dataValidation>
    <dataValidation allowBlank="1" showInputMessage="1" showErrorMessage="1" errorTitle="Value Error" promptTitle="New Tech Network (NTN)" sqref="E56" xr:uid="{2EF854CE-A508-41CF-8DA2-8A0FA364A425}"/>
    <dataValidation type="custom" allowBlank="1" showInputMessage="1" showErrorMessage="1" errorTitle="Value Error" error="Students in this instructional setting cannot exceed Total Enrollment.  Also, the data required is students enrolled, not ADA or FTE's._x000a_" promptTitle="Not an Approved CTE Program V3" prompt="Number of students in an Not an Approved CTE course for an average of 135 to 180+ minutes per day." sqref="E45" xr:uid="{2618F727-361C-4CE9-83E8-3A29CDA408F1}">
      <formula1>AND(E45&lt;=$E$5,MOD(E45,0.5)=0)</formula1>
    </dataValidation>
    <dataValidation allowBlank="1" showInputMessage="1" showErrorMessage="1" promptTitle="Percent Rate of Attendance" prompt="Defaults to 95.000%. _x000a__x000a_TSDS PDM3-130-008 or Foundation School Program ADA Projection Report show percent rate of attendance data." sqref="E3" xr:uid="{96CA4A10-C121-40AD-8FE4-C6DF14547368}"/>
    <dataValidation type="custom" allowBlank="1" showInputMessage="1" showErrorMessage="1" errorTitle="Value Error" error="The number of students enrolled in this program cannot be greater than Total Number of Students Enrolled." sqref="E11:E12" xr:uid="{3F42F069-26C7-4164-BDD5-574C6522AF98}">
      <formula1>AND(E11&lt;=E$5)</formula1>
    </dataValidation>
    <dataValidation type="custom" allowBlank="1" showInputMessage="1" showErrorMessage="1" errorTitle="Value Error" error="Pregnancy Related enrollment cannot exceed Total Enrollment.  Additionally the data entered here must be students enrolled, not ADA or FTE's._x000a_" sqref="E11:E12" xr:uid="{C3087EBF-D81A-4DC2-90DD-87253FDAE8A4}">
      <formula1>AND(E11&lt;=E$5,MOD(E11,0.5)=0)</formula1>
    </dataValidation>
    <dataValidation type="custom" allowBlank="1" showInputMessage="1" showErrorMessage="1" errorTitle="Value Error" error="Dropout Recovery School  enrollment cannot exceed Total Enrollment. Additionally the data entered here must be students enrolled, not ADA or FTE's._x000a_" sqref="E9" xr:uid="{F9197986-30A5-4086-9B43-F1A7DCD04BBD}">
      <formula1>AND(E9&lt;=E$5,MOD(E9,0.5)=0)</formula1>
    </dataValidation>
    <dataValidation type="custom" operator="greaterThan" allowBlank="1" showInputMessage="1" showErrorMessage="1" errorTitle="Value Error" error="Students in this instructional setting cannot exceed Total Enrollment.  Also, the data required is students enrolled, not ADA or FTE's._x000a_" promptTitle="Not an Approved CTE Program V1" prompt="Number of students in an Not an Approved CTE course for an average of 45 to 89 minutes per day." sqref="E43" xr:uid="{7307B60D-39E8-4517-B14A-169125526115}">
      <formula1>AND(E43&lt;=$E$5)</formula1>
    </dataValidation>
    <dataValidation type="custom" allowBlank="1" showInputMessage="1" showErrorMessage="1" errorTitle="Value Error" error="Students in this instructional setting cannot exceed Total Enrollment.  Also, the data required is students enrolled, not ADA or FTE's._x000a_" promptTitle="Not an Approved CTE Program V2" prompt="Number of students in an Not an Approved CTE course for an average of 90 to 134 minutes per day." sqref="E44" xr:uid="{0511F813-8A64-44BD-B94E-AFA5A802FA66}">
      <formula1>AND(E44&lt;=$E$5,MOD(E44,0.5)=0)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1" prompt="Number of students in an Approved Level One and Two CTE courses for an average of 45 to 89 minutes per day." sqref="E47" xr:uid="{1F978237-AAA0-4AD5-A375-39C279E85CF1}">
      <formula1>AND(E47&lt;=E$5,MOD(E47,0.5)=0)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2" prompt="Number of students in an Approved Level One and Two CTE courses for an average of 90 to 134 minutes per day." sqref="E48" xr:uid="{A937DD2C-EB36-45ED-9B5A-1F73FF2631A9}">
      <formula1>AND(E48&lt;=E$5,MOD(E48,0.5)=0)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One and Two V3" prompt="Number of students in an Approved Level One and Two CTE courses for an average of 135 to 180+ minutes per day." sqref="E49" xr:uid="{CBCFC90D-2EF5-4747-8A0E-FB6194302335}">
      <formula1>AND(E49&lt;=E$5,MOD(E49,0.5)=0)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1" prompt="Number of students in an Approved Level Three and Four CTE courses for an average of 45 to 89 minutes per day." sqref="E51" xr:uid="{683FDA31-DFB9-4A5C-8BF7-AD97B66E94CE}">
      <formula1>AND(E51&lt;=E$5,MOD(E51,0.5)=0)</formula1>
    </dataValidation>
    <dataValidation type="custom" allowBlank="1" showInputMessage="1" showErrorMessage="1" errorTitle="Value Error" error="Students in this instructional setting cannot exceed Total Enrollment.  Also, the data required is students enrolled, not ADA or FTE's._x000a_" promptTitle="Approved Level Three and Four V2" prompt="Number of students in an Approved Level One and Two CTE courses for an average of 90 to 134 minutes per day." sqref="E52" xr:uid="{851147C1-215D-4E72-8C2A-47BDAFCE8753}">
      <formula1>AND(E52&lt;=E$5,MOD(E52,0.5)=0)</formula1>
    </dataValidation>
    <dataValidation showInputMessage="1" showErrorMessage="1" errorTitle="Six Digit County District Number" error="Enter a valid six digit county district number.  No dashes." sqref="E1" xr:uid="{B88F1F83-3775-4BAB-9365-7B5A2E7FFD23}"/>
    <dataValidation showInputMessage="1" showErrorMessage="1" errorTitle="Value Error" error="Students in this instructional setting cannot exceed Total Enrollment.  Also, the data required is students enrolled, not ADA or FTE's._x000a_" sqref="E12" xr:uid="{8A5FE4D1-6D40-428B-84CD-D3750FBE3F24}"/>
    <dataValidation allowBlank="1" showInputMessage="1" showErrorMessage="1" promptTitle="Pathways in Technology" sqref="E55" xr:uid="{F57A6D90-2C3E-4DCA-863A-5735A561A740}"/>
    <dataValidation type="whole" errorStyle="warning" allowBlank="1" showInputMessage="1" showErrorMessage="1" sqref="E12" xr:uid="{7122643C-2EFB-4FFF-8F55-73ADFCC8E423}">
      <formula1>0</formula1>
      <formula2>E5</formula2>
    </dataValidation>
  </dataValidations>
  <printOptions gridLines="1"/>
  <pageMargins left="0.7" right="0.7" top="0.75" bottom="0.75" header="0.3" footer="0.3"/>
  <pageSetup scale="87" fitToHeight="0" orientation="portrait" r:id="rId1"/>
  <headerFooter alignWithMargins="0">
    <oddHeader>&amp;C&amp;"veranda,Regular"&amp;14 &amp;"Arial,Bold"&amp;10Enrollment Estimates
2023-2024 School Year</oddHeader>
  </headerFooter>
  <rowBreaks count="2" manualBreakCount="2">
    <brk id="28" max="4" man="1"/>
    <brk id="56" max="4" man="1"/>
  </rowBreaks>
  <ignoredErrors>
    <ignoredError sqref="D30:D40 C58:C62 A66 D18:D28 C14 C10:C11 C8 C5:C6" numberStoredAsText="1"/>
    <ignoredError sqref="E73:E77 E69 E70:E72" unlockedFormula="1"/>
  </ignoredError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79998168889431442"/>
    <pageSetUpPr fitToPage="1"/>
  </sheetPr>
  <dimension ref="A1:P173"/>
  <sheetViews>
    <sheetView zoomScaleNormal="100" zoomScalePageLayoutView="85" workbookViewId="0">
      <pane ySplit="3" topLeftCell="A4" activePane="bottomLeft" state="frozen"/>
      <selection pane="bottomLeft" activeCell="I63" sqref="I63"/>
    </sheetView>
  </sheetViews>
  <sheetFormatPr defaultColWidth="8.7265625" defaultRowHeight="19.149999999999999" customHeight="1" x14ac:dyDescent="0.35"/>
  <cols>
    <col min="1" max="1" width="62.26953125" style="156" customWidth="1"/>
    <col min="2" max="2" width="11.36328125" style="154" customWidth="1"/>
    <col min="3" max="6" width="20.54296875" style="52" customWidth="1"/>
    <col min="7" max="7" width="12.453125" style="2" bestFit="1" customWidth="1"/>
    <col min="8" max="8" width="8.7265625" style="2"/>
    <col min="9" max="9" width="18.08984375" style="2" bestFit="1" customWidth="1"/>
    <col min="10" max="13" width="8.7265625" style="2"/>
    <col min="14" max="14" width="10.81640625" style="2" bestFit="1" customWidth="1"/>
    <col min="15" max="16" width="10" style="2" bestFit="1" customWidth="1"/>
    <col min="17" max="16384" width="8.7265625" style="2"/>
  </cols>
  <sheetData>
    <row r="1" spans="1:6" customFormat="1" ht="12.5" x14ac:dyDescent="0.25">
      <c r="A1" s="160"/>
    </row>
    <row r="2" spans="1:6" ht="37.15" customHeight="1" thickBot="1" x14ac:dyDescent="0.4">
      <c r="A2" s="466" t="s">
        <v>1072</v>
      </c>
      <c r="B2" s="467" t="s">
        <v>60</v>
      </c>
      <c r="C2" s="468" t="s">
        <v>970</v>
      </c>
      <c r="D2" s="469" t="s">
        <v>964</v>
      </c>
      <c r="E2" s="468" t="s">
        <v>1091</v>
      </c>
      <c r="F2" s="470" t="s">
        <v>873</v>
      </c>
    </row>
    <row r="3" spans="1:6" s="1" customFormat="1" ht="37.15" customHeight="1" thickTop="1" thickBot="1" x14ac:dyDescent="0.4">
      <c r="A3" s="221" t="str">
        <f>VLOOKUP(B3,DATA!1:1048576,2,FALSE)</f>
        <v>CHARTER DISTRICT</v>
      </c>
      <c r="B3" s="416">
        <f>Estimates!E1</f>
        <v>0</v>
      </c>
      <c r="C3" s="449" t="s">
        <v>1085</v>
      </c>
      <c r="D3" s="223"/>
      <c r="E3" s="449" t="s">
        <v>1934</v>
      </c>
      <c r="F3" s="224"/>
    </row>
    <row r="4" spans="1:6" s="1" customFormat="1" ht="19.149999999999999" customHeight="1" thickTop="1" x14ac:dyDescent="0.35">
      <c r="A4" s="163" t="s">
        <v>574</v>
      </c>
      <c r="B4" s="164"/>
      <c r="C4" s="165">
        <f>VLOOKUP(Estimates!E1,INITIAL_EST,6,FALSE)</f>
        <v>0</v>
      </c>
      <c r="D4" s="166">
        <f>Estimates!E5*Estimates!E3</f>
        <v>0</v>
      </c>
      <c r="E4" s="167">
        <f>VLOOKUP(Estimates!E1,CASH_FLOW,7,FALSE)</f>
        <v>0</v>
      </c>
      <c r="F4" s="168">
        <v>0</v>
      </c>
    </row>
    <row r="5" spans="1:6" ht="19.149999999999999" customHeight="1" x14ac:dyDescent="0.35">
      <c r="A5" s="169" t="s">
        <v>878</v>
      </c>
      <c r="B5" s="56" t="s">
        <v>596</v>
      </c>
      <c r="C5" s="57"/>
      <c r="D5" s="58"/>
      <c r="E5" s="59"/>
      <c r="F5" s="57"/>
    </row>
    <row r="6" spans="1:6" ht="15" customHeight="1" x14ac:dyDescent="0.35">
      <c r="A6" s="60" t="s">
        <v>827</v>
      </c>
      <c r="B6" s="56">
        <v>5</v>
      </c>
      <c r="C6" s="57">
        <f>VLOOKUP(Estimates!E1,INITIAL_EST,130,FALSE)</f>
        <v>0</v>
      </c>
      <c r="D6" s="58">
        <f>Estimates!E18*Estimates!$E$3*1/6</f>
        <v>0</v>
      </c>
      <c r="E6" s="61">
        <f>VLOOKUP(Estimates!E1,CASH_FLOW,131,FALSE)</f>
        <v>0</v>
      </c>
      <c r="F6" s="62">
        <v>0</v>
      </c>
    </row>
    <row r="7" spans="1:6" ht="15" customHeight="1" x14ac:dyDescent="0.35">
      <c r="A7" s="60" t="s">
        <v>828</v>
      </c>
      <c r="B7" s="56">
        <v>3</v>
      </c>
      <c r="C7" s="57">
        <f>VLOOKUP(Estimates!E1,INITIAL_EST,131,FALSE)</f>
        <v>0</v>
      </c>
      <c r="D7" s="58">
        <f>Estimates!E19*Estimates!$E$3*4.5/6</f>
        <v>0</v>
      </c>
      <c r="E7" s="61">
        <f>VLOOKUP(Estimates!E1,CASH_FLOW,132,FALSE)</f>
        <v>0</v>
      </c>
      <c r="F7" s="62">
        <v>0</v>
      </c>
    </row>
    <row r="8" spans="1:6" ht="15" customHeight="1" x14ac:dyDescent="0.35">
      <c r="A8" s="60" t="s">
        <v>829</v>
      </c>
      <c r="B8" s="56">
        <v>5</v>
      </c>
      <c r="C8" s="57">
        <f>VLOOKUP(Estimates!E1,INITIAL_EST,143,FALSE)</f>
        <v>0</v>
      </c>
      <c r="D8" s="58">
        <f>Estimates!E20*Estimates!$E$3*0.25/6</f>
        <v>0</v>
      </c>
      <c r="E8" s="61">
        <f>VLOOKUP(Estimates!E1,CASH_FLOW,144,FALSE)</f>
        <v>0</v>
      </c>
      <c r="F8" s="62">
        <v>0</v>
      </c>
    </row>
    <row r="9" spans="1:6" ht="15" customHeight="1" x14ac:dyDescent="0.35">
      <c r="A9" s="60" t="s">
        <v>834</v>
      </c>
      <c r="B9" s="56">
        <v>3</v>
      </c>
      <c r="C9" s="57">
        <f>VLOOKUP(Estimates!E1,INITIAL_EST,140,FALSE)</f>
        <v>0</v>
      </c>
      <c r="D9" s="58">
        <f>Estimates!E21*Estimates!$E$3*2.859/6</f>
        <v>0</v>
      </c>
      <c r="E9" s="61">
        <f>VLOOKUP(Estimates!E1,CASH_FLOW,141,FALSE)</f>
        <v>0</v>
      </c>
      <c r="F9" s="62">
        <v>0</v>
      </c>
    </row>
    <row r="10" spans="1:6" ht="15" customHeight="1" x14ac:dyDescent="0.35">
      <c r="A10" s="60" t="s">
        <v>835</v>
      </c>
      <c r="B10" s="56">
        <v>3</v>
      </c>
      <c r="C10" s="57">
        <f>VLOOKUP(Estimates!E1,INITIAL_EST,142,FALSE)</f>
        <v>0</v>
      </c>
      <c r="D10" s="58">
        <f>Estimates!E22*Estimates!$E$3*2.859/6</f>
        <v>0</v>
      </c>
      <c r="E10" s="61">
        <f>VLOOKUP(Estimates!E1,CASH_FLOW,143,FALSE)</f>
        <v>0</v>
      </c>
      <c r="F10" s="62">
        <v>0</v>
      </c>
    </row>
    <row r="11" spans="1:6" ht="15" customHeight="1" x14ac:dyDescent="0.35">
      <c r="A11" s="60" t="s">
        <v>837</v>
      </c>
      <c r="B11" s="56">
        <v>2.7</v>
      </c>
      <c r="C11" s="54">
        <f>VLOOKUP(Estimates!E1,INITIAL_EST,136,FALSE)</f>
        <v>0</v>
      </c>
      <c r="D11" s="58">
        <f>Estimates!E24*Estimates!$E$3*4.25/6</f>
        <v>0</v>
      </c>
      <c r="E11" s="61">
        <f>VLOOKUP(Estimates!E1,CASH_FLOW,137,FALSE)</f>
        <v>0</v>
      </c>
      <c r="F11" s="62">
        <v>0</v>
      </c>
    </row>
    <row r="12" spans="1:6" ht="15" customHeight="1" x14ac:dyDescent="0.35">
      <c r="A12" s="60" t="s">
        <v>838</v>
      </c>
      <c r="B12" s="56">
        <v>2.2999999999999998</v>
      </c>
      <c r="C12" s="57">
        <f>VLOOKUP(Estimates!E1,INITIAL_EST,147,FALSE)</f>
        <v>0</v>
      </c>
      <c r="D12" s="58">
        <f>Estimates!E25*Estimates!$E$3*5.5/6</f>
        <v>0</v>
      </c>
      <c r="E12" s="61">
        <f>VLOOKUP(Estimates!E1,CASH_FLOW,148,FALSE)</f>
        <v>0</v>
      </c>
      <c r="F12" s="62">
        <v>0</v>
      </c>
    </row>
    <row r="13" spans="1:6" ht="15" customHeight="1" x14ac:dyDescent="0.35">
      <c r="A13" s="60" t="s">
        <v>839</v>
      </c>
      <c r="B13" s="56">
        <v>2.8</v>
      </c>
      <c r="C13" s="57">
        <f>VLOOKUP(Estimates!E1,INITIAL_EST,145,FALSE)</f>
        <v>0</v>
      </c>
      <c r="D13" s="58">
        <f>Estimates!E26*Estimates!$E$3*5.5/6</f>
        <v>0</v>
      </c>
      <c r="E13" s="61">
        <f>VLOOKUP(Estimates!E1,CASH_FLOW,146,FALSE)</f>
        <v>0</v>
      </c>
      <c r="F13" s="62">
        <v>0</v>
      </c>
    </row>
    <row r="14" spans="1:6" ht="15" customHeight="1" x14ac:dyDescent="0.35">
      <c r="A14" s="60" t="s">
        <v>840</v>
      </c>
      <c r="B14" s="56">
        <v>4</v>
      </c>
      <c r="C14" s="57">
        <f>VLOOKUP(Estimates!E1,INITIAL_EST,139,FALSE)</f>
        <v>0</v>
      </c>
      <c r="D14" s="58">
        <f>Estimates!E27*Estimates!$E$3*5.5/6</f>
        <v>0</v>
      </c>
      <c r="E14" s="61">
        <f>VLOOKUP(Estimates!E1,CASH_FLOW,140,FALSE)</f>
        <v>0</v>
      </c>
      <c r="F14" s="62">
        <v>0</v>
      </c>
    </row>
    <row r="15" spans="1:6" s="1" customFormat="1" ht="19.149999999999999" customHeight="1" thickBot="1" x14ac:dyDescent="0.4">
      <c r="A15" s="225" t="s">
        <v>895</v>
      </c>
      <c r="B15" s="222"/>
      <c r="C15" s="226">
        <f>SUM(C6:C14)</f>
        <v>0</v>
      </c>
      <c r="D15" s="227">
        <f>SUM(D6:D14)</f>
        <v>0</v>
      </c>
      <c r="E15" s="228">
        <f>SUM(E6:E14)</f>
        <v>0</v>
      </c>
      <c r="F15" s="226">
        <f>SUM(F6:F14)</f>
        <v>0</v>
      </c>
    </row>
    <row r="16" spans="1:6" s="1" customFormat="1" ht="19.149999999999999" customHeight="1" thickTop="1" thickBot="1" x14ac:dyDescent="0.4">
      <c r="A16" s="229" t="s">
        <v>896</v>
      </c>
      <c r="B16" s="222"/>
      <c r="C16" s="224">
        <f>(C6*$B$18)+(C7*$B$19)+(C8*$B$20)+(C9*$B$21)+(C10*$B$22)+(C11*$B$24)+(C12*$B$25)</f>
        <v>0</v>
      </c>
      <c r="D16" s="223">
        <f>(D6*$B$18)+(D7*$B$19)+(D8*$B$20)+(D9*$B$21)+(D10*$B$22)+(D11*$B$24)+(D12*$B$25)</f>
        <v>0</v>
      </c>
      <c r="E16" s="230">
        <f>(E6*$B$18)+(E7*$B$19)+(E8*$B$20)+(E9*$B$21)+(E10*$B$22)+(E11*$B$24)+(E12*$B$25)</f>
        <v>0</v>
      </c>
      <c r="F16" s="224">
        <f>(F6*$B$18)+(F7*$B$19)+(F8*$B$20)+(F9*$B$21)+(F10*$B$22)+(F11*$B$24)+(F12*$B$25)</f>
        <v>0</v>
      </c>
    </row>
    <row r="17" spans="1:6" s="1" customFormat="1" ht="19.149999999999999" customHeight="1" thickTop="1" x14ac:dyDescent="0.35">
      <c r="A17" s="169" t="s">
        <v>894</v>
      </c>
      <c r="B17" s="170"/>
      <c r="C17" s="171"/>
      <c r="D17" s="172"/>
      <c r="E17" s="173"/>
      <c r="F17" s="171"/>
    </row>
    <row r="18" spans="1:6" ht="15" customHeight="1" x14ac:dyDescent="0.35">
      <c r="A18" s="63" t="s">
        <v>842</v>
      </c>
      <c r="B18" s="56">
        <v>5</v>
      </c>
      <c r="C18" s="57">
        <f>VLOOKUP(Estimates!$E$1,INITIAL_EST,119,FALSE)</f>
        <v>0</v>
      </c>
      <c r="D18" s="58">
        <f>(Estimates!E30*Estimates!$E$3*1/6)/6</f>
        <v>0</v>
      </c>
      <c r="E18" s="61">
        <f>VLOOKUP(Estimates!$E$1,CASH_FLOW,120,FALSE)</f>
        <v>0</v>
      </c>
      <c r="F18" s="62">
        <v>0</v>
      </c>
    </row>
    <row r="19" spans="1:6" ht="15" customHeight="1" x14ac:dyDescent="0.35">
      <c r="A19" s="63" t="s">
        <v>874</v>
      </c>
      <c r="B19" s="56">
        <v>3</v>
      </c>
      <c r="C19" s="57">
        <f>VLOOKUP(Estimates!$E$1,INITIAL_EST,120,FALSE)</f>
        <v>0</v>
      </c>
      <c r="D19" s="58">
        <f>(Estimates!E31*Estimates!$E$3*4.5/6)/6</f>
        <v>0</v>
      </c>
      <c r="E19" s="61">
        <f>VLOOKUP(Estimates!$E$1,CASH_FLOW,121,FALSE)</f>
        <v>0</v>
      </c>
      <c r="F19" s="62">
        <v>0</v>
      </c>
    </row>
    <row r="20" spans="1:6" ht="15" customHeight="1" x14ac:dyDescent="0.35">
      <c r="A20" s="63" t="s">
        <v>844</v>
      </c>
      <c r="B20" s="56">
        <v>5</v>
      </c>
      <c r="C20" s="57">
        <f>VLOOKUP(Estimates!$E$1,INITIAL_EST,126,FALSE)</f>
        <v>0</v>
      </c>
      <c r="D20" s="58">
        <f>(Estimates!E32*Estimates!$E$3*0.25/6)/6</f>
        <v>0</v>
      </c>
      <c r="E20" s="61">
        <f>VLOOKUP(Estimates!$E$1,CASH_FLOW,127,FALSE)</f>
        <v>0</v>
      </c>
      <c r="F20" s="62">
        <v>0</v>
      </c>
    </row>
    <row r="21" spans="1:6" ht="15" customHeight="1" x14ac:dyDescent="0.35">
      <c r="A21" s="63" t="s">
        <v>845</v>
      </c>
      <c r="B21" s="56">
        <v>3</v>
      </c>
      <c r="C21" s="57">
        <f>VLOOKUP(Estimates!$E$1,INITIAL_EST,123,FALSE)</f>
        <v>0</v>
      </c>
      <c r="D21" s="58">
        <f>(Estimates!E33*Estimates!$E$3*2.859/6)/6</f>
        <v>0</v>
      </c>
      <c r="E21" s="61">
        <f>VLOOKUP(Estimates!$E$1,CASH_FLOW,124,FALSE)</f>
        <v>0</v>
      </c>
      <c r="F21" s="62">
        <v>0</v>
      </c>
    </row>
    <row r="22" spans="1:6" ht="15" customHeight="1" x14ac:dyDescent="0.35">
      <c r="A22" s="63" t="s">
        <v>846</v>
      </c>
      <c r="B22" s="56">
        <v>3</v>
      </c>
      <c r="C22" s="57">
        <f>VLOOKUP(Estimates!$E$1,INITIAL_EST,124,FALSE)</f>
        <v>0</v>
      </c>
      <c r="D22" s="58">
        <f>(Estimates!E34*Estimates!$E$3*2.859/6)/6</f>
        <v>0</v>
      </c>
      <c r="E22" s="61">
        <f>VLOOKUP(Estimates!$E$1,CASH_FLOW,125,FALSE)</f>
        <v>0</v>
      </c>
      <c r="F22" s="62">
        <v>0</v>
      </c>
    </row>
    <row r="23" spans="1:6" ht="15" customHeight="1" x14ac:dyDescent="0.35">
      <c r="A23" s="63" t="s">
        <v>847</v>
      </c>
      <c r="B23" s="56">
        <v>3</v>
      </c>
      <c r="C23" s="57">
        <f>VLOOKUP(Estimates!$E$1,INITIAL_EST,125,FALSE)</f>
        <v>0</v>
      </c>
      <c r="D23" s="58">
        <f>(Estimates!E35*Estimates!$E$3*2.859/6)/6</f>
        <v>0</v>
      </c>
      <c r="E23" s="61">
        <f>VLOOKUP(Estimates!$E$1,CASH_FLOW,126,FALSE)</f>
        <v>0</v>
      </c>
      <c r="F23" s="62">
        <v>0</v>
      </c>
    </row>
    <row r="24" spans="1:6" ht="15" customHeight="1" x14ac:dyDescent="0.35">
      <c r="A24" s="63" t="s">
        <v>875</v>
      </c>
      <c r="B24" s="56">
        <v>2.7</v>
      </c>
      <c r="C24" s="57">
        <f>VLOOKUP(Estimates!$E$1,INITIAL_EST,121,FALSE)</f>
        <v>0</v>
      </c>
      <c r="D24" s="58">
        <f>(Estimates!E36*Estimates!$E$3*4.25/6)/6</f>
        <v>0</v>
      </c>
      <c r="E24" s="61">
        <f>VLOOKUP(Estimates!$E$1,CASH_FLOW,122,FALSE)</f>
        <v>0</v>
      </c>
      <c r="F24" s="62">
        <v>0</v>
      </c>
    </row>
    <row r="25" spans="1:6" ht="15" customHeight="1" x14ac:dyDescent="0.35">
      <c r="A25" s="63" t="s">
        <v>849</v>
      </c>
      <c r="B25" s="56">
        <v>2.2999999999999998</v>
      </c>
      <c r="C25" s="57">
        <f>VLOOKUP(Estimates!$E$1,INITIAL_EST,128,FALSE)</f>
        <v>0</v>
      </c>
      <c r="D25" s="58">
        <f>(Estimates!E37*Estimates!$E$3*5.5/6)/6</f>
        <v>0</v>
      </c>
      <c r="E25" s="61">
        <f>VLOOKUP(Estimates!$E$1,CASH_FLOW,129,FALSE)</f>
        <v>0</v>
      </c>
      <c r="F25" s="62">
        <v>0</v>
      </c>
    </row>
    <row r="26" spans="1:6" ht="15" customHeight="1" x14ac:dyDescent="0.35">
      <c r="A26" s="63" t="s">
        <v>850</v>
      </c>
      <c r="B26" s="56">
        <v>2.8</v>
      </c>
      <c r="C26" s="57">
        <f>VLOOKUP(Estimates!$E$1,INITIAL_EST,127,FALSE)</f>
        <v>0</v>
      </c>
      <c r="D26" s="58">
        <f>(Estimates!E38*Estimates!$E$3*5.5/6)/6</f>
        <v>0</v>
      </c>
      <c r="E26" s="61">
        <f>VLOOKUP(Estimates!$E$1,CASH_FLOW,128,FALSE)</f>
        <v>0</v>
      </c>
      <c r="F26" s="62">
        <v>0</v>
      </c>
    </row>
    <row r="27" spans="1:6" ht="15" customHeight="1" x14ac:dyDescent="0.35">
      <c r="A27" s="63" t="s">
        <v>851</v>
      </c>
      <c r="B27" s="56">
        <v>4</v>
      </c>
      <c r="C27" s="57">
        <f>VLOOKUP(Estimates!$E$1,INITIAL_EST,122,FALSE)</f>
        <v>0</v>
      </c>
      <c r="D27" s="58">
        <f>(Estimates!E39*Estimates!$E$3*5.5/6)/6</f>
        <v>0</v>
      </c>
      <c r="E27" s="61">
        <f>VLOOKUP(Estimates!$E$1,CASH_FLOW,123,FALSE)</f>
        <v>0</v>
      </c>
      <c r="F27" s="62">
        <v>0</v>
      </c>
    </row>
    <row r="28" spans="1:6" s="1" customFormat="1" ht="19.149999999999999" customHeight="1" thickBot="1" x14ac:dyDescent="0.4">
      <c r="A28" s="225" t="s">
        <v>884</v>
      </c>
      <c r="B28" s="222"/>
      <c r="C28" s="226">
        <f>SUM(C18:C27)</f>
        <v>0</v>
      </c>
      <c r="D28" s="227">
        <f>SUM(D18:D27)</f>
        <v>0</v>
      </c>
      <c r="E28" s="228">
        <f>SUM(E18:E27)</f>
        <v>0</v>
      </c>
      <c r="F28" s="226">
        <f>SUM(F18:F27)</f>
        <v>0</v>
      </c>
    </row>
    <row r="29" spans="1:6" s="1" customFormat="1" ht="19.149999999999999" customHeight="1" thickTop="1" thickBot="1" x14ac:dyDescent="0.4">
      <c r="A29" s="229" t="s">
        <v>885</v>
      </c>
      <c r="B29" s="222"/>
      <c r="C29" s="226">
        <f>(C18*$B$18)+(C19*$B$19)+(C20*$B$20)+(C21*$B$21)+(C22*$B$22)+(C23*$B$23)+(C24*$B$24)+(C25*$B$25)+(C26*$B$26)+(C27*$B$27)</f>
        <v>0</v>
      </c>
      <c r="D29" s="227">
        <f>(D18*$B$18)+(D19*$B$19)+(D20*$B$20)+(D21*$B$21)+(D22*$B$22)+(D23*$B$23)+(D24*$B$24)+(D25*$B$25)+(D26*$B$26)+(D27*$B$27)</f>
        <v>0</v>
      </c>
      <c r="E29" s="228">
        <f>(E18*$B$18)+(E19*$B$19)+(E20*$B$20)+(E21*$B$21)+(E22*$B$22)+(E23*$B$23)+(E24*$B$24)+(E25*$B$25)+(E26*$B$26)+(E27*$B$27)</f>
        <v>0</v>
      </c>
      <c r="F29" s="226">
        <f>(F18*$B$18)+(F19*$B$19)+(F20*$B$20)+(F21*$B$21)+(F22*$B$22)+(F23*$B$23)+(F24*$B$24)+(F25*$B$25)+(F26*$B$26)+(F27*$B$27)</f>
        <v>0</v>
      </c>
    </row>
    <row r="30" spans="1:6" ht="19.149999999999999" customHeight="1" thickTop="1" x14ac:dyDescent="0.35">
      <c r="A30" s="169" t="s">
        <v>877</v>
      </c>
      <c r="B30" s="56" t="s">
        <v>596</v>
      </c>
      <c r="C30" s="57"/>
      <c r="D30" s="58"/>
      <c r="E30" s="59"/>
      <c r="F30" s="57"/>
    </row>
    <row r="31" spans="1:6" ht="15" customHeight="1" x14ac:dyDescent="0.35">
      <c r="A31" s="60" t="s">
        <v>822</v>
      </c>
      <c r="B31" s="64">
        <v>0.1</v>
      </c>
      <c r="C31" s="57">
        <f>VLOOKUP(Estimates!$E$1,INITIAL_EST,21,FALSE)</f>
        <v>0</v>
      </c>
      <c r="D31" s="58">
        <f>Estimates!E14*Estimates!$E$3</f>
        <v>0</v>
      </c>
      <c r="E31" s="61">
        <f>VLOOKUP(Estimates!$E$1,CASH_FLOW,22,FALSE)</f>
        <v>0</v>
      </c>
      <c r="F31" s="62">
        <v>0</v>
      </c>
    </row>
    <row r="32" spans="1:6" ht="15" customHeight="1" x14ac:dyDescent="0.35">
      <c r="A32" s="60" t="s">
        <v>1074</v>
      </c>
      <c r="B32" s="64">
        <v>0.15</v>
      </c>
      <c r="C32" s="57">
        <f>VLOOKUP(Estimates!$E$1,INITIAL_EST,238,FALSE)</f>
        <v>0</v>
      </c>
      <c r="D32" s="58">
        <f>Estimates!E15*Estimates!$E$3</f>
        <v>0</v>
      </c>
      <c r="E32" s="61">
        <f>VLOOKUP(Estimates!$E$1,CASH_FLOW,239,FALSE)</f>
        <v>0</v>
      </c>
      <c r="F32" s="62">
        <v>0</v>
      </c>
    </row>
    <row r="33" spans="1:8" ht="15" customHeight="1" x14ac:dyDescent="0.35">
      <c r="A33" s="60" t="s">
        <v>1075</v>
      </c>
      <c r="B33" s="64">
        <v>0.05</v>
      </c>
      <c r="C33" s="57">
        <f>VLOOKUP(Estimates!$E$1,INITIAL_EST,239,FALSE)</f>
        <v>0</v>
      </c>
      <c r="D33" s="58">
        <f>Estimates!E16*Estimates!$E$3</f>
        <v>0</v>
      </c>
      <c r="E33" s="61">
        <f>VLOOKUP(Estimates!$E$1,CASH_FLOW,240,FALSE)</f>
        <v>0</v>
      </c>
      <c r="F33" s="62">
        <v>0</v>
      </c>
    </row>
    <row r="34" spans="1:8" s="1" customFormat="1" ht="19.149999999999999" customHeight="1" thickBot="1" x14ac:dyDescent="0.4">
      <c r="A34" s="225" t="s">
        <v>556</v>
      </c>
      <c r="B34" s="222"/>
      <c r="C34" s="226">
        <f>SUM(C31:C33)</f>
        <v>0</v>
      </c>
      <c r="D34" s="227">
        <f>SUM(D31:D33)</f>
        <v>0</v>
      </c>
      <c r="E34" s="228">
        <f>SUM(E31:E33)</f>
        <v>0</v>
      </c>
      <c r="F34" s="226">
        <f>SUM(F31:F33)</f>
        <v>0</v>
      </c>
    </row>
    <row r="35" spans="1:8" s="1" customFormat="1" ht="19.149999999999999" customHeight="1" thickTop="1" thickBot="1" x14ac:dyDescent="0.4">
      <c r="A35" s="225" t="s">
        <v>897</v>
      </c>
      <c r="B35" s="243"/>
      <c r="C35" s="244">
        <f>(C31*$B$31)+(C32*$B$32)+(C33*$B$33)</f>
        <v>0</v>
      </c>
      <c r="D35" s="245">
        <f>(D31*$B$31)+(D32*$B$32)+(D33*$B$33)</f>
        <v>0</v>
      </c>
      <c r="E35" s="246">
        <f>(E31*$B$31)+(E32*$B$32)+(E33*$B$33)</f>
        <v>0</v>
      </c>
      <c r="F35" s="247">
        <f>(F31*$B$31)+(F32*$B$32)+(F33*$B$33)</f>
        <v>0</v>
      </c>
    </row>
    <row r="36" spans="1:8" ht="19.149999999999999" customHeight="1" thickTop="1" x14ac:dyDescent="0.35">
      <c r="A36" s="25"/>
      <c r="B36" s="64"/>
      <c r="C36" s="57"/>
      <c r="D36" s="58"/>
      <c r="E36" s="57"/>
      <c r="F36" s="57"/>
    </row>
    <row r="37" spans="1:8" ht="19.149999999999999" customHeight="1" x14ac:dyDescent="0.35">
      <c r="A37" s="169" t="s">
        <v>876</v>
      </c>
      <c r="B37" s="64">
        <v>1.1499999999999999</v>
      </c>
      <c r="C37" s="57">
        <f>VLOOKUP(Estimates!$E$1,INITIAL_EST,132,FALSE)</f>
        <v>0</v>
      </c>
      <c r="D37" s="58">
        <f>Estimates!E28*Estimates!E3</f>
        <v>0</v>
      </c>
      <c r="E37" s="61">
        <f>VLOOKUP(Estimates!$E$1,CASH_FLOW,133,FALSE)</f>
        <v>0</v>
      </c>
      <c r="F37" s="62">
        <v>0</v>
      </c>
    </row>
    <row r="38" spans="1:8" ht="19.149999999999999" customHeight="1" x14ac:dyDescent="0.35">
      <c r="A38" s="25"/>
      <c r="B38" s="64"/>
      <c r="C38" s="57"/>
      <c r="D38" s="58"/>
      <c r="E38" s="57"/>
      <c r="F38" s="57"/>
    </row>
    <row r="39" spans="1:8" s="1" customFormat="1" ht="27.75" customHeight="1" x14ac:dyDescent="0.35">
      <c r="A39" s="169" t="s">
        <v>880</v>
      </c>
      <c r="B39" s="56" t="s">
        <v>596</v>
      </c>
      <c r="C39" s="171"/>
      <c r="D39" s="172"/>
      <c r="E39" s="173"/>
      <c r="F39" s="171"/>
    </row>
    <row r="40" spans="1:8" ht="15" customHeight="1" x14ac:dyDescent="0.35">
      <c r="A40" s="65" t="s">
        <v>883</v>
      </c>
      <c r="B40" s="66">
        <v>1.1000000000000001</v>
      </c>
      <c r="C40" s="57">
        <f>VLOOKUP(Estimates!$E$1,INITIAL_EST,274,FALSE)</f>
        <v>0</v>
      </c>
      <c r="D40" s="58">
        <f>Estimates!G45</f>
        <v>0</v>
      </c>
      <c r="E40" s="61">
        <f>VLOOKUP(Estimates!$E$1,CASH_FLOW,275,FALSE)</f>
        <v>0</v>
      </c>
      <c r="F40" s="62">
        <v>0</v>
      </c>
    </row>
    <row r="41" spans="1:8" ht="15" customHeight="1" x14ac:dyDescent="0.35">
      <c r="A41" s="67" t="s">
        <v>881</v>
      </c>
      <c r="B41" s="66">
        <v>1.28</v>
      </c>
      <c r="C41" s="54">
        <f>VLOOKUP(Estimates!$E$1,INITIAL_EST,275,FALSE)</f>
        <v>0</v>
      </c>
      <c r="D41" s="55">
        <f>Estimates!G49</f>
        <v>0</v>
      </c>
      <c r="E41" s="61">
        <f>VLOOKUP(Estimates!$E$1,CASH_FLOW,276,FALSE)</f>
        <v>0</v>
      </c>
      <c r="F41" s="62">
        <v>0</v>
      </c>
    </row>
    <row r="42" spans="1:8" ht="15" customHeight="1" x14ac:dyDescent="0.35">
      <c r="A42" s="67" t="s">
        <v>882</v>
      </c>
      <c r="B42" s="66">
        <v>1.47</v>
      </c>
      <c r="C42" s="54">
        <f>VLOOKUP(Estimates!$E$1,INITIAL_EST,276,FALSE)</f>
        <v>0</v>
      </c>
      <c r="D42" s="55">
        <f>Estimates!G53</f>
        <v>0</v>
      </c>
      <c r="E42" s="61">
        <f>VLOOKUP(Estimates!$E$1,CASH_FLOW,277,FALSE)</f>
        <v>0</v>
      </c>
      <c r="F42" s="62">
        <v>0</v>
      </c>
    </row>
    <row r="43" spans="1:8" s="1" customFormat="1" ht="19.149999999999999" customHeight="1" x14ac:dyDescent="0.35">
      <c r="A43" s="169" t="s">
        <v>887</v>
      </c>
      <c r="B43" s="68">
        <v>50</v>
      </c>
      <c r="C43" s="54">
        <f>VLOOKUP(Estimates!$E$1,INITIAL_EST,182,FALSE)</f>
        <v>0</v>
      </c>
      <c r="D43" s="58">
        <f>Estimates!E56*Estimates!E3</f>
        <v>0</v>
      </c>
      <c r="E43" s="61">
        <f>VLOOKUP(Estimates!$E$1,CASH_FLOW,183,FALSE)</f>
        <v>0</v>
      </c>
      <c r="F43" s="62">
        <v>0</v>
      </c>
    </row>
    <row r="44" spans="1:8" s="1" customFormat="1" ht="19.149999999999999" customHeight="1" thickBot="1" x14ac:dyDescent="0.4">
      <c r="A44" s="248" t="s">
        <v>898</v>
      </c>
      <c r="B44" s="249"/>
      <c r="C44" s="250">
        <f>SUM(C40:C42)</f>
        <v>0</v>
      </c>
      <c r="D44" s="251">
        <f>SUM(D40:D42)</f>
        <v>0</v>
      </c>
      <c r="E44" s="252">
        <f>SUM(E40:E42)</f>
        <v>0</v>
      </c>
      <c r="F44" s="250">
        <f>SUM(F40:F42)</f>
        <v>0</v>
      </c>
    </row>
    <row r="45" spans="1:8" s="1" customFormat="1" ht="19.149999999999999" customHeight="1" thickTop="1" thickBot="1" x14ac:dyDescent="0.4">
      <c r="A45" s="253" t="s">
        <v>899</v>
      </c>
      <c r="B45" s="254"/>
      <c r="C45" s="247">
        <f>(C40*$B$40)+(C41*$B$41)+(C42*$B$42)</f>
        <v>0</v>
      </c>
      <c r="D45" s="223">
        <f>(D40*B40)+(D41*B41)+(D42*B42)</f>
        <v>0</v>
      </c>
      <c r="E45" s="230">
        <f>(E40*$B$40)+(E41*$B$41)+(E42*$B$42)</f>
        <v>0</v>
      </c>
      <c r="F45" s="224">
        <f>(F40*$B$40)+(F41*$B$41)+(F42*$B$42)</f>
        <v>0</v>
      </c>
    </row>
    <row r="46" spans="1:8" s="5" customFormat="1" ht="19.149999999999999" customHeight="1" thickTop="1" thickBot="1" x14ac:dyDescent="0.35">
      <c r="A46" s="255" t="s">
        <v>886</v>
      </c>
      <c r="B46" s="243"/>
      <c r="C46" s="256">
        <f>C4-C15-C44</f>
        <v>0</v>
      </c>
      <c r="D46" s="257">
        <f>D4-D15-D44</f>
        <v>0</v>
      </c>
      <c r="E46" s="258">
        <f>E4-E15-E44</f>
        <v>0</v>
      </c>
      <c r="F46" s="256">
        <f>F4-F15-F44</f>
        <v>0</v>
      </c>
    </row>
    <row r="47" spans="1:8" s="1" customFormat="1" ht="19.149999999999999" customHeight="1" thickTop="1" x14ac:dyDescent="0.35">
      <c r="A47" s="169" t="s">
        <v>879</v>
      </c>
      <c r="B47" s="56" t="s">
        <v>596</v>
      </c>
      <c r="C47" s="171"/>
      <c r="D47" s="172"/>
      <c r="E47" s="173"/>
      <c r="F47" s="171"/>
    </row>
    <row r="48" spans="1:8" s="20" customFormat="1" ht="15" customHeight="1" x14ac:dyDescent="0.35">
      <c r="A48" s="60" t="s">
        <v>784</v>
      </c>
      <c r="B48" s="64">
        <v>0.1</v>
      </c>
      <c r="C48" s="69">
        <f>VLOOKUP(Estimates!$E$1,INITIAL_EST,296,FALSE)</f>
        <v>0</v>
      </c>
      <c r="D48" s="70">
        <f>Estimates!E6</f>
        <v>0</v>
      </c>
      <c r="E48" s="71">
        <f>VLOOKUP(Estimates!$E$1,CASH_FLOW,297,FALSE)</f>
        <v>0</v>
      </c>
      <c r="F48" s="72">
        <v>0</v>
      </c>
      <c r="G48" s="2"/>
      <c r="H48" s="2"/>
    </row>
    <row r="49" spans="1:9" s="20" customFormat="1" ht="15" customHeight="1" x14ac:dyDescent="0.35">
      <c r="A49" s="60" t="s">
        <v>785</v>
      </c>
      <c r="B49" s="64">
        <v>0.1</v>
      </c>
      <c r="C49" s="69">
        <f>VLOOKUP(Estimates!$E$1,INITIAL_EST,295,FALSE)</f>
        <v>0</v>
      </c>
      <c r="D49" s="70">
        <f>Estimates!E7</f>
        <v>0</v>
      </c>
      <c r="E49" s="71">
        <f>VLOOKUP(Estimates!$E$1,CASH_FLOW,296,FALSE)</f>
        <v>0</v>
      </c>
      <c r="F49" s="72">
        <v>0</v>
      </c>
      <c r="G49" s="2"/>
      <c r="H49" s="2"/>
    </row>
    <row r="50" spans="1:9" s="1" customFormat="1" ht="19.149999999999999" customHeight="1" thickBot="1" x14ac:dyDescent="0.4">
      <c r="A50" s="248" t="s">
        <v>900</v>
      </c>
      <c r="B50" s="249"/>
      <c r="C50" s="259">
        <f>SUM(C48:C49)</f>
        <v>0</v>
      </c>
      <c r="D50" s="259">
        <f>SUM(D48:D49)</f>
        <v>0</v>
      </c>
      <c r="E50" s="260">
        <f>SUM(E48:E49)</f>
        <v>0</v>
      </c>
      <c r="F50" s="259">
        <f>SUM(F48:F49)</f>
        <v>0</v>
      </c>
    </row>
    <row r="51" spans="1:9" s="1" customFormat="1" ht="19.149999999999999" customHeight="1" thickTop="1" x14ac:dyDescent="0.35">
      <c r="A51" s="25" t="s">
        <v>901</v>
      </c>
      <c r="B51" s="64">
        <v>7.0000000000000007E-2</v>
      </c>
      <c r="C51" s="69">
        <f>VLOOKUP(Estimates!$E$1,INITIAL_EST,55,FALSE)</f>
        <v>0</v>
      </c>
      <c r="D51" s="70">
        <f>Estimates!E12</f>
        <v>0</v>
      </c>
      <c r="E51" s="71">
        <f>VLOOKUP(Estimates!$E$1,CASH_FLOW,56,FALSE)</f>
        <v>0</v>
      </c>
      <c r="F51" s="74">
        <v>0</v>
      </c>
    </row>
    <row r="52" spans="1:9" s="1" customFormat="1" ht="19.149999999999999" customHeight="1" x14ac:dyDescent="0.35">
      <c r="A52" s="169" t="s">
        <v>1082</v>
      </c>
      <c r="B52" s="64">
        <v>7.0000000000000007E-2</v>
      </c>
      <c r="C52" s="69">
        <f>IF(C4*0.05&gt;C51,C51,C4*0.05)</f>
        <v>0</v>
      </c>
      <c r="D52" s="69">
        <f>IF(D4*0.05&gt;D51,D51,D4*0.05)</f>
        <v>0</v>
      </c>
      <c r="E52" s="471">
        <f>IF(E4*0.05&gt;E51,E51,E4*0.05)</f>
        <v>0</v>
      </c>
      <c r="F52" s="405">
        <f>IF(F4*0.05&gt;F51,F51,F4*0.05)</f>
        <v>0</v>
      </c>
    </row>
    <row r="53" spans="1:9" s="1" customFormat="1" ht="25.9" customHeight="1" x14ac:dyDescent="0.35">
      <c r="A53" s="169" t="s">
        <v>893</v>
      </c>
      <c r="B53" s="174"/>
      <c r="C53" s="171"/>
      <c r="D53" s="172"/>
      <c r="E53" s="173"/>
      <c r="F53" s="171"/>
    </row>
    <row r="54" spans="1:9" ht="15" customHeight="1" x14ac:dyDescent="0.35">
      <c r="A54" s="75" t="s">
        <v>553</v>
      </c>
      <c r="B54" s="76">
        <v>0.22500000000000001</v>
      </c>
      <c r="C54" s="69">
        <f>Estimates!E58</f>
        <v>0</v>
      </c>
      <c r="D54" s="77">
        <f>C54</f>
        <v>0</v>
      </c>
      <c r="E54" s="660">
        <f>VLOOKUP(Estimates!$E$1,CASH_FLOW,232,FALSE)</f>
        <v>0</v>
      </c>
      <c r="F54" s="405">
        <f>E54</f>
        <v>0</v>
      </c>
      <c r="I54" s="1"/>
    </row>
    <row r="55" spans="1:9" ht="15" customHeight="1" x14ac:dyDescent="0.35">
      <c r="A55" s="75" t="s">
        <v>683</v>
      </c>
      <c r="B55" s="76">
        <v>0.23749999999999999</v>
      </c>
      <c r="C55" s="69">
        <f>Estimates!E59</f>
        <v>0</v>
      </c>
      <c r="D55" s="77">
        <f>C55</f>
        <v>0</v>
      </c>
      <c r="E55" s="660">
        <f>VLOOKUP(Estimates!$E$1,CASH_FLOW,233,FALSE)</f>
        <v>0</v>
      </c>
      <c r="F55" s="405">
        <f t="shared" ref="F55:F58" si="0">E55</f>
        <v>0</v>
      </c>
      <c r="I55" s="1"/>
    </row>
    <row r="56" spans="1:9" ht="15" customHeight="1" x14ac:dyDescent="0.35">
      <c r="A56" s="75" t="s">
        <v>684</v>
      </c>
      <c r="B56" s="76">
        <v>0.25</v>
      </c>
      <c r="C56" s="69">
        <f>Estimates!E60</f>
        <v>0</v>
      </c>
      <c r="D56" s="77">
        <f>C56</f>
        <v>0</v>
      </c>
      <c r="E56" s="660">
        <f>VLOOKUP(Estimates!$E$1,CASH_FLOW,234,FALSE)</f>
        <v>0</v>
      </c>
      <c r="F56" s="405">
        <f t="shared" si="0"/>
        <v>0</v>
      </c>
      <c r="I56" s="1"/>
    </row>
    <row r="57" spans="1:9" ht="15" customHeight="1" x14ac:dyDescent="0.35">
      <c r="A57" s="75" t="s">
        <v>685</v>
      </c>
      <c r="B57" s="76">
        <v>0.26250000000000001</v>
      </c>
      <c r="C57" s="69">
        <f>Estimates!E61</f>
        <v>0</v>
      </c>
      <c r="D57" s="77">
        <f>C57</f>
        <v>0</v>
      </c>
      <c r="E57" s="660">
        <f>VLOOKUP(Estimates!$E$1,CASH_FLOW,235,FALSE)</f>
        <v>0</v>
      </c>
      <c r="F57" s="405">
        <f t="shared" si="0"/>
        <v>0</v>
      </c>
      <c r="I57" s="1"/>
    </row>
    <row r="58" spans="1:9" ht="15" customHeight="1" x14ac:dyDescent="0.35">
      <c r="A58" s="75" t="s">
        <v>552</v>
      </c>
      <c r="B58" s="76">
        <v>0.27500000000000002</v>
      </c>
      <c r="C58" s="69">
        <f>Estimates!E62</f>
        <v>0</v>
      </c>
      <c r="D58" s="77">
        <f>C58</f>
        <v>0</v>
      </c>
      <c r="E58" s="660">
        <f>VLOOKUP(Estimates!$E$1,CASH_FLOW,236,FALSE)</f>
        <v>0</v>
      </c>
      <c r="F58" s="405">
        <f t="shared" si="0"/>
        <v>0</v>
      </c>
      <c r="I58" s="1"/>
    </row>
    <row r="59" spans="1:9" s="1" customFormat="1" ht="19.149999999999999" customHeight="1" thickBot="1" x14ac:dyDescent="0.4">
      <c r="A59" s="248" t="s">
        <v>902</v>
      </c>
      <c r="B59" s="261"/>
      <c r="C59" s="250">
        <f>SUM(C54:C58)</f>
        <v>0</v>
      </c>
      <c r="D59" s="251">
        <f>SUM(D54:D58)</f>
        <v>0</v>
      </c>
      <c r="E59" s="252">
        <f>SUM(E54:E58)</f>
        <v>0</v>
      </c>
      <c r="F59" s="250">
        <f>SUM(F54:F58)</f>
        <v>0</v>
      </c>
    </row>
    <row r="60" spans="1:9" s="1" customFormat="1" ht="19.149999999999999" customHeight="1" thickTop="1" thickBot="1" x14ac:dyDescent="0.4">
      <c r="A60" s="248" t="s">
        <v>903</v>
      </c>
      <c r="B60" s="261"/>
      <c r="C60" s="250">
        <f>$B$54*C54+$B$55*$C$55+$B$56*C56+$B$57*C57+$B$58*C58</f>
        <v>0</v>
      </c>
      <c r="D60" s="251">
        <f>$B$54*D54+$B$55*$D$55+$B$56*D56+$B$57*D57+$B$58*D58</f>
        <v>0</v>
      </c>
      <c r="E60" s="252">
        <f>IF(E4=0,0,$B$54*E54+$B$55*E55+$B$56*E56+$B$57*E57+$B$58*E58)</f>
        <v>0</v>
      </c>
      <c r="F60" s="250">
        <f>IF(F4=0,0,$B$54*F54+$B$55*F55+$B$56*F56+$B$57*F57+$B$58*F58)</f>
        <v>0</v>
      </c>
    </row>
    <row r="61" spans="1:9" ht="15" customHeight="1" thickTop="1" x14ac:dyDescent="0.35">
      <c r="A61" s="25" t="s">
        <v>889</v>
      </c>
      <c r="B61" s="78">
        <v>2.41</v>
      </c>
      <c r="C61" s="57">
        <f>VLOOKUP(Estimates!$E$1,INITIAL_EST,93,FALSE)</f>
        <v>0</v>
      </c>
      <c r="D61" s="79">
        <f>Estimates!E11*Estimates!$E$3*0.2936</f>
        <v>0</v>
      </c>
      <c r="E61" s="80">
        <f>VLOOKUP(Estimates!$E$1,CASH_FLOW,94,FALSE)</f>
        <v>0</v>
      </c>
      <c r="F61" s="81">
        <v>0</v>
      </c>
      <c r="I61" s="1"/>
    </row>
    <row r="62" spans="1:9" s="7" customFormat="1" ht="25" x14ac:dyDescent="0.35">
      <c r="A62" s="25" t="s">
        <v>1012</v>
      </c>
      <c r="B62" s="82">
        <v>0.2</v>
      </c>
      <c r="C62" s="83">
        <f>VLOOKUP(Estimates!E1,INITIAL_EST,237,FALSE)</f>
        <v>0</v>
      </c>
      <c r="D62" s="84">
        <f>IF(D4=0,0,C62)</f>
        <v>0</v>
      </c>
      <c r="E62" s="85">
        <f>VLOOKUP(Estimates!$E$1,CASH_FLOW,238,FALSE)</f>
        <v>0</v>
      </c>
      <c r="F62" s="86">
        <v>0</v>
      </c>
    </row>
    <row r="63" spans="1:9" ht="15" customHeight="1" x14ac:dyDescent="0.35">
      <c r="A63" s="25" t="s">
        <v>890</v>
      </c>
      <c r="B63" s="64">
        <v>0.1</v>
      </c>
      <c r="C63" s="57">
        <f>VLOOKUP(Estimates!$E$1,INITIAL_EST,241,FALSE)</f>
        <v>0</v>
      </c>
      <c r="D63" s="58">
        <f>Estimates!E8*Estimates!$E$3</f>
        <v>0</v>
      </c>
      <c r="E63" s="87">
        <f>VLOOKUP(Estimates!$E$1,CASH_FLOW,242,FALSE)</f>
        <v>0</v>
      </c>
      <c r="F63" s="62">
        <v>0</v>
      </c>
    </row>
    <row r="64" spans="1:9" s="7" customFormat="1" ht="15" customHeight="1" x14ac:dyDescent="0.35">
      <c r="A64" s="25" t="s">
        <v>891</v>
      </c>
      <c r="B64" s="88">
        <v>275</v>
      </c>
      <c r="C64" s="89">
        <f>VLOOKUP(Estimates!$E$1,INITIAL_EST,242,FALSE)</f>
        <v>0</v>
      </c>
      <c r="D64" s="90">
        <f>Estimates!E9*Estimates!E3</f>
        <v>0</v>
      </c>
      <c r="E64" s="87">
        <f>VLOOKUP(Estimates!$E$1,CASH_FLOW,243,FALSE)</f>
        <v>0</v>
      </c>
      <c r="F64" s="91">
        <f>E64</f>
        <v>0</v>
      </c>
    </row>
    <row r="65" spans="1:6" ht="15" customHeight="1" x14ac:dyDescent="0.35">
      <c r="A65" s="25" t="s">
        <v>892</v>
      </c>
      <c r="B65" s="88">
        <v>275</v>
      </c>
      <c r="C65" s="92">
        <f>VLOOKUP(Estimates!$E$1,INITIAL_EST,244,FALSE)</f>
        <v>0</v>
      </c>
      <c r="D65" s="93">
        <f>Estimates!E10*Estimates!E3</f>
        <v>0</v>
      </c>
      <c r="E65" s="87">
        <f>VLOOKUP(Estimates!$E$1,CASH_FLOW,245,FALSE)</f>
        <v>0</v>
      </c>
      <c r="F65" s="94">
        <f>E65</f>
        <v>0</v>
      </c>
    </row>
    <row r="66" spans="1:6" s="1" customFormat="1" ht="19.149999999999999" customHeight="1" thickBot="1" x14ac:dyDescent="0.4">
      <c r="A66" s="248" t="s">
        <v>904</v>
      </c>
      <c r="B66" s="261"/>
      <c r="C66" s="250">
        <f>(C132-C127-C128-C129-C130-C131-C89-C112)/C71</f>
        <v>0</v>
      </c>
      <c r="D66" s="250">
        <f>(D132-D127-D128-D129-D130-D131-D89-D112)/D71</f>
        <v>0</v>
      </c>
      <c r="E66" s="250">
        <f t="shared" ref="E66:F66" si="1">(E132-E127-E128-E129-E130-E131-E89-E112)/E71</f>
        <v>0</v>
      </c>
      <c r="F66" s="250">
        <f t="shared" si="1"/>
        <v>0</v>
      </c>
    </row>
    <row r="67" spans="1:6" s="3" customFormat="1" ht="19.149999999999999" customHeight="1" thickTop="1" x14ac:dyDescent="0.35">
      <c r="A67" s="236" t="s">
        <v>888</v>
      </c>
      <c r="B67" s="232"/>
      <c r="C67" s="233"/>
      <c r="D67" s="234"/>
      <c r="E67" s="235"/>
      <c r="F67" s="233"/>
    </row>
    <row r="68" spans="1:6" ht="15" customHeight="1" x14ac:dyDescent="0.35">
      <c r="A68" s="60" t="s">
        <v>587</v>
      </c>
      <c r="B68" s="95"/>
      <c r="C68" s="96">
        <f>VLOOKUP(Estimates!$E$1,INITIAL_EST,18,FALSE)</f>
        <v>414.88400000000001</v>
      </c>
      <c r="D68" s="97">
        <f>C68</f>
        <v>414.88400000000001</v>
      </c>
      <c r="E68" s="98">
        <f>VLOOKUP(Estimates!$E$1,CASH_FLOW,19,FALSE)</f>
        <v>0</v>
      </c>
      <c r="F68" s="99">
        <f>E68</f>
        <v>0</v>
      </c>
    </row>
    <row r="69" spans="1:6" ht="15" customHeight="1" x14ac:dyDescent="0.35">
      <c r="A69" s="60" t="s">
        <v>671</v>
      </c>
      <c r="B69" s="95"/>
      <c r="C69" s="100">
        <f>VLOOKUP(Estimates!$E$1,INITIAL_EST,15,FALSE)</f>
        <v>0</v>
      </c>
      <c r="D69" s="101">
        <f>C69</f>
        <v>0</v>
      </c>
      <c r="E69" s="102">
        <f>VLOOKUP(Estimates!$E$1,CASH_FLOW,16,FALSE)</f>
        <v>0</v>
      </c>
      <c r="F69" s="103">
        <f t="shared" ref="F69:F79" si="2">E69</f>
        <v>0</v>
      </c>
    </row>
    <row r="70" spans="1:6" ht="15" customHeight="1" x14ac:dyDescent="0.35">
      <c r="A70" s="60" t="s">
        <v>482</v>
      </c>
      <c r="B70" s="95"/>
      <c r="C70" s="104">
        <v>10</v>
      </c>
      <c r="D70" s="105">
        <f>C70</f>
        <v>10</v>
      </c>
      <c r="E70" s="106">
        <v>10</v>
      </c>
      <c r="F70" s="107">
        <f t="shared" si="2"/>
        <v>10</v>
      </c>
    </row>
    <row r="71" spans="1:6" ht="15" customHeight="1" x14ac:dyDescent="0.35">
      <c r="A71" s="60" t="s">
        <v>588</v>
      </c>
      <c r="B71" s="95"/>
      <c r="C71" s="108">
        <f>6159.86016999999</f>
        <v>6159.8601699999899</v>
      </c>
      <c r="D71" s="109">
        <f>C71</f>
        <v>6159.8601699999899</v>
      </c>
      <c r="E71" s="110">
        <v>6160</v>
      </c>
      <c r="F71" s="111">
        <f>E71</f>
        <v>6160</v>
      </c>
    </row>
    <row r="72" spans="1:6" ht="15" customHeight="1" x14ac:dyDescent="0.35">
      <c r="A72" s="60" t="s">
        <v>589</v>
      </c>
      <c r="B72" s="95"/>
      <c r="C72" s="108">
        <v>1101.9999660000001</v>
      </c>
      <c r="D72" s="109">
        <f>C72</f>
        <v>1101.9999660000001</v>
      </c>
      <c r="E72" s="110">
        <v>1102</v>
      </c>
      <c r="F72" s="111">
        <f t="shared" si="2"/>
        <v>1102</v>
      </c>
    </row>
    <row r="73" spans="1:6" ht="15" customHeight="1" x14ac:dyDescent="0.35">
      <c r="A73" s="60" t="s">
        <v>766</v>
      </c>
      <c r="B73" s="95"/>
      <c r="C73" s="108">
        <v>7262</v>
      </c>
      <c r="D73" s="108">
        <v>7262</v>
      </c>
      <c r="E73" s="112">
        <f>ROUND(E71+E72,0)</f>
        <v>7262</v>
      </c>
      <c r="F73" s="112">
        <f>ROUND(F71+F72,0)</f>
        <v>7262</v>
      </c>
    </row>
    <row r="74" spans="1:6" ht="15" customHeight="1" x14ac:dyDescent="0.35">
      <c r="A74" s="60" t="s">
        <v>590</v>
      </c>
      <c r="B74" s="95"/>
      <c r="C74" s="113">
        <f>VLOOKUP(Estimates!$E$1,INITIAL_EST,162,FALSE)</f>
        <v>6.3017999999999991E-2</v>
      </c>
      <c r="D74" s="114">
        <f t="shared" ref="D74:D79" si="3">C74</f>
        <v>6.3017999999999991E-2</v>
      </c>
      <c r="E74" s="115">
        <f>VLOOKUP(Estimates!$E$1,CASH_FLOW,163,FALSE)</f>
        <v>0</v>
      </c>
      <c r="F74" s="116">
        <f t="shared" si="2"/>
        <v>0</v>
      </c>
    </row>
    <row r="75" spans="1:6" ht="15" customHeight="1" x14ac:dyDescent="0.35">
      <c r="A75" s="60" t="s">
        <v>591</v>
      </c>
      <c r="B75" s="95"/>
      <c r="C75" s="113">
        <f>VLOOKUP(Estimates!$E$1,INITIAL_EST,163,FALSE)</f>
        <v>2.6953999999999999E-2</v>
      </c>
      <c r="D75" s="114">
        <f t="shared" si="3"/>
        <v>2.6953999999999999E-2</v>
      </c>
      <c r="E75" s="115">
        <f>VLOOKUP(Estimates!$E$1,CASH_FLOW,164,FALSE)</f>
        <v>0</v>
      </c>
      <c r="F75" s="116">
        <f t="shared" si="2"/>
        <v>0</v>
      </c>
    </row>
    <row r="76" spans="1:6" ht="15" customHeight="1" x14ac:dyDescent="0.35">
      <c r="A76" s="60" t="s">
        <v>690</v>
      </c>
      <c r="B76" s="95"/>
      <c r="C76" s="113">
        <f>VLOOKUP(Estimates!$E$1,INITIAL_EST,210,FALSE)</f>
        <v>4.2206E-2</v>
      </c>
      <c r="D76" s="114">
        <f t="shared" si="3"/>
        <v>4.2206E-2</v>
      </c>
      <c r="E76" s="115">
        <f>VLOOKUP(Estimates!$E$1,CASH_FLOW,211,FALSE)</f>
        <v>0</v>
      </c>
      <c r="F76" s="116">
        <f t="shared" si="2"/>
        <v>0</v>
      </c>
    </row>
    <row r="77" spans="1:6" ht="15" customHeight="1" x14ac:dyDescent="0.35">
      <c r="A77" s="60" t="s">
        <v>593</v>
      </c>
      <c r="B77" s="95"/>
      <c r="C77" s="107">
        <v>40</v>
      </c>
      <c r="D77" s="105">
        <f t="shared" si="3"/>
        <v>40</v>
      </c>
      <c r="E77" s="106">
        <f t="shared" ref="E77" si="4">C77</f>
        <v>40</v>
      </c>
      <c r="F77" s="107">
        <f t="shared" si="2"/>
        <v>40</v>
      </c>
    </row>
    <row r="78" spans="1:6" ht="15" customHeight="1" x14ac:dyDescent="0.35">
      <c r="A78" s="60" t="s">
        <v>594</v>
      </c>
      <c r="B78" s="95"/>
      <c r="C78" s="107">
        <v>126.21</v>
      </c>
      <c r="D78" s="105">
        <f t="shared" si="3"/>
        <v>126.21</v>
      </c>
      <c r="E78" s="106">
        <v>126.21</v>
      </c>
      <c r="F78" s="107">
        <f t="shared" si="2"/>
        <v>126.21</v>
      </c>
    </row>
    <row r="79" spans="1:6" ht="15" customHeight="1" x14ac:dyDescent="0.35">
      <c r="A79" s="60" t="s">
        <v>595</v>
      </c>
      <c r="B79" s="95"/>
      <c r="C79" s="104">
        <v>49.28</v>
      </c>
      <c r="D79" s="117">
        <f t="shared" si="3"/>
        <v>49.28</v>
      </c>
      <c r="E79" s="118">
        <v>49.28</v>
      </c>
      <c r="F79" s="104">
        <f t="shared" si="2"/>
        <v>49.28</v>
      </c>
    </row>
    <row r="80" spans="1:6" s="3" customFormat="1" ht="19.149999999999999" customHeight="1" x14ac:dyDescent="0.35">
      <c r="A80" s="231" t="s">
        <v>919</v>
      </c>
      <c r="B80" s="232"/>
      <c r="C80" s="233"/>
      <c r="D80" s="234"/>
      <c r="E80" s="235"/>
      <c r="F80" s="233"/>
    </row>
    <row r="81" spans="1:7" s="5" customFormat="1" ht="19.149999999999999" customHeight="1" thickBot="1" x14ac:dyDescent="0.35">
      <c r="A81" s="179" t="s">
        <v>640</v>
      </c>
      <c r="B81" s="180"/>
      <c r="C81" s="181">
        <f>IF(C90&gt;C91,C46*C71,(C46*C71)-MIN(C92,C46*C71))</f>
        <v>0</v>
      </c>
      <c r="D81" s="182">
        <f>IF(D90&gt;D91,D46*D71,(D46*D71)-MIN(D92,D46*D71))</f>
        <v>0</v>
      </c>
      <c r="E81" s="183">
        <f>IF(E4=0,0,(IF(E90&gt;E91,E46*E71,(E46*E71)-MIN(E92,E46*E71))))</f>
        <v>0</v>
      </c>
      <c r="F81" s="184">
        <f>IF(F4=0,0,(IF(F90&gt;F91,F46*F71,(F46*F71)-MIN(F92,F46*F71))))</f>
        <v>0</v>
      </c>
    </row>
    <row r="82" spans="1:7" s="5" customFormat="1" ht="19.149999999999999" customHeight="1" thickTop="1" thickBot="1" x14ac:dyDescent="0.35">
      <c r="A82" s="185" t="s">
        <v>605</v>
      </c>
      <c r="B82" s="186"/>
      <c r="C82" s="187">
        <f>C72*C46</f>
        <v>0</v>
      </c>
      <c r="D82" s="188">
        <f>D72*D46</f>
        <v>0</v>
      </c>
      <c r="E82" s="189">
        <f>E72*E46</f>
        <v>0</v>
      </c>
      <c r="F82" s="190">
        <f>F72*F46</f>
        <v>0</v>
      </c>
    </row>
    <row r="83" spans="1:7" s="18" customFormat="1" ht="19.149999999999999" customHeight="1" thickTop="1" x14ac:dyDescent="0.25">
      <c r="A83" s="119" t="s">
        <v>913</v>
      </c>
      <c r="B83" s="120"/>
      <c r="C83" s="121"/>
      <c r="D83" s="122"/>
      <c r="E83" s="123"/>
      <c r="F83" s="121"/>
      <c r="G83" s="5"/>
    </row>
    <row r="84" spans="1:7" s="13" customFormat="1" ht="15" customHeight="1" x14ac:dyDescent="0.35">
      <c r="A84" s="124" t="s">
        <v>908</v>
      </c>
      <c r="B84" s="125"/>
      <c r="C84" s="126">
        <f>C16*C71</f>
        <v>0</v>
      </c>
      <c r="D84" s="127">
        <f>D16*D71</f>
        <v>0</v>
      </c>
      <c r="E84" s="128">
        <f>E16*E71</f>
        <v>0</v>
      </c>
      <c r="F84" s="126">
        <f>F16*F71</f>
        <v>0</v>
      </c>
      <c r="G84" s="2"/>
    </row>
    <row r="85" spans="1:7" s="13" customFormat="1" ht="15" customHeight="1" x14ac:dyDescent="0.35">
      <c r="A85" s="124" t="s">
        <v>909</v>
      </c>
      <c r="B85" s="125"/>
      <c r="C85" s="126">
        <f>C37*$B$37*C71</f>
        <v>0</v>
      </c>
      <c r="D85" s="127">
        <f>D37*$B$37*D71</f>
        <v>0</v>
      </c>
      <c r="E85" s="128">
        <f>E37*$B$37*E71</f>
        <v>0</v>
      </c>
      <c r="F85" s="126">
        <f>F37*$B$37*F71</f>
        <v>0</v>
      </c>
      <c r="G85" s="2"/>
    </row>
    <row r="86" spans="1:7" s="13" customFormat="1" ht="15" customHeight="1" x14ac:dyDescent="0.35">
      <c r="A86" s="124" t="s">
        <v>910</v>
      </c>
      <c r="B86" s="125"/>
      <c r="C86" s="126">
        <f>C14*$B$14*C71</f>
        <v>0</v>
      </c>
      <c r="D86" s="127">
        <f>D14*$B$14*D71</f>
        <v>0</v>
      </c>
      <c r="E86" s="128">
        <f>E14*$B$14*E71</f>
        <v>0</v>
      </c>
      <c r="F86" s="126">
        <f>F14*$B$14*F71</f>
        <v>0</v>
      </c>
      <c r="G86" s="2"/>
    </row>
    <row r="87" spans="1:7" s="13" customFormat="1" ht="15" customHeight="1" x14ac:dyDescent="0.35">
      <c r="A87" s="124" t="s">
        <v>911</v>
      </c>
      <c r="B87" s="125"/>
      <c r="C87" s="126">
        <f>C13*$B$13*C71</f>
        <v>0</v>
      </c>
      <c r="D87" s="127">
        <f>D13*$B$13*D71</f>
        <v>0</v>
      </c>
      <c r="E87" s="128">
        <f>E13*$B$13*E71</f>
        <v>0</v>
      </c>
      <c r="F87" s="126">
        <f>F13*$B$13*F71</f>
        <v>0</v>
      </c>
      <c r="G87" s="2"/>
    </row>
    <row r="88" spans="1:7" s="13" customFormat="1" ht="15" customHeight="1" x14ac:dyDescent="0.35">
      <c r="A88" s="124" t="s">
        <v>907</v>
      </c>
      <c r="B88" s="125"/>
      <c r="C88" s="126">
        <f>C29*C71*0.75</f>
        <v>0</v>
      </c>
      <c r="D88" s="127">
        <f>D29*D71*0.75</f>
        <v>0</v>
      </c>
      <c r="E88" s="129">
        <f>E29*E71*0.75</f>
        <v>0</v>
      </c>
      <c r="F88" s="126">
        <f>F29*F71*0.75</f>
        <v>0</v>
      </c>
      <c r="G88" s="2"/>
    </row>
    <row r="89" spans="1:7" ht="15" customHeight="1" x14ac:dyDescent="0.35">
      <c r="A89" s="124" t="s">
        <v>912</v>
      </c>
      <c r="B89" s="125"/>
      <c r="C89" s="175">
        <f>-VLOOKUP($B$3,INITIAL_EST,117,FALSE)</f>
        <v>0</v>
      </c>
      <c r="D89" s="176">
        <f>IF($D$4=0,0,C89)</f>
        <v>0</v>
      </c>
      <c r="E89" s="177">
        <f>-VLOOKUP(Estimates!$E$1,CASH_FLOW,118,FALSE)</f>
        <v>0</v>
      </c>
      <c r="F89" s="178"/>
    </row>
    <row r="90" spans="1:7" ht="15" customHeight="1" x14ac:dyDescent="0.35">
      <c r="A90" s="130" t="s">
        <v>922</v>
      </c>
      <c r="B90" s="125"/>
      <c r="C90" s="126">
        <f>SUM(C84:C88)</f>
        <v>0</v>
      </c>
      <c r="D90" s="127">
        <f>SUM(D84:D88)</f>
        <v>0</v>
      </c>
      <c r="E90" s="112">
        <f>SUM(E84:E88)</f>
        <v>0</v>
      </c>
      <c r="F90" s="108">
        <f>SUM(F84:F88)</f>
        <v>0</v>
      </c>
    </row>
    <row r="91" spans="1:7" ht="15" customHeight="1" x14ac:dyDescent="0.35">
      <c r="A91" s="130" t="s">
        <v>1086</v>
      </c>
      <c r="B91" s="125"/>
      <c r="C91" s="126">
        <f>IFERROR('Prior Law'!C68,0)</f>
        <v>0</v>
      </c>
      <c r="D91" s="127">
        <f>IFERROR(IF(D4=0,0,'Prior Law'!C68),0)</f>
        <v>0</v>
      </c>
      <c r="E91" s="128">
        <f>IFERROR(IF(E4=0,0,'Prior Law'!C68),0)</f>
        <v>0</v>
      </c>
      <c r="F91" s="126">
        <f>IFERROR(IF(F4=0,0,'Prior Law'!C68),0)</f>
        <v>0</v>
      </c>
    </row>
    <row r="92" spans="1:7" ht="15" customHeight="1" x14ac:dyDescent="0.35">
      <c r="A92" s="131" t="s">
        <v>923</v>
      </c>
      <c r="B92" s="125"/>
      <c r="C92" s="126">
        <f>IF(C91-C90&lt;0,0,C91-C90)</f>
        <v>0</v>
      </c>
      <c r="D92" s="127">
        <f>IF(D91-D90&lt;0,0,D91-D90)</f>
        <v>0</v>
      </c>
      <c r="E92" s="129">
        <f>IF(E91-E90&lt;0,0,E91-E90)</f>
        <v>0</v>
      </c>
      <c r="F92" s="132">
        <f>IF(F91-F90&lt;0,0,F91-F90)</f>
        <v>0</v>
      </c>
    </row>
    <row r="93" spans="1:7" s="6" customFormat="1" ht="19.149999999999999" customHeight="1" thickBot="1" x14ac:dyDescent="0.35">
      <c r="A93" s="179" t="s">
        <v>641</v>
      </c>
      <c r="B93" s="180"/>
      <c r="C93" s="184">
        <f>IF(C90&gt;C91,C89+C90,C89+C90+C92)</f>
        <v>0</v>
      </c>
      <c r="D93" s="182">
        <f>IF(D90&gt;D91,D89+D90,D89+D90+D92)</f>
        <v>0</v>
      </c>
      <c r="E93" s="183">
        <f>IF(E90&gt;E91,E89+E90,E89+E90+E92)</f>
        <v>0</v>
      </c>
      <c r="F93" s="184">
        <f>IF(F90&gt;F91,F89+F90,F89+F90+F92)</f>
        <v>0</v>
      </c>
    </row>
    <row r="94" spans="1:7" s="18" customFormat="1" ht="19.149999999999999" customHeight="1" thickTop="1" x14ac:dyDescent="0.25">
      <c r="A94" s="133" t="s">
        <v>914</v>
      </c>
      <c r="B94" s="125"/>
      <c r="C94" s="134"/>
      <c r="D94" s="135"/>
      <c r="E94" s="136"/>
      <c r="F94" s="134"/>
      <c r="G94" s="5"/>
    </row>
    <row r="95" spans="1:7" s="6" customFormat="1" ht="15" customHeight="1" x14ac:dyDescent="0.25">
      <c r="A95" s="137" t="s">
        <v>787</v>
      </c>
      <c r="B95" s="120"/>
      <c r="C95" s="126">
        <f>C71*$B$48*C48</f>
        <v>0</v>
      </c>
      <c r="D95" s="127">
        <f t="shared" ref="D95:E95" si="5">D71*$B$48*D48</f>
        <v>0</v>
      </c>
      <c r="E95" s="128">
        <f t="shared" si="5"/>
        <v>0</v>
      </c>
      <c r="F95" s="126">
        <f t="shared" ref="F95" si="6">F71*$B$48*F48</f>
        <v>0</v>
      </c>
      <c r="G95" s="8"/>
    </row>
    <row r="96" spans="1:7" s="6" customFormat="1" ht="15" customHeight="1" x14ac:dyDescent="0.25">
      <c r="A96" s="137" t="s">
        <v>788</v>
      </c>
      <c r="B96" s="120"/>
      <c r="C96" s="126">
        <f>C71*$B$49*C49</f>
        <v>0</v>
      </c>
      <c r="D96" s="126">
        <f>D71*$B$49*D49</f>
        <v>0</v>
      </c>
      <c r="E96" s="128">
        <f>E71*$B$49*E49</f>
        <v>0</v>
      </c>
      <c r="F96" s="138">
        <f>F71*$B$49*F49</f>
        <v>0</v>
      </c>
      <c r="G96" s="8"/>
    </row>
    <row r="97" spans="1:7" s="6" customFormat="1" ht="19.149999999999999" customHeight="1" thickBot="1" x14ac:dyDescent="0.35">
      <c r="A97" s="179" t="s">
        <v>786</v>
      </c>
      <c r="B97" s="180"/>
      <c r="C97" s="184">
        <f>SUM(C95:C96)</f>
        <v>0</v>
      </c>
      <c r="D97" s="182">
        <f t="shared" ref="D97:F97" si="7">SUM(D95:D96)</f>
        <v>0</v>
      </c>
      <c r="E97" s="183">
        <f t="shared" si="7"/>
        <v>0</v>
      </c>
      <c r="F97" s="184">
        <f t="shared" si="7"/>
        <v>0</v>
      </c>
    </row>
    <row r="98" spans="1:7" s="17" customFormat="1" ht="19.149999999999999" customHeight="1" thickTop="1" x14ac:dyDescent="0.35">
      <c r="A98" s="140" t="s">
        <v>921</v>
      </c>
      <c r="B98" s="120"/>
      <c r="C98" s="138"/>
      <c r="D98" s="139"/>
      <c r="E98" s="141"/>
      <c r="F98" s="138"/>
      <c r="G98" s="3"/>
    </row>
    <row r="99" spans="1:7" s="13" customFormat="1" ht="15" customHeight="1" x14ac:dyDescent="0.35">
      <c r="A99" s="137" t="s">
        <v>631</v>
      </c>
      <c r="B99" s="125"/>
      <c r="C99" s="126">
        <f>C60*C71</f>
        <v>0</v>
      </c>
      <c r="D99" s="127">
        <f>IF(D4=0,0,D60*D71)</f>
        <v>0</v>
      </c>
      <c r="E99" s="128">
        <f>E60*E71</f>
        <v>0</v>
      </c>
      <c r="F99" s="126">
        <f>F60*F71</f>
        <v>0</v>
      </c>
      <c r="G99" s="2"/>
    </row>
    <row r="100" spans="1:7" s="13" customFormat="1" ht="15" customHeight="1" x14ac:dyDescent="0.35">
      <c r="A100" s="137" t="s">
        <v>632</v>
      </c>
      <c r="B100" s="125"/>
      <c r="C100" s="126">
        <f>C61*$B$61*C71</f>
        <v>0</v>
      </c>
      <c r="D100" s="127">
        <f>D61*$B$61*D71</f>
        <v>0</v>
      </c>
      <c r="E100" s="128">
        <f>E61*$B$61*E71</f>
        <v>0</v>
      </c>
      <c r="F100" s="126">
        <f>F61*$B$61*F71</f>
        <v>0</v>
      </c>
      <c r="G100" s="2"/>
    </row>
    <row r="101" spans="1:7" s="13" customFormat="1" ht="15" customHeight="1" x14ac:dyDescent="0.35">
      <c r="A101" s="142" t="s">
        <v>915</v>
      </c>
      <c r="B101" s="125"/>
      <c r="C101" s="126">
        <f>C71*C62*$B$62</f>
        <v>0</v>
      </c>
      <c r="D101" s="127">
        <f>IF(D4=0,0,D71*D62*$B$62)</f>
        <v>0</v>
      </c>
      <c r="E101" s="128">
        <f>E71*E62*$B$62</f>
        <v>0</v>
      </c>
      <c r="F101" s="126">
        <f>F71*F62*$B$62</f>
        <v>0</v>
      </c>
      <c r="G101" s="2"/>
    </row>
    <row r="102" spans="1:7" s="5" customFormat="1" ht="19.149999999999999" customHeight="1" thickBot="1" x14ac:dyDescent="0.35">
      <c r="A102" s="179" t="s">
        <v>643</v>
      </c>
      <c r="B102" s="180"/>
      <c r="C102" s="184">
        <f>SUM(C99:C101)</f>
        <v>0</v>
      </c>
      <c r="D102" s="182">
        <f>SUM(D99:D100)</f>
        <v>0</v>
      </c>
      <c r="E102" s="183">
        <f>SUM(E99:E101)</f>
        <v>0</v>
      </c>
      <c r="F102" s="184">
        <f>SUM(F99:F101)</f>
        <v>0</v>
      </c>
    </row>
    <row r="103" spans="1:7" s="5" customFormat="1" ht="19.149999999999999" customHeight="1" thickTop="1" x14ac:dyDescent="0.3">
      <c r="A103" s="191" t="s">
        <v>644</v>
      </c>
      <c r="B103" s="192"/>
      <c r="C103" s="193">
        <f>C35*C71</f>
        <v>0</v>
      </c>
      <c r="D103" s="194">
        <f>D35*D71</f>
        <v>0</v>
      </c>
      <c r="E103" s="195">
        <f>E35*E71</f>
        <v>0</v>
      </c>
      <c r="F103" s="193">
        <f>F35*F71</f>
        <v>0</v>
      </c>
    </row>
    <row r="104" spans="1:7" s="13" customFormat="1" ht="19.149999999999999" customHeight="1" x14ac:dyDescent="0.35">
      <c r="A104" s="133" t="s">
        <v>925</v>
      </c>
      <c r="B104" s="125"/>
      <c r="C104" s="134"/>
      <c r="D104" s="135"/>
      <c r="E104" s="136"/>
      <c r="F104" s="134"/>
      <c r="G104" s="5"/>
    </row>
    <row r="105" spans="1:7" s="13" customFormat="1" ht="15" customHeight="1" x14ac:dyDescent="0.35">
      <c r="A105" s="137" t="s">
        <v>620</v>
      </c>
      <c r="B105" s="125"/>
      <c r="C105" s="126">
        <f>C45*C73</f>
        <v>0</v>
      </c>
      <c r="D105" s="127">
        <f>D45*D73</f>
        <v>0</v>
      </c>
      <c r="E105" s="128">
        <f>E45*E73</f>
        <v>0</v>
      </c>
      <c r="F105" s="126">
        <f>F45*F73</f>
        <v>0</v>
      </c>
      <c r="G105" s="5"/>
    </row>
    <row r="106" spans="1:7" s="13" customFormat="1" ht="15" customHeight="1" x14ac:dyDescent="0.35">
      <c r="A106" s="137" t="s">
        <v>621</v>
      </c>
      <c r="B106" s="125"/>
      <c r="C106" s="126">
        <f>C43*$B$43</f>
        <v>0</v>
      </c>
      <c r="D106" s="127">
        <f>D43*$B$43</f>
        <v>0</v>
      </c>
      <c r="E106" s="128">
        <f>E43*$B$43</f>
        <v>0</v>
      </c>
      <c r="F106" s="126">
        <f>F43*$B$43</f>
        <v>0</v>
      </c>
      <c r="G106" s="5"/>
    </row>
    <row r="107" spans="1:7" s="5" customFormat="1" ht="19.149999999999999" customHeight="1" thickBot="1" x14ac:dyDescent="0.35">
      <c r="A107" s="179" t="s">
        <v>645</v>
      </c>
      <c r="B107" s="180"/>
      <c r="C107" s="184">
        <f>SUM(C105:C106)</f>
        <v>0</v>
      </c>
      <c r="D107" s="182">
        <f>SUM(D105:D106)</f>
        <v>0</v>
      </c>
      <c r="E107" s="183">
        <f>SUM(E105:E106)</f>
        <v>0</v>
      </c>
      <c r="F107" s="184">
        <f>SUM(F105:F106)</f>
        <v>0</v>
      </c>
    </row>
    <row r="108" spans="1:7" s="5" customFormat="1" ht="19.149999999999999" customHeight="1" thickTop="1" x14ac:dyDescent="0.3">
      <c r="A108" s="191" t="s">
        <v>646</v>
      </c>
      <c r="B108" s="192"/>
      <c r="C108" s="193">
        <f>$B$63*C63*C71</f>
        <v>0</v>
      </c>
      <c r="D108" s="194">
        <f>IF($D$4=0,0,$B$63*D63*D71)</f>
        <v>0</v>
      </c>
      <c r="E108" s="220">
        <f>$B$63*E63*E71</f>
        <v>0</v>
      </c>
      <c r="F108" s="193">
        <f>$B$63*F63*F71</f>
        <v>0</v>
      </c>
    </row>
    <row r="109" spans="1:7" s="13" customFormat="1" ht="19.149999999999999" customHeight="1" x14ac:dyDescent="0.35">
      <c r="A109" s="133" t="s">
        <v>920</v>
      </c>
      <c r="B109" s="125"/>
      <c r="C109" s="134"/>
      <c r="D109" s="135"/>
      <c r="E109" s="136"/>
      <c r="F109" s="134"/>
      <c r="G109" s="2"/>
    </row>
    <row r="110" spans="1:7" s="6" customFormat="1" ht="15" customHeight="1" x14ac:dyDescent="0.25">
      <c r="A110" s="137" t="s">
        <v>770</v>
      </c>
      <c r="B110" s="125"/>
      <c r="C110" s="126">
        <f>C52*$B$52*C71</f>
        <v>0</v>
      </c>
      <c r="D110" s="127">
        <f t="shared" ref="D110:F110" si="8">D52*$B$52*D71</f>
        <v>0</v>
      </c>
      <c r="E110" s="126">
        <f t="shared" si="8"/>
        <v>0</v>
      </c>
      <c r="F110" s="126">
        <f t="shared" si="8"/>
        <v>0</v>
      </c>
      <c r="G110" s="8"/>
    </row>
    <row r="111" spans="1:7" s="6" customFormat="1" ht="15" customHeight="1" x14ac:dyDescent="0.25">
      <c r="A111" s="137" t="s">
        <v>1063</v>
      </c>
      <c r="B111" s="125"/>
      <c r="C111" s="126">
        <f>VLOOKUP(Estimates!$E$1,INITIAL_EST,53,FALSE)</f>
        <v>0</v>
      </c>
      <c r="D111" s="127"/>
      <c r="E111" s="621">
        <f>VLOOKUP(Estimates!$E$1,CASH_FLOW,54,FALSE)</f>
        <v>0</v>
      </c>
      <c r="F111" s="126"/>
      <c r="G111" s="8"/>
    </row>
    <row r="112" spans="1:7" s="6" customFormat="1" ht="15" customHeight="1" x14ac:dyDescent="0.25">
      <c r="A112" s="137" t="s">
        <v>769</v>
      </c>
      <c r="B112" s="125"/>
      <c r="C112" s="175">
        <f>-VLOOKUP(Estimates!$E$1,INITIAL_EST,56,FALSE)</f>
        <v>0</v>
      </c>
      <c r="D112" s="127">
        <f>IF(D4=0,0,C112)</f>
        <v>0</v>
      </c>
      <c r="E112" s="178">
        <f>-VLOOKUP(Estimates!$E$1,CASH_FLOW,57,FALSE)</f>
        <v>0</v>
      </c>
      <c r="F112" s="178">
        <v>0</v>
      </c>
      <c r="G112" s="8"/>
    </row>
    <row r="113" spans="1:7" s="6" customFormat="1" ht="31.25" customHeight="1" thickBot="1" x14ac:dyDescent="0.35">
      <c r="A113" s="196" t="s">
        <v>933</v>
      </c>
      <c r="B113" s="180"/>
      <c r="C113" s="184">
        <f>SUM(C111:C112)</f>
        <v>0</v>
      </c>
      <c r="D113" s="182">
        <f>D110+D112</f>
        <v>0</v>
      </c>
      <c r="E113" s="183">
        <f>E111+E112</f>
        <v>0</v>
      </c>
      <c r="F113" s="184">
        <f t="shared" ref="F113" si="9">F110+F112</f>
        <v>0</v>
      </c>
      <c r="G113" s="21"/>
    </row>
    <row r="114" spans="1:7" s="5" customFormat="1" ht="19.149999999999999" customHeight="1" thickTop="1" x14ac:dyDescent="0.3">
      <c r="A114" s="191" t="s">
        <v>647</v>
      </c>
      <c r="B114" s="192"/>
      <c r="C114" s="193">
        <f>Estimates!E66</f>
        <v>0</v>
      </c>
      <c r="D114" s="216">
        <f>IF($D$4=0,0,C114)</f>
        <v>0</v>
      </c>
      <c r="E114" s="217">
        <f>VLOOKUP(Estimates!$E$1,CASH_FLOW,221,FALSE)</f>
        <v>0</v>
      </c>
      <c r="F114" s="217">
        <v>0</v>
      </c>
    </row>
    <row r="115" spans="1:7" s="5" customFormat="1" ht="19.149999999999999" customHeight="1" x14ac:dyDescent="0.3">
      <c r="A115" s="215" t="s">
        <v>606</v>
      </c>
      <c r="B115" s="214"/>
      <c r="C115" s="211">
        <f>Estimates!E67</f>
        <v>0</v>
      </c>
      <c r="D115" s="212">
        <f>IF($D$4=0,0,Estimates!E67)</f>
        <v>0</v>
      </c>
      <c r="E115" s="217">
        <f>VLOOKUP(Estimates!$E$1,CASH_FLOW,222,FALSE)</f>
        <v>0</v>
      </c>
      <c r="F115" s="218">
        <v>0</v>
      </c>
    </row>
    <row r="116" spans="1:7" s="5" customFormat="1" ht="19.149999999999999" customHeight="1" x14ac:dyDescent="0.3">
      <c r="A116" s="215" t="s">
        <v>607</v>
      </c>
      <c r="B116" s="214"/>
      <c r="C116" s="211">
        <f>Estimates!E68</f>
        <v>0</v>
      </c>
      <c r="D116" s="212">
        <f>IF($D$4=0,0,Estimates!E68)</f>
        <v>0</v>
      </c>
      <c r="E116" s="217">
        <f>VLOOKUP(Estimates!$E$1,CASH_FLOW,223,FALSE)</f>
        <v>0</v>
      </c>
      <c r="F116" s="218">
        <v>0</v>
      </c>
    </row>
    <row r="117" spans="1:7" s="13" customFormat="1" ht="15.5" x14ac:dyDescent="0.35">
      <c r="A117" s="133" t="s">
        <v>1927</v>
      </c>
      <c r="B117" s="125"/>
      <c r="C117" s="134"/>
      <c r="D117" s="135"/>
      <c r="E117" s="136"/>
      <c r="F117" s="134"/>
      <c r="G117" s="2"/>
    </row>
    <row r="118" spans="1:7" s="5" customFormat="1" ht="15.5" x14ac:dyDescent="0.3">
      <c r="A118" s="124" t="s">
        <v>1929</v>
      </c>
      <c r="B118" s="516"/>
      <c r="C118" s="514">
        <f>C70*C4</f>
        <v>0</v>
      </c>
      <c r="D118" s="135">
        <f t="shared" ref="D118:F118" si="10">D70*D4</f>
        <v>0</v>
      </c>
      <c r="E118" s="211">
        <f t="shared" si="10"/>
        <v>0</v>
      </c>
      <c r="F118" s="211">
        <f t="shared" si="10"/>
        <v>0</v>
      </c>
    </row>
    <row r="119" spans="1:7" s="5" customFormat="1" ht="15.5" x14ac:dyDescent="0.3">
      <c r="A119" s="519" t="s">
        <v>1930</v>
      </c>
      <c r="C119" s="515"/>
      <c r="D119" s="212">
        <f>D70*D4</f>
        <v>0</v>
      </c>
      <c r="E119" s="193">
        <f>VLOOKUP(B3,'Eligible Campus'!1:1048576,4,FALSE)</f>
        <v>0</v>
      </c>
      <c r="F119" s="218">
        <v>0</v>
      </c>
    </row>
    <row r="120" spans="1:7" s="5" customFormat="1" ht="19.149999999999999" customHeight="1" x14ac:dyDescent="0.3">
      <c r="A120" s="215" t="s">
        <v>1928</v>
      </c>
      <c r="B120" s="214"/>
      <c r="D120" s="216"/>
      <c r="E120" s="211">
        <f>SUM(E118:E119)</f>
        <v>0</v>
      </c>
      <c r="F120" s="211">
        <f>SUM(F118:F119)</f>
        <v>0</v>
      </c>
    </row>
    <row r="121" spans="1:7" s="3" customFormat="1" ht="19.149999999999999" customHeight="1" x14ac:dyDescent="0.35">
      <c r="A121" s="237" t="s">
        <v>929</v>
      </c>
      <c r="B121" s="238"/>
      <c r="C121" s="233"/>
      <c r="D121" s="234"/>
      <c r="E121" s="233"/>
      <c r="F121" s="233"/>
    </row>
    <row r="122" spans="1:7" s="13" customFormat="1" ht="19.149999999999999" customHeight="1" x14ac:dyDescent="0.35">
      <c r="A122" s="137" t="s">
        <v>918</v>
      </c>
      <c r="B122" s="125"/>
      <c r="C122" s="134"/>
      <c r="D122" s="135"/>
      <c r="E122" s="477"/>
      <c r="F122" s="144"/>
      <c r="G122" s="2"/>
    </row>
    <row r="123" spans="1:7" s="13" customFormat="1" ht="15" customHeight="1" x14ac:dyDescent="0.35">
      <c r="A123" s="137" t="s">
        <v>916</v>
      </c>
      <c r="B123" s="125"/>
      <c r="C123" s="134">
        <f>IF($C$4=0,0,Estimates!E73)</f>
        <v>0</v>
      </c>
      <c r="D123" s="135">
        <f>IF($D$4=0,0,Estimates!E73)</f>
        <v>0</v>
      </c>
      <c r="E123" s="111">
        <f>VLOOKUP(Estimates!$E$1,CASH_FLOW,171,FALSE)</f>
        <v>0</v>
      </c>
      <c r="F123" s="111">
        <v>0</v>
      </c>
      <c r="G123" s="2"/>
    </row>
    <row r="124" spans="1:7" s="13" customFormat="1" ht="15" customHeight="1" x14ac:dyDescent="0.35">
      <c r="A124" s="137" t="s">
        <v>917</v>
      </c>
      <c r="B124" s="125"/>
      <c r="C124" s="134">
        <f>IF($C$4=0,0,Estimates!E74)</f>
        <v>0</v>
      </c>
      <c r="D124" s="135">
        <f>IF($D$4=0,0,Estimates!E74)</f>
        <v>0</v>
      </c>
      <c r="E124" s="111">
        <f>VLOOKUP(Estimates!$E$1,CASH_FLOW,170,FALSE)</f>
        <v>0</v>
      </c>
      <c r="F124" s="111">
        <v>0</v>
      </c>
      <c r="G124" s="2"/>
    </row>
    <row r="125" spans="1:7" s="13" customFormat="1" ht="15" customHeight="1" x14ac:dyDescent="0.35">
      <c r="A125" s="137" t="s">
        <v>614</v>
      </c>
      <c r="B125" s="125"/>
      <c r="C125" s="134">
        <f>IF($C$4=0,0,Estimates!E75)</f>
        <v>0</v>
      </c>
      <c r="D125" s="135">
        <f>IF($D$4=0,0,Estimates!E75)</f>
        <v>0</v>
      </c>
      <c r="E125" s="111">
        <f>VLOOKUP(Estimates!$E$1,CASH_FLOW,172,FALSE)</f>
        <v>0</v>
      </c>
      <c r="F125" s="111">
        <v>0</v>
      </c>
      <c r="G125" s="2"/>
    </row>
    <row r="126" spans="1:7" s="13" customFormat="1" ht="15" customHeight="1" x14ac:dyDescent="0.35">
      <c r="A126" s="137" t="s">
        <v>713</v>
      </c>
      <c r="B126" s="125"/>
      <c r="C126" s="134">
        <f>IF($C$4=0,0,Estimates!E76)</f>
        <v>0</v>
      </c>
      <c r="D126" s="135">
        <f>IF($D$4=0,0,Estimates!E76)</f>
        <v>0</v>
      </c>
      <c r="E126" s="111">
        <f>VLOOKUP(Estimates!$E$1,CASH_FLOW,175,FALSE)</f>
        <v>0</v>
      </c>
      <c r="F126" s="111">
        <v>0</v>
      </c>
      <c r="G126" s="2"/>
    </row>
    <row r="127" spans="1:7" s="5" customFormat="1" ht="19.149999999999999" customHeight="1" thickBot="1" x14ac:dyDescent="0.35">
      <c r="A127" s="179" t="s">
        <v>648</v>
      </c>
      <c r="B127" s="180"/>
      <c r="C127" s="184">
        <f>SUM(C123:C126)</f>
        <v>0</v>
      </c>
      <c r="D127" s="182">
        <f t="shared" ref="D127:F127" si="11">SUM(D123:D126)</f>
        <v>0</v>
      </c>
      <c r="E127" s="184">
        <f t="shared" si="11"/>
        <v>0</v>
      </c>
      <c r="F127" s="184">
        <f t="shared" si="11"/>
        <v>0</v>
      </c>
    </row>
    <row r="128" spans="1:7" s="5" customFormat="1" ht="19.149999999999999" customHeight="1" thickTop="1" thickBot="1" x14ac:dyDescent="0.35">
      <c r="A128" s="185" t="s">
        <v>649</v>
      </c>
      <c r="B128" s="186"/>
      <c r="C128" s="197">
        <f>VLOOKUP(Estimates!E1,INITIAL_EST,79,FALSE)</f>
        <v>0</v>
      </c>
      <c r="D128" s="188">
        <f>IF($D$4=0,0,Estimates!E69)</f>
        <v>0</v>
      </c>
      <c r="E128" s="198">
        <f>VLOOKUP(Estimates!$E$1,CASH_FLOW,80,FALSE)</f>
        <v>0</v>
      </c>
      <c r="F128" s="198">
        <v>0</v>
      </c>
    </row>
    <row r="129" spans="1:16" s="22" customFormat="1" ht="19.149999999999999" customHeight="1" thickTop="1" thickBot="1" x14ac:dyDescent="0.35">
      <c r="A129" s="185" t="s">
        <v>906</v>
      </c>
      <c r="B129" s="186"/>
      <c r="C129" s="190">
        <f>($B$65*C65)+($B$65*C64)</f>
        <v>0</v>
      </c>
      <c r="D129" s="188">
        <f>IF($D$4=0,0,($B$65*D65)+($B$64*D64))</f>
        <v>0</v>
      </c>
      <c r="E129" s="199">
        <f>IF($E$4=0,0,($B$65*(E65+E64)))</f>
        <v>0</v>
      </c>
      <c r="F129" s="199">
        <f>IF($F$4=0,0,($B$65*(F65+F64)))</f>
        <v>0</v>
      </c>
      <c r="G129" s="5"/>
      <c r="H129" s="5"/>
    </row>
    <row r="130" spans="1:16" s="5" customFormat="1" ht="19.149999999999999" customHeight="1" thickTop="1" thickBot="1" x14ac:dyDescent="0.35">
      <c r="A130" s="185" t="s">
        <v>610</v>
      </c>
      <c r="B130" s="186"/>
      <c r="C130" s="190">
        <f>VLOOKUP(B3,INITIAL_EST,218,FALSE)</f>
        <v>0</v>
      </c>
      <c r="D130" s="188">
        <f>IF($D$4=0,0,Estimates!E70)</f>
        <v>0</v>
      </c>
      <c r="E130" s="198">
        <f>VLOOKUP(Estimates!$E$1,CASH_FLOW,219,FALSE)</f>
        <v>0</v>
      </c>
      <c r="F130" s="198">
        <v>0</v>
      </c>
    </row>
    <row r="131" spans="1:16" s="5" customFormat="1" ht="19.149999999999999" customHeight="1" thickTop="1" thickBot="1" x14ac:dyDescent="0.35">
      <c r="A131" s="185" t="s">
        <v>611</v>
      </c>
      <c r="B131" s="186"/>
      <c r="C131" s="190">
        <f>VLOOKUP(B3,INITIAL_EST,219,FALSE)</f>
        <v>0</v>
      </c>
      <c r="D131" s="188">
        <f>IF($D$4=0,0,Estimates!E71)</f>
        <v>0</v>
      </c>
      <c r="E131" s="198">
        <f>VLOOKUP(Estimates!$E$1,CASH_FLOW,220,FALSE)</f>
        <v>0</v>
      </c>
      <c r="F131" s="198">
        <v>0</v>
      </c>
    </row>
    <row r="132" spans="1:16" s="1" customFormat="1" ht="19.149999999999999" customHeight="1" thickTop="1" thickBot="1" x14ac:dyDescent="0.4">
      <c r="A132" s="200" t="s">
        <v>653</v>
      </c>
      <c r="B132" s="186"/>
      <c r="C132" s="190">
        <f>SUM(C81+C82+C93+C97+C102+C103+C107+C108+C113+C114+C115+C116+C118+C127+C128+C129+C130+C131)</f>
        <v>0</v>
      </c>
      <c r="D132" s="188">
        <f>SUM(D81+D82+D93+D97+D102+D103+D107+D108+D113+D114+D115+D116+D119+D127+D128+D129+D130+D131)</f>
        <v>0</v>
      </c>
      <c r="E132" s="190">
        <f>SUM(E81+E82+E93+E97+E102+E103+E107+E108+E113+E114+E115+E116+E120+E127+E128+E129+E130+E131)</f>
        <v>0</v>
      </c>
      <c r="F132" s="190">
        <f>SUM(F81+F82+F93+F97+F102+F103+F107+F108+F113+F114+F115+F116+F120+F127+F128+F129+F130+F131)</f>
        <v>0</v>
      </c>
    </row>
    <row r="133" spans="1:16" s="3" customFormat="1" ht="19.149999999999999" customHeight="1" thickTop="1" x14ac:dyDescent="0.35">
      <c r="A133" s="236" t="s">
        <v>924</v>
      </c>
      <c r="B133" s="232"/>
      <c r="C133" s="233"/>
      <c r="D133" s="234"/>
      <c r="E133" s="233"/>
      <c r="F133" s="233"/>
    </row>
    <row r="134" spans="1:16" s="14" customFormat="1" ht="15" customHeight="1" x14ac:dyDescent="0.35">
      <c r="A134" s="124" t="s">
        <v>1088</v>
      </c>
      <c r="B134" s="125"/>
      <c r="C134" s="126">
        <f>ROUND((C78*C66*C74*100),1)</f>
        <v>0</v>
      </c>
      <c r="D134" s="127">
        <f>ROUND((D78*D66*D74*100),1)</f>
        <v>0</v>
      </c>
      <c r="E134" s="126">
        <f>ROUND((E78*E66*E74*100),1)</f>
        <v>0</v>
      </c>
      <c r="F134" s="126">
        <f>ROUND((F78*F66*F74*100),1)</f>
        <v>0</v>
      </c>
    </row>
    <row r="135" spans="1:16" s="14" customFormat="1" ht="15" customHeight="1" x14ac:dyDescent="0.35">
      <c r="A135" s="124" t="s">
        <v>1089</v>
      </c>
      <c r="B135" s="125"/>
      <c r="C135" s="126">
        <f>ROUND((C79*C66*C75*100),1)</f>
        <v>0</v>
      </c>
      <c r="D135" s="127">
        <f>ROUND((D79*D66*D75*100),1)</f>
        <v>0</v>
      </c>
      <c r="E135" s="126">
        <f>ROUND((E79*E66*E75*100),1)</f>
        <v>0</v>
      </c>
      <c r="F135" s="126">
        <f>ROUND((F79*F66*F75*100),1)</f>
        <v>0</v>
      </c>
    </row>
    <row r="136" spans="1:16" s="1" customFormat="1" ht="19.149999999999999" customHeight="1" thickBot="1" x14ac:dyDescent="0.4">
      <c r="A136" s="201" t="s">
        <v>926</v>
      </c>
      <c r="B136" s="180"/>
      <c r="C136" s="184">
        <f>SUM(C134:C135)</f>
        <v>0</v>
      </c>
      <c r="D136" s="182">
        <f>SUM(D134:D135)</f>
        <v>0</v>
      </c>
      <c r="E136" s="493">
        <f>SUM(E134:E135)</f>
        <v>0</v>
      </c>
      <c r="F136" s="184">
        <f>SUM(F134:F135)</f>
        <v>0</v>
      </c>
    </row>
    <row r="137" spans="1:16" s="3" customFormat="1" ht="27.75" customHeight="1" thickTop="1" thickBot="1" x14ac:dyDescent="0.4">
      <c r="A137" s="236" t="s">
        <v>1064</v>
      </c>
      <c r="B137" s="232"/>
      <c r="C137" s="233"/>
      <c r="D137" s="234"/>
      <c r="E137" s="494"/>
      <c r="F137" s="497"/>
    </row>
    <row r="138" spans="1:16" s="1" customFormat="1" ht="19.149999999999999" hidden="1" customHeight="1" thickBot="1" x14ac:dyDescent="0.4">
      <c r="A138" s="479" t="s">
        <v>1087</v>
      </c>
      <c r="B138" s="202"/>
      <c r="C138" s="480">
        <f>VLOOKUP(Estimates!$E$1,INITIAL_EST,291,FALSE)</f>
        <v>0</v>
      </c>
      <c r="D138" s="481">
        <f>IF(D4=0,0,C138)</f>
        <v>0</v>
      </c>
      <c r="E138" s="495">
        <v>0</v>
      </c>
      <c r="F138" s="498">
        <v>0</v>
      </c>
      <c r="G138" s="482"/>
      <c r="H138" s="482"/>
      <c r="I138" s="482"/>
      <c r="J138" s="482"/>
      <c r="K138" s="483"/>
      <c r="L138" s="483"/>
      <c r="M138" s="483"/>
    </row>
    <row r="139" spans="1:16" s="1" customFormat="1" ht="19.149999999999999" customHeight="1" thickTop="1" thickBot="1" x14ac:dyDescent="0.4">
      <c r="A139" s="203" t="s">
        <v>905</v>
      </c>
      <c r="B139" s="448" t="str">
        <f>Estimates!E64</f>
        <v>No</v>
      </c>
      <c r="C139" s="193">
        <f>IF(B139="YES", IFERROR(ROUND((C4*C76*C77*100),1),0), 0)</f>
        <v>0</v>
      </c>
      <c r="D139" s="194">
        <f>IF(B139="YES", IFERROR(ROUND((D4*D76*D77*100),1),0), 0)</f>
        <v>0</v>
      </c>
      <c r="E139" s="496">
        <f>IF(B139="YES", IFERROR(ROUND((E4*E76*E77*100),1),0), 0)</f>
        <v>0</v>
      </c>
      <c r="F139" s="499">
        <f>IF(B139="YES", IFERROR(ROUND((F4*F76*F77*100),1),0), 0)</f>
        <v>0</v>
      </c>
    </row>
    <row r="140" spans="1:16" s="1" customFormat="1" ht="19.149999999999999" customHeight="1" thickTop="1" x14ac:dyDescent="0.35">
      <c r="A140" s="145" t="s">
        <v>928</v>
      </c>
      <c r="B140" s="146"/>
      <c r="C140" s="147"/>
      <c r="D140" s="148"/>
      <c r="E140" s="147"/>
      <c r="F140" s="147"/>
      <c r="G140" s="2"/>
    </row>
    <row r="141" spans="1:16" s="1" customFormat="1" ht="15" customHeight="1" x14ac:dyDescent="0.35">
      <c r="A141" s="51" t="s">
        <v>798</v>
      </c>
      <c r="B141" s="143"/>
      <c r="C141" s="149">
        <f>IFERROR(VLOOKUP(B3,'FTG21'!1:1048576,22,FALSE),0)</f>
        <v>0</v>
      </c>
      <c r="D141" s="150">
        <f>C141</f>
        <v>0</v>
      </c>
      <c r="E141" s="149">
        <f>C141</f>
        <v>0</v>
      </c>
      <c r="F141" s="149">
        <f>C141</f>
        <v>0</v>
      </c>
      <c r="G141" s="2"/>
    </row>
    <row r="142" spans="1:16" s="13" customFormat="1" ht="15.5" x14ac:dyDescent="0.35">
      <c r="A142" s="51" t="s">
        <v>1065</v>
      </c>
      <c r="B142" s="125"/>
      <c r="C142" s="152">
        <f>MAX(C141:C141)*C4</f>
        <v>0</v>
      </c>
      <c r="D142" s="151">
        <f>MAX(D141:D141)*D4</f>
        <v>0</v>
      </c>
      <c r="E142" s="152">
        <f>MAX(E141:E141)*E4</f>
        <v>0</v>
      </c>
      <c r="F142" s="152">
        <f>MAX(F141:F141)*F4</f>
        <v>0</v>
      </c>
      <c r="G142" s="2"/>
    </row>
    <row r="143" spans="1:16" s="13" customFormat="1" ht="15" customHeight="1" x14ac:dyDescent="0.35">
      <c r="A143" s="51" t="s">
        <v>930</v>
      </c>
      <c r="B143" s="120"/>
      <c r="C143" s="153">
        <f>C132+C136+C139</f>
        <v>0</v>
      </c>
      <c r="D143" s="478">
        <f>D132+D136+D139</f>
        <v>0</v>
      </c>
      <c r="E143" s="153">
        <f>E132+E136+E139</f>
        <v>0</v>
      </c>
      <c r="F143" s="211">
        <f>F132+F136+F139</f>
        <v>0</v>
      </c>
      <c r="G143" s="2"/>
    </row>
    <row r="144" spans="1:16" ht="15.5" x14ac:dyDescent="0.35">
      <c r="A144" s="242" t="s">
        <v>931</v>
      </c>
      <c r="B144" s="450"/>
      <c r="C144" s="204">
        <f>IF(C142&gt;C143,C142-C143,0)</f>
        <v>0</v>
      </c>
      <c r="D144" s="205">
        <f>IF(D142&gt;D143,D142-D143,0)</f>
        <v>0</v>
      </c>
      <c r="E144" s="204">
        <f>IF(E142&gt;E143,E142-E143,0)</f>
        <v>0</v>
      </c>
      <c r="F144" s="211">
        <f>IF(F142&gt;F143,F142-F143,0)</f>
        <v>0</v>
      </c>
      <c r="P144" s="451"/>
    </row>
    <row r="145" spans="1:6" ht="16" thickBot="1" x14ac:dyDescent="0.4">
      <c r="A145" s="452" t="s">
        <v>932</v>
      </c>
      <c r="B145" s="453"/>
      <c r="C145" s="206"/>
      <c r="D145" s="207"/>
      <c r="E145" s="206"/>
      <c r="F145" s="219"/>
    </row>
    <row r="146" spans="1:6" s="23" customFormat="1" ht="19.149999999999999" customHeight="1" thickTop="1" thickBot="1" x14ac:dyDescent="0.4">
      <c r="A146" s="208" t="s">
        <v>927</v>
      </c>
      <c r="B146" s="186"/>
      <c r="C146" s="209">
        <f>C139+C144</f>
        <v>0</v>
      </c>
      <c r="D146" s="188">
        <f>D139+D144</f>
        <v>0</v>
      </c>
      <c r="E146" s="209">
        <f>E139+E144</f>
        <v>0</v>
      </c>
      <c r="F146" s="187">
        <f>F139+F144</f>
        <v>0</v>
      </c>
    </row>
    <row r="147" spans="1:6" s="23" customFormat="1" ht="19.149999999999999" customHeight="1" thickTop="1" x14ac:dyDescent="0.35">
      <c r="A147" s="239"/>
      <c r="B147" s="240"/>
      <c r="C147" s="241"/>
      <c r="D147" s="216"/>
      <c r="E147" s="241"/>
      <c r="F147" s="193"/>
    </row>
    <row r="148" spans="1:6" s="1" customFormat="1" ht="19.149999999999999" customHeight="1" x14ac:dyDescent="0.35">
      <c r="A148" s="213" t="s">
        <v>962</v>
      </c>
      <c r="B148" s="214" t="s">
        <v>450</v>
      </c>
      <c r="C148" s="211">
        <f>C151-C149</f>
        <v>0</v>
      </c>
      <c r="D148" s="212">
        <f>D151-D149</f>
        <v>0</v>
      </c>
      <c r="E148" s="484">
        <f t="shared" ref="E148:F148" si="12">E151-E149</f>
        <v>0</v>
      </c>
      <c r="F148" s="211">
        <f t="shared" si="12"/>
        <v>0</v>
      </c>
    </row>
    <row r="149" spans="1:6" s="1" customFormat="1" ht="19.149999999999999" customHeight="1" x14ac:dyDescent="0.35">
      <c r="A149" s="210" t="s">
        <v>963</v>
      </c>
      <c r="B149" s="192" t="s">
        <v>449</v>
      </c>
      <c r="C149" s="211">
        <f>IF(C4=0,0,C69*C68)</f>
        <v>0</v>
      </c>
      <c r="D149" s="212">
        <f>IF($D$4=0,0,D69*D68)</f>
        <v>0</v>
      </c>
      <c r="E149" s="211">
        <f>IF(E4=0,0,E69*E68)</f>
        <v>0</v>
      </c>
      <c r="F149" s="211">
        <f>IF($F$4=0,0,F69*F68)</f>
        <v>0</v>
      </c>
    </row>
    <row r="150" spans="1:6" s="1" customFormat="1" ht="19.149999999999999" customHeight="1" x14ac:dyDescent="0.35">
      <c r="A150" s="210"/>
      <c r="B150" s="192"/>
      <c r="C150" s="211"/>
      <c r="D150" s="212"/>
      <c r="E150" s="211"/>
      <c r="F150" s="211"/>
    </row>
    <row r="151" spans="1:6" s="23" customFormat="1" ht="35.25" customHeight="1" x14ac:dyDescent="0.35">
      <c r="A151" s="213" t="s">
        <v>656</v>
      </c>
      <c r="B151" s="214"/>
      <c r="C151" s="211">
        <f>C132+C136+C146</f>
        <v>0</v>
      </c>
      <c r="D151" s="212">
        <f>D132+D136+D146</f>
        <v>0</v>
      </c>
      <c r="E151" s="211">
        <f>E132+E136+E146</f>
        <v>0</v>
      </c>
      <c r="F151" s="211">
        <f>F132+F136+F146</f>
        <v>0</v>
      </c>
    </row>
    <row r="153" spans="1:6" ht="19.149999999999999" customHeight="1" x14ac:dyDescent="0.35">
      <c r="A153" s="53"/>
      <c r="C153" s="155"/>
    </row>
    <row r="154" spans="1:6" ht="19.149999999999999" customHeight="1" x14ac:dyDescent="0.35">
      <c r="A154" s="53"/>
      <c r="C154" s="155"/>
    </row>
    <row r="157" spans="1:6" ht="19.149999999999999" customHeight="1" x14ac:dyDescent="0.35">
      <c r="C157" s="157"/>
    </row>
    <row r="166" spans="1:2" ht="19.149999999999999" customHeight="1" x14ac:dyDescent="0.35">
      <c r="A166" s="454"/>
    </row>
    <row r="167" spans="1:2" ht="19.149999999999999" customHeight="1" x14ac:dyDescent="0.35">
      <c r="A167" s="454"/>
    </row>
    <row r="168" spans="1:2" ht="19.149999999999999" hidden="1" customHeight="1" x14ac:dyDescent="0.35">
      <c r="A168" s="454"/>
    </row>
    <row r="169" spans="1:2" ht="19.149999999999999" hidden="1" customHeight="1" x14ac:dyDescent="0.35">
      <c r="A169" s="158" t="s">
        <v>743</v>
      </c>
      <c r="B169" s="159"/>
    </row>
    <row r="170" spans="1:2" ht="19.149999999999999" hidden="1" customHeight="1" x14ac:dyDescent="0.35">
      <c r="A170" s="39">
        <v>1.35</v>
      </c>
      <c r="B170" s="159"/>
    </row>
    <row r="171" spans="1:2" ht="19.149999999999999" customHeight="1" x14ac:dyDescent="0.35">
      <c r="A171" s="454"/>
    </row>
    <row r="172" spans="1:2" ht="19.149999999999999" customHeight="1" x14ac:dyDescent="0.35">
      <c r="A172" s="454"/>
    </row>
    <row r="173" spans="1:2" ht="19.149999999999999" customHeight="1" x14ac:dyDescent="0.35">
      <c r="A173" s="454"/>
    </row>
  </sheetData>
  <sheetProtection algorithmName="SHA-512" hashValue="py/ThqdyppX0vGQHkuDF3vyvyJ8ZEnzzA73Pc5od5P9AMJIN99N4Ix7IZYtm/i45fGzOgzATvZ7ufljxUkwVPQ==" saltValue="k/Y3bHKWtp5ep7e2MF+CXw==" spinCount="100000" sheet="1" objects="1" scenarios="1"/>
  <phoneticPr fontId="6" type="noConversion"/>
  <hyperlinks>
    <hyperlink ref="A119" r:id="rId1" display=" 42.168 (a)(2) ($15,000 per eligible campus count)" xr:uid="{5F918EDC-4E35-48CB-86B6-164BB9AFEC76}"/>
  </hyperlinks>
  <printOptions headings="1"/>
  <pageMargins left="0.45" right="0.45" top="0.75" bottom="0.75" header="0.3" footer="0.3"/>
  <pageSetup scale="81" fitToHeight="0" orientation="landscape" horizontalDpi="360" verticalDpi="360" r:id="rId2"/>
  <headerFooter>
    <oddHeader>&amp;C&amp;"Calibri,Bold"&amp;14Summary of Finance Calculations
2023-2024 School Year</oddHeader>
    <oddFooter>&amp;R&amp;P of &amp;N</oddFooter>
  </headerFooter>
  <ignoredErrors>
    <ignoredError sqref="C68:C69 D69 D77:F77 D71 C79 C74:C77 D72 F72 D79 D78 F78 F79 D70 F70 D68 F68 F69 D74 F74 D75 F75 D76 F76" unlockedFormula="1"/>
  </ignoredErrors>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79998168889431442"/>
    <pageSetUpPr fitToPage="1"/>
  </sheetPr>
  <dimension ref="A2:NRB103"/>
  <sheetViews>
    <sheetView zoomScaleNormal="100" workbookViewId="0"/>
  </sheetViews>
  <sheetFormatPr defaultColWidth="9" defaultRowHeight="12.5" x14ac:dyDescent="0.25"/>
  <cols>
    <col min="1" max="1" width="72.54296875" style="156" bestFit="1" customWidth="1"/>
    <col min="2" max="2" width="13.1796875" style="53" bestFit="1" customWidth="1"/>
    <col min="3" max="4" width="12.90625" style="52" bestFit="1" customWidth="1"/>
    <col min="5" max="5" width="13.1796875" style="52" bestFit="1" customWidth="1"/>
    <col min="6" max="16384" width="9" style="52"/>
  </cols>
  <sheetData>
    <row r="2" spans="1:9934" s="383" customFormat="1" ht="13" x14ac:dyDescent="0.3">
      <c r="A2" s="417" t="s">
        <v>1044</v>
      </c>
      <c r="B2" s="418"/>
      <c r="C2" s="421" t="s">
        <v>791</v>
      </c>
      <c r="D2" s="421" t="s">
        <v>792</v>
      </c>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c r="HQ2" s="382"/>
      <c r="HR2" s="382"/>
      <c r="HS2" s="382"/>
      <c r="HT2" s="382"/>
      <c r="HU2" s="382"/>
      <c r="HV2" s="382"/>
      <c r="HW2" s="382"/>
      <c r="HX2" s="382"/>
      <c r="HY2" s="382"/>
      <c r="HZ2" s="382"/>
      <c r="IA2" s="382"/>
      <c r="IB2" s="382"/>
      <c r="IC2" s="382"/>
      <c r="ID2" s="382"/>
      <c r="IE2" s="382"/>
      <c r="IF2" s="382"/>
      <c r="IG2" s="382"/>
      <c r="IH2" s="382"/>
      <c r="II2" s="382"/>
      <c r="IJ2" s="382"/>
      <c r="IK2" s="382"/>
      <c r="IL2" s="382"/>
      <c r="IM2" s="382"/>
      <c r="IN2" s="382"/>
      <c r="IO2" s="382"/>
      <c r="IP2" s="382"/>
      <c r="IQ2" s="382"/>
      <c r="IR2" s="382"/>
      <c r="IS2" s="382"/>
      <c r="IT2" s="382"/>
      <c r="IU2" s="382"/>
      <c r="IV2" s="382"/>
      <c r="IW2" s="382"/>
      <c r="IX2" s="382"/>
      <c r="IY2" s="382"/>
      <c r="IZ2" s="382"/>
      <c r="JA2" s="382"/>
      <c r="JB2" s="382"/>
      <c r="JC2" s="382"/>
      <c r="JD2" s="382"/>
      <c r="JE2" s="382"/>
      <c r="JF2" s="382"/>
      <c r="JG2" s="382"/>
      <c r="JH2" s="382"/>
      <c r="JI2" s="382"/>
      <c r="JJ2" s="382"/>
      <c r="JK2" s="382"/>
      <c r="JL2" s="382"/>
      <c r="JM2" s="382"/>
      <c r="JN2" s="382"/>
      <c r="JO2" s="382"/>
      <c r="JP2" s="382"/>
      <c r="JQ2" s="382"/>
      <c r="JR2" s="382"/>
      <c r="JS2" s="382"/>
      <c r="JT2" s="382"/>
      <c r="JU2" s="382"/>
      <c r="JV2" s="382"/>
      <c r="JW2" s="382"/>
      <c r="JX2" s="382"/>
      <c r="JY2" s="382"/>
      <c r="JZ2" s="382"/>
      <c r="KA2" s="382"/>
      <c r="KB2" s="382"/>
      <c r="KC2" s="382"/>
      <c r="KD2" s="382"/>
      <c r="KE2" s="382"/>
      <c r="KF2" s="382"/>
      <c r="KG2" s="382"/>
      <c r="KH2" s="382"/>
      <c r="KI2" s="382"/>
      <c r="KJ2" s="382"/>
      <c r="KK2" s="382"/>
      <c r="KL2" s="382"/>
      <c r="KM2" s="382"/>
      <c r="KN2" s="382"/>
      <c r="KO2" s="382"/>
      <c r="KP2" s="382"/>
      <c r="KQ2" s="382"/>
      <c r="KR2" s="382"/>
      <c r="KS2" s="382"/>
      <c r="KT2" s="382"/>
      <c r="KU2" s="382"/>
      <c r="KV2" s="382"/>
      <c r="KW2" s="382"/>
      <c r="KX2" s="382"/>
      <c r="KY2" s="382"/>
      <c r="KZ2" s="382"/>
      <c r="LA2" s="382"/>
      <c r="LB2" s="382"/>
      <c r="LC2" s="382"/>
      <c r="LD2" s="382"/>
      <c r="LE2" s="382"/>
      <c r="LF2" s="382"/>
      <c r="LG2" s="382"/>
      <c r="LH2" s="382"/>
      <c r="LI2" s="382"/>
      <c r="LJ2" s="382"/>
      <c r="LK2" s="382"/>
      <c r="LL2" s="382"/>
      <c r="LM2" s="382"/>
      <c r="LN2" s="382"/>
      <c r="LO2" s="382"/>
      <c r="LP2" s="382"/>
      <c r="LQ2" s="382"/>
      <c r="LR2" s="382"/>
      <c r="LS2" s="382"/>
      <c r="LT2" s="382"/>
      <c r="LU2" s="382"/>
      <c r="LV2" s="382"/>
      <c r="LW2" s="382"/>
      <c r="LX2" s="382"/>
      <c r="LY2" s="382"/>
      <c r="LZ2" s="382"/>
      <c r="MA2" s="382"/>
      <c r="MB2" s="382"/>
      <c r="MC2" s="382"/>
      <c r="MD2" s="382"/>
      <c r="ME2" s="382"/>
      <c r="MF2" s="382"/>
      <c r="MG2" s="382"/>
      <c r="MH2" s="382"/>
      <c r="MI2" s="382"/>
      <c r="MJ2" s="382"/>
      <c r="MK2" s="382"/>
      <c r="ML2" s="382"/>
      <c r="MM2" s="382"/>
      <c r="MN2" s="382"/>
      <c r="MO2" s="382"/>
      <c r="MP2" s="382"/>
      <c r="MQ2" s="382"/>
      <c r="MR2" s="382"/>
      <c r="MS2" s="382"/>
      <c r="MT2" s="382"/>
      <c r="MU2" s="382"/>
      <c r="MV2" s="382"/>
      <c r="MW2" s="382"/>
      <c r="MX2" s="382"/>
      <c r="MY2" s="382"/>
      <c r="MZ2" s="382"/>
      <c r="NA2" s="382"/>
      <c r="NB2" s="382"/>
      <c r="NC2" s="382"/>
      <c r="ND2" s="382"/>
      <c r="NE2" s="382"/>
      <c r="NF2" s="382"/>
      <c r="NG2" s="382"/>
      <c r="NH2" s="382"/>
      <c r="NI2" s="382"/>
      <c r="NJ2" s="382"/>
      <c r="NK2" s="382"/>
      <c r="NL2" s="382"/>
      <c r="NM2" s="382"/>
      <c r="NN2" s="382"/>
      <c r="NO2" s="382"/>
      <c r="NP2" s="382"/>
      <c r="NQ2" s="382"/>
      <c r="NR2" s="382"/>
      <c r="NS2" s="382"/>
      <c r="NT2" s="382"/>
      <c r="NU2" s="382"/>
      <c r="NV2" s="382"/>
      <c r="NW2" s="382"/>
      <c r="NX2" s="382"/>
      <c r="NY2" s="382"/>
      <c r="NZ2" s="382"/>
      <c r="OA2" s="382"/>
      <c r="OB2" s="382"/>
      <c r="OC2" s="382"/>
      <c r="OD2" s="382"/>
      <c r="OE2" s="382"/>
      <c r="OF2" s="382"/>
      <c r="OG2" s="382"/>
      <c r="OH2" s="382"/>
      <c r="OI2" s="382"/>
      <c r="OJ2" s="382"/>
      <c r="OK2" s="382"/>
      <c r="OL2" s="382"/>
      <c r="OM2" s="382"/>
      <c r="ON2" s="382"/>
      <c r="OO2" s="382"/>
      <c r="OP2" s="382"/>
      <c r="OQ2" s="382"/>
      <c r="OR2" s="382"/>
      <c r="OS2" s="382"/>
      <c r="OT2" s="382"/>
      <c r="OU2" s="382"/>
      <c r="OV2" s="382"/>
      <c r="OW2" s="382"/>
      <c r="OX2" s="382"/>
      <c r="OY2" s="382"/>
      <c r="OZ2" s="382"/>
      <c r="PA2" s="382"/>
      <c r="PB2" s="382"/>
      <c r="PC2" s="382"/>
      <c r="PD2" s="382"/>
      <c r="PE2" s="382"/>
      <c r="PF2" s="382"/>
      <c r="PG2" s="382"/>
      <c r="PH2" s="382"/>
      <c r="PI2" s="382"/>
      <c r="PJ2" s="382"/>
      <c r="PK2" s="382"/>
      <c r="PL2" s="382"/>
      <c r="PM2" s="382"/>
      <c r="PN2" s="382"/>
      <c r="PO2" s="382"/>
      <c r="PP2" s="382"/>
      <c r="PQ2" s="382"/>
      <c r="PR2" s="382"/>
      <c r="PS2" s="382"/>
      <c r="PT2" s="382"/>
      <c r="PU2" s="382"/>
      <c r="PV2" s="382"/>
      <c r="PW2" s="382"/>
      <c r="PX2" s="382"/>
      <c r="PY2" s="382"/>
      <c r="PZ2" s="382"/>
      <c r="QA2" s="382"/>
      <c r="QB2" s="382"/>
      <c r="QC2" s="382"/>
      <c r="QD2" s="382"/>
      <c r="QE2" s="382"/>
      <c r="QF2" s="382"/>
      <c r="QG2" s="382"/>
      <c r="QH2" s="382"/>
      <c r="QI2" s="382"/>
      <c r="QJ2" s="382"/>
      <c r="QK2" s="382"/>
      <c r="QL2" s="382"/>
      <c r="QM2" s="382"/>
      <c r="QN2" s="382"/>
      <c r="QO2" s="382"/>
      <c r="QP2" s="382"/>
      <c r="QQ2" s="382"/>
      <c r="QR2" s="382"/>
      <c r="QS2" s="382"/>
      <c r="QT2" s="382"/>
      <c r="QU2" s="382"/>
      <c r="QV2" s="382"/>
      <c r="QW2" s="382"/>
      <c r="QX2" s="382"/>
      <c r="QY2" s="382"/>
      <c r="QZ2" s="382"/>
      <c r="RA2" s="382"/>
      <c r="RB2" s="382"/>
      <c r="RC2" s="382"/>
      <c r="RD2" s="382"/>
      <c r="RE2" s="382"/>
      <c r="RF2" s="382"/>
      <c r="RG2" s="382"/>
      <c r="RH2" s="382"/>
      <c r="RI2" s="382"/>
      <c r="RJ2" s="382"/>
      <c r="RK2" s="382"/>
      <c r="RL2" s="382"/>
      <c r="RM2" s="382"/>
      <c r="RN2" s="382"/>
      <c r="RO2" s="382"/>
      <c r="RP2" s="382"/>
      <c r="RQ2" s="382"/>
      <c r="RR2" s="382"/>
      <c r="RS2" s="382"/>
      <c r="RT2" s="382"/>
      <c r="RU2" s="382"/>
      <c r="RV2" s="382"/>
      <c r="RW2" s="382"/>
      <c r="RX2" s="382"/>
      <c r="RY2" s="382"/>
      <c r="RZ2" s="382"/>
      <c r="SA2" s="382"/>
      <c r="SB2" s="382"/>
      <c r="SC2" s="382"/>
      <c r="SD2" s="382"/>
      <c r="SE2" s="382"/>
      <c r="SF2" s="382"/>
      <c r="SG2" s="382"/>
      <c r="SH2" s="382"/>
      <c r="SI2" s="382"/>
      <c r="SJ2" s="382"/>
      <c r="SK2" s="382"/>
      <c r="SL2" s="382"/>
      <c r="SM2" s="382"/>
      <c r="SN2" s="382"/>
      <c r="SO2" s="382"/>
      <c r="SP2" s="382"/>
      <c r="SQ2" s="382"/>
      <c r="SR2" s="382"/>
      <c r="SS2" s="382"/>
      <c r="ST2" s="382"/>
      <c r="SU2" s="382"/>
      <c r="SV2" s="382"/>
      <c r="SW2" s="382"/>
      <c r="SX2" s="382"/>
      <c r="SY2" s="382"/>
      <c r="SZ2" s="382"/>
      <c r="TA2" s="382"/>
      <c r="TB2" s="382"/>
      <c r="TC2" s="382"/>
      <c r="TD2" s="382"/>
      <c r="TE2" s="382"/>
      <c r="TF2" s="382"/>
      <c r="TG2" s="382"/>
      <c r="TH2" s="382"/>
      <c r="TI2" s="382"/>
      <c r="TJ2" s="382"/>
      <c r="TK2" s="382"/>
      <c r="TL2" s="382"/>
      <c r="TM2" s="382"/>
      <c r="TN2" s="382"/>
      <c r="TO2" s="382"/>
      <c r="TP2" s="382"/>
      <c r="TQ2" s="382"/>
      <c r="TR2" s="382"/>
      <c r="TS2" s="382"/>
      <c r="TT2" s="382"/>
      <c r="TU2" s="382"/>
      <c r="TV2" s="382"/>
      <c r="TW2" s="382"/>
      <c r="TX2" s="382"/>
      <c r="TY2" s="382"/>
      <c r="TZ2" s="382"/>
      <c r="UA2" s="382"/>
      <c r="UB2" s="382"/>
      <c r="UC2" s="382"/>
      <c r="UD2" s="382"/>
      <c r="UE2" s="382"/>
      <c r="UF2" s="382"/>
      <c r="UG2" s="382"/>
      <c r="UH2" s="382"/>
      <c r="UI2" s="382"/>
      <c r="UJ2" s="382"/>
      <c r="UK2" s="382"/>
      <c r="UL2" s="382"/>
      <c r="UM2" s="382"/>
      <c r="UN2" s="382"/>
      <c r="UO2" s="382"/>
      <c r="UP2" s="382"/>
      <c r="UQ2" s="382"/>
      <c r="UR2" s="382"/>
      <c r="US2" s="382"/>
      <c r="UT2" s="382"/>
      <c r="UU2" s="382"/>
      <c r="UV2" s="382"/>
      <c r="UW2" s="382"/>
      <c r="UX2" s="382"/>
      <c r="UY2" s="382"/>
      <c r="UZ2" s="382"/>
      <c r="VA2" s="382"/>
      <c r="VB2" s="382"/>
      <c r="VC2" s="382"/>
      <c r="VD2" s="382"/>
      <c r="VE2" s="382"/>
      <c r="VF2" s="382"/>
      <c r="VG2" s="382"/>
      <c r="VH2" s="382"/>
      <c r="VI2" s="382"/>
      <c r="VJ2" s="382"/>
      <c r="VK2" s="382"/>
      <c r="VL2" s="382"/>
      <c r="VM2" s="382"/>
      <c r="VN2" s="382"/>
      <c r="VO2" s="382"/>
      <c r="VP2" s="382"/>
      <c r="VQ2" s="382"/>
      <c r="VR2" s="382"/>
      <c r="VS2" s="382"/>
      <c r="VT2" s="382"/>
      <c r="VU2" s="382"/>
      <c r="VV2" s="382"/>
      <c r="VW2" s="382"/>
      <c r="VX2" s="382"/>
      <c r="VY2" s="382"/>
      <c r="VZ2" s="382"/>
      <c r="WA2" s="382"/>
      <c r="WB2" s="382"/>
      <c r="WC2" s="382"/>
      <c r="WD2" s="382"/>
      <c r="WE2" s="382"/>
      <c r="WF2" s="382"/>
      <c r="WG2" s="382"/>
      <c r="WH2" s="382"/>
      <c r="WI2" s="382"/>
      <c r="WJ2" s="382"/>
      <c r="WK2" s="382"/>
      <c r="WL2" s="382"/>
      <c r="WM2" s="382"/>
      <c r="WN2" s="382"/>
      <c r="WO2" s="382"/>
      <c r="WP2" s="382"/>
      <c r="WQ2" s="382"/>
      <c r="WR2" s="382"/>
      <c r="WS2" s="382"/>
      <c r="WT2" s="382"/>
      <c r="WU2" s="382"/>
      <c r="WV2" s="382"/>
      <c r="WW2" s="382"/>
      <c r="WX2" s="382"/>
      <c r="WY2" s="382"/>
      <c r="WZ2" s="382"/>
      <c r="XA2" s="382"/>
      <c r="XB2" s="382"/>
      <c r="XC2" s="382"/>
      <c r="XD2" s="382"/>
      <c r="XE2" s="382"/>
      <c r="XF2" s="382"/>
      <c r="XG2" s="382"/>
      <c r="XH2" s="382"/>
      <c r="XI2" s="382"/>
      <c r="XJ2" s="382"/>
      <c r="XK2" s="382"/>
      <c r="XL2" s="382"/>
      <c r="XM2" s="382"/>
      <c r="XN2" s="382"/>
      <c r="XO2" s="382"/>
      <c r="XP2" s="382"/>
      <c r="XQ2" s="382"/>
      <c r="XR2" s="382"/>
      <c r="XS2" s="382"/>
      <c r="XT2" s="382"/>
      <c r="XU2" s="382"/>
      <c r="XV2" s="382"/>
      <c r="XW2" s="382"/>
      <c r="XX2" s="382"/>
      <c r="XY2" s="382"/>
      <c r="XZ2" s="382"/>
      <c r="YA2" s="382"/>
      <c r="YB2" s="382"/>
      <c r="YC2" s="382"/>
      <c r="YD2" s="382"/>
      <c r="YE2" s="382"/>
      <c r="YF2" s="382"/>
      <c r="YG2" s="382"/>
      <c r="YH2" s="382"/>
      <c r="YI2" s="382"/>
      <c r="YJ2" s="382"/>
      <c r="YK2" s="382"/>
      <c r="YL2" s="382"/>
      <c r="YM2" s="382"/>
      <c r="YN2" s="382"/>
      <c r="YO2" s="382"/>
      <c r="YP2" s="382"/>
      <c r="YQ2" s="382"/>
      <c r="YR2" s="382"/>
      <c r="YS2" s="382"/>
      <c r="YT2" s="382"/>
      <c r="YU2" s="382"/>
      <c r="YV2" s="382"/>
      <c r="YW2" s="382"/>
      <c r="YX2" s="382"/>
      <c r="YY2" s="382"/>
      <c r="YZ2" s="382"/>
      <c r="ZA2" s="382"/>
      <c r="ZB2" s="382"/>
      <c r="ZC2" s="382"/>
      <c r="ZD2" s="382"/>
      <c r="ZE2" s="382"/>
      <c r="ZF2" s="382"/>
      <c r="ZG2" s="382"/>
      <c r="ZH2" s="382"/>
      <c r="ZI2" s="382"/>
      <c r="ZJ2" s="382"/>
      <c r="ZK2" s="382"/>
      <c r="ZL2" s="382"/>
      <c r="ZM2" s="382"/>
      <c r="ZN2" s="382"/>
      <c r="ZO2" s="382"/>
      <c r="ZP2" s="382"/>
      <c r="ZQ2" s="382"/>
      <c r="ZR2" s="382"/>
      <c r="ZS2" s="382"/>
      <c r="ZT2" s="382"/>
      <c r="ZU2" s="382"/>
      <c r="ZV2" s="382"/>
      <c r="ZW2" s="382"/>
      <c r="ZX2" s="382"/>
      <c r="ZY2" s="382"/>
      <c r="ZZ2" s="382"/>
      <c r="AAA2" s="382"/>
      <c r="AAB2" s="382"/>
      <c r="AAC2" s="382"/>
      <c r="AAD2" s="382"/>
      <c r="AAE2" s="382"/>
      <c r="AAF2" s="382"/>
      <c r="AAG2" s="382"/>
      <c r="AAH2" s="382"/>
      <c r="AAI2" s="382"/>
      <c r="AAJ2" s="382"/>
      <c r="AAK2" s="382"/>
      <c r="AAL2" s="382"/>
      <c r="AAM2" s="382"/>
      <c r="AAN2" s="382"/>
      <c r="AAO2" s="382"/>
      <c r="AAP2" s="382"/>
      <c r="AAQ2" s="382"/>
      <c r="AAR2" s="382"/>
      <c r="AAS2" s="382"/>
      <c r="AAT2" s="382"/>
      <c r="AAU2" s="382"/>
      <c r="AAV2" s="382"/>
      <c r="AAW2" s="382"/>
      <c r="AAX2" s="382"/>
      <c r="AAY2" s="382"/>
      <c r="AAZ2" s="382"/>
      <c r="ABA2" s="382"/>
      <c r="ABB2" s="382"/>
      <c r="ABC2" s="382"/>
      <c r="ABD2" s="382"/>
      <c r="ABE2" s="382"/>
      <c r="ABF2" s="382"/>
      <c r="ABG2" s="382"/>
      <c r="ABH2" s="382"/>
      <c r="ABI2" s="382"/>
      <c r="ABJ2" s="382"/>
      <c r="ABK2" s="382"/>
      <c r="ABL2" s="382"/>
      <c r="ABM2" s="382"/>
      <c r="ABN2" s="382"/>
      <c r="ABO2" s="382"/>
      <c r="ABP2" s="382"/>
      <c r="ABQ2" s="382"/>
      <c r="ABR2" s="382"/>
      <c r="ABS2" s="382"/>
      <c r="ABT2" s="382"/>
      <c r="ABU2" s="382"/>
      <c r="ABV2" s="382"/>
      <c r="ABW2" s="382"/>
      <c r="ABX2" s="382"/>
      <c r="ABY2" s="382"/>
      <c r="ABZ2" s="382"/>
      <c r="ACA2" s="382"/>
      <c r="ACB2" s="382"/>
      <c r="ACC2" s="382"/>
      <c r="ACD2" s="382"/>
      <c r="ACE2" s="382"/>
      <c r="ACF2" s="382"/>
      <c r="ACG2" s="382"/>
      <c r="ACH2" s="382"/>
      <c r="ACI2" s="382"/>
      <c r="ACJ2" s="382"/>
      <c r="ACK2" s="382"/>
      <c r="ACL2" s="382"/>
      <c r="ACM2" s="382"/>
      <c r="ACN2" s="382"/>
      <c r="ACO2" s="382"/>
      <c r="ACP2" s="382"/>
      <c r="ACQ2" s="382"/>
      <c r="ACR2" s="382"/>
      <c r="ACS2" s="382"/>
      <c r="ACT2" s="382"/>
      <c r="ACU2" s="382"/>
      <c r="ACV2" s="382"/>
      <c r="ACW2" s="382"/>
      <c r="ACX2" s="382"/>
      <c r="ACY2" s="382"/>
      <c r="ACZ2" s="382"/>
      <c r="ADA2" s="382"/>
      <c r="ADB2" s="382"/>
      <c r="ADC2" s="382"/>
      <c r="ADD2" s="382"/>
      <c r="ADE2" s="382"/>
      <c r="ADF2" s="382"/>
      <c r="ADG2" s="382"/>
      <c r="ADH2" s="382"/>
      <c r="ADI2" s="382"/>
      <c r="ADJ2" s="382"/>
      <c r="ADK2" s="382"/>
      <c r="ADL2" s="382"/>
      <c r="ADM2" s="382"/>
      <c r="ADN2" s="382"/>
      <c r="ADO2" s="382"/>
      <c r="ADP2" s="382"/>
      <c r="ADQ2" s="382"/>
      <c r="ADR2" s="382"/>
      <c r="ADS2" s="382"/>
      <c r="ADT2" s="382"/>
      <c r="ADU2" s="382"/>
      <c r="ADV2" s="382"/>
      <c r="ADW2" s="382"/>
      <c r="ADX2" s="382"/>
      <c r="ADY2" s="382"/>
      <c r="ADZ2" s="382"/>
      <c r="AEA2" s="382"/>
      <c r="AEB2" s="382"/>
      <c r="AEC2" s="382"/>
      <c r="AED2" s="382"/>
      <c r="AEE2" s="382"/>
      <c r="AEF2" s="382"/>
      <c r="AEG2" s="382"/>
      <c r="AEH2" s="382"/>
      <c r="AEI2" s="382"/>
      <c r="AEJ2" s="382"/>
      <c r="AEK2" s="382"/>
      <c r="AEL2" s="382"/>
      <c r="AEM2" s="382"/>
      <c r="AEN2" s="382"/>
      <c r="AEO2" s="382"/>
      <c r="AEP2" s="382"/>
      <c r="AEQ2" s="382"/>
      <c r="AER2" s="382"/>
      <c r="AES2" s="382"/>
      <c r="AET2" s="382"/>
      <c r="AEU2" s="382"/>
      <c r="AEV2" s="382"/>
      <c r="AEW2" s="382"/>
      <c r="AEX2" s="382"/>
      <c r="AEY2" s="382"/>
      <c r="AEZ2" s="382"/>
      <c r="AFA2" s="382"/>
      <c r="AFB2" s="382"/>
      <c r="AFC2" s="382"/>
      <c r="AFD2" s="382"/>
      <c r="AFE2" s="382"/>
      <c r="AFF2" s="382"/>
      <c r="AFG2" s="382"/>
      <c r="AFH2" s="382"/>
      <c r="AFI2" s="382"/>
      <c r="AFJ2" s="382"/>
      <c r="AFK2" s="382"/>
      <c r="AFL2" s="382"/>
      <c r="AFM2" s="382"/>
      <c r="AFN2" s="382"/>
      <c r="AFO2" s="382"/>
      <c r="AFP2" s="382"/>
      <c r="AFQ2" s="382"/>
      <c r="AFR2" s="382"/>
      <c r="AFS2" s="382"/>
      <c r="AFT2" s="382"/>
      <c r="AFU2" s="382"/>
      <c r="AFV2" s="382"/>
      <c r="AFW2" s="382"/>
      <c r="AFX2" s="382"/>
      <c r="AFY2" s="382"/>
      <c r="AFZ2" s="382"/>
      <c r="AGA2" s="382"/>
      <c r="AGB2" s="382"/>
      <c r="AGC2" s="382"/>
      <c r="AGD2" s="382"/>
      <c r="AGE2" s="382"/>
      <c r="AGF2" s="382"/>
      <c r="AGG2" s="382"/>
      <c r="AGH2" s="382"/>
      <c r="AGI2" s="382"/>
      <c r="AGJ2" s="382"/>
      <c r="AGK2" s="382"/>
      <c r="AGL2" s="382"/>
      <c r="AGM2" s="382"/>
      <c r="AGN2" s="382"/>
      <c r="AGO2" s="382"/>
      <c r="AGP2" s="382"/>
      <c r="AGQ2" s="382"/>
      <c r="AGR2" s="382"/>
      <c r="AGS2" s="382"/>
      <c r="AGT2" s="382"/>
      <c r="AGU2" s="382"/>
      <c r="AGV2" s="382"/>
      <c r="AGW2" s="382"/>
      <c r="AGX2" s="382"/>
      <c r="AGY2" s="382"/>
      <c r="AGZ2" s="382"/>
      <c r="AHA2" s="382"/>
      <c r="AHB2" s="382"/>
      <c r="AHC2" s="382"/>
      <c r="AHD2" s="382"/>
      <c r="AHE2" s="382"/>
      <c r="AHF2" s="382"/>
      <c r="AHG2" s="382"/>
      <c r="AHH2" s="382"/>
      <c r="AHI2" s="382"/>
      <c r="AHJ2" s="382"/>
      <c r="AHK2" s="382"/>
      <c r="AHL2" s="382"/>
      <c r="AHM2" s="382"/>
      <c r="AHN2" s="382"/>
      <c r="AHO2" s="382"/>
      <c r="AHP2" s="382"/>
      <c r="AHQ2" s="382"/>
      <c r="AHR2" s="382"/>
      <c r="AHS2" s="382"/>
      <c r="AHT2" s="382"/>
      <c r="AHU2" s="382"/>
      <c r="AHV2" s="382"/>
      <c r="AHW2" s="382"/>
      <c r="AHX2" s="382"/>
      <c r="AHY2" s="382"/>
      <c r="AHZ2" s="382"/>
      <c r="AIA2" s="382"/>
      <c r="AIB2" s="382"/>
      <c r="AIC2" s="382"/>
      <c r="AID2" s="382"/>
      <c r="AIE2" s="382"/>
      <c r="AIF2" s="382"/>
      <c r="AIG2" s="382"/>
      <c r="AIH2" s="382"/>
      <c r="AII2" s="382"/>
      <c r="AIJ2" s="382"/>
      <c r="AIK2" s="382"/>
      <c r="AIL2" s="382"/>
      <c r="AIM2" s="382"/>
      <c r="AIN2" s="382"/>
      <c r="AIO2" s="382"/>
      <c r="AIP2" s="382"/>
      <c r="AIQ2" s="382"/>
      <c r="AIR2" s="382"/>
      <c r="AIS2" s="382"/>
      <c r="AIT2" s="382"/>
      <c r="AIU2" s="382"/>
      <c r="AIV2" s="382"/>
      <c r="AIW2" s="382"/>
      <c r="AIX2" s="382"/>
      <c r="AIY2" s="382"/>
      <c r="AIZ2" s="382"/>
      <c r="AJA2" s="382"/>
      <c r="AJB2" s="382"/>
      <c r="AJC2" s="382"/>
      <c r="AJD2" s="382"/>
      <c r="AJE2" s="382"/>
      <c r="AJF2" s="382"/>
      <c r="AJG2" s="382"/>
      <c r="AJH2" s="382"/>
      <c r="AJI2" s="382"/>
      <c r="AJJ2" s="382"/>
      <c r="AJK2" s="382"/>
      <c r="AJL2" s="382"/>
      <c r="AJM2" s="382"/>
      <c r="AJN2" s="382"/>
      <c r="AJO2" s="382"/>
      <c r="AJP2" s="382"/>
      <c r="AJQ2" s="382"/>
      <c r="AJR2" s="382"/>
      <c r="AJS2" s="382"/>
      <c r="AJT2" s="382"/>
      <c r="AJU2" s="382"/>
      <c r="AJV2" s="382"/>
      <c r="AJW2" s="382"/>
      <c r="AJX2" s="382"/>
      <c r="AJY2" s="382"/>
      <c r="AJZ2" s="382"/>
      <c r="AKA2" s="382"/>
      <c r="AKB2" s="382"/>
      <c r="AKC2" s="382"/>
      <c r="AKD2" s="382"/>
      <c r="AKE2" s="382"/>
      <c r="AKF2" s="382"/>
      <c r="AKG2" s="382"/>
      <c r="AKH2" s="382"/>
      <c r="AKI2" s="382"/>
      <c r="AKJ2" s="382"/>
      <c r="AKK2" s="382"/>
      <c r="AKL2" s="382"/>
      <c r="AKM2" s="382"/>
      <c r="AKN2" s="382"/>
      <c r="AKO2" s="382"/>
      <c r="AKP2" s="382"/>
      <c r="AKQ2" s="382"/>
      <c r="AKR2" s="382"/>
      <c r="AKS2" s="382"/>
      <c r="AKT2" s="382"/>
      <c r="AKU2" s="382"/>
      <c r="AKV2" s="382"/>
      <c r="AKW2" s="382"/>
      <c r="AKX2" s="382"/>
      <c r="AKY2" s="382"/>
      <c r="AKZ2" s="382"/>
      <c r="ALA2" s="382"/>
      <c r="ALB2" s="382"/>
      <c r="ALC2" s="382"/>
      <c r="ALD2" s="382"/>
      <c r="ALE2" s="382"/>
      <c r="ALF2" s="382"/>
      <c r="ALG2" s="382"/>
      <c r="ALH2" s="382"/>
      <c r="ALI2" s="382"/>
      <c r="ALJ2" s="382"/>
      <c r="ALK2" s="382"/>
      <c r="ALL2" s="382"/>
      <c r="ALM2" s="382"/>
      <c r="ALN2" s="382"/>
      <c r="ALO2" s="382"/>
      <c r="ALP2" s="382"/>
      <c r="ALQ2" s="382"/>
      <c r="ALR2" s="382"/>
      <c r="ALS2" s="382"/>
      <c r="ALT2" s="382"/>
      <c r="ALU2" s="382"/>
      <c r="ALV2" s="382"/>
      <c r="ALW2" s="382"/>
      <c r="ALX2" s="382"/>
      <c r="ALY2" s="382"/>
      <c r="ALZ2" s="382"/>
      <c r="AMA2" s="382"/>
      <c r="AMB2" s="382"/>
      <c r="AMC2" s="382"/>
      <c r="AMD2" s="382"/>
      <c r="AME2" s="382"/>
      <c r="AMF2" s="382"/>
      <c r="AMG2" s="382"/>
      <c r="AMH2" s="382"/>
      <c r="AMI2" s="382"/>
      <c r="AMJ2" s="382"/>
      <c r="AMK2" s="382"/>
      <c r="AML2" s="382"/>
      <c r="AMM2" s="382"/>
      <c r="AMN2" s="382"/>
      <c r="AMO2" s="382"/>
      <c r="AMP2" s="382"/>
      <c r="AMQ2" s="382"/>
      <c r="AMR2" s="382"/>
      <c r="AMS2" s="382"/>
      <c r="AMT2" s="382"/>
      <c r="AMU2" s="382"/>
      <c r="AMV2" s="382"/>
      <c r="AMW2" s="382"/>
      <c r="AMX2" s="382"/>
      <c r="AMY2" s="382"/>
      <c r="AMZ2" s="382"/>
      <c r="ANA2" s="382"/>
      <c r="ANB2" s="382"/>
      <c r="ANC2" s="382"/>
      <c r="AND2" s="382"/>
      <c r="ANE2" s="382"/>
      <c r="ANF2" s="382"/>
      <c r="ANG2" s="382"/>
      <c r="ANH2" s="382"/>
      <c r="ANI2" s="382"/>
      <c r="ANJ2" s="382"/>
      <c r="ANK2" s="382"/>
      <c r="ANL2" s="382"/>
      <c r="ANM2" s="382"/>
      <c r="ANN2" s="382"/>
      <c r="ANO2" s="382"/>
      <c r="ANP2" s="382"/>
      <c r="ANQ2" s="382"/>
      <c r="ANR2" s="382"/>
      <c r="ANS2" s="382"/>
      <c r="ANT2" s="382"/>
      <c r="ANU2" s="382"/>
      <c r="ANV2" s="382"/>
      <c r="ANW2" s="382"/>
      <c r="ANX2" s="382"/>
      <c r="ANY2" s="382"/>
      <c r="ANZ2" s="382"/>
      <c r="AOA2" s="382"/>
      <c r="AOB2" s="382"/>
      <c r="AOC2" s="382"/>
      <c r="AOD2" s="382"/>
      <c r="AOE2" s="382"/>
      <c r="AOF2" s="382"/>
      <c r="AOG2" s="382"/>
      <c r="AOH2" s="382"/>
      <c r="AOI2" s="382"/>
      <c r="AOJ2" s="382"/>
      <c r="AOK2" s="382"/>
      <c r="AOL2" s="382"/>
      <c r="AOM2" s="382"/>
      <c r="AON2" s="382"/>
      <c r="AOO2" s="382"/>
      <c r="AOP2" s="382"/>
      <c r="AOQ2" s="382"/>
      <c r="AOR2" s="382"/>
      <c r="AOS2" s="382"/>
      <c r="AOT2" s="382"/>
      <c r="AOU2" s="382"/>
      <c r="AOV2" s="382"/>
      <c r="AOW2" s="382"/>
      <c r="AOX2" s="382"/>
      <c r="AOY2" s="382"/>
      <c r="AOZ2" s="382"/>
      <c r="APA2" s="382"/>
      <c r="APB2" s="382"/>
      <c r="APC2" s="382"/>
      <c r="APD2" s="382"/>
      <c r="APE2" s="382"/>
      <c r="APF2" s="382"/>
      <c r="APG2" s="382"/>
      <c r="APH2" s="382"/>
      <c r="API2" s="382"/>
      <c r="APJ2" s="382"/>
      <c r="APK2" s="382"/>
      <c r="APL2" s="382"/>
      <c r="APM2" s="382"/>
      <c r="APN2" s="382"/>
      <c r="APO2" s="382"/>
      <c r="APP2" s="382"/>
      <c r="APQ2" s="382"/>
      <c r="APR2" s="382"/>
      <c r="APS2" s="382"/>
      <c r="APT2" s="382"/>
      <c r="APU2" s="382"/>
      <c r="APV2" s="382"/>
      <c r="APW2" s="382"/>
      <c r="APX2" s="382"/>
      <c r="APY2" s="382"/>
      <c r="APZ2" s="382"/>
      <c r="AQA2" s="382"/>
      <c r="AQB2" s="382"/>
      <c r="AQC2" s="382"/>
      <c r="AQD2" s="382"/>
      <c r="AQE2" s="382"/>
      <c r="AQF2" s="382"/>
      <c r="AQG2" s="382"/>
      <c r="AQH2" s="382"/>
      <c r="AQI2" s="382"/>
      <c r="AQJ2" s="382"/>
      <c r="AQK2" s="382"/>
      <c r="AQL2" s="382"/>
      <c r="AQM2" s="382"/>
      <c r="AQN2" s="382"/>
      <c r="AQO2" s="382"/>
      <c r="AQP2" s="382"/>
      <c r="AQQ2" s="382"/>
      <c r="AQR2" s="382"/>
      <c r="AQS2" s="382"/>
      <c r="AQT2" s="382"/>
      <c r="AQU2" s="382"/>
      <c r="AQV2" s="382"/>
      <c r="AQW2" s="382"/>
      <c r="AQX2" s="382"/>
      <c r="AQY2" s="382"/>
      <c r="AQZ2" s="382"/>
      <c r="ARA2" s="382"/>
      <c r="ARB2" s="382"/>
      <c r="ARC2" s="382"/>
      <c r="ARD2" s="382"/>
      <c r="ARE2" s="382"/>
      <c r="ARF2" s="382"/>
      <c r="ARG2" s="382"/>
      <c r="ARH2" s="382"/>
      <c r="ARI2" s="382"/>
      <c r="ARJ2" s="382"/>
      <c r="ARK2" s="382"/>
      <c r="ARL2" s="382"/>
      <c r="ARM2" s="382"/>
      <c r="ARN2" s="382"/>
      <c r="ARO2" s="382"/>
      <c r="ARP2" s="382"/>
      <c r="ARQ2" s="382"/>
      <c r="ARR2" s="382"/>
      <c r="ARS2" s="382"/>
      <c r="ART2" s="382"/>
      <c r="ARU2" s="382"/>
      <c r="ARV2" s="382"/>
      <c r="ARW2" s="382"/>
      <c r="ARX2" s="382"/>
      <c r="ARY2" s="382"/>
      <c r="ARZ2" s="382"/>
      <c r="ASA2" s="382"/>
      <c r="ASB2" s="382"/>
      <c r="ASC2" s="382"/>
      <c r="ASD2" s="382"/>
      <c r="ASE2" s="382"/>
      <c r="ASF2" s="382"/>
      <c r="ASG2" s="382"/>
      <c r="ASH2" s="382"/>
      <c r="ASI2" s="382"/>
      <c r="ASJ2" s="382"/>
      <c r="ASK2" s="382"/>
      <c r="ASL2" s="382"/>
      <c r="ASM2" s="382"/>
      <c r="ASN2" s="382"/>
      <c r="ASO2" s="382"/>
      <c r="ASP2" s="382"/>
      <c r="ASQ2" s="382"/>
      <c r="ASR2" s="382"/>
      <c r="ASS2" s="382"/>
      <c r="AST2" s="382"/>
      <c r="ASU2" s="382"/>
      <c r="ASV2" s="382"/>
      <c r="ASW2" s="382"/>
      <c r="ASX2" s="382"/>
      <c r="ASY2" s="382"/>
      <c r="ASZ2" s="382"/>
      <c r="ATA2" s="382"/>
      <c r="ATB2" s="382"/>
      <c r="ATC2" s="382"/>
      <c r="ATD2" s="382"/>
      <c r="ATE2" s="382"/>
      <c r="ATF2" s="382"/>
      <c r="ATG2" s="382"/>
      <c r="ATH2" s="382"/>
      <c r="ATI2" s="382"/>
      <c r="ATJ2" s="382"/>
      <c r="ATK2" s="382"/>
      <c r="ATL2" s="382"/>
      <c r="ATM2" s="382"/>
      <c r="ATN2" s="382"/>
      <c r="ATO2" s="382"/>
      <c r="ATP2" s="382"/>
      <c r="ATQ2" s="382"/>
      <c r="ATR2" s="382"/>
      <c r="ATS2" s="382"/>
      <c r="ATT2" s="382"/>
      <c r="ATU2" s="382"/>
      <c r="ATV2" s="382"/>
      <c r="ATW2" s="382"/>
      <c r="ATX2" s="382"/>
      <c r="ATY2" s="382"/>
      <c r="ATZ2" s="382"/>
      <c r="AUA2" s="382"/>
      <c r="AUB2" s="382"/>
      <c r="AUC2" s="382"/>
      <c r="AUD2" s="382"/>
      <c r="AUE2" s="382"/>
      <c r="AUF2" s="382"/>
      <c r="AUG2" s="382"/>
      <c r="AUH2" s="382"/>
      <c r="AUI2" s="382"/>
      <c r="AUJ2" s="382"/>
      <c r="AUK2" s="382"/>
      <c r="AUL2" s="382"/>
      <c r="AUM2" s="382"/>
      <c r="AUN2" s="382"/>
      <c r="AUO2" s="382"/>
      <c r="AUP2" s="382"/>
      <c r="AUQ2" s="382"/>
      <c r="AUR2" s="382"/>
      <c r="AUS2" s="382"/>
      <c r="AUT2" s="382"/>
      <c r="AUU2" s="382"/>
      <c r="AUV2" s="382"/>
      <c r="AUW2" s="382"/>
      <c r="AUX2" s="382"/>
      <c r="AUY2" s="382"/>
      <c r="AUZ2" s="382"/>
      <c r="AVA2" s="382"/>
      <c r="AVB2" s="382"/>
      <c r="AVC2" s="382"/>
      <c r="AVD2" s="382"/>
      <c r="AVE2" s="382"/>
      <c r="AVF2" s="382"/>
      <c r="AVG2" s="382"/>
      <c r="AVH2" s="382"/>
      <c r="AVI2" s="382"/>
      <c r="AVJ2" s="382"/>
      <c r="AVK2" s="382"/>
      <c r="AVL2" s="382"/>
      <c r="AVM2" s="382"/>
      <c r="AVN2" s="382"/>
      <c r="AVO2" s="382"/>
      <c r="AVP2" s="382"/>
      <c r="AVQ2" s="382"/>
      <c r="AVR2" s="382"/>
      <c r="AVS2" s="382"/>
      <c r="AVT2" s="382"/>
      <c r="AVU2" s="382"/>
      <c r="AVV2" s="382"/>
      <c r="AVW2" s="382"/>
      <c r="AVX2" s="382"/>
      <c r="AVY2" s="382"/>
      <c r="AVZ2" s="382"/>
      <c r="AWA2" s="382"/>
      <c r="AWB2" s="382"/>
      <c r="AWC2" s="382"/>
      <c r="AWD2" s="382"/>
      <c r="AWE2" s="382"/>
      <c r="AWF2" s="382"/>
      <c r="AWG2" s="382"/>
      <c r="AWH2" s="382"/>
      <c r="AWI2" s="382"/>
      <c r="AWJ2" s="382"/>
      <c r="AWK2" s="382"/>
      <c r="AWL2" s="382"/>
      <c r="AWM2" s="382"/>
      <c r="AWN2" s="382"/>
      <c r="AWO2" s="382"/>
      <c r="AWP2" s="382"/>
      <c r="AWQ2" s="382"/>
      <c r="AWR2" s="382"/>
      <c r="AWS2" s="382"/>
      <c r="AWT2" s="382"/>
      <c r="AWU2" s="382"/>
      <c r="AWV2" s="382"/>
      <c r="AWW2" s="382"/>
      <c r="AWX2" s="382"/>
      <c r="AWY2" s="382"/>
      <c r="AWZ2" s="382"/>
      <c r="AXA2" s="382"/>
      <c r="AXB2" s="382"/>
      <c r="AXC2" s="382"/>
      <c r="AXD2" s="382"/>
      <c r="AXE2" s="382"/>
      <c r="AXF2" s="382"/>
      <c r="AXG2" s="382"/>
      <c r="AXH2" s="382"/>
      <c r="AXI2" s="382"/>
      <c r="AXJ2" s="382"/>
      <c r="AXK2" s="382"/>
      <c r="AXL2" s="382"/>
      <c r="AXM2" s="382"/>
      <c r="AXN2" s="382"/>
      <c r="AXO2" s="382"/>
      <c r="AXP2" s="382"/>
      <c r="AXQ2" s="382"/>
      <c r="AXR2" s="382"/>
      <c r="AXS2" s="382"/>
      <c r="AXT2" s="382"/>
      <c r="AXU2" s="382"/>
      <c r="AXV2" s="382"/>
      <c r="AXW2" s="382"/>
      <c r="AXX2" s="382"/>
      <c r="AXY2" s="382"/>
      <c r="AXZ2" s="382"/>
      <c r="AYA2" s="382"/>
      <c r="AYB2" s="382"/>
      <c r="AYC2" s="382"/>
      <c r="AYD2" s="382"/>
      <c r="AYE2" s="382"/>
      <c r="AYF2" s="382"/>
      <c r="AYG2" s="382"/>
      <c r="AYH2" s="382"/>
      <c r="AYI2" s="382"/>
      <c r="AYJ2" s="382"/>
      <c r="AYK2" s="382"/>
      <c r="AYL2" s="382"/>
      <c r="AYM2" s="382"/>
      <c r="AYN2" s="382"/>
      <c r="AYO2" s="382"/>
      <c r="AYP2" s="382"/>
      <c r="AYQ2" s="382"/>
      <c r="AYR2" s="382"/>
      <c r="AYS2" s="382"/>
      <c r="AYT2" s="382"/>
      <c r="AYU2" s="382"/>
      <c r="AYV2" s="382"/>
      <c r="AYW2" s="382"/>
      <c r="AYX2" s="382"/>
      <c r="AYY2" s="382"/>
      <c r="AYZ2" s="382"/>
      <c r="AZA2" s="382"/>
      <c r="AZB2" s="382"/>
      <c r="AZC2" s="382"/>
      <c r="AZD2" s="382"/>
      <c r="AZE2" s="382"/>
      <c r="AZF2" s="382"/>
      <c r="AZG2" s="382"/>
      <c r="AZH2" s="382"/>
      <c r="AZI2" s="382"/>
      <c r="AZJ2" s="382"/>
      <c r="AZK2" s="382"/>
      <c r="AZL2" s="382"/>
      <c r="AZM2" s="382"/>
      <c r="AZN2" s="382"/>
      <c r="AZO2" s="382"/>
      <c r="AZP2" s="382"/>
      <c r="AZQ2" s="382"/>
      <c r="AZR2" s="382"/>
      <c r="AZS2" s="382"/>
      <c r="AZT2" s="382"/>
      <c r="AZU2" s="382"/>
      <c r="AZV2" s="382"/>
      <c r="AZW2" s="382"/>
      <c r="AZX2" s="382"/>
      <c r="AZY2" s="382"/>
      <c r="AZZ2" s="382"/>
      <c r="BAA2" s="382"/>
      <c r="BAB2" s="382"/>
      <c r="BAC2" s="382"/>
      <c r="BAD2" s="382"/>
      <c r="BAE2" s="382"/>
      <c r="BAF2" s="382"/>
      <c r="BAG2" s="382"/>
      <c r="BAH2" s="382"/>
      <c r="BAI2" s="382"/>
      <c r="BAJ2" s="382"/>
      <c r="BAK2" s="382"/>
      <c r="BAL2" s="382"/>
      <c r="BAM2" s="382"/>
      <c r="BAN2" s="382"/>
      <c r="BAO2" s="382"/>
      <c r="BAP2" s="382"/>
      <c r="BAQ2" s="382"/>
      <c r="BAR2" s="382"/>
      <c r="BAS2" s="382"/>
      <c r="BAT2" s="382"/>
      <c r="BAU2" s="382"/>
      <c r="BAV2" s="382"/>
      <c r="BAW2" s="382"/>
      <c r="BAX2" s="382"/>
      <c r="BAY2" s="382"/>
      <c r="BAZ2" s="382"/>
      <c r="BBA2" s="382"/>
      <c r="BBB2" s="382"/>
      <c r="BBC2" s="382"/>
      <c r="BBD2" s="382"/>
      <c r="BBE2" s="382"/>
      <c r="BBF2" s="382"/>
      <c r="BBG2" s="382"/>
      <c r="BBH2" s="382"/>
      <c r="BBI2" s="382"/>
      <c r="BBJ2" s="382"/>
      <c r="BBK2" s="382"/>
      <c r="BBL2" s="382"/>
      <c r="BBM2" s="382"/>
      <c r="BBN2" s="382"/>
      <c r="BBO2" s="382"/>
      <c r="BBP2" s="382"/>
      <c r="BBQ2" s="382"/>
      <c r="BBR2" s="382"/>
      <c r="BBS2" s="382"/>
      <c r="BBT2" s="382"/>
      <c r="BBU2" s="382"/>
      <c r="BBV2" s="382"/>
      <c r="BBW2" s="382"/>
      <c r="BBX2" s="382"/>
      <c r="BBY2" s="382"/>
      <c r="BBZ2" s="382"/>
      <c r="BCA2" s="382"/>
      <c r="BCB2" s="382"/>
      <c r="BCC2" s="382"/>
      <c r="BCD2" s="382"/>
      <c r="BCE2" s="382"/>
      <c r="BCF2" s="382"/>
      <c r="BCG2" s="382"/>
      <c r="BCH2" s="382"/>
      <c r="BCI2" s="382"/>
      <c r="BCJ2" s="382"/>
      <c r="BCK2" s="382"/>
      <c r="BCL2" s="382"/>
      <c r="BCM2" s="382"/>
      <c r="BCN2" s="382"/>
      <c r="BCO2" s="382"/>
      <c r="BCP2" s="382"/>
      <c r="BCQ2" s="382"/>
      <c r="BCR2" s="382"/>
      <c r="BCS2" s="382"/>
      <c r="BCT2" s="382"/>
      <c r="BCU2" s="382"/>
      <c r="BCV2" s="382"/>
      <c r="BCW2" s="382"/>
      <c r="BCX2" s="382"/>
      <c r="BCY2" s="382"/>
      <c r="BCZ2" s="382"/>
      <c r="BDA2" s="382"/>
      <c r="BDB2" s="382"/>
      <c r="BDC2" s="382"/>
      <c r="BDD2" s="382"/>
      <c r="BDE2" s="382"/>
      <c r="BDF2" s="382"/>
      <c r="BDG2" s="382"/>
      <c r="BDH2" s="382"/>
      <c r="BDI2" s="382"/>
      <c r="BDJ2" s="382"/>
      <c r="BDK2" s="382"/>
      <c r="BDL2" s="382"/>
      <c r="BDM2" s="382"/>
      <c r="BDN2" s="382"/>
      <c r="BDO2" s="382"/>
      <c r="BDP2" s="382"/>
      <c r="BDQ2" s="382"/>
      <c r="BDR2" s="382"/>
      <c r="BDS2" s="382"/>
      <c r="BDT2" s="382"/>
      <c r="BDU2" s="382"/>
      <c r="BDV2" s="382"/>
      <c r="BDW2" s="382"/>
      <c r="BDX2" s="382"/>
      <c r="BDY2" s="382"/>
      <c r="BDZ2" s="382"/>
      <c r="BEA2" s="382"/>
      <c r="BEB2" s="382"/>
      <c r="BEC2" s="382"/>
      <c r="BED2" s="382"/>
      <c r="BEE2" s="382"/>
      <c r="BEF2" s="382"/>
      <c r="BEG2" s="382"/>
      <c r="BEH2" s="382"/>
      <c r="BEI2" s="382"/>
      <c r="BEJ2" s="382"/>
      <c r="BEK2" s="382"/>
      <c r="BEL2" s="382"/>
      <c r="BEM2" s="382"/>
      <c r="BEN2" s="382"/>
      <c r="BEO2" s="382"/>
      <c r="BEP2" s="382"/>
      <c r="BEQ2" s="382"/>
      <c r="BER2" s="382"/>
      <c r="BES2" s="382"/>
      <c r="BET2" s="382"/>
      <c r="BEU2" s="382"/>
      <c r="BEV2" s="382"/>
      <c r="BEW2" s="382"/>
      <c r="BEX2" s="382"/>
      <c r="BEY2" s="382"/>
      <c r="BEZ2" s="382"/>
      <c r="BFA2" s="382"/>
      <c r="BFB2" s="382"/>
      <c r="BFC2" s="382"/>
      <c r="BFD2" s="382"/>
      <c r="BFE2" s="382"/>
      <c r="BFF2" s="382"/>
      <c r="BFG2" s="382"/>
      <c r="BFH2" s="382"/>
      <c r="BFI2" s="382"/>
      <c r="BFJ2" s="382"/>
      <c r="BFK2" s="382"/>
      <c r="BFL2" s="382"/>
      <c r="BFM2" s="382"/>
      <c r="BFN2" s="382"/>
      <c r="BFO2" s="382"/>
      <c r="BFP2" s="382"/>
      <c r="BFQ2" s="382"/>
      <c r="BFR2" s="382"/>
      <c r="BFS2" s="382"/>
      <c r="BFT2" s="382"/>
      <c r="BFU2" s="382"/>
      <c r="BFV2" s="382"/>
      <c r="BFW2" s="382"/>
      <c r="BFX2" s="382"/>
      <c r="BFY2" s="382"/>
      <c r="BFZ2" s="382"/>
      <c r="BGA2" s="382"/>
      <c r="BGB2" s="382"/>
      <c r="BGC2" s="382"/>
      <c r="BGD2" s="382"/>
      <c r="BGE2" s="382"/>
      <c r="BGF2" s="382"/>
      <c r="BGG2" s="382"/>
      <c r="BGH2" s="382"/>
      <c r="BGI2" s="382"/>
      <c r="BGJ2" s="382"/>
      <c r="BGK2" s="382"/>
      <c r="BGL2" s="382"/>
      <c r="BGM2" s="382"/>
      <c r="BGN2" s="382"/>
      <c r="BGO2" s="382"/>
      <c r="BGP2" s="382"/>
      <c r="BGQ2" s="382"/>
      <c r="BGR2" s="382"/>
      <c r="BGS2" s="382"/>
      <c r="BGT2" s="382"/>
      <c r="BGU2" s="382"/>
      <c r="BGV2" s="382"/>
      <c r="BGW2" s="382"/>
      <c r="BGX2" s="382"/>
      <c r="BGY2" s="382"/>
      <c r="BGZ2" s="382"/>
      <c r="BHA2" s="382"/>
      <c r="BHB2" s="382"/>
      <c r="BHC2" s="382"/>
      <c r="BHD2" s="382"/>
      <c r="BHE2" s="382"/>
      <c r="BHF2" s="382"/>
      <c r="BHG2" s="382"/>
      <c r="BHH2" s="382"/>
      <c r="BHI2" s="382"/>
      <c r="BHJ2" s="382"/>
      <c r="BHK2" s="382"/>
      <c r="BHL2" s="382"/>
      <c r="BHM2" s="382"/>
      <c r="BHN2" s="382"/>
      <c r="BHO2" s="382"/>
      <c r="BHP2" s="382"/>
      <c r="BHQ2" s="382"/>
      <c r="BHR2" s="382"/>
      <c r="BHS2" s="382"/>
      <c r="BHT2" s="382"/>
      <c r="BHU2" s="382"/>
      <c r="BHV2" s="382"/>
      <c r="BHW2" s="382"/>
      <c r="BHX2" s="382"/>
      <c r="BHY2" s="382"/>
      <c r="BHZ2" s="382"/>
      <c r="BIA2" s="382"/>
      <c r="BIB2" s="382"/>
      <c r="BIC2" s="382"/>
      <c r="BID2" s="382"/>
      <c r="BIE2" s="382"/>
      <c r="BIF2" s="382"/>
      <c r="BIG2" s="382"/>
      <c r="BIH2" s="382"/>
      <c r="BII2" s="382"/>
      <c r="BIJ2" s="382"/>
      <c r="BIK2" s="382"/>
      <c r="BIL2" s="382"/>
      <c r="BIM2" s="382"/>
      <c r="BIN2" s="382"/>
      <c r="BIO2" s="382"/>
      <c r="BIP2" s="382"/>
      <c r="BIQ2" s="382"/>
      <c r="BIR2" s="382"/>
      <c r="BIS2" s="382"/>
      <c r="BIT2" s="382"/>
      <c r="BIU2" s="382"/>
      <c r="BIV2" s="382"/>
      <c r="BIW2" s="382"/>
      <c r="BIX2" s="382"/>
      <c r="BIY2" s="382"/>
      <c r="BIZ2" s="382"/>
      <c r="BJA2" s="382"/>
      <c r="BJB2" s="382"/>
      <c r="BJC2" s="382"/>
      <c r="BJD2" s="382"/>
      <c r="BJE2" s="382"/>
      <c r="BJF2" s="382"/>
      <c r="BJG2" s="382"/>
      <c r="BJH2" s="382"/>
      <c r="BJI2" s="382"/>
      <c r="BJJ2" s="382"/>
      <c r="BJK2" s="382"/>
      <c r="BJL2" s="382"/>
      <c r="BJM2" s="382"/>
      <c r="BJN2" s="382"/>
      <c r="BJO2" s="382"/>
      <c r="BJP2" s="382"/>
      <c r="BJQ2" s="382"/>
      <c r="BJR2" s="382"/>
      <c r="BJS2" s="382"/>
      <c r="BJT2" s="382"/>
      <c r="BJU2" s="382"/>
      <c r="BJV2" s="382"/>
      <c r="BJW2" s="382"/>
      <c r="BJX2" s="382"/>
      <c r="BJY2" s="382"/>
      <c r="BJZ2" s="382"/>
      <c r="BKA2" s="382"/>
      <c r="BKB2" s="382"/>
      <c r="BKC2" s="382"/>
      <c r="BKD2" s="382"/>
      <c r="BKE2" s="382"/>
      <c r="BKF2" s="382"/>
      <c r="BKG2" s="382"/>
      <c r="BKH2" s="382"/>
      <c r="BKI2" s="382"/>
      <c r="BKJ2" s="382"/>
      <c r="BKK2" s="382"/>
      <c r="BKL2" s="382"/>
      <c r="BKM2" s="382"/>
      <c r="BKN2" s="382"/>
      <c r="BKO2" s="382"/>
      <c r="BKP2" s="382"/>
      <c r="BKQ2" s="382"/>
      <c r="BKR2" s="382"/>
      <c r="BKS2" s="382"/>
      <c r="BKT2" s="382"/>
      <c r="BKU2" s="382"/>
      <c r="BKV2" s="382"/>
      <c r="BKW2" s="382"/>
      <c r="BKX2" s="382"/>
      <c r="BKY2" s="382"/>
      <c r="BKZ2" s="382"/>
      <c r="BLA2" s="382"/>
      <c r="BLB2" s="382"/>
      <c r="BLC2" s="382"/>
      <c r="BLD2" s="382"/>
      <c r="BLE2" s="382"/>
      <c r="BLF2" s="382"/>
      <c r="BLG2" s="382"/>
      <c r="BLH2" s="382"/>
      <c r="BLI2" s="382"/>
      <c r="BLJ2" s="382"/>
      <c r="BLK2" s="382"/>
      <c r="BLL2" s="382"/>
      <c r="BLM2" s="382"/>
      <c r="BLN2" s="382"/>
      <c r="BLO2" s="382"/>
      <c r="BLP2" s="382"/>
      <c r="BLQ2" s="382"/>
      <c r="BLR2" s="382"/>
      <c r="BLS2" s="382"/>
      <c r="BLT2" s="382"/>
      <c r="BLU2" s="382"/>
      <c r="BLV2" s="382"/>
      <c r="BLW2" s="382"/>
      <c r="BLX2" s="382"/>
      <c r="BLY2" s="382"/>
      <c r="BLZ2" s="382"/>
      <c r="BMA2" s="382"/>
      <c r="BMB2" s="382"/>
      <c r="BMC2" s="382"/>
      <c r="BMD2" s="382"/>
      <c r="BME2" s="382"/>
      <c r="BMF2" s="382"/>
      <c r="BMG2" s="382"/>
      <c r="BMH2" s="382"/>
      <c r="BMI2" s="382"/>
      <c r="BMJ2" s="382"/>
      <c r="BMK2" s="382"/>
      <c r="BML2" s="382"/>
      <c r="BMM2" s="382"/>
      <c r="BMN2" s="382"/>
      <c r="BMO2" s="382"/>
      <c r="BMP2" s="382"/>
      <c r="BMQ2" s="382"/>
      <c r="BMR2" s="382"/>
      <c r="BMS2" s="382"/>
      <c r="BMT2" s="382"/>
      <c r="BMU2" s="382"/>
      <c r="BMV2" s="382"/>
      <c r="BMW2" s="382"/>
      <c r="BMX2" s="382"/>
      <c r="BMY2" s="382"/>
      <c r="BMZ2" s="382"/>
      <c r="BNA2" s="382"/>
      <c r="BNB2" s="382"/>
      <c r="BNC2" s="382"/>
      <c r="BND2" s="382"/>
      <c r="BNE2" s="382"/>
      <c r="BNF2" s="382"/>
      <c r="BNG2" s="382"/>
      <c r="BNH2" s="382"/>
      <c r="BNI2" s="382"/>
      <c r="BNJ2" s="382"/>
      <c r="BNK2" s="382"/>
      <c r="BNL2" s="382"/>
      <c r="BNM2" s="382"/>
      <c r="BNN2" s="382"/>
      <c r="BNO2" s="382"/>
      <c r="BNP2" s="382"/>
      <c r="BNQ2" s="382"/>
      <c r="BNR2" s="382"/>
      <c r="BNS2" s="382"/>
      <c r="BNT2" s="382"/>
      <c r="BNU2" s="382"/>
      <c r="BNV2" s="382"/>
      <c r="BNW2" s="382"/>
      <c r="BNX2" s="382"/>
      <c r="BNY2" s="382"/>
      <c r="BNZ2" s="382"/>
      <c r="BOA2" s="382"/>
      <c r="BOB2" s="382"/>
      <c r="BOC2" s="382"/>
      <c r="BOD2" s="382"/>
      <c r="BOE2" s="382"/>
      <c r="BOF2" s="382"/>
      <c r="BOG2" s="382"/>
      <c r="BOH2" s="382"/>
      <c r="BOI2" s="382"/>
      <c r="BOJ2" s="382"/>
      <c r="BOK2" s="382"/>
      <c r="BOL2" s="382"/>
      <c r="BOM2" s="382"/>
      <c r="BON2" s="382"/>
      <c r="BOO2" s="382"/>
      <c r="BOP2" s="382"/>
      <c r="BOQ2" s="382"/>
      <c r="BOR2" s="382"/>
      <c r="BOS2" s="382"/>
      <c r="BOT2" s="382"/>
      <c r="BOU2" s="382"/>
      <c r="BOV2" s="382"/>
      <c r="BOW2" s="382"/>
      <c r="BOX2" s="382"/>
      <c r="BOY2" s="382"/>
      <c r="BOZ2" s="382"/>
      <c r="BPA2" s="382"/>
      <c r="BPB2" s="382"/>
      <c r="BPC2" s="382"/>
      <c r="BPD2" s="382"/>
      <c r="BPE2" s="382"/>
      <c r="BPF2" s="382"/>
      <c r="BPG2" s="382"/>
      <c r="BPH2" s="382"/>
      <c r="BPI2" s="382"/>
      <c r="BPJ2" s="382"/>
      <c r="BPK2" s="382"/>
      <c r="BPL2" s="382"/>
      <c r="BPM2" s="382"/>
      <c r="BPN2" s="382"/>
      <c r="BPO2" s="382"/>
      <c r="BPP2" s="382"/>
      <c r="BPQ2" s="382"/>
      <c r="BPR2" s="382"/>
      <c r="BPS2" s="382"/>
      <c r="BPT2" s="382"/>
      <c r="BPU2" s="382"/>
      <c r="BPV2" s="382"/>
      <c r="BPW2" s="382"/>
      <c r="BPX2" s="382"/>
      <c r="BPY2" s="382"/>
      <c r="BPZ2" s="382"/>
      <c r="BQA2" s="382"/>
      <c r="BQB2" s="382"/>
      <c r="BQC2" s="382"/>
      <c r="BQD2" s="382"/>
      <c r="BQE2" s="382"/>
      <c r="BQF2" s="382"/>
      <c r="BQG2" s="382"/>
      <c r="BQH2" s="382"/>
      <c r="BQI2" s="382"/>
      <c r="BQJ2" s="382"/>
      <c r="BQK2" s="382"/>
      <c r="BQL2" s="382"/>
      <c r="BQM2" s="382"/>
      <c r="BQN2" s="382"/>
      <c r="BQO2" s="382"/>
      <c r="BQP2" s="382"/>
      <c r="BQQ2" s="382"/>
      <c r="BQR2" s="382"/>
      <c r="BQS2" s="382"/>
      <c r="BQT2" s="382"/>
      <c r="BQU2" s="382"/>
      <c r="BQV2" s="382"/>
      <c r="BQW2" s="382"/>
      <c r="BQX2" s="382"/>
      <c r="BQY2" s="382"/>
      <c r="BQZ2" s="382"/>
      <c r="BRA2" s="382"/>
      <c r="BRB2" s="382"/>
      <c r="BRC2" s="382"/>
      <c r="BRD2" s="382"/>
      <c r="BRE2" s="382"/>
      <c r="BRF2" s="382"/>
      <c r="BRG2" s="382"/>
      <c r="BRH2" s="382"/>
      <c r="BRI2" s="382"/>
      <c r="BRJ2" s="382"/>
      <c r="BRK2" s="382"/>
      <c r="BRL2" s="382"/>
      <c r="BRM2" s="382"/>
      <c r="BRN2" s="382"/>
      <c r="BRO2" s="382"/>
      <c r="BRP2" s="382"/>
      <c r="BRQ2" s="382"/>
      <c r="BRR2" s="382"/>
      <c r="BRS2" s="382"/>
      <c r="BRT2" s="382"/>
      <c r="BRU2" s="382"/>
      <c r="BRV2" s="382"/>
      <c r="BRW2" s="382"/>
      <c r="BRX2" s="382"/>
      <c r="BRY2" s="382"/>
      <c r="BRZ2" s="382"/>
      <c r="BSA2" s="382"/>
      <c r="BSB2" s="382"/>
      <c r="BSC2" s="382"/>
      <c r="BSD2" s="382"/>
      <c r="BSE2" s="382"/>
      <c r="BSF2" s="382"/>
      <c r="BSG2" s="382"/>
      <c r="BSH2" s="382"/>
      <c r="BSI2" s="382"/>
      <c r="BSJ2" s="382"/>
      <c r="BSK2" s="382"/>
      <c r="BSL2" s="382"/>
      <c r="BSM2" s="382"/>
      <c r="BSN2" s="382"/>
      <c r="BSO2" s="382"/>
      <c r="BSP2" s="382"/>
      <c r="BSQ2" s="382"/>
      <c r="BSR2" s="382"/>
      <c r="BSS2" s="382"/>
      <c r="BST2" s="382"/>
      <c r="BSU2" s="382"/>
      <c r="BSV2" s="382"/>
      <c r="BSW2" s="382"/>
      <c r="BSX2" s="382"/>
      <c r="BSY2" s="382"/>
      <c r="BSZ2" s="382"/>
      <c r="BTA2" s="382"/>
      <c r="BTB2" s="382"/>
      <c r="BTC2" s="382"/>
      <c r="BTD2" s="382"/>
      <c r="BTE2" s="382"/>
      <c r="BTF2" s="382"/>
      <c r="BTG2" s="382"/>
      <c r="BTH2" s="382"/>
      <c r="BTI2" s="382"/>
      <c r="BTJ2" s="382"/>
      <c r="BTK2" s="382"/>
      <c r="BTL2" s="382"/>
      <c r="BTM2" s="382"/>
      <c r="BTN2" s="382"/>
      <c r="BTO2" s="382"/>
      <c r="BTP2" s="382"/>
      <c r="BTQ2" s="382"/>
      <c r="BTR2" s="382"/>
      <c r="BTS2" s="382"/>
      <c r="BTT2" s="382"/>
      <c r="BTU2" s="382"/>
      <c r="BTV2" s="382"/>
      <c r="BTW2" s="382"/>
      <c r="BTX2" s="382"/>
      <c r="BTY2" s="382"/>
      <c r="BTZ2" s="382"/>
      <c r="BUA2" s="382"/>
      <c r="BUB2" s="382"/>
      <c r="BUC2" s="382"/>
      <c r="BUD2" s="382"/>
      <c r="BUE2" s="382"/>
      <c r="BUF2" s="382"/>
      <c r="BUG2" s="382"/>
      <c r="BUH2" s="382"/>
      <c r="BUI2" s="382"/>
      <c r="BUJ2" s="382"/>
      <c r="BUK2" s="382"/>
      <c r="BUL2" s="382"/>
      <c r="BUM2" s="382"/>
      <c r="BUN2" s="382"/>
      <c r="BUO2" s="382"/>
      <c r="BUP2" s="382"/>
      <c r="BUQ2" s="382"/>
      <c r="BUR2" s="382"/>
      <c r="BUS2" s="382"/>
      <c r="BUT2" s="382"/>
      <c r="BUU2" s="382"/>
      <c r="BUV2" s="382"/>
      <c r="BUW2" s="382"/>
      <c r="BUX2" s="382"/>
      <c r="BUY2" s="382"/>
      <c r="BUZ2" s="382"/>
      <c r="BVA2" s="382"/>
      <c r="BVB2" s="382"/>
      <c r="BVC2" s="382"/>
      <c r="BVD2" s="382"/>
      <c r="BVE2" s="382"/>
      <c r="BVF2" s="382"/>
      <c r="BVG2" s="382"/>
      <c r="BVH2" s="382"/>
      <c r="BVI2" s="382"/>
      <c r="BVJ2" s="382"/>
      <c r="BVK2" s="382"/>
      <c r="BVL2" s="382"/>
      <c r="BVM2" s="382"/>
      <c r="BVN2" s="382"/>
      <c r="BVO2" s="382"/>
      <c r="BVP2" s="382"/>
      <c r="BVQ2" s="382"/>
      <c r="BVR2" s="382"/>
      <c r="BVS2" s="382"/>
      <c r="BVT2" s="382"/>
      <c r="BVU2" s="382"/>
      <c r="BVV2" s="382"/>
      <c r="BVW2" s="382"/>
      <c r="BVX2" s="382"/>
      <c r="BVY2" s="382"/>
      <c r="BVZ2" s="382"/>
      <c r="BWA2" s="382"/>
      <c r="BWB2" s="382"/>
      <c r="BWC2" s="382"/>
      <c r="BWD2" s="382"/>
      <c r="BWE2" s="382"/>
      <c r="BWF2" s="382"/>
      <c r="BWG2" s="382"/>
      <c r="BWH2" s="382"/>
      <c r="BWI2" s="382"/>
      <c r="BWJ2" s="382"/>
      <c r="BWK2" s="382"/>
      <c r="BWL2" s="382"/>
      <c r="BWM2" s="382"/>
      <c r="BWN2" s="382"/>
      <c r="BWO2" s="382"/>
      <c r="BWP2" s="382"/>
      <c r="BWQ2" s="382"/>
      <c r="BWR2" s="382"/>
      <c r="BWS2" s="382"/>
      <c r="BWT2" s="382"/>
      <c r="BWU2" s="382"/>
      <c r="BWV2" s="382"/>
      <c r="BWW2" s="382"/>
      <c r="BWX2" s="382"/>
      <c r="BWY2" s="382"/>
      <c r="BWZ2" s="382"/>
      <c r="BXA2" s="382"/>
      <c r="BXB2" s="382"/>
      <c r="BXC2" s="382"/>
      <c r="BXD2" s="382"/>
      <c r="BXE2" s="382"/>
      <c r="BXF2" s="382"/>
      <c r="BXG2" s="382"/>
      <c r="BXH2" s="382"/>
      <c r="BXI2" s="382"/>
      <c r="BXJ2" s="382"/>
      <c r="BXK2" s="382"/>
      <c r="BXL2" s="382"/>
      <c r="BXM2" s="382"/>
      <c r="BXN2" s="382"/>
      <c r="BXO2" s="382"/>
      <c r="BXP2" s="382"/>
      <c r="BXQ2" s="382"/>
      <c r="BXR2" s="382"/>
      <c r="BXS2" s="382"/>
      <c r="BXT2" s="382"/>
      <c r="BXU2" s="382"/>
      <c r="BXV2" s="382"/>
      <c r="BXW2" s="382"/>
      <c r="BXX2" s="382"/>
      <c r="BXY2" s="382"/>
      <c r="BXZ2" s="382"/>
      <c r="BYA2" s="382"/>
      <c r="BYB2" s="382"/>
      <c r="BYC2" s="382"/>
      <c r="BYD2" s="382"/>
      <c r="BYE2" s="382"/>
      <c r="BYF2" s="382"/>
      <c r="BYG2" s="382"/>
      <c r="BYH2" s="382"/>
      <c r="BYI2" s="382"/>
      <c r="BYJ2" s="382"/>
      <c r="BYK2" s="382"/>
      <c r="BYL2" s="382"/>
      <c r="BYM2" s="382"/>
      <c r="BYN2" s="382"/>
      <c r="BYO2" s="382"/>
      <c r="BYP2" s="382"/>
      <c r="BYQ2" s="382"/>
      <c r="BYR2" s="382"/>
      <c r="BYS2" s="382"/>
      <c r="BYT2" s="382"/>
      <c r="BYU2" s="382"/>
      <c r="BYV2" s="382"/>
      <c r="BYW2" s="382"/>
      <c r="BYX2" s="382"/>
      <c r="BYY2" s="382"/>
      <c r="BYZ2" s="382"/>
      <c r="BZA2" s="382"/>
      <c r="BZB2" s="382"/>
      <c r="BZC2" s="382"/>
      <c r="BZD2" s="382"/>
      <c r="BZE2" s="382"/>
      <c r="BZF2" s="382"/>
      <c r="BZG2" s="382"/>
      <c r="BZH2" s="382"/>
      <c r="BZI2" s="382"/>
      <c r="BZJ2" s="382"/>
      <c r="BZK2" s="382"/>
      <c r="BZL2" s="382"/>
      <c r="BZM2" s="382"/>
      <c r="BZN2" s="382"/>
      <c r="BZO2" s="382"/>
      <c r="BZP2" s="382"/>
      <c r="BZQ2" s="382"/>
      <c r="BZR2" s="382"/>
      <c r="BZS2" s="382"/>
      <c r="BZT2" s="382"/>
      <c r="BZU2" s="382"/>
      <c r="BZV2" s="382"/>
      <c r="BZW2" s="382"/>
      <c r="BZX2" s="382"/>
      <c r="BZY2" s="382"/>
      <c r="BZZ2" s="382"/>
      <c r="CAA2" s="382"/>
      <c r="CAB2" s="382"/>
      <c r="CAC2" s="382"/>
      <c r="CAD2" s="382"/>
      <c r="CAE2" s="382"/>
      <c r="CAF2" s="382"/>
      <c r="CAG2" s="382"/>
      <c r="CAH2" s="382"/>
      <c r="CAI2" s="382"/>
      <c r="CAJ2" s="382"/>
      <c r="CAK2" s="382"/>
      <c r="CAL2" s="382"/>
      <c r="CAM2" s="382"/>
      <c r="CAN2" s="382"/>
      <c r="CAO2" s="382"/>
      <c r="CAP2" s="382"/>
      <c r="CAQ2" s="382"/>
      <c r="CAR2" s="382"/>
      <c r="CAS2" s="382"/>
      <c r="CAT2" s="382"/>
      <c r="CAU2" s="382"/>
      <c r="CAV2" s="382"/>
      <c r="CAW2" s="382"/>
      <c r="CAX2" s="382"/>
      <c r="CAY2" s="382"/>
      <c r="CAZ2" s="382"/>
      <c r="CBA2" s="382"/>
      <c r="CBB2" s="382"/>
      <c r="CBC2" s="382"/>
      <c r="CBD2" s="382"/>
      <c r="CBE2" s="382"/>
      <c r="CBF2" s="382"/>
      <c r="CBG2" s="382"/>
      <c r="CBH2" s="382"/>
      <c r="CBI2" s="382"/>
      <c r="CBJ2" s="382"/>
      <c r="CBK2" s="382"/>
      <c r="CBL2" s="382"/>
      <c r="CBM2" s="382"/>
      <c r="CBN2" s="382"/>
      <c r="CBO2" s="382"/>
      <c r="CBP2" s="382"/>
      <c r="CBQ2" s="382"/>
      <c r="CBR2" s="382"/>
      <c r="CBS2" s="382"/>
      <c r="CBT2" s="382"/>
      <c r="CBU2" s="382"/>
      <c r="CBV2" s="382"/>
      <c r="CBW2" s="382"/>
      <c r="CBX2" s="382"/>
      <c r="CBY2" s="382"/>
      <c r="CBZ2" s="382"/>
      <c r="CCA2" s="382"/>
      <c r="CCB2" s="382"/>
      <c r="CCC2" s="382"/>
      <c r="CCD2" s="382"/>
      <c r="CCE2" s="382"/>
      <c r="CCF2" s="382"/>
      <c r="CCG2" s="382"/>
      <c r="CCH2" s="382"/>
      <c r="CCI2" s="382"/>
      <c r="CCJ2" s="382"/>
      <c r="CCK2" s="382"/>
      <c r="CCL2" s="382"/>
      <c r="CCM2" s="382"/>
      <c r="CCN2" s="382"/>
      <c r="CCO2" s="382"/>
      <c r="CCP2" s="382"/>
      <c r="CCQ2" s="382"/>
      <c r="CCR2" s="382"/>
      <c r="CCS2" s="382"/>
      <c r="CCT2" s="382"/>
      <c r="CCU2" s="382"/>
      <c r="CCV2" s="382"/>
      <c r="CCW2" s="382"/>
      <c r="CCX2" s="382"/>
      <c r="CCY2" s="382"/>
      <c r="CCZ2" s="382"/>
      <c r="CDA2" s="382"/>
      <c r="CDB2" s="382"/>
      <c r="CDC2" s="382"/>
      <c r="CDD2" s="382"/>
      <c r="CDE2" s="382"/>
      <c r="CDF2" s="382"/>
      <c r="CDG2" s="382"/>
      <c r="CDH2" s="382"/>
      <c r="CDI2" s="382"/>
      <c r="CDJ2" s="382"/>
      <c r="CDK2" s="382"/>
      <c r="CDL2" s="382"/>
      <c r="CDM2" s="382"/>
      <c r="CDN2" s="382"/>
      <c r="CDO2" s="382"/>
      <c r="CDP2" s="382"/>
      <c r="CDQ2" s="382"/>
      <c r="CDR2" s="382"/>
      <c r="CDS2" s="382"/>
      <c r="CDT2" s="382"/>
      <c r="CDU2" s="382"/>
      <c r="CDV2" s="382"/>
      <c r="CDW2" s="382"/>
      <c r="CDX2" s="382"/>
      <c r="CDY2" s="382"/>
      <c r="CDZ2" s="382"/>
      <c r="CEA2" s="382"/>
      <c r="CEB2" s="382"/>
      <c r="CEC2" s="382"/>
      <c r="CED2" s="382"/>
      <c r="CEE2" s="382"/>
      <c r="CEF2" s="382"/>
      <c r="CEG2" s="382"/>
      <c r="CEH2" s="382"/>
      <c r="CEI2" s="382"/>
      <c r="CEJ2" s="382"/>
      <c r="CEK2" s="382"/>
      <c r="CEL2" s="382"/>
      <c r="CEM2" s="382"/>
      <c r="CEN2" s="382"/>
      <c r="CEO2" s="382"/>
      <c r="CEP2" s="382"/>
      <c r="CEQ2" s="382"/>
      <c r="CER2" s="382"/>
      <c r="CES2" s="382"/>
      <c r="CET2" s="382"/>
      <c r="CEU2" s="382"/>
      <c r="CEV2" s="382"/>
      <c r="CEW2" s="382"/>
      <c r="CEX2" s="382"/>
      <c r="CEY2" s="382"/>
      <c r="CEZ2" s="382"/>
      <c r="CFA2" s="382"/>
      <c r="CFB2" s="382"/>
      <c r="CFC2" s="382"/>
      <c r="CFD2" s="382"/>
      <c r="CFE2" s="382"/>
      <c r="CFF2" s="382"/>
      <c r="CFG2" s="382"/>
      <c r="CFH2" s="382"/>
      <c r="CFI2" s="382"/>
      <c r="CFJ2" s="382"/>
      <c r="CFK2" s="382"/>
      <c r="CFL2" s="382"/>
      <c r="CFM2" s="382"/>
      <c r="CFN2" s="382"/>
      <c r="CFO2" s="382"/>
      <c r="CFP2" s="382"/>
      <c r="CFQ2" s="382"/>
      <c r="CFR2" s="382"/>
      <c r="CFS2" s="382"/>
      <c r="CFT2" s="382"/>
      <c r="CFU2" s="382"/>
      <c r="CFV2" s="382"/>
      <c r="CFW2" s="382"/>
      <c r="CFX2" s="382"/>
      <c r="CFY2" s="382"/>
      <c r="CFZ2" s="382"/>
      <c r="CGA2" s="382"/>
      <c r="CGB2" s="382"/>
      <c r="CGC2" s="382"/>
      <c r="CGD2" s="382"/>
      <c r="CGE2" s="382"/>
      <c r="CGF2" s="382"/>
      <c r="CGG2" s="382"/>
      <c r="CGH2" s="382"/>
      <c r="CGI2" s="382"/>
      <c r="CGJ2" s="382"/>
      <c r="CGK2" s="382"/>
      <c r="CGL2" s="382"/>
      <c r="CGM2" s="382"/>
      <c r="CGN2" s="382"/>
      <c r="CGO2" s="382"/>
      <c r="CGP2" s="382"/>
      <c r="CGQ2" s="382"/>
      <c r="CGR2" s="382"/>
      <c r="CGS2" s="382"/>
      <c r="CGT2" s="382"/>
      <c r="CGU2" s="382"/>
      <c r="CGV2" s="382"/>
      <c r="CGW2" s="382"/>
      <c r="CGX2" s="382"/>
      <c r="CGY2" s="382"/>
      <c r="CGZ2" s="382"/>
      <c r="CHA2" s="382"/>
      <c r="CHB2" s="382"/>
      <c r="CHC2" s="382"/>
      <c r="CHD2" s="382"/>
      <c r="CHE2" s="382"/>
      <c r="CHF2" s="382"/>
      <c r="CHG2" s="382"/>
      <c r="CHH2" s="382"/>
      <c r="CHI2" s="382"/>
      <c r="CHJ2" s="382"/>
      <c r="CHK2" s="382"/>
      <c r="CHL2" s="382"/>
      <c r="CHM2" s="382"/>
      <c r="CHN2" s="382"/>
      <c r="CHO2" s="382"/>
      <c r="CHP2" s="382"/>
      <c r="CHQ2" s="382"/>
      <c r="CHR2" s="382"/>
      <c r="CHS2" s="382"/>
      <c r="CHT2" s="382"/>
      <c r="CHU2" s="382"/>
      <c r="CHV2" s="382"/>
      <c r="CHW2" s="382"/>
      <c r="CHX2" s="382"/>
      <c r="CHY2" s="382"/>
      <c r="CHZ2" s="382"/>
      <c r="CIA2" s="382"/>
      <c r="CIB2" s="382"/>
      <c r="CIC2" s="382"/>
      <c r="CID2" s="382"/>
      <c r="CIE2" s="382"/>
      <c r="CIF2" s="382"/>
      <c r="CIG2" s="382"/>
      <c r="CIH2" s="382"/>
      <c r="CII2" s="382"/>
      <c r="CIJ2" s="382"/>
      <c r="CIK2" s="382"/>
      <c r="CIL2" s="382"/>
      <c r="CIM2" s="382"/>
      <c r="CIN2" s="382"/>
      <c r="CIO2" s="382"/>
      <c r="CIP2" s="382"/>
      <c r="CIQ2" s="382"/>
      <c r="CIR2" s="382"/>
      <c r="CIS2" s="382"/>
      <c r="CIT2" s="382"/>
      <c r="CIU2" s="382"/>
      <c r="CIV2" s="382"/>
      <c r="CIW2" s="382"/>
      <c r="CIX2" s="382"/>
      <c r="CIY2" s="382"/>
      <c r="CIZ2" s="382"/>
      <c r="CJA2" s="382"/>
      <c r="CJB2" s="382"/>
      <c r="CJC2" s="382"/>
      <c r="CJD2" s="382"/>
      <c r="CJE2" s="382"/>
      <c r="CJF2" s="382"/>
      <c r="CJG2" s="382"/>
      <c r="CJH2" s="382"/>
      <c r="CJI2" s="382"/>
      <c r="CJJ2" s="382"/>
      <c r="CJK2" s="382"/>
      <c r="CJL2" s="382"/>
      <c r="CJM2" s="382"/>
      <c r="CJN2" s="382"/>
      <c r="CJO2" s="382"/>
      <c r="CJP2" s="382"/>
      <c r="CJQ2" s="382"/>
      <c r="CJR2" s="382"/>
      <c r="CJS2" s="382"/>
      <c r="CJT2" s="382"/>
      <c r="CJU2" s="382"/>
      <c r="CJV2" s="382"/>
      <c r="CJW2" s="382"/>
      <c r="CJX2" s="382"/>
      <c r="CJY2" s="382"/>
      <c r="CJZ2" s="382"/>
      <c r="CKA2" s="382"/>
      <c r="CKB2" s="382"/>
      <c r="CKC2" s="382"/>
      <c r="CKD2" s="382"/>
      <c r="CKE2" s="382"/>
      <c r="CKF2" s="382"/>
      <c r="CKG2" s="382"/>
      <c r="CKH2" s="382"/>
      <c r="CKI2" s="382"/>
      <c r="CKJ2" s="382"/>
      <c r="CKK2" s="382"/>
      <c r="CKL2" s="382"/>
      <c r="CKM2" s="382"/>
      <c r="CKN2" s="382"/>
      <c r="CKO2" s="382"/>
      <c r="CKP2" s="382"/>
      <c r="CKQ2" s="382"/>
      <c r="CKR2" s="382"/>
      <c r="CKS2" s="382"/>
      <c r="CKT2" s="382"/>
      <c r="CKU2" s="382"/>
      <c r="CKV2" s="382"/>
      <c r="CKW2" s="382"/>
      <c r="CKX2" s="382"/>
      <c r="CKY2" s="382"/>
      <c r="CKZ2" s="382"/>
      <c r="CLA2" s="382"/>
      <c r="CLB2" s="382"/>
      <c r="CLC2" s="382"/>
      <c r="CLD2" s="382"/>
      <c r="CLE2" s="382"/>
      <c r="CLF2" s="382"/>
      <c r="CLG2" s="382"/>
      <c r="CLH2" s="382"/>
      <c r="CLI2" s="382"/>
      <c r="CLJ2" s="382"/>
      <c r="CLK2" s="382"/>
      <c r="CLL2" s="382"/>
      <c r="CLM2" s="382"/>
      <c r="CLN2" s="382"/>
      <c r="CLO2" s="382"/>
      <c r="CLP2" s="382"/>
      <c r="CLQ2" s="382"/>
      <c r="CLR2" s="382"/>
      <c r="CLS2" s="382"/>
      <c r="CLT2" s="382"/>
      <c r="CLU2" s="382"/>
      <c r="CLV2" s="382"/>
      <c r="CLW2" s="382"/>
      <c r="CLX2" s="382"/>
      <c r="CLY2" s="382"/>
      <c r="CLZ2" s="382"/>
      <c r="CMA2" s="382"/>
      <c r="CMB2" s="382"/>
      <c r="CMC2" s="382"/>
      <c r="CMD2" s="382"/>
      <c r="CME2" s="382"/>
      <c r="CMF2" s="382"/>
      <c r="CMG2" s="382"/>
      <c r="CMH2" s="382"/>
      <c r="CMI2" s="382"/>
      <c r="CMJ2" s="382"/>
      <c r="CMK2" s="382"/>
      <c r="CML2" s="382"/>
      <c r="CMM2" s="382"/>
      <c r="CMN2" s="382"/>
      <c r="CMO2" s="382"/>
      <c r="CMP2" s="382"/>
      <c r="CMQ2" s="382"/>
      <c r="CMR2" s="382"/>
      <c r="CMS2" s="382"/>
      <c r="CMT2" s="382"/>
      <c r="CMU2" s="382"/>
      <c r="CMV2" s="382"/>
      <c r="CMW2" s="382"/>
      <c r="CMX2" s="382"/>
      <c r="CMY2" s="382"/>
      <c r="CMZ2" s="382"/>
      <c r="CNA2" s="382"/>
      <c r="CNB2" s="382"/>
      <c r="CNC2" s="382"/>
      <c r="CND2" s="382"/>
      <c r="CNE2" s="382"/>
      <c r="CNF2" s="382"/>
      <c r="CNG2" s="382"/>
      <c r="CNH2" s="382"/>
      <c r="CNI2" s="382"/>
      <c r="CNJ2" s="382"/>
      <c r="CNK2" s="382"/>
      <c r="CNL2" s="382"/>
      <c r="CNM2" s="382"/>
      <c r="CNN2" s="382"/>
      <c r="CNO2" s="382"/>
      <c r="CNP2" s="382"/>
      <c r="CNQ2" s="382"/>
      <c r="CNR2" s="382"/>
      <c r="CNS2" s="382"/>
      <c r="CNT2" s="382"/>
      <c r="CNU2" s="382"/>
      <c r="CNV2" s="382"/>
      <c r="CNW2" s="382"/>
      <c r="CNX2" s="382"/>
      <c r="CNY2" s="382"/>
      <c r="CNZ2" s="382"/>
      <c r="COA2" s="382"/>
      <c r="COB2" s="382"/>
      <c r="COC2" s="382"/>
      <c r="COD2" s="382"/>
      <c r="COE2" s="382"/>
      <c r="COF2" s="382"/>
      <c r="COG2" s="382"/>
      <c r="COH2" s="382"/>
      <c r="COI2" s="382"/>
      <c r="COJ2" s="382"/>
      <c r="COK2" s="382"/>
      <c r="COL2" s="382"/>
      <c r="COM2" s="382"/>
      <c r="CON2" s="382"/>
      <c r="COO2" s="382"/>
      <c r="COP2" s="382"/>
      <c r="COQ2" s="382"/>
      <c r="COR2" s="382"/>
      <c r="COS2" s="382"/>
      <c r="COT2" s="382"/>
      <c r="COU2" s="382"/>
      <c r="COV2" s="382"/>
      <c r="COW2" s="382"/>
      <c r="COX2" s="382"/>
      <c r="COY2" s="382"/>
      <c r="COZ2" s="382"/>
      <c r="CPA2" s="382"/>
      <c r="CPB2" s="382"/>
      <c r="CPC2" s="382"/>
      <c r="CPD2" s="382"/>
      <c r="CPE2" s="382"/>
      <c r="CPF2" s="382"/>
      <c r="CPG2" s="382"/>
      <c r="CPH2" s="382"/>
      <c r="CPI2" s="382"/>
      <c r="CPJ2" s="382"/>
      <c r="CPK2" s="382"/>
      <c r="CPL2" s="382"/>
      <c r="CPM2" s="382"/>
      <c r="CPN2" s="382"/>
      <c r="CPO2" s="382"/>
      <c r="CPP2" s="382"/>
      <c r="CPQ2" s="382"/>
      <c r="CPR2" s="382"/>
      <c r="CPS2" s="382"/>
      <c r="CPT2" s="382"/>
      <c r="CPU2" s="382"/>
      <c r="CPV2" s="382"/>
      <c r="CPW2" s="382"/>
      <c r="CPX2" s="382"/>
      <c r="CPY2" s="382"/>
      <c r="CPZ2" s="382"/>
      <c r="CQA2" s="382"/>
      <c r="CQB2" s="382"/>
      <c r="CQC2" s="382"/>
      <c r="CQD2" s="382"/>
      <c r="CQE2" s="382"/>
      <c r="CQF2" s="382"/>
      <c r="CQG2" s="382"/>
      <c r="CQH2" s="382"/>
      <c r="CQI2" s="382"/>
      <c r="CQJ2" s="382"/>
      <c r="CQK2" s="382"/>
      <c r="CQL2" s="382"/>
      <c r="CQM2" s="382"/>
      <c r="CQN2" s="382"/>
      <c r="CQO2" s="382"/>
      <c r="CQP2" s="382"/>
      <c r="CQQ2" s="382"/>
      <c r="CQR2" s="382"/>
      <c r="CQS2" s="382"/>
      <c r="CQT2" s="382"/>
      <c r="CQU2" s="382"/>
      <c r="CQV2" s="382"/>
      <c r="CQW2" s="382"/>
      <c r="CQX2" s="382"/>
      <c r="CQY2" s="382"/>
      <c r="CQZ2" s="382"/>
      <c r="CRA2" s="382"/>
      <c r="CRB2" s="382"/>
      <c r="CRC2" s="382"/>
      <c r="CRD2" s="382"/>
      <c r="CRE2" s="382"/>
      <c r="CRF2" s="382"/>
      <c r="CRG2" s="382"/>
      <c r="CRH2" s="382"/>
      <c r="CRI2" s="382"/>
      <c r="CRJ2" s="382"/>
      <c r="CRK2" s="382"/>
      <c r="CRL2" s="382"/>
      <c r="CRM2" s="382"/>
      <c r="CRN2" s="382"/>
      <c r="CRO2" s="382"/>
      <c r="CRP2" s="382"/>
      <c r="CRQ2" s="382"/>
      <c r="CRR2" s="382"/>
      <c r="CRS2" s="382"/>
      <c r="CRT2" s="382"/>
      <c r="CRU2" s="382"/>
      <c r="CRV2" s="382"/>
      <c r="CRW2" s="382"/>
      <c r="CRX2" s="382"/>
      <c r="CRY2" s="382"/>
      <c r="CRZ2" s="382"/>
      <c r="CSA2" s="382"/>
      <c r="CSB2" s="382"/>
      <c r="CSC2" s="382"/>
      <c r="CSD2" s="382"/>
      <c r="CSE2" s="382"/>
      <c r="CSF2" s="382"/>
      <c r="CSG2" s="382"/>
      <c r="CSH2" s="382"/>
      <c r="CSI2" s="382"/>
      <c r="CSJ2" s="382"/>
      <c r="CSK2" s="382"/>
      <c r="CSL2" s="382"/>
      <c r="CSM2" s="382"/>
      <c r="CSN2" s="382"/>
      <c r="CSO2" s="382"/>
      <c r="CSP2" s="382"/>
      <c r="CSQ2" s="382"/>
      <c r="CSR2" s="382"/>
      <c r="CSS2" s="382"/>
      <c r="CST2" s="382"/>
      <c r="CSU2" s="382"/>
      <c r="CSV2" s="382"/>
      <c r="CSW2" s="382"/>
      <c r="CSX2" s="382"/>
      <c r="CSY2" s="382"/>
      <c r="CSZ2" s="382"/>
      <c r="CTA2" s="382"/>
      <c r="CTB2" s="382"/>
      <c r="CTC2" s="382"/>
      <c r="CTD2" s="382"/>
      <c r="CTE2" s="382"/>
      <c r="CTF2" s="382"/>
      <c r="CTG2" s="382"/>
      <c r="CTH2" s="382"/>
      <c r="CTI2" s="382"/>
      <c r="CTJ2" s="382"/>
      <c r="CTK2" s="382"/>
      <c r="CTL2" s="382"/>
      <c r="CTM2" s="382"/>
      <c r="CTN2" s="382"/>
      <c r="CTO2" s="382"/>
      <c r="CTP2" s="382"/>
      <c r="CTQ2" s="382"/>
      <c r="CTR2" s="382"/>
      <c r="CTS2" s="382"/>
      <c r="CTT2" s="382"/>
      <c r="CTU2" s="382"/>
      <c r="CTV2" s="382"/>
      <c r="CTW2" s="382"/>
      <c r="CTX2" s="382"/>
      <c r="CTY2" s="382"/>
      <c r="CTZ2" s="382"/>
      <c r="CUA2" s="382"/>
      <c r="CUB2" s="382"/>
      <c r="CUC2" s="382"/>
      <c r="CUD2" s="382"/>
      <c r="CUE2" s="382"/>
      <c r="CUF2" s="382"/>
      <c r="CUG2" s="382"/>
      <c r="CUH2" s="382"/>
      <c r="CUI2" s="382"/>
      <c r="CUJ2" s="382"/>
      <c r="CUK2" s="382"/>
      <c r="CUL2" s="382"/>
      <c r="CUM2" s="382"/>
      <c r="CUN2" s="382"/>
      <c r="CUO2" s="382"/>
      <c r="CUP2" s="382"/>
      <c r="CUQ2" s="382"/>
      <c r="CUR2" s="382"/>
      <c r="CUS2" s="382"/>
      <c r="CUT2" s="382"/>
      <c r="CUU2" s="382"/>
      <c r="CUV2" s="382"/>
      <c r="CUW2" s="382"/>
      <c r="CUX2" s="382"/>
      <c r="CUY2" s="382"/>
      <c r="CUZ2" s="382"/>
      <c r="CVA2" s="382"/>
      <c r="CVB2" s="382"/>
      <c r="CVC2" s="382"/>
      <c r="CVD2" s="382"/>
      <c r="CVE2" s="382"/>
      <c r="CVF2" s="382"/>
      <c r="CVG2" s="382"/>
      <c r="CVH2" s="382"/>
      <c r="CVI2" s="382"/>
      <c r="CVJ2" s="382"/>
      <c r="CVK2" s="382"/>
      <c r="CVL2" s="382"/>
      <c r="CVM2" s="382"/>
      <c r="CVN2" s="382"/>
      <c r="CVO2" s="382"/>
      <c r="CVP2" s="382"/>
      <c r="CVQ2" s="382"/>
      <c r="CVR2" s="382"/>
      <c r="CVS2" s="382"/>
      <c r="CVT2" s="382"/>
      <c r="CVU2" s="382"/>
      <c r="CVV2" s="382"/>
      <c r="CVW2" s="382"/>
      <c r="CVX2" s="382"/>
      <c r="CVY2" s="382"/>
      <c r="CVZ2" s="382"/>
      <c r="CWA2" s="382"/>
      <c r="CWB2" s="382"/>
      <c r="CWC2" s="382"/>
      <c r="CWD2" s="382"/>
      <c r="CWE2" s="382"/>
      <c r="CWF2" s="382"/>
      <c r="CWG2" s="382"/>
      <c r="CWH2" s="382"/>
      <c r="CWI2" s="382"/>
      <c r="CWJ2" s="382"/>
      <c r="CWK2" s="382"/>
      <c r="CWL2" s="382"/>
      <c r="CWM2" s="382"/>
      <c r="CWN2" s="382"/>
      <c r="CWO2" s="382"/>
      <c r="CWP2" s="382"/>
      <c r="CWQ2" s="382"/>
      <c r="CWR2" s="382"/>
      <c r="CWS2" s="382"/>
      <c r="CWT2" s="382"/>
      <c r="CWU2" s="382"/>
      <c r="CWV2" s="382"/>
      <c r="CWW2" s="382"/>
      <c r="CWX2" s="382"/>
      <c r="CWY2" s="382"/>
      <c r="CWZ2" s="382"/>
      <c r="CXA2" s="382"/>
      <c r="CXB2" s="382"/>
      <c r="CXC2" s="382"/>
      <c r="CXD2" s="382"/>
      <c r="CXE2" s="382"/>
      <c r="CXF2" s="382"/>
      <c r="CXG2" s="382"/>
      <c r="CXH2" s="382"/>
      <c r="CXI2" s="382"/>
      <c r="CXJ2" s="382"/>
      <c r="CXK2" s="382"/>
      <c r="CXL2" s="382"/>
      <c r="CXM2" s="382"/>
      <c r="CXN2" s="382"/>
      <c r="CXO2" s="382"/>
      <c r="CXP2" s="382"/>
      <c r="CXQ2" s="382"/>
      <c r="CXR2" s="382"/>
      <c r="CXS2" s="382"/>
      <c r="CXT2" s="382"/>
      <c r="CXU2" s="382"/>
      <c r="CXV2" s="382"/>
      <c r="CXW2" s="382"/>
      <c r="CXX2" s="382"/>
      <c r="CXY2" s="382"/>
      <c r="CXZ2" s="382"/>
      <c r="CYA2" s="382"/>
      <c r="CYB2" s="382"/>
      <c r="CYC2" s="382"/>
      <c r="CYD2" s="382"/>
      <c r="CYE2" s="382"/>
      <c r="CYF2" s="382"/>
      <c r="CYG2" s="382"/>
      <c r="CYH2" s="382"/>
      <c r="CYI2" s="382"/>
      <c r="CYJ2" s="382"/>
      <c r="CYK2" s="382"/>
      <c r="CYL2" s="382"/>
      <c r="CYM2" s="382"/>
      <c r="CYN2" s="382"/>
      <c r="CYO2" s="382"/>
      <c r="CYP2" s="382"/>
      <c r="CYQ2" s="382"/>
      <c r="CYR2" s="382"/>
      <c r="CYS2" s="382"/>
      <c r="CYT2" s="382"/>
      <c r="CYU2" s="382"/>
      <c r="CYV2" s="382"/>
      <c r="CYW2" s="382"/>
      <c r="CYX2" s="382"/>
      <c r="CYY2" s="382"/>
      <c r="CYZ2" s="382"/>
      <c r="CZA2" s="382"/>
      <c r="CZB2" s="382"/>
      <c r="CZC2" s="382"/>
      <c r="CZD2" s="382"/>
      <c r="CZE2" s="382"/>
      <c r="CZF2" s="382"/>
      <c r="CZG2" s="382"/>
      <c r="CZH2" s="382"/>
      <c r="CZI2" s="382"/>
      <c r="CZJ2" s="382"/>
      <c r="CZK2" s="382"/>
      <c r="CZL2" s="382"/>
      <c r="CZM2" s="382"/>
      <c r="CZN2" s="382"/>
      <c r="CZO2" s="382"/>
      <c r="CZP2" s="382"/>
      <c r="CZQ2" s="382"/>
      <c r="CZR2" s="382"/>
      <c r="CZS2" s="382"/>
      <c r="CZT2" s="382"/>
      <c r="CZU2" s="382"/>
      <c r="CZV2" s="382"/>
      <c r="CZW2" s="382"/>
      <c r="CZX2" s="382"/>
      <c r="CZY2" s="382"/>
      <c r="CZZ2" s="382"/>
      <c r="DAA2" s="382"/>
      <c r="DAB2" s="382"/>
      <c r="DAC2" s="382"/>
      <c r="DAD2" s="382"/>
      <c r="DAE2" s="382"/>
      <c r="DAF2" s="382"/>
      <c r="DAG2" s="382"/>
      <c r="DAH2" s="382"/>
      <c r="DAI2" s="382"/>
      <c r="DAJ2" s="382"/>
      <c r="DAK2" s="382"/>
      <c r="DAL2" s="382"/>
      <c r="DAM2" s="382"/>
      <c r="DAN2" s="382"/>
      <c r="DAO2" s="382"/>
      <c r="DAP2" s="382"/>
      <c r="DAQ2" s="382"/>
      <c r="DAR2" s="382"/>
      <c r="DAS2" s="382"/>
      <c r="DAT2" s="382"/>
      <c r="DAU2" s="382"/>
      <c r="DAV2" s="382"/>
      <c r="DAW2" s="382"/>
      <c r="DAX2" s="382"/>
      <c r="DAY2" s="382"/>
      <c r="DAZ2" s="382"/>
      <c r="DBA2" s="382"/>
      <c r="DBB2" s="382"/>
      <c r="DBC2" s="382"/>
      <c r="DBD2" s="382"/>
      <c r="DBE2" s="382"/>
      <c r="DBF2" s="382"/>
      <c r="DBG2" s="382"/>
      <c r="DBH2" s="382"/>
      <c r="DBI2" s="382"/>
      <c r="DBJ2" s="382"/>
      <c r="DBK2" s="382"/>
      <c r="DBL2" s="382"/>
      <c r="DBM2" s="382"/>
      <c r="DBN2" s="382"/>
      <c r="DBO2" s="382"/>
      <c r="DBP2" s="382"/>
      <c r="DBQ2" s="382"/>
      <c r="DBR2" s="382"/>
      <c r="DBS2" s="382"/>
      <c r="DBT2" s="382"/>
      <c r="DBU2" s="382"/>
      <c r="DBV2" s="382"/>
      <c r="DBW2" s="382"/>
      <c r="DBX2" s="382"/>
      <c r="DBY2" s="382"/>
      <c r="DBZ2" s="382"/>
      <c r="DCA2" s="382"/>
      <c r="DCB2" s="382"/>
      <c r="DCC2" s="382"/>
      <c r="DCD2" s="382"/>
      <c r="DCE2" s="382"/>
      <c r="DCF2" s="382"/>
      <c r="DCG2" s="382"/>
      <c r="DCH2" s="382"/>
      <c r="DCI2" s="382"/>
      <c r="DCJ2" s="382"/>
      <c r="DCK2" s="382"/>
      <c r="DCL2" s="382"/>
      <c r="DCM2" s="382"/>
      <c r="DCN2" s="382"/>
      <c r="DCO2" s="382"/>
      <c r="DCP2" s="382"/>
      <c r="DCQ2" s="382"/>
      <c r="DCR2" s="382"/>
      <c r="DCS2" s="382"/>
      <c r="DCT2" s="382"/>
      <c r="DCU2" s="382"/>
      <c r="DCV2" s="382"/>
      <c r="DCW2" s="382"/>
      <c r="DCX2" s="382"/>
      <c r="DCY2" s="382"/>
      <c r="DCZ2" s="382"/>
      <c r="DDA2" s="382"/>
      <c r="DDB2" s="382"/>
      <c r="DDC2" s="382"/>
      <c r="DDD2" s="382"/>
      <c r="DDE2" s="382"/>
      <c r="DDF2" s="382"/>
      <c r="DDG2" s="382"/>
      <c r="DDH2" s="382"/>
      <c r="DDI2" s="382"/>
      <c r="DDJ2" s="382"/>
      <c r="DDK2" s="382"/>
      <c r="DDL2" s="382"/>
      <c r="DDM2" s="382"/>
      <c r="DDN2" s="382"/>
      <c r="DDO2" s="382"/>
      <c r="DDP2" s="382"/>
      <c r="DDQ2" s="382"/>
      <c r="DDR2" s="382"/>
      <c r="DDS2" s="382"/>
      <c r="DDT2" s="382"/>
      <c r="DDU2" s="382"/>
      <c r="DDV2" s="382"/>
      <c r="DDW2" s="382"/>
      <c r="DDX2" s="382"/>
      <c r="DDY2" s="382"/>
      <c r="DDZ2" s="382"/>
      <c r="DEA2" s="382"/>
      <c r="DEB2" s="382"/>
      <c r="DEC2" s="382"/>
      <c r="DED2" s="382"/>
      <c r="DEE2" s="382"/>
      <c r="DEF2" s="382"/>
      <c r="DEG2" s="382"/>
      <c r="DEH2" s="382"/>
      <c r="DEI2" s="382"/>
      <c r="DEJ2" s="382"/>
      <c r="DEK2" s="382"/>
      <c r="DEL2" s="382"/>
      <c r="DEM2" s="382"/>
      <c r="DEN2" s="382"/>
      <c r="DEO2" s="382"/>
      <c r="DEP2" s="382"/>
      <c r="DEQ2" s="382"/>
      <c r="DER2" s="382"/>
      <c r="DES2" s="382"/>
      <c r="DET2" s="382"/>
      <c r="DEU2" s="382"/>
      <c r="DEV2" s="382"/>
      <c r="DEW2" s="382"/>
      <c r="DEX2" s="382"/>
      <c r="DEY2" s="382"/>
      <c r="DEZ2" s="382"/>
      <c r="DFA2" s="382"/>
      <c r="DFB2" s="382"/>
      <c r="DFC2" s="382"/>
      <c r="DFD2" s="382"/>
      <c r="DFE2" s="382"/>
      <c r="DFF2" s="382"/>
      <c r="DFG2" s="382"/>
      <c r="DFH2" s="382"/>
      <c r="DFI2" s="382"/>
      <c r="DFJ2" s="382"/>
      <c r="DFK2" s="382"/>
      <c r="DFL2" s="382"/>
      <c r="DFM2" s="382"/>
      <c r="DFN2" s="382"/>
      <c r="DFO2" s="382"/>
      <c r="DFP2" s="382"/>
      <c r="DFQ2" s="382"/>
      <c r="DFR2" s="382"/>
      <c r="DFS2" s="382"/>
      <c r="DFT2" s="382"/>
      <c r="DFU2" s="382"/>
      <c r="DFV2" s="382"/>
      <c r="DFW2" s="382"/>
      <c r="DFX2" s="382"/>
      <c r="DFY2" s="382"/>
      <c r="DFZ2" s="382"/>
      <c r="DGA2" s="382"/>
      <c r="DGB2" s="382"/>
      <c r="DGC2" s="382"/>
      <c r="DGD2" s="382"/>
      <c r="DGE2" s="382"/>
      <c r="DGF2" s="382"/>
      <c r="DGG2" s="382"/>
      <c r="DGH2" s="382"/>
      <c r="DGI2" s="382"/>
      <c r="DGJ2" s="382"/>
      <c r="DGK2" s="382"/>
      <c r="DGL2" s="382"/>
      <c r="DGM2" s="382"/>
      <c r="DGN2" s="382"/>
      <c r="DGO2" s="382"/>
      <c r="DGP2" s="382"/>
      <c r="DGQ2" s="382"/>
      <c r="DGR2" s="382"/>
      <c r="DGS2" s="382"/>
      <c r="DGT2" s="382"/>
      <c r="DGU2" s="382"/>
      <c r="DGV2" s="382"/>
      <c r="DGW2" s="382"/>
      <c r="DGX2" s="382"/>
      <c r="DGY2" s="382"/>
      <c r="DGZ2" s="382"/>
      <c r="DHA2" s="382"/>
      <c r="DHB2" s="382"/>
      <c r="DHC2" s="382"/>
      <c r="DHD2" s="382"/>
      <c r="DHE2" s="382"/>
      <c r="DHF2" s="382"/>
      <c r="DHG2" s="382"/>
      <c r="DHH2" s="382"/>
      <c r="DHI2" s="382"/>
      <c r="DHJ2" s="382"/>
      <c r="DHK2" s="382"/>
      <c r="DHL2" s="382"/>
      <c r="DHM2" s="382"/>
      <c r="DHN2" s="382"/>
      <c r="DHO2" s="382"/>
      <c r="DHP2" s="382"/>
      <c r="DHQ2" s="382"/>
      <c r="DHR2" s="382"/>
      <c r="DHS2" s="382"/>
      <c r="DHT2" s="382"/>
      <c r="DHU2" s="382"/>
      <c r="DHV2" s="382"/>
      <c r="DHW2" s="382"/>
      <c r="DHX2" s="382"/>
      <c r="DHY2" s="382"/>
      <c r="DHZ2" s="382"/>
      <c r="DIA2" s="382"/>
      <c r="DIB2" s="382"/>
      <c r="DIC2" s="382"/>
      <c r="DID2" s="382"/>
      <c r="DIE2" s="382"/>
      <c r="DIF2" s="382"/>
      <c r="DIG2" s="382"/>
      <c r="DIH2" s="382"/>
      <c r="DII2" s="382"/>
      <c r="DIJ2" s="382"/>
      <c r="DIK2" s="382"/>
      <c r="DIL2" s="382"/>
      <c r="DIM2" s="382"/>
      <c r="DIN2" s="382"/>
      <c r="DIO2" s="382"/>
      <c r="DIP2" s="382"/>
      <c r="DIQ2" s="382"/>
      <c r="DIR2" s="382"/>
      <c r="DIS2" s="382"/>
      <c r="DIT2" s="382"/>
      <c r="DIU2" s="382"/>
      <c r="DIV2" s="382"/>
      <c r="DIW2" s="382"/>
      <c r="DIX2" s="382"/>
      <c r="DIY2" s="382"/>
      <c r="DIZ2" s="382"/>
      <c r="DJA2" s="382"/>
      <c r="DJB2" s="382"/>
      <c r="DJC2" s="382"/>
      <c r="DJD2" s="382"/>
      <c r="DJE2" s="382"/>
      <c r="DJF2" s="382"/>
      <c r="DJG2" s="382"/>
      <c r="DJH2" s="382"/>
      <c r="DJI2" s="382"/>
      <c r="DJJ2" s="382"/>
      <c r="DJK2" s="382"/>
      <c r="DJL2" s="382"/>
      <c r="DJM2" s="382"/>
      <c r="DJN2" s="382"/>
      <c r="DJO2" s="382"/>
      <c r="DJP2" s="382"/>
      <c r="DJQ2" s="382"/>
      <c r="DJR2" s="382"/>
      <c r="DJS2" s="382"/>
      <c r="DJT2" s="382"/>
      <c r="DJU2" s="382"/>
      <c r="DJV2" s="382"/>
      <c r="DJW2" s="382"/>
      <c r="DJX2" s="382"/>
      <c r="DJY2" s="382"/>
      <c r="DJZ2" s="382"/>
      <c r="DKA2" s="382"/>
      <c r="DKB2" s="382"/>
      <c r="DKC2" s="382"/>
      <c r="DKD2" s="382"/>
      <c r="DKE2" s="382"/>
      <c r="DKF2" s="382"/>
      <c r="DKG2" s="382"/>
      <c r="DKH2" s="382"/>
      <c r="DKI2" s="382"/>
      <c r="DKJ2" s="382"/>
      <c r="DKK2" s="382"/>
      <c r="DKL2" s="382"/>
      <c r="DKM2" s="382"/>
      <c r="DKN2" s="382"/>
      <c r="DKO2" s="382"/>
      <c r="DKP2" s="382"/>
      <c r="DKQ2" s="382"/>
      <c r="DKR2" s="382"/>
      <c r="DKS2" s="382"/>
      <c r="DKT2" s="382"/>
      <c r="DKU2" s="382"/>
      <c r="DKV2" s="382"/>
      <c r="DKW2" s="382"/>
      <c r="DKX2" s="382"/>
      <c r="DKY2" s="382"/>
      <c r="DKZ2" s="382"/>
      <c r="DLA2" s="382"/>
      <c r="DLB2" s="382"/>
      <c r="DLC2" s="382"/>
      <c r="DLD2" s="382"/>
      <c r="DLE2" s="382"/>
      <c r="DLF2" s="382"/>
      <c r="DLG2" s="382"/>
      <c r="DLH2" s="382"/>
      <c r="DLI2" s="382"/>
      <c r="DLJ2" s="382"/>
      <c r="DLK2" s="382"/>
      <c r="DLL2" s="382"/>
      <c r="DLM2" s="382"/>
      <c r="DLN2" s="382"/>
      <c r="DLO2" s="382"/>
      <c r="DLP2" s="382"/>
      <c r="DLQ2" s="382"/>
      <c r="DLR2" s="382"/>
      <c r="DLS2" s="382"/>
      <c r="DLT2" s="382"/>
      <c r="DLU2" s="382"/>
      <c r="DLV2" s="382"/>
      <c r="DLW2" s="382"/>
      <c r="DLX2" s="382"/>
      <c r="DLY2" s="382"/>
      <c r="DLZ2" s="382"/>
      <c r="DMA2" s="382"/>
      <c r="DMB2" s="382"/>
      <c r="DMC2" s="382"/>
      <c r="DMD2" s="382"/>
      <c r="DME2" s="382"/>
      <c r="DMF2" s="382"/>
      <c r="DMG2" s="382"/>
      <c r="DMH2" s="382"/>
      <c r="DMI2" s="382"/>
      <c r="DMJ2" s="382"/>
      <c r="DMK2" s="382"/>
      <c r="DML2" s="382"/>
      <c r="DMM2" s="382"/>
      <c r="DMN2" s="382"/>
      <c r="DMO2" s="382"/>
      <c r="DMP2" s="382"/>
      <c r="DMQ2" s="382"/>
      <c r="DMR2" s="382"/>
      <c r="DMS2" s="382"/>
      <c r="DMT2" s="382"/>
      <c r="DMU2" s="382"/>
      <c r="DMV2" s="382"/>
      <c r="DMW2" s="382"/>
      <c r="DMX2" s="382"/>
      <c r="DMY2" s="382"/>
      <c r="DMZ2" s="382"/>
      <c r="DNA2" s="382"/>
      <c r="DNB2" s="382"/>
      <c r="DNC2" s="382"/>
      <c r="DND2" s="382"/>
      <c r="DNE2" s="382"/>
      <c r="DNF2" s="382"/>
      <c r="DNG2" s="382"/>
      <c r="DNH2" s="382"/>
      <c r="DNI2" s="382"/>
      <c r="DNJ2" s="382"/>
      <c r="DNK2" s="382"/>
      <c r="DNL2" s="382"/>
      <c r="DNM2" s="382"/>
      <c r="DNN2" s="382"/>
      <c r="DNO2" s="382"/>
      <c r="DNP2" s="382"/>
      <c r="DNQ2" s="382"/>
      <c r="DNR2" s="382"/>
      <c r="DNS2" s="382"/>
      <c r="DNT2" s="382"/>
      <c r="DNU2" s="382"/>
      <c r="DNV2" s="382"/>
      <c r="DNW2" s="382"/>
      <c r="DNX2" s="382"/>
      <c r="DNY2" s="382"/>
      <c r="DNZ2" s="382"/>
      <c r="DOA2" s="382"/>
      <c r="DOB2" s="382"/>
      <c r="DOC2" s="382"/>
      <c r="DOD2" s="382"/>
      <c r="DOE2" s="382"/>
      <c r="DOF2" s="382"/>
      <c r="DOG2" s="382"/>
      <c r="DOH2" s="382"/>
      <c r="DOI2" s="382"/>
      <c r="DOJ2" s="382"/>
      <c r="DOK2" s="382"/>
      <c r="DOL2" s="382"/>
      <c r="DOM2" s="382"/>
      <c r="DON2" s="382"/>
      <c r="DOO2" s="382"/>
      <c r="DOP2" s="382"/>
      <c r="DOQ2" s="382"/>
      <c r="DOR2" s="382"/>
      <c r="DOS2" s="382"/>
      <c r="DOT2" s="382"/>
      <c r="DOU2" s="382"/>
      <c r="DOV2" s="382"/>
      <c r="DOW2" s="382"/>
      <c r="DOX2" s="382"/>
      <c r="DOY2" s="382"/>
      <c r="DOZ2" s="382"/>
      <c r="DPA2" s="382"/>
      <c r="DPB2" s="382"/>
      <c r="DPC2" s="382"/>
      <c r="DPD2" s="382"/>
      <c r="DPE2" s="382"/>
      <c r="DPF2" s="382"/>
      <c r="DPG2" s="382"/>
      <c r="DPH2" s="382"/>
      <c r="DPI2" s="382"/>
      <c r="DPJ2" s="382"/>
      <c r="DPK2" s="382"/>
      <c r="DPL2" s="382"/>
      <c r="DPM2" s="382"/>
      <c r="DPN2" s="382"/>
      <c r="DPO2" s="382"/>
      <c r="DPP2" s="382"/>
      <c r="DPQ2" s="382"/>
      <c r="DPR2" s="382"/>
      <c r="DPS2" s="382"/>
      <c r="DPT2" s="382"/>
      <c r="DPU2" s="382"/>
      <c r="DPV2" s="382"/>
      <c r="DPW2" s="382"/>
      <c r="DPX2" s="382"/>
      <c r="DPY2" s="382"/>
      <c r="DPZ2" s="382"/>
      <c r="DQA2" s="382"/>
      <c r="DQB2" s="382"/>
      <c r="DQC2" s="382"/>
      <c r="DQD2" s="382"/>
      <c r="DQE2" s="382"/>
      <c r="DQF2" s="382"/>
      <c r="DQG2" s="382"/>
      <c r="DQH2" s="382"/>
      <c r="DQI2" s="382"/>
      <c r="DQJ2" s="382"/>
      <c r="DQK2" s="382"/>
      <c r="DQL2" s="382"/>
      <c r="DQM2" s="382"/>
      <c r="DQN2" s="382"/>
      <c r="DQO2" s="382"/>
      <c r="DQP2" s="382"/>
      <c r="DQQ2" s="382"/>
      <c r="DQR2" s="382"/>
      <c r="DQS2" s="382"/>
      <c r="DQT2" s="382"/>
      <c r="DQU2" s="382"/>
      <c r="DQV2" s="382"/>
      <c r="DQW2" s="382"/>
      <c r="DQX2" s="382"/>
      <c r="DQY2" s="382"/>
      <c r="DQZ2" s="382"/>
      <c r="DRA2" s="382"/>
      <c r="DRB2" s="382"/>
      <c r="DRC2" s="382"/>
      <c r="DRD2" s="382"/>
      <c r="DRE2" s="382"/>
      <c r="DRF2" s="382"/>
      <c r="DRG2" s="382"/>
      <c r="DRH2" s="382"/>
      <c r="DRI2" s="382"/>
      <c r="DRJ2" s="382"/>
      <c r="DRK2" s="382"/>
      <c r="DRL2" s="382"/>
      <c r="DRM2" s="382"/>
      <c r="DRN2" s="382"/>
      <c r="DRO2" s="382"/>
      <c r="DRP2" s="382"/>
      <c r="DRQ2" s="382"/>
      <c r="DRR2" s="382"/>
      <c r="DRS2" s="382"/>
      <c r="DRT2" s="382"/>
      <c r="DRU2" s="382"/>
      <c r="DRV2" s="382"/>
      <c r="DRW2" s="382"/>
      <c r="DRX2" s="382"/>
      <c r="DRY2" s="382"/>
      <c r="DRZ2" s="382"/>
      <c r="DSA2" s="382"/>
      <c r="DSB2" s="382"/>
      <c r="DSC2" s="382"/>
      <c r="DSD2" s="382"/>
      <c r="DSE2" s="382"/>
      <c r="DSF2" s="382"/>
      <c r="DSG2" s="382"/>
      <c r="DSH2" s="382"/>
      <c r="DSI2" s="382"/>
      <c r="DSJ2" s="382"/>
      <c r="DSK2" s="382"/>
      <c r="DSL2" s="382"/>
      <c r="DSM2" s="382"/>
      <c r="DSN2" s="382"/>
      <c r="DSO2" s="382"/>
      <c r="DSP2" s="382"/>
      <c r="DSQ2" s="382"/>
      <c r="DSR2" s="382"/>
      <c r="DSS2" s="382"/>
      <c r="DST2" s="382"/>
      <c r="DSU2" s="382"/>
      <c r="DSV2" s="382"/>
      <c r="DSW2" s="382"/>
      <c r="DSX2" s="382"/>
      <c r="DSY2" s="382"/>
      <c r="DSZ2" s="382"/>
      <c r="DTA2" s="382"/>
      <c r="DTB2" s="382"/>
      <c r="DTC2" s="382"/>
      <c r="DTD2" s="382"/>
      <c r="DTE2" s="382"/>
      <c r="DTF2" s="382"/>
      <c r="DTG2" s="382"/>
      <c r="DTH2" s="382"/>
      <c r="DTI2" s="382"/>
      <c r="DTJ2" s="382"/>
      <c r="DTK2" s="382"/>
      <c r="DTL2" s="382"/>
      <c r="DTM2" s="382"/>
      <c r="DTN2" s="382"/>
      <c r="DTO2" s="382"/>
      <c r="DTP2" s="382"/>
      <c r="DTQ2" s="382"/>
      <c r="DTR2" s="382"/>
      <c r="DTS2" s="382"/>
      <c r="DTT2" s="382"/>
      <c r="DTU2" s="382"/>
      <c r="DTV2" s="382"/>
      <c r="DTW2" s="382"/>
      <c r="DTX2" s="382"/>
      <c r="DTY2" s="382"/>
      <c r="DTZ2" s="382"/>
      <c r="DUA2" s="382"/>
      <c r="DUB2" s="382"/>
      <c r="DUC2" s="382"/>
      <c r="DUD2" s="382"/>
      <c r="DUE2" s="382"/>
      <c r="DUF2" s="382"/>
      <c r="DUG2" s="382"/>
      <c r="DUH2" s="382"/>
      <c r="DUI2" s="382"/>
      <c r="DUJ2" s="382"/>
      <c r="DUK2" s="382"/>
      <c r="DUL2" s="382"/>
      <c r="DUM2" s="382"/>
      <c r="DUN2" s="382"/>
      <c r="DUO2" s="382"/>
      <c r="DUP2" s="382"/>
      <c r="DUQ2" s="382"/>
      <c r="DUR2" s="382"/>
      <c r="DUS2" s="382"/>
      <c r="DUT2" s="382"/>
      <c r="DUU2" s="382"/>
      <c r="DUV2" s="382"/>
      <c r="DUW2" s="382"/>
      <c r="DUX2" s="382"/>
      <c r="DUY2" s="382"/>
      <c r="DUZ2" s="382"/>
      <c r="DVA2" s="382"/>
      <c r="DVB2" s="382"/>
      <c r="DVC2" s="382"/>
      <c r="DVD2" s="382"/>
      <c r="DVE2" s="382"/>
      <c r="DVF2" s="382"/>
      <c r="DVG2" s="382"/>
      <c r="DVH2" s="382"/>
      <c r="DVI2" s="382"/>
      <c r="DVJ2" s="382"/>
      <c r="DVK2" s="382"/>
      <c r="DVL2" s="382"/>
      <c r="DVM2" s="382"/>
      <c r="DVN2" s="382"/>
      <c r="DVO2" s="382"/>
      <c r="DVP2" s="382"/>
      <c r="DVQ2" s="382"/>
      <c r="DVR2" s="382"/>
      <c r="DVS2" s="382"/>
      <c r="DVT2" s="382"/>
      <c r="DVU2" s="382"/>
      <c r="DVV2" s="382"/>
      <c r="DVW2" s="382"/>
      <c r="DVX2" s="382"/>
      <c r="DVY2" s="382"/>
      <c r="DVZ2" s="382"/>
      <c r="DWA2" s="382"/>
      <c r="DWB2" s="382"/>
      <c r="DWC2" s="382"/>
      <c r="DWD2" s="382"/>
      <c r="DWE2" s="382"/>
      <c r="DWF2" s="382"/>
      <c r="DWG2" s="382"/>
      <c r="DWH2" s="382"/>
      <c r="DWI2" s="382"/>
      <c r="DWJ2" s="382"/>
      <c r="DWK2" s="382"/>
      <c r="DWL2" s="382"/>
      <c r="DWM2" s="382"/>
      <c r="DWN2" s="382"/>
      <c r="DWO2" s="382"/>
      <c r="DWP2" s="382"/>
      <c r="DWQ2" s="382"/>
      <c r="DWR2" s="382"/>
      <c r="DWS2" s="382"/>
      <c r="DWT2" s="382"/>
      <c r="DWU2" s="382"/>
      <c r="DWV2" s="382"/>
      <c r="DWW2" s="382"/>
      <c r="DWX2" s="382"/>
      <c r="DWY2" s="382"/>
      <c r="DWZ2" s="382"/>
      <c r="DXA2" s="382"/>
      <c r="DXB2" s="382"/>
      <c r="DXC2" s="382"/>
      <c r="DXD2" s="382"/>
      <c r="DXE2" s="382"/>
      <c r="DXF2" s="382"/>
      <c r="DXG2" s="382"/>
      <c r="DXH2" s="382"/>
      <c r="DXI2" s="382"/>
      <c r="DXJ2" s="382"/>
      <c r="DXK2" s="382"/>
      <c r="DXL2" s="382"/>
      <c r="DXM2" s="382"/>
      <c r="DXN2" s="382"/>
      <c r="DXO2" s="382"/>
      <c r="DXP2" s="382"/>
      <c r="DXQ2" s="382"/>
      <c r="DXR2" s="382"/>
      <c r="DXS2" s="382"/>
      <c r="DXT2" s="382"/>
      <c r="DXU2" s="382"/>
      <c r="DXV2" s="382"/>
      <c r="DXW2" s="382"/>
      <c r="DXX2" s="382"/>
      <c r="DXY2" s="382"/>
      <c r="DXZ2" s="382"/>
      <c r="DYA2" s="382"/>
      <c r="DYB2" s="382"/>
      <c r="DYC2" s="382"/>
      <c r="DYD2" s="382"/>
      <c r="DYE2" s="382"/>
      <c r="DYF2" s="382"/>
      <c r="DYG2" s="382"/>
      <c r="DYH2" s="382"/>
      <c r="DYI2" s="382"/>
      <c r="DYJ2" s="382"/>
      <c r="DYK2" s="382"/>
      <c r="DYL2" s="382"/>
      <c r="DYM2" s="382"/>
      <c r="DYN2" s="382"/>
      <c r="DYO2" s="382"/>
      <c r="DYP2" s="382"/>
      <c r="DYQ2" s="382"/>
      <c r="DYR2" s="382"/>
      <c r="DYS2" s="382"/>
      <c r="DYT2" s="382"/>
      <c r="DYU2" s="382"/>
      <c r="DYV2" s="382"/>
      <c r="DYW2" s="382"/>
      <c r="DYX2" s="382"/>
      <c r="DYY2" s="382"/>
      <c r="DYZ2" s="382"/>
      <c r="DZA2" s="382"/>
      <c r="DZB2" s="382"/>
      <c r="DZC2" s="382"/>
      <c r="DZD2" s="382"/>
      <c r="DZE2" s="382"/>
      <c r="DZF2" s="382"/>
      <c r="DZG2" s="382"/>
      <c r="DZH2" s="382"/>
      <c r="DZI2" s="382"/>
      <c r="DZJ2" s="382"/>
      <c r="DZK2" s="382"/>
      <c r="DZL2" s="382"/>
      <c r="DZM2" s="382"/>
      <c r="DZN2" s="382"/>
      <c r="DZO2" s="382"/>
      <c r="DZP2" s="382"/>
      <c r="DZQ2" s="382"/>
      <c r="DZR2" s="382"/>
      <c r="DZS2" s="382"/>
      <c r="DZT2" s="382"/>
      <c r="DZU2" s="382"/>
      <c r="DZV2" s="382"/>
      <c r="DZW2" s="382"/>
      <c r="DZX2" s="382"/>
      <c r="DZY2" s="382"/>
      <c r="DZZ2" s="382"/>
      <c r="EAA2" s="382"/>
      <c r="EAB2" s="382"/>
      <c r="EAC2" s="382"/>
      <c r="EAD2" s="382"/>
      <c r="EAE2" s="382"/>
      <c r="EAF2" s="382"/>
      <c r="EAG2" s="382"/>
      <c r="EAH2" s="382"/>
      <c r="EAI2" s="382"/>
      <c r="EAJ2" s="382"/>
      <c r="EAK2" s="382"/>
      <c r="EAL2" s="382"/>
      <c r="EAM2" s="382"/>
      <c r="EAN2" s="382"/>
      <c r="EAO2" s="382"/>
      <c r="EAP2" s="382"/>
      <c r="EAQ2" s="382"/>
      <c r="EAR2" s="382"/>
      <c r="EAS2" s="382"/>
      <c r="EAT2" s="382"/>
      <c r="EAU2" s="382"/>
      <c r="EAV2" s="382"/>
      <c r="EAW2" s="382"/>
      <c r="EAX2" s="382"/>
      <c r="EAY2" s="382"/>
      <c r="EAZ2" s="382"/>
      <c r="EBA2" s="382"/>
      <c r="EBB2" s="382"/>
      <c r="EBC2" s="382"/>
      <c r="EBD2" s="382"/>
      <c r="EBE2" s="382"/>
      <c r="EBF2" s="382"/>
      <c r="EBG2" s="382"/>
      <c r="EBH2" s="382"/>
      <c r="EBI2" s="382"/>
      <c r="EBJ2" s="382"/>
      <c r="EBK2" s="382"/>
      <c r="EBL2" s="382"/>
      <c r="EBM2" s="382"/>
      <c r="EBN2" s="382"/>
      <c r="EBO2" s="382"/>
      <c r="EBP2" s="382"/>
      <c r="EBQ2" s="382"/>
      <c r="EBR2" s="382"/>
      <c r="EBS2" s="382"/>
      <c r="EBT2" s="382"/>
      <c r="EBU2" s="382"/>
      <c r="EBV2" s="382"/>
      <c r="EBW2" s="382"/>
      <c r="EBX2" s="382"/>
      <c r="EBY2" s="382"/>
      <c r="EBZ2" s="382"/>
      <c r="ECA2" s="382"/>
      <c r="ECB2" s="382"/>
      <c r="ECC2" s="382"/>
      <c r="ECD2" s="382"/>
      <c r="ECE2" s="382"/>
      <c r="ECF2" s="382"/>
      <c r="ECG2" s="382"/>
      <c r="ECH2" s="382"/>
      <c r="ECI2" s="382"/>
      <c r="ECJ2" s="382"/>
      <c r="ECK2" s="382"/>
      <c r="ECL2" s="382"/>
      <c r="ECM2" s="382"/>
      <c r="ECN2" s="382"/>
      <c r="ECO2" s="382"/>
      <c r="ECP2" s="382"/>
      <c r="ECQ2" s="382"/>
      <c r="ECR2" s="382"/>
      <c r="ECS2" s="382"/>
      <c r="ECT2" s="382"/>
      <c r="ECU2" s="382"/>
      <c r="ECV2" s="382"/>
      <c r="ECW2" s="382"/>
      <c r="ECX2" s="382"/>
      <c r="ECY2" s="382"/>
      <c r="ECZ2" s="382"/>
      <c r="EDA2" s="382"/>
      <c r="EDB2" s="382"/>
      <c r="EDC2" s="382"/>
      <c r="EDD2" s="382"/>
      <c r="EDE2" s="382"/>
      <c r="EDF2" s="382"/>
      <c r="EDG2" s="382"/>
      <c r="EDH2" s="382"/>
      <c r="EDI2" s="382"/>
      <c r="EDJ2" s="382"/>
      <c r="EDK2" s="382"/>
      <c r="EDL2" s="382"/>
      <c r="EDM2" s="382"/>
      <c r="EDN2" s="382"/>
      <c r="EDO2" s="382"/>
      <c r="EDP2" s="382"/>
      <c r="EDQ2" s="382"/>
      <c r="EDR2" s="382"/>
      <c r="EDS2" s="382"/>
      <c r="EDT2" s="382"/>
      <c r="EDU2" s="382"/>
      <c r="EDV2" s="382"/>
      <c r="EDW2" s="382"/>
      <c r="EDX2" s="382"/>
      <c r="EDY2" s="382"/>
      <c r="EDZ2" s="382"/>
      <c r="EEA2" s="382"/>
      <c r="EEB2" s="382"/>
      <c r="EEC2" s="382"/>
      <c r="EED2" s="382"/>
      <c r="EEE2" s="382"/>
      <c r="EEF2" s="382"/>
      <c r="EEG2" s="382"/>
      <c r="EEH2" s="382"/>
      <c r="EEI2" s="382"/>
      <c r="EEJ2" s="382"/>
      <c r="EEK2" s="382"/>
      <c r="EEL2" s="382"/>
      <c r="EEM2" s="382"/>
      <c r="EEN2" s="382"/>
      <c r="EEO2" s="382"/>
      <c r="EEP2" s="382"/>
      <c r="EEQ2" s="382"/>
      <c r="EER2" s="382"/>
      <c r="EES2" s="382"/>
      <c r="EET2" s="382"/>
      <c r="EEU2" s="382"/>
      <c r="EEV2" s="382"/>
      <c r="EEW2" s="382"/>
      <c r="EEX2" s="382"/>
      <c r="EEY2" s="382"/>
      <c r="EEZ2" s="382"/>
      <c r="EFA2" s="382"/>
      <c r="EFB2" s="382"/>
      <c r="EFC2" s="382"/>
      <c r="EFD2" s="382"/>
      <c r="EFE2" s="382"/>
      <c r="EFF2" s="382"/>
      <c r="EFG2" s="382"/>
      <c r="EFH2" s="382"/>
      <c r="EFI2" s="382"/>
      <c r="EFJ2" s="382"/>
      <c r="EFK2" s="382"/>
      <c r="EFL2" s="382"/>
      <c r="EFM2" s="382"/>
      <c r="EFN2" s="382"/>
      <c r="EFO2" s="382"/>
      <c r="EFP2" s="382"/>
      <c r="EFQ2" s="382"/>
      <c r="EFR2" s="382"/>
      <c r="EFS2" s="382"/>
      <c r="EFT2" s="382"/>
      <c r="EFU2" s="382"/>
      <c r="EFV2" s="382"/>
      <c r="EFW2" s="382"/>
      <c r="EFX2" s="382"/>
      <c r="EFY2" s="382"/>
      <c r="EFZ2" s="382"/>
      <c r="EGA2" s="382"/>
      <c r="EGB2" s="382"/>
      <c r="EGC2" s="382"/>
      <c r="EGD2" s="382"/>
      <c r="EGE2" s="382"/>
      <c r="EGF2" s="382"/>
      <c r="EGG2" s="382"/>
      <c r="EGH2" s="382"/>
      <c r="EGI2" s="382"/>
      <c r="EGJ2" s="382"/>
      <c r="EGK2" s="382"/>
      <c r="EGL2" s="382"/>
      <c r="EGM2" s="382"/>
      <c r="EGN2" s="382"/>
      <c r="EGO2" s="382"/>
      <c r="EGP2" s="382"/>
      <c r="EGQ2" s="382"/>
      <c r="EGR2" s="382"/>
      <c r="EGS2" s="382"/>
      <c r="EGT2" s="382"/>
      <c r="EGU2" s="382"/>
      <c r="EGV2" s="382"/>
      <c r="EGW2" s="382"/>
      <c r="EGX2" s="382"/>
      <c r="EGY2" s="382"/>
      <c r="EGZ2" s="382"/>
      <c r="EHA2" s="382"/>
      <c r="EHB2" s="382"/>
      <c r="EHC2" s="382"/>
      <c r="EHD2" s="382"/>
      <c r="EHE2" s="382"/>
      <c r="EHF2" s="382"/>
      <c r="EHG2" s="382"/>
      <c r="EHH2" s="382"/>
      <c r="EHI2" s="382"/>
      <c r="EHJ2" s="382"/>
      <c r="EHK2" s="382"/>
      <c r="EHL2" s="382"/>
      <c r="EHM2" s="382"/>
      <c r="EHN2" s="382"/>
      <c r="EHO2" s="382"/>
      <c r="EHP2" s="382"/>
      <c r="EHQ2" s="382"/>
      <c r="EHR2" s="382"/>
      <c r="EHS2" s="382"/>
      <c r="EHT2" s="382"/>
      <c r="EHU2" s="382"/>
      <c r="EHV2" s="382"/>
      <c r="EHW2" s="382"/>
      <c r="EHX2" s="382"/>
      <c r="EHY2" s="382"/>
      <c r="EHZ2" s="382"/>
      <c r="EIA2" s="382"/>
      <c r="EIB2" s="382"/>
      <c r="EIC2" s="382"/>
      <c r="EID2" s="382"/>
      <c r="EIE2" s="382"/>
      <c r="EIF2" s="382"/>
      <c r="EIG2" s="382"/>
      <c r="EIH2" s="382"/>
      <c r="EII2" s="382"/>
      <c r="EIJ2" s="382"/>
      <c r="EIK2" s="382"/>
      <c r="EIL2" s="382"/>
      <c r="EIM2" s="382"/>
      <c r="EIN2" s="382"/>
      <c r="EIO2" s="382"/>
      <c r="EIP2" s="382"/>
      <c r="EIQ2" s="382"/>
      <c r="EIR2" s="382"/>
      <c r="EIS2" s="382"/>
      <c r="EIT2" s="382"/>
      <c r="EIU2" s="382"/>
      <c r="EIV2" s="382"/>
      <c r="EIW2" s="382"/>
      <c r="EIX2" s="382"/>
      <c r="EIY2" s="382"/>
      <c r="EIZ2" s="382"/>
      <c r="EJA2" s="382"/>
      <c r="EJB2" s="382"/>
      <c r="EJC2" s="382"/>
      <c r="EJD2" s="382"/>
      <c r="EJE2" s="382"/>
      <c r="EJF2" s="382"/>
      <c r="EJG2" s="382"/>
      <c r="EJH2" s="382"/>
      <c r="EJI2" s="382"/>
      <c r="EJJ2" s="382"/>
      <c r="EJK2" s="382"/>
      <c r="EJL2" s="382"/>
      <c r="EJM2" s="382"/>
      <c r="EJN2" s="382"/>
      <c r="EJO2" s="382"/>
      <c r="EJP2" s="382"/>
      <c r="EJQ2" s="382"/>
      <c r="EJR2" s="382"/>
      <c r="EJS2" s="382"/>
      <c r="EJT2" s="382"/>
      <c r="EJU2" s="382"/>
      <c r="EJV2" s="382"/>
      <c r="EJW2" s="382"/>
      <c r="EJX2" s="382"/>
      <c r="EJY2" s="382"/>
      <c r="EJZ2" s="382"/>
      <c r="EKA2" s="382"/>
      <c r="EKB2" s="382"/>
      <c r="EKC2" s="382"/>
      <c r="EKD2" s="382"/>
      <c r="EKE2" s="382"/>
      <c r="EKF2" s="382"/>
      <c r="EKG2" s="382"/>
      <c r="EKH2" s="382"/>
      <c r="EKI2" s="382"/>
      <c r="EKJ2" s="382"/>
      <c r="EKK2" s="382"/>
      <c r="EKL2" s="382"/>
      <c r="EKM2" s="382"/>
      <c r="EKN2" s="382"/>
      <c r="EKO2" s="382"/>
      <c r="EKP2" s="382"/>
      <c r="EKQ2" s="382"/>
      <c r="EKR2" s="382"/>
      <c r="EKS2" s="382"/>
      <c r="EKT2" s="382"/>
      <c r="EKU2" s="382"/>
      <c r="EKV2" s="382"/>
      <c r="EKW2" s="382"/>
      <c r="EKX2" s="382"/>
      <c r="EKY2" s="382"/>
      <c r="EKZ2" s="382"/>
      <c r="ELA2" s="382"/>
      <c r="ELB2" s="382"/>
      <c r="ELC2" s="382"/>
      <c r="ELD2" s="382"/>
      <c r="ELE2" s="382"/>
      <c r="ELF2" s="382"/>
      <c r="ELG2" s="382"/>
      <c r="ELH2" s="382"/>
      <c r="ELI2" s="382"/>
      <c r="ELJ2" s="382"/>
      <c r="ELK2" s="382"/>
      <c r="ELL2" s="382"/>
      <c r="ELM2" s="382"/>
      <c r="ELN2" s="382"/>
      <c r="ELO2" s="382"/>
      <c r="ELP2" s="382"/>
      <c r="ELQ2" s="382"/>
      <c r="ELR2" s="382"/>
      <c r="ELS2" s="382"/>
      <c r="ELT2" s="382"/>
      <c r="ELU2" s="382"/>
      <c r="ELV2" s="382"/>
      <c r="ELW2" s="382"/>
      <c r="ELX2" s="382"/>
      <c r="ELY2" s="382"/>
      <c r="ELZ2" s="382"/>
      <c r="EMA2" s="382"/>
      <c r="EMB2" s="382"/>
      <c r="EMC2" s="382"/>
      <c r="EMD2" s="382"/>
      <c r="EME2" s="382"/>
      <c r="EMF2" s="382"/>
      <c r="EMG2" s="382"/>
      <c r="EMH2" s="382"/>
      <c r="EMI2" s="382"/>
      <c r="EMJ2" s="382"/>
      <c r="EMK2" s="382"/>
      <c r="EML2" s="382"/>
      <c r="EMM2" s="382"/>
      <c r="EMN2" s="382"/>
      <c r="EMO2" s="382"/>
      <c r="EMP2" s="382"/>
      <c r="EMQ2" s="382"/>
      <c r="EMR2" s="382"/>
      <c r="EMS2" s="382"/>
      <c r="EMT2" s="382"/>
      <c r="EMU2" s="382"/>
      <c r="EMV2" s="382"/>
      <c r="EMW2" s="382"/>
      <c r="EMX2" s="382"/>
      <c r="EMY2" s="382"/>
      <c r="EMZ2" s="382"/>
      <c r="ENA2" s="382"/>
      <c r="ENB2" s="382"/>
      <c r="ENC2" s="382"/>
      <c r="END2" s="382"/>
      <c r="ENE2" s="382"/>
      <c r="ENF2" s="382"/>
      <c r="ENG2" s="382"/>
      <c r="ENH2" s="382"/>
      <c r="ENI2" s="382"/>
      <c r="ENJ2" s="382"/>
      <c r="ENK2" s="382"/>
      <c r="ENL2" s="382"/>
      <c r="ENM2" s="382"/>
      <c r="ENN2" s="382"/>
      <c r="ENO2" s="382"/>
      <c r="ENP2" s="382"/>
      <c r="ENQ2" s="382"/>
      <c r="ENR2" s="382"/>
      <c r="ENS2" s="382"/>
      <c r="ENT2" s="382"/>
      <c r="ENU2" s="382"/>
      <c r="ENV2" s="382"/>
      <c r="ENW2" s="382"/>
      <c r="ENX2" s="382"/>
      <c r="ENY2" s="382"/>
      <c r="ENZ2" s="382"/>
      <c r="EOA2" s="382"/>
      <c r="EOB2" s="382"/>
      <c r="EOC2" s="382"/>
      <c r="EOD2" s="382"/>
      <c r="EOE2" s="382"/>
      <c r="EOF2" s="382"/>
      <c r="EOG2" s="382"/>
      <c r="EOH2" s="382"/>
      <c r="EOI2" s="382"/>
      <c r="EOJ2" s="382"/>
      <c r="EOK2" s="382"/>
      <c r="EOL2" s="382"/>
      <c r="EOM2" s="382"/>
      <c r="EON2" s="382"/>
      <c r="EOO2" s="382"/>
      <c r="EOP2" s="382"/>
      <c r="EOQ2" s="382"/>
      <c r="EOR2" s="382"/>
      <c r="EOS2" s="382"/>
      <c r="EOT2" s="382"/>
      <c r="EOU2" s="382"/>
      <c r="EOV2" s="382"/>
      <c r="EOW2" s="382"/>
      <c r="EOX2" s="382"/>
      <c r="EOY2" s="382"/>
      <c r="EOZ2" s="382"/>
      <c r="EPA2" s="382"/>
      <c r="EPB2" s="382"/>
      <c r="EPC2" s="382"/>
      <c r="EPD2" s="382"/>
      <c r="EPE2" s="382"/>
      <c r="EPF2" s="382"/>
      <c r="EPG2" s="382"/>
      <c r="EPH2" s="382"/>
      <c r="EPI2" s="382"/>
      <c r="EPJ2" s="382"/>
      <c r="EPK2" s="382"/>
      <c r="EPL2" s="382"/>
      <c r="EPM2" s="382"/>
      <c r="EPN2" s="382"/>
      <c r="EPO2" s="382"/>
      <c r="EPP2" s="382"/>
      <c r="EPQ2" s="382"/>
      <c r="EPR2" s="382"/>
      <c r="EPS2" s="382"/>
      <c r="EPT2" s="382"/>
      <c r="EPU2" s="382"/>
      <c r="EPV2" s="382"/>
      <c r="EPW2" s="382"/>
      <c r="EPX2" s="382"/>
      <c r="EPY2" s="382"/>
      <c r="EPZ2" s="382"/>
      <c r="EQA2" s="382"/>
      <c r="EQB2" s="382"/>
      <c r="EQC2" s="382"/>
      <c r="EQD2" s="382"/>
      <c r="EQE2" s="382"/>
      <c r="EQF2" s="382"/>
      <c r="EQG2" s="382"/>
      <c r="EQH2" s="382"/>
      <c r="EQI2" s="382"/>
      <c r="EQJ2" s="382"/>
      <c r="EQK2" s="382"/>
      <c r="EQL2" s="382"/>
      <c r="EQM2" s="382"/>
      <c r="EQN2" s="382"/>
      <c r="EQO2" s="382"/>
      <c r="EQP2" s="382"/>
      <c r="EQQ2" s="382"/>
      <c r="EQR2" s="382"/>
      <c r="EQS2" s="382"/>
      <c r="EQT2" s="382"/>
      <c r="EQU2" s="382"/>
      <c r="EQV2" s="382"/>
      <c r="EQW2" s="382"/>
      <c r="EQX2" s="382"/>
      <c r="EQY2" s="382"/>
      <c r="EQZ2" s="382"/>
      <c r="ERA2" s="382"/>
      <c r="ERB2" s="382"/>
      <c r="ERC2" s="382"/>
      <c r="ERD2" s="382"/>
      <c r="ERE2" s="382"/>
      <c r="ERF2" s="382"/>
      <c r="ERG2" s="382"/>
      <c r="ERH2" s="382"/>
      <c r="ERI2" s="382"/>
      <c r="ERJ2" s="382"/>
      <c r="ERK2" s="382"/>
      <c r="ERL2" s="382"/>
      <c r="ERM2" s="382"/>
      <c r="ERN2" s="382"/>
      <c r="ERO2" s="382"/>
      <c r="ERP2" s="382"/>
      <c r="ERQ2" s="382"/>
      <c r="ERR2" s="382"/>
      <c r="ERS2" s="382"/>
      <c r="ERT2" s="382"/>
      <c r="ERU2" s="382"/>
      <c r="ERV2" s="382"/>
      <c r="ERW2" s="382"/>
      <c r="ERX2" s="382"/>
      <c r="ERY2" s="382"/>
      <c r="ERZ2" s="382"/>
      <c r="ESA2" s="382"/>
      <c r="ESB2" s="382"/>
      <c r="ESC2" s="382"/>
      <c r="ESD2" s="382"/>
      <c r="ESE2" s="382"/>
      <c r="ESF2" s="382"/>
      <c r="ESG2" s="382"/>
      <c r="ESH2" s="382"/>
      <c r="ESI2" s="382"/>
      <c r="ESJ2" s="382"/>
      <c r="ESK2" s="382"/>
      <c r="ESL2" s="382"/>
      <c r="ESM2" s="382"/>
      <c r="ESN2" s="382"/>
      <c r="ESO2" s="382"/>
      <c r="ESP2" s="382"/>
      <c r="ESQ2" s="382"/>
      <c r="ESR2" s="382"/>
      <c r="ESS2" s="382"/>
      <c r="EST2" s="382"/>
      <c r="ESU2" s="382"/>
      <c r="ESV2" s="382"/>
      <c r="ESW2" s="382"/>
      <c r="ESX2" s="382"/>
      <c r="ESY2" s="382"/>
      <c r="ESZ2" s="382"/>
      <c r="ETA2" s="382"/>
      <c r="ETB2" s="382"/>
      <c r="ETC2" s="382"/>
      <c r="ETD2" s="382"/>
      <c r="ETE2" s="382"/>
      <c r="ETF2" s="382"/>
      <c r="ETG2" s="382"/>
      <c r="ETH2" s="382"/>
      <c r="ETI2" s="382"/>
      <c r="ETJ2" s="382"/>
      <c r="ETK2" s="382"/>
      <c r="ETL2" s="382"/>
      <c r="ETM2" s="382"/>
      <c r="ETN2" s="382"/>
      <c r="ETO2" s="382"/>
      <c r="ETP2" s="382"/>
      <c r="ETQ2" s="382"/>
      <c r="ETR2" s="382"/>
      <c r="ETS2" s="382"/>
      <c r="ETT2" s="382"/>
      <c r="ETU2" s="382"/>
      <c r="ETV2" s="382"/>
      <c r="ETW2" s="382"/>
      <c r="ETX2" s="382"/>
      <c r="ETY2" s="382"/>
      <c r="ETZ2" s="382"/>
      <c r="EUA2" s="382"/>
      <c r="EUB2" s="382"/>
      <c r="EUC2" s="382"/>
      <c r="EUD2" s="382"/>
      <c r="EUE2" s="382"/>
      <c r="EUF2" s="382"/>
      <c r="EUG2" s="382"/>
      <c r="EUH2" s="382"/>
      <c r="EUI2" s="382"/>
      <c r="EUJ2" s="382"/>
      <c r="EUK2" s="382"/>
      <c r="EUL2" s="382"/>
      <c r="EUM2" s="382"/>
      <c r="EUN2" s="382"/>
      <c r="EUO2" s="382"/>
      <c r="EUP2" s="382"/>
      <c r="EUQ2" s="382"/>
      <c r="EUR2" s="382"/>
      <c r="EUS2" s="382"/>
      <c r="EUT2" s="382"/>
      <c r="EUU2" s="382"/>
      <c r="EUV2" s="382"/>
      <c r="EUW2" s="382"/>
      <c r="EUX2" s="382"/>
      <c r="EUY2" s="382"/>
      <c r="EUZ2" s="382"/>
      <c r="EVA2" s="382"/>
      <c r="EVB2" s="382"/>
      <c r="EVC2" s="382"/>
      <c r="EVD2" s="382"/>
      <c r="EVE2" s="382"/>
      <c r="EVF2" s="382"/>
      <c r="EVG2" s="382"/>
      <c r="EVH2" s="382"/>
      <c r="EVI2" s="382"/>
      <c r="EVJ2" s="382"/>
      <c r="EVK2" s="382"/>
      <c r="EVL2" s="382"/>
      <c r="EVM2" s="382"/>
      <c r="EVN2" s="382"/>
      <c r="EVO2" s="382"/>
      <c r="EVP2" s="382"/>
      <c r="EVQ2" s="382"/>
      <c r="EVR2" s="382"/>
      <c r="EVS2" s="382"/>
      <c r="EVT2" s="382"/>
      <c r="EVU2" s="382"/>
      <c r="EVV2" s="382"/>
      <c r="EVW2" s="382"/>
      <c r="EVX2" s="382"/>
      <c r="EVY2" s="382"/>
      <c r="EVZ2" s="382"/>
      <c r="EWA2" s="382"/>
      <c r="EWB2" s="382"/>
      <c r="EWC2" s="382"/>
      <c r="EWD2" s="382"/>
      <c r="EWE2" s="382"/>
      <c r="EWF2" s="382"/>
      <c r="EWG2" s="382"/>
      <c r="EWH2" s="382"/>
      <c r="EWI2" s="382"/>
      <c r="EWJ2" s="382"/>
      <c r="EWK2" s="382"/>
      <c r="EWL2" s="382"/>
      <c r="EWM2" s="382"/>
      <c r="EWN2" s="382"/>
      <c r="EWO2" s="382"/>
      <c r="EWP2" s="382"/>
      <c r="EWQ2" s="382"/>
      <c r="EWR2" s="382"/>
      <c r="EWS2" s="382"/>
      <c r="EWT2" s="382"/>
      <c r="EWU2" s="382"/>
      <c r="EWV2" s="382"/>
      <c r="EWW2" s="382"/>
      <c r="EWX2" s="382"/>
      <c r="EWY2" s="382"/>
      <c r="EWZ2" s="382"/>
      <c r="EXA2" s="382"/>
      <c r="EXB2" s="382"/>
      <c r="EXC2" s="382"/>
      <c r="EXD2" s="382"/>
      <c r="EXE2" s="382"/>
      <c r="EXF2" s="382"/>
      <c r="EXG2" s="382"/>
      <c r="EXH2" s="382"/>
      <c r="EXI2" s="382"/>
      <c r="EXJ2" s="382"/>
      <c r="EXK2" s="382"/>
      <c r="EXL2" s="382"/>
      <c r="EXM2" s="382"/>
      <c r="EXN2" s="382"/>
      <c r="EXO2" s="382"/>
      <c r="EXP2" s="382"/>
      <c r="EXQ2" s="382"/>
      <c r="EXR2" s="382"/>
      <c r="EXS2" s="382"/>
      <c r="EXT2" s="382"/>
      <c r="EXU2" s="382"/>
      <c r="EXV2" s="382"/>
      <c r="EXW2" s="382"/>
      <c r="EXX2" s="382"/>
      <c r="EXY2" s="382"/>
      <c r="EXZ2" s="382"/>
      <c r="EYA2" s="382"/>
      <c r="EYB2" s="382"/>
      <c r="EYC2" s="382"/>
      <c r="EYD2" s="382"/>
      <c r="EYE2" s="382"/>
      <c r="EYF2" s="382"/>
      <c r="EYG2" s="382"/>
      <c r="EYH2" s="382"/>
      <c r="EYI2" s="382"/>
      <c r="EYJ2" s="382"/>
      <c r="EYK2" s="382"/>
      <c r="EYL2" s="382"/>
      <c r="EYM2" s="382"/>
      <c r="EYN2" s="382"/>
      <c r="EYO2" s="382"/>
      <c r="EYP2" s="382"/>
      <c r="EYQ2" s="382"/>
      <c r="EYR2" s="382"/>
      <c r="EYS2" s="382"/>
      <c r="EYT2" s="382"/>
      <c r="EYU2" s="382"/>
      <c r="EYV2" s="382"/>
      <c r="EYW2" s="382"/>
      <c r="EYX2" s="382"/>
      <c r="EYY2" s="382"/>
      <c r="EYZ2" s="382"/>
      <c r="EZA2" s="382"/>
      <c r="EZB2" s="382"/>
      <c r="EZC2" s="382"/>
      <c r="EZD2" s="382"/>
      <c r="EZE2" s="382"/>
      <c r="EZF2" s="382"/>
      <c r="EZG2" s="382"/>
      <c r="EZH2" s="382"/>
      <c r="EZI2" s="382"/>
      <c r="EZJ2" s="382"/>
      <c r="EZK2" s="382"/>
      <c r="EZL2" s="382"/>
      <c r="EZM2" s="382"/>
      <c r="EZN2" s="382"/>
      <c r="EZO2" s="382"/>
      <c r="EZP2" s="382"/>
      <c r="EZQ2" s="382"/>
      <c r="EZR2" s="382"/>
      <c r="EZS2" s="382"/>
      <c r="EZT2" s="382"/>
      <c r="EZU2" s="382"/>
      <c r="EZV2" s="382"/>
      <c r="EZW2" s="382"/>
      <c r="EZX2" s="382"/>
      <c r="EZY2" s="382"/>
      <c r="EZZ2" s="382"/>
      <c r="FAA2" s="382"/>
      <c r="FAB2" s="382"/>
      <c r="FAC2" s="382"/>
      <c r="FAD2" s="382"/>
      <c r="FAE2" s="382"/>
      <c r="FAF2" s="382"/>
      <c r="FAG2" s="382"/>
      <c r="FAH2" s="382"/>
      <c r="FAI2" s="382"/>
      <c r="FAJ2" s="382"/>
      <c r="FAK2" s="382"/>
      <c r="FAL2" s="382"/>
      <c r="FAM2" s="382"/>
      <c r="FAN2" s="382"/>
      <c r="FAO2" s="382"/>
      <c r="FAP2" s="382"/>
      <c r="FAQ2" s="382"/>
      <c r="FAR2" s="382"/>
      <c r="FAS2" s="382"/>
      <c r="FAT2" s="382"/>
      <c r="FAU2" s="382"/>
      <c r="FAV2" s="382"/>
      <c r="FAW2" s="382"/>
      <c r="FAX2" s="382"/>
      <c r="FAY2" s="382"/>
      <c r="FAZ2" s="382"/>
      <c r="FBA2" s="382"/>
      <c r="FBB2" s="382"/>
      <c r="FBC2" s="382"/>
      <c r="FBD2" s="382"/>
      <c r="FBE2" s="382"/>
      <c r="FBF2" s="382"/>
      <c r="FBG2" s="382"/>
      <c r="FBH2" s="382"/>
      <c r="FBI2" s="382"/>
      <c r="FBJ2" s="382"/>
      <c r="FBK2" s="382"/>
      <c r="FBL2" s="382"/>
      <c r="FBM2" s="382"/>
      <c r="FBN2" s="382"/>
      <c r="FBO2" s="382"/>
      <c r="FBP2" s="382"/>
      <c r="FBQ2" s="382"/>
      <c r="FBR2" s="382"/>
      <c r="FBS2" s="382"/>
      <c r="FBT2" s="382"/>
      <c r="FBU2" s="382"/>
      <c r="FBV2" s="382"/>
      <c r="FBW2" s="382"/>
      <c r="FBX2" s="382"/>
      <c r="FBY2" s="382"/>
      <c r="FBZ2" s="382"/>
      <c r="FCA2" s="382"/>
      <c r="FCB2" s="382"/>
      <c r="FCC2" s="382"/>
      <c r="FCD2" s="382"/>
      <c r="FCE2" s="382"/>
      <c r="FCF2" s="382"/>
      <c r="FCG2" s="382"/>
      <c r="FCH2" s="382"/>
      <c r="FCI2" s="382"/>
      <c r="FCJ2" s="382"/>
      <c r="FCK2" s="382"/>
      <c r="FCL2" s="382"/>
      <c r="FCM2" s="382"/>
      <c r="FCN2" s="382"/>
      <c r="FCO2" s="382"/>
      <c r="FCP2" s="382"/>
      <c r="FCQ2" s="382"/>
      <c r="FCR2" s="382"/>
      <c r="FCS2" s="382"/>
      <c r="FCT2" s="382"/>
      <c r="FCU2" s="382"/>
      <c r="FCV2" s="382"/>
      <c r="FCW2" s="382"/>
      <c r="FCX2" s="382"/>
      <c r="FCY2" s="382"/>
      <c r="FCZ2" s="382"/>
      <c r="FDA2" s="382"/>
      <c r="FDB2" s="382"/>
      <c r="FDC2" s="382"/>
      <c r="FDD2" s="382"/>
      <c r="FDE2" s="382"/>
      <c r="FDF2" s="382"/>
      <c r="FDG2" s="382"/>
      <c r="FDH2" s="382"/>
      <c r="FDI2" s="382"/>
      <c r="FDJ2" s="382"/>
      <c r="FDK2" s="382"/>
      <c r="FDL2" s="382"/>
      <c r="FDM2" s="382"/>
      <c r="FDN2" s="382"/>
      <c r="FDO2" s="382"/>
      <c r="FDP2" s="382"/>
      <c r="FDQ2" s="382"/>
      <c r="FDR2" s="382"/>
      <c r="FDS2" s="382"/>
      <c r="FDT2" s="382"/>
      <c r="FDU2" s="382"/>
      <c r="FDV2" s="382"/>
      <c r="FDW2" s="382"/>
      <c r="FDX2" s="382"/>
      <c r="FDY2" s="382"/>
      <c r="FDZ2" s="382"/>
      <c r="FEA2" s="382"/>
      <c r="FEB2" s="382"/>
      <c r="FEC2" s="382"/>
      <c r="FED2" s="382"/>
      <c r="FEE2" s="382"/>
      <c r="FEF2" s="382"/>
      <c r="FEG2" s="382"/>
      <c r="FEH2" s="382"/>
      <c r="FEI2" s="382"/>
      <c r="FEJ2" s="382"/>
      <c r="FEK2" s="382"/>
      <c r="FEL2" s="382"/>
      <c r="FEM2" s="382"/>
      <c r="FEN2" s="382"/>
      <c r="FEO2" s="382"/>
      <c r="FEP2" s="382"/>
      <c r="FEQ2" s="382"/>
      <c r="FER2" s="382"/>
      <c r="FES2" s="382"/>
      <c r="FET2" s="382"/>
      <c r="FEU2" s="382"/>
      <c r="FEV2" s="382"/>
      <c r="FEW2" s="382"/>
      <c r="FEX2" s="382"/>
      <c r="FEY2" s="382"/>
      <c r="FEZ2" s="382"/>
      <c r="FFA2" s="382"/>
      <c r="FFB2" s="382"/>
      <c r="FFC2" s="382"/>
      <c r="FFD2" s="382"/>
      <c r="FFE2" s="382"/>
      <c r="FFF2" s="382"/>
      <c r="FFG2" s="382"/>
      <c r="FFH2" s="382"/>
      <c r="FFI2" s="382"/>
      <c r="FFJ2" s="382"/>
      <c r="FFK2" s="382"/>
      <c r="FFL2" s="382"/>
      <c r="FFM2" s="382"/>
      <c r="FFN2" s="382"/>
      <c r="FFO2" s="382"/>
      <c r="FFP2" s="382"/>
      <c r="FFQ2" s="382"/>
      <c r="FFR2" s="382"/>
      <c r="FFS2" s="382"/>
      <c r="FFT2" s="382"/>
      <c r="FFU2" s="382"/>
      <c r="FFV2" s="382"/>
      <c r="FFW2" s="382"/>
      <c r="FFX2" s="382"/>
      <c r="FFY2" s="382"/>
      <c r="FFZ2" s="382"/>
      <c r="FGA2" s="382"/>
      <c r="FGB2" s="382"/>
      <c r="FGC2" s="382"/>
      <c r="FGD2" s="382"/>
      <c r="FGE2" s="382"/>
      <c r="FGF2" s="382"/>
      <c r="FGG2" s="382"/>
      <c r="FGH2" s="382"/>
      <c r="FGI2" s="382"/>
      <c r="FGJ2" s="382"/>
      <c r="FGK2" s="382"/>
      <c r="FGL2" s="382"/>
      <c r="FGM2" s="382"/>
      <c r="FGN2" s="382"/>
      <c r="FGO2" s="382"/>
      <c r="FGP2" s="382"/>
      <c r="FGQ2" s="382"/>
      <c r="FGR2" s="382"/>
      <c r="FGS2" s="382"/>
      <c r="FGT2" s="382"/>
      <c r="FGU2" s="382"/>
      <c r="FGV2" s="382"/>
      <c r="FGW2" s="382"/>
      <c r="FGX2" s="382"/>
      <c r="FGY2" s="382"/>
      <c r="FGZ2" s="382"/>
      <c r="FHA2" s="382"/>
      <c r="FHB2" s="382"/>
      <c r="FHC2" s="382"/>
      <c r="FHD2" s="382"/>
      <c r="FHE2" s="382"/>
      <c r="FHF2" s="382"/>
      <c r="FHG2" s="382"/>
      <c r="FHH2" s="382"/>
      <c r="FHI2" s="382"/>
      <c r="FHJ2" s="382"/>
      <c r="FHK2" s="382"/>
      <c r="FHL2" s="382"/>
      <c r="FHM2" s="382"/>
      <c r="FHN2" s="382"/>
      <c r="FHO2" s="382"/>
      <c r="FHP2" s="382"/>
      <c r="FHQ2" s="382"/>
      <c r="FHR2" s="382"/>
      <c r="FHS2" s="382"/>
      <c r="FHT2" s="382"/>
      <c r="FHU2" s="382"/>
      <c r="FHV2" s="382"/>
      <c r="FHW2" s="382"/>
      <c r="FHX2" s="382"/>
      <c r="FHY2" s="382"/>
      <c r="FHZ2" s="382"/>
      <c r="FIA2" s="382"/>
      <c r="FIB2" s="382"/>
      <c r="FIC2" s="382"/>
      <c r="FID2" s="382"/>
      <c r="FIE2" s="382"/>
      <c r="FIF2" s="382"/>
      <c r="FIG2" s="382"/>
      <c r="FIH2" s="382"/>
      <c r="FII2" s="382"/>
      <c r="FIJ2" s="382"/>
      <c r="FIK2" s="382"/>
      <c r="FIL2" s="382"/>
      <c r="FIM2" s="382"/>
      <c r="FIN2" s="382"/>
      <c r="FIO2" s="382"/>
      <c r="FIP2" s="382"/>
      <c r="FIQ2" s="382"/>
      <c r="FIR2" s="382"/>
      <c r="FIS2" s="382"/>
      <c r="FIT2" s="382"/>
      <c r="FIU2" s="382"/>
      <c r="FIV2" s="382"/>
      <c r="FIW2" s="382"/>
      <c r="FIX2" s="382"/>
      <c r="FIY2" s="382"/>
      <c r="FIZ2" s="382"/>
      <c r="FJA2" s="382"/>
      <c r="FJB2" s="382"/>
      <c r="FJC2" s="382"/>
      <c r="FJD2" s="382"/>
      <c r="FJE2" s="382"/>
      <c r="FJF2" s="382"/>
      <c r="FJG2" s="382"/>
      <c r="FJH2" s="382"/>
      <c r="FJI2" s="382"/>
      <c r="FJJ2" s="382"/>
      <c r="FJK2" s="382"/>
      <c r="FJL2" s="382"/>
      <c r="FJM2" s="382"/>
      <c r="FJN2" s="382"/>
      <c r="FJO2" s="382"/>
      <c r="FJP2" s="382"/>
      <c r="FJQ2" s="382"/>
      <c r="FJR2" s="382"/>
      <c r="FJS2" s="382"/>
      <c r="FJT2" s="382"/>
      <c r="FJU2" s="382"/>
      <c r="FJV2" s="382"/>
      <c r="FJW2" s="382"/>
      <c r="FJX2" s="382"/>
      <c r="FJY2" s="382"/>
      <c r="FJZ2" s="382"/>
      <c r="FKA2" s="382"/>
      <c r="FKB2" s="382"/>
      <c r="FKC2" s="382"/>
      <c r="FKD2" s="382"/>
      <c r="FKE2" s="382"/>
      <c r="FKF2" s="382"/>
      <c r="FKG2" s="382"/>
      <c r="FKH2" s="382"/>
      <c r="FKI2" s="382"/>
      <c r="FKJ2" s="382"/>
      <c r="FKK2" s="382"/>
      <c r="FKL2" s="382"/>
      <c r="FKM2" s="382"/>
      <c r="FKN2" s="382"/>
      <c r="FKO2" s="382"/>
      <c r="FKP2" s="382"/>
      <c r="FKQ2" s="382"/>
      <c r="FKR2" s="382"/>
      <c r="FKS2" s="382"/>
      <c r="FKT2" s="382"/>
      <c r="FKU2" s="382"/>
      <c r="FKV2" s="382"/>
      <c r="FKW2" s="382"/>
      <c r="FKX2" s="382"/>
      <c r="FKY2" s="382"/>
      <c r="FKZ2" s="382"/>
      <c r="FLA2" s="382"/>
      <c r="FLB2" s="382"/>
      <c r="FLC2" s="382"/>
      <c r="FLD2" s="382"/>
      <c r="FLE2" s="382"/>
      <c r="FLF2" s="382"/>
      <c r="FLG2" s="382"/>
      <c r="FLH2" s="382"/>
      <c r="FLI2" s="382"/>
      <c r="FLJ2" s="382"/>
      <c r="FLK2" s="382"/>
      <c r="FLL2" s="382"/>
      <c r="FLM2" s="382"/>
      <c r="FLN2" s="382"/>
      <c r="FLO2" s="382"/>
      <c r="FLP2" s="382"/>
      <c r="FLQ2" s="382"/>
      <c r="FLR2" s="382"/>
      <c r="FLS2" s="382"/>
      <c r="FLT2" s="382"/>
      <c r="FLU2" s="382"/>
      <c r="FLV2" s="382"/>
      <c r="FLW2" s="382"/>
      <c r="FLX2" s="382"/>
      <c r="FLY2" s="382"/>
      <c r="FLZ2" s="382"/>
      <c r="FMA2" s="382"/>
      <c r="FMB2" s="382"/>
      <c r="FMC2" s="382"/>
      <c r="FMD2" s="382"/>
      <c r="FME2" s="382"/>
      <c r="FMF2" s="382"/>
      <c r="FMG2" s="382"/>
      <c r="FMH2" s="382"/>
      <c r="FMI2" s="382"/>
      <c r="FMJ2" s="382"/>
      <c r="FMK2" s="382"/>
      <c r="FML2" s="382"/>
      <c r="FMM2" s="382"/>
      <c r="FMN2" s="382"/>
      <c r="FMO2" s="382"/>
      <c r="FMP2" s="382"/>
      <c r="FMQ2" s="382"/>
      <c r="FMR2" s="382"/>
      <c r="FMS2" s="382"/>
      <c r="FMT2" s="382"/>
      <c r="FMU2" s="382"/>
      <c r="FMV2" s="382"/>
      <c r="FMW2" s="382"/>
      <c r="FMX2" s="382"/>
      <c r="FMY2" s="382"/>
      <c r="FMZ2" s="382"/>
      <c r="FNA2" s="382"/>
      <c r="FNB2" s="382"/>
      <c r="FNC2" s="382"/>
      <c r="FND2" s="382"/>
      <c r="FNE2" s="382"/>
      <c r="FNF2" s="382"/>
      <c r="FNG2" s="382"/>
      <c r="FNH2" s="382"/>
      <c r="FNI2" s="382"/>
      <c r="FNJ2" s="382"/>
      <c r="FNK2" s="382"/>
      <c r="FNL2" s="382"/>
      <c r="FNM2" s="382"/>
      <c r="FNN2" s="382"/>
      <c r="FNO2" s="382"/>
      <c r="FNP2" s="382"/>
      <c r="FNQ2" s="382"/>
      <c r="FNR2" s="382"/>
      <c r="FNS2" s="382"/>
      <c r="FNT2" s="382"/>
      <c r="FNU2" s="382"/>
      <c r="FNV2" s="382"/>
      <c r="FNW2" s="382"/>
      <c r="FNX2" s="382"/>
      <c r="FNY2" s="382"/>
      <c r="FNZ2" s="382"/>
      <c r="FOA2" s="382"/>
      <c r="FOB2" s="382"/>
      <c r="FOC2" s="382"/>
      <c r="FOD2" s="382"/>
      <c r="FOE2" s="382"/>
      <c r="FOF2" s="382"/>
      <c r="FOG2" s="382"/>
      <c r="FOH2" s="382"/>
      <c r="FOI2" s="382"/>
      <c r="FOJ2" s="382"/>
      <c r="FOK2" s="382"/>
      <c r="FOL2" s="382"/>
      <c r="FOM2" s="382"/>
      <c r="FON2" s="382"/>
      <c r="FOO2" s="382"/>
      <c r="FOP2" s="382"/>
      <c r="FOQ2" s="382"/>
      <c r="FOR2" s="382"/>
      <c r="FOS2" s="382"/>
      <c r="FOT2" s="382"/>
      <c r="FOU2" s="382"/>
      <c r="FOV2" s="382"/>
      <c r="FOW2" s="382"/>
      <c r="FOX2" s="382"/>
      <c r="FOY2" s="382"/>
      <c r="FOZ2" s="382"/>
      <c r="FPA2" s="382"/>
      <c r="FPB2" s="382"/>
      <c r="FPC2" s="382"/>
      <c r="FPD2" s="382"/>
      <c r="FPE2" s="382"/>
      <c r="FPF2" s="382"/>
      <c r="FPG2" s="382"/>
      <c r="FPH2" s="382"/>
      <c r="FPI2" s="382"/>
      <c r="FPJ2" s="382"/>
      <c r="FPK2" s="382"/>
      <c r="FPL2" s="382"/>
      <c r="FPM2" s="382"/>
      <c r="FPN2" s="382"/>
      <c r="FPO2" s="382"/>
      <c r="FPP2" s="382"/>
      <c r="FPQ2" s="382"/>
      <c r="FPR2" s="382"/>
      <c r="FPS2" s="382"/>
      <c r="FPT2" s="382"/>
      <c r="FPU2" s="382"/>
      <c r="FPV2" s="382"/>
      <c r="FPW2" s="382"/>
      <c r="FPX2" s="382"/>
      <c r="FPY2" s="382"/>
      <c r="FPZ2" s="382"/>
      <c r="FQA2" s="382"/>
      <c r="FQB2" s="382"/>
      <c r="FQC2" s="382"/>
      <c r="FQD2" s="382"/>
      <c r="FQE2" s="382"/>
      <c r="FQF2" s="382"/>
      <c r="FQG2" s="382"/>
      <c r="FQH2" s="382"/>
      <c r="FQI2" s="382"/>
      <c r="FQJ2" s="382"/>
      <c r="FQK2" s="382"/>
      <c r="FQL2" s="382"/>
      <c r="FQM2" s="382"/>
      <c r="FQN2" s="382"/>
      <c r="FQO2" s="382"/>
      <c r="FQP2" s="382"/>
      <c r="FQQ2" s="382"/>
      <c r="FQR2" s="382"/>
      <c r="FQS2" s="382"/>
      <c r="FQT2" s="382"/>
      <c r="FQU2" s="382"/>
      <c r="FQV2" s="382"/>
      <c r="FQW2" s="382"/>
      <c r="FQX2" s="382"/>
      <c r="FQY2" s="382"/>
      <c r="FQZ2" s="382"/>
      <c r="FRA2" s="382"/>
      <c r="FRB2" s="382"/>
      <c r="FRC2" s="382"/>
      <c r="FRD2" s="382"/>
      <c r="FRE2" s="382"/>
      <c r="FRF2" s="382"/>
      <c r="FRG2" s="382"/>
      <c r="FRH2" s="382"/>
      <c r="FRI2" s="382"/>
      <c r="FRJ2" s="382"/>
      <c r="FRK2" s="382"/>
      <c r="FRL2" s="382"/>
      <c r="FRM2" s="382"/>
      <c r="FRN2" s="382"/>
      <c r="FRO2" s="382"/>
      <c r="FRP2" s="382"/>
      <c r="FRQ2" s="382"/>
      <c r="FRR2" s="382"/>
      <c r="FRS2" s="382"/>
      <c r="FRT2" s="382"/>
      <c r="FRU2" s="382"/>
      <c r="FRV2" s="382"/>
      <c r="FRW2" s="382"/>
      <c r="FRX2" s="382"/>
      <c r="FRY2" s="382"/>
      <c r="FRZ2" s="382"/>
      <c r="FSA2" s="382"/>
      <c r="FSB2" s="382"/>
      <c r="FSC2" s="382"/>
      <c r="FSD2" s="382"/>
      <c r="FSE2" s="382"/>
      <c r="FSF2" s="382"/>
      <c r="FSG2" s="382"/>
      <c r="FSH2" s="382"/>
      <c r="FSI2" s="382"/>
      <c r="FSJ2" s="382"/>
      <c r="FSK2" s="382"/>
      <c r="FSL2" s="382"/>
      <c r="FSM2" s="382"/>
      <c r="FSN2" s="382"/>
      <c r="FSO2" s="382"/>
      <c r="FSP2" s="382"/>
      <c r="FSQ2" s="382"/>
      <c r="FSR2" s="382"/>
      <c r="FSS2" s="382"/>
      <c r="FST2" s="382"/>
      <c r="FSU2" s="382"/>
      <c r="FSV2" s="382"/>
      <c r="FSW2" s="382"/>
      <c r="FSX2" s="382"/>
      <c r="FSY2" s="382"/>
      <c r="FSZ2" s="382"/>
      <c r="FTA2" s="382"/>
      <c r="FTB2" s="382"/>
      <c r="FTC2" s="382"/>
      <c r="FTD2" s="382"/>
      <c r="FTE2" s="382"/>
      <c r="FTF2" s="382"/>
      <c r="FTG2" s="382"/>
      <c r="FTH2" s="382"/>
      <c r="FTI2" s="382"/>
      <c r="FTJ2" s="382"/>
      <c r="FTK2" s="382"/>
      <c r="FTL2" s="382"/>
      <c r="FTM2" s="382"/>
      <c r="FTN2" s="382"/>
      <c r="FTO2" s="382"/>
      <c r="FTP2" s="382"/>
      <c r="FTQ2" s="382"/>
      <c r="FTR2" s="382"/>
      <c r="FTS2" s="382"/>
      <c r="FTT2" s="382"/>
      <c r="FTU2" s="382"/>
      <c r="FTV2" s="382"/>
      <c r="FTW2" s="382"/>
      <c r="FTX2" s="382"/>
      <c r="FTY2" s="382"/>
      <c r="FTZ2" s="382"/>
      <c r="FUA2" s="382"/>
      <c r="FUB2" s="382"/>
      <c r="FUC2" s="382"/>
      <c r="FUD2" s="382"/>
      <c r="FUE2" s="382"/>
      <c r="FUF2" s="382"/>
      <c r="FUG2" s="382"/>
      <c r="FUH2" s="382"/>
      <c r="FUI2" s="382"/>
      <c r="FUJ2" s="382"/>
      <c r="FUK2" s="382"/>
      <c r="FUL2" s="382"/>
      <c r="FUM2" s="382"/>
      <c r="FUN2" s="382"/>
      <c r="FUO2" s="382"/>
      <c r="FUP2" s="382"/>
      <c r="FUQ2" s="382"/>
      <c r="FUR2" s="382"/>
      <c r="FUS2" s="382"/>
      <c r="FUT2" s="382"/>
      <c r="FUU2" s="382"/>
      <c r="FUV2" s="382"/>
      <c r="FUW2" s="382"/>
      <c r="FUX2" s="382"/>
      <c r="FUY2" s="382"/>
      <c r="FUZ2" s="382"/>
      <c r="FVA2" s="382"/>
      <c r="FVB2" s="382"/>
      <c r="FVC2" s="382"/>
      <c r="FVD2" s="382"/>
      <c r="FVE2" s="382"/>
      <c r="FVF2" s="382"/>
      <c r="FVG2" s="382"/>
      <c r="FVH2" s="382"/>
      <c r="FVI2" s="382"/>
      <c r="FVJ2" s="382"/>
      <c r="FVK2" s="382"/>
      <c r="FVL2" s="382"/>
      <c r="FVM2" s="382"/>
      <c r="FVN2" s="382"/>
      <c r="FVO2" s="382"/>
      <c r="FVP2" s="382"/>
      <c r="FVQ2" s="382"/>
      <c r="FVR2" s="382"/>
      <c r="FVS2" s="382"/>
      <c r="FVT2" s="382"/>
      <c r="FVU2" s="382"/>
      <c r="FVV2" s="382"/>
      <c r="FVW2" s="382"/>
      <c r="FVX2" s="382"/>
      <c r="FVY2" s="382"/>
      <c r="FVZ2" s="382"/>
      <c r="FWA2" s="382"/>
      <c r="FWB2" s="382"/>
      <c r="FWC2" s="382"/>
      <c r="FWD2" s="382"/>
      <c r="FWE2" s="382"/>
      <c r="FWF2" s="382"/>
      <c r="FWG2" s="382"/>
      <c r="FWH2" s="382"/>
      <c r="FWI2" s="382"/>
      <c r="FWJ2" s="382"/>
      <c r="FWK2" s="382"/>
      <c r="FWL2" s="382"/>
      <c r="FWM2" s="382"/>
      <c r="FWN2" s="382"/>
      <c r="FWO2" s="382"/>
      <c r="FWP2" s="382"/>
      <c r="FWQ2" s="382"/>
      <c r="FWR2" s="382"/>
      <c r="FWS2" s="382"/>
      <c r="FWT2" s="382"/>
      <c r="FWU2" s="382"/>
      <c r="FWV2" s="382"/>
      <c r="FWW2" s="382"/>
      <c r="FWX2" s="382"/>
      <c r="FWY2" s="382"/>
      <c r="FWZ2" s="382"/>
      <c r="FXA2" s="382"/>
      <c r="FXB2" s="382"/>
      <c r="FXC2" s="382"/>
      <c r="FXD2" s="382"/>
      <c r="FXE2" s="382"/>
      <c r="FXF2" s="382"/>
      <c r="FXG2" s="382"/>
      <c r="FXH2" s="382"/>
      <c r="FXI2" s="382"/>
      <c r="FXJ2" s="382"/>
      <c r="FXK2" s="382"/>
      <c r="FXL2" s="382"/>
      <c r="FXM2" s="382"/>
      <c r="FXN2" s="382"/>
      <c r="FXO2" s="382"/>
      <c r="FXP2" s="382"/>
      <c r="FXQ2" s="382"/>
      <c r="FXR2" s="382"/>
      <c r="FXS2" s="382"/>
      <c r="FXT2" s="382"/>
      <c r="FXU2" s="382"/>
      <c r="FXV2" s="382"/>
      <c r="FXW2" s="382"/>
      <c r="FXX2" s="382"/>
      <c r="FXY2" s="382"/>
      <c r="FXZ2" s="382"/>
      <c r="FYA2" s="382"/>
      <c r="FYB2" s="382"/>
      <c r="FYC2" s="382"/>
      <c r="FYD2" s="382"/>
      <c r="FYE2" s="382"/>
      <c r="FYF2" s="382"/>
      <c r="FYG2" s="382"/>
      <c r="FYH2" s="382"/>
      <c r="FYI2" s="382"/>
      <c r="FYJ2" s="382"/>
      <c r="FYK2" s="382"/>
      <c r="FYL2" s="382"/>
      <c r="FYM2" s="382"/>
      <c r="FYN2" s="382"/>
      <c r="FYO2" s="382"/>
      <c r="FYP2" s="382"/>
      <c r="FYQ2" s="382"/>
      <c r="FYR2" s="382"/>
      <c r="FYS2" s="382"/>
      <c r="FYT2" s="382"/>
      <c r="FYU2" s="382"/>
      <c r="FYV2" s="382"/>
      <c r="FYW2" s="382"/>
      <c r="FYX2" s="382"/>
      <c r="FYY2" s="382"/>
      <c r="FYZ2" s="382"/>
      <c r="FZA2" s="382"/>
      <c r="FZB2" s="382"/>
      <c r="FZC2" s="382"/>
      <c r="FZD2" s="382"/>
      <c r="FZE2" s="382"/>
      <c r="FZF2" s="382"/>
      <c r="FZG2" s="382"/>
      <c r="FZH2" s="382"/>
      <c r="FZI2" s="382"/>
      <c r="FZJ2" s="382"/>
      <c r="FZK2" s="382"/>
      <c r="FZL2" s="382"/>
      <c r="FZM2" s="382"/>
      <c r="FZN2" s="382"/>
      <c r="FZO2" s="382"/>
      <c r="FZP2" s="382"/>
      <c r="FZQ2" s="382"/>
      <c r="FZR2" s="382"/>
      <c r="FZS2" s="382"/>
      <c r="FZT2" s="382"/>
      <c r="FZU2" s="382"/>
      <c r="FZV2" s="382"/>
      <c r="FZW2" s="382"/>
      <c r="FZX2" s="382"/>
      <c r="FZY2" s="382"/>
      <c r="FZZ2" s="382"/>
      <c r="GAA2" s="382"/>
      <c r="GAB2" s="382"/>
      <c r="GAC2" s="382"/>
      <c r="GAD2" s="382"/>
      <c r="GAE2" s="382"/>
      <c r="GAF2" s="382"/>
      <c r="GAG2" s="382"/>
      <c r="GAH2" s="382"/>
      <c r="GAI2" s="382"/>
      <c r="GAJ2" s="382"/>
      <c r="GAK2" s="382"/>
      <c r="GAL2" s="382"/>
      <c r="GAM2" s="382"/>
      <c r="GAN2" s="382"/>
      <c r="GAO2" s="382"/>
      <c r="GAP2" s="382"/>
      <c r="GAQ2" s="382"/>
      <c r="GAR2" s="382"/>
      <c r="GAS2" s="382"/>
      <c r="GAT2" s="382"/>
      <c r="GAU2" s="382"/>
      <c r="GAV2" s="382"/>
      <c r="GAW2" s="382"/>
      <c r="GAX2" s="382"/>
      <c r="GAY2" s="382"/>
      <c r="GAZ2" s="382"/>
      <c r="GBA2" s="382"/>
      <c r="GBB2" s="382"/>
      <c r="GBC2" s="382"/>
      <c r="GBD2" s="382"/>
      <c r="GBE2" s="382"/>
      <c r="GBF2" s="382"/>
      <c r="GBG2" s="382"/>
      <c r="GBH2" s="382"/>
      <c r="GBI2" s="382"/>
      <c r="GBJ2" s="382"/>
      <c r="GBK2" s="382"/>
      <c r="GBL2" s="382"/>
      <c r="GBM2" s="382"/>
      <c r="GBN2" s="382"/>
      <c r="GBO2" s="382"/>
      <c r="GBP2" s="382"/>
      <c r="GBQ2" s="382"/>
      <c r="GBR2" s="382"/>
      <c r="GBS2" s="382"/>
      <c r="GBT2" s="382"/>
      <c r="GBU2" s="382"/>
      <c r="GBV2" s="382"/>
      <c r="GBW2" s="382"/>
      <c r="GBX2" s="382"/>
      <c r="GBY2" s="382"/>
      <c r="GBZ2" s="382"/>
      <c r="GCA2" s="382"/>
      <c r="GCB2" s="382"/>
      <c r="GCC2" s="382"/>
      <c r="GCD2" s="382"/>
      <c r="GCE2" s="382"/>
      <c r="GCF2" s="382"/>
      <c r="GCG2" s="382"/>
      <c r="GCH2" s="382"/>
      <c r="GCI2" s="382"/>
      <c r="GCJ2" s="382"/>
      <c r="GCK2" s="382"/>
      <c r="GCL2" s="382"/>
      <c r="GCM2" s="382"/>
      <c r="GCN2" s="382"/>
      <c r="GCO2" s="382"/>
      <c r="GCP2" s="382"/>
      <c r="GCQ2" s="382"/>
      <c r="GCR2" s="382"/>
      <c r="GCS2" s="382"/>
      <c r="GCT2" s="382"/>
      <c r="GCU2" s="382"/>
      <c r="GCV2" s="382"/>
      <c r="GCW2" s="382"/>
      <c r="GCX2" s="382"/>
      <c r="GCY2" s="382"/>
      <c r="GCZ2" s="382"/>
      <c r="GDA2" s="382"/>
      <c r="GDB2" s="382"/>
      <c r="GDC2" s="382"/>
      <c r="GDD2" s="382"/>
      <c r="GDE2" s="382"/>
      <c r="GDF2" s="382"/>
      <c r="GDG2" s="382"/>
      <c r="GDH2" s="382"/>
      <c r="GDI2" s="382"/>
      <c r="GDJ2" s="382"/>
      <c r="GDK2" s="382"/>
      <c r="GDL2" s="382"/>
      <c r="GDM2" s="382"/>
      <c r="GDN2" s="382"/>
      <c r="GDO2" s="382"/>
      <c r="GDP2" s="382"/>
      <c r="GDQ2" s="382"/>
      <c r="GDR2" s="382"/>
      <c r="GDS2" s="382"/>
      <c r="GDT2" s="382"/>
      <c r="GDU2" s="382"/>
      <c r="GDV2" s="382"/>
      <c r="GDW2" s="382"/>
      <c r="GDX2" s="382"/>
      <c r="GDY2" s="382"/>
      <c r="GDZ2" s="382"/>
      <c r="GEA2" s="382"/>
      <c r="GEB2" s="382"/>
      <c r="GEC2" s="382"/>
      <c r="GED2" s="382"/>
      <c r="GEE2" s="382"/>
      <c r="GEF2" s="382"/>
      <c r="GEG2" s="382"/>
      <c r="GEH2" s="382"/>
      <c r="GEI2" s="382"/>
      <c r="GEJ2" s="382"/>
      <c r="GEK2" s="382"/>
      <c r="GEL2" s="382"/>
      <c r="GEM2" s="382"/>
      <c r="GEN2" s="382"/>
      <c r="GEO2" s="382"/>
      <c r="GEP2" s="382"/>
      <c r="GEQ2" s="382"/>
      <c r="GER2" s="382"/>
      <c r="GES2" s="382"/>
      <c r="GET2" s="382"/>
      <c r="GEU2" s="382"/>
      <c r="GEV2" s="382"/>
      <c r="GEW2" s="382"/>
      <c r="GEX2" s="382"/>
      <c r="GEY2" s="382"/>
      <c r="GEZ2" s="382"/>
      <c r="GFA2" s="382"/>
      <c r="GFB2" s="382"/>
      <c r="GFC2" s="382"/>
      <c r="GFD2" s="382"/>
      <c r="GFE2" s="382"/>
      <c r="GFF2" s="382"/>
      <c r="GFG2" s="382"/>
      <c r="GFH2" s="382"/>
      <c r="GFI2" s="382"/>
      <c r="GFJ2" s="382"/>
      <c r="GFK2" s="382"/>
      <c r="GFL2" s="382"/>
      <c r="GFM2" s="382"/>
      <c r="GFN2" s="382"/>
      <c r="GFO2" s="382"/>
      <c r="GFP2" s="382"/>
      <c r="GFQ2" s="382"/>
      <c r="GFR2" s="382"/>
      <c r="GFS2" s="382"/>
      <c r="GFT2" s="382"/>
      <c r="GFU2" s="382"/>
      <c r="GFV2" s="382"/>
      <c r="GFW2" s="382"/>
      <c r="GFX2" s="382"/>
      <c r="GFY2" s="382"/>
      <c r="GFZ2" s="382"/>
      <c r="GGA2" s="382"/>
      <c r="GGB2" s="382"/>
      <c r="GGC2" s="382"/>
      <c r="GGD2" s="382"/>
      <c r="GGE2" s="382"/>
      <c r="GGF2" s="382"/>
      <c r="GGG2" s="382"/>
      <c r="GGH2" s="382"/>
      <c r="GGI2" s="382"/>
      <c r="GGJ2" s="382"/>
      <c r="GGK2" s="382"/>
      <c r="GGL2" s="382"/>
      <c r="GGM2" s="382"/>
      <c r="GGN2" s="382"/>
      <c r="GGO2" s="382"/>
      <c r="GGP2" s="382"/>
      <c r="GGQ2" s="382"/>
      <c r="GGR2" s="382"/>
      <c r="GGS2" s="382"/>
      <c r="GGT2" s="382"/>
      <c r="GGU2" s="382"/>
      <c r="GGV2" s="382"/>
      <c r="GGW2" s="382"/>
      <c r="GGX2" s="382"/>
      <c r="GGY2" s="382"/>
      <c r="GGZ2" s="382"/>
      <c r="GHA2" s="382"/>
      <c r="GHB2" s="382"/>
      <c r="GHC2" s="382"/>
      <c r="GHD2" s="382"/>
      <c r="GHE2" s="382"/>
      <c r="GHF2" s="382"/>
      <c r="GHG2" s="382"/>
      <c r="GHH2" s="382"/>
      <c r="GHI2" s="382"/>
      <c r="GHJ2" s="382"/>
      <c r="GHK2" s="382"/>
      <c r="GHL2" s="382"/>
      <c r="GHM2" s="382"/>
      <c r="GHN2" s="382"/>
      <c r="GHO2" s="382"/>
      <c r="GHP2" s="382"/>
      <c r="GHQ2" s="382"/>
      <c r="GHR2" s="382"/>
      <c r="GHS2" s="382"/>
      <c r="GHT2" s="382"/>
      <c r="GHU2" s="382"/>
      <c r="GHV2" s="382"/>
      <c r="GHW2" s="382"/>
      <c r="GHX2" s="382"/>
      <c r="GHY2" s="382"/>
      <c r="GHZ2" s="382"/>
      <c r="GIA2" s="382"/>
      <c r="GIB2" s="382"/>
      <c r="GIC2" s="382"/>
      <c r="GID2" s="382"/>
      <c r="GIE2" s="382"/>
      <c r="GIF2" s="382"/>
      <c r="GIG2" s="382"/>
      <c r="GIH2" s="382"/>
      <c r="GII2" s="382"/>
      <c r="GIJ2" s="382"/>
      <c r="GIK2" s="382"/>
      <c r="GIL2" s="382"/>
      <c r="GIM2" s="382"/>
      <c r="GIN2" s="382"/>
      <c r="GIO2" s="382"/>
      <c r="GIP2" s="382"/>
      <c r="GIQ2" s="382"/>
      <c r="GIR2" s="382"/>
      <c r="GIS2" s="382"/>
      <c r="GIT2" s="382"/>
      <c r="GIU2" s="382"/>
      <c r="GIV2" s="382"/>
      <c r="GIW2" s="382"/>
      <c r="GIX2" s="382"/>
      <c r="GIY2" s="382"/>
      <c r="GIZ2" s="382"/>
      <c r="GJA2" s="382"/>
      <c r="GJB2" s="382"/>
      <c r="GJC2" s="382"/>
      <c r="GJD2" s="382"/>
      <c r="GJE2" s="382"/>
      <c r="GJF2" s="382"/>
      <c r="GJG2" s="382"/>
      <c r="GJH2" s="382"/>
      <c r="GJI2" s="382"/>
      <c r="GJJ2" s="382"/>
      <c r="GJK2" s="382"/>
      <c r="GJL2" s="382"/>
      <c r="GJM2" s="382"/>
      <c r="GJN2" s="382"/>
      <c r="GJO2" s="382"/>
      <c r="GJP2" s="382"/>
      <c r="GJQ2" s="382"/>
      <c r="GJR2" s="382"/>
      <c r="GJS2" s="382"/>
      <c r="GJT2" s="382"/>
      <c r="GJU2" s="382"/>
      <c r="GJV2" s="382"/>
      <c r="GJW2" s="382"/>
      <c r="GJX2" s="382"/>
      <c r="GJY2" s="382"/>
      <c r="GJZ2" s="382"/>
      <c r="GKA2" s="382"/>
      <c r="GKB2" s="382"/>
      <c r="GKC2" s="382"/>
      <c r="GKD2" s="382"/>
      <c r="GKE2" s="382"/>
      <c r="GKF2" s="382"/>
      <c r="GKG2" s="382"/>
      <c r="GKH2" s="382"/>
      <c r="GKI2" s="382"/>
      <c r="GKJ2" s="382"/>
      <c r="GKK2" s="382"/>
      <c r="GKL2" s="382"/>
      <c r="GKM2" s="382"/>
      <c r="GKN2" s="382"/>
      <c r="GKO2" s="382"/>
      <c r="GKP2" s="382"/>
      <c r="GKQ2" s="382"/>
      <c r="GKR2" s="382"/>
      <c r="GKS2" s="382"/>
      <c r="GKT2" s="382"/>
      <c r="GKU2" s="382"/>
      <c r="GKV2" s="382"/>
      <c r="GKW2" s="382"/>
      <c r="GKX2" s="382"/>
      <c r="GKY2" s="382"/>
      <c r="GKZ2" s="382"/>
      <c r="GLA2" s="382"/>
      <c r="GLB2" s="382"/>
      <c r="GLC2" s="382"/>
      <c r="GLD2" s="382"/>
      <c r="GLE2" s="382"/>
      <c r="GLF2" s="382"/>
      <c r="GLG2" s="382"/>
      <c r="GLH2" s="382"/>
      <c r="GLI2" s="382"/>
      <c r="GLJ2" s="382"/>
      <c r="GLK2" s="382"/>
      <c r="GLL2" s="382"/>
      <c r="GLM2" s="382"/>
      <c r="GLN2" s="382"/>
      <c r="GLO2" s="382"/>
      <c r="GLP2" s="382"/>
      <c r="GLQ2" s="382"/>
      <c r="GLR2" s="382"/>
      <c r="GLS2" s="382"/>
      <c r="GLT2" s="382"/>
      <c r="GLU2" s="382"/>
      <c r="GLV2" s="382"/>
      <c r="GLW2" s="382"/>
      <c r="GLX2" s="382"/>
      <c r="GLY2" s="382"/>
      <c r="GLZ2" s="382"/>
      <c r="GMA2" s="382"/>
      <c r="GMB2" s="382"/>
      <c r="GMC2" s="382"/>
      <c r="GMD2" s="382"/>
      <c r="GME2" s="382"/>
      <c r="GMF2" s="382"/>
      <c r="GMG2" s="382"/>
      <c r="GMH2" s="382"/>
      <c r="GMI2" s="382"/>
      <c r="GMJ2" s="382"/>
      <c r="GMK2" s="382"/>
      <c r="GML2" s="382"/>
      <c r="GMM2" s="382"/>
      <c r="GMN2" s="382"/>
      <c r="GMO2" s="382"/>
      <c r="GMP2" s="382"/>
      <c r="GMQ2" s="382"/>
      <c r="GMR2" s="382"/>
      <c r="GMS2" s="382"/>
      <c r="GMT2" s="382"/>
      <c r="GMU2" s="382"/>
      <c r="GMV2" s="382"/>
      <c r="GMW2" s="382"/>
      <c r="GMX2" s="382"/>
      <c r="GMY2" s="382"/>
      <c r="GMZ2" s="382"/>
      <c r="GNA2" s="382"/>
      <c r="GNB2" s="382"/>
      <c r="GNC2" s="382"/>
      <c r="GND2" s="382"/>
      <c r="GNE2" s="382"/>
      <c r="GNF2" s="382"/>
      <c r="GNG2" s="382"/>
      <c r="GNH2" s="382"/>
      <c r="GNI2" s="382"/>
      <c r="GNJ2" s="382"/>
      <c r="GNK2" s="382"/>
      <c r="GNL2" s="382"/>
      <c r="GNM2" s="382"/>
      <c r="GNN2" s="382"/>
      <c r="GNO2" s="382"/>
      <c r="GNP2" s="382"/>
      <c r="GNQ2" s="382"/>
      <c r="GNR2" s="382"/>
      <c r="GNS2" s="382"/>
      <c r="GNT2" s="382"/>
      <c r="GNU2" s="382"/>
      <c r="GNV2" s="382"/>
      <c r="GNW2" s="382"/>
      <c r="GNX2" s="382"/>
      <c r="GNY2" s="382"/>
      <c r="GNZ2" s="382"/>
      <c r="GOA2" s="382"/>
      <c r="GOB2" s="382"/>
      <c r="GOC2" s="382"/>
      <c r="GOD2" s="382"/>
      <c r="GOE2" s="382"/>
      <c r="GOF2" s="382"/>
      <c r="GOG2" s="382"/>
      <c r="GOH2" s="382"/>
      <c r="GOI2" s="382"/>
      <c r="GOJ2" s="382"/>
      <c r="GOK2" s="382"/>
      <c r="GOL2" s="382"/>
      <c r="GOM2" s="382"/>
      <c r="GON2" s="382"/>
      <c r="GOO2" s="382"/>
      <c r="GOP2" s="382"/>
      <c r="GOQ2" s="382"/>
      <c r="GOR2" s="382"/>
      <c r="GOS2" s="382"/>
      <c r="GOT2" s="382"/>
      <c r="GOU2" s="382"/>
      <c r="GOV2" s="382"/>
      <c r="GOW2" s="382"/>
      <c r="GOX2" s="382"/>
      <c r="GOY2" s="382"/>
      <c r="GOZ2" s="382"/>
      <c r="GPA2" s="382"/>
      <c r="GPB2" s="382"/>
      <c r="GPC2" s="382"/>
      <c r="GPD2" s="382"/>
      <c r="GPE2" s="382"/>
      <c r="GPF2" s="382"/>
      <c r="GPG2" s="382"/>
      <c r="GPH2" s="382"/>
      <c r="GPI2" s="382"/>
      <c r="GPJ2" s="382"/>
      <c r="GPK2" s="382"/>
      <c r="GPL2" s="382"/>
      <c r="GPM2" s="382"/>
      <c r="GPN2" s="382"/>
      <c r="GPO2" s="382"/>
      <c r="GPP2" s="382"/>
      <c r="GPQ2" s="382"/>
      <c r="GPR2" s="382"/>
      <c r="GPS2" s="382"/>
      <c r="GPT2" s="382"/>
      <c r="GPU2" s="382"/>
      <c r="GPV2" s="382"/>
      <c r="GPW2" s="382"/>
      <c r="GPX2" s="382"/>
      <c r="GPY2" s="382"/>
      <c r="GPZ2" s="382"/>
      <c r="GQA2" s="382"/>
      <c r="GQB2" s="382"/>
      <c r="GQC2" s="382"/>
      <c r="GQD2" s="382"/>
      <c r="GQE2" s="382"/>
      <c r="GQF2" s="382"/>
      <c r="GQG2" s="382"/>
      <c r="GQH2" s="382"/>
      <c r="GQI2" s="382"/>
      <c r="GQJ2" s="382"/>
      <c r="GQK2" s="382"/>
      <c r="GQL2" s="382"/>
      <c r="GQM2" s="382"/>
      <c r="GQN2" s="382"/>
      <c r="GQO2" s="382"/>
      <c r="GQP2" s="382"/>
      <c r="GQQ2" s="382"/>
      <c r="GQR2" s="382"/>
      <c r="GQS2" s="382"/>
      <c r="GQT2" s="382"/>
      <c r="GQU2" s="382"/>
      <c r="GQV2" s="382"/>
      <c r="GQW2" s="382"/>
      <c r="GQX2" s="382"/>
      <c r="GQY2" s="382"/>
      <c r="GQZ2" s="382"/>
      <c r="GRA2" s="382"/>
      <c r="GRB2" s="382"/>
      <c r="GRC2" s="382"/>
      <c r="GRD2" s="382"/>
      <c r="GRE2" s="382"/>
      <c r="GRF2" s="382"/>
      <c r="GRG2" s="382"/>
      <c r="GRH2" s="382"/>
      <c r="GRI2" s="382"/>
      <c r="GRJ2" s="382"/>
      <c r="GRK2" s="382"/>
      <c r="GRL2" s="382"/>
      <c r="GRM2" s="382"/>
      <c r="GRN2" s="382"/>
      <c r="GRO2" s="382"/>
      <c r="GRP2" s="382"/>
      <c r="GRQ2" s="382"/>
      <c r="GRR2" s="382"/>
      <c r="GRS2" s="382"/>
      <c r="GRT2" s="382"/>
      <c r="GRU2" s="382"/>
      <c r="GRV2" s="382"/>
      <c r="GRW2" s="382"/>
      <c r="GRX2" s="382"/>
      <c r="GRY2" s="382"/>
      <c r="GRZ2" s="382"/>
      <c r="GSA2" s="382"/>
      <c r="GSB2" s="382"/>
      <c r="GSC2" s="382"/>
      <c r="GSD2" s="382"/>
      <c r="GSE2" s="382"/>
      <c r="GSF2" s="382"/>
      <c r="GSG2" s="382"/>
      <c r="GSH2" s="382"/>
      <c r="GSI2" s="382"/>
      <c r="GSJ2" s="382"/>
      <c r="GSK2" s="382"/>
      <c r="GSL2" s="382"/>
      <c r="GSM2" s="382"/>
      <c r="GSN2" s="382"/>
      <c r="GSO2" s="382"/>
      <c r="GSP2" s="382"/>
      <c r="GSQ2" s="382"/>
      <c r="GSR2" s="382"/>
      <c r="GSS2" s="382"/>
      <c r="GST2" s="382"/>
      <c r="GSU2" s="382"/>
      <c r="GSV2" s="382"/>
      <c r="GSW2" s="382"/>
      <c r="GSX2" s="382"/>
      <c r="GSY2" s="382"/>
      <c r="GSZ2" s="382"/>
      <c r="GTA2" s="382"/>
      <c r="GTB2" s="382"/>
      <c r="GTC2" s="382"/>
      <c r="GTD2" s="382"/>
      <c r="GTE2" s="382"/>
      <c r="GTF2" s="382"/>
      <c r="GTG2" s="382"/>
      <c r="GTH2" s="382"/>
      <c r="GTI2" s="382"/>
      <c r="GTJ2" s="382"/>
      <c r="GTK2" s="382"/>
      <c r="GTL2" s="382"/>
      <c r="GTM2" s="382"/>
      <c r="GTN2" s="382"/>
      <c r="GTO2" s="382"/>
      <c r="GTP2" s="382"/>
      <c r="GTQ2" s="382"/>
      <c r="GTR2" s="382"/>
      <c r="GTS2" s="382"/>
      <c r="GTT2" s="382"/>
      <c r="GTU2" s="382"/>
      <c r="GTV2" s="382"/>
      <c r="GTW2" s="382"/>
      <c r="GTX2" s="382"/>
      <c r="GTY2" s="382"/>
      <c r="GTZ2" s="382"/>
      <c r="GUA2" s="382"/>
      <c r="GUB2" s="382"/>
      <c r="GUC2" s="382"/>
      <c r="GUD2" s="382"/>
      <c r="GUE2" s="382"/>
      <c r="GUF2" s="382"/>
      <c r="GUG2" s="382"/>
      <c r="GUH2" s="382"/>
      <c r="GUI2" s="382"/>
      <c r="GUJ2" s="382"/>
      <c r="GUK2" s="382"/>
      <c r="GUL2" s="382"/>
      <c r="GUM2" s="382"/>
      <c r="GUN2" s="382"/>
      <c r="GUO2" s="382"/>
      <c r="GUP2" s="382"/>
      <c r="GUQ2" s="382"/>
      <c r="GUR2" s="382"/>
      <c r="GUS2" s="382"/>
      <c r="GUT2" s="382"/>
      <c r="GUU2" s="382"/>
      <c r="GUV2" s="382"/>
      <c r="GUW2" s="382"/>
      <c r="GUX2" s="382"/>
      <c r="GUY2" s="382"/>
      <c r="GUZ2" s="382"/>
      <c r="GVA2" s="382"/>
      <c r="GVB2" s="382"/>
      <c r="GVC2" s="382"/>
      <c r="GVD2" s="382"/>
      <c r="GVE2" s="382"/>
      <c r="GVF2" s="382"/>
      <c r="GVG2" s="382"/>
      <c r="GVH2" s="382"/>
      <c r="GVI2" s="382"/>
      <c r="GVJ2" s="382"/>
      <c r="GVK2" s="382"/>
      <c r="GVL2" s="382"/>
      <c r="GVM2" s="382"/>
      <c r="GVN2" s="382"/>
      <c r="GVO2" s="382"/>
      <c r="GVP2" s="382"/>
      <c r="GVQ2" s="382"/>
      <c r="GVR2" s="382"/>
      <c r="GVS2" s="382"/>
      <c r="GVT2" s="382"/>
      <c r="GVU2" s="382"/>
      <c r="GVV2" s="382"/>
      <c r="GVW2" s="382"/>
      <c r="GVX2" s="382"/>
      <c r="GVY2" s="382"/>
      <c r="GVZ2" s="382"/>
      <c r="GWA2" s="382"/>
      <c r="GWB2" s="382"/>
      <c r="GWC2" s="382"/>
      <c r="GWD2" s="382"/>
      <c r="GWE2" s="382"/>
      <c r="GWF2" s="382"/>
      <c r="GWG2" s="382"/>
      <c r="GWH2" s="382"/>
      <c r="GWI2" s="382"/>
      <c r="GWJ2" s="382"/>
      <c r="GWK2" s="382"/>
      <c r="GWL2" s="382"/>
      <c r="GWM2" s="382"/>
      <c r="GWN2" s="382"/>
      <c r="GWO2" s="382"/>
      <c r="GWP2" s="382"/>
      <c r="GWQ2" s="382"/>
      <c r="GWR2" s="382"/>
      <c r="GWS2" s="382"/>
      <c r="GWT2" s="382"/>
      <c r="GWU2" s="382"/>
      <c r="GWV2" s="382"/>
      <c r="GWW2" s="382"/>
      <c r="GWX2" s="382"/>
      <c r="GWY2" s="382"/>
      <c r="GWZ2" s="382"/>
      <c r="GXA2" s="382"/>
      <c r="GXB2" s="382"/>
      <c r="GXC2" s="382"/>
      <c r="GXD2" s="382"/>
      <c r="GXE2" s="382"/>
      <c r="GXF2" s="382"/>
      <c r="GXG2" s="382"/>
      <c r="GXH2" s="382"/>
      <c r="GXI2" s="382"/>
      <c r="GXJ2" s="382"/>
      <c r="GXK2" s="382"/>
      <c r="GXL2" s="382"/>
      <c r="GXM2" s="382"/>
      <c r="GXN2" s="382"/>
      <c r="GXO2" s="382"/>
      <c r="GXP2" s="382"/>
      <c r="GXQ2" s="382"/>
      <c r="GXR2" s="382"/>
      <c r="GXS2" s="382"/>
      <c r="GXT2" s="382"/>
      <c r="GXU2" s="382"/>
      <c r="GXV2" s="382"/>
      <c r="GXW2" s="382"/>
      <c r="GXX2" s="382"/>
      <c r="GXY2" s="382"/>
      <c r="GXZ2" s="382"/>
      <c r="GYA2" s="382"/>
      <c r="GYB2" s="382"/>
      <c r="GYC2" s="382"/>
      <c r="GYD2" s="382"/>
      <c r="GYE2" s="382"/>
      <c r="GYF2" s="382"/>
      <c r="GYG2" s="382"/>
      <c r="GYH2" s="382"/>
      <c r="GYI2" s="382"/>
      <c r="GYJ2" s="382"/>
      <c r="GYK2" s="382"/>
      <c r="GYL2" s="382"/>
      <c r="GYM2" s="382"/>
      <c r="GYN2" s="382"/>
      <c r="GYO2" s="382"/>
      <c r="GYP2" s="382"/>
      <c r="GYQ2" s="382"/>
      <c r="GYR2" s="382"/>
      <c r="GYS2" s="382"/>
      <c r="GYT2" s="382"/>
      <c r="GYU2" s="382"/>
      <c r="GYV2" s="382"/>
      <c r="GYW2" s="382"/>
      <c r="GYX2" s="382"/>
      <c r="GYY2" s="382"/>
      <c r="GYZ2" s="382"/>
      <c r="GZA2" s="382"/>
      <c r="GZB2" s="382"/>
      <c r="GZC2" s="382"/>
      <c r="GZD2" s="382"/>
      <c r="GZE2" s="382"/>
      <c r="GZF2" s="382"/>
      <c r="GZG2" s="382"/>
      <c r="GZH2" s="382"/>
      <c r="GZI2" s="382"/>
      <c r="GZJ2" s="382"/>
      <c r="GZK2" s="382"/>
      <c r="GZL2" s="382"/>
      <c r="GZM2" s="382"/>
      <c r="GZN2" s="382"/>
      <c r="GZO2" s="382"/>
      <c r="GZP2" s="382"/>
      <c r="GZQ2" s="382"/>
      <c r="GZR2" s="382"/>
      <c r="GZS2" s="382"/>
      <c r="GZT2" s="382"/>
      <c r="GZU2" s="382"/>
      <c r="GZV2" s="382"/>
      <c r="GZW2" s="382"/>
      <c r="GZX2" s="382"/>
      <c r="GZY2" s="382"/>
      <c r="GZZ2" s="382"/>
      <c r="HAA2" s="382"/>
      <c r="HAB2" s="382"/>
      <c r="HAC2" s="382"/>
      <c r="HAD2" s="382"/>
      <c r="HAE2" s="382"/>
      <c r="HAF2" s="382"/>
      <c r="HAG2" s="382"/>
      <c r="HAH2" s="382"/>
      <c r="HAI2" s="382"/>
      <c r="HAJ2" s="382"/>
      <c r="HAK2" s="382"/>
      <c r="HAL2" s="382"/>
      <c r="HAM2" s="382"/>
      <c r="HAN2" s="382"/>
      <c r="HAO2" s="382"/>
      <c r="HAP2" s="382"/>
      <c r="HAQ2" s="382"/>
      <c r="HAR2" s="382"/>
      <c r="HAS2" s="382"/>
      <c r="HAT2" s="382"/>
      <c r="HAU2" s="382"/>
      <c r="HAV2" s="382"/>
      <c r="HAW2" s="382"/>
      <c r="HAX2" s="382"/>
      <c r="HAY2" s="382"/>
      <c r="HAZ2" s="382"/>
      <c r="HBA2" s="382"/>
      <c r="HBB2" s="382"/>
      <c r="HBC2" s="382"/>
      <c r="HBD2" s="382"/>
      <c r="HBE2" s="382"/>
      <c r="HBF2" s="382"/>
      <c r="HBG2" s="382"/>
      <c r="HBH2" s="382"/>
      <c r="HBI2" s="382"/>
      <c r="HBJ2" s="382"/>
      <c r="HBK2" s="382"/>
      <c r="HBL2" s="382"/>
      <c r="HBM2" s="382"/>
      <c r="HBN2" s="382"/>
      <c r="HBO2" s="382"/>
      <c r="HBP2" s="382"/>
      <c r="HBQ2" s="382"/>
      <c r="HBR2" s="382"/>
      <c r="HBS2" s="382"/>
      <c r="HBT2" s="382"/>
      <c r="HBU2" s="382"/>
      <c r="HBV2" s="382"/>
      <c r="HBW2" s="382"/>
      <c r="HBX2" s="382"/>
      <c r="HBY2" s="382"/>
      <c r="HBZ2" s="382"/>
      <c r="HCA2" s="382"/>
      <c r="HCB2" s="382"/>
      <c r="HCC2" s="382"/>
      <c r="HCD2" s="382"/>
      <c r="HCE2" s="382"/>
      <c r="HCF2" s="382"/>
      <c r="HCG2" s="382"/>
      <c r="HCH2" s="382"/>
      <c r="HCI2" s="382"/>
      <c r="HCJ2" s="382"/>
      <c r="HCK2" s="382"/>
      <c r="HCL2" s="382"/>
      <c r="HCM2" s="382"/>
      <c r="HCN2" s="382"/>
      <c r="HCO2" s="382"/>
      <c r="HCP2" s="382"/>
      <c r="HCQ2" s="382"/>
      <c r="HCR2" s="382"/>
      <c r="HCS2" s="382"/>
      <c r="HCT2" s="382"/>
      <c r="HCU2" s="382"/>
      <c r="HCV2" s="382"/>
      <c r="HCW2" s="382"/>
      <c r="HCX2" s="382"/>
      <c r="HCY2" s="382"/>
      <c r="HCZ2" s="382"/>
      <c r="HDA2" s="382"/>
      <c r="HDB2" s="382"/>
      <c r="HDC2" s="382"/>
      <c r="HDD2" s="382"/>
      <c r="HDE2" s="382"/>
      <c r="HDF2" s="382"/>
      <c r="HDG2" s="382"/>
      <c r="HDH2" s="382"/>
      <c r="HDI2" s="382"/>
      <c r="HDJ2" s="382"/>
      <c r="HDK2" s="382"/>
      <c r="HDL2" s="382"/>
      <c r="HDM2" s="382"/>
      <c r="HDN2" s="382"/>
      <c r="HDO2" s="382"/>
      <c r="HDP2" s="382"/>
      <c r="HDQ2" s="382"/>
      <c r="HDR2" s="382"/>
      <c r="HDS2" s="382"/>
      <c r="HDT2" s="382"/>
      <c r="HDU2" s="382"/>
      <c r="HDV2" s="382"/>
      <c r="HDW2" s="382"/>
      <c r="HDX2" s="382"/>
      <c r="HDY2" s="382"/>
      <c r="HDZ2" s="382"/>
      <c r="HEA2" s="382"/>
      <c r="HEB2" s="382"/>
      <c r="HEC2" s="382"/>
      <c r="HED2" s="382"/>
      <c r="HEE2" s="382"/>
      <c r="HEF2" s="382"/>
      <c r="HEG2" s="382"/>
      <c r="HEH2" s="382"/>
      <c r="HEI2" s="382"/>
      <c r="HEJ2" s="382"/>
      <c r="HEK2" s="382"/>
      <c r="HEL2" s="382"/>
      <c r="HEM2" s="382"/>
      <c r="HEN2" s="382"/>
      <c r="HEO2" s="382"/>
      <c r="HEP2" s="382"/>
      <c r="HEQ2" s="382"/>
      <c r="HER2" s="382"/>
      <c r="HES2" s="382"/>
      <c r="HET2" s="382"/>
      <c r="HEU2" s="382"/>
      <c r="HEV2" s="382"/>
      <c r="HEW2" s="382"/>
      <c r="HEX2" s="382"/>
      <c r="HEY2" s="382"/>
      <c r="HEZ2" s="382"/>
      <c r="HFA2" s="382"/>
      <c r="HFB2" s="382"/>
      <c r="HFC2" s="382"/>
      <c r="HFD2" s="382"/>
      <c r="HFE2" s="382"/>
      <c r="HFF2" s="382"/>
      <c r="HFG2" s="382"/>
      <c r="HFH2" s="382"/>
      <c r="HFI2" s="382"/>
      <c r="HFJ2" s="382"/>
      <c r="HFK2" s="382"/>
      <c r="HFL2" s="382"/>
      <c r="HFM2" s="382"/>
      <c r="HFN2" s="382"/>
      <c r="HFO2" s="382"/>
      <c r="HFP2" s="382"/>
      <c r="HFQ2" s="382"/>
      <c r="HFR2" s="382"/>
      <c r="HFS2" s="382"/>
      <c r="HFT2" s="382"/>
      <c r="HFU2" s="382"/>
      <c r="HFV2" s="382"/>
      <c r="HFW2" s="382"/>
      <c r="HFX2" s="382"/>
      <c r="HFY2" s="382"/>
      <c r="HFZ2" s="382"/>
      <c r="HGA2" s="382"/>
      <c r="HGB2" s="382"/>
      <c r="HGC2" s="382"/>
      <c r="HGD2" s="382"/>
      <c r="HGE2" s="382"/>
      <c r="HGF2" s="382"/>
      <c r="HGG2" s="382"/>
      <c r="HGH2" s="382"/>
      <c r="HGI2" s="382"/>
      <c r="HGJ2" s="382"/>
      <c r="HGK2" s="382"/>
      <c r="HGL2" s="382"/>
      <c r="HGM2" s="382"/>
      <c r="HGN2" s="382"/>
      <c r="HGO2" s="382"/>
      <c r="HGP2" s="382"/>
      <c r="HGQ2" s="382"/>
      <c r="HGR2" s="382"/>
      <c r="HGS2" s="382"/>
      <c r="HGT2" s="382"/>
      <c r="HGU2" s="382"/>
      <c r="HGV2" s="382"/>
      <c r="HGW2" s="382"/>
      <c r="HGX2" s="382"/>
      <c r="HGY2" s="382"/>
      <c r="HGZ2" s="382"/>
      <c r="HHA2" s="382"/>
      <c r="HHB2" s="382"/>
      <c r="HHC2" s="382"/>
      <c r="HHD2" s="382"/>
      <c r="HHE2" s="382"/>
      <c r="HHF2" s="382"/>
      <c r="HHG2" s="382"/>
      <c r="HHH2" s="382"/>
      <c r="HHI2" s="382"/>
      <c r="HHJ2" s="382"/>
      <c r="HHK2" s="382"/>
      <c r="HHL2" s="382"/>
      <c r="HHM2" s="382"/>
      <c r="HHN2" s="382"/>
      <c r="HHO2" s="382"/>
      <c r="HHP2" s="382"/>
      <c r="HHQ2" s="382"/>
      <c r="HHR2" s="382"/>
      <c r="HHS2" s="382"/>
      <c r="HHT2" s="382"/>
      <c r="HHU2" s="382"/>
      <c r="HHV2" s="382"/>
      <c r="HHW2" s="382"/>
      <c r="HHX2" s="382"/>
      <c r="HHY2" s="382"/>
      <c r="HHZ2" s="382"/>
      <c r="HIA2" s="382"/>
      <c r="HIB2" s="382"/>
      <c r="HIC2" s="382"/>
      <c r="HID2" s="382"/>
      <c r="HIE2" s="382"/>
      <c r="HIF2" s="382"/>
      <c r="HIG2" s="382"/>
      <c r="HIH2" s="382"/>
      <c r="HII2" s="382"/>
      <c r="HIJ2" s="382"/>
      <c r="HIK2" s="382"/>
      <c r="HIL2" s="382"/>
      <c r="HIM2" s="382"/>
      <c r="HIN2" s="382"/>
      <c r="HIO2" s="382"/>
      <c r="HIP2" s="382"/>
      <c r="HIQ2" s="382"/>
      <c r="HIR2" s="382"/>
      <c r="HIS2" s="382"/>
      <c r="HIT2" s="382"/>
      <c r="HIU2" s="382"/>
      <c r="HIV2" s="382"/>
      <c r="HIW2" s="382"/>
      <c r="HIX2" s="382"/>
      <c r="HIY2" s="382"/>
      <c r="HIZ2" s="382"/>
      <c r="HJA2" s="382"/>
      <c r="HJB2" s="382"/>
      <c r="HJC2" s="382"/>
      <c r="HJD2" s="382"/>
      <c r="HJE2" s="382"/>
      <c r="HJF2" s="382"/>
      <c r="HJG2" s="382"/>
      <c r="HJH2" s="382"/>
      <c r="HJI2" s="382"/>
      <c r="HJJ2" s="382"/>
      <c r="HJK2" s="382"/>
      <c r="HJL2" s="382"/>
      <c r="HJM2" s="382"/>
      <c r="HJN2" s="382"/>
      <c r="HJO2" s="382"/>
      <c r="HJP2" s="382"/>
      <c r="HJQ2" s="382"/>
      <c r="HJR2" s="382"/>
      <c r="HJS2" s="382"/>
      <c r="HJT2" s="382"/>
      <c r="HJU2" s="382"/>
      <c r="HJV2" s="382"/>
      <c r="HJW2" s="382"/>
      <c r="HJX2" s="382"/>
      <c r="HJY2" s="382"/>
      <c r="HJZ2" s="382"/>
      <c r="HKA2" s="382"/>
      <c r="HKB2" s="382"/>
      <c r="HKC2" s="382"/>
      <c r="HKD2" s="382"/>
      <c r="HKE2" s="382"/>
      <c r="HKF2" s="382"/>
      <c r="HKG2" s="382"/>
      <c r="HKH2" s="382"/>
      <c r="HKI2" s="382"/>
      <c r="HKJ2" s="382"/>
      <c r="HKK2" s="382"/>
      <c r="HKL2" s="382"/>
      <c r="HKM2" s="382"/>
      <c r="HKN2" s="382"/>
      <c r="HKO2" s="382"/>
      <c r="HKP2" s="382"/>
      <c r="HKQ2" s="382"/>
      <c r="HKR2" s="382"/>
      <c r="HKS2" s="382"/>
      <c r="HKT2" s="382"/>
      <c r="HKU2" s="382"/>
      <c r="HKV2" s="382"/>
      <c r="HKW2" s="382"/>
      <c r="HKX2" s="382"/>
      <c r="HKY2" s="382"/>
      <c r="HKZ2" s="382"/>
      <c r="HLA2" s="382"/>
      <c r="HLB2" s="382"/>
      <c r="HLC2" s="382"/>
      <c r="HLD2" s="382"/>
      <c r="HLE2" s="382"/>
      <c r="HLF2" s="382"/>
      <c r="HLG2" s="382"/>
      <c r="HLH2" s="382"/>
      <c r="HLI2" s="382"/>
      <c r="HLJ2" s="382"/>
      <c r="HLK2" s="382"/>
      <c r="HLL2" s="382"/>
      <c r="HLM2" s="382"/>
      <c r="HLN2" s="382"/>
      <c r="HLO2" s="382"/>
      <c r="HLP2" s="382"/>
      <c r="HLQ2" s="382"/>
      <c r="HLR2" s="382"/>
      <c r="HLS2" s="382"/>
      <c r="HLT2" s="382"/>
      <c r="HLU2" s="382"/>
      <c r="HLV2" s="382"/>
      <c r="HLW2" s="382"/>
      <c r="HLX2" s="382"/>
      <c r="HLY2" s="382"/>
      <c r="HLZ2" s="382"/>
      <c r="HMA2" s="382"/>
      <c r="HMB2" s="382"/>
      <c r="HMC2" s="382"/>
      <c r="HMD2" s="382"/>
      <c r="HME2" s="382"/>
      <c r="HMF2" s="382"/>
      <c r="HMG2" s="382"/>
      <c r="HMH2" s="382"/>
      <c r="HMI2" s="382"/>
      <c r="HMJ2" s="382"/>
      <c r="HMK2" s="382"/>
      <c r="HML2" s="382"/>
      <c r="HMM2" s="382"/>
      <c r="HMN2" s="382"/>
      <c r="HMO2" s="382"/>
      <c r="HMP2" s="382"/>
      <c r="HMQ2" s="382"/>
      <c r="HMR2" s="382"/>
      <c r="HMS2" s="382"/>
      <c r="HMT2" s="382"/>
      <c r="HMU2" s="382"/>
      <c r="HMV2" s="382"/>
      <c r="HMW2" s="382"/>
      <c r="HMX2" s="382"/>
      <c r="HMY2" s="382"/>
      <c r="HMZ2" s="382"/>
      <c r="HNA2" s="382"/>
      <c r="HNB2" s="382"/>
      <c r="HNC2" s="382"/>
      <c r="HND2" s="382"/>
      <c r="HNE2" s="382"/>
      <c r="HNF2" s="382"/>
      <c r="HNG2" s="382"/>
      <c r="HNH2" s="382"/>
      <c r="HNI2" s="382"/>
      <c r="HNJ2" s="382"/>
      <c r="HNK2" s="382"/>
      <c r="HNL2" s="382"/>
      <c r="HNM2" s="382"/>
      <c r="HNN2" s="382"/>
      <c r="HNO2" s="382"/>
      <c r="HNP2" s="382"/>
      <c r="HNQ2" s="382"/>
      <c r="HNR2" s="382"/>
      <c r="HNS2" s="382"/>
      <c r="HNT2" s="382"/>
      <c r="HNU2" s="382"/>
      <c r="HNV2" s="382"/>
      <c r="HNW2" s="382"/>
      <c r="HNX2" s="382"/>
      <c r="HNY2" s="382"/>
      <c r="HNZ2" s="382"/>
      <c r="HOA2" s="382"/>
      <c r="HOB2" s="382"/>
      <c r="HOC2" s="382"/>
      <c r="HOD2" s="382"/>
      <c r="HOE2" s="382"/>
      <c r="HOF2" s="382"/>
      <c r="HOG2" s="382"/>
      <c r="HOH2" s="382"/>
      <c r="HOI2" s="382"/>
      <c r="HOJ2" s="382"/>
      <c r="HOK2" s="382"/>
      <c r="HOL2" s="382"/>
      <c r="HOM2" s="382"/>
      <c r="HON2" s="382"/>
      <c r="HOO2" s="382"/>
      <c r="HOP2" s="382"/>
      <c r="HOQ2" s="382"/>
      <c r="HOR2" s="382"/>
      <c r="HOS2" s="382"/>
      <c r="HOT2" s="382"/>
      <c r="HOU2" s="382"/>
      <c r="HOV2" s="382"/>
      <c r="HOW2" s="382"/>
      <c r="HOX2" s="382"/>
      <c r="HOY2" s="382"/>
      <c r="HOZ2" s="382"/>
      <c r="HPA2" s="382"/>
      <c r="HPB2" s="382"/>
      <c r="HPC2" s="382"/>
      <c r="HPD2" s="382"/>
      <c r="HPE2" s="382"/>
      <c r="HPF2" s="382"/>
      <c r="HPG2" s="382"/>
      <c r="HPH2" s="382"/>
      <c r="HPI2" s="382"/>
      <c r="HPJ2" s="382"/>
      <c r="HPK2" s="382"/>
      <c r="HPL2" s="382"/>
      <c r="HPM2" s="382"/>
      <c r="HPN2" s="382"/>
      <c r="HPO2" s="382"/>
      <c r="HPP2" s="382"/>
      <c r="HPQ2" s="382"/>
      <c r="HPR2" s="382"/>
      <c r="HPS2" s="382"/>
      <c r="HPT2" s="382"/>
      <c r="HPU2" s="382"/>
      <c r="HPV2" s="382"/>
      <c r="HPW2" s="382"/>
      <c r="HPX2" s="382"/>
      <c r="HPY2" s="382"/>
      <c r="HPZ2" s="382"/>
      <c r="HQA2" s="382"/>
      <c r="HQB2" s="382"/>
      <c r="HQC2" s="382"/>
      <c r="HQD2" s="382"/>
      <c r="HQE2" s="382"/>
      <c r="HQF2" s="382"/>
      <c r="HQG2" s="382"/>
      <c r="HQH2" s="382"/>
      <c r="HQI2" s="382"/>
      <c r="HQJ2" s="382"/>
      <c r="HQK2" s="382"/>
      <c r="HQL2" s="382"/>
      <c r="HQM2" s="382"/>
      <c r="HQN2" s="382"/>
      <c r="HQO2" s="382"/>
      <c r="HQP2" s="382"/>
      <c r="HQQ2" s="382"/>
      <c r="HQR2" s="382"/>
      <c r="HQS2" s="382"/>
      <c r="HQT2" s="382"/>
      <c r="HQU2" s="382"/>
      <c r="HQV2" s="382"/>
      <c r="HQW2" s="382"/>
      <c r="HQX2" s="382"/>
      <c r="HQY2" s="382"/>
      <c r="HQZ2" s="382"/>
      <c r="HRA2" s="382"/>
      <c r="HRB2" s="382"/>
      <c r="HRC2" s="382"/>
      <c r="HRD2" s="382"/>
      <c r="HRE2" s="382"/>
      <c r="HRF2" s="382"/>
      <c r="HRG2" s="382"/>
      <c r="HRH2" s="382"/>
      <c r="HRI2" s="382"/>
      <c r="HRJ2" s="382"/>
      <c r="HRK2" s="382"/>
      <c r="HRL2" s="382"/>
      <c r="HRM2" s="382"/>
      <c r="HRN2" s="382"/>
      <c r="HRO2" s="382"/>
      <c r="HRP2" s="382"/>
      <c r="HRQ2" s="382"/>
      <c r="HRR2" s="382"/>
      <c r="HRS2" s="382"/>
      <c r="HRT2" s="382"/>
      <c r="HRU2" s="382"/>
      <c r="HRV2" s="382"/>
      <c r="HRW2" s="382"/>
      <c r="HRX2" s="382"/>
      <c r="HRY2" s="382"/>
      <c r="HRZ2" s="382"/>
      <c r="HSA2" s="382"/>
      <c r="HSB2" s="382"/>
      <c r="HSC2" s="382"/>
      <c r="HSD2" s="382"/>
      <c r="HSE2" s="382"/>
      <c r="HSF2" s="382"/>
      <c r="HSG2" s="382"/>
      <c r="HSH2" s="382"/>
      <c r="HSI2" s="382"/>
      <c r="HSJ2" s="382"/>
      <c r="HSK2" s="382"/>
      <c r="HSL2" s="382"/>
      <c r="HSM2" s="382"/>
      <c r="HSN2" s="382"/>
      <c r="HSO2" s="382"/>
      <c r="HSP2" s="382"/>
      <c r="HSQ2" s="382"/>
      <c r="HSR2" s="382"/>
      <c r="HSS2" s="382"/>
      <c r="HST2" s="382"/>
      <c r="HSU2" s="382"/>
      <c r="HSV2" s="382"/>
      <c r="HSW2" s="382"/>
      <c r="HSX2" s="382"/>
      <c r="HSY2" s="382"/>
      <c r="HSZ2" s="382"/>
      <c r="HTA2" s="382"/>
      <c r="HTB2" s="382"/>
      <c r="HTC2" s="382"/>
      <c r="HTD2" s="382"/>
      <c r="HTE2" s="382"/>
      <c r="HTF2" s="382"/>
      <c r="HTG2" s="382"/>
      <c r="HTH2" s="382"/>
      <c r="HTI2" s="382"/>
      <c r="HTJ2" s="382"/>
      <c r="HTK2" s="382"/>
      <c r="HTL2" s="382"/>
      <c r="HTM2" s="382"/>
      <c r="HTN2" s="382"/>
      <c r="HTO2" s="382"/>
      <c r="HTP2" s="382"/>
      <c r="HTQ2" s="382"/>
      <c r="HTR2" s="382"/>
      <c r="HTS2" s="382"/>
      <c r="HTT2" s="382"/>
      <c r="HTU2" s="382"/>
      <c r="HTV2" s="382"/>
      <c r="HTW2" s="382"/>
      <c r="HTX2" s="382"/>
      <c r="HTY2" s="382"/>
      <c r="HTZ2" s="382"/>
      <c r="HUA2" s="382"/>
      <c r="HUB2" s="382"/>
      <c r="HUC2" s="382"/>
      <c r="HUD2" s="382"/>
      <c r="HUE2" s="382"/>
      <c r="HUF2" s="382"/>
      <c r="HUG2" s="382"/>
      <c r="HUH2" s="382"/>
      <c r="HUI2" s="382"/>
      <c r="HUJ2" s="382"/>
      <c r="HUK2" s="382"/>
      <c r="HUL2" s="382"/>
      <c r="HUM2" s="382"/>
      <c r="HUN2" s="382"/>
      <c r="HUO2" s="382"/>
      <c r="HUP2" s="382"/>
      <c r="HUQ2" s="382"/>
      <c r="HUR2" s="382"/>
      <c r="HUS2" s="382"/>
      <c r="HUT2" s="382"/>
      <c r="HUU2" s="382"/>
      <c r="HUV2" s="382"/>
      <c r="HUW2" s="382"/>
      <c r="HUX2" s="382"/>
      <c r="HUY2" s="382"/>
      <c r="HUZ2" s="382"/>
      <c r="HVA2" s="382"/>
      <c r="HVB2" s="382"/>
      <c r="HVC2" s="382"/>
      <c r="HVD2" s="382"/>
      <c r="HVE2" s="382"/>
      <c r="HVF2" s="382"/>
      <c r="HVG2" s="382"/>
      <c r="HVH2" s="382"/>
      <c r="HVI2" s="382"/>
      <c r="HVJ2" s="382"/>
      <c r="HVK2" s="382"/>
      <c r="HVL2" s="382"/>
      <c r="HVM2" s="382"/>
      <c r="HVN2" s="382"/>
      <c r="HVO2" s="382"/>
      <c r="HVP2" s="382"/>
      <c r="HVQ2" s="382"/>
      <c r="HVR2" s="382"/>
      <c r="HVS2" s="382"/>
      <c r="HVT2" s="382"/>
      <c r="HVU2" s="382"/>
      <c r="HVV2" s="382"/>
      <c r="HVW2" s="382"/>
      <c r="HVX2" s="382"/>
      <c r="HVY2" s="382"/>
      <c r="HVZ2" s="382"/>
      <c r="HWA2" s="382"/>
      <c r="HWB2" s="382"/>
      <c r="HWC2" s="382"/>
      <c r="HWD2" s="382"/>
      <c r="HWE2" s="382"/>
      <c r="HWF2" s="382"/>
      <c r="HWG2" s="382"/>
      <c r="HWH2" s="382"/>
      <c r="HWI2" s="382"/>
      <c r="HWJ2" s="382"/>
      <c r="HWK2" s="382"/>
      <c r="HWL2" s="382"/>
      <c r="HWM2" s="382"/>
      <c r="HWN2" s="382"/>
      <c r="HWO2" s="382"/>
      <c r="HWP2" s="382"/>
      <c r="HWQ2" s="382"/>
      <c r="HWR2" s="382"/>
      <c r="HWS2" s="382"/>
      <c r="HWT2" s="382"/>
      <c r="HWU2" s="382"/>
      <c r="HWV2" s="382"/>
      <c r="HWW2" s="382"/>
      <c r="HWX2" s="382"/>
      <c r="HWY2" s="382"/>
      <c r="HWZ2" s="382"/>
      <c r="HXA2" s="382"/>
      <c r="HXB2" s="382"/>
      <c r="HXC2" s="382"/>
      <c r="HXD2" s="382"/>
      <c r="HXE2" s="382"/>
      <c r="HXF2" s="382"/>
      <c r="HXG2" s="382"/>
      <c r="HXH2" s="382"/>
      <c r="HXI2" s="382"/>
      <c r="HXJ2" s="382"/>
      <c r="HXK2" s="382"/>
      <c r="HXL2" s="382"/>
      <c r="HXM2" s="382"/>
      <c r="HXN2" s="382"/>
      <c r="HXO2" s="382"/>
      <c r="HXP2" s="382"/>
      <c r="HXQ2" s="382"/>
      <c r="HXR2" s="382"/>
      <c r="HXS2" s="382"/>
      <c r="HXT2" s="382"/>
      <c r="HXU2" s="382"/>
      <c r="HXV2" s="382"/>
      <c r="HXW2" s="382"/>
      <c r="HXX2" s="382"/>
      <c r="HXY2" s="382"/>
      <c r="HXZ2" s="382"/>
      <c r="HYA2" s="382"/>
      <c r="HYB2" s="382"/>
      <c r="HYC2" s="382"/>
      <c r="HYD2" s="382"/>
      <c r="HYE2" s="382"/>
      <c r="HYF2" s="382"/>
      <c r="HYG2" s="382"/>
      <c r="HYH2" s="382"/>
      <c r="HYI2" s="382"/>
      <c r="HYJ2" s="382"/>
      <c r="HYK2" s="382"/>
      <c r="HYL2" s="382"/>
      <c r="HYM2" s="382"/>
      <c r="HYN2" s="382"/>
      <c r="HYO2" s="382"/>
      <c r="HYP2" s="382"/>
      <c r="HYQ2" s="382"/>
      <c r="HYR2" s="382"/>
      <c r="HYS2" s="382"/>
      <c r="HYT2" s="382"/>
      <c r="HYU2" s="382"/>
      <c r="HYV2" s="382"/>
      <c r="HYW2" s="382"/>
      <c r="HYX2" s="382"/>
      <c r="HYY2" s="382"/>
      <c r="HYZ2" s="382"/>
      <c r="HZA2" s="382"/>
      <c r="HZB2" s="382"/>
      <c r="HZC2" s="382"/>
      <c r="HZD2" s="382"/>
      <c r="HZE2" s="382"/>
      <c r="HZF2" s="382"/>
      <c r="HZG2" s="382"/>
      <c r="HZH2" s="382"/>
      <c r="HZI2" s="382"/>
      <c r="HZJ2" s="382"/>
      <c r="HZK2" s="382"/>
      <c r="HZL2" s="382"/>
      <c r="HZM2" s="382"/>
      <c r="HZN2" s="382"/>
      <c r="HZO2" s="382"/>
      <c r="HZP2" s="382"/>
      <c r="HZQ2" s="382"/>
      <c r="HZR2" s="382"/>
      <c r="HZS2" s="382"/>
      <c r="HZT2" s="382"/>
      <c r="HZU2" s="382"/>
      <c r="HZV2" s="382"/>
      <c r="HZW2" s="382"/>
      <c r="HZX2" s="382"/>
      <c r="HZY2" s="382"/>
      <c r="HZZ2" s="382"/>
      <c r="IAA2" s="382"/>
      <c r="IAB2" s="382"/>
      <c r="IAC2" s="382"/>
      <c r="IAD2" s="382"/>
      <c r="IAE2" s="382"/>
      <c r="IAF2" s="382"/>
      <c r="IAG2" s="382"/>
      <c r="IAH2" s="382"/>
      <c r="IAI2" s="382"/>
      <c r="IAJ2" s="382"/>
      <c r="IAK2" s="382"/>
      <c r="IAL2" s="382"/>
      <c r="IAM2" s="382"/>
      <c r="IAN2" s="382"/>
      <c r="IAO2" s="382"/>
      <c r="IAP2" s="382"/>
      <c r="IAQ2" s="382"/>
      <c r="IAR2" s="382"/>
      <c r="IAS2" s="382"/>
      <c r="IAT2" s="382"/>
      <c r="IAU2" s="382"/>
      <c r="IAV2" s="382"/>
      <c r="IAW2" s="382"/>
      <c r="IAX2" s="382"/>
      <c r="IAY2" s="382"/>
      <c r="IAZ2" s="382"/>
      <c r="IBA2" s="382"/>
      <c r="IBB2" s="382"/>
      <c r="IBC2" s="382"/>
      <c r="IBD2" s="382"/>
      <c r="IBE2" s="382"/>
      <c r="IBF2" s="382"/>
      <c r="IBG2" s="382"/>
      <c r="IBH2" s="382"/>
      <c r="IBI2" s="382"/>
      <c r="IBJ2" s="382"/>
      <c r="IBK2" s="382"/>
      <c r="IBL2" s="382"/>
      <c r="IBM2" s="382"/>
      <c r="IBN2" s="382"/>
      <c r="IBO2" s="382"/>
      <c r="IBP2" s="382"/>
      <c r="IBQ2" s="382"/>
      <c r="IBR2" s="382"/>
      <c r="IBS2" s="382"/>
      <c r="IBT2" s="382"/>
      <c r="IBU2" s="382"/>
      <c r="IBV2" s="382"/>
      <c r="IBW2" s="382"/>
      <c r="IBX2" s="382"/>
      <c r="IBY2" s="382"/>
      <c r="IBZ2" s="382"/>
      <c r="ICA2" s="382"/>
      <c r="ICB2" s="382"/>
      <c r="ICC2" s="382"/>
      <c r="ICD2" s="382"/>
      <c r="ICE2" s="382"/>
      <c r="ICF2" s="382"/>
      <c r="ICG2" s="382"/>
      <c r="ICH2" s="382"/>
      <c r="ICI2" s="382"/>
      <c r="ICJ2" s="382"/>
      <c r="ICK2" s="382"/>
      <c r="ICL2" s="382"/>
      <c r="ICM2" s="382"/>
      <c r="ICN2" s="382"/>
      <c r="ICO2" s="382"/>
      <c r="ICP2" s="382"/>
      <c r="ICQ2" s="382"/>
      <c r="ICR2" s="382"/>
      <c r="ICS2" s="382"/>
      <c r="ICT2" s="382"/>
      <c r="ICU2" s="382"/>
      <c r="ICV2" s="382"/>
      <c r="ICW2" s="382"/>
      <c r="ICX2" s="382"/>
      <c r="ICY2" s="382"/>
      <c r="ICZ2" s="382"/>
      <c r="IDA2" s="382"/>
      <c r="IDB2" s="382"/>
      <c r="IDC2" s="382"/>
      <c r="IDD2" s="382"/>
      <c r="IDE2" s="382"/>
      <c r="IDF2" s="382"/>
      <c r="IDG2" s="382"/>
      <c r="IDH2" s="382"/>
      <c r="IDI2" s="382"/>
      <c r="IDJ2" s="382"/>
      <c r="IDK2" s="382"/>
      <c r="IDL2" s="382"/>
      <c r="IDM2" s="382"/>
      <c r="IDN2" s="382"/>
      <c r="IDO2" s="382"/>
      <c r="IDP2" s="382"/>
      <c r="IDQ2" s="382"/>
      <c r="IDR2" s="382"/>
      <c r="IDS2" s="382"/>
      <c r="IDT2" s="382"/>
      <c r="IDU2" s="382"/>
      <c r="IDV2" s="382"/>
      <c r="IDW2" s="382"/>
      <c r="IDX2" s="382"/>
      <c r="IDY2" s="382"/>
      <c r="IDZ2" s="382"/>
      <c r="IEA2" s="382"/>
      <c r="IEB2" s="382"/>
      <c r="IEC2" s="382"/>
      <c r="IED2" s="382"/>
      <c r="IEE2" s="382"/>
      <c r="IEF2" s="382"/>
      <c r="IEG2" s="382"/>
      <c r="IEH2" s="382"/>
      <c r="IEI2" s="382"/>
      <c r="IEJ2" s="382"/>
      <c r="IEK2" s="382"/>
      <c r="IEL2" s="382"/>
      <c r="IEM2" s="382"/>
      <c r="IEN2" s="382"/>
      <c r="IEO2" s="382"/>
      <c r="IEP2" s="382"/>
      <c r="IEQ2" s="382"/>
      <c r="IER2" s="382"/>
      <c r="IES2" s="382"/>
      <c r="IET2" s="382"/>
      <c r="IEU2" s="382"/>
      <c r="IEV2" s="382"/>
      <c r="IEW2" s="382"/>
      <c r="IEX2" s="382"/>
      <c r="IEY2" s="382"/>
      <c r="IEZ2" s="382"/>
      <c r="IFA2" s="382"/>
      <c r="IFB2" s="382"/>
      <c r="IFC2" s="382"/>
      <c r="IFD2" s="382"/>
      <c r="IFE2" s="382"/>
      <c r="IFF2" s="382"/>
      <c r="IFG2" s="382"/>
      <c r="IFH2" s="382"/>
      <c r="IFI2" s="382"/>
      <c r="IFJ2" s="382"/>
      <c r="IFK2" s="382"/>
      <c r="IFL2" s="382"/>
      <c r="IFM2" s="382"/>
      <c r="IFN2" s="382"/>
      <c r="IFO2" s="382"/>
      <c r="IFP2" s="382"/>
      <c r="IFQ2" s="382"/>
      <c r="IFR2" s="382"/>
      <c r="IFS2" s="382"/>
      <c r="IFT2" s="382"/>
      <c r="IFU2" s="382"/>
      <c r="IFV2" s="382"/>
      <c r="IFW2" s="382"/>
      <c r="IFX2" s="382"/>
      <c r="IFY2" s="382"/>
      <c r="IFZ2" s="382"/>
      <c r="IGA2" s="382"/>
      <c r="IGB2" s="382"/>
      <c r="IGC2" s="382"/>
      <c r="IGD2" s="382"/>
      <c r="IGE2" s="382"/>
      <c r="IGF2" s="382"/>
      <c r="IGG2" s="382"/>
      <c r="IGH2" s="382"/>
      <c r="IGI2" s="382"/>
      <c r="IGJ2" s="382"/>
      <c r="IGK2" s="382"/>
      <c r="IGL2" s="382"/>
      <c r="IGM2" s="382"/>
      <c r="IGN2" s="382"/>
      <c r="IGO2" s="382"/>
      <c r="IGP2" s="382"/>
      <c r="IGQ2" s="382"/>
      <c r="IGR2" s="382"/>
      <c r="IGS2" s="382"/>
      <c r="IGT2" s="382"/>
      <c r="IGU2" s="382"/>
      <c r="IGV2" s="382"/>
      <c r="IGW2" s="382"/>
      <c r="IGX2" s="382"/>
      <c r="IGY2" s="382"/>
      <c r="IGZ2" s="382"/>
      <c r="IHA2" s="382"/>
      <c r="IHB2" s="382"/>
      <c r="IHC2" s="382"/>
      <c r="IHD2" s="382"/>
      <c r="IHE2" s="382"/>
      <c r="IHF2" s="382"/>
      <c r="IHG2" s="382"/>
      <c r="IHH2" s="382"/>
      <c r="IHI2" s="382"/>
      <c r="IHJ2" s="382"/>
      <c r="IHK2" s="382"/>
      <c r="IHL2" s="382"/>
      <c r="IHM2" s="382"/>
      <c r="IHN2" s="382"/>
      <c r="IHO2" s="382"/>
      <c r="IHP2" s="382"/>
      <c r="IHQ2" s="382"/>
      <c r="IHR2" s="382"/>
      <c r="IHS2" s="382"/>
      <c r="IHT2" s="382"/>
      <c r="IHU2" s="382"/>
      <c r="IHV2" s="382"/>
      <c r="IHW2" s="382"/>
      <c r="IHX2" s="382"/>
      <c r="IHY2" s="382"/>
      <c r="IHZ2" s="382"/>
      <c r="IIA2" s="382"/>
      <c r="IIB2" s="382"/>
      <c r="IIC2" s="382"/>
      <c r="IID2" s="382"/>
      <c r="IIE2" s="382"/>
      <c r="IIF2" s="382"/>
      <c r="IIG2" s="382"/>
      <c r="IIH2" s="382"/>
      <c r="III2" s="382"/>
      <c r="IIJ2" s="382"/>
      <c r="IIK2" s="382"/>
      <c r="IIL2" s="382"/>
      <c r="IIM2" s="382"/>
      <c r="IIN2" s="382"/>
      <c r="IIO2" s="382"/>
      <c r="IIP2" s="382"/>
      <c r="IIQ2" s="382"/>
      <c r="IIR2" s="382"/>
      <c r="IIS2" s="382"/>
      <c r="IIT2" s="382"/>
      <c r="IIU2" s="382"/>
      <c r="IIV2" s="382"/>
      <c r="IIW2" s="382"/>
      <c r="IIX2" s="382"/>
      <c r="IIY2" s="382"/>
      <c r="IIZ2" s="382"/>
      <c r="IJA2" s="382"/>
      <c r="IJB2" s="382"/>
      <c r="IJC2" s="382"/>
      <c r="IJD2" s="382"/>
      <c r="IJE2" s="382"/>
      <c r="IJF2" s="382"/>
      <c r="IJG2" s="382"/>
      <c r="IJH2" s="382"/>
      <c r="IJI2" s="382"/>
      <c r="IJJ2" s="382"/>
      <c r="IJK2" s="382"/>
      <c r="IJL2" s="382"/>
      <c r="IJM2" s="382"/>
      <c r="IJN2" s="382"/>
      <c r="IJO2" s="382"/>
      <c r="IJP2" s="382"/>
      <c r="IJQ2" s="382"/>
      <c r="IJR2" s="382"/>
      <c r="IJS2" s="382"/>
      <c r="IJT2" s="382"/>
      <c r="IJU2" s="382"/>
      <c r="IJV2" s="382"/>
      <c r="IJW2" s="382"/>
      <c r="IJX2" s="382"/>
      <c r="IJY2" s="382"/>
      <c r="IJZ2" s="382"/>
      <c r="IKA2" s="382"/>
      <c r="IKB2" s="382"/>
      <c r="IKC2" s="382"/>
      <c r="IKD2" s="382"/>
      <c r="IKE2" s="382"/>
      <c r="IKF2" s="382"/>
      <c r="IKG2" s="382"/>
      <c r="IKH2" s="382"/>
      <c r="IKI2" s="382"/>
      <c r="IKJ2" s="382"/>
      <c r="IKK2" s="382"/>
      <c r="IKL2" s="382"/>
      <c r="IKM2" s="382"/>
      <c r="IKN2" s="382"/>
      <c r="IKO2" s="382"/>
      <c r="IKP2" s="382"/>
      <c r="IKQ2" s="382"/>
      <c r="IKR2" s="382"/>
      <c r="IKS2" s="382"/>
      <c r="IKT2" s="382"/>
      <c r="IKU2" s="382"/>
      <c r="IKV2" s="382"/>
      <c r="IKW2" s="382"/>
      <c r="IKX2" s="382"/>
      <c r="IKY2" s="382"/>
      <c r="IKZ2" s="382"/>
      <c r="ILA2" s="382"/>
      <c r="ILB2" s="382"/>
      <c r="ILC2" s="382"/>
      <c r="ILD2" s="382"/>
      <c r="ILE2" s="382"/>
      <c r="ILF2" s="382"/>
      <c r="ILG2" s="382"/>
      <c r="ILH2" s="382"/>
      <c r="ILI2" s="382"/>
      <c r="ILJ2" s="382"/>
      <c r="ILK2" s="382"/>
      <c r="ILL2" s="382"/>
      <c r="ILM2" s="382"/>
      <c r="ILN2" s="382"/>
      <c r="ILO2" s="382"/>
      <c r="ILP2" s="382"/>
      <c r="ILQ2" s="382"/>
      <c r="ILR2" s="382"/>
      <c r="ILS2" s="382"/>
      <c r="ILT2" s="382"/>
      <c r="ILU2" s="382"/>
      <c r="ILV2" s="382"/>
      <c r="ILW2" s="382"/>
      <c r="ILX2" s="382"/>
      <c r="ILY2" s="382"/>
      <c r="ILZ2" s="382"/>
      <c r="IMA2" s="382"/>
      <c r="IMB2" s="382"/>
      <c r="IMC2" s="382"/>
      <c r="IMD2" s="382"/>
      <c r="IME2" s="382"/>
      <c r="IMF2" s="382"/>
      <c r="IMG2" s="382"/>
      <c r="IMH2" s="382"/>
      <c r="IMI2" s="382"/>
      <c r="IMJ2" s="382"/>
      <c r="IMK2" s="382"/>
      <c r="IML2" s="382"/>
      <c r="IMM2" s="382"/>
      <c r="IMN2" s="382"/>
      <c r="IMO2" s="382"/>
      <c r="IMP2" s="382"/>
      <c r="IMQ2" s="382"/>
      <c r="IMR2" s="382"/>
      <c r="IMS2" s="382"/>
      <c r="IMT2" s="382"/>
      <c r="IMU2" s="382"/>
      <c r="IMV2" s="382"/>
      <c r="IMW2" s="382"/>
      <c r="IMX2" s="382"/>
      <c r="IMY2" s="382"/>
      <c r="IMZ2" s="382"/>
      <c r="INA2" s="382"/>
      <c r="INB2" s="382"/>
      <c r="INC2" s="382"/>
      <c r="IND2" s="382"/>
      <c r="INE2" s="382"/>
      <c r="INF2" s="382"/>
      <c r="ING2" s="382"/>
      <c r="INH2" s="382"/>
      <c r="INI2" s="382"/>
      <c r="INJ2" s="382"/>
      <c r="INK2" s="382"/>
      <c r="INL2" s="382"/>
      <c r="INM2" s="382"/>
      <c r="INN2" s="382"/>
      <c r="INO2" s="382"/>
      <c r="INP2" s="382"/>
      <c r="INQ2" s="382"/>
      <c r="INR2" s="382"/>
      <c r="INS2" s="382"/>
      <c r="INT2" s="382"/>
      <c r="INU2" s="382"/>
      <c r="INV2" s="382"/>
      <c r="INW2" s="382"/>
      <c r="INX2" s="382"/>
      <c r="INY2" s="382"/>
      <c r="INZ2" s="382"/>
      <c r="IOA2" s="382"/>
      <c r="IOB2" s="382"/>
      <c r="IOC2" s="382"/>
      <c r="IOD2" s="382"/>
      <c r="IOE2" s="382"/>
      <c r="IOF2" s="382"/>
      <c r="IOG2" s="382"/>
      <c r="IOH2" s="382"/>
      <c r="IOI2" s="382"/>
      <c r="IOJ2" s="382"/>
      <c r="IOK2" s="382"/>
      <c r="IOL2" s="382"/>
      <c r="IOM2" s="382"/>
      <c r="ION2" s="382"/>
      <c r="IOO2" s="382"/>
      <c r="IOP2" s="382"/>
      <c r="IOQ2" s="382"/>
      <c r="IOR2" s="382"/>
      <c r="IOS2" s="382"/>
      <c r="IOT2" s="382"/>
      <c r="IOU2" s="382"/>
      <c r="IOV2" s="382"/>
      <c r="IOW2" s="382"/>
      <c r="IOX2" s="382"/>
      <c r="IOY2" s="382"/>
      <c r="IOZ2" s="382"/>
      <c r="IPA2" s="382"/>
      <c r="IPB2" s="382"/>
      <c r="IPC2" s="382"/>
      <c r="IPD2" s="382"/>
      <c r="IPE2" s="382"/>
      <c r="IPF2" s="382"/>
      <c r="IPG2" s="382"/>
      <c r="IPH2" s="382"/>
      <c r="IPI2" s="382"/>
      <c r="IPJ2" s="382"/>
      <c r="IPK2" s="382"/>
      <c r="IPL2" s="382"/>
      <c r="IPM2" s="382"/>
      <c r="IPN2" s="382"/>
      <c r="IPO2" s="382"/>
      <c r="IPP2" s="382"/>
      <c r="IPQ2" s="382"/>
      <c r="IPR2" s="382"/>
      <c r="IPS2" s="382"/>
      <c r="IPT2" s="382"/>
      <c r="IPU2" s="382"/>
      <c r="IPV2" s="382"/>
      <c r="IPW2" s="382"/>
      <c r="IPX2" s="382"/>
      <c r="IPY2" s="382"/>
      <c r="IPZ2" s="382"/>
      <c r="IQA2" s="382"/>
      <c r="IQB2" s="382"/>
      <c r="IQC2" s="382"/>
      <c r="IQD2" s="382"/>
      <c r="IQE2" s="382"/>
      <c r="IQF2" s="382"/>
      <c r="IQG2" s="382"/>
      <c r="IQH2" s="382"/>
      <c r="IQI2" s="382"/>
      <c r="IQJ2" s="382"/>
      <c r="IQK2" s="382"/>
      <c r="IQL2" s="382"/>
      <c r="IQM2" s="382"/>
      <c r="IQN2" s="382"/>
      <c r="IQO2" s="382"/>
      <c r="IQP2" s="382"/>
      <c r="IQQ2" s="382"/>
      <c r="IQR2" s="382"/>
      <c r="IQS2" s="382"/>
      <c r="IQT2" s="382"/>
      <c r="IQU2" s="382"/>
      <c r="IQV2" s="382"/>
      <c r="IQW2" s="382"/>
      <c r="IQX2" s="382"/>
      <c r="IQY2" s="382"/>
      <c r="IQZ2" s="382"/>
      <c r="IRA2" s="382"/>
      <c r="IRB2" s="382"/>
      <c r="IRC2" s="382"/>
      <c r="IRD2" s="382"/>
      <c r="IRE2" s="382"/>
      <c r="IRF2" s="382"/>
      <c r="IRG2" s="382"/>
      <c r="IRH2" s="382"/>
      <c r="IRI2" s="382"/>
      <c r="IRJ2" s="382"/>
      <c r="IRK2" s="382"/>
      <c r="IRL2" s="382"/>
      <c r="IRM2" s="382"/>
      <c r="IRN2" s="382"/>
      <c r="IRO2" s="382"/>
      <c r="IRP2" s="382"/>
      <c r="IRQ2" s="382"/>
      <c r="IRR2" s="382"/>
      <c r="IRS2" s="382"/>
      <c r="IRT2" s="382"/>
      <c r="IRU2" s="382"/>
      <c r="IRV2" s="382"/>
      <c r="IRW2" s="382"/>
      <c r="IRX2" s="382"/>
      <c r="IRY2" s="382"/>
      <c r="IRZ2" s="382"/>
      <c r="ISA2" s="382"/>
      <c r="ISB2" s="382"/>
      <c r="ISC2" s="382"/>
      <c r="ISD2" s="382"/>
      <c r="ISE2" s="382"/>
      <c r="ISF2" s="382"/>
      <c r="ISG2" s="382"/>
      <c r="ISH2" s="382"/>
      <c r="ISI2" s="382"/>
      <c r="ISJ2" s="382"/>
      <c r="ISK2" s="382"/>
      <c r="ISL2" s="382"/>
      <c r="ISM2" s="382"/>
      <c r="ISN2" s="382"/>
      <c r="ISO2" s="382"/>
      <c r="ISP2" s="382"/>
      <c r="ISQ2" s="382"/>
      <c r="ISR2" s="382"/>
      <c r="ISS2" s="382"/>
      <c r="IST2" s="382"/>
      <c r="ISU2" s="382"/>
      <c r="ISV2" s="382"/>
      <c r="ISW2" s="382"/>
      <c r="ISX2" s="382"/>
      <c r="ISY2" s="382"/>
      <c r="ISZ2" s="382"/>
      <c r="ITA2" s="382"/>
      <c r="ITB2" s="382"/>
      <c r="ITC2" s="382"/>
      <c r="ITD2" s="382"/>
      <c r="ITE2" s="382"/>
      <c r="ITF2" s="382"/>
      <c r="ITG2" s="382"/>
      <c r="ITH2" s="382"/>
      <c r="ITI2" s="382"/>
      <c r="ITJ2" s="382"/>
      <c r="ITK2" s="382"/>
      <c r="ITL2" s="382"/>
      <c r="ITM2" s="382"/>
      <c r="ITN2" s="382"/>
      <c r="ITO2" s="382"/>
      <c r="ITP2" s="382"/>
      <c r="ITQ2" s="382"/>
      <c r="ITR2" s="382"/>
      <c r="ITS2" s="382"/>
      <c r="ITT2" s="382"/>
      <c r="ITU2" s="382"/>
      <c r="ITV2" s="382"/>
      <c r="ITW2" s="382"/>
      <c r="ITX2" s="382"/>
      <c r="ITY2" s="382"/>
      <c r="ITZ2" s="382"/>
      <c r="IUA2" s="382"/>
      <c r="IUB2" s="382"/>
      <c r="IUC2" s="382"/>
      <c r="IUD2" s="382"/>
      <c r="IUE2" s="382"/>
      <c r="IUF2" s="382"/>
      <c r="IUG2" s="382"/>
      <c r="IUH2" s="382"/>
      <c r="IUI2" s="382"/>
      <c r="IUJ2" s="382"/>
      <c r="IUK2" s="382"/>
      <c r="IUL2" s="382"/>
      <c r="IUM2" s="382"/>
      <c r="IUN2" s="382"/>
      <c r="IUO2" s="382"/>
      <c r="IUP2" s="382"/>
      <c r="IUQ2" s="382"/>
      <c r="IUR2" s="382"/>
      <c r="IUS2" s="382"/>
      <c r="IUT2" s="382"/>
      <c r="IUU2" s="382"/>
      <c r="IUV2" s="382"/>
      <c r="IUW2" s="382"/>
      <c r="IUX2" s="382"/>
      <c r="IUY2" s="382"/>
      <c r="IUZ2" s="382"/>
      <c r="IVA2" s="382"/>
      <c r="IVB2" s="382"/>
      <c r="IVC2" s="382"/>
      <c r="IVD2" s="382"/>
      <c r="IVE2" s="382"/>
      <c r="IVF2" s="382"/>
      <c r="IVG2" s="382"/>
      <c r="IVH2" s="382"/>
      <c r="IVI2" s="382"/>
      <c r="IVJ2" s="382"/>
      <c r="IVK2" s="382"/>
      <c r="IVL2" s="382"/>
      <c r="IVM2" s="382"/>
      <c r="IVN2" s="382"/>
      <c r="IVO2" s="382"/>
      <c r="IVP2" s="382"/>
      <c r="IVQ2" s="382"/>
      <c r="IVR2" s="382"/>
      <c r="IVS2" s="382"/>
      <c r="IVT2" s="382"/>
      <c r="IVU2" s="382"/>
      <c r="IVV2" s="382"/>
      <c r="IVW2" s="382"/>
      <c r="IVX2" s="382"/>
      <c r="IVY2" s="382"/>
      <c r="IVZ2" s="382"/>
      <c r="IWA2" s="382"/>
      <c r="IWB2" s="382"/>
      <c r="IWC2" s="382"/>
      <c r="IWD2" s="382"/>
      <c r="IWE2" s="382"/>
      <c r="IWF2" s="382"/>
      <c r="IWG2" s="382"/>
      <c r="IWH2" s="382"/>
      <c r="IWI2" s="382"/>
      <c r="IWJ2" s="382"/>
      <c r="IWK2" s="382"/>
      <c r="IWL2" s="382"/>
      <c r="IWM2" s="382"/>
      <c r="IWN2" s="382"/>
      <c r="IWO2" s="382"/>
      <c r="IWP2" s="382"/>
      <c r="IWQ2" s="382"/>
      <c r="IWR2" s="382"/>
      <c r="IWS2" s="382"/>
      <c r="IWT2" s="382"/>
      <c r="IWU2" s="382"/>
      <c r="IWV2" s="382"/>
      <c r="IWW2" s="382"/>
      <c r="IWX2" s="382"/>
      <c r="IWY2" s="382"/>
      <c r="IWZ2" s="382"/>
      <c r="IXA2" s="382"/>
      <c r="IXB2" s="382"/>
      <c r="IXC2" s="382"/>
      <c r="IXD2" s="382"/>
      <c r="IXE2" s="382"/>
      <c r="IXF2" s="382"/>
      <c r="IXG2" s="382"/>
      <c r="IXH2" s="382"/>
      <c r="IXI2" s="382"/>
      <c r="IXJ2" s="382"/>
      <c r="IXK2" s="382"/>
      <c r="IXL2" s="382"/>
      <c r="IXM2" s="382"/>
      <c r="IXN2" s="382"/>
      <c r="IXO2" s="382"/>
      <c r="IXP2" s="382"/>
      <c r="IXQ2" s="382"/>
      <c r="IXR2" s="382"/>
      <c r="IXS2" s="382"/>
      <c r="IXT2" s="382"/>
      <c r="IXU2" s="382"/>
      <c r="IXV2" s="382"/>
      <c r="IXW2" s="382"/>
      <c r="IXX2" s="382"/>
      <c r="IXY2" s="382"/>
      <c r="IXZ2" s="382"/>
      <c r="IYA2" s="382"/>
      <c r="IYB2" s="382"/>
      <c r="IYC2" s="382"/>
      <c r="IYD2" s="382"/>
      <c r="IYE2" s="382"/>
      <c r="IYF2" s="382"/>
      <c r="IYG2" s="382"/>
      <c r="IYH2" s="382"/>
      <c r="IYI2" s="382"/>
      <c r="IYJ2" s="382"/>
      <c r="IYK2" s="382"/>
      <c r="IYL2" s="382"/>
      <c r="IYM2" s="382"/>
      <c r="IYN2" s="382"/>
      <c r="IYO2" s="382"/>
      <c r="IYP2" s="382"/>
      <c r="IYQ2" s="382"/>
      <c r="IYR2" s="382"/>
      <c r="IYS2" s="382"/>
      <c r="IYT2" s="382"/>
      <c r="IYU2" s="382"/>
      <c r="IYV2" s="382"/>
      <c r="IYW2" s="382"/>
      <c r="IYX2" s="382"/>
      <c r="IYY2" s="382"/>
      <c r="IYZ2" s="382"/>
      <c r="IZA2" s="382"/>
      <c r="IZB2" s="382"/>
      <c r="IZC2" s="382"/>
      <c r="IZD2" s="382"/>
      <c r="IZE2" s="382"/>
      <c r="IZF2" s="382"/>
      <c r="IZG2" s="382"/>
      <c r="IZH2" s="382"/>
      <c r="IZI2" s="382"/>
      <c r="IZJ2" s="382"/>
      <c r="IZK2" s="382"/>
      <c r="IZL2" s="382"/>
      <c r="IZM2" s="382"/>
      <c r="IZN2" s="382"/>
      <c r="IZO2" s="382"/>
      <c r="IZP2" s="382"/>
      <c r="IZQ2" s="382"/>
      <c r="IZR2" s="382"/>
      <c r="IZS2" s="382"/>
      <c r="IZT2" s="382"/>
      <c r="IZU2" s="382"/>
      <c r="IZV2" s="382"/>
      <c r="IZW2" s="382"/>
      <c r="IZX2" s="382"/>
      <c r="IZY2" s="382"/>
      <c r="IZZ2" s="382"/>
      <c r="JAA2" s="382"/>
      <c r="JAB2" s="382"/>
      <c r="JAC2" s="382"/>
      <c r="JAD2" s="382"/>
      <c r="JAE2" s="382"/>
      <c r="JAF2" s="382"/>
      <c r="JAG2" s="382"/>
      <c r="JAH2" s="382"/>
      <c r="JAI2" s="382"/>
      <c r="JAJ2" s="382"/>
      <c r="JAK2" s="382"/>
      <c r="JAL2" s="382"/>
      <c r="JAM2" s="382"/>
      <c r="JAN2" s="382"/>
      <c r="JAO2" s="382"/>
      <c r="JAP2" s="382"/>
      <c r="JAQ2" s="382"/>
      <c r="JAR2" s="382"/>
      <c r="JAS2" s="382"/>
      <c r="JAT2" s="382"/>
      <c r="JAU2" s="382"/>
      <c r="JAV2" s="382"/>
      <c r="JAW2" s="382"/>
      <c r="JAX2" s="382"/>
      <c r="JAY2" s="382"/>
      <c r="JAZ2" s="382"/>
      <c r="JBA2" s="382"/>
      <c r="JBB2" s="382"/>
      <c r="JBC2" s="382"/>
      <c r="JBD2" s="382"/>
      <c r="JBE2" s="382"/>
      <c r="JBF2" s="382"/>
      <c r="JBG2" s="382"/>
      <c r="JBH2" s="382"/>
      <c r="JBI2" s="382"/>
      <c r="JBJ2" s="382"/>
      <c r="JBK2" s="382"/>
      <c r="JBL2" s="382"/>
      <c r="JBM2" s="382"/>
      <c r="JBN2" s="382"/>
      <c r="JBO2" s="382"/>
      <c r="JBP2" s="382"/>
      <c r="JBQ2" s="382"/>
      <c r="JBR2" s="382"/>
      <c r="JBS2" s="382"/>
      <c r="JBT2" s="382"/>
      <c r="JBU2" s="382"/>
      <c r="JBV2" s="382"/>
      <c r="JBW2" s="382"/>
      <c r="JBX2" s="382"/>
      <c r="JBY2" s="382"/>
      <c r="JBZ2" s="382"/>
      <c r="JCA2" s="382"/>
      <c r="JCB2" s="382"/>
      <c r="JCC2" s="382"/>
      <c r="JCD2" s="382"/>
      <c r="JCE2" s="382"/>
      <c r="JCF2" s="382"/>
      <c r="JCG2" s="382"/>
      <c r="JCH2" s="382"/>
      <c r="JCI2" s="382"/>
      <c r="JCJ2" s="382"/>
      <c r="JCK2" s="382"/>
      <c r="JCL2" s="382"/>
      <c r="JCM2" s="382"/>
      <c r="JCN2" s="382"/>
      <c r="JCO2" s="382"/>
      <c r="JCP2" s="382"/>
      <c r="JCQ2" s="382"/>
      <c r="JCR2" s="382"/>
      <c r="JCS2" s="382"/>
      <c r="JCT2" s="382"/>
      <c r="JCU2" s="382"/>
      <c r="JCV2" s="382"/>
      <c r="JCW2" s="382"/>
      <c r="JCX2" s="382"/>
      <c r="JCY2" s="382"/>
      <c r="JCZ2" s="382"/>
      <c r="JDA2" s="382"/>
      <c r="JDB2" s="382"/>
      <c r="JDC2" s="382"/>
      <c r="JDD2" s="382"/>
      <c r="JDE2" s="382"/>
      <c r="JDF2" s="382"/>
      <c r="JDG2" s="382"/>
      <c r="JDH2" s="382"/>
      <c r="JDI2" s="382"/>
      <c r="JDJ2" s="382"/>
      <c r="JDK2" s="382"/>
      <c r="JDL2" s="382"/>
      <c r="JDM2" s="382"/>
      <c r="JDN2" s="382"/>
      <c r="JDO2" s="382"/>
      <c r="JDP2" s="382"/>
      <c r="JDQ2" s="382"/>
      <c r="JDR2" s="382"/>
      <c r="JDS2" s="382"/>
      <c r="JDT2" s="382"/>
      <c r="JDU2" s="382"/>
      <c r="JDV2" s="382"/>
      <c r="JDW2" s="382"/>
      <c r="JDX2" s="382"/>
      <c r="JDY2" s="382"/>
      <c r="JDZ2" s="382"/>
      <c r="JEA2" s="382"/>
      <c r="JEB2" s="382"/>
      <c r="JEC2" s="382"/>
      <c r="JED2" s="382"/>
      <c r="JEE2" s="382"/>
      <c r="JEF2" s="382"/>
      <c r="JEG2" s="382"/>
      <c r="JEH2" s="382"/>
      <c r="JEI2" s="382"/>
      <c r="JEJ2" s="382"/>
      <c r="JEK2" s="382"/>
      <c r="JEL2" s="382"/>
      <c r="JEM2" s="382"/>
      <c r="JEN2" s="382"/>
      <c r="JEO2" s="382"/>
      <c r="JEP2" s="382"/>
      <c r="JEQ2" s="382"/>
      <c r="JER2" s="382"/>
      <c r="JES2" s="382"/>
      <c r="JET2" s="382"/>
      <c r="JEU2" s="382"/>
      <c r="JEV2" s="382"/>
      <c r="JEW2" s="382"/>
      <c r="JEX2" s="382"/>
      <c r="JEY2" s="382"/>
      <c r="JEZ2" s="382"/>
      <c r="JFA2" s="382"/>
      <c r="JFB2" s="382"/>
      <c r="JFC2" s="382"/>
      <c r="JFD2" s="382"/>
      <c r="JFE2" s="382"/>
      <c r="JFF2" s="382"/>
      <c r="JFG2" s="382"/>
      <c r="JFH2" s="382"/>
      <c r="JFI2" s="382"/>
      <c r="JFJ2" s="382"/>
      <c r="JFK2" s="382"/>
      <c r="JFL2" s="382"/>
      <c r="JFM2" s="382"/>
      <c r="JFN2" s="382"/>
      <c r="JFO2" s="382"/>
      <c r="JFP2" s="382"/>
      <c r="JFQ2" s="382"/>
      <c r="JFR2" s="382"/>
      <c r="JFS2" s="382"/>
      <c r="JFT2" s="382"/>
      <c r="JFU2" s="382"/>
      <c r="JFV2" s="382"/>
      <c r="JFW2" s="382"/>
      <c r="JFX2" s="382"/>
      <c r="JFY2" s="382"/>
      <c r="JFZ2" s="382"/>
      <c r="JGA2" s="382"/>
      <c r="JGB2" s="382"/>
      <c r="JGC2" s="382"/>
      <c r="JGD2" s="382"/>
      <c r="JGE2" s="382"/>
      <c r="JGF2" s="382"/>
      <c r="JGG2" s="382"/>
      <c r="JGH2" s="382"/>
      <c r="JGI2" s="382"/>
      <c r="JGJ2" s="382"/>
      <c r="JGK2" s="382"/>
      <c r="JGL2" s="382"/>
      <c r="JGM2" s="382"/>
      <c r="JGN2" s="382"/>
      <c r="JGO2" s="382"/>
      <c r="JGP2" s="382"/>
      <c r="JGQ2" s="382"/>
      <c r="JGR2" s="382"/>
      <c r="JGS2" s="382"/>
      <c r="JGT2" s="382"/>
      <c r="JGU2" s="382"/>
      <c r="JGV2" s="382"/>
      <c r="JGW2" s="382"/>
      <c r="JGX2" s="382"/>
      <c r="JGY2" s="382"/>
      <c r="JGZ2" s="382"/>
      <c r="JHA2" s="382"/>
      <c r="JHB2" s="382"/>
      <c r="JHC2" s="382"/>
      <c r="JHD2" s="382"/>
      <c r="JHE2" s="382"/>
      <c r="JHF2" s="382"/>
      <c r="JHG2" s="382"/>
      <c r="JHH2" s="382"/>
      <c r="JHI2" s="382"/>
      <c r="JHJ2" s="382"/>
      <c r="JHK2" s="382"/>
      <c r="JHL2" s="382"/>
      <c r="JHM2" s="382"/>
      <c r="JHN2" s="382"/>
      <c r="JHO2" s="382"/>
      <c r="JHP2" s="382"/>
      <c r="JHQ2" s="382"/>
      <c r="JHR2" s="382"/>
      <c r="JHS2" s="382"/>
      <c r="JHT2" s="382"/>
      <c r="JHU2" s="382"/>
      <c r="JHV2" s="382"/>
      <c r="JHW2" s="382"/>
      <c r="JHX2" s="382"/>
      <c r="JHY2" s="382"/>
      <c r="JHZ2" s="382"/>
      <c r="JIA2" s="382"/>
      <c r="JIB2" s="382"/>
      <c r="JIC2" s="382"/>
      <c r="JID2" s="382"/>
      <c r="JIE2" s="382"/>
      <c r="JIF2" s="382"/>
      <c r="JIG2" s="382"/>
      <c r="JIH2" s="382"/>
      <c r="JII2" s="382"/>
      <c r="JIJ2" s="382"/>
      <c r="JIK2" s="382"/>
      <c r="JIL2" s="382"/>
      <c r="JIM2" s="382"/>
      <c r="JIN2" s="382"/>
      <c r="JIO2" s="382"/>
      <c r="JIP2" s="382"/>
      <c r="JIQ2" s="382"/>
      <c r="JIR2" s="382"/>
      <c r="JIS2" s="382"/>
      <c r="JIT2" s="382"/>
      <c r="JIU2" s="382"/>
      <c r="JIV2" s="382"/>
      <c r="JIW2" s="382"/>
      <c r="JIX2" s="382"/>
      <c r="JIY2" s="382"/>
      <c r="JIZ2" s="382"/>
      <c r="JJA2" s="382"/>
      <c r="JJB2" s="382"/>
      <c r="JJC2" s="382"/>
      <c r="JJD2" s="382"/>
      <c r="JJE2" s="382"/>
      <c r="JJF2" s="382"/>
      <c r="JJG2" s="382"/>
      <c r="JJH2" s="382"/>
      <c r="JJI2" s="382"/>
      <c r="JJJ2" s="382"/>
      <c r="JJK2" s="382"/>
      <c r="JJL2" s="382"/>
      <c r="JJM2" s="382"/>
      <c r="JJN2" s="382"/>
      <c r="JJO2" s="382"/>
      <c r="JJP2" s="382"/>
      <c r="JJQ2" s="382"/>
      <c r="JJR2" s="382"/>
      <c r="JJS2" s="382"/>
      <c r="JJT2" s="382"/>
      <c r="JJU2" s="382"/>
      <c r="JJV2" s="382"/>
      <c r="JJW2" s="382"/>
      <c r="JJX2" s="382"/>
      <c r="JJY2" s="382"/>
      <c r="JJZ2" s="382"/>
      <c r="JKA2" s="382"/>
      <c r="JKB2" s="382"/>
      <c r="JKC2" s="382"/>
      <c r="JKD2" s="382"/>
      <c r="JKE2" s="382"/>
      <c r="JKF2" s="382"/>
      <c r="JKG2" s="382"/>
      <c r="JKH2" s="382"/>
      <c r="JKI2" s="382"/>
      <c r="JKJ2" s="382"/>
      <c r="JKK2" s="382"/>
      <c r="JKL2" s="382"/>
      <c r="JKM2" s="382"/>
      <c r="JKN2" s="382"/>
      <c r="JKO2" s="382"/>
      <c r="JKP2" s="382"/>
      <c r="JKQ2" s="382"/>
      <c r="JKR2" s="382"/>
      <c r="JKS2" s="382"/>
      <c r="JKT2" s="382"/>
      <c r="JKU2" s="382"/>
      <c r="JKV2" s="382"/>
      <c r="JKW2" s="382"/>
      <c r="JKX2" s="382"/>
      <c r="JKY2" s="382"/>
      <c r="JKZ2" s="382"/>
      <c r="JLA2" s="382"/>
      <c r="JLB2" s="382"/>
      <c r="JLC2" s="382"/>
      <c r="JLD2" s="382"/>
      <c r="JLE2" s="382"/>
      <c r="JLF2" s="382"/>
      <c r="JLG2" s="382"/>
      <c r="JLH2" s="382"/>
      <c r="JLI2" s="382"/>
      <c r="JLJ2" s="382"/>
      <c r="JLK2" s="382"/>
      <c r="JLL2" s="382"/>
      <c r="JLM2" s="382"/>
      <c r="JLN2" s="382"/>
      <c r="JLO2" s="382"/>
      <c r="JLP2" s="382"/>
      <c r="JLQ2" s="382"/>
      <c r="JLR2" s="382"/>
      <c r="JLS2" s="382"/>
      <c r="JLT2" s="382"/>
      <c r="JLU2" s="382"/>
      <c r="JLV2" s="382"/>
      <c r="JLW2" s="382"/>
      <c r="JLX2" s="382"/>
      <c r="JLY2" s="382"/>
      <c r="JLZ2" s="382"/>
      <c r="JMA2" s="382"/>
      <c r="JMB2" s="382"/>
      <c r="JMC2" s="382"/>
      <c r="JMD2" s="382"/>
      <c r="JME2" s="382"/>
      <c r="JMF2" s="382"/>
      <c r="JMG2" s="382"/>
      <c r="JMH2" s="382"/>
      <c r="JMI2" s="382"/>
      <c r="JMJ2" s="382"/>
      <c r="JMK2" s="382"/>
      <c r="JML2" s="382"/>
      <c r="JMM2" s="382"/>
      <c r="JMN2" s="382"/>
      <c r="JMO2" s="382"/>
      <c r="JMP2" s="382"/>
      <c r="JMQ2" s="382"/>
      <c r="JMR2" s="382"/>
      <c r="JMS2" s="382"/>
      <c r="JMT2" s="382"/>
      <c r="JMU2" s="382"/>
      <c r="JMV2" s="382"/>
      <c r="JMW2" s="382"/>
      <c r="JMX2" s="382"/>
      <c r="JMY2" s="382"/>
      <c r="JMZ2" s="382"/>
      <c r="JNA2" s="382"/>
      <c r="JNB2" s="382"/>
      <c r="JNC2" s="382"/>
      <c r="JND2" s="382"/>
      <c r="JNE2" s="382"/>
      <c r="JNF2" s="382"/>
      <c r="JNG2" s="382"/>
      <c r="JNH2" s="382"/>
      <c r="JNI2" s="382"/>
      <c r="JNJ2" s="382"/>
      <c r="JNK2" s="382"/>
      <c r="JNL2" s="382"/>
      <c r="JNM2" s="382"/>
      <c r="JNN2" s="382"/>
      <c r="JNO2" s="382"/>
      <c r="JNP2" s="382"/>
      <c r="JNQ2" s="382"/>
      <c r="JNR2" s="382"/>
      <c r="JNS2" s="382"/>
      <c r="JNT2" s="382"/>
      <c r="JNU2" s="382"/>
      <c r="JNV2" s="382"/>
      <c r="JNW2" s="382"/>
      <c r="JNX2" s="382"/>
      <c r="JNY2" s="382"/>
      <c r="JNZ2" s="382"/>
      <c r="JOA2" s="382"/>
      <c r="JOB2" s="382"/>
      <c r="JOC2" s="382"/>
      <c r="JOD2" s="382"/>
      <c r="JOE2" s="382"/>
      <c r="JOF2" s="382"/>
      <c r="JOG2" s="382"/>
      <c r="JOH2" s="382"/>
      <c r="JOI2" s="382"/>
      <c r="JOJ2" s="382"/>
      <c r="JOK2" s="382"/>
      <c r="JOL2" s="382"/>
      <c r="JOM2" s="382"/>
      <c r="JON2" s="382"/>
      <c r="JOO2" s="382"/>
      <c r="JOP2" s="382"/>
      <c r="JOQ2" s="382"/>
      <c r="JOR2" s="382"/>
      <c r="JOS2" s="382"/>
      <c r="JOT2" s="382"/>
      <c r="JOU2" s="382"/>
      <c r="JOV2" s="382"/>
      <c r="JOW2" s="382"/>
      <c r="JOX2" s="382"/>
      <c r="JOY2" s="382"/>
      <c r="JOZ2" s="382"/>
      <c r="JPA2" s="382"/>
      <c r="JPB2" s="382"/>
      <c r="JPC2" s="382"/>
      <c r="JPD2" s="382"/>
      <c r="JPE2" s="382"/>
      <c r="JPF2" s="382"/>
      <c r="JPG2" s="382"/>
      <c r="JPH2" s="382"/>
      <c r="JPI2" s="382"/>
      <c r="JPJ2" s="382"/>
      <c r="JPK2" s="382"/>
      <c r="JPL2" s="382"/>
      <c r="JPM2" s="382"/>
      <c r="JPN2" s="382"/>
      <c r="JPO2" s="382"/>
      <c r="JPP2" s="382"/>
      <c r="JPQ2" s="382"/>
      <c r="JPR2" s="382"/>
      <c r="JPS2" s="382"/>
      <c r="JPT2" s="382"/>
      <c r="JPU2" s="382"/>
      <c r="JPV2" s="382"/>
      <c r="JPW2" s="382"/>
      <c r="JPX2" s="382"/>
      <c r="JPY2" s="382"/>
      <c r="JPZ2" s="382"/>
      <c r="JQA2" s="382"/>
      <c r="JQB2" s="382"/>
      <c r="JQC2" s="382"/>
      <c r="JQD2" s="382"/>
      <c r="JQE2" s="382"/>
      <c r="JQF2" s="382"/>
      <c r="JQG2" s="382"/>
      <c r="JQH2" s="382"/>
      <c r="JQI2" s="382"/>
      <c r="JQJ2" s="382"/>
      <c r="JQK2" s="382"/>
      <c r="JQL2" s="382"/>
      <c r="JQM2" s="382"/>
      <c r="JQN2" s="382"/>
      <c r="JQO2" s="382"/>
      <c r="JQP2" s="382"/>
      <c r="JQQ2" s="382"/>
      <c r="JQR2" s="382"/>
      <c r="JQS2" s="382"/>
      <c r="JQT2" s="382"/>
      <c r="JQU2" s="382"/>
      <c r="JQV2" s="382"/>
      <c r="JQW2" s="382"/>
      <c r="JQX2" s="382"/>
      <c r="JQY2" s="382"/>
      <c r="JQZ2" s="382"/>
      <c r="JRA2" s="382"/>
      <c r="JRB2" s="382"/>
      <c r="JRC2" s="382"/>
      <c r="JRD2" s="382"/>
      <c r="JRE2" s="382"/>
      <c r="JRF2" s="382"/>
      <c r="JRG2" s="382"/>
      <c r="JRH2" s="382"/>
      <c r="JRI2" s="382"/>
      <c r="JRJ2" s="382"/>
      <c r="JRK2" s="382"/>
      <c r="JRL2" s="382"/>
      <c r="JRM2" s="382"/>
      <c r="JRN2" s="382"/>
      <c r="JRO2" s="382"/>
      <c r="JRP2" s="382"/>
      <c r="JRQ2" s="382"/>
      <c r="JRR2" s="382"/>
      <c r="JRS2" s="382"/>
      <c r="JRT2" s="382"/>
      <c r="JRU2" s="382"/>
      <c r="JRV2" s="382"/>
      <c r="JRW2" s="382"/>
      <c r="JRX2" s="382"/>
      <c r="JRY2" s="382"/>
      <c r="JRZ2" s="382"/>
      <c r="JSA2" s="382"/>
      <c r="JSB2" s="382"/>
      <c r="JSC2" s="382"/>
      <c r="JSD2" s="382"/>
      <c r="JSE2" s="382"/>
      <c r="JSF2" s="382"/>
      <c r="JSG2" s="382"/>
      <c r="JSH2" s="382"/>
      <c r="JSI2" s="382"/>
      <c r="JSJ2" s="382"/>
      <c r="JSK2" s="382"/>
      <c r="JSL2" s="382"/>
      <c r="JSM2" s="382"/>
      <c r="JSN2" s="382"/>
      <c r="JSO2" s="382"/>
      <c r="JSP2" s="382"/>
      <c r="JSQ2" s="382"/>
      <c r="JSR2" s="382"/>
      <c r="JSS2" s="382"/>
      <c r="JST2" s="382"/>
      <c r="JSU2" s="382"/>
      <c r="JSV2" s="382"/>
      <c r="JSW2" s="382"/>
      <c r="JSX2" s="382"/>
      <c r="JSY2" s="382"/>
      <c r="JSZ2" s="382"/>
      <c r="JTA2" s="382"/>
      <c r="JTB2" s="382"/>
      <c r="JTC2" s="382"/>
      <c r="JTD2" s="382"/>
      <c r="JTE2" s="382"/>
      <c r="JTF2" s="382"/>
      <c r="JTG2" s="382"/>
      <c r="JTH2" s="382"/>
      <c r="JTI2" s="382"/>
      <c r="JTJ2" s="382"/>
      <c r="JTK2" s="382"/>
      <c r="JTL2" s="382"/>
      <c r="JTM2" s="382"/>
      <c r="JTN2" s="382"/>
      <c r="JTO2" s="382"/>
      <c r="JTP2" s="382"/>
      <c r="JTQ2" s="382"/>
      <c r="JTR2" s="382"/>
      <c r="JTS2" s="382"/>
      <c r="JTT2" s="382"/>
      <c r="JTU2" s="382"/>
      <c r="JTV2" s="382"/>
      <c r="JTW2" s="382"/>
      <c r="JTX2" s="382"/>
      <c r="JTY2" s="382"/>
      <c r="JTZ2" s="382"/>
      <c r="JUA2" s="382"/>
      <c r="JUB2" s="382"/>
      <c r="JUC2" s="382"/>
      <c r="JUD2" s="382"/>
      <c r="JUE2" s="382"/>
      <c r="JUF2" s="382"/>
      <c r="JUG2" s="382"/>
      <c r="JUH2" s="382"/>
      <c r="JUI2" s="382"/>
      <c r="JUJ2" s="382"/>
      <c r="JUK2" s="382"/>
      <c r="JUL2" s="382"/>
      <c r="JUM2" s="382"/>
      <c r="JUN2" s="382"/>
      <c r="JUO2" s="382"/>
      <c r="JUP2" s="382"/>
      <c r="JUQ2" s="382"/>
      <c r="JUR2" s="382"/>
      <c r="JUS2" s="382"/>
      <c r="JUT2" s="382"/>
      <c r="JUU2" s="382"/>
      <c r="JUV2" s="382"/>
      <c r="JUW2" s="382"/>
      <c r="JUX2" s="382"/>
      <c r="JUY2" s="382"/>
      <c r="JUZ2" s="382"/>
      <c r="JVA2" s="382"/>
      <c r="JVB2" s="382"/>
      <c r="JVC2" s="382"/>
      <c r="JVD2" s="382"/>
      <c r="JVE2" s="382"/>
      <c r="JVF2" s="382"/>
      <c r="JVG2" s="382"/>
      <c r="JVH2" s="382"/>
      <c r="JVI2" s="382"/>
      <c r="JVJ2" s="382"/>
      <c r="JVK2" s="382"/>
      <c r="JVL2" s="382"/>
      <c r="JVM2" s="382"/>
      <c r="JVN2" s="382"/>
      <c r="JVO2" s="382"/>
      <c r="JVP2" s="382"/>
      <c r="JVQ2" s="382"/>
      <c r="JVR2" s="382"/>
      <c r="JVS2" s="382"/>
      <c r="JVT2" s="382"/>
      <c r="JVU2" s="382"/>
      <c r="JVV2" s="382"/>
      <c r="JVW2" s="382"/>
      <c r="JVX2" s="382"/>
      <c r="JVY2" s="382"/>
      <c r="JVZ2" s="382"/>
      <c r="JWA2" s="382"/>
      <c r="JWB2" s="382"/>
      <c r="JWC2" s="382"/>
      <c r="JWD2" s="382"/>
      <c r="JWE2" s="382"/>
      <c r="JWF2" s="382"/>
      <c r="JWG2" s="382"/>
      <c r="JWH2" s="382"/>
      <c r="JWI2" s="382"/>
      <c r="JWJ2" s="382"/>
      <c r="JWK2" s="382"/>
      <c r="JWL2" s="382"/>
      <c r="JWM2" s="382"/>
      <c r="JWN2" s="382"/>
      <c r="JWO2" s="382"/>
      <c r="JWP2" s="382"/>
      <c r="JWQ2" s="382"/>
      <c r="JWR2" s="382"/>
      <c r="JWS2" s="382"/>
      <c r="JWT2" s="382"/>
      <c r="JWU2" s="382"/>
      <c r="JWV2" s="382"/>
      <c r="JWW2" s="382"/>
      <c r="JWX2" s="382"/>
      <c r="JWY2" s="382"/>
      <c r="JWZ2" s="382"/>
      <c r="JXA2" s="382"/>
      <c r="JXB2" s="382"/>
      <c r="JXC2" s="382"/>
      <c r="JXD2" s="382"/>
      <c r="JXE2" s="382"/>
      <c r="JXF2" s="382"/>
      <c r="JXG2" s="382"/>
      <c r="JXH2" s="382"/>
      <c r="JXI2" s="382"/>
      <c r="JXJ2" s="382"/>
      <c r="JXK2" s="382"/>
      <c r="JXL2" s="382"/>
      <c r="JXM2" s="382"/>
      <c r="JXN2" s="382"/>
      <c r="JXO2" s="382"/>
      <c r="JXP2" s="382"/>
      <c r="JXQ2" s="382"/>
      <c r="JXR2" s="382"/>
      <c r="JXS2" s="382"/>
      <c r="JXT2" s="382"/>
      <c r="JXU2" s="382"/>
      <c r="JXV2" s="382"/>
      <c r="JXW2" s="382"/>
      <c r="JXX2" s="382"/>
      <c r="JXY2" s="382"/>
      <c r="JXZ2" s="382"/>
      <c r="JYA2" s="382"/>
      <c r="JYB2" s="382"/>
      <c r="JYC2" s="382"/>
      <c r="JYD2" s="382"/>
      <c r="JYE2" s="382"/>
      <c r="JYF2" s="382"/>
      <c r="JYG2" s="382"/>
      <c r="JYH2" s="382"/>
      <c r="JYI2" s="382"/>
      <c r="JYJ2" s="382"/>
      <c r="JYK2" s="382"/>
      <c r="JYL2" s="382"/>
      <c r="JYM2" s="382"/>
      <c r="JYN2" s="382"/>
      <c r="JYO2" s="382"/>
      <c r="JYP2" s="382"/>
      <c r="JYQ2" s="382"/>
      <c r="JYR2" s="382"/>
      <c r="JYS2" s="382"/>
      <c r="JYT2" s="382"/>
      <c r="JYU2" s="382"/>
      <c r="JYV2" s="382"/>
      <c r="JYW2" s="382"/>
      <c r="JYX2" s="382"/>
      <c r="JYY2" s="382"/>
      <c r="JYZ2" s="382"/>
      <c r="JZA2" s="382"/>
      <c r="JZB2" s="382"/>
      <c r="JZC2" s="382"/>
      <c r="JZD2" s="382"/>
      <c r="JZE2" s="382"/>
      <c r="JZF2" s="382"/>
      <c r="JZG2" s="382"/>
      <c r="JZH2" s="382"/>
      <c r="JZI2" s="382"/>
      <c r="JZJ2" s="382"/>
      <c r="JZK2" s="382"/>
      <c r="JZL2" s="382"/>
      <c r="JZM2" s="382"/>
      <c r="JZN2" s="382"/>
      <c r="JZO2" s="382"/>
      <c r="JZP2" s="382"/>
      <c r="JZQ2" s="382"/>
      <c r="JZR2" s="382"/>
      <c r="JZS2" s="382"/>
      <c r="JZT2" s="382"/>
      <c r="JZU2" s="382"/>
      <c r="JZV2" s="382"/>
      <c r="JZW2" s="382"/>
      <c r="JZX2" s="382"/>
      <c r="JZY2" s="382"/>
      <c r="JZZ2" s="382"/>
      <c r="KAA2" s="382"/>
      <c r="KAB2" s="382"/>
      <c r="KAC2" s="382"/>
      <c r="KAD2" s="382"/>
      <c r="KAE2" s="382"/>
      <c r="KAF2" s="382"/>
      <c r="KAG2" s="382"/>
      <c r="KAH2" s="382"/>
      <c r="KAI2" s="382"/>
      <c r="KAJ2" s="382"/>
      <c r="KAK2" s="382"/>
      <c r="KAL2" s="382"/>
      <c r="KAM2" s="382"/>
      <c r="KAN2" s="382"/>
      <c r="KAO2" s="382"/>
      <c r="KAP2" s="382"/>
      <c r="KAQ2" s="382"/>
      <c r="KAR2" s="382"/>
      <c r="KAS2" s="382"/>
      <c r="KAT2" s="382"/>
      <c r="KAU2" s="382"/>
      <c r="KAV2" s="382"/>
      <c r="KAW2" s="382"/>
      <c r="KAX2" s="382"/>
      <c r="KAY2" s="382"/>
      <c r="KAZ2" s="382"/>
      <c r="KBA2" s="382"/>
      <c r="KBB2" s="382"/>
      <c r="KBC2" s="382"/>
      <c r="KBD2" s="382"/>
      <c r="KBE2" s="382"/>
      <c r="KBF2" s="382"/>
      <c r="KBG2" s="382"/>
      <c r="KBH2" s="382"/>
      <c r="KBI2" s="382"/>
      <c r="KBJ2" s="382"/>
      <c r="KBK2" s="382"/>
      <c r="KBL2" s="382"/>
      <c r="KBM2" s="382"/>
      <c r="KBN2" s="382"/>
      <c r="KBO2" s="382"/>
      <c r="KBP2" s="382"/>
      <c r="KBQ2" s="382"/>
      <c r="KBR2" s="382"/>
      <c r="KBS2" s="382"/>
      <c r="KBT2" s="382"/>
      <c r="KBU2" s="382"/>
      <c r="KBV2" s="382"/>
      <c r="KBW2" s="382"/>
      <c r="KBX2" s="382"/>
      <c r="KBY2" s="382"/>
      <c r="KBZ2" s="382"/>
      <c r="KCA2" s="382"/>
      <c r="KCB2" s="382"/>
      <c r="KCC2" s="382"/>
      <c r="KCD2" s="382"/>
      <c r="KCE2" s="382"/>
      <c r="KCF2" s="382"/>
      <c r="KCG2" s="382"/>
      <c r="KCH2" s="382"/>
      <c r="KCI2" s="382"/>
      <c r="KCJ2" s="382"/>
      <c r="KCK2" s="382"/>
      <c r="KCL2" s="382"/>
      <c r="KCM2" s="382"/>
      <c r="KCN2" s="382"/>
      <c r="KCO2" s="382"/>
      <c r="KCP2" s="382"/>
      <c r="KCQ2" s="382"/>
      <c r="KCR2" s="382"/>
      <c r="KCS2" s="382"/>
      <c r="KCT2" s="382"/>
      <c r="KCU2" s="382"/>
      <c r="KCV2" s="382"/>
      <c r="KCW2" s="382"/>
      <c r="KCX2" s="382"/>
      <c r="KCY2" s="382"/>
      <c r="KCZ2" s="382"/>
      <c r="KDA2" s="382"/>
      <c r="KDB2" s="382"/>
      <c r="KDC2" s="382"/>
      <c r="KDD2" s="382"/>
      <c r="KDE2" s="382"/>
      <c r="KDF2" s="382"/>
      <c r="KDG2" s="382"/>
      <c r="KDH2" s="382"/>
      <c r="KDI2" s="382"/>
      <c r="KDJ2" s="382"/>
      <c r="KDK2" s="382"/>
      <c r="KDL2" s="382"/>
      <c r="KDM2" s="382"/>
      <c r="KDN2" s="382"/>
      <c r="KDO2" s="382"/>
      <c r="KDP2" s="382"/>
      <c r="KDQ2" s="382"/>
      <c r="KDR2" s="382"/>
      <c r="KDS2" s="382"/>
      <c r="KDT2" s="382"/>
      <c r="KDU2" s="382"/>
      <c r="KDV2" s="382"/>
      <c r="KDW2" s="382"/>
      <c r="KDX2" s="382"/>
      <c r="KDY2" s="382"/>
      <c r="KDZ2" s="382"/>
      <c r="KEA2" s="382"/>
      <c r="KEB2" s="382"/>
      <c r="KEC2" s="382"/>
      <c r="KED2" s="382"/>
      <c r="KEE2" s="382"/>
      <c r="KEF2" s="382"/>
      <c r="KEG2" s="382"/>
      <c r="KEH2" s="382"/>
      <c r="KEI2" s="382"/>
      <c r="KEJ2" s="382"/>
      <c r="KEK2" s="382"/>
      <c r="KEL2" s="382"/>
      <c r="KEM2" s="382"/>
      <c r="KEN2" s="382"/>
      <c r="KEO2" s="382"/>
      <c r="KEP2" s="382"/>
      <c r="KEQ2" s="382"/>
      <c r="KER2" s="382"/>
      <c r="KES2" s="382"/>
      <c r="KET2" s="382"/>
      <c r="KEU2" s="382"/>
      <c r="KEV2" s="382"/>
      <c r="KEW2" s="382"/>
      <c r="KEX2" s="382"/>
      <c r="KEY2" s="382"/>
      <c r="KEZ2" s="382"/>
      <c r="KFA2" s="382"/>
      <c r="KFB2" s="382"/>
      <c r="KFC2" s="382"/>
      <c r="KFD2" s="382"/>
      <c r="KFE2" s="382"/>
      <c r="KFF2" s="382"/>
      <c r="KFG2" s="382"/>
      <c r="KFH2" s="382"/>
      <c r="KFI2" s="382"/>
      <c r="KFJ2" s="382"/>
      <c r="KFK2" s="382"/>
      <c r="KFL2" s="382"/>
      <c r="KFM2" s="382"/>
      <c r="KFN2" s="382"/>
      <c r="KFO2" s="382"/>
      <c r="KFP2" s="382"/>
      <c r="KFQ2" s="382"/>
      <c r="KFR2" s="382"/>
      <c r="KFS2" s="382"/>
      <c r="KFT2" s="382"/>
      <c r="KFU2" s="382"/>
      <c r="KFV2" s="382"/>
      <c r="KFW2" s="382"/>
      <c r="KFX2" s="382"/>
      <c r="KFY2" s="382"/>
      <c r="KFZ2" s="382"/>
      <c r="KGA2" s="382"/>
      <c r="KGB2" s="382"/>
      <c r="KGC2" s="382"/>
      <c r="KGD2" s="382"/>
      <c r="KGE2" s="382"/>
      <c r="KGF2" s="382"/>
      <c r="KGG2" s="382"/>
      <c r="KGH2" s="382"/>
      <c r="KGI2" s="382"/>
      <c r="KGJ2" s="382"/>
      <c r="KGK2" s="382"/>
      <c r="KGL2" s="382"/>
      <c r="KGM2" s="382"/>
      <c r="KGN2" s="382"/>
      <c r="KGO2" s="382"/>
      <c r="KGP2" s="382"/>
      <c r="KGQ2" s="382"/>
      <c r="KGR2" s="382"/>
      <c r="KGS2" s="382"/>
      <c r="KGT2" s="382"/>
      <c r="KGU2" s="382"/>
      <c r="KGV2" s="382"/>
      <c r="KGW2" s="382"/>
      <c r="KGX2" s="382"/>
      <c r="KGY2" s="382"/>
      <c r="KGZ2" s="382"/>
      <c r="KHA2" s="382"/>
      <c r="KHB2" s="382"/>
      <c r="KHC2" s="382"/>
      <c r="KHD2" s="382"/>
      <c r="KHE2" s="382"/>
      <c r="KHF2" s="382"/>
      <c r="KHG2" s="382"/>
      <c r="KHH2" s="382"/>
      <c r="KHI2" s="382"/>
      <c r="KHJ2" s="382"/>
      <c r="KHK2" s="382"/>
      <c r="KHL2" s="382"/>
      <c r="KHM2" s="382"/>
      <c r="KHN2" s="382"/>
      <c r="KHO2" s="382"/>
      <c r="KHP2" s="382"/>
      <c r="KHQ2" s="382"/>
      <c r="KHR2" s="382"/>
      <c r="KHS2" s="382"/>
      <c r="KHT2" s="382"/>
      <c r="KHU2" s="382"/>
      <c r="KHV2" s="382"/>
      <c r="KHW2" s="382"/>
      <c r="KHX2" s="382"/>
      <c r="KHY2" s="382"/>
      <c r="KHZ2" s="382"/>
      <c r="KIA2" s="382"/>
      <c r="KIB2" s="382"/>
      <c r="KIC2" s="382"/>
      <c r="KID2" s="382"/>
      <c r="KIE2" s="382"/>
      <c r="KIF2" s="382"/>
      <c r="KIG2" s="382"/>
      <c r="KIH2" s="382"/>
      <c r="KII2" s="382"/>
      <c r="KIJ2" s="382"/>
      <c r="KIK2" s="382"/>
      <c r="KIL2" s="382"/>
      <c r="KIM2" s="382"/>
      <c r="KIN2" s="382"/>
      <c r="KIO2" s="382"/>
      <c r="KIP2" s="382"/>
      <c r="KIQ2" s="382"/>
      <c r="KIR2" s="382"/>
      <c r="KIS2" s="382"/>
      <c r="KIT2" s="382"/>
      <c r="KIU2" s="382"/>
      <c r="KIV2" s="382"/>
      <c r="KIW2" s="382"/>
      <c r="KIX2" s="382"/>
      <c r="KIY2" s="382"/>
      <c r="KIZ2" s="382"/>
      <c r="KJA2" s="382"/>
      <c r="KJB2" s="382"/>
      <c r="KJC2" s="382"/>
      <c r="KJD2" s="382"/>
      <c r="KJE2" s="382"/>
      <c r="KJF2" s="382"/>
      <c r="KJG2" s="382"/>
      <c r="KJH2" s="382"/>
      <c r="KJI2" s="382"/>
      <c r="KJJ2" s="382"/>
      <c r="KJK2" s="382"/>
      <c r="KJL2" s="382"/>
      <c r="KJM2" s="382"/>
      <c r="KJN2" s="382"/>
      <c r="KJO2" s="382"/>
      <c r="KJP2" s="382"/>
      <c r="KJQ2" s="382"/>
      <c r="KJR2" s="382"/>
      <c r="KJS2" s="382"/>
      <c r="KJT2" s="382"/>
      <c r="KJU2" s="382"/>
      <c r="KJV2" s="382"/>
      <c r="KJW2" s="382"/>
      <c r="KJX2" s="382"/>
      <c r="KJY2" s="382"/>
      <c r="KJZ2" s="382"/>
      <c r="KKA2" s="382"/>
      <c r="KKB2" s="382"/>
      <c r="KKC2" s="382"/>
      <c r="KKD2" s="382"/>
      <c r="KKE2" s="382"/>
      <c r="KKF2" s="382"/>
      <c r="KKG2" s="382"/>
      <c r="KKH2" s="382"/>
      <c r="KKI2" s="382"/>
      <c r="KKJ2" s="382"/>
      <c r="KKK2" s="382"/>
      <c r="KKL2" s="382"/>
      <c r="KKM2" s="382"/>
      <c r="KKN2" s="382"/>
      <c r="KKO2" s="382"/>
      <c r="KKP2" s="382"/>
      <c r="KKQ2" s="382"/>
      <c r="KKR2" s="382"/>
      <c r="KKS2" s="382"/>
      <c r="KKT2" s="382"/>
      <c r="KKU2" s="382"/>
      <c r="KKV2" s="382"/>
      <c r="KKW2" s="382"/>
      <c r="KKX2" s="382"/>
      <c r="KKY2" s="382"/>
      <c r="KKZ2" s="382"/>
      <c r="KLA2" s="382"/>
      <c r="KLB2" s="382"/>
      <c r="KLC2" s="382"/>
      <c r="KLD2" s="382"/>
      <c r="KLE2" s="382"/>
      <c r="KLF2" s="382"/>
      <c r="KLG2" s="382"/>
      <c r="KLH2" s="382"/>
      <c r="KLI2" s="382"/>
      <c r="KLJ2" s="382"/>
      <c r="KLK2" s="382"/>
      <c r="KLL2" s="382"/>
      <c r="KLM2" s="382"/>
      <c r="KLN2" s="382"/>
      <c r="KLO2" s="382"/>
      <c r="KLP2" s="382"/>
      <c r="KLQ2" s="382"/>
      <c r="KLR2" s="382"/>
      <c r="KLS2" s="382"/>
      <c r="KLT2" s="382"/>
      <c r="KLU2" s="382"/>
      <c r="KLV2" s="382"/>
      <c r="KLW2" s="382"/>
      <c r="KLX2" s="382"/>
      <c r="KLY2" s="382"/>
      <c r="KLZ2" s="382"/>
      <c r="KMA2" s="382"/>
      <c r="KMB2" s="382"/>
      <c r="KMC2" s="382"/>
      <c r="KMD2" s="382"/>
      <c r="KME2" s="382"/>
      <c r="KMF2" s="382"/>
      <c r="KMG2" s="382"/>
      <c r="KMH2" s="382"/>
      <c r="KMI2" s="382"/>
      <c r="KMJ2" s="382"/>
      <c r="KMK2" s="382"/>
      <c r="KML2" s="382"/>
      <c r="KMM2" s="382"/>
      <c r="KMN2" s="382"/>
      <c r="KMO2" s="382"/>
      <c r="KMP2" s="382"/>
      <c r="KMQ2" s="382"/>
      <c r="KMR2" s="382"/>
      <c r="KMS2" s="382"/>
      <c r="KMT2" s="382"/>
      <c r="KMU2" s="382"/>
      <c r="KMV2" s="382"/>
      <c r="KMW2" s="382"/>
      <c r="KMX2" s="382"/>
      <c r="KMY2" s="382"/>
      <c r="KMZ2" s="382"/>
      <c r="KNA2" s="382"/>
      <c r="KNB2" s="382"/>
      <c r="KNC2" s="382"/>
      <c r="KND2" s="382"/>
      <c r="KNE2" s="382"/>
      <c r="KNF2" s="382"/>
      <c r="KNG2" s="382"/>
      <c r="KNH2" s="382"/>
      <c r="KNI2" s="382"/>
      <c r="KNJ2" s="382"/>
      <c r="KNK2" s="382"/>
      <c r="KNL2" s="382"/>
      <c r="KNM2" s="382"/>
      <c r="KNN2" s="382"/>
      <c r="KNO2" s="382"/>
      <c r="KNP2" s="382"/>
      <c r="KNQ2" s="382"/>
      <c r="KNR2" s="382"/>
      <c r="KNS2" s="382"/>
      <c r="KNT2" s="382"/>
      <c r="KNU2" s="382"/>
      <c r="KNV2" s="382"/>
      <c r="KNW2" s="382"/>
      <c r="KNX2" s="382"/>
      <c r="KNY2" s="382"/>
      <c r="KNZ2" s="382"/>
      <c r="KOA2" s="382"/>
      <c r="KOB2" s="382"/>
      <c r="KOC2" s="382"/>
      <c r="KOD2" s="382"/>
      <c r="KOE2" s="382"/>
      <c r="KOF2" s="382"/>
      <c r="KOG2" s="382"/>
      <c r="KOH2" s="382"/>
      <c r="KOI2" s="382"/>
      <c r="KOJ2" s="382"/>
      <c r="KOK2" s="382"/>
      <c r="KOL2" s="382"/>
      <c r="KOM2" s="382"/>
      <c r="KON2" s="382"/>
      <c r="KOO2" s="382"/>
      <c r="KOP2" s="382"/>
      <c r="KOQ2" s="382"/>
      <c r="KOR2" s="382"/>
      <c r="KOS2" s="382"/>
      <c r="KOT2" s="382"/>
      <c r="KOU2" s="382"/>
      <c r="KOV2" s="382"/>
      <c r="KOW2" s="382"/>
      <c r="KOX2" s="382"/>
      <c r="KOY2" s="382"/>
      <c r="KOZ2" s="382"/>
      <c r="KPA2" s="382"/>
      <c r="KPB2" s="382"/>
      <c r="KPC2" s="382"/>
      <c r="KPD2" s="382"/>
      <c r="KPE2" s="382"/>
      <c r="KPF2" s="382"/>
      <c r="KPG2" s="382"/>
      <c r="KPH2" s="382"/>
      <c r="KPI2" s="382"/>
      <c r="KPJ2" s="382"/>
      <c r="KPK2" s="382"/>
      <c r="KPL2" s="382"/>
      <c r="KPM2" s="382"/>
      <c r="KPN2" s="382"/>
      <c r="KPO2" s="382"/>
      <c r="KPP2" s="382"/>
      <c r="KPQ2" s="382"/>
      <c r="KPR2" s="382"/>
      <c r="KPS2" s="382"/>
      <c r="KPT2" s="382"/>
      <c r="KPU2" s="382"/>
      <c r="KPV2" s="382"/>
      <c r="KPW2" s="382"/>
      <c r="KPX2" s="382"/>
      <c r="KPY2" s="382"/>
      <c r="KPZ2" s="382"/>
      <c r="KQA2" s="382"/>
      <c r="KQB2" s="382"/>
      <c r="KQC2" s="382"/>
      <c r="KQD2" s="382"/>
      <c r="KQE2" s="382"/>
      <c r="KQF2" s="382"/>
      <c r="KQG2" s="382"/>
      <c r="KQH2" s="382"/>
      <c r="KQI2" s="382"/>
      <c r="KQJ2" s="382"/>
      <c r="KQK2" s="382"/>
      <c r="KQL2" s="382"/>
      <c r="KQM2" s="382"/>
      <c r="KQN2" s="382"/>
      <c r="KQO2" s="382"/>
      <c r="KQP2" s="382"/>
      <c r="KQQ2" s="382"/>
      <c r="KQR2" s="382"/>
      <c r="KQS2" s="382"/>
      <c r="KQT2" s="382"/>
      <c r="KQU2" s="382"/>
      <c r="KQV2" s="382"/>
      <c r="KQW2" s="382"/>
      <c r="KQX2" s="382"/>
      <c r="KQY2" s="382"/>
      <c r="KQZ2" s="382"/>
      <c r="KRA2" s="382"/>
      <c r="KRB2" s="382"/>
      <c r="KRC2" s="382"/>
      <c r="KRD2" s="382"/>
      <c r="KRE2" s="382"/>
      <c r="KRF2" s="382"/>
      <c r="KRG2" s="382"/>
      <c r="KRH2" s="382"/>
      <c r="KRI2" s="382"/>
      <c r="KRJ2" s="382"/>
      <c r="KRK2" s="382"/>
      <c r="KRL2" s="382"/>
      <c r="KRM2" s="382"/>
      <c r="KRN2" s="382"/>
      <c r="KRO2" s="382"/>
      <c r="KRP2" s="382"/>
      <c r="KRQ2" s="382"/>
      <c r="KRR2" s="382"/>
      <c r="KRS2" s="382"/>
      <c r="KRT2" s="382"/>
      <c r="KRU2" s="382"/>
      <c r="KRV2" s="382"/>
      <c r="KRW2" s="382"/>
      <c r="KRX2" s="382"/>
      <c r="KRY2" s="382"/>
      <c r="KRZ2" s="382"/>
      <c r="KSA2" s="382"/>
      <c r="KSB2" s="382"/>
      <c r="KSC2" s="382"/>
      <c r="KSD2" s="382"/>
      <c r="KSE2" s="382"/>
      <c r="KSF2" s="382"/>
      <c r="KSG2" s="382"/>
      <c r="KSH2" s="382"/>
      <c r="KSI2" s="382"/>
      <c r="KSJ2" s="382"/>
      <c r="KSK2" s="382"/>
      <c r="KSL2" s="382"/>
      <c r="KSM2" s="382"/>
      <c r="KSN2" s="382"/>
      <c r="KSO2" s="382"/>
      <c r="KSP2" s="382"/>
      <c r="KSQ2" s="382"/>
      <c r="KSR2" s="382"/>
      <c r="KSS2" s="382"/>
      <c r="KST2" s="382"/>
      <c r="KSU2" s="382"/>
      <c r="KSV2" s="382"/>
      <c r="KSW2" s="382"/>
      <c r="KSX2" s="382"/>
      <c r="KSY2" s="382"/>
      <c r="KSZ2" s="382"/>
      <c r="KTA2" s="382"/>
      <c r="KTB2" s="382"/>
      <c r="KTC2" s="382"/>
      <c r="KTD2" s="382"/>
      <c r="KTE2" s="382"/>
      <c r="KTF2" s="382"/>
      <c r="KTG2" s="382"/>
      <c r="KTH2" s="382"/>
      <c r="KTI2" s="382"/>
      <c r="KTJ2" s="382"/>
      <c r="KTK2" s="382"/>
      <c r="KTL2" s="382"/>
      <c r="KTM2" s="382"/>
      <c r="KTN2" s="382"/>
      <c r="KTO2" s="382"/>
      <c r="KTP2" s="382"/>
      <c r="KTQ2" s="382"/>
      <c r="KTR2" s="382"/>
      <c r="KTS2" s="382"/>
      <c r="KTT2" s="382"/>
      <c r="KTU2" s="382"/>
      <c r="KTV2" s="382"/>
      <c r="KTW2" s="382"/>
      <c r="KTX2" s="382"/>
      <c r="KTY2" s="382"/>
      <c r="KTZ2" s="382"/>
      <c r="KUA2" s="382"/>
      <c r="KUB2" s="382"/>
      <c r="KUC2" s="382"/>
      <c r="KUD2" s="382"/>
      <c r="KUE2" s="382"/>
      <c r="KUF2" s="382"/>
      <c r="KUG2" s="382"/>
      <c r="KUH2" s="382"/>
      <c r="KUI2" s="382"/>
      <c r="KUJ2" s="382"/>
      <c r="KUK2" s="382"/>
      <c r="KUL2" s="382"/>
      <c r="KUM2" s="382"/>
      <c r="KUN2" s="382"/>
      <c r="KUO2" s="382"/>
      <c r="KUP2" s="382"/>
      <c r="KUQ2" s="382"/>
      <c r="KUR2" s="382"/>
      <c r="KUS2" s="382"/>
      <c r="KUT2" s="382"/>
      <c r="KUU2" s="382"/>
      <c r="KUV2" s="382"/>
      <c r="KUW2" s="382"/>
      <c r="KUX2" s="382"/>
      <c r="KUY2" s="382"/>
      <c r="KUZ2" s="382"/>
      <c r="KVA2" s="382"/>
      <c r="KVB2" s="382"/>
      <c r="KVC2" s="382"/>
      <c r="KVD2" s="382"/>
      <c r="KVE2" s="382"/>
      <c r="KVF2" s="382"/>
      <c r="KVG2" s="382"/>
      <c r="KVH2" s="382"/>
      <c r="KVI2" s="382"/>
      <c r="KVJ2" s="382"/>
      <c r="KVK2" s="382"/>
      <c r="KVL2" s="382"/>
      <c r="KVM2" s="382"/>
      <c r="KVN2" s="382"/>
      <c r="KVO2" s="382"/>
      <c r="KVP2" s="382"/>
      <c r="KVQ2" s="382"/>
      <c r="KVR2" s="382"/>
      <c r="KVS2" s="382"/>
      <c r="KVT2" s="382"/>
      <c r="KVU2" s="382"/>
      <c r="KVV2" s="382"/>
      <c r="KVW2" s="382"/>
      <c r="KVX2" s="382"/>
      <c r="KVY2" s="382"/>
      <c r="KVZ2" s="382"/>
      <c r="KWA2" s="382"/>
      <c r="KWB2" s="382"/>
      <c r="KWC2" s="382"/>
      <c r="KWD2" s="382"/>
      <c r="KWE2" s="382"/>
      <c r="KWF2" s="382"/>
      <c r="KWG2" s="382"/>
      <c r="KWH2" s="382"/>
      <c r="KWI2" s="382"/>
      <c r="KWJ2" s="382"/>
      <c r="KWK2" s="382"/>
      <c r="KWL2" s="382"/>
      <c r="KWM2" s="382"/>
      <c r="KWN2" s="382"/>
      <c r="KWO2" s="382"/>
      <c r="KWP2" s="382"/>
      <c r="KWQ2" s="382"/>
      <c r="KWR2" s="382"/>
      <c r="KWS2" s="382"/>
      <c r="KWT2" s="382"/>
      <c r="KWU2" s="382"/>
      <c r="KWV2" s="382"/>
      <c r="KWW2" s="382"/>
      <c r="KWX2" s="382"/>
      <c r="KWY2" s="382"/>
      <c r="KWZ2" s="382"/>
      <c r="KXA2" s="382"/>
      <c r="KXB2" s="382"/>
      <c r="KXC2" s="382"/>
      <c r="KXD2" s="382"/>
      <c r="KXE2" s="382"/>
      <c r="KXF2" s="382"/>
      <c r="KXG2" s="382"/>
      <c r="KXH2" s="382"/>
      <c r="KXI2" s="382"/>
      <c r="KXJ2" s="382"/>
      <c r="KXK2" s="382"/>
      <c r="KXL2" s="382"/>
      <c r="KXM2" s="382"/>
      <c r="KXN2" s="382"/>
      <c r="KXO2" s="382"/>
      <c r="KXP2" s="382"/>
      <c r="KXQ2" s="382"/>
      <c r="KXR2" s="382"/>
      <c r="KXS2" s="382"/>
      <c r="KXT2" s="382"/>
      <c r="KXU2" s="382"/>
      <c r="KXV2" s="382"/>
      <c r="KXW2" s="382"/>
      <c r="KXX2" s="382"/>
      <c r="KXY2" s="382"/>
      <c r="KXZ2" s="382"/>
      <c r="KYA2" s="382"/>
      <c r="KYB2" s="382"/>
      <c r="KYC2" s="382"/>
      <c r="KYD2" s="382"/>
      <c r="KYE2" s="382"/>
      <c r="KYF2" s="382"/>
      <c r="KYG2" s="382"/>
      <c r="KYH2" s="382"/>
      <c r="KYI2" s="382"/>
      <c r="KYJ2" s="382"/>
      <c r="KYK2" s="382"/>
      <c r="KYL2" s="382"/>
      <c r="KYM2" s="382"/>
      <c r="KYN2" s="382"/>
      <c r="KYO2" s="382"/>
      <c r="KYP2" s="382"/>
      <c r="KYQ2" s="382"/>
      <c r="KYR2" s="382"/>
      <c r="KYS2" s="382"/>
      <c r="KYT2" s="382"/>
      <c r="KYU2" s="382"/>
      <c r="KYV2" s="382"/>
      <c r="KYW2" s="382"/>
      <c r="KYX2" s="382"/>
      <c r="KYY2" s="382"/>
      <c r="KYZ2" s="382"/>
      <c r="KZA2" s="382"/>
      <c r="KZB2" s="382"/>
      <c r="KZC2" s="382"/>
      <c r="KZD2" s="382"/>
      <c r="KZE2" s="382"/>
      <c r="KZF2" s="382"/>
      <c r="KZG2" s="382"/>
      <c r="KZH2" s="382"/>
      <c r="KZI2" s="382"/>
      <c r="KZJ2" s="382"/>
      <c r="KZK2" s="382"/>
      <c r="KZL2" s="382"/>
      <c r="KZM2" s="382"/>
      <c r="KZN2" s="382"/>
      <c r="KZO2" s="382"/>
      <c r="KZP2" s="382"/>
      <c r="KZQ2" s="382"/>
      <c r="KZR2" s="382"/>
      <c r="KZS2" s="382"/>
      <c r="KZT2" s="382"/>
      <c r="KZU2" s="382"/>
      <c r="KZV2" s="382"/>
      <c r="KZW2" s="382"/>
      <c r="KZX2" s="382"/>
      <c r="KZY2" s="382"/>
      <c r="KZZ2" s="382"/>
      <c r="LAA2" s="382"/>
      <c r="LAB2" s="382"/>
      <c r="LAC2" s="382"/>
      <c r="LAD2" s="382"/>
      <c r="LAE2" s="382"/>
      <c r="LAF2" s="382"/>
      <c r="LAG2" s="382"/>
      <c r="LAH2" s="382"/>
      <c r="LAI2" s="382"/>
      <c r="LAJ2" s="382"/>
      <c r="LAK2" s="382"/>
      <c r="LAL2" s="382"/>
      <c r="LAM2" s="382"/>
      <c r="LAN2" s="382"/>
      <c r="LAO2" s="382"/>
      <c r="LAP2" s="382"/>
      <c r="LAQ2" s="382"/>
      <c r="LAR2" s="382"/>
      <c r="LAS2" s="382"/>
      <c r="LAT2" s="382"/>
      <c r="LAU2" s="382"/>
      <c r="LAV2" s="382"/>
      <c r="LAW2" s="382"/>
      <c r="LAX2" s="382"/>
      <c r="LAY2" s="382"/>
      <c r="LAZ2" s="382"/>
      <c r="LBA2" s="382"/>
      <c r="LBB2" s="382"/>
      <c r="LBC2" s="382"/>
      <c r="LBD2" s="382"/>
      <c r="LBE2" s="382"/>
      <c r="LBF2" s="382"/>
      <c r="LBG2" s="382"/>
      <c r="LBH2" s="382"/>
      <c r="LBI2" s="382"/>
      <c r="LBJ2" s="382"/>
      <c r="LBK2" s="382"/>
      <c r="LBL2" s="382"/>
      <c r="LBM2" s="382"/>
      <c r="LBN2" s="382"/>
      <c r="LBO2" s="382"/>
      <c r="LBP2" s="382"/>
      <c r="LBQ2" s="382"/>
      <c r="LBR2" s="382"/>
      <c r="LBS2" s="382"/>
      <c r="LBT2" s="382"/>
      <c r="LBU2" s="382"/>
      <c r="LBV2" s="382"/>
      <c r="LBW2" s="382"/>
      <c r="LBX2" s="382"/>
      <c r="LBY2" s="382"/>
      <c r="LBZ2" s="382"/>
      <c r="LCA2" s="382"/>
      <c r="LCB2" s="382"/>
      <c r="LCC2" s="382"/>
      <c r="LCD2" s="382"/>
      <c r="LCE2" s="382"/>
      <c r="LCF2" s="382"/>
      <c r="LCG2" s="382"/>
      <c r="LCH2" s="382"/>
      <c r="LCI2" s="382"/>
      <c r="LCJ2" s="382"/>
      <c r="LCK2" s="382"/>
      <c r="LCL2" s="382"/>
      <c r="LCM2" s="382"/>
      <c r="LCN2" s="382"/>
      <c r="LCO2" s="382"/>
      <c r="LCP2" s="382"/>
      <c r="LCQ2" s="382"/>
      <c r="LCR2" s="382"/>
      <c r="LCS2" s="382"/>
      <c r="LCT2" s="382"/>
      <c r="LCU2" s="382"/>
      <c r="LCV2" s="382"/>
      <c r="LCW2" s="382"/>
      <c r="LCX2" s="382"/>
      <c r="LCY2" s="382"/>
      <c r="LCZ2" s="382"/>
      <c r="LDA2" s="382"/>
      <c r="LDB2" s="382"/>
      <c r="LDC2" s="382"/>
      <c r="LDD2" s="382"/>
      <c r="LDE2" s="382"/>
      <c r="LDF2" s="382"/>
      <c r="LDG2" s="382"/>
      <c r="LDH2" s="382"/>
      <c r="LDI2" s="382"/>
      <c r="LDJ2" s="382"/>
      <c r="LDK2" s="382"/>
      <c r="LDL2" s="382"/>
      <c r="LDM2" s="382"/>
      <c r="LDN2" s="382"/>
      <c r="LDO2" s="382"/>
      <c r="LDP2" s="382"/>
      <c r="LDQ2" s="382"/>
      <c r="LDR2" s="382"/>
      <c r="LDS2" s="382"/>
      <c r="LDT2" s="382"/>
      <c r="LDU2" s="382"/>
      <c r="LDV2" s="382"/>
      <c r="LDW2" s="382"/>
      <c r="LDX2" s="382"/>
      <c r="LDY2" s="382"/>
      <c r="LDZ2" s="382"/>
      <c r="LEA2" s="382"/>
      <c r="LEB2" s="382"/>
      <c r="LEC2" s="382"/>
      <c r="LED2" s="382"/>
      <c r="LEE2" s="382"/>
      <c r="LEF2" s="382"/>
      <c r="LEG2" s="382"/>
      <c r="LEH2" s="382"/>
      <c r="LEI2" s="382"/>
      <c r="LEJ2" s="382"/>
      <c r="LEK2" s="382"/>
      <c r="LEL2" s="382"/>
      <c r="LEM2" s="382"/>
      <c r="LEN2" s="382"/>
      <c r="LEO2" s="382"/>
      <c r="LEP2" s="382"/>
      <c r="LEQ2" s="382"/>
      <c r="LER2" s="382"/>
      <c r="LES2" s="382"/>
      <c r="LET2" s="382"/>
      <c r="LEU2" s="382"/>
      <c r="LEV2" s="382"/>
      <c r="LEW2" s="382"/>
      <c r="LEX2" s="382"/>
      <c r="LEY2" s="382"/>
      <c r="LEZ2" s="382"/>
      <c r="LFA2" s="382"/>
      <c r="LFB2" s="382"/>
      <c r="LFC2" s="382"/>
      <c r="LFD2" s="382"/>
      <c r="LFE2" s="382"/>
      <c r="LFF2" s="382"/>
      <c r="LFG2" s="382"/>
      <c r="LFH2" s="382"/>
      <c r="LFI2" s="382"/>
      <c r="LFJ2" s="382"/>
      <c r="LFK2" s="382"/>
      <c r="LFL2" s="382"/>
      <c r="LFM2" s="382"/>
      <c r="LFN2" s="382"/>
      <c r="LFO2" s="382"/>
      <c r="LFP2" s="382"/>
      <c r="LFQ2" s="382"/>
      <c r="LFR2" s="382"/>
      <c r="LFS2" s="382"/>
      <c r="LFT2" s="382"/>
      <c r="LFU2" s="382"/>
      <c r="LFV2" s="382"/>
      <c r="LFW2" s="382"/>
      <c r="LFX2" s="382"/>
      <c r="LFY2" s="382"/>
      <c r="LFZ2" s="382"/>
      <c r="LGA2" s="382"/>
      <c r="LGB2" s="382"/>
      <c r="LGC2" s="382"/>
      <c r="LGD2" s="382"/>
      <c r="LGE2" s="382"/>
      <c r="LGF2" s="382"/>
      <c r="LGG2" s="382"/>
      <c r="LGH2" s="382"/>
      <c r="LGI2" s="382"/>
      <c r="LGJ2" s="382"/>
      <c r="LGK2" s="382"/>
      <c r="LGL2" s="382"/>
      <c r="LGM2" s="382"/>
      <c r="LGN2" s="382"/>
      <c r="LGO2" s="382"/>
      <c r="LGP2" s="382"/>
      <c r="LGQ2" s="382"/>
      <c r="LGR2" s="382"/>
      <c r="LGS2" s="382"/>
      <c r="LGT2" s="382"/>
      <c r="LGU2" s="382"/>
      <c r="LGV2" s="382"/>
      <c r="LGW2" s="382"/>
      <c r="LGX2" s="382"/>
      <c r="LGY2" s="382"/>
      <c r="LGZ2" s="382"/>
      <c r="LHA2" s="382"/>
      <c r="LHB2" s="382"/>
      <c r="LHC2" s="382"/>
      <c r="LHD2" s="382"/>
      <c r="LHE2" s="382"/>
      <c r="LHF2" s="382"/>
      <c r="LHG2" s="382"/>
      <c r="LHH2" s="382"/>
      <c r="LHI2" s="382"/>
      <c r="LHJ2" s="382"/>
      <c r="LHK2" s="382"/>
      <c r="LHL2" s="382"/>
      <c r="LHM2" s="382"/>
      <c r="LHN2" s="382"/>
      <c r="LHO2" s="382"/>
      <c r="LHP2" s="382"/>
      <c r="LHQ2" s="382"/>
      <c r="LHR2" s="382"/>
      <c r="LHS2" s="382"/>
      <c r="LHT2" s="382"/>
      <c r="LHU2" s="382"/>
      <c r="LHV2" s="382"/>
      <c r="LHW2" s="382"/>
      <c r="LHX2" s="382"/>
      <c r="LHY2" s="382"/>
      <c r="LHZ2" s="382"/>
      <c r="LIA2" s="382"/>
      <c r="LIB2" s="382"/>
      <c r="LIC2" s="382"/>
      <c r="LID2" s="382"/>
      <c r="LIE2" s="382"/>
      <c r="LIF2" s="382"/>
      <c r="LIG2" s="382"/>
      <c r="LIH2" s="382"/>
      <c r="LII2" s="382"/>
      <c r="LIJ2" s="382"/>
      <c r="LIK2" s="382"/>
      <c r="LIL2" s="382"/>
      <c r="LIM2" s="382"/>
      <c r="LIN2" s="382"/>
      <c r="LIO2" s="382"/>
      <c r="LIP2" s="382"/>
      <c r="LIQ2" s="382"/>
      <c r="LIR2" s="382"/>
      <c r="LIS2" s="382"/>
      <c r="LIT2" s="382"/>
      <c r="LIU2" s="382"/>
      <c r="LIV2" s="382"/>
      <c r="LIW2" s="382"/>
      <c r="LIX2" s="382"/>
      <c r="LIY2" s="382"/>
      <c r="LIZ2" s="382"/>
      <c r="LJA2" s="382"/>
      <c r="LJB2" s="382"/>
      <c r="LJC2" s="382"/>
      <c r="LJD2" s="382"/>
      <c r="LJE2" s="382"/>
      <c r="LJF2" s="382"/>
      <c r="LJG2" s="382"/>
      <c r="LJH2" s="382"/>
      <c r="LJI2" s="382"/>
      <c r="LJJ2" s="382"/>
      <c r="LJK2" s="382"/>
      <c r="LJL2" s="382"/>
      <c r="LJM2" s="382"/>
      <c r="LJN2" s="382"/>
      <c r="LJO2" s="382"/>
      <c r="LJP2" s="382"/>
      <c r="LJQ2" s="382"/>
      <c r="LJR2" s="382"/>
      <c r="LJS2" s="382"/>
      <c r="LJT2" s="382"/>
      <c r="LJU2" s="382"/>
      <c r="LJV2" s="382"/>
      <c r="LJW2" s="382"/>
      <c r="LJX2" s="382"/>
      <c r="LJY2" s="382"/>
      <c r="LJZ2" s="382"/>
      <c r="LKA2" s="382"/>
      <c r="LKB2" s="382"/>
      <c r="LKC2" s="382"/>
      <c r="LKD2" s="382"/>
      <c r="LKE2" s="382"/>
      <c r="LKF2" s="382"/>
      <c r="LKG2" s="382"/>
      <c r="LKH2" s="382"/>
      <c r="LKI2" s="382"/>
      <c r="LKJ2" s="382"/>
      <c r="LKK2" s="382"/>
      <c r="LKL2" s="382"/>
      <c r="LKM2" s="382"/>
      <c r="LKN2" s="382"/>
      <c r="LKO2" s="382"/>
      <c r="LKP2" s="382"/>
      <c r="LKQ2" s="382"/>
      <c r="LKR2" s="382"/>
      <c r="LKS2" s="382"/>
      <c r="LKT2" s="382"/>
      <c r="LKU2" s="382"/>
      <c r="LKV2" s="382"/>
      <c r="LKW2" s="382"/>
      <c r="LKX2" s="382"/>
      <c r="LKY2" s="382"/>
      <c r="LKZ2" s="382"/>
      <c r="LLA2" s="382"/>
      <c r="LLB2" s="382"/>
      <c r="LLC2" s="382"/>
      <c r="LLD2" s="382"/>
      <c r="LLE2" s="382"/>
      <c r="LLF2" s="382"/>
      <c r="LLG2" s="382"/>
      <c r="LLH2" s="382"/>
      <c r="LLI2" s="382"/>
      <c r="LLJ2" s="382"/>
      <c r="LLK2" s="382"/>
      <c r="LLL2" s="382"/>
      <c r="LLM2" s="382"/>
      <c r="LLN2" s="382"/>
      <c r="LLO2" s="382"/>
      <c r="LLP2" s="382"/>
      <c r="LLQ2" s="382"/>
      <c r="LLR2" s="382"/>
      <c r="LLS2" s="382"/>
      <c r="LLT2" s="382"/>
      <c r="LLU2" s="382"/>
      <c r="LLV2" s="382"/>
      <c r="LLW2" s="382"/>
      <c r="LLX2" s="382"/>
      <c r="LLY2" s="382"/>
      <c r="LLZ2" s="382"/>
      <c r="LMA2" s="382"/>
      <c r="LMB2" s="382"/>
      <c r="LMC2" s="382"/>
      <c r="LMD2" s="382"/>
      <c r="LME2" s="382"/>
      <c r="LMF2" s="382"/>
      <c r="LMG2" s="382"/>
      <c r="LMH2" s="382"/>
      <c r="LMI2" s="382"/>
      <c r="LMJ2" s="382"/>
      <c r="LMK2" s="382"/>
      <c r="LML2" s="382"/>
      <c r="LMM2" s="382"/>
      <c r="LMN2" s="382"/>
      <c r="LMO2" s="382"/>
      <c r="LMP2" s="382"/>
      <c r="LMQ2" s="382"/>
      <c r="LMR2" s="382"/>
      <c r="LMS2" s="382"/>
      <c r="LMT2" s="382"/>
      <c r="LMU2" s="382"/>
      <c r="LMV2" s="382"/>
      <c r="LMW2" s="382"/>
      <c r="LMX2" s="382"/>
      <c r="LMY2" s="382"/>
      <c r="LMZ2" s="382"/>
      <c r="LNA2" s="382"/>
      <c r="LNB2" s="382"/>
      <c r="LNC2" s="382"/>
      <c r="LND2" s="382"/>
      <c r="LNE2" s="382"/>
      <c r="LNF2" s="382"/>
      <c r="LNG2" s="382"/>
      <c r="LNH2" s="382"/>
      <c r="LNI2" s="382"/>
      <c r="LNJ2" s="382"/>
      <c r="LNK2" s="382"/>
      <c r="LNL2" s="382"/>
      <c r="LNM2" s="382"/>
      <c r="LNN2" s="382"/>
      <c r="LNO2" s="382"/>
      <c r="LNP2" s="382"/>
      <c r="LNQ2" s="382"/>
      <c r="LNR2" s="382"/>
      <c r="LNS2" s="382"/>
      <c r="LNT2" s="382"/>
      <c r="LNU2" s="382"/>
      <c r="LNV2" s="382"/>
      <c r="LNW2" s="382"/>
      <c r="LNX2" s="382"/>
      <c r="LNY2" s="382"/>
      <c r="LNZ2" s="382"/>
      <c r="LOA2" s="382"/>
      <c r="LOB2" s="382"/>
      <c r="LOC2" s="382"/>
      <c r="LOD2" s="382"/>
      <c r="LOE2" s="382"/>
      <c r="LOF2" s="382"/>
      <c r="LOG2" s="382"/>
      <c r="LOH2" s="382"/>
      <c r="LOI2" s="382"/>
      <c r="LOJ2" s="382"/>
      <c r="LOK2" s="382"/>
      <c r="LOL2" s="382"/>
      <c r="LOM2" s="382"/>
      <c r="LON2" s="382"/>
      <c r="LOO2" s="382"/>
      <c r="LOP2" s="382"/>
      <c r="LOQ2" s="382"/>
      <c r="LOR2" s="382"/>
      <c r="LOS2" s="382"/>
      <c r="LOT2" s="382"/>
      <c r="LOU2" s="382"/>
      <c r="LOV2" s="382"/>
      <c r="LOW2" s="382"/>
      <c r="LOX2" s="382"/>
      <c r="LOY2" s="382"/>
      <c r="LOZ2" s="382"/>
      <c r="LPA2" s="382"/>
      <c r="LPB2" s="382"/>
      <c r="LPC2" s="382"/>
      <c r="LPD2" s="382"/>
      <c r="LPE2" s="382"/>
      <c r="LPF2" s="382"/>
      <c r="LPG2" s="382"/>
      <c r="LPH2" s="382"/>
      <c r="LPI2" s="382"/>
      <c r="LPJ2" s="382"/>
      <c r="LPK2" s="382"/>
      <c r="LPL2" s="382"/>
      <c r="LPM2" s="382"/>
      <c r="LPN2" s="382"/>
      <c r="LPO2" s="382"/>
      <c r="LPP2" s="382"/>
      <c r="LPQ2" s="382"/>
      <c r="LPR2" s="382"/>
      <c r="LPS2" s="382"/>
      <c r="LPT2" s="382"/>
      <c r="LPU2" s="382"/>
      <c r="LPV2" s="382"/>
      <c r="LPW2" s="382"/>
      <c r="LPX2" s="382"/>
      <c r="LPY2" s="382"/>
      <c r="LPZ2" s="382"/>
      <c r="LQA2" s="382"/>
      <c r="LQB2" s="382"/>
      <c r="LQC2" s="382"/>
      <c r="LQD2" s="382"/>
      <c r="LQE2" s="382"/>
      <c r="LQF2" s="382"/>
      <c r="LQG2" s="382"/>
      <c r="LQH2" s="382"/>
      <c r="LQI2" s="382"/>
      <c r="LQJ2" s="382"/>
      <c r="LQK2" s="382"/>
      <c r="LQL2" s="382"/>
      <c r="LQM2" s="382"/>
      <c r="LQN2" s="382"/>
      <c r="LQO2" s="382"/>
      <c r="LQP2" s="382"/>
      <c r="LQQ2" s="382"/>
      <c r="LQR2" s="382"/>
      <c r="LQS2" s="382"/>
      <c r="LQT2" s="382"/>
      <c r="LQU2" s="382"/>
      <c r="LQV2" s="382"/>
      <c r="LQW2" s="382"/>
      <c r="LQX2" s="382"/>
      <c r="LQY2" s="382"/>
      <c r="LQZ2" s="382"/>
      <c r="LRA2" s="382"/>
      <c r="LRB2" s="382"/>
      <c r="LRC2" s="382"/>
      <c r="LRD2" s="382"/>
      <c r="LRE2" s="382"/>
      <c r="LRF2" s="382"/>
      <c r="LRG2" s="382"/>
      <c r="LRH2" s="382"/>
      <c r="LRI2" s="382"/>
      <c r="LRJ2" s="382"/>
      <c r="LRK2" s="382"/>
      <c r="LRL2" s="382"/>
      <c r="LRM2" s="382"/>
      <c r="LRN2" s="382"/>
      <c r="LRO2" s="382"/>
      <c r="LRP2" s="382"/>
      <c r="LRQ2" s="382"/>
      <c r="LRR2" s="382"/>
      <c r="LRS2" s="382"/>
      <c r="LRT2" s="382"/>
      <c r="LRU2" s="382"/>
      <c r="LRV2" s="382"/>
      <c r="LRW2" s="382"/>
      <c r="LRX2" s="382"/>
      <c r="LRY2" s="382"/>
      <c r="LRZ2" s="382"/>
      <c r="LSA2" s="382"/>
      <c r="LSB2" s="382"/>
      <c r="LSC2" s="382"/>
      <c r="LSD2" s="382"/>
      <c r="LSE2" s="382"/>
      <c r="LSF2" s="382"/>
      <c r="LSG2" s="382"/>
      <c r="LSH2" s="382"/>
      <c r="LSI2" s="382"/>
      <c r="LSJ2" s="382"/>
      <c r="LSK2" s="382"/>
      <c r="LSL2" s="382"/>
      <c r="LSM2" s="382"/>
      <c r="LSN2" s="382"/>
      <c r="LSO2" s="382"/>
      <c r="LSP2" s="382"/>
      <c r="LSQ2" s="382"/>
      <c r="LSR2" s="382"/>
      <c r="LSS2" s="382"/>
      <c r="LST2" s="382"/>
      <c r="LSU2" s="382"/>
      <c r="LSV2" s="382"/>
      <c r="LSW2" s="382"/>
      <c r="LSX2" s="382"/>
      <c r="LSY2" s="382"/>
      <c r="LSZ2" s="382"/>
      <c r="LTA2" s="382"/>
      <c r="LTB2" s="382"/>
      <c r="LTC2" s="382"/>
      <c r="LTD2" s="382"/>
      <c r="LTE2" s="382"/>
      <c r="LTF2" s="382"/>
      <c r="LTG2" s="382"/>
      <c r="LTH2" s="382"/>
      <c r="LTI2" s="382"/>
      <c r="LTJ2" s="382"/>
      <c r="LTK2" s="382"/>
      <c r="LTL2" s="382"/>
      <c r="LTM2" s="382"/>
      <c r="LTN2" s="382"/>
      <c r="LTO2" s="382"/>
      <c r="LTP2" s="382"/>
      <c r="LTQ2" s="382"/>
      <c r="LTR2" s="382"/>
      <c r="LTS2" s="382"/>
      <c r="LTT2" s="382"/>
      <c r="LTU2" s="382"/>
      <c r="LTV2" s="382"/>
      <c r="LTW2" s="382"/>
      <c r="LTX2" s="382"/>
      <c r="LTY2" s="382"/>
      <c r="LTZ2" s="382"/>
      <c r="LUA2" s="382"/>
      <c r="LUB2" s="382"/>
      <c r="LUC2" s="382"/>
      <c r="LUD2" s="382"/>
      <c r="LUE2" s="382"/>
      <c r="LUF2" s="382"/>
      <c r="LUG2" s="382"/>
      <c r="LUH2" s="382"/>
      <c r="LUI2" s="382"/>
      <c r="LUJ2" s="382"/>
      <c r="LUK2" s="382"/>
      <c r="LUL2" s="382"/>
      <c r="LUM2" s="382"/>
      <c r="LUN2" s="382"/>
      <c r="LUO2" s="382"/>
      <c r="LUP2" s="382"/>
      <c r="LUQ2" s="382"/>
      <c r="LUR2" s="382"/>
      <c r="LUS2" s="382"/>
      <c r="LUT2" s="382"/>
      <c r="LUU2" s="382"/>
      <c r="LUV2" s="382"/>
      <c r="LUW2" s="382"/>
      <c r="LUX2" s="382"/>
      <c r="LUY2" s="382"/>
      <c r="LUZ2" s="382"/>
      <c r="LVA2" s="382"/>
      <c r="LVB2" s="382"/>
      <c r="LVC2" s="382"/>
      <c r="LVD2" s="382"/>
      <c r="LVE2" s="382"/>
      <c r="LVF2" s="382"/>
      <c r="LVG2" s="382"/>
      <c r="LVH2" s="382"/>
      <c r="LVI2" s="382"/>
      <c r="LVJ2" s="382"/>
      <c r="LVK2" s="382"/>
      <c r="LVL2" s="382"/>
      <c r="LVM2" s="382"/>
      <c r="LVN2" s="382"/>
      <c r="LVO2" s="382"/>
      <c r="LVP2" s="382"/>
      <c r="LVQ2" s="382"/>
      <c r="LVR2" s="382"/>
      <c r="LVS2" s="382"/>
      <c r="LVT2" s="382"/>
      <c r="LVU2" s="382"/>
      <c r="LVV2" s="382"/>
      <c r="LVW2" s="382"/>
      <c r="LVX2" s="382"/>
      <c r="LVY2" s="382"/>
      <c r="LVZ2" s="382"/>
      <c r="LWA2" s="382"/>
      <c r="LWB2" s="382"/>
      <c r="LWC2" s="382"/>
      <c r="LWD2" s="382"/>
      <c r="LWE2" s="382"/>
      <c r="LWF2" s="382"/>
      <c r="LWG2" s="382"/>
      <c r="LWH2" s="382"/>
      <c r="LWI2" s="382"/>
      <c r="LWJ2" s="382"/>
      <c r="LWK2" s="382"/>
      <c r="LWL2" s="382"/>
      <c r="LWM2" s="382"/>
      <c r="LWN2" s="382"/>
      <c r="LWO2" s="382"/>
      <c r="LWP2" s="382"/>
      <c r="LWQ2" s="382"/>
      <c r="LWR2" s="382"/>
      <c r="LWS2" s="382"/>
      <c r="LWT2" s="382"/>
      <c r="LWU2" s="382"/>
      <c r="LWV2" s="382"/>
      <c r="LWW2" s="382"/>
      <c r="LWX2" s="382"/>
      <c r="LWY2" s="382"/>
      <c r="LWZ2" s="382"/>
      <c r="LXA2" s="382"/>
      <c r="LXB2" s="382"/>
      <c r="LXC2" s="382"/>
      <c r="LXD2" s="382"/>
      <c r="LXE2" s="382"/>
      <c r="LXF2" s="382"/>
      <c r="LXG2" s="382"/>
      <c r="LXH2" s="382"/>
      <c r="LXI2" s="382"/>
      <c r="LXJ2" s="382"/>
      <c r="LXK2" s="382"/>
      <c r="LXL2" s="382"/>
      <c r="LXM2" s="382"/>
      <c r="LXN2" s="382"/>
      <c r="LXO2" s="382"/>
      <c r="LXP2" s="382"/>
      <c r="LXQ2" s="382"/>
      <c r="LXR2" s="382"/>
      <c r="LXS2" s="382"/>
      <c r="LXT2" s="382"/>
      <c r="LXU2" s="382"/>
      <c r="LXV2" s="382"/>
      <c r="LXW2" s="382"/>
      <c r="LXX2" s="382"/>
      <c r="LXY2" s="382"/>
      <c r="LXZ2" s="382"/>
      <c r="LYA2" s="382"/>
      <c r="LYB2" s="382"/>
      <c r="LYC2" s="382"/>
      <c r="LYD2" s="382"/>
      <c r="LYE2" s="382"/>
      <c r="LYF2" s="382"/>
      <c r="LYG2" s="382"/>
      <c r="LYH2" s="382"/>
      <c r="LYI2" s="382"/>
      <c r="LYJ2" s="382"/>
      <c r="LYK2" s="382"/>
      <c r="LYL2" s="382"/>
      <c r="LYM2" s="382"/>
      <c r="LYN2" s="382"/>
      <c r="LYO2" s="382"/>
      <c r="LYP2" s="382"/>
      <c r="LYQ2" s="382"/>
      <c r="LYR2" s="382"/>
      <c r="LYS2" s="382"/>
      <c r="LYT2" s="382"/>
      <c r="LYU2" s="382"/>
      <c r="LYV2" s="382"/>
      <c r="LYW2" s="382"/>
      <c r="LYX2" s="382"/>
      <c r="LYY2" s="382"/>
      <c r="LYZ2" s="382"/>
      <c r="LZA2" s="382"/>
      <c r="LZB2" s="382"/>
      <c r="LZC2" s="382"/>
      <c r="LZD2" s="382"/>
      <c r="LZE2" s="382"/>
      <c r="LZF2" s="382"/>
      <c r="LZG2" s="382"/>
      <c r="LZH2" s="382"/>
      <c r="LZI2" s="382"/>
      <c r="LZJ2" s="382"/>
      <c r="LZK2" s="382"/>
      <c r="LZL2" s="382"/>
      <c r="LZM2" s="382"/>
      <c r="LZN2" s="382"/>
      <c r="LZO2" s="382"/>
      <c r="LZP2" s="382"/>
      <c r="LZQ2" s="382"/>
      <c r="LZR2" s="382"/>
      <c r="LZS2" s="382"/>
      <c r="LZT2" s="382"/>
      <c r="LZU2" s="382"/>
      <c r="LZV2" s="382"/>
      <c r="LZW2" s="382"/>
      <c r="LZX2" s="382"/>
      <c r="LZY2" s="382"/>
      <c r="LZZ2" s="382"/>
      <c r="MAA2" s="382"/>
      <c r="MAB2" s="382"/>
      <c r="MAC2" s="382"/>
      <c r="MAD2" s="382"/>
      <c r="MAE2" s="382"/>
      <c r="MAF2" s="382"/>
      <c r="MAG2" s="382"/>
      <c r="MAH2" s="382"/>
      <c r="MAI2" s="382"/>
      <c r="MAJ2" s="382"/>
      <c r="MAK2" s="382"/>
      <c r="MAL2" s="382"/>
      <c r="MAM2" s="382"/>
      <c r="MAN2" s="382"/>
      <c r="MAO2" s="382"/>
      <c r="MAP2" s="382"/>
      <c r="MAQ2" s="382"/>
      <c r="MAR2" s="382"/>
      <c r="MAS2" s="382"/>
      <c r="MAT2" s="382"/>
      <c r="MAU2" s="382"/>
      <c r="MAV2" s="382"/>
      <c r="MAW2" s="382"/>
      <c r="MAX2" s="382"/>
      <c r="MAY2" s="382"/>
      <c r="MAZ2" s="382"/>
      <c r="MBA2" s="382"/>
      <c r="MBB2" s="382"/>
      <c r="MBC2" s="382"/>
      <c r="MBD2" s="382"/>
      <c r="MBE2" s="382"/>
      <c r="MBF2" s="382"/>
      <c r="MBG2" s="382"/>
      <c r="MBH2" s="382"/>
      <c r="MBI2" s="382"/>
      <c r="MBJ2" s="382"/>
      <c r="MBK2" s="382"/>
      <c r="MBL2" s="382"/>
      <c r="MBM2" s="382"/>
      <c r="MBN2" s="382"/>
      <c r="MBO2" s="382"/>
      <c r="MBP2" s="382"/>
      <c r="MBQ2" s="382"/>
      <c r="MBR2" s="382"/>
      <c r="MBS2" s="382"/>
      <c r="MBT2" s="382"/>
      <c r="MBU2" s="382"/>
      <c r="MBV2" s="382"/>
      <c r="MBW2" s="382"/>
      <c r="MBX2" s="382"/>
      <c r="MBY2" s="382"/>
      <c r="MBZ2" s="382"/>
      <c r="MCA2" s="382"/>
      <c r="MCB2" s="382"/>
      <c r="MCC2" s="382"/>
      <c r="MCD2" s="382"/>
      <c r="MCE2" s="382"/>
      <c r="MCF2" s="382"/>
      <c r="MCG2" s="382"/>
      <c r="MCH2" s="382"/>
      <c r="MCI2" s="382"/>
      <c r="MCJ2" s="382"/>
      <c r="MCK2" s="382"/>
      <c r="MCL2" s="382"/>
      <c r="MCM2" s="382"/>
      <c r="MCN2" s="382"/>
      <c r="MCO2" s="382"/>
      <c r="MCP2" s="382"/>
      <c r="MCQ2" s="382"/>
      <c r="MCR2" s="382"/>
      <c r="MCS2" s="382"/>
      <c r="MCT2" s="382"/>
      <c r="MCU2" s="382"/>
      <c r="MCV2" s="382"/>
      <c r="MCW2" s="382"/>
      <c r="MCX2" s="382"/>
      <c r="MCY2" s="382"/>
      <c r="MCZ2" s="382"/>
      <c r="MDA2" s="382"/>
      <c r="MDB2" s="382"/>
      <c r="MDC2" s="382"/>
      <c r="MDD2" s="382"/>
      <c r="MDE2" s="382"/>
      <c r="MDF2" s="382"/>
      <c r="MDG2" s="382"/>
      <c r="MDH2" s="382"/>
      <c r="MDI2" s="382"/>
      <c r="MDJ2" s="382"/>
      <c r="MDK2" s="382"/>
      <c r="MDL2" s="382"/>
      <c r="MDM2" s="382"/>
      <c r="MDN2" s="382"/>
      <c r="MDO2" s="382"/>
      <c r="MDP2" s="382"/>
      <c r="MDQ2" s="382"/>
      <c r="MDR2" s="382"/>
      <c r="MDS2" s="382"/>
      <c r="MDT2" s="382"/>
      <c r="MDU2" s="382"/>
      <c r="MDV2" s="382"/>
      <c r="MDW2" s="382"/>
      <c r="MDX2" s="382"/>
      <c r="MDY2" s="382"/>
      <c r="MDZ2" s="382"/>
      <c r="MEA2" s="382"/>
      <c r="MEB2" s="382"/>
      <c r="MEC2" s="382"/>
      <c r="MED2" s="382"/>
      <c r="MEE2" s="382"/>
      <c r="MEF2" s="382"/>
      <c r="MEG2" s="382"/>
      <c r="MEH2" s="382"/>
      <c r="MEI2" s="382"/>
      <c r="MEJ2" s="382"/>
      <c r="MEK2" s="382"/>
      <c r="MEL2" s="382"/>
      <c r="MEM2" s="382"/>
      <c r="MEN2" s="382"/>
      <c r="MEO2" s="382"/>
      <c r="MEP2" s="382"/>
      <c r="MEQ2" s="382"/>
      <c r="MER2" s="382"/>
      <c r="MES2" s="382"/>
      <c r="MET2" s="382"/>
      <c r="MEU2" s="382"/>
      <c r="MEV2" s="382"/>
      <c r="MEW2" s="382"/>
      <c r="MEX2" s="382"/>
      <c r="MEY2" s="382"/>
      <c r="MEZ2" s="382"/>
      <c r="MFA2" s="382"/>
      <c r="MFB2" s="382"/>
      <c r="MFC2" s="382"/>
      <c r="MFD2" s="382"/>
      <c r="MFE2" s="382"/>
      <c r="MFF2" s="382"/>
      <c r="MFG2" s="382"/>
      <c r="MFH2" s="382"/>
      <c r="MFI2" s="382"/>
      <c r="MFJ2" s="382"/>
      <c r="MFK2" s="382"/>
      <c r="MFL2" s="382"/>
      <c r="MFM2" s="382"/>
      <c r="MFN2" s="382"/>
      <c r="MFO2" s="382"/>
      <c r="MFP2" s="382"/>
      <c r="MFQ2" s="382"/>
      <c r="MFR2" s="382"/>
      <c r="MFS2" s="382"/>
      <c r="MFT2" s="382"/>
      <c r="MFU2" s="382"/>
      <c r="MFV2" s="382"/>
      <c r="MFW2" s="382"/>
      <c r="MFX2" s="382"/>
      <c r="MFY2" s="382"/>
      <c r="MFZ2" s="382"/>
      <c r="MGA2" s="382"/>
      <c r="MGB2" s="382"/>
      <c r="MGC2" s="382"/>
      <c r="MGD2" s="382"/>
      <c r="MGE2" s="382"/>
      <c r="MGF2" s="382"/>
      <c r="MGG2" s="382"/>
      <c r="MGH2" s="382"/>
      <c r="MGI2" s="382"/>
      <c r="MGJ2" s="382"/>
      <c r="MGK2" s="382"/>
      <c r="MGL2" s="382"/>
      <c r="MGM2" s="382"/>
      <c r="MGN2" s="382"/>
      <c r="MGO2" s="382"/>
      <c r="MGP2" s="382"/>
      <c r="MGQ2" s="382"/>
      <c r="MGR2" s="382"/>
      <c r="MGS2" s="382"/>
      <c r="MGT2" s="382"/>
      <c r="MGU2" s="382"/>
      <c r="MGV2" s="382"/>
      <c r="MGW2" s="382"/>
      <c r="MGX2" s="382"/>
      <c r="MGY2" s="382"/>
      <c r="MGZ2" s="382"/>
      <c r="MHA2" s="382"/>
      <c r="MHB2" s="382"/>
      <c r="MHC2" s="382"/>
      <c r="MHD2" s="382"/>
      <c r="MHE2" s="382"/>
      <c r="MHF2" s="382"/>
      <c r="MHG2" s="382"/>
      <c r="MHH2" s="382"/>
      <c r="MHI2" s="382"/>
      <c r="MHJ2" s="382"/>
      <c r="MHK2" s="382"/>
      <c r="MHL2" s="382"/>
      <c r="MHM2" s="382"/>
      <c r="MHN2" s="382"/>
      <c r="MHO2" s="382"/>
      <c r="MHP2" s="382"/>
      <c r="MHQ2" s="382"/>
      <c r="MHR2" s="382"/>
      <c r="MHS2" s="382"/>
      <c r="MHT2" s="382"/>
      <c r="MHU2" s="382"/>
      <c r="MHV2" s="382"/>
      <c r="MHW2" s="382"/>
      <c r="MHX2" s="382"/>
      <c r="MHY2" s="382"/>
      <c r="MHZ2" s="382"/>
      <c r="MIA2" s="382"/>
      <c r="MIB2" s="382"/>
      <c r="MIC2" s="382"/>
      <c r="MID2" s="382"/>
      <c r="MIE2" s="382"/>
      <c r="MIF2" s="382"/>
      <c r="MIG2" s="382"/>
      <c r="MIH2" s="382"/>
      <c r="MII2" s="382"/>
      <c r="MIJ2" s="382"/>
      <c r="MIK2" s="382"/>
      <c r="MIL2" s="382"/>
      <c r="MIM2" s="382"/>
      <c r="MIN2" s="382"/>
      <c r="MIO2" s="382"/>
      <c r="MIP2" s="382"/>
      <c r="MIQ2" s="382"/>
      <c r="MIR2" s="382"/>
      <c r="MIS2" s="382"/>
      <c r="MIT2" s="382"/>
      <c r="MIU2" s="382"/>
      <c r="MIV2" s="382"/>
      <c r="MIW2" s="382"/>
      <c r="MIX2" s="382"/>
      <c r="MIY2" s="382"/>
      <c r="MIZ2" s="382"/>
      <c r="MJA2" s="382"/>
      <c r="MJB2" s="382"/>
      <c r="MJC2" s="382"/>
      <c r="MJD2" s="382"/>
      <c r="MJE2" s="382"/>
      <c r="MJF2" s="382"/>
      <c r="MJG2" s="382"/>
      <c r="MJH2" s="382"/>
      <c r="MJI2" s="382"/>
      <c r="MJJ2" s="382"/>
      <c r="MJK2" s="382"/>
      <c r="MJL2" s="382"/>
      <c r="MJM2" s="382"/>
      <c r="MJN2" s="382"/>
      <c r="MJO2" s="382"/>
      <c r="MJP2" s="382"/>
      <c r="MJQ2" s="382"/>
      <c r="MJR2" s="382"/>
      <c r="MJS2" s="382"/>
      <c r="MJT2" s="382"/>
      <c r="MJU2" s="382"/>
      <c r="MJV2" s="382"/>
      <c r="MJW2" s="382"/>
      <c r="MJX2" s="382"/>
      <c r="MJY2" s="382"/>
      <c r="MJZ2" s="382"/>
      <c r="MKA2" s="382"/>
      <c r="MKB2" s="382"/>
      <c r="MKC2" s="382"/>
      <c r="MKD2" s="382"/>
      <c r="MKE2" s="382"/>
      <c r="MKF2" s="382"/>
      <c r="MKG2" s="382"/>
      <c r="MKH2" s="382"/>
      <c r="MKI2" s="382"/>
      <c r="MKJ2" s="382"/>
      <c r="MKK2" s="382"/>
      <c r="MKL2" s="382"/>
      <c r="MKM2" s="382"/>
      <c r="MKN2" s="382"/>
      <c r="MKO2" s="382"/>
      <c r="MKP2" s="382"/>
      <c r="MKQ2" s="382"/>
      <c r="MKR2" s="382"/>
      <c r="MKS2" s="382"/>
      <c r="MKT2" s="382"/>
      <c r="MKU2" s="382"/>
      <c r="MKV2" s="382"/>
      <c r="MKW2" s="382"/>
      <c r="MKX2" s="382"/>
      <c r="MKY2" s="382"/>
      <c r="MKZ2" s="382"/>
      <c r="MLA2" s="382"/>
      <c r="MLB2" s="382"/>
      <c r="MLC2" s="382"/>
      <c r="MLD2" s="382"/>
      <c r="MLE2" s="382"/>
      <c r="MLF2" s="382"/>
      <c r="MLG2" s="382"/>
      <c r="MLH2" s="382"/>
      <c r="MLI2" s="382"/>
      <c r="MLJ2" s="382"/>
      <c r="MLK2" s="382"/>
      <c r="MLL2" s="382"/>
      <c r="MLM2" s="382"/>
      <c r="MLN2" s="382"/>
      <c r="MLO2" s="382"/>
      <c r="MLP2" s="382"/>
      <c r="MLQ2" s="382"/>
      <c r="MLR2" s="382"/>
      <c r="MLS2" s="382"/>
      <c r="MLT2" s="382"/>
      <c r="MLU2" s="382"/>
      <c r="MLV2" s="382"/>
      <c r="MLW2" s="382"/>
      <c r="MLX2" s="382"/>
      <c r="MLY2" s="382"/>
      <c r="MLZ2" s="382"/>
      <c r="MMA2" s="382"/>
      <c r="MMB2" s="382"/>
      <c r="MMC2" s="382"/>
      <c r="MMD2" s="382"/>
      <c r="MME2" s="382"/>
      <c r="MMF2" s="382"/>
      <c r="MMG2" s="382"/>
      <c r="MMH2" s="382"/>
      <c r="MMI2" s="382"/>
      <c r="MMJ2" s="382"/>
      <c r="MMK2" s="382"/>
      <c r="MML2" s="382"/>
      <c r="MMM2" s="382"/>
      <c r="MMN2" s="382"/>
      <c r="MMO2" s="382"/>
      <c r="MMP2" s="382"/>
      <c r="MMQ2" s="382"/>
      <c r="MMR2" s="382"/>
      <c r="MMS2" s="382"/>
      <c r="MMT2" s="382"/>
      <c r="MMU2" s="382"/>
      <c r="MMV2" s="382"/>
      <c r="MMW2" s="382"/>
      <c r="MMX2" s="382"/>
      <c r="MMY2" s="382"/>
      <c r="MMZ2" s="382"/>
      <c r="MNA2" s="382"/>
      <c r="MNB2" s="382"/>
      <c r="MNC2" s="382"/>
      <c r="MND2" s="382"/>
      <c r="MNE2" s="382"/>
      <c r="MNF2" s="382"/>
      <c r="MNG2" s="382"/>
      <c r="MNH2" s="382"/>
      <c r="MNI2" s="382"/>
      <c r="MNJ2" s="382"/>
      <c r="MNK2" s="382"/>
      <c r="MNL2" s="382"/>
      <c r="MNM2" s="382"/>
      <c r="MNN2" s="382"/>
      <c r="MNO2" s="382"/>
      <c r="MNP2" s="382"/>
      <c r="MNQ2" s="382"/>
      <c r="MNR2" s="382"/>
      <c r="MNS2" s="382"/>
      <c r="MNT2" s="382"/>
      <c r="MNU2" s="382"/>
      <c r="MNV2" s="382"/>
      <c r="MNW2" s="382"/>
      <c r="MNX2" s="382"/>
      <c r="MNY2" s="382"/>
      <c r="MNZ2" s="382"/>
      <c r="MOA2" s="382"/>
      <c r="MOB2" s="382"/>
      <c r="MOC2" s="382"/>
      <c r="MOD2" s="382"/>
      <c r="MOE2" s="382"/>
      <c r="MOF2" s="382"/>
      <c r="MOG2" s="382"/>
      <c r="MOH2" s="382"/>
      <c r="MOI2" s="382"/>
      <c r="MOJ2" s="382"/>
      <c r="MOK2" s="382"/>
      <c r="MOL2" s="382"/>
      <c r="MOM2" s="382"/>
      <c r="MON2" s="382"/>
      <c r="MOO2" s="382"/>
      <c r="MOP2" s="382"/>
      <c r="MOQ2" s="382"/>
      <c r="MOR2" s="382"/>
      <c r="MOS2" s="382"/>
      <c r="MOT2" s="382"/>
      <c r="MOU2" s="382"/>
      <c r="MOV2" s="382"/>
      <c r="MOW2" s="382"/>
      <c r="MOX2" s="382"/>
      <c r="MOY2" s="382"/>
      <c r="MOZ2" s="382"/>
      <c r="MPA2" s="382"/>
      <c r="MPB2" s="382"/>
      <c r="MPC2" s="382"/>
      <c r="MPD2" s="382"/>
      <c r="MPE2" s="382"/>
      <c r="MPF2" s="382"/>
      <c r="MPG2" s="382"/>
      <c r="MPH2" s="382"/>
      <c r="MPI2" s="382"/>
      <c r="MPJ2" s="382"/>
      <c r="MPK2" s="382"/>
      <c r="MPL2" s="382"/>
      <c r="MPM2" s="382"/>
      <c r="MPN2" s="382"/>
      <c r="MPO2" s="382"/>
      <c r="MPP2" s="382"/>
      <c r="MPQ2" s="382"/>
      <c r="MPR2" s="382"/>
      <c r="MPS2" s="382"/>
      <c r="MPT2" s="382"/>
      <c r="MPU2" s="382"/>
      <c r="MPV2" s="382"/>
      <c r="MPW2" s="382"/>
      <c r="MPX2" s="382"/>
      <c r="MPY2" s="382"/>
      <c r="MPZ2" s="382"/>
      <c r="MQA2" s="382"/>
      <c r="MQB2" s="382"/>
      <c r="MQC2" s="382"/>
      <c r="MQD2" s="382"/>
      <c r="MQE2" s="382"/>
      <c r="MQF2" s="382"/>
      <c r="MQG2" s="382"/>
      <c r="MQH2" s="382"/>
      <c r="MQI2" s="382"/>
      <c r="MQJ2" s="382"/>
      <c r="MQK2" s="382"/>
      <c r="MQL2" s="382"/>
      <c r="MQM2" s="382"/>
      <c r="MQN2" s="382"/>
      <c r="MQO2" s="382"/>
      <c r="MQP2" s="382"/>
      <c r="MQQ2" s="382"/>
      <c r="MQR2" s="382"/>
      <c r="MQS2" s="382"/>
      <c r="MQT2" s="382"/>
      <c r="MQU2" s="382"/>
      <c r="MQV2" s="382"/>
      <c r="MQW2" s="382"/>
      <c r="MQX2" s="382"/>
      <c r="MQY2" s="382"/>
      <c r="MQZ2" s="382"/>
      <c r="MRA2" s="382"/>
      <c r="MRB2" s="382"/>
      <c r="MRC2" s="382"/>
      <c r="MRD2" s="382"/>
      <c r="MRE2" s="382"/>
      <c r="MRF2" s="382"/>
      <c r="MRG2" s="382"/>
      <c r="MRH2" s="382"/>
      <c r="MRI2" s="382"/>
      <c r="MRJ2" s="382"/>
      <c r="MRK2" s="382"/>
      <c r="MRL2" s="382"/>
      <c r="MRM2" s="382"/>
      <c r="MRN2" s="382"/>
      <c r="MRO2" s="382"/>
      <c r="MRP2" s="382"/>
      <c r="MRQ2" s="382"/>
      <c r="MRR2" s="382"/>
      <c r="MRS2" s="382"/>
      <c r="MRT2" s="382"/>
      <c r="MRU2" s="382"/>
      <c r="MRV2" s="382"/>
      <c r="MRW2" s="382"/>
      <c r="MRX2" s="382"/>
      <c r="MRY2" s="382"/>
      <c r="MRZ2" s="382"/>
      <c r="MSA2" s="382"/>
      <c r="MSB2" s="382"/>
      <c r="MSC2" s="382"/>
      <c r="MSD2" s="382"/>
      <c r="MSE2" s="382"/>
      <c r="MSF2" s="382"/>
      <c r="MSG2" s="382"/>
      <c r="MSH2" s="382"/>
      <c r="MSI2" s="382"/>
      <c r="MSJ2" s="382"/>
      <c r="MSK2" s="382"/>
      <c r="MSL2" s="382"/>
      <c r="MSM2" s="382"/>
      <c r="MSN2" s="382"/>
      <c r="MSO2" s="382"/>
      <c r="MSP2" s="382"/>
      <c r="MSQ2" s="382"/>
      <c r="MSR2" s="382"/>
      <c r="MSS2" s="382"/>
      <c r="MST2" s="382"/>
      <c r="MSU2" s="382"/>
      <c r="MSV2" s="382"/>
      <c r="MSW2" s="382"/>
      <c r="MSX2" s="382"/>
      <c r="MSY2" s="382"/>
      <c r="MSZ2" s="382"/>
      <c r="MTA2" s="382"/>
      <c r="MTB2" s="382"/>
      <c r="MTC2" s="382"/>
      <c r="MTD2" s="382"/>
      <c r="MTE2" s="382"/>
      <c r="MTF2" s="382"/>
      <c r="MTG2" s="382"/>
      <c r="MTH2" s="382"/>
      <c r="MTI2" s="382"/>
      <c r="MTJ2" s="382"/>
      <c r="MTK2" s="382"/>
      <c r="MTL2" s="382"/>
      <c r="MTM2" s="382"/>
      <c r="MTN2" s="382"/>
      <c r="MTO2" s="382"/>
      <c r="MTP2" s="382"/>
      <c r="MTQ2" s="382"/>
      <c r="MTR2" s="382"/>
      <c r="MTS2" s="382"/>
      <c r="MTT2" s="382"/>
      <c r="MTU2" s="382"/>
      <c r="MTV2" s="382"/>
      <c r="MTW2" s="382"/>
      <c r="MTX2" s="382"/>
      <c r="MTY2" s="382"/>
      <c r="MTZ2" s="382"/>
      <c r="MUA2" s="382"/>
      <c r="MUB2" s="382"/>
      <c r="MUC2" s="382"/>
      <c r="MUD2" s="382"/>
      <c r="MUE2" s="382"/>
      <c r="MUF2" s="382"/>
      <c r="MUG2" s="382"/>
      <c r="MUH2" s="382"/>
      <c r="MUI2" s="382"/>
      <c r="MUJ2" s="382"/>
      <c r="MUK2" s="382"/>
      <c r="MUL2" s="382"/>
      <c r="MUM2" s="382"/>
      <c r="MUN2" s="382"/>
      <c r="MUO2" s="382"/>
      <c r="MUP2" s="382"/>
      <c r="MUQ2" s="382"/>
      <c r="MUR2" s="382"/>
      <c r="MUS2" s="382"/>
      <c r="MUT2" s="382"/>
      <c r="MUU2" s="382"/>
      <c r="MUV2" s="382"/>
      <c r="MUW2" s="382"/>
      <c r="MUX2" s="382"/>
      <c r="MUY2" s="382"/>
      <c r="MUZ2" s="382"/>
      <c r="MVA2" s="382"/>
      <c r="MVB2" s="382"/>
      <c r="MVC2" s="382"/>
      <c r="MVD2" s="382"/>
      <c r="MVE2" s="382"/>
      <c r="MVF2" s="382"/>
      <c r="MVG2" s="382"/>
      <c r="MVH2" s="382"/>
      <c r="MVI2" s="382"/>
      <c r="MVJ2" s="382"/>
      <c r="MVK2" s="382"/>
      <c r="MVL2" s="382"/>
      <c r="MVM2" s="382"/>
      <c r="MVN2" s="382"/>
      <c r="MVO2" s="382"/>
      <c r="MVP2" s="382"/>
      <c r="MVQ2" s="382"/>
      <c r="MVR2" s="382"/>
      <c r="MVS2" s="382"/>
      <c r="MVT2" s="382"/>
      <c r="MVU2" s="382"/>
      <c r="MVV2" s="382"/>
      <c r="MVW2" s="382"/>
      <c r="MVX2" s="382"/>
      <c r="MVY2" s="382"/>
      <c r="MVZ2" s="382"/>
      <c r="MWA2" s="382"/>
      <c r="MWB2" s="382"/>
      <c r="MWC2" s="382"/>
      <c r="MWD2" s="382"/>
      <c r="MWE2" s="382"/>
      <c r="MWF2" s="382"/>
      <c r="MWG2" s="382"/>
      <c r="MWH2" s="382"/>
      <c r="MWI2" s="382"/>
      <c r="MWJ2" s="382"/>
      <c r="MWK2" s="382"/>
      <c r="MWL2" s="382"/>
      <c r="MWM2" s="382"/>
      <c r="MWN2" s="382"/>
      <c r="MWO2" s="382"/>
      <c r="MWP2" s="382"/>
      <c r="MWQ2" s="382"/>
      <c r="MWR2" s="382"/>
      <c r="MWS2" s="382"/>
      <c r="MWT2" s="382"/>
      <c r="MWU2" s="382"/>
      <c r="MWV2" s="382"/>
      <c r="MWW2" s="382"/>
      <c r="MWX2" s="382"/>
      <c r="MWY2" s="382"/>
      <c r="MWZ2" s="382"/>
      <c r="MXA2" s="382"/>
      <c r="MXB2" s="382"/>
      <c r="MXC2" s="382"/>
      <c r="MXD2" s="382"/>
      <c r="MXE2" s="382"/>
      <c r="MXF2" s="382"/>
      <c r="MXG2" s="382"/>
      <c r="MXH2" s="382"/>
      <c r="MXI2" s="382"/>
      <c r="MXJ2" s="382"/>
      <c r="MXK2" s="382"/>
      <c r="MXL2" s="382"/>
      <c r="MXM2" s="382"/>
      <c r="MXN2" s="382"/>
      <c r="MXO2" s="382"/>
      <c r="MXP2" s="382"/>
      <c r="MXQ2" s="382"/>
      <c r="MXR2" s="382"/>
      <c r="MXS2" s="382"/>
      <c r="MXT2" s="382"/>
      <c r="MXU2" s="382"/>
      <c r="MXV2" s="382"/>
      <c r="MXW2" s="382"/>
      <c r="MXX2" s="382"/>
      <c r="MXY2" s="382"/>
      <c r="MXZ2" s="382"/>
      <c r="MYA2" s="382"/>
      <c r="MYB2" s="382"/>
      <c r="MYC2" s="382"/>
      <c r="MYD2" s="382"/>
      <c r="MYE2" s="382"/>
      <c r="MYF2" s="382"/>
      <c r="MYG2" s="382"/>
      <c r="MYH2" s="382"/>
      <c r="MYI2" s="382"/>
      <c r="MYJ2" s="382"/>
      <c r="MYK2" s="382"/>
      <c r="MYL2" s="382"/>
      <c r="MYM2" s="382"/>
      <c r="MYN2" s="382"/>
      <c r="MYO2" s="382"/>
      <c r="MYP2" s="382"/>
      <c r="MYQ2" s="382"/>
      <c r="MYR2" s="382"/>
      <c r="MYS2" s="382"/>
      <c r="MYT2" s="382"/>
      <c r="MYU2" s="382"/>
      <c r="MYV2" s="382"/>
      <c r="MYW2" s="382"/>
      <c r="MYX2" s="382"/>
      <c r="MYY2" s="382"/>
      <c r="MYZ2" s="382"/>
      <c r="MZA2" s="382"/>
      <c r="MZB2" s="382"/>
      <c r="MZC2" s="382"/>
      <c r="MZD2" s="382"/>
      <c r="MZE2" s="382"/>
      <c r="MZF2" s="382"/>
      <c r="MZG2" s="382"/>
      <c r="MZH2" s="382"/>
      <c r="MZI2" s="382"/>
      <c r="MZJ2" s="382"/>
      <c r="MZK2" s="382"/>
      <c r="MZL2" s="382"/>
      <c r="MZM2" s="382"/>
      <c r="MZN2" s="382"/>
      <c r="MZO2" s="382"/>
      <c r="MZP2" s="382"/>
      <c r="MZQ2" s="382"/>
      <c r="MZR2" s="382"/>
      <c r="MZS2" s="382"/>
      <c r="MZT2" s="382"/>
      <c r="MZU2" s="382"/>
      <c r="MZV2" s="382"/>
      <c r="MZW2" s="382"/>
      <c r="MZX2" s="382"/>
      <c r="MZY2" s="382"/>
      <c r="MZZ2" s="382"/>
      <c r="NAA2" s="382"/>
      <c r="NAB2" s="382"/>
      <c r="NAC2" s="382"/>
      <c r="NAD2" s="382"/>
      <c r="NAE2" s="382"/>
      <c r="NAF2" s="382"/>
      <c r="NAG2" s="382"/>
      <c r="NAH2" s="382"/>
      <c r="NAI2" s="382"/>
      <c r="NAJ2" s="382"/>
      <c r="NAK2" s="382"/>
      <c r="NAL2" s="382"/>
      <c r="NAM2" s="382"/>
      <c r="NAN2" s="382"/>
      <c r="NAO2" s="382"/>
      <c r="NAP2" s="382"/>
      <c r="NAQ2" s="382"/>
      <c r="NAR2" s="382"/>
      <c r="NAS2" s="382"/>
      <c r="NAT2" s="382"/>
      <c r="NAU2" s="382"/>
      <c r="NAV2" s="382"/>
      <c r="NAW2" s="382"/>
      <c r="NAX2" s="382"/>
      <c r="NAY2" s="382"/>
      <c r="NAZ2" s="382"/>
      <c r="NBA2" s="382"/>
      <c r="NBB2" s="382"/>
      <c r="NBC2" s="382"/>
      <c r="NBD2" s="382"/>
      <c r="NBE2" s="382"/>
      <c r="NBF2" s="382"/>
      <c r="NBG2" s="382"/>
      <c r="NBH2" s="382"/>
      <c r="NBI2" s="382"/>
      <c r="NBJ2" s="382"/>
      <c r="NBK2" s="382"/>
      <c r="NBL2" s="382"/>
      <c r="NBM2" s="382"/>
      <c r="NBN2" s="382"/>
      <c r="NBO2" s="382"/>
      <c r="NBP2" s="382"/>
      <c r="NBQ2" s="382"/>
      <c r="NBR2" s="382"/>
      <c r="NBS2" s="382"/>
      <c r="NBT2" s="382"/>
      <c r="NBU2" s="382"/>
      <c r="NBV2" s="382"/>
      <c r="NBW2" s="382"/>
      <c r="NBX2" s="382"/>
      <c r="NBY2" s="382"/>
      <c r="NBZ2" s="382"/>
      <c r="NCA2" s="382"/>
      <c r="NCB2" s="382"/>
      <c r="NCC2" s="382"/>
      <c r="NCD2" s="382"/>
      <c r="NCE2" s="382"/>
      <c r="NCF2" s="382"/>
      <c r="NCG2" s="382"/>
      <c r="NCH2" s="382"/>
      <c r="NCI2" s="382"/>
      <c r="NCJ2" s="382"/>
      <c r="NCK2" s="382"/>
      <c r="NCL2" s="382"/>
      <c r="NCM2" s="382"/>
      <c r="NCN2" s="382"/>
      <c r="NCO2" s="382"/>
      <c r="NCP2" s="382"/>
      <c r="NCQ2" s="382"/>
      <c r="NCR2" s="382"/>
      <c r="NCS2" s="382"/>
      <c r="NCT2" s="382"/>
      <c r="NCU2" s="382"/>
      <c r="NCV2" s="382"/>
      <c r="NCW2" s="382"/>
      <c r="NCX2" s="382"/>
      <c r="NCY2" s="382"/>
      <c r="NCZ2" s="382"/>
      <c r="NDA2" s="382"/>
      <c r="NDB2" s="382"/>
      <c r="NDC2" s="382"/>
      <c r="NDD2" s="382"/>
      <c r="NDE2" s="382"/>
      <c r="NDF2" s="382"/>
      <c r="NDG2" s="382"/>
      <c r="NDH2" s="382"/>
      <c r="NDI2" s="382"/>
      <c r="NDJ2" s="382"/>
      <c r="NDK2" s="382"/>
      <c r="NDL2" s="382"/>
      <c r="NDM2" s="382"/>
      <c r="NDN2" s="382"/>
      <c r="NDO2" s="382"/>
      <c r="NDP2" s="382"/>
      <c r="NDQ2" s="382"/>
      <c r="NDR2" s="382"/>
      <c r="NDS2" s="382"/>
      <c r="NDT2" s="382"/>
      <c r="NDU2" s="382"/>
      <c r="NDV2" s="382"/>
      <c r="NDW2" s="382"/>
      <c r="NDX2" s="382"/>
      <c r="NDY2" s="382"/>
      <c r="NDZ2" s="382"/>
      <c r="NEA2" s="382"/>
      <c r="NEB2" s="382"/>
      <c r="NEC2" s="382"/>
      <c r="NED2" s="382"/>
      <c r="NEE2" s="382"/>
      <c r="NEF2" s="382"/>
      <c r="NEG2" s="382"/>
      <c r="NEH2" s="382"/>
      <c r="NEI2" s="382"/>
      <c r="NEJ2" s="382"/>
      <c r="NEK2" s="382"/>
      <c r="NEL2" s="382"/>
      <c r="NEM2" s="382"/>
      <c r="NEN2" s="382"/>
      <c r="NEO2" s="382"/>
      <c r="NEP2" s="382"/>
      <c r="NEQ2" s="382"/>
      <c r="NER2" s="382"/>
      <c r="NES2" s="382"/>
      <c r="NET2" s="382"/>
      <c r="NEU2" s="382"/>
      <c r="NEV2" s="382"/>
      <c r="NEW2" s="382"/>
      <c r="NEX2" s="382"/>
      <c r="NEY2" s="382"/>
      <c r="NEZ2" s="382"/>
      <c r="NFA2" s="382"/>
      <c r="NFB2" s="382"/>
      <c r="NFC2" s="382"/>
      <c r="NFD2" s="382"/>
      <c r="NFE2" s="382"/>
      <c r="NFF2" s="382"/>
      <c r="NFG2" s="382"/>
      <c r="NFH2" s="382"/>
      <c r="NFI2" s="382"/>
      <c r="NFJ2" s="382"/>
      <c r="NFK2" s="382"/>
      <c r="NFL2" s="382"/>
      <c r="NFM2" s="382"/>
      <c r="NFN2" s="382"/>
      <c r="NFO2" s="382"/>
      <c r="NFP2" s="382"/>
      <c r="NFQ2" s="382"/>
      <c r="NFR2" s="382"/>
      <c r="NFS2" s="382"/>
      <c r="NFT2" s="382"/>
      <c r="NFU2" s="382"/>
      <c r="NFV2" s="382"/>
      <c r="NFW2" s="382"/>
      <c r="NFX2" s="382"/>
      <c r="NFY2" s="382"/>
      <c r="NFZ2" s="382"/>
      <c r="NGA2" s="382"/>
      <c r="NGB2" s="382"/>
      <c r="NGC2" s="382"/>
      <c r="NGD2" s="382"/>
      <c r="NGE2" s="382"/>
      <c r="NGF2" s="382"/>
      <c r="NGG2" s="382"/>
      <c r="NGH2" s="382"/>
      <c r="NGI2" s="382"/>
      <c r="NGJ2" s="382"/>
      <c r="NGK2" s="382"/>
      <c r="NGL2" s="382"/>
      <c r="NGM2" s="382"/>
      <c r="NGN2" s="382"/>
      <c r="NGO2" s="382"/>
      <c r="NGP2" s="382"/>
      <c r="NGQ2" s="382"/>
      <c r="NGR2" s="382"/>
      <c r="NGS2" s="382"/>
      <c r="NGT2" s="382"/>
      <c r="NGU2" s="382"/>
      <c r="NGV2" s="382"/>
      <c r="NGW2" s="382"/>
      <c r="NGX2" s="382"/>
      <c r="NGY2" s="382"/>
      <c r="NGZ2" s="382"/>
      <c r="NHA2" s="382"/>
      <c r="NHB2" s="382"/>
      <c r="NHC2" s="382"/>
      <c r="NHD2" s="382"/>
      <c r="NHE2" s="382"/>
      <c r="NHF2" s="382"/>
      <c r="NHG2" s="382"/>
      <c r="NHH2" s="382"/>
      <c r="NHI2" s="382"/>
      <c r="NHJ2" s="382"/>
      <c r="NHK2" s="382"/>
      <c r="NHL2" s="382"/>
      <c r="NHM2" s="382"/>
      <c r="NHN2" s="382"/>
      <c r="NHO2" s="382"/>
      <c r="NHP2" s="382"/>
      <c r="NHQ2" s="382"/>
      <c r="NHR2" s="382"/>
      <c r="NHS2" s="382"/>
      <c r="NHT2" s="382"/>
      <c r="NHU2" s="382"/>
      <c r="NHV2" s="382"/>
      <c r="NHW2" s="382"/>
      <c r="NHX2" s="382"/>
      <c r="NHY2" s="382"/>
      <c r="NHZ2" s="382"/>
      <c r="NIA2" s="382"/>
      <c r="NIB2" s="382"/>
      <c r="NIC2" s="382"/>
      <c r="NID2" s="382"/>
      <c r="NIE2" s="382"/>
      <c r="NIF2" s="382"/>
      <c r="NIG2" s="382"/>
      <c r="NIH2" s="382"/>
      <c r="NII2" s="382"/>
      <c r="NIJ2" s="382"/>
      <c r="NIK2" s="382"/>
      <c r="NIL2" s="382"/>
      <c r="NIM2" s="382"/>
      <c r="NIN2" s="382"/>
      <c r="NIO2" s="382"/>
      <c r="NIP2" s="382"/>
      <c r="NIQ2" s="382"/>
      <c r="NIR2" s="382"/>
      <c r="NIS2" s="382"/>
      <c r="NIT2" s="382"/>
      <c r="NIU2" s="382"/>
      <c r="NIV2" s="382"/>
      <c r="NIW2" s="382"/>
      <c r="NIX2" s="382"/>
      <c r="NIY2" s="382"/>
      <c r="NIZ2" s="382"/>
      <c r="NJA2" s="382"/>
      <c r="NJB2" s="382"/>
      <c r="NJC2" s="382"/>
      <c r="NJD2" s="382"/>
      <c r="NJE2" s="382"/>
      <c r="NJF2" s="382"/>
      <c r="NJG2" s="382"/>
      <c r="NJH2" s="382"/>
      <c r="NJI2" s="382"/>
      <c r="NJJ2" s="382"/>
      <c r="NJK2" s="382"/>
      <c r="NJL2" s="382"/>
      <c r="NJM2" s="382"/>
      <c r="NJN2" s="382"/>
      <c r="NJO2" s="382"/>
      <c r="NJP2" s="382"/>
      <c r="NJQ2" s="382"/>
      <c r="NJR2" s="382"/>
      <c r="NJS2" s="382"/>
      <c r="NJT2" s="382"/>
      <c r="NJU2" s="382"/>
      <c r="NJV2" s="382"/>
      <c r="NJW2" s="382"/>
      <c r="NJX2" s="382"/>
      <c r="NJY2" s="382"/>
      <c r="NJZ2" s="382"/>
      <c r="NKA2" s="382"/>
      <c r="NKB2" s="382"/>
      <c r="NKC2" s="382"/>
      <c r="NKD2" s="382"/>
      <c r="NKE2" s="382"/>
      <c r="NKF2" s="382"/>
      <c r="NKG2" s="382"/>
      <c r="NKH2" s="382"/>
      <c r="NKI2" s="382"/>
      <c r="NKJ2" s="382"/>
      <c r="NKK2" s="382"/>
      <c r="NKL2" s="382"/>
      <c r="NKM2" s="382"/>
      <c r="NKN2" s="382"/>
      <c r="NKO2" s="382"/>
      <c r="NKP2" s="382"/>
      <c r="NKQ2" s="382"/>
      <c r="NKR2" s="382"/>
      <c r="NKS2" s="382"/>
      <c r="NKT2" s="382"/>
      <c r="NKU2" s="382"/>
      <c r="NKV2" s="382"/>
      <c r="NKW2" s="382"/>
      <c r="NKX2" s="382"/>
      <c r="NKY2" s="382"/>
      <c r="NKZ2" s="382"/>
      <c r="NLA2" s="382"/>
      <c r="NLB2" s="382"/>
      <c r="NLC2" s="382"/>
      <c r="NLD2" s="382"/>
      <c r="NLE2" s="382"/>
      <c r="NLF2" s="382"/>
      <c r="NLG2" s="382"/>
      <c r="NLH2" s="382"/>
      <c r="NLI2" s="382"/>
      <c r="NLJ2" s="382"/>
      <c r="NLK2" s="382"/>
      <c r="NLL2" s="382"/>
      <c r="NLM2" s="382"/>
      <c r="NLN2" s="382"/>
      <c r="NLO2" s="382"/>
      <c r="NLP2" s="382"/>
      <c r="NLQ2" s="382"/>
      <c r="NLR2" s="382"/>
      <c r="NLS2" s="382"/>
      <c r="NLT2" s="382"/>
      <c r="NLU2" s="382"/>
      <c r="NLV2" s="382"/>
      <c r="NLW2" s="382"/>
      <c r="NLX2" s="382"/>
      <c r="NLY2" s="382"/>
      <c r="NLZ2" s="382"/>
      <c r="NMA2" s="382"/>
      <c r="NMB2" s="382"/>
      <c r="NMC2" s="382"/>
      <c r="NMD2" s="382"/>
      <c r="NME2" s="382"/>
      <c r="NMF2" s="382"/>
      <c r="NMG2" s="382"/>
      <c r="NMH2" s="382"/>
      <c r="NMI2" s="382"/>
      <c r="NMJ2" s="382"/>
      <c r="NMK2" s="382"/>
      <c r="NML2" s="382"/>
      <c r="NMM2" s="382"/>
      <c r="NMN2" s="382"/>
      <c r="NMO2" s="382"/>
      <c r="NMP2" s="382"/>
      <c r="NMQ2" s="382"/>
      <c r="NMR2" s="382"/>
      <c r="NMS2" s="382"/>
      <c r="NMT2" s="382"/>
      <c r="NMU2" s="382"/>
      <c r="NMV2" s="382"/>
      <c r="NMW2" s="382"/>
      <c r="NMX2" s="382"/>
      <c r="NMY2" s="382"/>
      <c r="NMZ2" s="382"/>
      <c r="NNA2" s="382"/>
      <c r="NNB2" s="382"/>
      <c r="NNC2" s="382"/>
      <c r="NND2" s="382"/>
      <c r="NNE2" s="382"/>
      <c r="NNF2" s="382"/>
      <c r="NNG2" s="382"/>
      <c r="NNH2" s="382"/>
      <c r="NNI2" s="382"/>
      <c r="NNJ2" s="382"/>
      <c r="NNK2" s="382"/>
      <c r="NNL2" s="382"/>
      <c r="NNM2" s="382"/>
      <c r="NNN2" s="382"/>
      <c r="NNO2" s="382"/>
      <c r="NNP2" s="382"/>
      <c r="NNQ2" s="382"/>
      <c r="NNR2" s="382"/>
      <c r="NNS2" s="382"/>
      <c r="NNT2" s="382"/>
      <c r="NNU2" s="382"/>
      <c r="NNV2" s="382"/>
      <c r="NNW2" s="382"/>
      <c r="NNX2" s="382"/>
      <c r="NNY2" s="382"/>
      <c r="NNZ2" s="382"/>
      <c r="NOA2" s="382"/>
      <c r="NOB2" s="382"/>
      <c r="NOC2" s="382"/>
      <c r="NOD2" s="382"/>
      <c r="NOE2" s="382"/>
      <c r="NOF2" s="382"/>
      <c r="NOG2" s="382"/>
      <c r="NOH2" s="382"/>
      <c r="NOI2" s="382"/>
      <c r="NOJ2" s="382"/>
      <c r="NOK2" s="382"/>
      <c r="NOL2" s="382"/>
      <c r="NOM2" s="382"/>
      <c r="NON2" s="382"/>
      <c r="NOO2" s="382"/>
      <c r="NOP2" s="382"/>
      <c r="NOQ2" s="382"/>
      <c r="NOR2" s="382"/>
      <c r="NOS2" s="382"/>
      <c r="NOT2" s="382"/>
      <c r="NOU2" s="382"/>
      <c r="NOV2" s="382"/>
      <c r="NOW2" s="382"/>
      <c r="NOX2" s="382"/>
      <c r="NOY2" s="382"/>
      <c r="NOZ2" s="382"/>
      <c r="NPA2" s="382"/>
      <c r="NPB2" s="382"/>
      <c r="NPC2" s="382"/>
      <c r="NPD2" s="382"/>
      <c r="NPE2" s="382"/>
      <c r="NPF2" s="382"/>
      <c r="NPG2" s="382"/>
      <c r="NPH2" s="382"/>
      <c r="NPI2" s="382"/>
      <c r="NPJ2" s="382"/>
      <c r="NPK2" s="382"/>
      <c r="NPL2" s="382"/>
      <c r="NPM2" s="382"/>
      <c r="NPN2" s="382"/>
      <c r="NPO2" s="382"/>
      <c r="NPP2" s="382"/>
      <c r="NPQ2" s="382"/>
      <c r="NPR2" s="382"/>
      <c r="NPS2" s="382"/>
      <c r="NPT2" s="382"/>
      <c r="NPU2" s="382"/>
      <c r="NPV2" s="382"/>
      <c r="NPW2" s="382"/>
      <c r="NPX2" s="382"/>
      <c r="NPY2" s="382"/>
      <c r="NPZ2" s="382"/>
      <c r="NQA2" s="382"/>
      <c r="NQB2" s="382"/>
      <c r="NQC2" s="382"/>
      <c r="NQD2" s="382"/>
      <c r="NQE2" s="382"/>
      <c r="NQF2" s="382"/>
      <c r="NQG2" s="382"/>
      <c r="NQH2" s="382"/>
      <c r="NQI2" s="382"/>
      <c r="NQJ2" s="382"/>
      <c r="NQK2" s="382"/>
      <c r="NQL2" s="382"/>
      <c r="NQM2" s="382"/>
      <c r="NQN2" s="382"/>
      <c r="NQO2" s="382"/>
      <c r="NQP2" s="382"/>
      <c r="NQQ2" s="382"/>
      <c r="NQR2" s="382"/>
      <c r="NQS2" s="382"/>
      <c r="NQT2" s="382"/>
      <c r="NQU2" s="382"/>
      <c r="NQV2" s="382"/>
      <c r="NQW2" s="382"/>
      <c r="NQX2" s="382"/>
      <c r="NQY2" s="382"/>
      <c r="NQZ2" s="382"/>
      <c r="NRA2" s="382"/>
      <c r="NRB2" s="382"/>
    </row>
    <row r="3" spans="1:9934" s="384" customFormat="1" ht="13" x14ac:dyDescent="0.3">
      <c r="A3" s="419" t="str">
        <f>VLOOKUP(A4,DATA!1:1048576,2,FALSE)</f>
        <v>CHARTER DISTRICT</v>
      </c>
      <c r="B3" s="420"/>
      <c r="C3" s="421"/>
      <c r="D3" s="421"/>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row>
    <row r="4" spans="1:9934" s="384" customFormat="1" ht="13" x14ac:dyDescent="0.3">
      <c r="A4" s="422">
        <f>Estimates!E1</f>
        <v>0</v>
      </c>
      <c r="B4" s="423"/>
      <c r="C4" s="424"/>
      <c r="D4" s="424"/>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row>
    <row r="5" spans="1:9934" x14ac:dyDescent="0.25">
      <c r="A5" s="262" t="s">
        <v>574</v>
      </c>
      <c r="B5" s="68" t="s">
        <v>984</v>
      </c>
      <c r="C5" s="354">
        <f>VLOOKUP(A4,INT_EST_PY,7,FALSE)</f>
        <v>0</v>
      </c>
      <c r="D5" s="354">
        <f>VLOOKUP($A$4,INT_EST_PY21,10,FALSE)</f>
        <v>0</v>
      </c>
    </row>
    <row r="6" spans="1:9934" x14ac:dyDescent="0.25">
      <c r="A6" s="262" t="s">
        <v>696</v>
      </c>
      <c r="B6" s="264">
        <v>275</v>
      </c>
      <c r="C6" s="263">
        <f>VLOOKUP(A4,INT_EST_PY,60,FALSE)</f>
        <v>0</v>
      </c>
      <c r="D6" s="263">
        <f>VLOOKUP($A$4,INT_EST_PY21,60,FALSE)</f>
        <v>0</v>
      </c>
    </row>
    <row r="7" spans="1:9934" x14ac:dyDescent="0.25">
      <c r="A7" s="265" t="s">
        <v>597</v>
      </c>
      <c r="B7" s="266"/>
      <c r="C7" s="267">
        <f>VLOOKUP(A4,INT_EST_PY,16,FALSE)</f>
        <v>0</v>
      </c>
      <c r="D7" s="267">
        <f>VLOOKUP($A$4,INT_EST_PY21,16,FALSE)</f>
        <v>0</v>
      </c>
    </row>
    <row r="8" spans="1:9934" s="156" customFormat="1" x14ac:dyDescent="0.25">
      <c r="A8" s="268" t="s">
        <v>451</v>
      </c>
      <c r="B8" s="269"/>
      <c r="C8" s="270"/>
      <c r="D8" s="270"/>
    </row>
    <row r="9" spans="1:9934" x14ac:dyDescent="0.25">
      <c r="A9" s="271" t="s">
        <v>557</v>
      </c>
      <c r="B9" s="269">
        <v>5</v>
      </c>
      <c r="C9" s="267">
        <f>VLOOKUP($A$4,INT_EST_PY,131,FALSE)</f>
        <v>0</v>
      </c>
      <c r="D9" s="267">
        <f>VLOOKUP($A$4,INT_EST_PY21,131,FALSE)</f>
        <v>0</v>
      </c>
    </row>
    <row r="10" spans="1:9934" x14ac:dyDescent="0.25">
      <c r="A10" s="271" t="s">
        <v>558</v>
      </c>
      <c r="B10" s="269">
        <v>3</v>
      </c>
      <c r="C10" s="267">
        <f>VLOOKUP($A$4,INT_EST_PY,132,FALSE)</f>
        <v>0</v>
      </c>
      <c r="D10" s="267">
        <f>VLOOKUP($A$4,INT_EST_PY21,132,FALSE)</f>
        <v>0</v>
      </c>
    </row>
    <row r="11" spans="1:9934" x14ac:dyDescent="0.25">
      <c r="A11" s="271" t="s">
        <v>559</v>
      </c>
      <c r="B11" s="269">
        <v>5</v>
      </c>
      <c r="C11" s="267">
        <f>VLOOKUP($A$4,INT_EST_PY,144,FALSE)</f>
        <v>0</v>
      </c>
      <c r="D11" s="267">
        <f>VLOOKUP($A$4,INT_EST_PY21,144,FALSE)</f>
        <v>0</v>
      </c>
    </row>
    <row r="12" spans="1:9934" x14ac:dyDescent="0.25">
      <c r="A12" s="271" t="s">
        <v>569</v>
      </c>
      <c r="B12" s="269">
        <v>3</v>
      </c>
      <c r="C12" s="267">
        <f>VLOOKUP($A$4,INT_EST_PY,141,FALSE)</f>
        <v>0</v>
      </c>
      <c r="D12" s="267">
        <f>VLOOKUP($A$4,INT_EST_PY21,141,FALSE)</f>
        <v>0</v>
      </c>
    </row>
    <row r="13" spans="1:9934" x14ac:dyDescent="0.25">
      <c r="A13" s="271" t="s">
        <v>570</v>
      </c>
      <c r="B13" s="269">
        <v>3</v>
      </c>
      <c r="C13" s="267">
        <f>VLOOKUP($A$4,INT_EST_PY,143,FALSE)</f>
        <v>0</v>
      </c>
      <c r="D13" s="267">
        <f>VLOOKUP($A$4,INT_EST_PY21,143,FALSE)</f>
        <v>0</v>
      </c>
    </row>
    <row r="14" spans="1:9934" x14ac:dyDescent="0.25">
      <c r="A14" s="271" t="s">
        <v>571</v>
      </c>
      <c r="B14" s="269">
        <v>3</v>
      </c>
      <c r="C14" s="267">
        <v>0</v>
      </c>
      <c r="D14" s="267">
        <v>0</v>
      </c>
    </row>
    <row r="15" spans="1:9934" x14ac:dyDescent="0.25">
      <c r="A15" s="271" t="s">
        <v>572</v>
      </c>
      <c r="B15" s="269">
        <v>2.7</v>
      </c>
      <c r="C15" s="267">
        <f>VLOOKUP($A$4,INT_EST_PY,137,FALSE)</f>
        <v>0</v>
      </c>
      <c r="D15" s="267">
        <f>VLOOKUP($A$4,INT_EST_PY21,137,FALSE)</f>
        <v>0</v>
      </c>
    </row>
    <row r="16" spans="1:9934" x14ac:dyDescent="0.25">
      <c r="A16" s="271" t="s">
        <v>560</v>
      </c>
      <c r="B16" s="269">
        <v>2.2999999999999998</v>
      </c>
      <c r="C16" s="267">
        <f>VLOOKUP($A$4,INT_EST_PY,148,FALSE)</f>
        <v>0</v>
      </c>
      <c r="D16" s="267">
        <f>VLOOKUP($A$4,INT_EST_PY21,148,FALSE)</f>
        <v>0</v>
      </c>
    </row>
    <row r="17" spans="1:4" x14ac:dyDescent="0.25">
      <c r="A17" s="271" t="s">
        <v>573</v>
      </c>
      <c r="B17" s="269">
        <v>2.8</v>
      </c>
      <c r="C17" s="267">
        <f>VLOOKUP($A$4,INT_EST_PY,146,FALSE)</f>
        <v>0</v>
      </c>
      <c r="D17" s="267">
        <f>VLOOKUP($A$4,INT_EST_PY21,146,FALSE)</f>
        <v>0</v>
      </c>
    </row>
    <row r="18" spans="1:4" x14ac:dyDescent="0.25">
      <c r="A18" s="271" t="s">
        <v>561</v>
      </c>
      <c r="B18" s="269">
        <v>4</v>
      </c>
      <c r="C18" s="267">
        <f>VLOOKUP($A$4,INT_EST_PY,140,FALSE)</f>
        <v>0</v>
      </c>
      <c r="D18" s="267">
        <f>VLOOKUP($A$4,INT_EST_PY21,140,FALSE)</f>
        <v>0</v>
      </c>
    </row>
    <row r="19" spans="1:4" ht="13" thickBot="1" x14ac:dyDescent="0.3">
      <c r="A19" s="272" t="s">
        <v>638</v>
      </c>
      <c r="B19" s="272"/>
      <c r="C19" s="273">
        <f>SUM(C9:C18)</f>
        <v>0</v>
      </c>
      <c r="D19" s="273">
        <f>SUM(D9:D18)</f>
        <v>0</v>
      </c>
    </row>
    <row r="20" spans="1:4" ht="13.5" thickTop="1" thickBot="1" x14ac:dyDescent="0.3">
      <c r="A20" s="274" t="s">
        <v>576</v>
      </c>
      <c r="B20" s="274"/>
      <c r="C20" s="273">
        <f t="shared" ref="C20" si="0">(C9*$B$22)+(C10*$B$23)+(C11*$B$24)+(C12*$B$25)+(C13*$B$26)+(C14*$B$27)+(C15*$B$28)+(C16*$B$29)+(C17*$B$30)+(C18*$B$31)</f>
        <v>0</v>
      </c>
      <c r="D20" s="273">
        <f t="shared" ref="D20" si="1">(D9*$B$9)+(D10*$B$10)+(D11*$B$11)+(D12*$B$12)+(D13*$B$13)+(D14*$B$14)+(D15*$B$15)+(D16*$B$16)+(D17*$B$17)+(D18*$B$18)</f>
        <v>0</v>
      </c>
    </row>
    <row r="21" spans="1:4" ht="13" thickTop="1" x14ac:dyDescent="0.25">
      <c r="A21" s="268" t="s">
        <v>452</v>
      </c>
      <c r="B21" s="275" t="s">
        <v>596</v>
      </c>
      <c r="C21" s="276"/>
      <c r="D21" s="276"/>
    </row>
    <row r="22" spans="1:4" x14ac:dyDescent="0.25">
      <c r="A22" s="271" t="s">
        <v>562</v>
      </c>
      <c r="B22" s="269">
        <v>5</v>
      </c>
      <c r="C22" s="267">
        <f>VLOOKUP($A$4,INT_EST_PY,120,FALSE)</f>
        <v>0</v>
      </c>
      <c r="D22" s="267">
        <f>VLOOKUP($A$4,INT_EST_PY21,120,FALSE)</f>
        <v>0</v>
      </c>
    </row>
    <row r="23" spans="1:4" x14ac:dyDescent="0.25">
      <c r="A23" s="271" t="s">
        <v>563</v>
      </c>
      <c r="B23" s="269">
        <v>3</v>
      </c>
      <c r="C23" s="267">
        <f>VLOOKUP($A$4,INT_EST_PY,121,FALSE)</f>
        <v>0</v>
      </c>
      <c r="D23" s="267">
        <f>VLOOKUP($A$4,INT_EST_PY21,121,FALSE)</f>
        <v>0</v>
      </c>
    </row>
    <row r="24" spans="1:4" x14ac:dyDescent="0.25">
      <c r="A24" s="271" t="s">
        <v>564</v>
      </c>
      <c r="B24" s="269">
        <v>5</v>
      </c>
      <c r="C24" s="267">
        <f>VLOOKUP($A$4,INT_EST_PY,127,FALSE)</f>
        <v>0</v>
      </c>
      <c r="D24" s="267">
        <f>VLOOKUP($A$4,INT_EST_PY21,127,FALSE)</f>
        <v>0</v>
      </c>
    </row>
    <row r="25" spans="1:4" x14ac:dyDescent="0.25">
      <c r="A25" s="271" t="s">
        <v>579</v>
      </c>
      <c r="B25" s="269">
        <v>3</v>
      </c>
      <c r="C25" s="267">
        <f>VLOOKUP($A$4,INT_EST_PY,124,FALSE)</f>
        <v>0</v>
      </c>
      <c r="D25" s="267">
        <f>VLOOKUP($A$4,INT_EST_PY21,124,FALSE)</f>
        <v>0</v>
      </c>
    </row>
    <row r="26" spans="1:4" x14ac:dyDescent="0.25">
      <c r="A26" s="271" t="s">
        <v>580</v>
      </c>
      <c r="B26" s="269">
        <v>3</v>
      </c>
      <c r="C26" s="267">
        <f>VLOOKUP($A$4,INT_EST_PY,126,FALSE)</f>
        <v>0</v>
      </c>
      <c r="D26" s="267">
        <f>VLOOKUP($A$4,INT_EST_PY21,126,FALSE)</f>
        <v>0</v>
      </c>
    </row>
    <row r="27" spans="1:4" x14ac:dyDescent="0.25">
      <c r="A27" s="271" t="s">
        <v>581</v>
      </c>
      <c r="B27" s="269">
        <v>3</v>
      </c>
      <c r="C27" s="267">
        <v>0</v>
      </c>
      <c r="D27" s="267">
        <v>0</v>
      </c>
    </row>
    <row r="28" spans="1:4" x14ac:dyDescent="0.25">
      <c r="A28" s="271" t="s">
        <v>582</v>
      </c>
      <c r="B28" s="269">
        <v>2.7</v>
      </c>
      <c r="C28" s="267">
        <f>VLOOKUP($A$4,INT_EST_PY,122,FALSE)</f>
        <v>0</v>
      </c>
      <c r="D28" s="267">
        <f>VLOOKUP($A$4,INT_EST_PY21,122,FALSE)</f>
        <v>0</v>
      </c>
    </row>
    <row r="29" spans="1:4" x14ac:dyDescent="0.25">
      <c r="A29" s="271" t="s">
        <v>565</v>
      </c>
      <c r="B29" s="269">
        <v>2.2999999999999998</v>
      </c>
      <c r="C29" s="267">
        <f>VLOOKUP($A$4,INT_EST_PY,129,FALSE)</f>
        <v>0</v>
      </c>
      <c r="D29" s="267">
        <f>VLOOKUP($A$4,INT_EST_PY21,129,FALSE)</f>
        <v>0</v>
      </c>
    </row>
    <row r="30" spans="1:4" x14ac:dyDescent="0.25">
      <c r="A30" s="271" t="s">
        <v>583</v>
      </c>
      <c r="B30" s="269">
        <v>2.8</v>
      </c>
      <c r="C30" s="267">
        <f>VLOOKUP($A$4,INT_EST_PY,128,FALSE)</f>
        <v>0</v>
      </c>
      <c r="D30" s="267">
        <f>VLOOKUP($A$4,INT_EST_PY21,128,FALSE)</f>
        <v>0</v>
      </c>
    </row>
    <row r="31" spans="1:4" x14ac:dyDescent="0.25">
      <c r="A31" s="271" t="s">
        <v>566</v>
      </c>
      <c r="B31" s="269">
        <v>4</v>
      </c>
      <c r="C31" s="267">
        <f>VLOOKUP($A$4,INT_EST_PY,123,FALSE)</f>
        <v>0</v>
      </c>
      <c r="D31" s="267">
        <f>VLOOKUP($A$4,INT_EST_PY21,123,FALSE)</f>
        <v>0</v>
      </c>
    </row>
    <row r="32" spans="1:4" ht="13" thickBot="1" x14ac:dyDescent="0.3">
      <c r="A32" s="272" t="s">
        <v>635</v>
      </c>
      <c r="B32" s="272"/>
      <c r="C32" s="273">
        <f>SUM(C22:C31)</f>
        <v>0</v>
      </c>
      <c r="D32" s="273">
        <f>SUM(D22:D31)</f>
        <v>0</v>
      </c>
    </row>
    <row r="33" spans="1:111" ht="13.5" thickTop="1" thickBot="1" x14ac:dyDescent="0.3">
      <c r="A33" s="274" t="s">
        <v>636</v>
      </c>
      <c r="B33" s="274"/>
      <c r="C33" s="273">
        <f t="shared" ref="C33:D33" si="2">(C22*$B$22)+(C23*$B$23)+(C24*$B$24)+(C25*$B$25)+(C26*$B$26)+(C27*$B$27)+(C28*$B$28)+(C29*$B$29)+(C30*$B$30)+(C31*$B$31)</f>
        <v>0</v>
      </c>
      <c r="D33" s="273">
        <f t="shared" si="2"/>
        <v>0</v>
      </c>
    </row>
    <row r="34" spans="1:111" ht="13.5" thickTop="1" thickBot="1" x14ac:dyDescent="0.3">
      <c r="A34" s="277" t="s">
        <v>554</v>
      </c>
      <c r="B34" s="73">
        <v>1.1000000000000001</v>
      </c>
      <c r="C34" s="267">
        <f>VLOOKUP($A$4,INT_EST_PY,133,FALSE)</f>
        <v>0</v>
      </c>
      <c r="D34" s="267">
        <f>VLOOKUP($A$4,INT_EST_PY21,133,FALSE)</f>
        <v>0</v>
      </c>
    </row>
    <row r="35" spans="1:111" ht="13" thickTop="1" x14ac:dyDescent="0.25">
      <c r="A35" s="277" t="s">
        <v>697</v>
      </c>
      <c r="B35" s="73">
        <v>1.35</v>
      </c>
      <c r="C35" s="267">
        <f>VLOOKUP(A4,INT_EST_PY,186,FALSE)</f>
        <v>0</v>
      </c>
      <c r="D35" s="267">
        <f>VLOOKUP($A$4,INT_EST_PY21,186,FALSE)</f>
        <v>0</v>
      </c>
    </row>
    <row r="36" spans="1:111" s="278" customFormat="1" x14ac:dyDescent="0.25">
      <c r="A36" s="271" t="s">
        <v>555</v>
      </c>
      <c r="B36" s="264">
        <v>50</v>
      </c>
      <c r="C36" s="267">
        <f>VLOOKUP(A4,INT_EST_PY,183,FALSE)</f>
        <v>0</v>
      </c>
      <c r="D36" s="267">
        <f>VLOOKUP($A$4,INT_EST_PY21,183,FALSE)</f>
        <v>0</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row>
    <row r="37" spans="1:111" s="280" customFormat="1" ht="13" thickBot="1" x14ac:dyDescent="0.3">
      <c r="A37" s="272" t="s">
        <v>447</v>
      </c>
      <c r="B37" s="272"/>
      <c r="C37" s="279">
        <f>MAX(0,C5-C19-C35)</f>
        <v>0</v>
      </c>
      <c r="D37" s="279">
        <f>IF(D5=0,0,D5-D19-D35)</f>
        <v>0</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278"/>
      <c r="AR37" s="278"/>
      <c r="AS37" s="278"/>
      <c r="AT37" s="278"/>
      <c r="AU37" s="278"/>
      <c r="AV37" s="278"/>
      <c r="AW37" s="278"/>
      <c r="AX37" s="278"/>
      <c r="AY37" s="278"/>
      <c r="AZ37" s="278"/>
      <c r="BA37" s="278"/>
      <c r="BB37" s="278"/>
      <c r="BC37" s="278"/>
      <c r="BD37" s="278"/>
      <c r="BE37" s="278"/>
      <c r="BF37" s="278"/>
      <c r="BG37" s="278"/>
      <c r="BH37" s="278"/>
      <c r="BI37" s="278"/>
      <c r="BJ37" s="278"/>
      <c r="BK37" s="278"/>
      <c r="BL37" s="278"/>
      <c r="BM37" s="278"/>
      <c r="BN37" s="278"/>
      <c r="BO37" s="278"/>
      <c r="BP37" s="278"/>
      <c r="BQ37" s="278"/>
      <c r="BR37" s="278"/>
      <c r="BS37" s="278"/>
      <c r="BT37" s="278"/>
      <c r="BU37" s="278"/>
      <c r="BV37" s="278"/>
      <c r="BW37" s="278"/>
      <c r="BX37" s="278"/>
      <c r="BY37" s="278"/>
      <c r="BZ37" s="278"/>
      <c r="CA37" s="278"/>
      <c r="CB37" s="278"/>
      <c r="CC37" s="278"/>
      <c r="CD37" s="278"/>
      <c r="CE37" s="278"/>
      <c r="CF37" s="278"/>
      <c r="CG37" s="278"/>
      <c r="CH37" s="278"/>
      <c r="CI37" s="278"/>
      <c r="CJ37" s="278"/>
      <c r="CK37" s="278"/>
      <c r="CL37" s="278"/>
      <c r="CM37" s="278"/>
      <c r="CN37" s="278"/>
      <c r="CO37" s="278"/>
      <c r="CP37" s="278"/>
      <c r="CQ37" s="278"/>
      <c r="CR37" s="278"/>
      <c r="CS37" s="278"/>
      <c r="CT37" s="278"/>
      <c r="CU37" s="278"/>
      <c r="CV37" s="278"/>
      <c r="CW37" s="278"/>
      <c r="CX37" s="278"/>
      <c r="CY37" s="278"/>
      <c r="CZ37" s="278"/>
      <c r="DA37" s="278"/>
      <c r="DB37" s="278"/>
      <c r="DC37" s="278"/>
      <c r="DD37" s="278"/>
      <c r="DE37" s="278"/>
      <c r="DF37" s="278"/>
      <c r="DG37" s="278"/>
    </row>
    <row r="38" spans="1:111" s="278" customFormat="1" ht="13.5" thickTop="1" thickBot="1" x14ac:dyDescent="0.3">
      <c r="A38" s="271" t="s">
        <v>604</v>
      </c>
      <c r="B38" s="78">
        <v>0.12</v>
      </c>
      <c r="C38" s="267">
        <f>VLOOKUP($A$4,INT_EST_PY,56,FALSE)</f>
        <v>0</v>
      </c>
      <c r="D38" s="267">
        <f>VLOOKUP($A$4,INT_EST_PY21,56,FALSE)</f>
        <v>0</v>
      </c>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row>
    <row r="39" spans="1:111" s="278" customFormat="1" ht="13" thickTop="1" x14ac:dyDescent="0.25">
      <c r="A39" s="271" t="s">
        <v>599</v>
      </c>
      <c r="B39" s="73">
        <v>0.2</v>
      </c>
      <c r="C39" s="267">
        <f>VLOOKUP($A$4,INT_EST_PY,111,FALSE)</f>
        <v>0</v>
      </c>
      <c r="D39" s="267">
        <f>VLOOKUP($A$4,INT_EST_PY21,111,FALSE)</f>
        <v>0</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row>
    <row r="40" spans="1:111" x14ac:dyDescent="0.25">
      <c r="A40" s="271" t="s">
        <v>551</v>
      </c>
      <c r="B40" s="281">
        <v>2.41</v>
      </c>
      <c r="C40" s="267">
        <f>VLOOKUP($A$4,INT_EST_PY,94,FALSE)</f>
        <v>0</v>
      </c>
      <c r="D40" s="267">
        <f>VLOOKUP($A$4,INT_EST_PY21,94,FALSE)</f>
        <v>0</v>
      </c>
    </row>
    <row r="41" spans="1:111" x14ac:dyDescent="0.25">
      <c r="A41" s="271" t="s">
        <v>556</v>
      </c>
      <c r="B41" s="282">
        <v>0.1</v>
      </c>
      <c r="C41" s="267">
        <f>VLOOKUP($A$4,INT_EST_PY,22,FALSE)</f>
        <v>0</v>
      </c>
      <c r="D41" s="267">
        <f>VLOOKUP($A$4,INT_EST_PY21,22,FALSE)</f>
        <v>0</v>
      </c>
    </row>
    <row r="42" spans="1:111" ht="13" thickBot="1" x14ac:dyDescent="0.3">
      <c r="A42" s="272" t="s">
        <v>637</v>
      </c>
      <c r="B42" s="272"/>
      <c r="C42" s="283">
        <f>VLOOKUP(A4,INT_EST_PY,159,FALSE)</f>
        <v>0.97327799999999998</v>
      </c>
      <c r="D42" s="283">
        <f>VLOOKUP($A$4,INT_EST_PY21,159,FALSE)</f>
        <v>0.97327799999999998</v>
      </c>
    </row>
    <row r="43" spans="1:111" s="286" customFormat="1" ht="13.5" thickTop="1" thickBot="1" x14ac:dyDescent="0.3">
      <c r="A43" s="284" t="s">
        <v>634</v>
      </c>
      <c r="B43" s="284"/>
      <c r="C43" s="285">
        <f>VLOOKUP($A$4,INT_EST_PY,167,FALSE)</f>
        <v>0</v>
      </c>
      <c r="D43" s="285">
        <f>VLOOKUP($A$4,INT_EST_PY21,167,FALSE)</f>
        <v>0</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row>
    <row r="44" spans="1:111" ht="13" thickTop="1" x14ac:dyDescent="0.25">
      <c r="A44" s="332" t="s">
        <v>985</v>
      </c>
      <c r="B44" s="335"/>
      <c r="C44" s="287" t="str">
        <f>' State Aid'!B139</f>
        <v>No</v>
      </c>
      <c r="D44" s="287" t="str">
        <f>Estimates!$E$64</f>
        <v>No</v>
      </c>
    </row>
    <row r="45" spans="1:111" x14ac:dyDescent="0.25">
      <c r="A45" s="333" t="s">
        <v>986</v>
      </c>
      <c r="B45" s="336"/>
      <c r="C45" s="287" t="str">
        <f>VLOOKUP($A$4,DATA!A:D,4,FALSE)</f>
        <v>NO</v>
      </c>
      <c r="D45" s="287" t="str">
        <f>VLOOKUP($A$4,DATA!A:D,4,FALSE)</f>
        <v>NO</v>
      </c>
    </row>
    <row r="46" spans="1:111" s="39" customFormat="1" x14ac:dyDescent="0.25">
      <c r="A46" s="333" t="s">
        <v>987</v>
      </c>
      <c r="B46" s="336"/>
      <c r="C46" s="267">
        <f>VLOOKUP($A$4,INT_EST_PY,53,FALSE)</f>
        <v>0</v>
      </c>
      <c r="D46" s="267">
        <f>VLOOKUP($A$4,INT_EST_PY21,53,FALSE)</f>
        <v>0</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row>
    <row r="47" spans="1:111" s="39" customFormat="1" x14ac:dyDescent="0.25">
      <c r="A47" s="334" t="s">
        <v>988</v>
      </c>
      <c r="B47" s="337"/>
      <c r="C47" s="331">
        <f>VLOOKUP($A$4,INT_EST_PY,95,FALSE)</f>
        <v>0</v>
      </c>
      <c r="D47" s="331">
        <f>VLOOKUP($A$4,INT_EST_PY21,95,FALSE)</f>
        <v>0</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row>
    <row r="48" spans="1:111" x14ac:dyDescent="0.25">
      <c r="A48" s="133" t="s">
        <v>600</v>
      </c>
      <c r="B48" s="338"/>
      <c r="C48" s="288"/>
      <c r="D48" s="288"/>
    </row>
    <row r="49" spans="1:4" x14ac:dyDescent="0.25">
      <c r="A49" s="333" t="s">
        <v>587</v>
      </c>
      <c r="B49" s="338"/>
      <c r="C49" s="288">
        <f>VLOOKUP(A4,INT_EST_PY,19,FALSE)</f>
        <v>319.71300000000002</v>
      </c>
      <c r="D49" s="288">
        <f>VLOOKUP($A$4,INT_EST_PY21,19,FALSE)</f>
        <v>319.71300000000002</v>
      </c>
    </row>
    <row r="50" spans="1:4" x14ac:dyDescent="0.25">
      <c r="A50" s="333" t="s">
        <v>601</v>
      </c>
      <c r="B50" s="338"/>
      <c r="C50" s="289">
        <f>VLOOKUP(A4,INT_EST_PY,36,FALSE)</f>
        <v>5104</v>
      </c>
      <c r="D50" s="289">
        <f>VLOOKUP($A$4,INT_EST_PY21,36,FALSE)</f>
        <v>5104</v>
      </c>
    </row>
    <row r="51" spans="1:4" x14ac:dyDescent="0.25">
      <c r="A51" s="333" t="s">
        <v>602</v>
      </c>
      <c r="B51" s="338"/>
      <c r="C51" s="290">
        <f>VLOOKUP(A4,INT_EST_PY,5,FALSE)</f>
        <v>5392</v>
      </c>
      <c r="D51" s="290">
        <f>VLOOKUP($A$4,INT_EST_PY21,5,FALSE)</f>
        <v>5392</v>
      </c>
    </row>
    <row r="52" spans="1:4" x14ac:dyDescent="0.25">
      <c r="A52" s="333" t="s">
        <v>603</v>
      </c>
      <c r="B52" s="338"/>
      <c r="C52" s="289">
        <f>VLOOKUP(A4,INT_EST_PY,12,FALSE)</f>
        <v>6554</v>
      </c>
      <c r="D52" s="289">
        <f>VLOOKUP($A$4,INT_EST_PY21,12,FALSE)</f>
        <v>6554</v>
      </c>
    </row>
    <row r="53" spans="1:4" x14ac:dyDescent="0.25">
      <c r="A53" s="333" t="s">
        <v>590</v>
      </c>
      <c r="B53" s="338"/>
      <c r="C53" s="291">
        <f>VLOOKUP(A4,INT_EST_PY,163,FALSE)</f>
        <v>6.1239999999999996E-2</v>
      </c>
      <c r="D53" s="291">
        <f>VLOOKUP($A$4,INT_EST_PY21,163,FALSE)</f>
        <v>6.1239999999999996E-2</v>
      </c>
    </row>
    <row r="54" spans="1:4" x14ac:dyDescent="0.25">
      <c r="A54" s="333" t="s">
        <v>591</v>
      </c>
      <c r="B54" s="338"/>
      <c r="C54" s="291">
        <f>VLOOKUP(A4,INT_EST_PY,164,FALSE)</f>
        <v>5.4803999999999999E-2</v>
      </c>
      <c r="D54" s="291">
        <f>VLOOKUP($A$4,INT_EST_PY21,164,FALSE)</f>
        <v>5.4803999999999999E-2</v>
      </c>
    </row>
    <row r="55" spans="1:4" x14ac:dyDescent="0.25">
      <c r="A55" s="333" t="s">
        <v>592</v>
      </c>
      <c r="B55" s="338"/>
      <c r="C55" s="292">
        <f>VLOOKUP(A4,INT_EST_PY,211,FALSE)</f>
        <v>0</v>
      </c>
      <c r="D55" s="292">
        <f>VLOOKUP($A$4,INT_EST_PY21,211,FALSE)</f>
        <v>0</v>
      </c>
    </row>
    <row r="56" spans="1:4" x14ac:dyDescent="0.25">
      <c r="A56" s="333" t="s">
        <v>593</v>
      </c>
      <c r="B56" s="338"/>
      <c r="C56" s="288">
        <v>38.68</v>
      </c>
      <c r="D56" s="288">
        <f t="shared" ref="D56:D58" si="3">C56</f>
        <v>38.68</v>
      </c>
    </row>
    <row r="57" spans="1:4" x14ac:dyDescent="0.25">
      <c r="A57" s="333" t="s">
        <v>594</v>
      </c>
      <c r="B57" s="338"/>
      <c r="C57" s="293">
        <v>126.888476</v>
      </c>
      <c r="D57" s="293">
        <f t="shared" si="3"/>
        <v>126.888476</v>
      </c>
    </row>
    <row r="58" spans="1:4" x14ac:dyDescent="0.25">
      <c r="A58" s="334" t="s">
        <v>595</v>
      </c>
      <c r="B58" s="339"/>
      <c r="C58" s="294">
        <v>31.95</v>
      </c>
      <c r="D58" s="294">
        <f t="shared" si="3"/>
        <v>31.95</v>
      </c>
    </row>
    <row r="59" spans="1:4" x14ac:dyDescent="0.25">
      <c r="A59" s="133" t="s">
        <v>448</v>
      </c>
      <c r="B59" s="340"/>
      <c r="C59" s="298"/>
      <c r="D59" s="298"/>
    </row>
    <row r="60" spans="1:4" x14ac:dyDescent="0.25">
      <c r="A60" s="333" t="s">
        <v>473</v>
      </c>
      <c r="B60" s="338"/>
      <c r="C60" s="276">
        <f t="shared" ref="C60" si="4">C37*C52</f>
        <v>0</v>
      </c>
      <c r="D60" s="276">
        <f>IF(D5=0,0,D37*D52)</f>
        <v>0</v>
      </c>
    </row>
    <row r="61" spans="1:4" x14ac:dyDescent="0.25">
      <c r="A61" s="333" t="s">
        <v>613</v>
      </c>
      <c r="B61" s="338"/>
      <c r="C61" s="276"/>
      <c r="D61" s="276"/>
    </row>
    <row r="62" spans="1:4" x14ac:dyDescent="0.25">
      <c r="A62" s="333" t="s">
        <v>614</v>
      </c>
      <c r="B62" s="338"/>
      <c r="C62" s="276">
        <f t="shared" ref="C62:D62" si="5">(C20-(C17*$B$17+C18*$B$18))*C52</f>
        <v>0</v>
      </c>
      <c r="D62" s="276">
        <f t="shared" si="5"/>
        <v>0</v>
      </c>
    </row>
    <row r="63" spans="1:4" x14ac:dyDescent="0.25">
      <c r="A63" s="333" t="s">
        <v>615</v>
      </c>
      <c r="B63" s="338"/>
      <c r="C63" s="276">
        <f t="shared" ref="C63:D63" si="6">C34*$B$34*C52</f>
        <v>0</v>
      </c>
      <c r="D63" s="276">
        <f t="shared" si="6"/>
        <v>0</v>
      </c>
    </row>
    <row r="64" spans="1:4" x14ac:dyDescent="0.25">
      <c r="A64" s="333" t="s">
        <v>616</v>
      </c>
      <c r="B64" s="338"/>
      <c r="C64" s="276">
        <f t="shared" ref="C64:D64" si="7">C18*$B$18*C52</f>
        <v>0</v>
      </c>
      <c r="D64" s="276">
        <f t="shared" si="7"/>
        <v>0</v>
      </c>
    </row>
    <row r="65" spans="1:4" x14ac:dyDescent="0.25">
      <c r="A65" s="333" t="s">
        <v>617</v>
      </c>
      <c r="B65" s="338"/>
      <c r="C65" s="276">
        <f t="shared" ref="C65:D65" si="8">C17*$B$17*C52</f>
        <v>0</v>
      </c>
      <c r="D65" s="276">
        <f t="shared" si="8"/>
        <v>0</v>
      </c>
    </row>
    <row r="66" spans="1:4" x14ac:dyDescent="0.25">
      <c r="A66" s="333" t="s">
        <v>618</v>
      </c>
      <c r="B66" s="338"/>
      <c r="C66" s="276">
        <f t="shared" ref="C66:D66" si="9">C33*C52*0.75</f>
        <v>0</v>
      </c>
      <c r="D66" s="276">
        <f t="shared" si="9"/>
        <v>0</v>
      </c>
    </row>
    <row r="67" spans="1:4" x14ac:dyDescent="0.25">
      <c r="A67" s="333" t="s">
        <v>709</v>
      </c>
      <c r="B67" s="338"/>
      <c r="C67" s="276">
        <f>VLOOKUP(A4,INT_EST_PY,135,FALSE)</f>
        <v>0</v>
      </c>
      <c r="D67" s="276">
        <f>VLOOKUP($A$4,INT_EST_PY21,135,FALSE)</f>
        <v>0</v>
      </c>
    </row>
    <row r="68" spans="1:4" x14ac:dyDescent="0.25">
      <c r="A68" s="500" t="s">
        <v>474</v>
      </c>
      <c r="B68" s="501"/>
      <c r="C68" s="502">
        <f>SUM(C62:C67)</f>
        <v>0</v>
      </c>
      <c r="D68" s="502">
        <f>SUM(D62:D67)</f>
        <v>0</v>
      </c>
    </row>
    <row r="69" spans="1:4" x14ac:dyDescent="0.25">
      <c r="A69" s="133" t="s">
        <v>619</v>
      </c>
      <c r="B69" s="336"/>
      <c r="C69" s="295"/>
      <c r="D69" s="295"/>
    </row>
    <row r="70" spans="1:4" x14ac:dyDescent="0.25">
      <c r="A70" s="133" t="s">
        <v>620</v>
      </c>
      <c r="B70" s="336"/>
      <c r="C70" s="276">
        <f t="shared" ref="C70" si="10">C35*$B$35*C52</f>
        <v>0</v>
      </c>
      <c r="D70" s="276">
        <f>IF(D5=0,0,D35*$B$35*D52)</f>
        <v>0</v>
      </c>
    </row>
    <row r="71" spans="1:4" x14ac:dyDescent="0.25">
      <c r="A71" s="133" t="s">
        <v>621</v>
      </c>
      <c r="B71" s="336"/>
      <c r="C71" s="276">
        <f t="shared" ref="C71:D71" si="11">C36*$B$36</f>
        <v>0</v>
      </c>
      <c r="D71" s="276">
        <f t="shared" si="11"/>
        <v>0</v>
      </c>
    </row>
    <row r="72" spans="1:4" x14ac:dyDescent="0.25">
      <c r="A72" s="133" t="s">
        <v>479</v>
      </c>
      <c r="B72" s="336"/>
      <c r="C72" s="276">
        <f>SUM(C70:C71)</f>
        <v>0</v>
      </c>
      <c r="D72" s="276">
        <f t="shared" ref="D72" si="12">SUM(D70:D71)</f>
        <v>0</v>
      </c>
    </row>
    <row r="73" spans="1:4" x14ac:dyDescent="0.25">
      <c r="A73" s="133" t="s">
        <v>612</v>
      </c>
      <c r="B73" s="336"/>
      <c r="C73" s="276">
        <f t="shared" ref="C73" si="13">C38*$B$38*C52</f>
        <v>0</v>
      </c>
      <c r="D73" s="276">
        <f>IF(D5=0,0,D38*$B$38*D52)</f>
        <v>0</v>
      </c>
    </row>
    <row r="74" spans="1:4" x14ac:dyDescent="0.25">
      <c r="A74" s="133" t="s">
        <v>633</v>
      </c>
      <c r="B74" s="336"/>
      <c r="C74" s="276"/>
      <c r="D74" s="276"/>
    </row>
    <row r="75" spans="1:4" x14ac:dyDescent="0.25">
      <c r="A75" s="133" t="s">
        <v>631</v>
      </c>
      <c r="B75" s="336"/>
      <c r="C75" s="276">
        <f t="shared" ref="C75" si="14">C39*$B$39*C52</f>
        <v>0</v>
      </c>
      <c r="D75" s="276">
        <f>IF(D5=0,0,D39*$B$39*D52)</f>
        <v>0</v>
      </c>
    </row>
    <row r="76" spans="1:4" x14ac:dyDescent="0.25">
      <c r="A76" s="133" t="s">
        <v>632</v>
      </c>
      <c r="B76" s="336"/>
      <c r="C76" s="276">
        <f t="shared" ref="C76:D76" si="15">C40*$B$40*C52</f>
        <v>0</v>
      </c>
      <c r="D76" s="276">
        <f t="shared" si="15"/>
        <v>0</v>
      </c>
    </row>
    <row r="77" spans="1:4" x14ac:dyDescent="0.25">
      <c r="A77" s="133" t="s">
        <v>475</v>
      </c>
      <c r="B77" s="336"/>
      <c r="C77" s="276">
        <f>SUM(C75:C76)</f>
        <v>0</v>
      </c>
      <c r="D77" s="276">
        <f t="shared" ref="D77" si="16">SUM(D75:D76)</f>
        <v>0</v>
      </c>
    </row>
    <row r="78" spans="1:4" x14ac:dyDescent="0.25">
      <c r="A78" s="133" t="s">
        <v>476</v>
      </c>
      <c r="B78" s="336"/>
      <c r="C78" s="276">
        <f t="shared" ref="C78:D78" si="17">C41*$B$41*C52</f>
        <v>0</v>
      </c>
      <c r="D78" s="276">
        <f t="shared" si="17"/>
        <v>0</v>
      </c>
    </row>
    <row r="79" spans="1:4" x14ac:dyDescent="0.25">
      <c r="A79" s="133" t="s">
        <v>483</v>
      </c>
      <c r="B79" s="336"/>
      <c r="C79" s="289">
        <f>VLOOKUP($A$4,INT_EST_PY,80,FALSE)</f>
        <v>0</v>
      </c>
      <c r="D79" s="289">
        <f>VLOOKUP($A$4,INT_EST_PY21,80,FALSE)</f>
        <v>0</v>
      </c>
    </row>
    <row r="80" spans="1:4" x14ac:dyDescent="0.25">
      <c r="A80" s="133" t="s">
        <v>568</v>
      </c>
      <c r="B80" s="336"/>
      <c r="C80" s="289"/>
      <c r="D80" s="289"/>
    </row>
    <row r="81" spans="1:4" x14ac:dyDescent="0.25">
      <c r="A81" s="133" t="s">
        <v>751</v>
      </c>
      <c r="B81" s="336"/>
      <c r="C81" s="289">
        <f>VLOOKUP(A4,INT_EST_PY,171,FALSE)</f>
        <v>0</v>
      </c>
      <c r="D81" s="289">
        <f>VLOOKUP($A$4,INT_EST_PY21,171,FALSE)</f>
        <v>0</v>
      </c>
    </row>
    <row r="82" spans="1:4" x14ac:dyDescent="0.25">
      <c r="A82" s="133" t="s">
        <v>628</v>
      </c>
      <c r="B82" s="336"/>
      <c r="C82" s="289">
        <f>VLOOKUP($A$4,INT_EST_PY,172,FALSE)</f>
        <v>0</v>
      </c>
      <c r="D82" s="289">
        <f>VLOOKUP($A$4,INT_EST_PY21,172,FALSE)</f>
        <v>0</v>
      </c>
    </row>
    <row r="83" spans="1:4" x14ac:dyDescent="0.25">
      <c r="A83" s="133" t="s">
        <v>713</v>
      </c>
      <c r="B83" s="336"/>
      <c r="C83" s="289">
        <f>VLOOKUP($A$4,INT_EST_PY,175,FALSE)</f>
        <v>0</v>
      </c>
      <c r="D83" s="289">
        <f>VLOOKUP($A$4,INT_EST_PY21,175,FALSE)</f>
        <v>0</v>
      </c>
    </row>
    <row r="84" spans="1:4" x14ac:dyDescent="0.25">
      <c r="A84" s="133" t="s">
        <v>472</v>
      </c>
      <c r="B84" s="336"/>
      <c r="C84" s="276">
        <f>SUM(C81:C83)</f>
        <v>0</v>
      </c>
      <c r="D84" s="276">
        <f>SUM(D81:D83)</f>
        <v>0</v>
      </c>
    </row>
    <row r="85" spans="1:4" x14ac:dyDescent="0.25">
      <c r="A85" s="133" t="s">
        <v>480</v>
      </c>
      <c r="B85" s="336"/>
      <c r="C85" s="276">
        <f t="shared" ref="C85:D85" si="18">IF(C5&gt;C6,C6*$B$6,C5*$B$6)</f>
        <v>0</v>
      </c>
      <c r="D85" s="276">
        <f t="shared" si="18"/>
        <v>0</v>
      </c>
    </row>
    <row r="86" spans="1:4" ht="13" thickBot="1" x14ac:dyDescent="0.3">
      <c r="A86" s="130" t="s">
        <v>624</v>
      </c>
      <c r="B86" s="341"/>
      <c r="C86" s="296">
        <f>+C60+C68+C72+C73+C77+C78+C79+C84+C85</f>
        <v>0</v>
      </c>
      <c r="D86" s="296">
        <f>+D60+D68+D72+D73+D77+D78+D79+D84+D85</f>
        <v>0</v>
      </c>
    </row>
    <row r="87" spans="1:4" ht="13" thickTop="1" x14ac:dyDescent="0.25">
      <c r="A87" s="351" t="s">
        <v>416</v>
      </c>
      <c r="B87" s="352"/>
      <c r="C87" s="297"/>
      <c r="D87" s="297"/>
    </row>
    <row r="88" spans="1:4" x14ac:dyDescent="0.25">
      <c r="A88" s="133" t="s">
        <v>477</v>
      </c>
      <c r="B88" s="340"/>
      <c r="C88" s="276">
        <f t="shared" ref="C88:D88" si="19">ROUND((C57*C43*C53*100),1)</f>
        <v>0</v>
      </c>
      <c r="D88" s="276">
        <f t="shared" si="19"/>
        <v>0</v>
      </c>
    </row>
    <row r="89" spans="1:4" x14ac:dyDescent="0.25">
      <c r="A89" s="133" t="s">
        <v>478</v>
      </c>
      <c r="B89" s="340"/>
      <c r="C89" s="276">
        <f t="shared" ref="C89:D89" si="20">ROUND((C58*C43*C54*100),1)</f>
        <v>0</v>
      </c>
      <c r="D89" s="276">
        <f t="shared" si="20"/>
        <v>0</v>
      </c>
    </row>
    <row r="90" spans="1:4" ht="13" thickBot="1" x14ac:dyDescent="0.3">
      <c r="A90" s="342" t="s">
        <v>625</v>
      </c>
      <c r="B90" s="345"/>
      <c r="C90" s="299">
        <f>SUM(C88:C89)</f>
        <v>0</v>
      </c>
      <c r="D90" s="299">
        <f>SUM(D88:D89)</f>
        <v>0</v>
      </c>
    </row>
    <row r="91" spans="1:4" ht="13" thickTop="1" x14ac:dyDescent="0.25">
      <c r="A91" s="140" t="s">
        <v>11</v>
      </c>
      <c r="B91" s="346"/>
      <c r="C91" s="276"/>
      <c r="D91" s="276"/>
    </row>
    <row r="92" spans="1:4" x14ac:dyDescent="0.25">
      <c r="A92" s="343" t="s">
        <v>481</v>
      </c>
      <c r="B92" s="347"/>
      <c r="C92" s="276">
        <f t="shared" ref="C92:D92" si="21">IF(C44="YES", IFERROR(ROUND((C5*C55*C56*100),1),0), 0)</f>
        <v>0</v>
      </c>
      <c r="D92" s="276">
        <f t="shared" si="21"/>
        <v>0</v>
      </c>
    </row>
    <row r="93" spans="1:4" x14ac:dyDescent="0.25">
      <c r="A93" s="343" t="s">
        <v>626</v>
      </c>
      <c r="B93" s="347"/>
      <c r="C93" s="276">
        <f t="shared" ref="C93:D93" si="22">IF(C45="YES",C46*500+C47*250,0)</f>
        <v>0</v>
      </c>
      <c r="D93" s="276">
        <f t="shared" si="22"/>
        <v>0</v>
      </c>
    </row>
    <row r="94" spans="1:4" ht="13" thickBot="1" x14ac:dyDescent="0.3">
      <c r="A94" s="342" t="s">
        <v>622</v>
      </c>
      <c r="B94" s="345"/>
      <c r="C94" s="300">
        <f t="shared" ref="C94:D94" si="23">+C93+C92</f>
        <v>0</v>
      </c>
      <c r="D94" s="300">
        <f t="shared" si="23"/>
        <v>0</v>
      </c>
    </row>
    <row r="95" spans="1:4" s="53" customFormat="1" ht="13.5" thickTop="1" thickBot="1" x14ac:dyDescent="0.3">
      <c r="A95" s="344" t="s">
        <v>623</v>
      </c>
      <c r="B95" s="348"/>
      <c r="C95" s="276">
        <f t="shared" ref="C95:D95" si="24">C86+C90+C94</f>
        <v>0</v>
      </c>
      <c r="D95" s="276">
        <f t="shared" si="24"/>
        <v>0</v>
      </c>
    </row>
    <row r="96" spans="1:4" ht="13" thickTop="1" x14ac:dyDescent="0.25">
      <c r="A96" s="353" t="s">
        <v>982</v>
      </c>
      <c r="B96" s="349" t="s">
        <v>449</v>
      </c>
      <c r="C96" s="301">
        <f t="shared" ref="C96" si="25">C7*C49</f>
        <v>0</v>
      </c>
      <c r="D96" s="301">
        <f>D7*D49</f>
        <v>0</v>
      </c>
    </row>
    <row r="97" spans="1:5" ht="13" thickBot="1" x14ac:dyDescent="0.3">
      <c r="A97" s="355" t="s">
        <v>983</v>
      </c>
      <c r="B97" s="40" t="s">
        <v>450</v>
      </c>
      <c r="C97" s="356">
        <f>C95-C96</f>
        <v>0</v>
      </c>
      <c r="D97" s="356">
        <f t="shared" ref="D97" si="26">D95-D96</f>
        <v>0</v>
      </c>
    </row>
    <row r="98" spans="1:5" x14ac:dyDescent="0.25">
      <c r="A98" s="357" t="s">
        <v>795</v>
      </c>
      <c r="B98" s="358"/>
      <c r="C98" s="359">
        <f>C86+C90+C94</f>
        <v>0</v>
      </c>
      <c r="D98" s="359">
        <f>D86+D90+D94</f>
        <v>0</v>
      </c>
      <c r="E98" s="302"/>
    </row>
    <row r="99" spans="1:5" x14ac:dyDescent="0.25">
      <c r="A99" s="360" t="s">
        <v>793</v>
      </c>
      <c r="B99" s="350"/>
      <c r="C99" s="303">
        <f>VLOOKUP($A$4,INT_EST_PY,168,FALSE)</f>
        <v>0</v>
      </c>
      <c r="D99" s="303">
        <f>VLOOKUP($A$4,INT_EST_PY21,168,FALSE)</f>
        <v>0</v>
      </c>
      <c r="E99" s="302"/>
    </row>
    <row r="100" spans="1:5" x14ac:dyDescent="0.25">
      <c r="A100" s="361" t="s">
        <v>794</v>
      </c>
      <c r="B100" s="347"/>
      <c r="C100" s="276">
        <f>IFERROR(C99/C5,0)</f>
        <v>0</v>
      </c>
      <c r="D100" s="276">
        <f>IFERROR(D99/D5,0)</f>
        <v>0</v>
      </c>
    </row>
    <row r="101" spans="1:5" x14ac:dyDescent="0.25">
      <c r="A101" s="361" t="s">
        <v>796</v>
      </c>
      <c r="B101" s="347"/>
      <c r="C101" s="276">
        <f>C100*1.03</f>
        <v>0</v>
      </c>
      <c r="D101" s="276">
        <f>D100*1.03</f>
        <v>0</v>
      </c>
    </row>
    <row r="102" spans="1:5" x14ac:dyDescent="0.25">
      <c r="A102" s="361" t="s">
        <v>797</v>
      </c>
      <c r="B102" s="347"/>
      <c r="C102" s="276">
        <f>VLOOKUP(A4,FTG,6,FALSE)*1.28</f>
        <v>11851.52</v>
      </c>
      <c r="D102" s="276">
        <f>VLOOKUP(A4,'FTG21'!A:AZ,6,FALSE)*1.28</f>
        <v>11539.2</v>
      </c>
    </row>
    <row r="103" spans="1:5" ht="13" thickBot="1" x14ac:dyDescent="0.3">
      <c r="A103" s="634" t="s">
        <v>1933</v>
      </c>
      <c r="B103" s="635"/>
      <c r="C103" s="503">
        <f>MIN(C101,C102)</f>
        <v>0</v>
      </c>
      <c r="D103" s="503">
        <f>MIN(D101,D102)</f>
        <v>0</v>
      </c>
    </row>
  </sheetData>
  <sheetProtection algorithmName="SHA-512" hashValue="kDsWfTmww4akc0I4slHP6KoAoUAna8PCRoMNstv+1blShMdFWd7VE30ZaodaV9Wp943iCrxReQ9WkSGwpwsbbA==" saltValue="Uiu35wBfAhROsoGUo0zGGg==" spinCount="100000" sheet="1" objects="1" scenarios="1"/>
  <phoneticPr fontId="6" type="noConversion"/>
  <pageMargins left="0.25" right="0.25" top="1" bottom="0.71" header="0.3" footer="0.3"/>
  <pageSetup scale="93" fitToHeight="0" orientation="portrait" horizontalDpi="360" verticalDpi="360" r:id="rId1"/>
  <headerFooter>
    <oddHeader xml:space="preserve">&amp;C&amp;"Arial,Bold"Summary of Finance Calculations
Prior Law
 As FSP Existed January 2019&amp;"Arial,Regular"
</oddHeader>
    <oddFooter>&amp;R&amp;"Arial Nova,Regular"&amp;11&amp;P of &amp;N</oddFooter>
  </headerFooter>
  <rowBreaks count="2" manualBreakCount="2">
    <brk id="47" max="3" man="1"/>
    <brk id="86" max="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39997558519241921"/>
    <pageSetUpPr fitToPage="1"/>
  </sheetPr>
  <dimension ref="A2:AO46"/>
  <sheetViews>
    <sheetView zoomScaleNormal="100" workbookViewId="0"/>
  </sheetViews>
  <sheetFormatPr defaultColWidth="14.81640625" defaultRowHeight="12.5" x14ac:dyDescent="0.25"/>
  <cols>
    <col min="1" max="1" width="45.1796875" style="52" customWidth="1"/>
    <col min="2" max="7" width="12.54296875" style="52" customWidth="1"/>
    <col min="8" max="8" width="14.1796875" style="52" customWidth="1"/>
    <col min="9" max="9" width="34" style="52" customWidth="1"/>
    <col min="10" max="10" width="14.81640625" style="52" customWidth="1"/>
    <col min="11" max="13" width="14.81640625" style="52"/>
    <col min="14" max="14" width="14.81640625" style="52" customWidth="1"/>
    <col min="15" max="15" width="3.1796875" style="52" customWidth="1"/>
    <col min="16" max="17" width="14.81640625" style="52"/>
    <col min="18" max="18" width="1.26953125" style="52" customWidth="1"/>
    <col min="19" max="20" width="14.81640625" style="52"/>
    <col min="21" max="21" width="14.81640625" style="52" customWidth="1"/>
    <col min="22" max="40" width="14.81640625" style="52"/>
    <col min="41" max="41" width="15.54296875" style="52" bestFit="1" customWidth="1"/>
    <col min="42" max="16384" width="14.81640625" style="52"/>
  </cols>
  <sheetData>
    <row r="2" spans="1:41" s="19" customFormat="1" ht="13" x14ac:dyDescent="0.3">
      <c r="A2" s="362" t="s">
        <v>989</v>
      </c>
      <c r="B2" s="363">
        <v>1</v>
      </c>
      <c r="C2" s="363">
        <v>2</v>
      </c>
      <c r="D2" s="363">
        <v>3</v>
      </c>
      <c r="E2" s="363">
        <v>4</v>
      </c>
      <c r="F2" s="363">
        <v>5</v>
      </c>
      <c r="G2" s="363">
        <v>6</v>
      </c>
      <c r="H2" s="363" t="s">
        <v>990</v>
      </c>
      <c r="I2" s="364"/>
      <c r="J2" s="365"/>
      <c r="K2" s="318"/>
      <c r="L2" s="318"/>
      <c r="M2" s="318"/>
      <c r="N2" s="318"/>
      <c r="O2" s="318"/>
      <c r="P2" s="318"/>
      <c r="Q2" s="318"/>
      <c r="R2" s="318"/>
      <c r="AO2" s="366"/>
    </row>
    <row r="3" spans="1:41" s="19" customFormat="1" ht="13" x14ac:dyDescent="0.3">
      <c r="A3" s="379" t="s">
        <v>387</v>
      </c>
      <c r="B3" s="380"/>
      <c r="C3" s="380"/>
      <c r="D3" s="380"/>
      <c r="E3" s="380"/>
      <c r="F3" s="380"/>
      <c r="G3" s="380"/>
      <c r="H3" s="380"/>
      <c r="I3" s="381"/>
      <c r="J3" s="318"/>
      <c r="K3" s="318"/>
      <c r="L3" s="318"/>
      <c r="M3" s="318"/>
      <c r="N3" s="318"/>
      <c r="O3" s="318"/>
      <c r="P3" s="318"/>
      <c r="Q3" s="318"/>
      <c r="R3" s="318"/>
    </row>
    <row r="4" spans="1:41" x14ac:dyDescent="0.25">
      <c r="A4" s="305" t="s">
        <v>388</v>
      </c>
      <c r="B4" s="374">
        <v>0</v>
      </c>
      <c r="C4" s="374">
        <f t="shared" ref="C4:G5" si="0">B4</f>
        <v>0</v>
      </c>
      <c r="D4" s="374">
        <f t="shared" si="0"/>
        <v>0</v>
      </c>
      <c r="E4" s="374">
        <f t="shared" si="0"/>
        <v>0</v>
      </c>
      <c r="F4" s="374">
        <f t="shared" si="0"/>
        <v>0</v>
      </c>
      <c r="G4" s="374">
        <f t="shared" si="0"/>
        <v>0</v>
      </c>
      <c r="H4" s="306">
        <f>AVERAGE(B4:G4)</f>
        <v>0</v>
      </c>
      <c r="I4" s="307"/>
      <c r="J4" s="286"/>
      <c r="K4" s="286"/>
      <c r="L4" s="286"/>
      <c r="M4" s="286"/>
      <c r="N4" s="286"/>
      <c r="O4" s="286"/>
      <c r="P4" s="286"/>
      <c r="Q4" s="286"/>
      <c r="R4" s="286"/>
    </row>
    <row r="5" spans="1:41" x14ac:dyDescent="0.25">
      <c r="A5" s="305" t="s">
        <v>389</v>
      </c>
      <c r="B5" s="374">
        <v>0</v>
      </c>
      <c r="C5" s="374">
        <f t="shared" si="0"/>
        <v>0</v>
      </c>
      <c r="D5" s="374">
        <f>Estimates!E1168</f>
        <v>0</v>
      </c>
      <c r="E5" s="374">
        <f t="shared" si="0"/>
        <v>0</v>
      </c>
      <c r="F5" s="374">
        <f t="shared" si="0"/>
        <v>0</v>
      </c>
      <c r="G5" s="374">
        <f t="shared" si="0"/>
        <v>0</v>
      </c>
      <c r="H5" s="306">
        <f t="shared" ref="H5:H24" si="1">AVERAGE(B5:G5)</f>
        <v>0</v>
      </c>
      <c r="I5" s="307"/>
      <c r="J5" s="286"/>
      <c r="K5" s="286"/>
      <c r="L5" s="286"/>
      <c r="M5" s="286"/>
      <c r="N5" s="286"/>
      <c r="O5" s="286"/>
      <c r="P5" s="286"/>
      <c r="Q5" s="286"/>
      <c r="R5" s="286"/>
    </row>
    <row r="6" spans="1:41" x14ac:dyDescent="0.25">
      <c r="A6" s="305" t="s">
        <v>390</v>
      </c>
      <c r="B6" s="374">
        <f>B4-B5</f>
        <v>0</v>
      </c>
      <c r="C6" s="374">
        <f t="shared" ref="C6:G6" si="2">C4-C5</f>
        <v>0</v>
      </c>
      <c r="D6" s="374">
        <f t="shared" si="2"/>
        <v>0</v>
      </c>
      <c r="E6" s="374">
        <f t="shared" si="2"/>
        <v>0</v>
      </c>
      <c r="F6" s="374">
        <f t="shared" si="2"/>
        <v>0</v>
      </c>
      <c r="G6" s="374">
        <f t="shared" si="2"/>
        <v>0</v>
      </c>
      <c r="H6" s="306">
        <f t="shared" si="1"/>
        <v>0</v>
      </c>
      <c r="I6" s="307"/>
      <c r="J6" s="286"/>
      <c r="K6" s="286"/>
      <c r="L6" s="286"/>
      <c r="M6" s="286"/>
      <c r="N6" s="286"/>
      <c r="O6" s="286"/>
      <c r="P6" s="286"/>
      <c r="Q6" s="286"/>
      <c r="R6" s="286"/>
    </row>
    <row r="7" spans="1:41" x14ac:dyDescent="0.25">
      <c r="A7" s="305" t="s">
        <v>391</v>
      </c>
      <c r="B7" s="374">
        <v>0</v>
      </c>
      <c r="C7" s="374">
        <f>B7</f>
        <v>0</v>
      </c>
      <c r="D7" s="374">
        <f>C7</f>
        <v>0</v>
      </c>
      <c r="E7" s="374">
        <f>D7</f>
        <v>0</v>
      </c>
      <c r="F7" s="374">
        <f>E7</f>
        <v>0</v>
      </c>
      <c r="G7" s="374">
        <f>F7</f>
        <v>0</v>
      </c>
      <c r="H7" s="306">
        <f t="shared" si="1"/>
        <v>0</v>
      </c>
      <c r="I7" s="307"/>
      <c r="J7" s="286"/>
      <c r="K7" s="286"/>
      <c r="L7" s="286"/>
      <c r="M7" s="286"/>
      <c r="N7" s="286"/>
      <c r="O7" s="286"/>
      <c r="P7" s="286"/>
      <c r="Q7" s="286"/>
      <c r="R7" s="286"/>
    </row>
    <row r="8" spans="1:41" x14ac:dyDescent="0.25">
      <c r="A8" s="305" t="s">
        <v>392</v>
      </c>
      <c r="B8" s="374">
        <f>B6-B7</f>
        <v>0</v>
      </c>
      <c r="C8" s="374">
        <f t="shared" ref="C8:G8" si="3">C6-C7</f>
        <v>0</v>
      </c>
      <c r="D8" s="374">
        <f t="shared" si="3"/>
        <v>0</v>
      </c>
      <c r="E8" s="374">
        <f t="shared" si="3"/>
        <v>0</v>
      </c>
      <c r="F8" s="374">
        <f t="shared" si="3"/>
        <v>0</v>
      </c>
      <c r="G8" s="374">
        <f t="shared" si="3"/>
        <v>0</v>
      </c>
      <c r="H8" s="306">
        <f t="shared" si="1"/>
        <v>0</v>
      </c>
      <c r="I8" s="307"/>
      <c r="J8" s="286"/>
      <c r="K8" s="286"/>
      <c r="L8" s="286"/>
      <c r="M8" s="286"/>
      <c r="N8" s="286"/>
      <c r="O8" s="286"/>
      <c r="P8" s="286"/>
      <c r="Q8" s="286"/>
      <c r="R8" s="286"/>
    </row>
    <row r="9" spans="1:41" s="19" customFormat="1" ht="13" x14ac:dyDescent="0.3">
      <c r="A9" s="367" t="s">
        <v>393</v>
      </c>
      <c r="B9" s="375">
        <v>0</v>
      </c>
      <c r="C9" s="375">
        <f>B9</f>
        <v>0</v>
      </c>
      <c r="D9" s="375">
        <f>C9</f>
        <v>0</v>
      </c>
      <c r="E9" s="375">
        <f>D9</f>
        <v>0</v>
      </c>
      <c r="F9" s="375">
        <f>E9</f>
        <v>0</v>
      </c>
      <c r="G9" s="375">
        <f>F9</f>
        <v>0</v>
      </c>
      <c r="H9" s="368">
        <f>AVERAGE(B9:G9)</f>
        <v>0</v>
      </c>
      <c r="I9" s="369"/>
      <c r="J9" s="318"/>
      <c r="K9" s="318"/>
      <c r="L9" s="318"/>
      <c r="M9" s="318"/>
      <c r="N9" s="318"/>
      <c r="O9" s="318"/>
      <c r="P9" s="318"/>
      <c r="Q9" s="318"/>
      <c r="R9" s="318"/>
    </row>
    <row r="10" spans="1:41" x14ac:dyDescent="0.25">
      <c r="A10" s="305" t="s">
        <v>993</v>
      </c>
      <c r="B10" s="374">
        <v>0</v>
      </c>
      <c r="C10" s="374">
        <f t="shared" ref="C10:G11" si="4">B10</f>
        <v>0</v>
      </c>
      <c r="D10" s="374">
        <f t="shared" si="4"/>
        <v>0</v>
      </c>
      <c r="E10" s="374">
        <f t="shared" si="4"/>
        <v>0</v>
      </c>
      <c r="F10" s="374">
        <f t="shared" si="4"/>
        <v>0</v>
      </c>
      <c r="G10" s="374">
        <f t="shared" si="4"/>
        <v>0</v>
      </c>
      <c r="H10" s="306">
        <f t="shared" si="1"/>
        <v>0</v>
      </c>
      <c r="I10" s="307"/>
      <c r="J10" s="286"/>
      <c r="K10" s="286"/>
      <c r="L10" s="286"/>
      <c r="M10" s="286"/>
      <c r="N10" s="286"/>
      <c r="O10" s="286"/>
      <c r="P10" s="286"/>
      <c r="Q10" s="286"/>
      <c r="R10" s="286"/>
    </row>
    <row r="11" spans="1:41" s="19" customFormat="1" ht="13" x14ac:dyDescent="0.3">
      <c r="A11" s="367" t="s">
        <v>994</v>
      </c>
      <c r="B11" s="376">
        <v>0</v>
      </c>
      <c r="C11" s="376">
        <f t="shared" si="4"/>
        <v>0</v>
      </c>
      <c r="D11" s="376">
        <f t="shared" si="4"/>
        <v>0</v>
      </c>
      <c r="E11" s="376">
        <f t="shared" si="4"/>
        <v>0</v>
      </c>
      <c r="F11" s="376">
        <f t="shared" si="4"/>
        <v>0</v>
      </c>
      <c r="G11" s="376">
        <f t="shared" si="4"/>
        <v>0</v>
      </c>
      <c r="H11" s="368">
        <f>AVERAGE(B11:G11)</f>
        <v>0</v>
      </c>
      <c r="I11" s="369"/>
      <c r="J11" s="318"/>
      <c r="K11" s="318"/>
      <c r="L11" s="318"/>
      <c r="M11" s="318"/>
      <c r="N11" s="318"/>
      <c r="O11" s="318"/>
      <c r="P11" s="318"/>
      <c r="Q11" s="318"/>
      <c r="R11" s="318"/>
    </row>
    <row r="12" spans="1:41" x14ac:dyDescent="0.25">
      <c r="A12" s="305" t="s">
        <v>1077</v>
      </c>
      <c r="B12" s="374">
        <v>0</v>
      </c>
      <c r="C12" s="374">
        <f t="shared" ref="C12:C13" si="5">B12</f>
        <v>0</v>
      </c>
      <c r="D12" s="374">
        <f t="shared" ref="D12:D13" si="6">C12</f>
        <v>0</v>
      </c>
      <c r="E12" s="374">
        <f t="shared" ref="E12:E13" si="7">D12</f>
        <v>0</v>
      </c>
      <c r="F12" s="374">
        <f t="shared" ref="F12:F13" si="8">E12</f>
        <v>0</v>
      </c>
      <c r="G12" s="374">
        <f t="shared" ref="G12:G13" si="9">F12</f>
        <v>0</v>
      </c>
      <c r="H12" s="306">
        <f t="shared" si="1"/>
        <v>0</v>
      </c>
      <c r="I12" s="307"/>
      <c r="J12" s="286"/>
      <c r="K12" s="286"/>
      <c r="L12" s="286"/>
      <c r="M12" s="286"/>
      <c r="N12" s="286"/>
      <c r="O12" s="286"/>
      <c r="P12" s="286"/>
      <c r="Q12" s="286"/>
      <c r="R12" s="286"/>
    </row>
    <row r="13" spans="1:41" s="19" customFormat="1" ht="13" x14ac:dyDescent="0.3">
      <c r="A13" s="367" t="s">
        <v>1079</v>
      </c>
      <c r="B13" s="376">
        <v>0</v>
      </c>
      <c r="C13" s="376">
        <f t="shared" si="5"/>
        <v>0</v>
      </c>
      <c r="D13" s="376">
        <f t="shared" si="6"/>
        <v>0</v>
      </c>
      <c r="E13" s="376">
        <f t="shared" si="7"/>
        <v>0</v>
      </c>
      <c r="F13" s="376">
        <f t="shared" si="8"/>
        <v>0</v>
      </c>
      <c r="G13" s="376">
        <f t="shared" si="9"/>
        <v>0</v>
      </c>
      <c r="H13" s="368">
        <f>AVERAGE(B13:G13)</f>
        <v>0</v>
      </c>
      <c r="I13" s="369"/>
      <c r="J13" s="318"/>
      <c r="K13" s="318"/>
      <c r="L13" s="318"/>
      <c r="M13" s="318"/>
      <c r="N13" s="318"/>
      <c r="O13" s="318"/>
      <c r="P13" s="318"/>
      <c r="Q13" s="318"/>
      <c r="R13" s="318"/>
    </row>
    <row r="14" spans="1:41" x14ac:dyDescent="0.25">
      <c r="A14" s="305" t="s">
        <v>1080</v>
      </c>
      <c r="B14" s="374">
        <v>0</v>
      </c>
      <c r="C14" s="374">
        <f t="shared" ref="C14:C15" si="10">B14</f>
        <v>0</v>
      </c>
      <c r="D14" s="374">
        <f t="shared" ref="D14:D15" si="11">C14</f>
        <v>0</v>
      </c>
      <c r="E14" s="374">
        <f t="shared" ref="E14:E15" si="12">D14</f>
        <v>0</v>
      </c>
      <c r="F14" s="374">
        <f t="shared" ref="F14:F15" si="13">E14</f>
        <v>0</v>
      </c>
      <c r="G14" s="374">
        <f t="shared" ref="G14:G15" si="14">F14</f>
        <v>0</v>
      </c>
      <c r="H14" s="306">
        <f t="shared" si="1"/>
        <v>0</v>
      </c>
      <c r="I14" s="307"/>
      <c r="J14" s="286"/>
      <c r="K14" s="286"/>
      <c r="L14" s="286"/>
      <c r="M14" s="286"/>
      <c r="N14" s="286"/>
      <c r="O14" s="286"/>
      <c r="P14" s="286"/>
      <c r="Q14" s="286"/>
      <c r="R14" s="286"/>
    </row>
    <row r="15" spans="1:41" s="19" customFormat="1" ht="13" x14ac:dyDescent="0.3">
      <c r="A15" s="367" t="s">
        <v>1078</v>
      </c>
      <c r="B15" s="376">
        <v>0</v>
      </c>
      <c r="C15" s="376">
        <f t="shared" si="10"/>
        <v>0</v>
      </c>
      <c r="D15" s="376">
        <f t="shared" si="11"/>
        <v>0</v>
      </c>
      <c r="E15" s="376">
        <f t="shared" si="12"/>
        <v>0</v>
      </c>
      <c r="F15" s="376">
        <f t="shared" si="13"/>
        <v>0</v>
      </c>
      <c r="G15" s="376">
        <f t="shared" si="14"/>
        <v>0</v>
      </c>
      <c r="H15" s="368">
        <f>AVERAGE(B15:G15)</f>
        <v>0</v>
      </c>
      <c r="I15" s="369"/>
      <c r="J15" s="318"/>
      <c r="K15" s="318"/>
      <c r="L15" s="318"/>
      <c r="M15" s="318"/>
      <c r="N15" s="318"/>
      <c r="O15" s="318"/>
      <c r="P15" s="318"/>
      <c r="Q15" s="318"/>
      <c r="R15" s="318"/>
    </row>
    <row r="16" spans="1:41" x14ac:dyDescent="0.25">
      <c r="A16" s="305" t="s">
        <v>991</v>
      </c>
      <c r="B16" s="374">
        <v>0</v>
      </c>
      <c r="C16" s="374">
        <f t="shared" ref="C16:C17" si="15">B16</f>
        <v>0</v>
      </c>
      <c r="D16" s="374">
        <f t="shared" ref="D16:D17" si="16">C16</f>
        <v>0</v>
      </c>
      <c r="E16" s="374">
        <f t="shared" ref="E16:E17" si="17">D16</f>
        <v>0</v>
      </c>
      <c r="F16" s="374">
        <f t="shared" ref="F16:F17" si="18">E16</f>
        <v>0</v>
      </c>
      <c r="G16" s="374">
        <f t="shared" ref="G16:G17" si="19">F16</f>
        <v>0</v>
      </c>
      <c r="H16" s="306">
        <f t="shared" si="1"/>
        <v>0</v>
      </c>
      <c r="I16" s="307"/>
      <c r="J16" s="286"/>
      <c r="K16" s="286"/>
      <c r="L16" s="286"/>
      <c r="M16" s="286"/>
      <c r="N16" s="286"/>
      <c r="O16" s="286"/>
      <c r="P16" s="286"/>
      <c r="Q16" s="286"/>
      <c r="R16" s="286"/>
    </row>
    <row r="17" spans="1:18" s="19" customFormat="1" ht="13" x14ac:dyDescent="0.3">
      <c r="A17" s="367" t="s">
        <v>992</v>
      </c>
      <c r="B17" s="376">
        <v>0</v>
      </c>
      <c r="C17" s="376">
        <f t="shared" si="15"/>
        <v>0</v>
      </c>
      <c r="D17" s="376">
        <f t="shared" si="16"/>
        <v>0</v>
      </c>
      <c r="E17" s="376">
        <f t="shared" si="17"/>
        <v>0</v>
      </c>
      <c r="F17" s="376">
        <f t="shared" si="18"/>
        <v>0</v>
      </c>
      <c r="G17" s="376">
        <f t="shared" si="19"/>
        <v>0</v>
      </c>
      <c r="H17" s="368">
        <f>AVERAGE(B17:G17)</f>
        <v>0</v>
      </c>
      <c r="I17" s="369"/>
      <c r="J17" s="318"/>
      <c r="K17" s="318"/>
      <c r="L17" s="318"/>
      <c r="M17" s="318"/>
      <c r="N17" s="318"/>
      <c r="O17" s="318"/>
      <c r="P17" s="318"/>
      <c r="Q17" s="318"/>
      <c r="R17" s="318"/>
    </row>
    <row r="18" spans="1:18" x14ac:dyDescent="0.25">
      <c r="A18" s="305" t="s">
        <v>747</v>
      </c>
      <c r="B18" s="374">
        <v>0</v>
      </c>
      <c r="C18" s="374">
        <f t="shared" ref="C18:C20" si="20">B18</f>
        <v>0</v>
      </c>
      <c r="D18" s="374">
        <f t="shared" ref="D18:D20" si="21">C18</f>
        <v>0</v>
      </c>
      <c r="E18" s="374">
        <f t="shared" ref="E18:E20" si="22">D18</f>
        <v>0</v>
      </c>
      <c r="F18" s="374">
        <f t="shared" ref="F18:F20" si="23">E18</f>
        <v>0</v>
      </c>
      <c r="G18" s="374">
        <f t="shared" ref="G18:G20" si="24">F18</f>
        <v>0</v>
      </c>
      <c r="H18" s="306">
        <f t="shared" si="1"/>
        <v>0</v>
      </c>
      <c r="I18" s="307"/>
      <c r="J18" s="286"/>
      <c r="K18" s="286"/>
      <c r="L18" s="286"/>
      <c r="M18" s="286"/>
      <c r="N18" s="286"/>
      <c r="O18" s="286"/>
      <c r="P18" s="286"/>
      <c r="Q18" s="286"/>
      <c r="R18" s="286"/>
    </row>
    <row r="19" spans="1:18" s="19" customFormat="1" ht="13" x14ac:dyDescent="0.3">
      <c r="A19" s="367" t="s">
        <v>748</v>
      </c>
      <c r="B19" s="376">
        <v>0</v>
      </c>
      <c r="C19" s="376">
        <f t="shared" si="20"/>
        <v>0</v>
      </c>
      <c r="D19" s="376">
        <f t="shared" si="21"/>
        <v>0</v>
      </c>
      <c r="E19" s="376">
        <f t="shared" si="22"/>
        <v>0</v>
      </c>
      <c r="F19" s="376">
        <f t="shared" si="23"/>
        <v>0</v>
      </c>
      <c r="G19" s="376">
        <f t="shared" si="24"/>
        <v>0</v>
      </c>
      <c r="H19" s="368">
        <f>AVERAGE(B19:G19)</f>
        <v>0</v>
      </c>
      <c r="I19" s="369"/>
      <c r="J19" s="318"/>
      <c r="K19" s="318"/>
      <c r="L19" s="318"/>
      <c r="M19" s="318"/>
      <c r="N19" s="318"/>
      <c r="O19" s="318"/>
      <c r="P19" s="318"/>
      <c r="Q19" s="318"/>
      <c r="R19" s="318"/>
    </row>
    <row r="20" spans="1:18" x14ac:dyDescent="0.25">
      <c r="A20" s="305" t="s">
        <v>749</v>
      </c>
      <c r="B20" s="377">
        <v>0</v>
      </c>
      <c r="C20" s="377">
        <f t="shared" si="20"/>
        <v>0</v>
      </c>
      <c r="D20" s="377">
        <f t="shared" si="21"/>
        <v>0</v>
      </c>
      <c r="E20" s="377">
        <f t="shared" si="22"/>
        <v>0</v>
      </c>
      <c r="F20" s="377">
        <f t="shared" si="23"/>
        <v>0</v>
      </c>
      <c r="G20" s="377">
        <f t="shared" si="24"/>
        <v>0</v>
      </c>
      <c r="H20" s="308">
        <f t="shared" si="1"/>
        <v>0</v>
      </c>
      <c r="I20" s="307"/>
      <c r="J20" s="286"/>
      <c r="K20" s="286"/>
      <c r="L20" s="286"/>
      <c r="M20" s="286"/>
      <c r="N20" s="286"/>
      <c r="O20" s="286"/>
      <c r="P20" s="286"/>
      <c r="Q20" s="286"/>
      <c r="R20" s="286"/>
    </row>
    <row r="21" spans="1:18" s="19" customFormat="1" ht="13" x14ac:dyDescent="0.3">
      <c r="A21" s="370" t="s">
        <v>750</v>
      </c>
      <c r="B21" s="371">
        <f>IF(B9*0.05&gt;B20,B20,B9*0.05)</f>
        <v>0</v>
      </c>
      <c r="C21" s="371">
        <f t="shared" ref="C21:G21" si="25">IF(C9*0.05&gt;C20,C20,C9*0.05)</f>
        <v>0</v>
      </c>
      <c r="D21" s="371">
        <f t="shared" si="25"/>
        <v>0</v>
      </c>
      <c r="E21" s="371">
        <f t="shared" si="25"/>
        <v>0</v>
      </c>
      <c r="F21" s="371">
        <f t="shared" si="25"/>
        <v>0</v>
      </c>
      <c r="G21" s="371">
        <f t="shared" si="25"/>
        <v>0</v>
      </c>
      <c r="H21" s="368">
        <f>AVERAGE(B21:G21)</f>
        <v>0</v>
      </c>
      <c r="I21" s="369"/>
      <c r="J21" s="318"/>
      <c r="K21" s="318"/>
      <c r="L21" s="318"/>
      <c r="M21" s="318"/>
      <c r="N21" s="318"/>
      <c r="O21" s="318"/>
      <c r="P21" s="318"/>
      <c r="Q21" s="318"/>
      <c r="R21" s="318"/>
    </row>
    <row r="22" spans="1:18" x14ac:dyDescent="0.25">
      <c r="A22" s="305" t="s">
        <v>394</v>
      </c>
      <c r="B22" s="374">
        <v>0</v>
      </c>
      <c r="C22" s="374">
        <f t="shared" ref="C22:G25" si="26">B22</f>
        <v>0</v>
      </c>
      <c r="D22" s="374">
        <f t="shared" si="26"/>
        <v>0</v>
      </c>
      <c r="E22" s="374">
        <f t="shared" si="26"/>
        <v>0</v>
      </c>
      <c r="F22" s="374">
        <f t="shared" si="26"/>
        <v>0</v>
      </c>
      <c r="G22" s="374">
        <f t="shared" si="26"/>
        <v>0</v>
      </c>
      <c r="H22" s="306">
        <f t="shared" si="1"/>
        <v>0</v>
      </c>
      <c r="I22" s="307"/>
      <c r="J22" s="286"/>
      <c r="K22" s="286"/>
      <c r="L22" s="286"/>
      <c r="M22" s="286"/>
      <c r="N22" s="286"/>
      <c r="O22" s="286"/>
      <c r="P22" s="286"/>
      <c r="Q22" s="286"/>
      <c r="R22" s="286"/>
    </row>
    <row r="23" spans="1:18" s="19" customFormat="1" ht="13" x14ac:dyDescent="0.3">
      <c r="A23" s="367" t="s">
        <v>395</v>
      </c>
      <c r="B23" s="376">
        <v>0</v>
      </c>
      <c r="C23" s="376">
        <f t="shared" si="26"/>
        <v>0</v>
      </c>
      <c r="D23" s="376">
        <f t="shared" si="26"/>
        <v>0</v>
      </c>
      <c r="E23" s="376">
        <f t="shared" si="26"/>
        <v>0</v>
      </c>
      <c r="F23" s="376">
        <f t="shared" si="26"/>
        <v>0</v>
      </c>
      <c r="G23" s="376">
        <f t="shared" si="26"/>
        <v>0</v>
      </c>
      <c r="H23" s="368">
        <f>AVERAGE(B23:G23)</f>
        <v>0</v>
      </c>
      <c r="I23" s="372"/>
      <c r="J23" s="318"/>
      <c r="K23" s="318"/>
      <c r="L23" s="318"/>
      <c r="M23" s="318"/>
      <c r="N23" s="318"/>
      <c r="O23" s="318"/>
      <c r="P23" s="318"/>
      <c r="Q23" s="318"/>
      <c r="R23" s="318"/>
    </row>
    <row r="24" spans="1:18" x14ac:dyDescent="0.25">
      <c r="A24" s="305" t="s">
        <v>396</v>
      </c>
      <c r="B24" s="374">
        <v>0</v>
      </c>
      <c r="C24" s="374">
        <f t="shared" si="26"/>
        <v>0</v>
      </c>
      <c r="D24" s="374">
        <f t="shared" si="26"/>
        <v>0</v>
      </c>
      <c r="E24" s="374">
        <f t="shared" si="26"/>
        <v>0</v>
      </c>
      <c r="F24" s="374">
        <f t="shared" si="26"/>
        <v>0</v>
      </c>
      <c r="G24" s="374">
        <f t="shared" si="26"/>
        <v>0</v>
      </c>
      <c r="H24" s="306">
        <f t="shared" si="1"/>
        <v>0</v>
      </c>
      <c r="I24" s="307"/>
      <c r="J24" s="286"/>
      <c r="K24" s="286"/>
      <c r="L24" s="286"/>
      <c r="M24" s="286"/>
      <c r="N24" s="286"/>
      <c r="O24" s="286"/>
      <c r="P24" s="286"/>
      <c r="Q24" s="286"/>
      <c r="R24" s="286"/>
    </row>
    <row r="25" spans="1:18" s="19" customFormat="1" ht="13" x14ac:dyDescent="0.3">
      <c r="A25" s="367" t="s">
        <v>397</v>
      </c>
      <c r="B25" s="376">
        <v>0</v>
      </c>
      <c r="C25" s="376">
        <f t="shared" si="26"/>
        <v>0</v>
      </c>
      <c r="D25" s="376">
        <f t="shared" si="26"/>
        <v>0</v>
      </c>
      <c r="E25" s="376">
        <f t="shared" si="26"/>
        <v>0</v>
      </c>
      <c r="F25" s="376">
        <f t="shared" si="26"/>
        <v>0</v>
      </c>
      <c r="G25" s="376">
        <f t="shared" si="26"/>
        <v>0</v>
      </c>
      <c r="H25" s="368">
        <f>AVERAGE(B25:G25)</f>
        <v>0</v>
      </c>
      <c r="I25" s="372"/>
      <c r="J25" s="318"/>
      <c r="K25" s="318"/>
      <c r="L25" s="318"/>
      <c r="M25" s="318"/>
      <c r="N25" s="318"/>
      <c r="O25" s="318"/>
      <c r="P25" s="318"/>
      <c r="Q25" s="318"/>
      <c r="R25" s="318"/>
    </row>
    <row r="26" spans="1:18" s="19" customFormat="1" ht="13" x14ac:dyDescent="0.3">
      <c r="A26" s="379" t="s">
        <v>657</v>
      </c>
      <c r="B26" s="380"/>
      <c r="C26" s="380"/>
      <c r="D26" s="380"/>
      <c r="E26" s="380"/>
      <c r="F26" s="380"/>
      <c r="G26" s="380"/>
      <c r="H26" s="380"/>
      <c r="I26" s="381"/>
      <c r="J26" s="318"/>
      <c r="K26" s="318"/>
      <c r="L26" s="318"/>
      <c r="M26" s="318"/>
      <c r="N26" s="318"/>
      <c r="O26" s="318"/>
      <c r="P26" s="318"/>
      <c r="Q26" s="318"/>
      <c r="R26" s="318"/>
    </row>
    <row r="27" spans="1:18" x14ac:dyDescent="0.25">
      <c r="A27" s="305" t="s">
        <v>744</v>
      </c>
      <c r="B27" s="378">
        <v>0</v>
      </c>
      <c r="C27" s="378">
        <f>B27</f>
        <v>0</v>
      </c>
      <c r="D27" s="378">
        <f>C27</f>
        <v>0</v>
      </c>
      <c r="E27" s="378">
        <f>D27</f>
        <v>0</v>
      </c>
      <c r="F27" s="378">
        <f>E27</f>
        <v>0</v>
      </c>
      <c r="G27" s="378">
        <f>F27</f>
        <v>0</v>
      </c>
      <c r="H27" s="308">
        <f>AVERAGE(B27:G27)</f>
        <v>0</v>
      </c>
      <c r="I27" s="309"/>
      <c r="J27" s="286"/>
      <c r="K27" s="286"/>
      <c r="L27" s="286"/>
      <c r="M27" s="286"/>
      <c r="N27" s="286"/>
      <c r="O27" s="286"/>
      <c r="P27" s="286"/>
      <c r="Q27" s="286"/>
      <c r="R27" s="286"/>
    </row>
    <row r="28" spans="1:18" x14ac:dyDescent="0.25">
      <c r="A28" s="305" t="s">
        <v>745</v>
      </c>
      <c r="B28" s="378">
        <v>0</v>
      </c>
      <c r="C28" s="378">
        <f t="shared" ref="C28:G29" si="27">B28</f>
        <v>0</v>
      </c>
      <c r="D28" s="378">
        <f t="shared" si="27"/>
        <v>0</v>
      </c>
      <c r="E28" s="378">
        <f t="shared" si="27"/>
        <v>0</v>
      </c>
      <c r="F28" s="378">
        <f t="shared" si="27"/>
        <v>0</v>
      </c>
      <c r="G28" s="378">
        <f t="shared" si="27"/>
        <v>0</v>
      </c>
      <c r="H28" s="308">
        <f t="shared" ref="H28:H29" si="28">AVERAGE(B28:G28)</f>
        <v>0</v>
      </c>
      <c r="I28" s="309"/>
      <c r="J28" s="286"/>
      <c r="K28" s="286"/>
      <c r="L28" s="286"/>
      <c r="M28" s="286"/>
      <c r="N28" s="286"/>
      <c r="O28" s="286"/>
      <c r="P28" s="286"/>
      <c r="Q28" s="286"/>
      <c r="R28" s="286"/>
    </row>
    <row r="29" spans="1:18" x14ac:dyDescent="0.25">
      <c r="A29" s="305" t="s">
        <v>746</v>
      </c>
      <c r="B29" s="378">
        <v>0</v>
      </c>
      <c r="C29" s="378">
        <f t="shared" si="27"/>
        <v>0</v>
      </c>
      <c r="D29" s="378">
        <f t="shared" si="27"/>
        <v>0</v>
      </c>
      <c r="E29" s="378">
        <f t="shared" si="27"/>
        <v>0</v>
      </c>
      <c r="F29" s="378">
        <f t="shared" si="27"/>
        <v>0</v>
      </c>
      <c r="G29" s="378">
        <f t="shared" si="27"/>
        <v>0</v>
      </c>
      <c r="H29" s="308">
        <f t="shared" si="28"/>
        <v>0</v>
      </c>
      <c r="I29" s="309"/>
      <c r="J29" s="286"/>
      <c r="K29" s="286"/>
      <c r="L29" s="286"/>
      <c r="M29" s="286"/>
      <c r="N29" s="286"/>
      <c r="O29" s="286"/>
      <c r="P29" s="286"/>
      <c r="Q29" s="286"/>
      <c r="R29" s="286"/>
    </row>
    <row r="30" spans="1:18" s="19" customFormat="1" ht="13" x14ac:dyDescent="0.3">
      <c r="A30" s="373" t="s">
        <v>398</v>
      </c>
      <c r="B30" s="368">
        <f t="shared" ref="B30:G30" si="29">SUM(B27:B29)</f>
        <v>0</v>
      </c>
      <c r="C30" s="368">
        <f t="shared" si="29"/>
        <v>0</v>
      </c>
      <c r="D30" s="368">
        <f t="shared" si="29"/>
        <v>0</v>
      </c>
      <c r="E30" s="368">
        <f t="shared" si="29"/>
        <v>0</v>
      </c>
      <c r="F30" s="368">
        <f t="shared" si="29"/>
        <v>0</v>
      </c>
      <c r="G30" s="368">
        <f t="shared" si="29"/>
        <v>0</v>
      </c>
      <c r="H30" s="368">
        <f>AVERAGE(B30:G30)</f>
        <v>0</v>
      </c>
      <c r="I30" s="372"/>
      <c r="J30" s="318"/>
      <c r="K30" s="318"/>
      <c r="L30" s="318"/>
      <c r="M30" s="318"/>
      <c r="N30" s="318"/>
      <c r="O30" s="318"/>
      <c r="P30" s="318"/>
      <c r="Q30" s="318"/>
      <c r="R30" s="318"/>
    </row>
    <row r="31" spans="1:18" s="19" customFormat="1" ht="13" x14ac:dyDescent="0.3">
      <c r="A31" s="379" t="s">
        <v>399</v>
      </c>
      <c r="B31" s="380"/>
      <c r="C31" s="380"/>
      <c r="D31" s="380"/>
      <c r="E31" s="380"/>
      <c r="F31" s="380"/>
      <c r="G31" s="380"/>
      <c r="H31" s="380"/>
      <c r="I31" s="381"/>
      <c r="J31" s="318"/>
      <c r="K31" s="318"/>
      <c r="L31" s="318"/>
      <c r="M31" s="318"/>
      <c r="N31" s="318"/>
      <c r="O31" s="318"/>
      <c r="P31" s="318"/>
      <c r="Q31" s="318"/>
      <c r="R31" s="318"/>
    </row>
    <row r="32" spans="1:18" x14ac:dyDescent="0.25">
      <c r="A32" s="305" t="s">
        <v>400</v>
      </c>
      <c r="B32" s="378">
        <v>0</v>
      </c>
      <c r="C32" s="378">
        <f>B32</f>
        <v>0</v>
      </c>
      <c r="D32" s="378">
        <f t="shared" ref="D32:G32" si="30">C32</f>
        <v>0</v>
      </c>
      <c r="E32" s="378">
        <f t="shared" si="30"/>
        <v>0</v>
      </c>
      <c r="F32" s="378">
        <f t="shared" si="30"/>
        <v>0</v>
      </c>
      <c r="G32" s="378">
        <f t="shared" si="30"/>
        <v>0</v>
      </c>
      <c r="H32" s="308">
        <f>AVERAGE(B32:G32)</f>
        <v>0</v>
      </c>
      <c r="I32" s="309"/>
      <c r="J32" s="286"/>
      <c r="K32" s="286"/>
      <c r="L32" s="286"/>
      <c r="M32" s="286"/>
      <c r="N32" s="286"/>
      <c r="O32" s="286"/>
      <c r="P32" s="286"/>
      <c r="Q32" s="286"/>
      <c r="R32" s="286"/>
    </row>
    <row r="33" spans="1:18" x14ac:dyDescent="0.25">
      <c r="A33" s="305" t="s">
        <v>401</v>
      </c>
      <c r="B33" s="378">
        <v>0</v>
      </c>
      <c r="C33" s="378">
        <f t="shared" ref="C33:G41" si="31">B33</f>
        <v>0</v>
      </c>
      <c r="D33" s="378">
        <f t="shared" si="31"/>
        <v>0</v>
      </c>
      <c r="E33" s="378">
        <f t="shared" si="31"/>
        <v>0</v>
      </c>
      <c r="F33" s="378">
        <f t="shared" si="31"/>
        <v>0</v>
      </c>
      <c r="G33" s="378">
        <f t="shared" si="31"/>
        <v>0</v>
      </c>
      <c r="H33" s="308">
        <f t="shared" ref="H33:H41" si="32">AVERAGE(B33:G33)</f>
        <v>0</v>
      </c>
      <c r="I33" s="309"/>
      <c r="J33" s="286"/>
      <c r="K33" s="286"/>
      <c r="L33" s="286"/>
      <c r="M33" s="286"/>
      <c r="N33" s="286"/>
      <c r="O33" s="286"/>
      <c r="P33" s="286"/>
      <c r="Q33" s="286"/>
      <c r="R33" s="286"/>
    </row>
    <row r="34" spans="1:18" x14ac:dyDescent="0.25">
      <c r="A34" s="305" t="s">
        <v>402</v>
      </c>
      <c r="B34" s="378">
        <v>0</v>
      </c>
      <c r="C34" s="378">
        <f t="shared" si="31"/>
        <v>0</v>
      </c>
      <c r="D34" s="378">
        <f t="shared" si="31"/>
        <v>0</v>
      </c>
      <c r="E34" s="378">
        <f t="shared" si="31"/>
        <v>0</v>
      </c>
      <c r="F34" s="378">
        <f t="shared" si="31"/>
        <v>0</v>
      </c>
      <c r="G34" s="378">
        <f t="shared" si="31"/>
        <v>0</v>
      </c>
      <c r="H34" s="308">
        <f t="shared" si="32"/>
        <v>0</v>
      </c>
      <c r="I34" s="309"/>
      <c r="J34" s="286"/>
      <c r="K34" s="286"/>
      <c r="L34" s="286"/>
      <c r="M34" s="286"/>
      <c r="N34" s="286"/>
      <c r="O34" s="286"/>
      <c r="P34" s="286"/>
      <c r="Q34" s="286"/>
      <c r="R34" s="286"/>
    </row>
    <row r="35" spans="1:18" x14ac:dyDescent="0.25">
      <c r="A35" s="305" t="s">
        <v>403</v>
      </c>
      <c r="B35" s="378">
        <v>0</v>
      </c>
      <c r="C35" s="378">
        <f t="shared" si="31"/>
        <v>0</v>
      </c>
      <c r="D35" s="378">
        <f t="shared" si="31"/>
        <v>0</v>
      </c>
      <c r="E35" s="378">
        <f t="shared" si="31"/>
        <v>0</v>
      </c>
      <c r="F35" s="378">
        <f t="shared" si="31"/>
        <v>0</v>
      </c>
      <c r="G35" s="378">
        <f t="shared" si="31"/>
        <v>0</v>
      </c>
      <c r="H35" s="308">
        <f t="shared" si="32"/>
        <v>0</v>
      </c>
      <c r="I35" s="309"/>
      <c r="J35" s="286"/>
      <c r="K35" s="286"/>
      <c r="L35" s="286"/>
      <c r="M35" s="286"/>
      <c r="N35" s="286"/>
      <c r="O35" s="286"/>
      <c r="P35" s="286"/>
      <c r="Q35" s="286"/>
      <c r="R35" s="286"/>
    </row>
    <row r="36" spans="1:18" x14ac:dyDescent="0.25">
      <c r="A36" s="305" t="s">
        <v>404</v>
      </c>
      <c r="B36" s="378">
        <v>0</v>
      </c>
      <c r="C36" s="378">
        <f t="shared" si="31"/>
        <v>0</v>
      </c>
      <c r="D36" s="378">
        <f t="shared" si="31"/>
        <v>0</v>
      </c>
      <c r="E36" s="378">
        <f t="shared" si="31"/>
        <v>0</v>
      </c>
      <c r="F36" s="378">
        <f t="shared" si="31"/>
        <v>0</v>
      </c>
      <c r="G36" s="378">
        <f t="shared" si="31"/>
        <v>0</v>
      </c>
      <c r="H36" s="308">
        <f t="shared" si="32"/>
        <v>0</v>
      </c>
      <c r="I36" s="309"/>
      <c r="J36" s="286"/>
      <c r="K36" s="286"/>
      <c r="L36" s="286"/>
      <c r="M36" s="286"/>
      <c r="N36" s="286"/>
      <c r="O36" s="286"/>
      <c r="P36" s="286"/>
      <c r="Q36" s="286"/>
      <c r="R36" s="286"/>
    </row>
    <row r="37" spans="1:18" x14ac:dyDescent="0.25">
      <c r="A37" s="305" t="s">
        <v>405</v>
      </c>
      <c r="B37" s="378">
        <v>0</v>
      </c>
      <c r="C37" s="378">
        <f t="shared" si="31"/>
        <v>0</v>
      </c>
      <c r="D37" s="378">
        <f t="shared" si="31"/>
        <v>0</v>
      </c>
      <c r="E37" s="378">
        <f t="shared" si="31"/>
        <v>0</v>
      </c>
      <c r="F37" s="378">
        <f t="shared" si="31"/>
        <v>0</v>
      </c>
      <c r="G37" s="378">
        <f t="shared" si="31"/>
        <v>0</v>
      </c>
      <c r="H37" s="308">
        <f t="shared" si="32"/>
        <v>0</v>
      </c>
      <c r="I37" s="309"/>
      <c r="J37" s="286"/>
      <c r="K37" s="286"/>
      <c r="L37" s="286"/>
      <c r="M37" s="286"/>
      <c r="N37" s="286"/>
      <c r="O37" s="286"/>
      <c r="P37" s="286"/>
      <c r="Q37" s="286"/>
      <c r="R37" s="286"/>
    </row>
    <row r="38" spans="1:18" x14ac:dyDescent="0.25">
      <c r="A38" s="305" t="s">
        <v>406</v>
      </c>
      <c r="B38" s="378">
        <v>0</v>
      </c>
      <c r="C38" s="378">
        <f t="shared" si="31"/>
        <v>0</v>
      </c>
      <c r="D38" s="378">
        <f t="shared" si="31"/>
        <v>0</v>
      </c>
      <c r="E38" s="378">
        <f t="shared" si="31"/>
        <v>0</v>
      </c>
      <c r="F38" s="378">
        <f t="shared" si="31"/>
        <v>0</v>
      </c>
      <c r="G38" s="378">
        <f t="shared" si="31"/>
        <v>0</v>
      </c>
      <c r="H38" s="308">
        <f t="shared" si="32"/>
        <v>0</v>
      </c>
      <c r="I38" s="309"/>
      <c r="J38" s="286"/>
      <c r="K38" s="286"/>
      <c r="L38" s="286"/>
      <c r="M38" s="286"/>
      <c r="N38" s="286"/>
      <c r="O38" s="286"/>
      <c r="P38" s="286"/>
      <c r="Q38" s="286"/>
      <c r="R38" s="286"/>
    </row>
    <row r="39" spans="1:18" x14ac:dyDescent="0.25">
      <c r="A39" s="305" t="s">
        <v>407</v>
      </c>
      <c r="B39" s="378">
        <v>0</v>
      </c>
      <c r="C39" s="378">
        <f t="shared" si="31"/>
        <v>0</v>
      </c>
      <c r="D39" s="378">
        <f t="shared" si="31"/>
        <v>0</v>
      </c>
      <c r="E39" s="378">
        <f t="shared" si="31"/>
        <v>0</v>
      </c>
      <c r="F39" s="378">
        <f t="shared" si="31"/>
        <v>0</v>
      </c>
      <c r="G39" s="378">
        <f t="shared" si="31"/>
        <v>0</v>
      </c>
      <c r="H39" s="308">
        <f t="shared" si="32"/>
        <v>0</v>
      </c>
      <c r="I39" s="309"/>
      <c r="J39" s="286"/>
      <c r="K39" s="286"/>
      <c r="L39" s="286"/>
      <c r="M39" s="286"/>
      <c r="N39" s="286"/>
      <c r="O39" s="286"/>
      <c r="P39" s="286"/>
      <c r="Q39" s="286"/>
      <c r="R39" s="286"/>
    </row>
    <row r="40" spans="1:18" x14ac:dyDescent="0.25">
      <c r="A40" s="305" t="s">
        <v>408</v>
      </c>
      <c r="B40" s="378">
        <v>0</v>
      </c>
      <c r="C40" s="378">
        <f t="shared" si="31"/>
        <v>0</v>
      </c>
      <c r="D40" s="378">
        <f t="shared" si="31"/>
        <v>0</v>
      </c>
      <c r="E40" s="378">
        <f t="shared" si="31"/>
        <v>0</v>
      </c>
      <c r="F40" s="378">
        <f t="shared" si="31"/>
        <v>0</v>
      </c>
      <c r="G40" s="378">
        <f t="shared" si="31"/>
        <v>0</v>
      </c>
      <c r="H40" s="308">
        <f t="shared" si="32"/>
        <v>0</v>
      </c>
      <c r="I40" s="309"/>
      <c r="J40" s="286"/>
      <c r="K40" s="286"/>
      <c r="L40" s="286"/>
      <c r="M40" s="286"/>
      <c r="N40" s="286"/>
      <c r="O40" s="286"/>
      <c r="P40" s="286"/>
      <c r="Q40" s="286"/>
      <c r="R40" s="286"/>
    </row>
    <row r="41" spans="1:18" x14ac:dyDescent="0.25">
      <c r="A41" s="305" t="s">
        <v>409</v>
      </c>
      <c r="B41" s="378">
        <v>0</v>
      </c>
      <c r="C41" s="378">
        <f t="shared" si="31"/>
        <v>0</v>
      </c>
      <c r="D41" s="378">
        <f t="shared" si="31"/>
        <v>0</v>
      </c>
      <c r="E41" s="378">
        <f t="shared" si="31"/>
        <v>0</v>
      </c>
      <c r="F41" s="378">
        <f t="shared" si="31"/>
        <v>0</v>
      </c>
      <c r="G41" s="378">
        <f t="shared" si="31"/>
        <v>0</v>
      </c>
      <c r="H41" s="308">
        <f t="shared" si="32"/>
        <v>0</v>
      </c>
      <c r="I41" s="309"/>
      <c r="J41" s="286"/>
      <c r="K41" s="286"/>
      <c r="L41" s="286"/>
      <c r="M41" s="286"/>
      <c r="N41" s="286"/>
      <c r="O41" s="286"/>
      <c r="P41" s="286"/>
      <c r="Q41" s="286"/>
      <c r="R41" s="286"/>
    </row>
    <row r="42" spans="1:18" s="19" customFormat="1" ht="13" x14ac:dyDescent="0.3">
      <c r="A42" s="370" t="s">
        <v>410</v>
      </c>
      <c r="B42" s="368">
        <f>SUM(B32:B41)</f>
        <v>0</v>
      </c>
      <c r="C42" s="368">
        <f t="shared" ref="C42:G42" si="33">SUM(C32:C41)</f>
        <v>0</v>
      </c>
      <c r="D42" s="368">
        <f t="shared" si="33"/>
        <v>0</v>
      </c>
      <c r="E42" s="368">
        <f t="shared" si="33"/>
        <v>0</v>
      </c>
      <c r="F42" s="368">
        <f t="shared" si="33"/>
        <v>0</v>
      </c>
      <c r="G42" s="368">
        <f t="shared" si="33"/>
        <v>0</v>
      </c>
      <c r="H42" s="368">
        <f>AVERAGE(B42:G42)</f>
        <v>0</v>
      </c>
      <c r="I42" s="372"/>
      <c r="J42" s="318"/>
      <c r="K42" s="318"/>
      <c r="L42" s="318"/>
      <c r="M42" s="318"/>
      <c r="N42" s="318"/>
      <c r="O42" s="318"/>
      <c r="P42" s="318"/>
      <c r="Q42" s="318"/>
      <c r="R42" s="318"/>
    </row>
    <row r="43" spans="1:18" s="19" customFormat="1" ht="13" x14ac:dyDescent="0.3">
      <c r="A43" s="370" t="s">
        <v>69</v>
      </c>
      <c r="B43" s="368">
        <f t="shared" ref="B43:G43" si="34">B9-B30-B42</f>
        <v>0</v>
      </c>
      <c r="C43" s="368">
        <f t="shared" si="34"/>
        <v>0</v>
      </c>
      <c r="D43" s="368">
        <f t="shared" si="34"/>
        <v>0</v>
      </c>
      <c r="E43" s="368">
        <f t="shared" si="34"/>
        <v>0</v>
      </c>
      <c r="F43" s="368">
        <f t="shared" si="34"/>
        <v>0</v>
      </c>
      <c r="G43" s="368">
        <f t="shared" si="34"/>
        <v>0</v>
      </c>
      <c r="H43" s="368">
        <f t="shared" ref="H43:H44" si="35">AVERAGE(B43:G43)</f>
        <v>0</v>
      </c>
      <c r="I43" s="372"/>
      <c r="J43" s="318"/>
      <c r="K43" s="318"/>
      <c r="L43" s="318"/>
      <c r="M43" s="318"/>
      <c r="N43" s="318"/>
      <c r="O43" s="318"/>
      <c r="P43" s="318"/>
      <c r="Q43" s="318"/>
      <c r="R43" s="318"/>
    </row>
    <row r="44" spans="1:18" ht="13" x14ac:dyDescent="0.25">
      <c r="A44" s="305" t="s">
        <v>411</v>
      </c>
      <c r="B44" s="378">
        <v>0</v>
      </c>
      <c r="C44" s="378">
        <f>B44</f>
        <v>0</v>
      </c>
      <c r="D44" s="378">
        <f t="shared" ref="D44:G44" si="36">C44</f>
        <v>0</v>
      </c>
      <c r="E44" s="378">
        <f t="shared" si="36"/>
        <v>0</v>
      </c>
      <c r="F44" s="378">
        <f t="shared" si="36"/>
        <v>0</v>
      </c>
      <c r="G44" s="378">
        <f t="shared" si="36"/>
        <v>0</v>
      </c>
      <c r="H44" s="368">
        <f t="shared" si="35"/>
        <v>0</v>
      </c>
      <c r="I44" s="309"/>
      <c r="J44" s="286"/>
      <c r="K44" s="286"/>
      <c r="L44" s="286"/>
      <c r="M44" s="286"/>
      <c r="N44" s="286"/>
      <c r="O44" s="286"/>
      <c r="P44" s="286"/>
      <c r="Q44" s="286"/>
      <c r="R44" s="286"/>
    </row>
    <row r="46" spans="1:18" x14ac:dyDescent="0.25">
      <c r="K46" s="53"/>
    </row>
  </sheetData>
  <sheetProtection algorithmName="SHA-512" hashValue="QADqTd1Dy+J3XOLKF8aiLH78WX6jOb4m5YMl9gRn9gJ51rrLNTi3Wm8Yh+yqdLlVSXDhQM3zuFa6nrWPAndEWA==" saltValue="Tcm1JrQL3B4m2hoqMNwiJw==" spinCount="100000" sheet="1" objects="1" scenarios="1"/>
  <pageMargins left="0.7" right="0.7" top="0.75" bottom="0.75" header="0.3" footer="0.3"/>
  <pageSetup scale="89" fitToWidth="0" orientation="landscape" r:id="rId1"/>
  <headerFooter>
    <oddHeader>&amp;C&amp;"Arial,Bold"ADA Projection
2023-2024 School Year</oddHead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M37"/>
  <sheetViews>
    <sheetView zoomScaleNormal="100" workbookViewId="0">
      <selection activeCell="F25" sqref="F25"/>
    </sheetView>
  </sheetViews>
  <sheetFormatPr defaultColWidth="8.81640625" defaultRowHeight="12.5" x14ac:dyDescent="0.25"/>
  <cols>
    <col min="1" max="1" width="35.54296875" style="52" customWidth="1"/>
    <col min="2" max="6" width="15.54296875" style="52" customWidth="1"/>
    <col min="7" max="7" width="35.54296875" style="52" customWidth="1"/>
    <col min="8" max="9" width="15.54296875" style="52" customWidth="1"/>
    <col min="10" max="10" width="24.54296875" style="52" customWidth="1"/>
    <col min="11" max="12" width="15.54296875" style="52" customWidth="1"/>
    <col min="13" max="16384" width="8.81640625" style="52"/>
  </cols>
  <sheetData>
    <row r="1" spans="1:13" ht="5.25" customHeight="1" thickBot="1" x14ac:dyDescent="0.3"/>
    <row r="2" spans="1:13" s="19" customFormat="1" ht="30" customHeight="1" thickTop="1" x14ac:dyDescent="0.3">
      <c r="A2" s="317" t="s">
        <v>1081</v>
      </c>
      <c r="B2" s="315">
        <v>4</v>
      </c>
      <c r="C2" s="316">
        <v>5</v>
      </c>
      <c r="G2" s="433" t="s">
        <v>1051</v>
      </c>
      <c r="H2" s="434">
        <v>4</v>
      </c>
      <c r="I2" s="435">
        <v>5</v>
      </c>
      <c r="M2" s="318"/>
    </row>
    <row r="3" spans="1:13" s="156" customFormat="1" ht="16.149999999999999" customHeight="1" x14ac:dyDescent="0.3">
      <c r="A3" s="388" t="s">
        <v>996</v>
      </c>
      <c r="B3" s="432">
        <v>0</v>
      </c>
      <c r="C3" s="392">
        <v>0</v>
      </c>
      <c r="E3" s="312"/>
      <c r="G3" s="436" t="s">
        <v>996</v>
      </c>
      <c r="H3" s="430">
        <v>7938190</v>
      </c>
      <c r="I3" s="437">
        <v>0</v>
      </c>
      <c r="M3" s="312"/>
    </row>
    <row r="4" spans="1:13" s="156" customFormat="1" ht="20.25" customHeight="1" x14ac:dyDescent="0.3">
      <c r="A4" s="388" t="s">
        <v>997</v>
      </c>
      <c r="B4" s="392">
        <v>0</v>
      </c>
      <c r="C4" s="392">
        <v>0</v>
      </c>
      <c r="E4" s="312"/>
      <c r="F4" s="312"/>
      <c r="G4" s="436" t="s">
        <v>997</v>
      </c>
      <c r="H4" s="431">
        <v>-5397</v>
      </c>
      <c r="I4" s="437">
        <v>0</v>
      </c>
      <c r="M4" s="312"/>
    </row>
    <row r="5" spans="1:13" s="156" customFormat="1" ht="26.25" customHeight="1" x14ac:dyDescent="0.3">
      <c r="A5" s="387" t="s">
        <v>1052</v>
      </c>
      <c r="B5" s="429">
        <v>0</v>
      </c>
      <c r="C5" s="429">
        <v>0</v>
      </c>
      <c r="E5" s="312"/>
      <c r="G5" s="438" t="s">
        <v>995</v>
      </c>
      <c r="H5" s="428">
        <v>-1970631</v>
      </c>
      <c r="I5" s="437">
        <v>0</v>
      </c>
      <c r="M5" s="312"/>
    </row>
    <row r="6" spans="1:13" s="156" customFormat="1" ht="15" customHeight="1" x14ac:dyDescent="0.25">
      <c r="A6" s="387" t="s">
        <v>974</v>
      </c>
      <c r="B6" s="393">
        <f>B3+B4+B5</f>
        <v>0</v>
      </c>
      <c r="C6" s="393">
        <f>C3+C4+C5</f>
        <v>0</v>
      </c>
      <c r="E6" s="312"/>
      <c r="G6" s="438" t="s">
        <v>974</v>
      </c>
      <c r="H6" s="270">
        <f>H3+H4+H5</f>
        <v>5962162</v>
      </c>
      <c r="I6" s="439">
        <f>I3+I4+I5</f>
        <v>0</v>
      </c>
      <c r="M6" s="312"/>
    </row>
    <row r="7" spans="1:13" s="156" customFormat="1" ht="20.25" customHeight="1" x14ac:dyDescent="0.3">
      <c r="A7" s="388" t="s">
        <v>977</v>
      </c>
      <c r="B7" s="319">
        <v>4</v>
      </c>
      <c r="C7" s="319">
        <v>4</v>
      </c>
      <c r="E7" s="312"/>
      <c r="G7" s="436" t="s">
        <v>977</v>
      </c>
      <c r="H7" s="425">
        <v>4</v>
      </c>
      <c r="I7" s="440">
        <v>4</v>
      </c>
      <c r="M7" s="312"/>
    </row>
    <row r="8" spans="1:13" s="156" customFormat="1" ht="15" customHeight="1" x14ac:dyDescent="0.25">
      <c r="A8" s="387" t="s">
        <v>686</v>
      </c>
      <c r="B8" s="389" t="str">
        <f>VLOOKUP(B7,A:E,2,FALSE)</f>
        <v>December</v>
      </c>
      <c r="C8" s="389" t="str">
        <f>VLOOKUP(C7,A:E,2,FALSE)</f>
        <v>December</v>
      </c>
      <c r="E8" s="312"/>
      <c r="G8" s="438" t="s">
        <v>686</v>
      </c>
      <c r="H8" s="426" t="str">
        <f>VLOOKUP(H7,A:E,2,FALSE)</f>
        <v>December</v>
      </c>
      <c r="I8" s="441" t="str">
        <f>VLOOKUP(I7,A:E,2,FALSE)</f>
        <v>December</v>
      </c>
      <c r="M8" s="312"/>
    </row>
    <row r="9" spans="1:13" s="156" customFormat="1" ht="15" customHeight="1" x14ac:dyDescent="0.25">
      <c r="A9" s="390" t="s">
        <v>687</v>
      </c>
      <c r="B9" s="391">
        <f>VLOOKUP(B7,A13:E24,5,FALSE)/100</f>
        <v>0.111</v>
      </c>
      <c r="C9" s="391">
        <f>VLOOKUP(C7,A26:E37,5,FALSE)/100</f>
        <v>7.9000000000000001E-2</v>
      </c>
      <c r="E9" s="312"/>
      <c r="G9" s="442" t="s">
        <v>687</v>
      </c>
      <c r="H9" s="427">
        <f>VLOOKUP(H7,A13:E24,5,FALSE)/100</f>
        <v>0.111</v>
      </c>
      <c r="I9" s="443">
        <f>VLOOKUP(I7,A26:E37,5,FALSE)/100</f>
        <v>7.9000000000000001E-2</v>
      </c>
      <c r="M9" s="312"/>
    </row>
    <row r="10" spans="1:13" s="395" customFormat="1" ht="25.15" customHeight="1" thickBot="1" x14ac:dyDescent="0.35">
      <c r="A10" s="390" t="s">
        <v>975</v>
      </c>
      <c r="B10" s="394">
        <f>B6*B9</f>
        <v>0</v>
      </c>
      <c r="C10" s="394">
        <f>C6*C9</f>
        <v>0</v>
      </c>
      <c r="E10" s="396"/>
      <c r="G10" s="444" t="s">
        <v>975</v>
      </c>
      <c r="H10" s="445">
        <f>H6*H9</f>
        <v>661799.98199999996</v>
      </c>
      <c r="I10" s="446">
        <f>I6*I9</f>
        <v>0</v>
      </c>
      <c r="M10" s="396"/>
    </row>
    <row r="11" spans="1:13" ht="10.15" customHeight="1" thickTop="1" x14ac:dyDescent="0.25">
      <c r="A11" s="313"/>
      <c r="B11" s="314"/>
      <c r="C11" s="314"/>
      <c r="D11" s="385"/>
      <c r="E11" s="386"/>
      <c r="L11" s="286"/>
      <c r="M11" s="286"/>
    </row>
    <row r="12" spans="1:13" ht="25.15" customHeight="1" x14ac:dyDescent="0.25">
      <c r="A12" s="315" t="s">
        <v>978</v>
      </c>
      <c r="B12" s="315" t="s">
        <v>976</v>
      </c>
      <c r="C12" s="315" t="s">
        <v>971</v>
      </c>
      <c r="D12" s="315" t="s">
        <v>972</v>
      </c>
      <c r="E12" s="315" t="s">
        <v>973</v>
      </c>
    </row>
    <row r="13" spans="1:13" ht="10.15" customHeight="1" x14ac:dyDescent="0.25">
      <c r="A13" s="310">
        <v>1</v>
      </c>
      <c r="B13" s="310" t="s">
        <v>102</v>
      </c>
      <c r="C13" s="310">
        <v>8.3000000000000007</v>
      </c>
      <c r="D13" s="310">
        <v>100</v>
      </c>
      <c r="E13" s="310">
        <v>8.3000000000000007</v>
      </c>
    </row>
    <row r="14" spans="1:13" ht="10.15" customHeight="1" x14ac:dyDescent="0.25">
      <c r="A14" s="310">
        <v>2</v>
      </c>
      <c r="B14" s="310" t="s">
        <v>103</v>
      </c>
      <c r="C14" s="310">
        <v>8.3000000000000007</v>
      </c>
      <c r="D14" s="310">
        <v>91.7</v>
      </c>
      <c r="E14" s="310">
        <v>9.1</v>
      </c>
    </row>
    <row r="15" spans="1:13" ht="10.15" customHeight="1" x14ac:dyDescent="0.25">
      <c r="A15" s="310">
        <v>3</v>
      </c>
      <c r="B15" s="310" t="s">
        <v>104</v>
      </c>
      <c r="C15" s="310">
        <v>8.4</v>
      </c>
      <c r="D15" s="310">
        <v>83.4</v>
      </c>
      <c r="E15" s="310">
        <v>10.1</v>
      </c>
    </row>
    <row r="16" spans="1:13" ht="10.15" customHeight="1" x14ac:dyDescent="0.25">
      <c r="A16" s="310">
        <v>4</v>
      </c>
      <c r="B16" s="310" t="s">
        <v>105</v>
      </c>
      <c r="C16" s="310">
        <v>8.3000000000000007</v>
      </c>
      <c r="D16" s="310">
        <v>75</v>
      </c>
      <c r="E16" s="310">
        <v>11.1</v>
      </c>
    </row>
    <row r="17" spans="1:5" ht="10.15" customHeight="1" x14ac:dyDescent="0.25">
      <c r="A17" s="310">
        <v>5</v>
      </c>
      <c r="B17" s="310" t="s">
        <v>106</v>
      </c>
      <c r="C17" s="310">
        <v>8.3000000000000007</v>
      </c>
      <c r="D17" s="310">
        <v>66.7</v>
      </c>
      <c r="E17" s="310">
        <v>12.4</v>
      </c>
    </row>
    <row r="18" spans="1:5" ht="10.15" customHeight="1" x14ac:dyDescent="0.25">
      <c r="A18" s="310">
        <v>6</v>
      </c>
      <c r="B18" s="310" t="s">
        <v>107</v>
      </c>
      <c r="C18" s="310">
        <v>8.4</v>
      </c>
      <c r="D18" s="310">
        <v>58.4</v>
      </c>
      <c r="E18" s="310">
        <v>14.4</v>
      </c>
    </row>
    <row r="19" spans="1:5" ht="10.15" customHeight="1" x14ac:dyDescent="0.25">
      <c r="A19" s="310">
        <v>7</v>
      </c>
      <c r="B19" s="310" t="s">
        <v>108</v>
      </c>
      <c r="C19" s="310">
        <v>8.3000000000000007</v>
      </c>
      <c r="D19" s="310">
        <v>50</v>
      </c>
      <c r="E19" s="310">
        <v>16.600000000000001</v>
      </c>
    </row>
    <row r="20" spans="1:5" ht="10.15" customHeight="1" x14ac:dyDescent="0.25">
      <c r="A20" s="310">
        <v>8</v>
      </c>
      <c r="B20" s="310" t="s">
        <v>109</v>
      </c>
      <c r="C20" s="310">
        <v>8.3000000000000007</v>
      </c>
      <c r="D20" s="310">
        <v>41.7</v>
      </c>
      <c r="E20" s="310">
        <v>19.899999999999999</v>
      </c>
    </row>
    <row r="21" spans="1:5" ht="10.15" customHeight="1" x14ac:dyDescent="0.25">
      <c r="A21" s="310">
        <v>9</v>
      </c>
      <c r="B21" s="310" t="s">
        <v>110</v>
      </c>
      <c r="C21" s="310">
        <v>8.4</v>
      </c>
      <c r="D21" s="310">
        <v>33.4</v>
      </c>
      <c r="E21" s="310">
        <v>25.1</v>
      </c>
    </row>
    <row r="22" spans="1:5" ht="10.15" customHeight="1" x14ac:dyDescent="0.25">
      <c r="A22" s="310">
        <v>10</v>
      </c>
      <c r="B22" s="310" t="s">
        <v>111</v>
      </c>
      <c r="C22" s="310">
        <v>8.3000000000000007</v>
      </c>
      <c r="D22" s="310">
        <v>25</v>
      </c>
      <c r="E22" s="310">
        <v>33.200000000000003</v>
      </c>
    </row>
    <row r="23" spans="1:5" ht="10.15" customHeight="1" x14ac:dyDescent="0.25">
      <c r="A23" s="310">
        <v>11</v>
      </c>
      <c r="B23" s="310" t="s">
        <v>112</v>
      </c>
      <c r="C23" s="310">
        <v>8.3000000000000007</v>
      </c>
      <c r="D23" s="310">
        <v>16.7</v>
      </c>
      <c r="E23" s="310">
        <v>49.7</v>
      </c>
    </row>
    <row r="24" spans="1:5" ht="10.15" customHeight="1" x14ac:dyDescent="0.25">
      <c r="A24" s="310">
        <v>12</v>
      </c>
      <c r="B24" s="310" t="s">
        <v>113</v>
      </c>
      <c r="C24" s="310">
        <v>8.4</v>
      </c>
      <c r="D24" s="310">
        <v>8.4</v>
      </c>
      <c r="E24" s="310">
        <v>100</v>
      </c>
    </row>
    <row r="25" spans="1:5" ht="25.15" customHeight="1" x14ac:dyDescent="0.25">
      <c r="A25" s="316" t="s">
        <v>979</v>
      </c>
      <c r="B25" s="316" t="s">
        <v>976</v>
      </c>
      <c r="C25" s="316" t="s">
        <v>971</v>
      </c>
      <c r="D25" s="316" t="s">
        <v>972</v>
      </c>
      <c r="E25" s="316" t="s">
        <v>973</v>
      </c>
    </row>
    <row r="26" spans="1:5" ht="10.15" customHeight="1" x14ac:dyDescent="0.25">
      <c r="A26" s="310">
        <v>1</v>
      </c>
      <c r="B26" s="310" t="s">
        <v>102</v>
      </c>
      <c r="C26" s="310">
        <v>22</v>
      </c>
      <c r="D26" s="310">
        <v>100</v>
      </c>
      <c r="E26" s="310">
        <v>22</v>
      </c>
    </row>
    <row r="27" spans="1:5" ht="10.15" customHeight="1" x14ac:dyDescent="0.25">
      <c r="A27" s="310">
        <v>2</v>
      </c>
      <c r="B27" s="310" t="s">
        <v>103</v>
      </c>
      <c r="C27" s="310">
        <v>18</v>
      </c>
      <c r="D27" s="310">
        <v>78</v>
      </c>
      <c r="E27" s="310">
        <v>23.1</v>
      </c>
    </row>
    <row r="28" spans="1:5" ht="10.15" customHeight="1" x14ac:dyDescent="0.25">
      <c r="A28" s="310">
        <v>3</v>
      </c>
      <c r="B28" s="310" t="s">
        <v>104</v>
      </c>
      <c r="C28" s="310">
        <v>9.5</v>
      </c>
      <c r="D28" s="310">
        <v>60</v>
      </c>
      <c r="E28" s="310">
        <v>15.8</v>
      </c>
    </row>
    <row r="29" spans="1:5" ht="10.15" customHeight="1" x14ac:dyDescent="0.25">
      <c r="A29" s="310">
        <v>4</v>
      </c>
      <c r="B29" s="310" t="s">
        <v>105</v>
      </c>
      <c r="C29" s="310">
        <v>4</v>
      </c>
      <c r="D29" s="310">
        <v>50.5</v>
      </c>
      <c r="E29" s="310">
        <v>7.9</v>
      </c>
    </row>
    <row r="30" spans="1:5" ht="10.15" customHeight="1" x14ac:dyDescent="0.25">
      <c r="A30" s="310">
        <v>5</v>
      </c>
      <c r="B30" s="310" t="s">
        <v>106</v>
      </c>
      <c r="C30" s="310">
        <v>4</v>
      </c>
      <c r="D30" s="310">
        <v>46.5</v>
      </c>
      <c r="E30" s="310">
        <v>8.6</v>
      </c>
    </row>
    <row r="31" spans="1:5" ht="10.15" customHeight="1" x14ac:dyDescent="0.25">
      <c r="A31" s="310">
        <v>6</v>
      </c>
      <c r="B31" s="310" t="s">
        <v>107</v>
      </c>
      <c r="C31" s="310">
        <v>4</v>
      </c>
      <c r="D31" s="310">
        <v>42.5</v>
      </c>
      <c r="E31" s="310">
        <v>9.4</v>
      </c>
    </row>
    <row r="32" spans="1:5" ht="10.15" customHeight="1" x14ac:dyDescent="0.25">
      <c r="A32" s="310">
        <v>7</v>
      </c>
      <c r="B32" s="310" t="s">
        <v>108</v>
      </c>
      <c r="C32" s="310">
        <v>4</v>
      </c>
      <c r="D32" s="310">
        <v>38.5</v>
      </c>
      <c r="E32" s="310">
        <v>10.4</v>
      </c>
    </row>
    <row r="33" spans="1:5" ht="10.15" customHeight="1" x14ac:dyDescent="0.25">
      <c r="A33" s="310">
        <v>8</v>
      </c>
      <c r="B33" s="310" t="s">
        <v>109</v>
      </c>
      <c r="C33" s="310">
        <v>7.5</v>
      </c>
      <c r="D33" s="310">
        <v>34.5</v>
      </c>
      <c r="E33" s="310">
        <v>21.7</v>
      </c>
    </row>
    <row r="34" spans="1:5" ht="10.15" customHeight="1" x14ac:dyDescent="0.25">
      <c r="A34" s="310">
        <v>9</v>
      </c>
      <c r="B34" s="310" t="s">
        <v>110</v>
      </c>
      <c r="C34" s="310">
        <v>5</v>
      </c>
      <c r="D34" s="310">
        <v>27</v>
      </c>
      <c r="E34" s="310">
        <v>18.5</v>
      </c>
    </row>
    <row r="35" spans="1:5" ht="10.15" customHeight="1" x14ac:dyDescent="0.25">
      <c r="A35" s="310">
        <v>10</v>
      </c>
      <c r="B35" s="310" t="s">
        <v>111</v>
      </c>
      <c r="C35" s="310">
        <v>7</v>
      </c>
      <c r="D35" s="310">
        <v>22</v>
      </c>
      <c r="E35" s="310">
        <v>31.8</v>
      </c>
    </row>
    <row r="36" spans="1:5" ht="10.15" customHeight="1" x14ac:dyDescent="0.25">
      <c r="A36" s="310">
        <v>11</v>
      </c>
      <c r="B36" s="310" t="s">
        <v>112</v>
      </c>
      <c r="C36" s="310">
        <v>7</v>
      </c>
      <c r="D36" s="310">
        <v>15</v>
      </c>
      <c r="E36" s="310">
        <v>46.7</v>
      </c>
    </row>
    <row r="37" spans="1:5" ht="10.15" customHeight="1" x14ac:dyDescent="0.25">
      <c r="A37" s="310">
        <v>12</v>
      </c>
      <c r="B37" s="310" t="s">
        <v>113</v>
      </c>
      <c r="C37" s="310">
        <v>8</v>
      </c>
      <c r="D37" s="310">
        <v>8</v>
      </c>
      <c r="E37" s="310">
        <v>100</v>
      </c>
    </row>
  </sheetData>
  <sheetProtection algorithmName="SHA-512" hashValue="6SIX2z9e+RQwBj4qBfduoSh5yceYyjVjIcmjDlVrDpCPsvNzq/VaZld9B/crZo7LyQ+82jFxu5+jJSIn78LHnw==" saltValue="r9hDcQNrDhS+6cQplpCjFA==" spinCount="100000" sheet="1" objects="1" scenarios="1"/>
  <phoneticPr fontId="6" type="noConversion"/>
  <dataValidations count="3">
    <dataValidation type="whole" allowBlank="1" showInputMessage="1" showErrorMessage="1" error="Payment number must be 1 through 13._x000a_" sqref="B7:C7 H7:I7" xr:uid="{00000000-0002-0000-0400-000000000000}">
      <formula1>1</formula1>
      <formula2>13</formula2>
    </dataValidation>
    <dataValidation type="whole" operator="lessThanOrEqual" allowBlank="1" showInputMessage="1" showErrorMessage="1" error="Paid to Date amount must be entered as a negativve amount." sqref="B5:C5 H5:I5" xr:uid="{00000000-0002-0000-0400-000001000000}">
      <formula1>0</formula1>
    </dataValidation>
    <dataValidation allowBlank="1" showInputMessage="1" error="Payment number must be 1 through 13._x000a_" sqref="B8:C8 H8:I8" xr:uid="{9C5481B4-5FFC-40F4-8F01-D1F556D4A872}"/>
  </dataValidations>
  <pageMargins left="0.7" right="0.7" top="0.75" bottom="0.75" header="0.3" footer="0.3"/>
  <pageSetup fitToHeight="0" orientation="landscape" r:id="rId1"/>
  <headerFooter>
    <oddHeader>&amp;C&amp;"Arial,Bold"Payment Calculator</oddHead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0735D-C246-499E-B29F-85F3D8B83FD7}">
  <dimension ref="A1:E894"/>
  <sheetViews>
    <sheetView workbookViewId="0">
      <selection sqref="A1:XFD1048576"/>
    </sheetView>
  </sheetViews>
  <sheetFormatPr defaultRowHeight="12.5" x14ac:dyDescent="0.25"/>
  <cols>
    <col min="1" max="1" width="9.1796875" bestFit="1" customWidth="1"/>
    <col min="2" max="2" width="57.54296875" bestFit="1" customWidth="1"/>
    <col min="3" max="3" width="9.6328125" bestFit="1" customWidth="1"/>
    <col min="4" max="4" width="60.1796875" bestFit="1" customWidth="1"/>
    <col min="5" max="5" width="61.453125" bestFit="1" customWidth="1"/>
  </cols>
  <sheetData>
    <row r="1" spans="1:5" x14ac:dyDescent="0.25">
      <c r="A1" t="s">
        <v>1096</v>
      </c>
      <c r="B1" t="s">
        <v>1097</v>
      </c>
      <c r="C1" t="s">
        <v>1098</v>
      </c>
      <c r="D1" t="s">
        <v>1099</v>
      </c>
      <c r="E1" t="s">
        <v>1100</v>
      </c>
    </row>
    <row r="2" spans="1:5" x14ac:dyDescent="0.25">
      <c r="A2">
        <v>3801</v>
      </c>
      <c r="B2" t="s">
        <v>53</v>
      </c>
      <c r="C2">
        <v>3801001</v>
      </c>
      <c r="D2" t="s">
        <v>1104</v>
      </c>
      <c r="E2" t="s">
        <v>1101</v>
      </c>
    </row>
    <row r="3" spans="1:5" x14ac:dyDescent="0.25">
      <c r="A3">
        <v>3801</v>
      </c>
      <c r="B3" t="s">
        <v>53</v>
      </c>
      <c r="C3">
        <v>3801042</v>
      </c>
      <c r="D3" t="s">
        <v>1105</v>
      </c>
      <c r="E3" t="s">
        <v>1101</v>
      </c>
    </row>
    <row r="4" spans="1:5" x14ac:dyDescent="0.25">
      <c r="A4">
        <v>3801</v>
      </c>
      <c r="B4" t="s">
        <v>53</v>
      </c>
      <c r="C4">
        <v>3801103</v>
      </c>
      <c r="D4" t="s">
        <v>1106</v>
      </c>
      <c r="E4" t="s">
        <v>1101</v>
      </c>
    </row>
    <row r="5" spans="1:5" x14ac:dyDescent="0.25">
      <c r="A5">
        <v>13801</v>
      </c>
      <c r="B5" t="s">
        <v>54</v>
      </c>
      <c r="C5">
        <v>13801101</v>
      </c>
      <c r="D5" t="s">
        <v>54</v>
      </c>
      <c r="E5" t="s">
        <v>1101</v>
      </c>
    </row>
    <row r="6" spans="1:5" x14ac:dyDescent="0.25">
      <c r="A6">
        <v>14801</v>
      </c>
      <c r="B6" t="s">
        <v>35</v>
      </c>
      <c r="C6">
        <v>14801001</v>
      </c>
      <c r="D6" t="s">
        <v>1107</v>
      </c>
      <c r="E6" t="s">
        <v>1103</v>
      </c>
    </row>
    <row r="7" spans="1:5" x14ac:dyDescent="0.25">
      <c r="A7">
        <v>14801</v>
      </c>
      <c r="B7" t="s">
        <v>35</v>
      </c>
      <c r="C7">
        <v>14801002</v>
      </c>
      <c r="D7" t="s">
        <v>1108</v>
      </c>
      <c r="E7" t="s">
        <v>1103</v>
      </c>
    </row>
    <row r="8" spans="1:5" x14ac:dyDescent="0.25">
      <c r="A8">
        <v>14801</v>
      </c>
      <c r="B8" t="s">
        <v>35</v>
      </c>
      <c r="C8">
        <v>14801004</v>
      </c>
      <c r="D8" t="s">
        <v>1109</v>
      </c>
      <c r="E8" t="s">
        <v>1103</v>
      </c>
    </row>
    <row r="9" spans="1:5" x14ac:dyDescent="0.25">
      <c r="A9">
        <v>14801</v>
      </c>
      <c r="B9" t="s">
        <v>35</v>
      </c>
      <c r="C9">
        <v>14801005</v>
      </c>
      <c r="D9" t="s">
        <v>1110</v>
      </c>
      <c r="E9" t="s">
        <v>1103</v>
      </c>
    </row>
    <row r="10" spans="1:5" x14ac:dyDescent="0.25">
      <c r="A10">
        <v>14801</v>
      </c>
      <c r="B10" t="s">
        <v>35</v>
      </c>
      <c r="C10">
        <v>14801006</v>
      </c>
      <c r="D10" t="s">
        <v>1111</v>
      </c>
      <c r="E10" t="s">
        <v>1103</v>
      </c>
    </row>
    <row r="11" spans="1:5" x14ac:dyDescent="0.25">
      <c r="A11">
        <v>14801</v>
      </c>
      <c r="B11" t="s">
        <v>35</v>
      </c>
      <c r="C11">
        <v>14801007</v>
      </c>
      <c r="D11" t="s">
        <v>1112</v>
      </c>
      <c r="E11" t="s">
        <v>1103</v>
      </c>
    </row>
    <row r="12" spans="1:5" x14ac:dyDescent="0.25">
      <c r="A12">
        <v>14801</v>
      </c>
      <c r="B12" t="s">
        <v>35</v>
      </c>
      <c r="C12">
        <v>14801008</v>
      </c>
      <c r="D12" t="s">
        <v>1113</v>
      </c>
      <c r="E12" t="s">
        <v>1103</v>
      </c>
    </row>
    <row r="13" spans="1:5" x14ac:dyDescent="0.25">
      <c r="A13">
        <v>14801</v>
      </c>
      <c r="B13" t="s">
        <v>35</v>
      </c>
      <c r="C13">
        <v>14801009</v>
      </c>
      <c r="D13" t="s">
        <v>1114</v>
      </c>
      <c r="E13" t="s">
        <v>1103</v>
      </c>
    </row>
    <row r="14" spans="1:5" x14ac:dyDescent="0.25">
      <c r="A14">
        <v>14801</v>
      </c>
      <c r="B14" t="s">
        <v>35</v>
      </c>
      <c r="C14">
        <v>14801010</v>
      </c>
      <c r="D14" t="s">
        <v>1115</v>
      </c>
      <c r="E14" t="s">
        <v>1103</v>
      </c>
    </row>
    <row r="15" spans="1:5" x14ac:dyDescent="0.25">
      <c r="A15">
        <v>15801</v>
      </c>
      <c r="B15" t="s">
        <v>36</v>
      </c>
      <c r="C15">
        <v>15801001</v>
      </c>
      <c r="D15" t="s">
        <v>1125</v>
      </c>
      <c r="E15" t="s">
        <v>1103</v>
      </c>
    </row>
    <row r="16" spans="1:5" x14ac:dyDescent="0.25">
      <c r="A16">
        <v>15801</v>
      </c>
      <c r="B16" t="s">
        <v>36</v>
      </c>
      <c r="C16">
        <v>15801002</v>
      </c>
      <c r="D16" t="s">
        <v>1126</v>
      </c>
      <c r="E16" t="s">
        <v>1103</v>
      </c>
    </row>
    <row r="17" spans="1:5" x14ac:dyDescent="0.25">
      <c r="A17">
        <v>43801</v>
      </c>
      <c r="B17" t="s">
        <v>321</v>
      </c>
      <c r="C17">
        <v>43801001</v>
      </c>
      <c r="D17" t="s">
        <v>321</v>
      </c>
      <c r="E17" t="s">
        <v>1101</v>
      </c>
    </row>
    <row r="18" spans="1:5" x14ac:dyDescent="0.25">
      <c r="A18">
        <v>70801</v>
      </c>
      <c r="B18" t="s">
        <v>1093</v>
      </c>
      <c r="C18">
        <v>70801002</v>
      </c>
      <c r="D18" t="s">
        <v>1395</v>
      </c>
      <c r="E18" t="s">
        <v>1103</v>
      </c>
    </row>
    <row r="19" spans="1:5" x14ac:dyDescent="0.25">
      <c r="A19">
        <v>70801</v>
      </c>
      <c r="B19" t="s">
        <v>1093</v>
      </c>
      <c r="C19">
        <v>70801041</v>
      </c>
      <c r="D19" t="s">
        <v>1396</v>
      </c>
      <c r="E19" t="s">
        <v>1103</v>
      </c>
    </row>
    <row r="20" spans="1:5" x14ac:dyDescent="0.25">
      <c r="A20">
        <v>71801</v>
      </c>
      <c r="B20" t="s">
        <v>84</v>
      </c>
      <c r="C20">
        <v>71801001</v>
      </c>
      <c r="D20" t="s">
        <v>1397</v>
      </c>
      <c r="E20" t="s">
        <v>1101</v>
      </c>
    </row>
    <row r="21" spans="1:5" x14ac:dyDescent="0.25">
      <c r="A21">
        <v>71801</v>
      </c>
      <c r="B21" t="s">
        <v>84</v>
      </c>
      <c r="C21">
        <v>71801003</v>
      </c>
      <c r="D21" t="s">
        <v>1398</v>
      </c>
      <c r="E21" t="s">
        <v>1101</v>
      </c>
    </row>
    <row r="22" spans="1:5" x14ac:dyDescent="0.25">
      <c r="A22">
        <v>71801</v>
      </c>
      <c r="B22" t="s">
        <v>84</v>
      </c>
      <c r="C22">
        <v>71801004</v>
      </c>
      <c r="D22" t="s">
        <v>1399</v>
      </c>
      <c r="E22" t="s">
        <v>1101</v>
      </c>
    </row>
    <row r="23" spans="1:5" x14ac:dyDescent="0.25">
      <c r="A23">
        <v>72801</v>
      </c>
      <c r="B23" t="s">
        <v>97</v>
      </c>
      <c r="C23">
        <v>72801001</v>
      </c>
      <c r="D23" t="s">
        <v>1410</v>
      </c>
      <c r="E23" t="s">
        <v>1103</v>
      </c>
    </row>
    <row r="24" spans="1:5" x14ac:dyDescent="0.25">
      <c r="A24">
        <v>72801</v>
      </c>
      <c r="B24" t="s">
        <v>97</v>
      </c>
      <c r="C24">
        <v>72801101</v>
      </c>
      <c r="D24" t="s">
        <v>1411</v>
      </c>
      <c r="E24" t="s">
        <v>1103</v>
      </c>
    </row>
    <row r="25" spans="1:5" x14ac:dyDescent="0.25">
      <c r="A25">
        <v>72801</v>
      </c>
      <c r="B25" t="s">
        <v>97</v>
      </c>
      <c r="C25">
        <v>72801103</v>
      </c>
      <c r="D25" t="s">
        <v>1412</v>
      </c>
      <c r="E25" t="s">
        <v>1103</v>
      </c>
    </row>
    <row r="26" spans="1:5" x14ac:dyDescent="0.25">
      <c r="A26">
        <v>72801</v>
      </c>
      <c r="B26" t="s">
        <v>97</v>
      </c>
      <c r="C26">
        <v>72801104</v>
      </c>
      <c r="D26" t="s">
        <v>1413</v>
      </c>
      <c r="E26" t="s">
        <v>1103</v>
      </c>
    </row>
    <row r="27" spans="1:5" x14ac:dyDescent="0.25">
      <c r="A27">
        <v>72801</v>
      </c>
      <c r="B27" t="s">
        <v>97</v>
      </c>
      <c r="C27">
        <v>72801107</v>
      </c>
      <c r="D27" t="s">
        <v>1414</v>
      </c>
      <c r="E27" t="s">
        <v>1103</v>
      </c>
    </row>
    <row r="28" spans="1:5" x14ac:dyDescent="0.25">
      <c r="A28">
        <v>72801</v>
      </c>
      <c r="B28" t="s">
        <v>97</v>
      </c>
      <c r="C28">
        <v>72801108</v>
      </c>
      <c r="D28" t="s">
        <v>1415</v>
      </c>
      <c r="E28" t="s">
        <v>1103</v>
      </c>
    </row>
    <row r="29" spans="1:5" x14ac:dyDescent="0.25">
      <c r="A29">
        <v>72801</v>
      </c>
      <c r="B29" t="s">
        <v>97</v>
      </c>
      <c r="C29">
        <v>72801109</v>
      </c>
      <c r="D29" t="s">
        <v>1416</v>
      </c>
      <c r="E29" t="s">
        <v>1103</v>
      </c>
    </row>
    <row r="30" spans="1:5" x14ac:dyDescent="0.25">
      <c r="A30">
        <v>72801</v>
      </c>
      <c r="B30" t="s">
        <v>97</v>
      </c>
      <c r="C30">
        <v>72801110</v>
      </c>
      <c r="D30" t="s">
        <v>1417</v>
      </c>
      <c r="E30" t="s">
        <v>1103</v>
      </c>
    </row>
    <row r="31" spans="1:5" x14ac:dyDescent="0.25">
      <c r="A31">
        <v>72801</v>
      </c>
      <c r="B31" t="s">
        <v>97</v>
      </c>
      <c r="C31">
        <v>72801112</v>
      </c>
      <c r="D31" t="s">
        <v>1418</v>
      </c>
      <c r="E31" t="s">
        <v>1103</v>
      </c>
    </row>
    <row r="32" spans="1:5" x14ac:dyDescent="0.25">
      <c r="A32">
        <v>72801</v>
      </c>
      <c r="B32" t="s">
        <v>97</v>
      </c>
      <c r="C32">
        <v>72801113</v>
      </c>
      <c r="D32" t="s">
        <v>1419</v>
      </c>
      <c r="E32" t="s">
        <v>1103</v>
      </c>
    </row>
    <row r="33" spans="1:5" x14ac:dyDescent="0.25">
      <c r="A33">
        <v>72801</v>
      </c>
      <c r="B33" t="s">
        <v>97</v>
      </c>
      <c r="C33">
        <v>72801115</v>
      </c>
      <c r="D33" t="s">
        <v>1420</v>
      </c>
      <c r="E33" t="s">
        <v>1103</v>
      </c>
    </row>
    <row r="34" spans="1:5" x14ac:dyDescent="0.25">
      <c r="A34">
        <v>72801</v>
      </c>
      <c r="B34" t="s">
        <v>97</v>
      </c>
      <c r="C34">
        <v>72801116</v>
      </c>
      <c r="D34" t="s">
        <v>1421</v>
      </c>
      <c r="E34" t="s">
        <v>1103</v>
      </c>
    </row>
    <row r="35" spans="1:5" x14ac:dyDescent="0.25">
      <c r="A35">
        <v>72801</v>
      </c>
      <c r="B35" t="s">
        <v>97</v>
      </c>
      <c r="C35">
        <v>72801117</v>
      </c>
      <c r="D35" t="s">
        <v>1422</v>
      </c>
      <c r="E35" t="s">
        <v>1103</v>
      </c>
    </row>
    <row r="36" spans="1:5" x14ac:dyDescent="0.25">
      <c r="A36">
        <v>72801</v>
      </c>
      <c r="B36" t="s">
        <v>97</v>
      </c>
      <c r="C36">
        <v>72801118</v>
      </c>
      <c r="D36" t="s">
        <v>1423</v>
      </c>
      <c r="E36" t="s">
        <v>1103</v>
      </c>
    </row>
    <row r="37" spans="1:5" x14ac:dyDescent="0.25">
      <c r="A37">
        <v>72801</v>
      </c>
      <c r="B37" t="s">
        <v>97</v>
      </c>
      <c r="C37">
        <v>72801121</v>
      </c>
      <c r="D37" t="s">
        <v>1424</v>
      </c>
      <c r="E37" t="s">
        <v>1103</v>
      </c>
    </row>
    <row r="38" spans="1:5" x14ac:dyDescent="0.25">
      <c r="A38">
        <v>72801</v>
      </c>
      <c r="B38" t="s">
        <v>97</v>
      </c>
      <c r="C38">
        <v>72801128</v>
      </c>
      <c r="D38" t="s">
        <v>1425</v>
      </c>
      <c r="E38" t="s">
        <v>1103</v>
      </c>
    </row>
    <row r="39" spans="1:5" x14ac:dyDescent="0.25">
      <c r="A39">
        <v>72801</v>
      </c>
      <c r="B39" t="s">
        <v>97</v>
      </c>
      <c r="C39">
        <v>72801129</v>
      </c>
      <c r="D39" t="s">
        <v>1426</v>
      </c>
      <c r="E39" t="s">
        <v>1103</v>
      </c>
    </row>
    <row r="40" spans="1:5" x14ac:dyDescent="0.25">
      <c r="A40">
        <v>72801</v>
      </c>
      <c r="B40" t="s">
        <v>97</v>
      </c>
      <c r="C40">
        <v>72801130</v>
      </c>
      <c r="D40" t="s">
        <v>1427</v>
      </c>
      <c r="E40" t="s">
        <v>1103</v>
      </c>
    </row>
    <row r="41" spans="1:5" x14ac:dyDescent="0.25">
      <c r="A41">
        <v>72801</v>
      </c>
      <c r="B41" t="s">
        <v>97</v>
      </c>
      <c r="C41">
        <v>72801131</v>
      </c>
      <c r="D41" t="s">
        <v>1428</v>
      </c>
      <c r="E41" t="s">
        <v>1103</v>
      </c>
    </row>
    <row r="42" spans="1:5" x14ac:dyDescent="0.25">
      <c r="A42">
        <v>72801</v>
      </c>
      <c r="B42" t="s">
        <v>97</v>
      </c>
      <c r="C42">
        <v>72801135</v>
      </c>
      <c r="D42" t="s">
        <v>1429</v>
      </c>
      <c r="E42" t="s">
        <v>1103</v>
      </c>
    </row>
    <row r="43" spans="1:5" x14ac:dyDescent="0.25">
      <c r="A43">
        <v>72801</v>
      </c>
      <c r="B43" t="s">
        <v>97</v>
      </c>
      <c r="C43">
        <v>72801136</v>
      </c>
      <c r="D43" t="s">
        <v>1430</v>
      </c>
      <c r="E43" t="s">
        <v>1103</v>
      </c>
    </row>
    <row r="44" spans="1:5" x14ac:dyDescent="0.25">
      <c r="A44">
        <v>72801</v>
      </c>
      <c r="B44" t="s">
        <v>97</v>
      </c>
      <c r="C44">
        <v>72801137</v>
      </c>
      <c r="D44" t="s">
        <v>1431</v>
      </c>
      <c r="E44" t="s">
        <v>1103</v>
      </c>
    </row>
    <row r="45" spans="1:5" x14ac:dyDescent="0.25">
      <c r="A45">
        <v>72801</v>
      </c>
      <c r="B45" t="s">
        <v>97</v>
      </c>
      <c r="C45">
        <v>72801138</v>
      </c>
      <c r="D45" t="s">
        <v>1432</v>
      </c>
      <c r="E45" t="s">
        <v>1103</v>
      </c>
    </row>
    <row r="46" spans="1:5" x14ac:dyDescent="0.25">
      <c r="A46">
        <v>72801</v>
      </c>
      <c r="B46" t="s">
        <v>97</v>
      </c>
      <c r="C46">
        <v>72801139</v>
      </c>
      <c r="D46" t="s">
        <v>1433</v>
      </c>
      <c r="E46" t="s">
        <v>1103</v>
      </c>
    </row>
    <row r="47" spans="1:5" x14ac:dyDescent="0.25">
      <c r="A47">
        <v>72801</v>
      </c>
      <c r="B47" t="s">
        <v>97</v>
      </c>
      <c r="C47">
        <v>72801142</v>
      </c>
      <c r="D47" t="s">
        <v>1434</v>
      </c>
      <c r="E47" t="s">
        <v>1103</v>
      </c>
    </row>
    <row r="48" spans="1:5" x14ac:dyDescent="0.25">
      <c r="A48">
        <v>72801</v>
      </c>
      <c r="B48" t="s">
        <v>97</v>
      </c>
      <c r="C48">
        <v>72801143</v>
      </c>
      <c r="D48" t="s">
        <v>1435</v>
      </c>
      <c r="E48" t="s">
        <v>1103</v>
      </c>
    </row>
    <row r="49" spans="1:5" x14ac:dyDescent="0.25">
      <c r="A49">
        <v>72801</v>
      </c>
      <c r="B49" t="s">
        <v>97</v>
      </c>
      <c r="C49">
        <v>72801144</v>
      </c>
      <c r="D49" t="s">
        <v>1436</v>
      </c>
      <c r="E49" t="s">
        <v>1103</v>
      </c>
    </row>
    <row r="50" spans="1:5" x14ac:dyDescent="0.25">
      <c r="A50">
        <v>72801</v>
      </c>
      <c r="B50" t="s">
        <v>97</v>
      </c>
      <c r="C50">
        <v>72801146</v>
      </c>
      <c r="D50" t="s">
        <v>1437</v>
      </c>
      <c r="E50" t="s">
        <v>1103</v>
      </c>
    </row>
    <row r="51" spans="1:5" x14ac:dyDescent="0.25">
      <c r="A51">
        <v>72801</v>
      </c>
      <c r="B51" t="s">
        <v>97</v>
      </c>
      <c r="C51">
        <v>72801147</v>
      </c>
      <c r="D51" t="s">
        <v>1438</v>
      </c>
      <c r="E51" t="s">
        <v>1103</v>
      </c>
    </row>
    <row r="52" spans="1:5" x14ac:dyDescent="0.25">
      <c r="A52">
        <v>72801</v>
      </c>
      <c r="B52" t="s">
        <v>97</v>
      </c>
      <c r="C52">
        <v>72801148</v>
      </c>
      <c r="D52" t="s">
        <v>1439</v>
      </c>
      <c r="E52" t="s">
        <v>1103</v>
      </c>
    </row>
    <row r="53" spans="1:5" x14ac:dyDescent="0.25">
      <c r="A53">
        <v>72801</v>
      </c>
      <c r="B53" t="s">
        <v>97</v>
      </c>
      <c r="C53">
        <v>72801149</v>
      </c>
      <c r="D53" t="s">
        <v>1440</v>
      </c>
      <c r="E53" t="s">
        <v>1103</v>
      </c>
    </row>
    <row r="54" spans="1:5" x14ac:dyDescent="0.25">
      <c r="A54">
        <v>72801</v>
      </c>
      <c r="B54" t="s">
        <v>97</v>
      </c>
      <c r="C54">
        <v>72801150</v>
      </c>
      <c r="D54" t="s">
        <v>1441</v>
      </c>
      <c r="E54" t="s">
        <v>1103</v>
      </c>
    </row>
    <row r="55" spans="1:5" x14ac:dyDescent="0.25">
      <c r="A55">
        <v>72801</v>
      </c>
      <c r="B55" t="s">
        <v>97</v>
      </c>
      <c r="C55">
        <v>72801151</v>
      </c>
      <c r="D55" t="s">
        <v>1442</v>
      </c>
      <c r="E55" t="s">
        <v>1101</v>
      </c>
    </row>
    <row r="56" spans="1:5" x14ac:dyDescent="0.25">
      <c r="A56">
        <v>72801</v>
      </c>
      <c r="B56" t="s">
        <v>97</v>
      </c>
      <c r="C56">
        <v>72801152</v>
      </c>
      <c r="D56" t="s">
        <v>1443</v>
      </c>
      <c r="E56" t="s">
        <v>1103</v>
      </c>
    </row>
    <row r="57" spans="1:5" x14ac:dyDescent="0.25">
      <c r="A57">
        <v>72801</v>
      </c>
      <c r="B57" t="s">
        <v>97</v>
      </c>
      <c r="C57">
        <v>72801153</v>
      </c>
      <c r="D57" t="s">
        <v>1444</v>
      </c>
      <c r="E57" t="s">
        <v>1103</v>
      </c>
    </row>
    <row r="58" spans="1:5" x14ac:dyDescent="0.25">
      <c r="A58">
        <v>72801</v>
      </c>
      <c r="B58" t="s">
        <v>97</v>
      </c>
      <c r="C58">
        <v>72801154</v>
      </c>
      <c r="D58" t="s">
        <v>1445</v>
      </c>
      <c r="E58" t="s">
        <v>1103</v>
      </c>
    </row>
    <row r="59" spans="1:5" x14ac:dyDescent="0.25">
      <c r="A59">
        <v>72801</v>
      </c>
      <c r="B59" t="s">
        <v>97</v>
      </c>
      <c r="C59">
        <v>72801155</v>
      </c>
      <c r="D59" t="s">
        <v>1446</v>
      </c>
      <c r="E59" t="s">
        <v>1101</v>
      </c>
    </row>
    <row r="60" spans="1:5" x14ac:dyDescent="0.25">
      <c r="A60">
        <v>72801</v>
      </c>
      <c r="B60" t="s">
        <v>97</v>
      </c>
      <c r="C60">
        <v>72801156</v>
      </c>
      <c r="D60" t="s">
        <v>1447</v>
      </c>
      <c r="E60" t="s">
        <v>1103</v>
      </c>
    </row>
    <row r="61" spans="1:5" x14ac:dyDescent="0.25">
      <c r="A61">
        <v>72801</v>
      </c>
      <c r="B61" t="s">
        <v>97</v>
      </c>
      <c r="C61">
        <v>72801157</v>
      </c>
      <c r="D61" t="s">
        <v>1448</v>
      </c>
      <c r="E61" t="s">
        <v>1103</v>
      </c>
    </row>
    <row r="62" spans="1:5" x14ac:dyDescent="0.25">
      <c r="A62">
        <v>72801</v>
      </c>
      <c r="B62" t="s">
        <v>97</v>
      </c>
      <c r="C62">
        <v>72801158</v>
      </c>
      <c r="D62" t="s">
        <v>1449</v>
      </c>
      <c r="E62" t="s">
        <v>1103</v>
      </c>
    </row>
    <row r="63" spans="1:5" x14ac:dyDescent="0.25">
      <c r="A63">
        <v>72801</v>
      </c>
      <c r="B63" t="s">
        <v>97</v>
      </c>
      <c r="C63">
        <v>72801159</v>
      </c>
      <c r="D63" t="s">
        <v>1450</v>
      </c>
      <c r="E63" t="s">
        <v>1103</v>
      </c>
    </row>
    <row r="64" spans="1:5" x14ac:dyDescent="0.25">
      <c r="A64">
        <v>72801</v>
      </c>
      <c r="B64" t="s">
        <v>97</v>
      </c>
      <c r="C64">
        <v>72801160</v>
      </c>
      <c r="D64" t="s">
        <v>1451</v>
      </c>
      <c r="E64" t="s">
        <v>1103</v>
      </c>
    </row>
    <row r="65" spans="1:5" x14ac:dyDescent="0.25">
      <c r="A65">
        <v>72801</v>
      </c>
      <c r="B65" t="s">
        <v>97</v>
      </c>
      <c r="C65">
        <v>72801161</v>
      </c>
      <c r="D65" t="s">
        <v>1452</v>
      </c>
      <c r="E65" t="s">
        <v>1103</v>
      </c>
    </row>
    <row r="66" spans="1:5" x14ac:dyDescent="0.25">
      <c r="A66">
        <v>72801</v>
      </c>
      <c r="B66" t="s">
        <v>97</v>
      </c>
      <c r="C66">
        <v>72801162</v>
      </c>
      <c r="D66" t="s">
        <v>1453</v>
      </c>
      <c r="E66" t="s">
        <v>1103</v>
      </c>
    </row>
    <row r="67" spans="1:5" x14ac:dyDescent="0.25">
      <c r="A67">
        <v>72801</v>
      </c>
      <c r="B67" t="s">
        <v>97</v>
      </c>
      <c r="C67">
        <v>72801163</v>
      </c>
      <c r="D67" t="s">
        <v>1454</v>
      </c>
      <c r="E67" t="s">
        <v>1103</v>
      </c>
    </row>
    <row r="68" spans="1:5" x14ac:dyDescent="0.25">
      <c r="A68">
        <v>72801</v>
      </c>
      <c r="B68" t="s">
        <v>97</v>
      </c>
      <c r="C68">
        <v>72801164</v>
      </c>
      <c r="D68" t="s">
        <v>1455</v>
      </c>
      <c r="E68" t="s">
        <v>1103</v>
      </c>
    </row>
    <row r="69" spans="1:5" x14ac:dyDescent="0.25">
      <c r="A69">
        <v>92801</v>
      </c>
      <c r="B69" t="s">
        <v>28</v>
      </c>
      <c r="C69">
        <v>92801001</v>
      </c>
      <c r="D69" t="s">
        <v>1460</v>
      </c>
      <c r="E69" t="s">
        <v>1103</v>
      </c>
    </row>
    <row r="70" spans="1:5" x14ac:dyDescent="0.25">
      <c r="A70">
        <v>105801</v>
      </c>
      <c r="B70" t="s">
        <v>34</v>
      </c>
      <c r="C70">
        <v>105801001</v>
      </c>
      <c r="D70" t="s">
        <v>34</v>
      </c>
      <c r="E70" t="s">
        <v>1103</v>
      </c>
    </row>
    <row r="71" spans="1:5" x14ac:dyDescent="0.25">
      <c r="A71">
        <v>111801</v>
      </c>
      <c r="B71" t="s">
        <v>461</v>
      </c>
      <c r="C71">
        <v>111801001</v>
      </c>
      <c r="D71" t="s">
        <v>1696</v>
      </c>
      <c r="E71" t="s">
        <v>1103</v>
      </c>
    </row>
    <row r="72" spans="1:5" x14ac:dyDescent="0.25">
      <c r="A72">
        <v>130801</v>
      </c>
      <c r="B72" t="s">
        <v>441</v>
      </c>
      <c r="C72">
        <v>130801001</v>
      </c>
      <c r="D72" t="s">
        <v>1702</v>
      </c>
      <c r="E72" t="s">
        <v>1103</v>
      </c>
    </row>
    <row r="73" spans="1:5" x14ac:dyDescent="0.25">
      <c r="A73">
        <v>130801</v>
      </c>
      <c r="B73" t="s">
        <v>441</v>
      </c>
      <c r="C73">
        <v>130801003</v>
      </c>
      <c r="D73" t="s">
        <v>1703</v>
      </c>
      <c r="E73" t="s">
        <v>1103</v>
      </c>
    </row>
    <row r="74" spans="1:5" x14ac:dyDescent="0.25">
      <c r="A74">
        <v>174801</v>
      </c>
      <c r="B74" t="s">
        <v>359</v>
      </c>
      <c r="C74">
        <v>174801101</v>
      </c>
      <c r="D74" t="s">
        <v>359</v>
      </c>
      <c r="E74" t="s">
        <v>1101</v>
      </c>
    </row>
    <row r="75" spans="1:5" x14ac:dyDescent="0.25">
      <c r="A75">
        <v>178801</v>
      </c>
      <c r="B75" t="s">
        <v>93</v>
      </c>
      <c r="C75">
        <v>178801001</v>
      </c>
      <c r="D75" t="s">
        <v>93</v>
      </c>
      <c r="E75" t="s">
        <v>1103</v>
      </c>
    </row>
    <row r="76" spans="1:5" x14ac:dyDescent="0.25">
      <c r="A76">
        <v>183801</v>
      </c>
      <c r="B76" t="s">
        <v>71</v>
      </c>
      <c r="C76">
        <v>183801001</v>
      </c>
      <c r="D76" t="s">
        <v>1725</v>
      </c>
      <c r="E76" t="s">
        <v>1103</v>
      </c>
    </row>
    <row r="77" spans="1:5" x14ac:dyDescent="0.25">
      <c r="A77">
        <v>183801</v>
      </c>
      <c r="B77" t="s">
        <v>71</v>
      </c>
      <c r="C77">
        <v>183801002</v>
      </c>
      <c r="D77" t="s">
        <v>1726</v>
      </c>
      <c r="E77" t="s">
        <v>1101</v>
      </c>
    </row>
    <row r="78" spans="1:5" x14ac:dyDescent="0.25">
      <c r="A78">
        <v>183801</v>
      </c>
      <c r="B78" t="s">
        <v>71</v>
      </c>
      <c r="C78">
        <v>183801003</v>
      </c>
      <c r="D78" t="s">
        <v>1727</v>
      </c>
      <c r="E78" t="s">
        <v>1101</v>
      </c>
    </row>
    <row r="79" spans="1:5" x14ac:dyDescent="0.25">
      <c r="A79">
        <v>184801</v>
      </c>
      <c r="B79" t="s">
        <v>6</v>
      </c>
      <c r="C79">
        <v>184801001</v>
      </c>
      <c r="D79" t="s">
        <v>6</v>
      </c>
      <c r="E79" t="s">
        <v>1103</v>
      </c>
    </row>
    <row r="80" spans="1:5" x14ac:dyDescent="0.25">
      <c r="A80">
        <v>193801</v>
      </c>
      <c r="B80" t="s">
        <v>72</v>
      </c>
      <c r="C80">
        <v>193801001</v>
      </c>
      <c r="D80" t="s">
        <v>72</v>
      </c>
      <c r="E80" t="s">
        <v>1103</v>
      </c>
    </row>
    <row r="81" spans="1:5" x14ac:dyDescent="0.25">
      <c r="A81">
        <v>193801</v>
      </c>
      <c r="B81" t="s">
        <v>72</v>
      </c>
      <c r="C81">
        <v>193801101</v>
      </c>
      <c r="D81" t="s">
        <v>1728</v>
      </c>
      <c r="E81" t="s">
        <v>1103</v>
      </c>
    </row>
    <row r="82" spans="1:5" x14ac:dyDescent="0.25">
      <c r="A82">
        <v>212801</v>
      </c>
      <c r="B82" t="s">
        <v>73</v>
      </c>
      <c r="C82">
        <v>212801001</v>
      </c>
      <c r="D82" t="s">
        <v>1729</v>
      </c>
      <c r="E82" t="s">
        <v>1101</v>
      </c>
    </row>
    <row r="83" spans="1:5" x14ac:dyDescent="0.25">
      <c r="A83">
        <v>212801</v>
      </c>
      <c r="B83" t="s">
        <v>73</v>
      </c>
      <c r="C83">
        <v>212801041</v>
      </c>
      <c r="D83" t="s">
        <v>1730</v>
      </c>
      <c r="E83" t="s">
        <v>1101</v>
      </c>
    </row>
    <row r="84" spans="1:5" x14ac:dyDescent="0.25">
      <c r="A84">
        <v>212801</v>
      </c>
      <c r="B84" t="s">
        <v>73</v>
      </c>
      <c r="C84">
        <v>212801042</v>
      </c>
      <c r="D84" t="s">
        <v>1731</v>
      </c>
      <c r="E84" t="s">
        <v>1101</v>
      </c>
    </row>
    <row r="85" spans="1:5" x14ac:dyDescent="0.25">
      <c r="A85">
        <v>212801</v>
      </c>
      <c r="B85" t="s">
        <v>73</v>
      </c>
      <c r="C85">
        <v>212801101</v>
      </c>
      <c r="D85" t="s">
        <v>1732</v>
      </c>
      <c r="E85" t="s">
        <v>1101</v>
      </c>
    </row>
    <row r="86" spans="1:5" x14ac:dyDescent="0.25">
      <c r="A86">
        <v>212801</v>
      </c>
      <c r="B86" t="s">
        <v>73</v>
      </c>
      <c r="C86">
        <v>212801102</v>
      </c>
      <c r="D86" t="s">
        <v>1733</v>
      </c>
      <c r="E86" t="s">
        <v>1101</v>
      </c>
    </row>
    <row r="87" spans="1:5" x14ac:dyDescent="0.25">
      <c r="A87">
        <v>213801</v>
      </c>
      <c r="B87" t="s">
        <v>74</v>
      </c>
      <c r="C87">
        <v>213801001</v>
      </c>
      <c r="D87" t="s">
        <v>74</v>
      </c>
      <c r="E87" t="s">
        <v>1103</v>
      </c>
    </row>
    <row r="88" spans="1:5" x14ac:dyDescent="0.25">
      <c r="A88">
        <v>220801</v>
      </c>
      <c r="B88" t="s">
        <v>75</v>
      </c>
      <c r="C88">
        <v>220801001</v>
      </c>
      <c r="D88" t="s">
        <v>75</v>
      </c>
      <c r="E88" t="s">
        <v>1101</v>
      </c>
    </row>
    <row r="89" spans="1:5" x14ac:dyDescent="0.25">
      <c r="A89">
        <v>221801</v>
      </c>
      <c r="B89" t="s">
        <v>363</v>
      </c>
      <c r="C89">
        <v>221801005</v>
      </c>
      <c r="D89" t="s">
        <v>1749</v>
      </c>
      <c r="E89" t="s">
        <v>1101</v>
      </c>
    </row>
    <row r="90" spans="1:5" x14ac:dyDescent="0.25">
      <c r="A90">
        <v>221801</v>
      </c>
      <c r="B90" t="s">
        <v>363</v>
      </c>
      <c r="C90">
        <v>221801011</v>
      </c>
      <c r="D90" t="s">
        <v>1750</v>
      </c>
      <c r="E90" t="s">
        <v>1101</v>
      </c>
    </row>
    <row r="91" spans="1:5" x14ac:dyDescent="0.25">
      <c r="A91">
        <v>221801</v>
      </c>
      <c r="B91" t="s">
        <v>363</v>
      </c>
      <c r="C91">
        <v>221801014</v>
      </c>
      <c r="D91" t="s">
        <v>1751</v>
      </c>
      <c r="E91" t="s">
        <v>1101</v>
      </c>
    </row>
    <row r="92" spans="1:5" x14ac:dyDescent="0.25">
      <c r="A92">
        <v>221801</v>
      </c>
      <c r="B92" t="s">
        <v>363</v>
      </c>
      <c r="C92">
        <v>221801020</v>
      </c>
      <c r="D92" t="s">
        <v>1752</v>
      </c>
      <c r="E92" t="s">
        <v>1101</v>
      </c>
    </row>
    <row r="93" spans="1:5" x14ac:dyDescent="0.25">
      <c r="A93">
        <v>221801</v>
      </c>
      <c r="B93" t="s">
        <v>363</v>
      </c>
      <c r="C93">
        <v>221801023</v>
      </c>
      <c r="D93" t="s">
        <v>1753</v>
      </c>
      <c r="E93" t="s">
        <v>1101</v>
      </c>
    </row>
    <row r="94" spans="1:5" x14ac:dyDescent="0.25">
      <c r="A94">
        <v>221801</v>
      </c>
      <c r="B94" t="s">
        <v>363</v>
      </c>
      <c r="C94">
        <v>221801025</v>
      </c>
      <c r="D94" t="s">
        <v>1754</v>
      </c>
      <c r="E94" t="s">
        <v>1101</v>
      </c>
    </row>
    <row r="95" spans="1:5" x14ac:dyDescent="0.25">
      <c r="A95">
        <v>221801</v>
      </c>
      <c r="B95" t="s">
        <v>363</v>
      </c>
      <c r="C95">
        <v>221801026</v>
      </c>
      <c r="D95" t="s">
        <v>1755</v>
      </c>
      <c r="E95" t="s">
        <v>1101</v>
      </c>
    </row>
    <row r="96" spans="1:5" x14ac:dyDescent="0.25">
      <c r="A96">
        <v>221801</v>
      </c>
      <c r="B96" t="s">
        <v>363</v>
      </c>
      <c r="C96">
        <v>221801027</v>
      </c>
      <c r="D96" t="s">
        <v>1756</v>
      </c>
      <c r="E96" t="s">
        <v>1101</v>
      </c>
    </row>
    <row r="97" spans="1:5" x14ac:dyDescent="0.25">
      <c r="A97">
        <v>221801</v>
      </c>
      <c r="B97" t="s">
        <v>363</v>
      </c>
      <c r="C97">
        <v>221801033</v>
      </c>
      <c r="D97" t="s">
        <v>1757</v>
      </c>
      <c r="E97" t="s">
        <v>1101</v>
      </c>
    </row>
    <row r="98" spans="1:5" x14ac:dyDescent="0.25">
      <c r="A98">
        <v>221801</v>
      </c>
      <c r="B98" t="s">
        <v>363</v>
      </c>
      <c r="C98">
        <v>221801034</v>
      </c>
      <c r="D98" t="s">
        <v>1758</v>
      </c>
      <c r="E98" t="s">
        <v>1101</v>
      </c>
    </row>
    <row r="99" spans="1:5" x14ac:dyDescent="0.25">
      <c r="A99">
        <v>221801</v>
      </c>
      <c r="B99" t="s">
        <v>363</v>
      </c>
      <c r="C99">
        <v>221801039</v>
      </c>
      <c r="D99" t="s">
        <v>1759</v>
      </c>
      <c r="E99" t="s">
        <v>1101</v>
      </c>
    </row>
    <row r="100" spans="1:5" x14ac:dyDescent="0.25">
      <c r="A100">
        <v>221801</v>
      </c>
      <c r="B100" t="s">
        <v>363</v>
      </c>
      <c r="C100">
        <v>221801043</v>
      </c>
      <c r="D100" t="s">
        <v>1760</v>
      </c>
      <c r="E100" t="s">
        <v>1101</v>
      </c>
    </row>
    <row r="101" spans="1:5" x14ac:dyDescent="0.25">
      <c r="A101">
        <v>221801</v>
      </c>
      <c r="B101" t="s">
        <v>363</v>
      </c>
      <c r="C101">
        <v>221801044</v>
      </c>
      <c r="D101" t="s">
        <v>1761</v>
      </c>
      <c r="E101" t="s">
        <v>1101</v>
      </c>
    </row>
    <row r="102" spans="1:5" x14ac:dyDescent="0.25">
      <c r="A102">
        <v>221801</v>
      </c>
      <c r="B102" t="s">
        <v>363</v>
      </c>
      <c r="C102">
        <v>221801045</v>
      </c>
      <c r="D102" t="s">
        <v>1762</v>
      </c>
      <c r="E102" t="s">
        <v>1101</v>
      </c>
    </row>
    <row r="103" spans="1:5" x14ac:dyDescent="0.25">
      <c r="A103">
        <v>221801</v>
      </c>
      <c r="B103" t="s">
        <v>363</v>
      </c>
      <c r="C103">
        <v>221801046</v>
      </c>
      <c r="D103" t="s">
        <v>1763</v>
      </c>
      <c r="E103" t="s">
        <v>1101</v>
      </c>
    </row>
    <row r="104" spans="1:5" x14ac:dyDescent="0.25">
      <c r="A104">
        <v>221801</v>
      </c>
      <c r="B104" t="s">
        <v>363</v>
      </c>
      <c r="C104">
        <v>221801048</v>
      </c>
      <c r="D104" t="s">
        <v>1764</v>
      </c>
      <c r="E104" t="s">
        <v>1101</v>
      </c>
    </row>
    <row r="105" spans="1:5" x14ac:dyDescent="0.25">
      <c r="A105">
        <v>221801</v>
      </c>
      <c r="B105" t="s">
        <v>363</v>
      </c>
      <c r="C105">
        <v>221801051</v>
      </c>
      <c r="D105" t="s">
        <v>1765</v>
      </c>
      <c r="E105" t="s">
        <v>1101</v>
      </c>
    </row>
    <row r="106" spans="1:5" x14ac:dyDescent="0.25">
      <c r="A106">
        <v>221801</v>
      </c>
      <c r="B106" t="s">
        <v>363</v>
      </c>
      <c r="C106">
        <v>221801052</v>
      </c>
      <c r="D106" t="s">
        <v>1766</v>
      </c>
      <c r="E106" t="s">
        <v>1101</v>
      </c>
    </row>
    <row r="107" spans="1:5" x14ac:dyDescent="0.25">
      <c r="A107">
        <v>221801</v>
      </c>
      <c r="B107" t="s">
        <v>363</v>
      </c>
      <c r="C107">
        <v>221801055</v>
      </c>
      <c r="D107" t="s">
        <v>1767</v>
      </c>
      <c r="E107" t="s">
        <v>1101</v>
      </c>
    </row>
    <row r="108" spans="1:5" x14ac:dyDescent="0.25">
      <c r="A108">
        <v>221801</v>
      </c>
      <c r="B108" t="s">
        <v>363</v>
      </c>
      <c r="C108">
        <v>221801056</v>
      </c>
      <c r="D108" t="s">
        <v>1768</v>
      </c>
      <c r="E108" t="s">
        <v>1101</v>
      </c>
    </row>
    <row r="109" spans="1:5" x14ac:dyDescent="0.25">
      <c r="A109">
        <v>221801</v>
      </c>
      <c r="B109" t="s">
        <v>363</v>
      </c>
      <c r="C109">
        <v>221801057</v>
      </c>
      <c r="D109" t="s">
        <v>1769</v>
      </c>
      <c r="E109" t="s">
        <v>1101</v>
      </c>
    </row>
    <row r="110" spans="1:5" x14ac:dyDescent="0.25">
      <c r="A110">
        <v>221801</v>
      </c>
      <c r="B110" t="s">
        <v>363</v>
      </c>
      <c r="C110">
        <v>221801058</v>
      </c>
      <c r="D110" t="s">
        <v>1770</v>
      </c>
      <c r="E110" t="s">
        <v>1101</v>
      </c>
    </row>
    <row r="111" spans="1:5" x14ac:dyDescent="0.25">
      <c r="A111">
        <v>221801</v>
      </c>
      <c r="B111" t="s">
        <v>363</v>
      </c>
      <c r="C111">
        <v>221801060</v>
      </c>
      <c r="D111" t="s">
        <v>1771</v>
      </c>
      <c r="E111" t="s">
        <v>1101</v>
      </c>
    </row>
    <row r="112" spans="1:5" x14ac:dyDescent="0.25">
      <c r="A112">
        <v>221801</v>
      </c>
      <c r="B112" t="s">
        <v>363</v>
      </c>
      <c r="C112">
        <v>221801061</v>
      </c>
      <c r="D112" t="s">
        <v>1772</v>
      </c>
      <c r="E112" t="s">
        <v>1101</v>
      </c>
    </row>
    <row r="113" spans="1:5" x14ac:dyDescent="0.25">
      <c r="A113">
        <v>221801</v>
      </c>
      <c r="B113" t="s">
        <v>363</v>
      </c>
      <c r="C113">
        <v>221801062</v>
      </c>
      <c r="D113" t="s">
        <v>1773</v>
      </c>
      <c r="E113" t="s">
        <v>1101</v>
      </c>
    </row>
    <row r="114" spans="1:5" x14ac:dyDescent="0.25">
      <c r="A114">
        <v>221801</v>
      </c>
      <c r="B114" t="s">
        <v>363</v>
      </c>
      <c r="C114">
        <v>221801063</v>
      </c>
      <c r="D114" t="s">
        <v>1774</v>
      </c>
      <c r="E114" t="s">
        <v>1101</v>
      </c>
    </row>
    <row r="115" spans="1:5" x14ac:dyDescent="0.25">
      <c r="A115">
        <v>221801</v>
      </c>
      <c r="B115" t="s">
        <v>363</v>
      </c>
      <c r="C115">
        <v>221801064</v>
      </c>
      <c r="D115" t="s">
        <v>1775</v>
      </c>
      <c r="E115" t="s">
        <v>1101</v>
      </c>
    </row>
    <row r="116" spans="1:5" x14ac:dyDescent="0.25">
      <c r="A116">
        <v>221801</v>
      </c>
      <c r="B116" t="s">
        <v>363</v>
      </c>
      <c r="C116">
        <v>221801065</v>
      </c>
      <c r="D116" t="s">
        <v>1776</v>
      </c>
      <c r="E116" t="s">
        <v>1101</v>
      </c>
    </row>
    <row r="117" spans="1:5" x14ac:dyDescent="0.25">
      <c r="A117">
        <v>221801</v>
      </c>
      <c r="B117" t="s">
        <v>363</v>
      </c>
      <c r="C117">
        <v>221801066</v>
      </c>
      <c r="D117" t="s">
        <v>1777</v>
      </c>
      <c r="E117" t="s">
        <v>1101</v>
      </c>
    </row>
    <row r="118" spans="1:5" x14ac:dyDescent="0.25">
      <c r="A118">
        <v>221801</v>
      </c>
      <c r="B118" t="s">
        <v>363</v>
      </c>
      <c r="C118">
        <v>221801067</v>
      </c>
      <c r="D118" t="s">
        <v>1778</v>
      </c>
      <c r="E118" t="s">
        <v>1101</v>
      </c>
    </row>
    <row r="119" spans="1:5" x14ac:dyDescent="0.25">
      <c r="A119">
        <v>221801</v>
      </c>
      <c r="B119" t="s">
        <v>363</v>
      </c>
      <c r="C119">
        <v>221801068</v>
      </c>
      <c r="D119" t="s">
        <v>1779</v>
      </c>
      <c r="E119" t="s">
        <v>1101</v>
      </c>
    </row>
    <row r="120" spans="1:5" x14ac:dyDescent="0.25">
      <c r="A120">
        <v>221801</v>
      </c>
      <c r="B120" t="s">
        <v>363</v>
      </c>
      <c r="C120">
        <v>221801069</v>
      </c>
      <c r="D120" t="s">
        <v>1780</v>
      </c>
      <c r="E120" t="s">
        <v>1101</v>
      </c>
    </row>
    <row r="121" spans="1:5" x14ac:dyDescent="0.25">
      <c r="A121">
        <v>221801</v>
      </c>
      <c r="B121" t="s">
        <v>363</v>
      </c>
      <c r="C121">
        <v>221801070</v>
      </c>
      <c r="D121" t="s">
        <v>1781</v>
      </c>
      <c r="E121" t="s">
        <v>1101</v>
      </c>
    </row>
    <row r="122" spans="1:5" x14ac:dyDescent="0.25">
      <c r="A122">
        <v>221801</v>
      </c>
      <c r="B122" t="s">
        <v>363</v>
      </c>
      <c r="C122">
        <v>221801071</v>
      </c>
      <c r="D122" t="s">
        <v>1782</v>
      </c>
      <c r="E122" t="s">
        <v>1101</v>
      </c>
    </row>
    <row r="123" spans="1:5" x14ac:dyDescent="0.25">
      <c r="A123">
        <v>221801</v>
      </c>
      <c r="B123" t="s">
        <v>363</v>
      </c>
      <c r="C123">
        <v>221801073</v>
      </c>
      <c r="D123" t="s">
        <v>1783</v>
      </c>
      <c r="E123" t="s">
        <v>1101</v>
      </c>
    </row>
    <row r="124" spans="1:5" x14ac:dyDescent="0.25">
      <c r="A124">
        <v>221801</v>
      </c>
      <c r="B124" t="s">
        <v>363</v>
      </c>
      <c r="C124">
        <v>221801074</v>
      </c>
      <c r="D124" t="s">
        <v>1784</v>
      </c>
      <c r="E124" t="s">
        <v>1101</v>
      </c>
    </row>
    <row r="125" spans="1:5" x14ac:dyDescent="0.25">
      <c r="A125">
        <v>221801</v>
      </c>
      <c r="B125" t="s">
        <v>363</v>
      </c>
      <c r="C125">
        <v>221801075</v>
      </c>
      <c r="D125" t="s">
        <v>1785</v>
      </c>
      <c r="E125" t="s">
        <v>1101</v>
      </c>
    </row>
    <row r="126" spans="1:5" x14ac:dyDescent="0.25">
      <c r="A126">
        <v>221801</v>
      </c>
      <c r="B126" t="s">
        <v>363</v>
      </c>
      <c r="C126">
        <v>221801076</v>
      </c>
      <c r="D126" t="s">
        <v>1786</v>
      </c>
      <c r="E126" t="s">
        <v>1101</v>
      </c>
    </row>
    <row r="127" spans="1:5" x14ac:dyDescent="0.25">
      <c r="A127">
        <v>221801</v>
      </c>
      <c r="B127" t="s">
        <v>363</v>
      </c>
      <c r="C127">
        <v>221801077</v>
      </c>
      <c r="D127" t="s">
        <v>1787</v>
      </c>
      <c r="E127" t="s">
        <v>1101</v>
      </c>
    </row>
    <row r="128" spans="1:5" x14ac:dyDescent="0.25">
      <c r="A128">
        <v>221801</v>
      </c>
      <c r="B128" t="s">
        <v>363</v>
      </c>
      <c r="C128">
        <v>221801078</v>
      </c>
      <c r="D128" t="s">
        <v>1788</v>
      </c>
      <c r="E128" t="s">
        <v>1101</v>
      </c>
    </row>
    <row r="129" spans="1:5" x14ac:dyDescent="0.25">
      <c r="A129">
        <v>221801</v>
      </c>
      <c r="B129" t="s">
        <v>363</v>
      </c>
      <c r="C129">
        <v>221801080</v>
      </c>
      <c r="D129" t="s">
        <v>1789</v>
      </c>
      <c r="E129" t="s">
        <v>1101</v>
      </c>
    </row>
    <row r="130" spans="1:5" x14ac:dyDescent="0.25">
      <c r="A130">
        <v>226801</v>
      </c>
      <c r="B130" t="s">
        <v>639</v>
      </c>
      <c r="C130">
        <v>226801001</v>
      </c>
      <c r="D130" t="s">
        <v>1790</v>
      </c>
      <c r="E130" t="s">
        <v>1101</v>
      </c>
    </row>
    <row r="131" spans="1:5" x14ac:dyDescent="0.25">
      <c r="A131">
        <v>226801</v>
      </c>
      <c r="B131" t="s">
        <v>639</v>
      </c>
      <c r="C131">
        <v>226801002</v>
      </c>
      <c r="D131" t="s">
        <v>1791</v>
      </c>
      <c r="E131" t="s">
        <v>1101</v>
      </c>
    </row>
    <row r="132" spans="1:5" x14ac:dyDescent="0.25">
      <c r="A132">
        <v>226801</v>
      </c>
      <c r="B132" t="s">
        <v>639</v>
      </c>
      <c r="C132">
        <v>226801003</v>
      </c>
      <c r="D132" t="s">
        <v>1792</v>
      </c>
      <c r="E132" t="s">
        <v>1101</v>
      </c>
    </row>
    <row r="133" spans="1:5" x14ac:dyDescent="0.25">
      <c r="A133">
        <v>226801</v>
      </c>
      <c r="B133" t="s">
        <v>639</v>
      </c>
      <c r="C133">
        <v>226801004</v>
      </c>
      <c r="D133" t="s">
        <v>1793</v>
      </c>
      <c r="E133" t="s">
        <v>1101</v>
      </c>
    </row>
    <row r="134" spans="1:5" x14ac:dyDescent="0.25">
      <c r="A134">
        <v>234801</v>
      </c>
      <c r="B134" t="s">
        <v>81</v>
      </c>
      <c r="C134">
        <v>234801001</v>
      </c>
      <c r="D134" t="s">
        <v>81</v>
      </c>
      <c r="E134" t="s">
        <v>1103</v>
      </c>
    </row>
    <row r="135" spans="1:5" x14ac:dyDescent="0.25">
      <c r="A135">
        <v>236801</v>
      </c>
      <c r="B135" t="s">
        <v>82</v>
      </c>
      <c r="C135">
        <v>236801001</v>
      </c>
      <c r="D135" t="s">
        <v>1906</v>
      </c>
      <c r="E135" t="s">
        <v>1103</v>
      </c>
    </row>
    <row r="136" spans="1:5" x14ac:dyDescent="0.25">
      <c r="A136">
        <v>240801</v>
      </c>
      <c r="B136" t="s">
        <v>464</v>
      </c>
      <c r="C136">
        <v>240801001</v>
      </c>
      <c r="D136" t="s">
        <v>1907</v>
      </c>
      <c r="E136" t="s">
        <v>1103</v>
      </c>
    </row>
    <row r="137" spans="1:5" x14ac:dyDescent="0.25">
      <c r="A137">
        <v>240801</v>
      </c>
      <c r="B137" t="s">
        <v>464</v>
      </c>
      <c r="C137">
        <v>240801002</v>
      </c>
      <c r="D137" t="s">
        <v>1908</v>
      </c>
      <c r="E137" t="s">
        <v>1103</v>
      </c>
    </row>
    <row r="138" spans="1:5" x14ac:dyDescent="0.25">
      <c r="A138">
        <v>246801</v>
      </c>
      <c r="B138" t="s">
        <v>96</v>
      </c>
      <c r="C138">
        <v>246801001</v>
      </c>
      <c r="D138" t="s">
        <v>96</v>
      </c>
      <c r="E138" t="s">
        <v>1101</v>
      </c>
    </row>
    <row r="139" spans="1:5" x14ac:dyDescent="0.25">
      <c r="A139">
        <v>15802</v>
      </c>
      <c r="B139" t="s">
        <v>55</v>
      </c>
      <c r="C139">
        <v>15802001</v>
      </c>
      <c r="D139" t="s">
        <v>55</v>
      </c>
      <c r="E139" t="s">
        <v>1103</v>
      </c>
    </row>
    <row r="140" spans="1:5" x14ac:dyDescent="0.25">
      <c r="A140">
        <v>15802</v>
      </c>
      <c r="B140" t="s">
        <v>55</v>
      </c>
      <c r="C140">
        <v>15802004</v>
      </c>
      <c r="D140" t="s">
        <v>1127</v>
      </c>
      <c r="E140" t="s">
        <v>1103</v>
      </c>
    </row>
    <row r="141" spans="1:5" x14ac:dyDescent="0.25">
      <c r="A141">
        <v>43802</v>
      </c>
      <c r="B141" t="s">
        <v>440</v>
      </c>
      <c r="C141">
        <v>43802101</v>
      </c>
      <c r="D141" t="s">
        <v>1232</v>
      </c>
      <c r="E141" t="s">
        <v>1101</v>
      </c>
    </row>
    <row r="142" spans="1:5" x14ac:dyDescent="0.25">
      <c r="A142">
        <v>46802</v>
      </c>
      <c r="B142" t="s">
        <v>41</v>
      </c>
      <c r="C142">
        <v>46802001</v>
      </c>
      <c r="D142" t="s">
        <v>1233</v>
      </c>
      <c r="E142" t="s">
        <v>1103</v>
      </c>
    </row>
    <row r="143" spans="1:5" x14ac:dyDescent="0.25">
      <c r="A143">
        <v>46802</v>
      </c>
      <c r="B143" t="s">
        <v>41</v>
      </c>
      <c r="C143">
        <v>46802007</v>
      </c>
      <c r="D143" t="s">
        <v>1234</v>
      </c>
      <c r="E143" t="s">
        <v>1103</v>
      </c>
    </row>
    <row r="144" spans="1:5" x14ac:dyDescent="0.25">
      <c r="A144">
        <v>46802</v>
      </c>
      <c r="B144" t="s">
        <v>41</v>
      </c>
      <c r="C144">
        <v>46802010</v>
      </c>
      <c r="D144" t="s">
        <v>1235</v>
      </c>
      <c r="E144" t="s">
        <v>1103</v>
      </c>
    </row>
    <row r="145" spans="1:5" x14ac:dyDescent="0.25">
      <c r="A145">
        <v>46802</v>
      </c>
      <c r="B145" t="s">
        <v>41</v>
      </c>
      <c r="C145">
        <v>46802014</v>
      </c>
      <c r="D145" t="s">
        <v>1236</v>
      </c>
      <c r="E145" t="s">
        <v>1103</v>
      </c>
    </row>
    <row r="146" spans="1:5" x14ac:dyDescent="0.25">
      <c r="A146">
        <v>46802</v>
      </c>
      <c r="B146" t="s">
        <v>41</v>
      </c>
      <c r="C146">
        <v>46802016</v>
      </c>
      <c r="D146" t="s">
        <v>1237</v>
      </c>
      <c r="E146" t="s">
        <v>1103</v>
      </c>
    </row>
    <row r="147" spans="1:5" x14ac:dyDescent="0.25">
      <c r="A147">
        <v>46802</v>
      </c>
      <c r="B147" t="s">
        <v>41</v>
      </c>
      <c r="C147">
        <v>46802017</v>
      </c>
      <c r="D147" t="s">
        <v>1238</v>
      </c>
      <c r="E147" t="s">
        <v>1103</v>
      </c>
    </row>
    <row r="148" spans="1:5" x14ac:dyDescent="0.25">
      <c r="A148">
        <v>46802</v>
      </c>
      <c r="B148" t="s">
        <v>41</v>
      </c>
      <c r="C148">
        <v>46802018</v>
      </c>
      <c r="D148" t="s">
        <v>1239</v>
      </c>
      <c r="E148" t="s">
        <v>1103</v>
      </c>
    </row>
    <row r="149" spans="1:5" x14ac:dyDescent="0.25">
      <c r="A149">
        <v>46802</v>
      </c>
      <c r="B149" t="s">
        <v>41</v>
      </c>
      <c r="C149">
        <v>46802021</v>
      </c>
      <c r="D149" t="s">
        <v>1240</v>
      </c>
      <c r="E149" t="s">
        <v>1103</v>
      </c>
    </row>
    <row r="150" spans="1:5" x14ac:dyDescent="0.25">
      <c r="A150">
        <v>46802</v>
      </c>
      <c r="B150" t="s">
        <v>41</v>
      </c>
      <c r="C150">
        <v>46802022</v>
      </c>
      <c r="D150" t="s">
        <v>1241</v>
      </c>
      <c r="E150" t="s">
        <v>1103</v>
      </c>
    </row>
    <row r="151" spans="1:5" x14ac:dyDescent="0.25">
      <c r="A151">
        <v>57802</v>
      </c>
      <c r="B151" t="s">
        <v>17</v>
      </c>
      <c r="C151">
        <v>57802001</v>
      </c>
      <c r="D151" t="s">
        <v>1242</v>
      </c>
      <c r="E151" t="s">
        <v>1103</v>
      </c>
    </row>
    <row r="152" spans="1:5" x14ac:dyDescent="0.25">
      <c r="A152">
        <v>61802</v>
      </c>
      <c r="B152" t="s">
        <v>333</v>
      </c>
      <c r="C152">
        <v>61802003</v>
      </c>
      <c r="D152" t="s">
        <v>1391</v>
      </c>
      <c r="E152" t="s">
        <v>1101</v>
      </c>
    </row>
    <row r="153" spans="1:5" x14ac:dyDescent="0.25">
      <c r="A153">
        <v>61802</v>
      </c>
      <c r="B153" t="s">
        <v>333</v>
      </c>
      <c r="C153">
        <v>61802004</v>
      </c>
      <c r="D153" t="s">
        <v>1392</v>
      </c>
      <c r="E153" t="s">
        <v>1101</v>
      </c>
    </row>
    <row r="154" spans="1:5" x14ac:dyDescent="0.25">
      <c r="A154">
        <v>61802</v>
      </c>
      <c r="B154" t="s">
        <v>333</v>
      </c>
      <c r="C154">
        <v>61802005</v>
      </c>
      <c r="D154" t="s">
        <v>1393</v>
      </c>
      <c r="E154" t="s">
        <v>1101</v>
      </c>
    </row>
    <row r="155" spans="1:5" x14ac:dyDescent="0.25">
      <c r="A155">
        <v>68802</v>
      </c>
      <c r="B155" t="s">
        <v>335</v>
      </c>
      <c r="C155">
        <v>68802001</v>
      </c>
      <c r="D155" t="s">
        <v>335</v>
      </c>
      <c r="E155" t="s">
        <v>1101</v>
      </c>
    </row>
    <row r="156" spans="1:5" x14ac:dyDescent="0.25">
      <c r="A156">
        <v>72802</v>
      </c>
      <c r="B156" t="s">
        <v>340</v>
      </c>
      <c r="C156">
        <v>72802001</v>
      </c>
      <c r="D156" t="s">
        <v>1456</v>
      </c>
      <c r="E156" t="s">
        <v>1103</v>
      </c>
    </row>
    <row r="157" spans="1:5" x14ac:dyDescent="0.25">
      <c r="A157">
        <v>72802</v>
      </c>
      <c r="B157" t="s">
        <v>340</v>
      </c>
      <c r="C157">
        <v>72802002</v>
      </c>
      <c r="D157" t="s">
        <v>1457</v>
      </c>
      <c r="E157" t="s">
        <v>1103</v>
      </c>
    </row>
    <row r="158" spans="1:5" x14ac:dyDescent="0.25">
      <c r="A158">
        <v>84802</v>
      </c>
      <c r="B158" t="s">
        <v>341</v>
      </c>
      <c r="C158">
        <v>84802001</v>
      </c>
      <c r="D158" t="s">
        <v>1458</v>
      </c>
      <c r="E158" t="s">
        <v>1101</v>
      </c>
    </row>
    <row r="159" spans="1:5" x14ac:dyDescent="0.25">
      <c r="A159">
        <v>84802</v>
      </c>
      <c r="B159" t="s">
        <v>341</v>
      </c>
      <c r="C159">
        <v>84802002</v>
      </c>
      <c r="D159" t="s">
        <v>1459</v>
      </c>
      <c r="E159" t="s">
        <v>1101</v>
      </c>
    </row>
    <row r="160" spans="1:5" x14ac:dyDescent="0.25">
      <c r="A160">
        <v>101802</v>
      </c>
      <c r="B160" t="s">
        <v>50</v>
      </c>
      <c r="C160">
        <v>101802001</v>
      </c>
      <c r="D160" t="s">
        <v>1461</v>
      </c>
      <c r="E160" t="s">
        <v>1101</v>
      </c>
    </row>
    <row r="161" spans="1:5" x14ac:dyDescent="0.25">
      <c r="A161">
        <v>101802</v>
      </c>
      <c r="B161" t="s">
        <v>50</v>
      </c>
      <c r="C161">
        <v>101802041</v>
      </c>
      <c r="D161" t="s">
        <v>1462</v>
      </c>
      <c r="E161" t="s">
        <v>1101</v>
      </c>
    </row>
    <row r="162" spans="1:5" x14ac:dyDescent="0.25">
      <c r="A162">
        <v>101802</v>
      </c>
      <c r="B162" t="s">
        <v>50</v>
      </c>
      <c r="C162">
        <v>101802101</v>
      </c>
      <c r="D162" t="s">
        <v>1463</v>
      </c>
      <c r="E162" t="s">
        <v>1101</v>
      </c>
    </row>
    <row r="163" spans="1:5" x14ac:dyDescent="0.25">
      <c r="A163">
        <v>101802</v>
      </c>
      <c r="B163" t="s">
        <v>50</v>
      </c>
      <c r="C163">
        <v>101802102</v>
      </c>
      <c r="D163" t="s">
        <v>1464</v>
      </c>
      <c r="E163" t="s">
        <v>1101</v>
      </c>
    </row>
    <row r="164" spans="1:5" x14ac:dyDescent="0.25">
      <c r="A164">
        <v>105802</v>
      </c>
      <c r="B164" t="s">
        <v>3</v>
      </c>
      <c r="C164">
        <v>105802041</v>
      </c>
      <c r="D164" t="s">
        <v>3</v>
      </c>
      <c r="E164" t="s">
        <v>1103</v>
      </c>
    </row>
    <row r="165" spans="1:5" x14ac:dyDescent="0.25">
      <c r="A165">
        <v>105802</v>
      </c>
      <c r="B165" t="s">
        <v>3</v>
      </c>
      <c r="C165">
        <v>105802101</v>
      </c>
      <c r="D165" t="s">
        <v>1554</v>
      </c>
      <c r="E165" t="s">
        <v>1101</v>
      </c>
    </row>
    <row r="166" spans="1:5" x14ac:dyDescent="0.25">
      <c r="A166">
        <v>108802</v>
      </c>
      <c r="B166" t="s">
        <v>352</v>
      </c>
      <c r="C166">
        <v>108802101</v>
      </c>
      <c r="D166" t="s">
        <v>1560</v>
      </c>
      <c r="E166" t="s">
        <v>1101</v>
      </c>
    </row>
    <row r="167" spans="1:5" x14ac:dyDescent="0.25">
      <c r="A167">
        <v>108802</v>
      </c>
      <c r="B167" t="s">
        <v>352</v>
      </c>
      <c r="C167">
        <v>108802102</v>
      </c>
      <c r="D167" t="s">
        <v>1561</v>
      </c>
      <c r="E167" t="s">
        <v>1101</v>
      </c>
    </row>
    <row r="168" spans="1:5" x14ac:dyDescent="0.25">
      <c r="A168">
        <v>108802</v>
      </c>
      <c r="B168" t="s">
        <v>352</v>
      </c>
      <c r="C168">
        <v>108802103</v>
      </c>
      <c r="D168" t="s">
        <v>1562</v>
      </c>
      <c r="E168" t="s">
        <v>1101</v>
      </c>
    </row>
    <row r="169" spans="1:5" x14ac:dyDescent="0.25">
      <c r="A169">
        <v>108802</v>
      </c>
      <c r="B169" t="s">
        <v>352</v>
      </c>
      <c r="C169">
        <v>108802104</v>
      </c>
      <c r="D169" t="s">
        <v>1563</v>
      </c>
      <c r="E169" t="s">
        <v>1101</v>
      </c>
    </row>
    <row r="170" spans="1:5" x14ac:dyDescent="0.25">
      <c r="A170">
        <v>152802</v>
      </c>
      <c r="B170" t="s">
        <v>89</v>
      </c>
      <c r="C170">
        <v>152802101</v>
      </c>
      <c r="D170" t="s">
        <v>89</v>
      </c>
      <c r="E170" t="s">
        <v>1101</v>
      </c>
    </row>
    <row r="171" spans="1:5" x14ac:dyDescent="0.25">
      <c r="A171">
        <v>161802</v>
      </c>
      <c r="B171" t="s">
        <v>357</v>
      </c>
      <c r="C171">
        <v>161802001</v>
      </c>
      <c r="D171" t="s">
        <v>1705</v>
      </c>
      <c r="E171" t="s">
        <v>1101</v>
      </c>
    </row>
    <row r="172" spans="1:5" x14ac:dyDescent="0.25">
      <c r="A172">
        <v>161802</v>
      </c>
      <c r="B172" t="s">
        <v>357</v>
      </c>
      <c r="C172">
        <v>161802101</v>
      </c>
      <c r="D172" t="s">
        <v>1706</v>
      </c>
      <c r="E172" t="s">
        <v>1101</v>
      </c>
    </row>
    <row r="173" spans="1:5" x14ac:dyDescent="0.25">
      <c r="A173">
        <v>161802</v>
      </c>
      <c r="B173" t="s">
        <v>357</v>
      </c>
      <c r="C173">
        <v>161802102</v>
      </c>
      <c r="D173" t="s">
        <v>1707</v>
      </c>
      <c r="E173" t="s">
        <v>1101</v>
      </c>
    </row>
    <row r="174" spans="1:5" x14ac:dyDescent="0.25">
      <c r="A174">
        <v>165802</v>
      </c>
      <c r="B174" t="s">
        <v>90</v>
      </c>
      <c r="C174">
        <v>165802101</v>
      </c>
      <c r="D174" t="s">
        <v>90</v>
      </c>
      <c r="E174" t="s">
        <v>1103</v>
      </c>
    </row>
    <row r="175" spans="1:5" x14ac:dyDescent="0.25">
      <c r="A175">
        <v>170802</v>
      </c>
      <c r="B175" t="s">
        <v>805</v>
      </c>
      <c r="C175">
        <v>170802001</v>
      </c>
      <c r="D175" t="s">
        <v>805</v>
      </c>
      <c r="E175" t="s">
        <v>1101</v>
      </c>
    </row>
    <row r="176" spans="1:5" x14ac:dyDescent="0.25">
      <c r="A176">
        <v>220802</v>
      </c>
      <c r="B176" t="s">
        <v>76</v>
      </c>
      <c r="C176">
        <v>220802040</v>
      </c>
      <c r="D176" t="s">
        <v>1737</v>
      </c>
      <c r="E176" t="s">
        <v>1101</v>
      </c>
    </row>
    <row r="177" spans="1:5" x14ac:dyDescent="0.25">
      <c r="A177">
        <v>220802</v>
      </c>
      <c r="B177" t="s">
        <v>76</v>
      </c>
      <c r="C177">
        <v>220802101</v>
      </c>
      <c r="D177" t="s">
        <v>1738</v>
      </c>
      <c r="E177" t="s">
        <v>1101</v>
      </c>
    </row>
    <row r="178" spans="1:5" x14ac:dyDescent="0.25">
      <c r="A178">
        <v>220802</v>
      </c>
      <c r="B178" t="s">
        <v>76</v>
      </c>
      <c r="C178">
        <v>220802102</v>
      </c>
      <c r="D178" t="s">
        <v>1739</v>
      </c>
      <c r="E178" t="s">
        <v>1101</v>
      </c>
    </row>
    <row r="179" spans="1:5" x14ac:dyDescent="0.25">
      <c r="A179">
        <v>236802</v>
      </c>
      <c r="B179" t="s">
        <v>385</v>
      </c>
      <c r="C179">
        <v>236802101</v>
      </c>
      <c r="D179" t="s">
        <v>385</v>
      </c>
      <c r="E179" t="s">
        <v>1101</v>
      </c>
    </row>
    <row r="180" spans="1:5" x14ac:dyDescent="0.25">
      <c r="A180">
        <v>246802</v>
      </c>
      <c r="B180" t="s">
        <v>414</v>
      </c>
      <c r="C180">
        <v>246802001</v>
      </c>
      <c r="D180" t="s">
        <v>414</v>
      </c>
      <c r="E180" t="s">
        <v>1101</v>
      </c>
    </row>
    <row r="181" spans="1:5" x14ac:dyDescent="0.25">
      <c r="A181">
        <v>14803</v>
      </c>
      <c r="B181" t="s">
        <v>315</v>
      </c>
      <c r="C181">
        <v>14803002</v>
      </c>
      <c r="D181" t="s">
        <v>1116</v>
      </c>
      <c r="E181" t="s">
        <v>1101</v>
      </c>
    </row>
    <row r="182" spans="1:5" x14ac:dyDescent="0.25">
      <c r="A182">
        <v>14803</v>
      </c>
      <c r="B182" t="s">
        <v>315</v>
      </c>
      <c r="C182">
        <v>14803003</v>
      </c>
      <c r="D182" t="s">
        <v>1117</v>
      </c>
      <c r="E182" t="s">
        <v>1101</v>
      </c>
    </row>
    <row r="183" spans="1:5" x14ac:dyDescent="0.25">
      <c r="A183">
        <v>14803</v>
      </c>
      <c r="B183" t="s">
        <v>315</v>
      </c>
      <c r="C183">
        <v>14803004</v>
      </c>
      <c r="D183" t="s">
        <v>1118</v>
      </c>
      <c r="E183" t="s">
        <v>1101</v>
      </c>
    </row>
    <row r="184" spans="1:5" x14ac:dyDescent="0.25">
      <c r="A184">
        <v>14803</v>
      </c>
      <c r="B184" t="s">
        <v>315</v>
      </c>
      <c r="C184">
        <v>14803101</v>
      </c>
      <c r="D184" t="s">
        <v>1119</v>
      </c>
      <c r="E184" t="s">
        <v>1103</v>
      </c>
    </row>
    <row r="185" spans="1:5" x14ac:dyDescent="0.25">
      <c r="A185">
        <v>21803</v>
      </c>
      <c r="B185" t="s">
        <v>40</v>
      </c>
      <c r="C185">
        <v>21803001</v>
      </c>
      <c r="D185" t="s">
        <v>1226</v>
      </c>
      <c r="E185" t="s">
        <v>1101</v>
      </c>
    </row>
    <row r="186" spans="1:5" x14ac:dyDescent="0.25">
      <c r="A186">
        <v>21803</v>
      </c>
      <c r="B186" t="s">
        <v>40</v>
      </c>
      <c r="C186">
        <v>21803102</v>
      </c>
      <c r="D186" t="s">
        <v>1227</v>
      </c>
      <c r="E186" t="s">
        <v>1101</v>
      </c>
    </row>
    <row r="187" spans="1:5" x14ac:dyDescent="0.25">
      <c r="A187">
        <v>57803</v>
      </c>
      <c r="B187" t="s">
        <v>381</v>
      </c>
      <c r="C187">
        <v>57803002</v>
      </c>
      <c r="D187" t="s">
        <v>1243</v>
      </c>
      <c r="E187" t="s">
        <v>1101</v>
      </c>
    </row>
    <row r="188" spans="1:5" x14ac:dyDescent="0.25">
      <c r="A188">
        <v>57803</v>
      </c>
      <c r="B188" t="s">
        <v>381</v>
      </c>
      <c r="C188">
        <v>57803003</v>
      </c>
      <c r="D188" t="s">
        <v>1244</v>
      </c>
      <c r="E188" t="s">
        <v>1101</v>
      </c>
    </row>
    <row r="189" spans="1:5" x14ac:dyDescent="0.25">
      <c r="A189">
        <v>57803</v>
      </c>
      <c r="B189" t="s">
        <v>381</v>
      </c>
      <c r="C189">
        <v>57803004</v>
      </c>
      <c r="D189" t="s">
        <v>1245</v>
      </c>
      <c r="E189" t="s">
        <v>1101</v>
      </c>
    </row>
    <row r="190" spans="1:5" x14ac:dyDescent="0.25">
      <c r="A190">
        <v>57803</v>
      </c>
      <c r="B190" t="s">
        <v>381</v>
      </c>
      <c r="C190">
        <v>57803005</v>
      </c>
      <c r="D190" t="s">
        <v>1246</v>
      </c>
      <c r="E190" t="s">
        <v>1101</v>
      </c>
    </row>
    <row r="191" spans="1:5" x14ac:dyDescent="0.25">
      <c r="A191">
        <v>57803</v>
      </c>
      <c r="B191" t="s">
        <v>381</v>
      </c>
      <c r="C191">
        <v>57803006</v>
      </c>
      <c r="D191" t="s">
        <v>1247</v>
      </c>
      <c r="E191" t="s">
        <v>1101</v>
      </c>
    </row>
    <row r="192" spans="1:5" x14ac:dyDescent="0.25">
      <c r="A192">
        <v>57803</v>
      </c>
      <c r="B192" t="s">
        <v>381</v>
      </c>
      <c r="C192">
        <v>57803007</v>
      </c>
      <c r="D192" t="s">
        <v>1248</v>
      </c>
      <c r="E192" t="s">
        <v>1101</v>
      </c>
    </row>
    <row r="193" spans="1:5" x14ac:dyDescent="0.25">
      <c r="A193">
        <v>57803</v>
      </c>
      <c r="B193" t="s">
        <v>381</v>
      </c>
      <c r="C193">
        <v>57803008</v>
      </c>
      <c r="D193" t="s">
        <v>1249</v>
      </c>
      <c r="E193" t="s">
        <v>1101</v>
      </c>
    </row>
    <row r="194" spans="1:5" x14ac:dyDescent="0.25">
      <c r="A194">
        <v>57803</v>
      </c>
      <c r="B194" t="s">
        <v>381</v>
      </c>
      <c r="C194">
        <v>57803009</v>
      </c>
      <c r="D194" t="s">
        <v>1250</v>
      </c>
      <c r="E194" t="s">
        <v>1101</v>
      </c>
    </row>
    <row r="195" spans="1:5" x14ac:dyDescent="0.25">
      <c r="A195">
        <v>57803</v>
      </c>
      <c r="B195" t="s">
        <v>381</v>
      </c>
      <c r="C195">
        <v>57803010</v>
      </c>
      <c r="D195" t="s">
        <v>1251</v>
      </c>
      <c r="E195" t="s">
        <v>1101</v>
      </c>
    </row>
    <row r="196" spans="1:5" x14ac:dyDescent="0.25">
      <c r="A196">
        <v>57803</v>
      </c>
      <c r="B196" t="s">
        <v>381</v>
      </c>
      <c r="C196">
        <v>57803011</v>
      </c>
      <c r="D196" t="s">
        <v>1252</v>
      </c>
      <c r="E196" t="s">
        <v>1101</v>
      </c>
    </row>
    <row r="197" spans="1:5" x14ac:dyDescent="0.25">
      <c r="A197">
        <v>57803</v>
      </c>
      <c r="B197" t="s">
        <v>381</v>
      </c>
      <c r="C197">
        <v>57803012</v>
      </c>
      <c r="D197" t="s">
        <v>1253</v>
      </c>
      <c r="E197" t="s">
        <v>1101</v>
      </c>
    </row>
    <row r="198" spans="1:5" x14ac:dyDescent="0.25">
      <c r="A198">
        <v>57803</v>
      </c>
      <c r="B198" t="s">
        <v>381</v>
      </c>
      <c r="C198">
        <v>57803013</v>
      </c>
      <c r="D198" t="s">
        <v>1254</v>
      </c>
      <c r="E198" t="s">
        <v>1101</v>
      </c>
    </row>
    <row r="199" spans="1:5" x14ac:dyDescent="0.25">
      <c r="A199">
        <v>57803</v>
      </c>
      <c r="B199" t="s">
        <v>381</v>
      </c>
      <c r="C199">
        <v>57803014</v>
      </c>
      <c r="D199" t="s">
        <v>1255</v>
      </c>
      <c r="E199" t="s">
        <v>1101</v>
      </c>
    </row>
    <row r="200" spans="1:5" x14ac:dyDescent="0.25">
      <c r="A200">
        <v>57803</v>
      </c>
      <c r="B200" t="s">
        <v>381</v>
      </c>
      <c r="C200">
        <v>57803015</v>
      </c>
      <c r="D200" t="s">
        <v>1256</v>
      </c>
      <c r="E200" t="s">
        <v>1101</v>
      </c>
    </row>
    <row r="201" spans="1:5" x14ac:dyDescent="0.25">
      <c r="A201">
        <v>57803</v>
      </c>
      <c r="B201" t="s">
        <v>381</v>
      </c>
      <c r="C201">
        <v>57803016</v>
      </c>
      <c r="D201" t="s">
        <v>1257</v>
      </c>
      <c r="E201" t="s">
        <v>1101</v>
      </c>
    </row>
    <row r="202" spans="1:5" x14ac:dyDescent="0.25">
      <c r="A202">
        <v>57803</v>
      </c>
      <c r="B202" t="s">
        <v>381</v>
      </c>
      <c r="C202">
        <v>57803017</v>
      </c>
      <c r="D202" t="s">
        <v>1258</v>
      </c>
      <c r="E202" t="s">
        <v>1101</v>
      </c>
    </row>
    <row r="203" spans="1:5" x14ac:dyDescent="0.25">
      <c r="A203">
        <v>57803</v>
      </c>
      <c r="B203" t="s">
        <v>381</v>
      </c>
      <c r="C203">
        <v>57803018</v>
      </c>
      <c r="D203" t="s">
        <v>1259</v>
      </c>
      <c r="E203" t="s">
        <v>1101</v>
      </c>
    </row>
    <row r="204" spans="1:5" x14ac:dyDescent="0.25">
      <c r="A204">
        <v>57803</v>
      </c>
      <c r="B204" t="s">
        <v>381</v>
      </c>
      <c r="C204">
        <v>57803019</v>
      </c>
      <c r="D204" t="s">
        <v>1260</v>
      </c>
      <c r="E204" t="s">
        <v>1101</v>
      </c>
    </row>
    <row r="205" spans="1:5" x14ac:dyDescent="0.25">
      <c r="A205">
        <v>57803</v>
      </c>
      <c r="B205" t="s">
        <v>381</v>
      </c>
      <c r="C205">
        <v>57803041</v>
      </c>
      <c r="D205" t="s">
        <v>1261</v>
      </c>
      <c r="E205" t="s">
        <v>1101</v>
      </c>
    </row>
    <row r="206" spans="1:5" x14ac:dyDescent="0.25">
      <c r="A206">
        <v>57803</v>
      </c>
      <c r="B206" t="s">
        <v>381</v>
      </c>
      <c r="C206">
        <v>57803043</v>
      </c>
      <c r="D206" t="s">
        <v>1262</v>
      </c>
      <c r="E206" t="s">
        <v>1101</v>
      </c>
    </row>
    <row r="207" spans="1:5" x14ac:dyDescent="0.25">
      <c r="A207">
        <v>57803</v>
      </c>
      <c r="B207" t="s">
        <v>381</v>
      </c>
      <c r="C207">
        <v>57803044</v>
      </c>
      <c r="D207" t="s">
        <v>1263</v>
      </c>
      <c r="E207" t="s">
        <v>1101</v>
      </c>
    </row>
    <row r="208" spans="1:5" x14ac:dyDescent="0.25">
      <c r="A208">
        <v>57803</v>
      </c>
      <c r="B208" t="s">
        <v>381</v>
      </c>
      <c r="C208">
        <v>57803045</v>
      </c>
      <c r="D208" t="s">
        <v>1264</v>
      </c>
      <c r="E208" t="s">
        <v>1101</v>
      </c>
    </row>
    <row r="209" spans="1:5" x14ac:dyDescent="0.25">
      <c r="A209">
        <v>57803</v>
      </c>
      <c r="B209" t="s">
        <v>381</v>
      </c>
      <c r="C209">
        <v>57803046</v>
      </c>
      <c r="D209" t="s">
        <v>1265</v>
      </c>
      <c r="E209" t="s">
        <v>1101</v>
      </c>
    </row>
    <row r="210" spans="1:5" x14ac:dyDescent="0.25">
      <c r="A210">
        <v>57803</v>
      </c>
      <c r="B210" t="s">
        <v>381</v>
      </c>
      <c r="C210">
        <v>57803047</v>
      </c>
      <c r="D210" t="s">
        <v>1266</v>
      </c>
      <c r="E210" t="s">
        <v>1101</v>
      </c>
    </row>
    <row r="211" spans="1:5" x14ac:dyDescent="0.25">
      <c r="A211">
        <v>57803</v>
      </c>
      <c r="B211" t="s">
        <v>381</v>
      </c>
      <c r="C211">
        <v>57803048</v>
      </c>
      <c r="D211" t="s">
        <v>1267</v>
      </c>
      <c r="E211" t="s">
        <v>1101</v>
      </c>
    </row>
    <row r="212" spans="1:5" x14ac:dyDescent="0.25">
      <c r="A212">
        <v>57803</v>
      </c>
      <c r="B212" t="s">
        <v>381</v>
      </c>
      <c r="C212">
        <v>57803049</v>
      </c>
      <c r="D212" t="s">
        <v>1268</v>
      </c>
      <c r="E212" t="s">
        <v>1101</v>
      </c>
    </row>
    <row r="213" spans="1:5" x14ac:dyDescent="0.25">
      <c r="A213">
        <v>57803</v>
      </c>
      <c r="B213" t="s">
        <v>381</v>
      </c>
      <c r="C213">
        <v>57803050</v>
      </c>
      <c r="D213" t="s">
        <v>1269</v>
      </c>
      <c r="E213" t="s">
        <v>1101</v>
      </c>
    </row>
    <row r="214" spans="1:5" x14ac:dyDescent="0.25">
      <c r="A214">
        <v>57803</v>
      </c>
      <c r="B214" t="s">
        <v>381</v>
      </c>
      <c r="C214">
        <v>57803051</v>
      </c>
      <c r="D214" t="s">
        <v>1270</v>
      </c>
      <c r="E214" t="s">
        <v>1101</v>
      </c>
    </row>
    <row r="215" spans="1:5" x14ac:dyDescent="0.25">
      <c r="A215">
        <v>57803</v>
      </c>
      <c r="B215" t="s">
        <v>381</v>
      </c>
      <c r="C215">
        <v>57803101</v>
      </c>
      <c r="D215" t="s">
        <v>1271</v>
      </c>
      <c r="E215" t="s">
        <v>1101</v>
      </c>
    </row>
    <row r="216" spans="1:5" x14ac:dyDescent="0.25">
      <c r="A216">
        <v>57803</v>
      </c>
      <c r="B216" t="s">
        <v>381</v>
      </c>
      <c r="C216">
        <v>57803102</v>
      </c>
      <c r="D216" t="s">
        <v>1272</v>
      </c>
      <c r="E216" t="s">
        <v>1101</v>
      </c>
    </row>
    <row r="217" spans="1:5" x14ac:dyDescent="0.25">
      <c r="A217">
        <v>57803</v>
      </c>
      <c r="B217" t="s">
        <v>381</v>
      </c>
      <c r="C217">
        <v>57803103</v>
      </c>
      <c r="D217" t="s">
        <v>1273</v>
      </c>
      <c r="E217" t="s">
        <v>1101</v>
      </c>
    </row>
    <row r="218" spans="1:5" x14ac:dyDescent="0.25">
      <c r="A218">
        <v>57803</v>
      </c>
      <c r="B218" t="s">
        <v>381</v>
      </c>
      <c r="C218">
        <v>57803104</v>
      </c>
      <c r="D218" t="s">
        <v>1274</v>
      </c>
      <c r="E218" t="s">
        <v>1101</v>
      </c>
    </row>
    <row r="219" spans="1:5" x14ac:dyDescent="0.25">
      <c r="A219">
        <v>57803</v>
      </c>
      <c r="B219" t="s">
        <v>381</v>
      </c>
      <c r="C219">
        <v>57803105</v>
      </c>
      <c r="D219" t="s">
        <v>1275</v>
      </c>
      <c r="E219" t="s">
        <v>1101</v>
      </c>
    </row>
    <row r="220" spans="1:5" x14ac:dyDescent="0.25">
      <c r="A220">
        <v>57803</v>
      </c>
      <c r="B220" t="s">
        <v>381</v>
      </c>
      <c r="C220">
        <v>57803106</v>
      </c>
      <c r="D220" t="s">
        <v>1276</v>
      </c>
      <c r="E220" t="s">
        <v>1101</v>
      </c>
    </row>
    <row r="221" spans="1:5" x14ac:dyDescent="0.25">
      <c r="A221">
        <v>57803</v>
      </c>
      <c r="B221" t="s">
        <v>381</v>
      </c>
      <c r="C221">
        <v>57803107</v>
      </c>
      <c r="D221" t="s">
        <v>1277</v>
      </c>
      <c r="E221" t="s">
        <v>1101</v>
      </c>
    </row>
    <row r="222" spans="1:5" x14ac:dyDescent="0.25">
      <c r="A222">
        <v>57803</v>
      </c>
      <c r="B222" t="s">
        <v>381</v>
      </c>
      <c r="C222">
        <v>57803108</v>
      </c>
      <c r="D222" t="s">
        <v>1278</v>
      </c>
      <c r="E222" t="s">
        <v>1101</v>
      </c>
    </row>
    <row r="223" spans="1:5" x14ac:dyDescent="0.25">
      <c r="A223">
        <v>57803</v>
      </c>
      <c r="B223" t="s">
        <v>381</v>
      </c>
      <c r="C223">
        <v>57803109</v>
      </c>
      <c r="D223" t="s">
        <v>1279</v>
      </c>
      <c r="E223" t="s">
        <v>1101</v>
      </c>
    </row>
    <row r="224" spans="1:5" x14ac:dyDescent="0.25">
      <c r="A224">
        <v>57803</v>
      </c>
      <c r="B224" t="s">
        <v>381</v>
      </c>
      <c r="C224">
        <v>57803110</v>
      </c>
      <c r="D224" t="s">
        <v>1280</v>
      </c>
      <c r="E224" t="s">
        <v>1101</v>
      </c>
    </row>
    <row r="225" spans="1:5" x14ac:dyDescent="0.25">
      <c r="A225">
        <v>57803</v>
      </c>
      <c r="B225" t="s">
        <v>381</v>
      </c>
      <c r="C225">
        <v>57803111</v>
      </c>
      <c r="D225" t="s">
        <v>1281</v>
      </c>
      <c r="E225" t="s">
        <v>1101</v>
      </c>
    </row>
    <row r="226" spans="1:5" x14ac:dyDescent="0.25">
      <c r="A226">
        <v>57803</v>
      </c>
      <c r="B226" t="s">
        <v>381</v>
      </c>
      <c r="C226">
        <v>57803112</v>
      </c>
      <c r="D226" t="s">
        <v>1282</v>
      </c>
      <c r="E226" t="s">
        <v>1101</v>
      </c>
    </row>
    <row r="227" spans="1:5" x14ac:dyDescent="0.25">
      <c r="A227">
        <v>57803</v>
      </c>
      <c r="B227" t="s">
        <v>381</v>
      </c>
      <c r="C227">
        <v>57803114</v>
      </c>
      <c r="D227" t="s">
        <v>1283</v>
      </c>
      <c r="E227" t="s">
        <v>1101</v>
      </c>
    </row>
    <row r="228" spans="1:5" x14ac:dyDescent="0.25">
      <c r="A228">
        <v>57803</v>
      </c>
      <c r="B228" t="s">
        <v>381</v>
      </c>
      <c r="C228">
        <v>57803115</v>
      </c>
      <c r="D228" t="s">
        <v>1284</v>
      </c>
      <c r="E228" t="s">
        <v>1101</v>
      </c>
    </row>
    <row r="229" spans="1:5" x14ac:dyDescent="0.25">
      <c r="A229">
        <v>57803</v>
      </c>
      <c r="B229" t="s">
        <v>381</v>
      </c>
      <c r="C229">
        <v>57803116</v>
      </c>
      <c r="D229" t="s">
        <v>1285</v>
      </c>
      <c r="E229" t="s">
        <v>1101</v>
      </c>
    </row>
    <row r="230" spans="1:5" x14ac:dyDescent="0.25">
      <c r="A230">
        <v>71803</v>
      </c>
      <c r="B230" t="s">
        <v>465</v>
      </c>
      <c r="C230">
        <v>71803001</v>
      </c>
      <c r="D230" t="s">
        <v>1400</v>
      </c>
      <c r="E230" t="s">
        <v>1103</v>
      </c>
    </row>
    <row r="231" spans="1:5" x14ac:dyDescent="0.25">
      <c r="A231">
        <v>71803</v>
      </c>
      <c r="B231" t="s">
        <v>465</v>
      </c>
      <c r="C231">
        <v>71803002</v>
      </c>
      <c r="D231" t="s">
        <v>1401</v>
      </c>
      <c r="E231" t="s">
        <v>1103</v>
      </c>
    </row>
    <row r="232" spans="1:5" x14ac:dyDescent="0.25">
      <c r="A232">
        <v>101803</v>
      </c>
      <c r="B232" t="s">
        <v>91</v>
      </c>
      <c r="C232">
        <v>101803001</v>
      </c>
      <c r="D232" t="s">
        <v>1465</v>
      </c>
      <c r="E232" t="s">
        <v>1101</v>
      </c>
    </row>
    <row r="233" spans="1:5" x14ac:dyDescent="0.25">
      <c r="A233">
        <v>101803</v>
      </c>
      <c r="B233" t="s">
        <v>91</v>
      </c>
      <c r="C233">
        <v>101803002</v>
      </c>
      <c r="D233" t="s">
        <v>1466</v>
      </c>
      <c r="E233" t="s">
        <v>1101</v>
      </c>
    </row>
    <row r="234" spans="1:5" x14ac:dyDescent="0.25">
      <c r="A234">
        <v>101803</v>
      </c>
      <c r="B234" t="s">
        <v>91</v>
      </c>
      <c r="C234">
        <v>101803041</v>
      </c>
      <c r="D234" t="s">
        <v>91</v>
      </c>
      <c r="E234" t="s">
        <v>1101</v>
      </c>
    </row>
    <row r="235" spans="1:5" x14ac:dyDescent="0.25">
      <c r="A235">
        <v>105803</v>
      </c>
      <c r="B235" t="s">
        <v>1094</v>
      </c>
      <c r="C235">
        <v>105803001</v>
      </c>
      <c r="D235" t="s">
        <v>369</v>
      </c>
      <c r="E235" t="s">
        <v>1103</v>
      </c>
    </row>
    <row r="236" spans="1:5" x14ac:dyDescent="0.25">
      <c r="A236">
        <v>105803</v>
      </c>
      <c r="B236" t="s">
        <v>1094</v>
      </c>
      <c r="C236">
        <v>105803002</v>
      </c>
      <c r="D236" t="s">
        <v>1555</v>
      </c>
      <c r="E236" t="s">
        <v>1101</v>
      </c>
    </row>
    <row r="237" spans="1:5" x14ac:dyDescent="0.25">
      <c r="A237">
        <v>105803</v>
      </c>
      <c r="B237" t="s">
        <v>1094</v>
      </c>
      <c r="C237">
        <v>105803003</v>
      </c>
      <c r="D237" t="s">
        <v>1556</v>
      </c>
      <c r="E237" t="s">
        <v>1101</v>
      </c>
    </row>
    <row r="238" spans="1:5" x14ac:dyDescent="0.25">
      <c r="A238">
        <v>105803</v>
      </c>
      <c r="B238" t="s">
        <v>1094</v>
      </c>
      <c r="C238">
        <v>105803004</v>
      </c>
      <c r="D238" t="s">
        <v>1557</v>
      </c>
      <c r="E238" t="s">
        <v>1101</v>
      </c>
    </row>
    <row r="239" spans="1:5" x14ac:dyDescent="0.25">
      <c r="A239">
        <v>105803</v>
      </c>
      <c r="B239" t="s">
        <v>1094</v>
      </c>
      <c r="C239">
        <v>105803005</v>
      </c>
      <c r="D239" t="s">
        <v>1558</v>
      </c>
      <c r="E239" t="s">
        <v>1101</v>
      </c>
    </row>
    <row r="240" spans="1:5" x14ac:dyDescent="0.25">
      <c r="A240">
        <v>105803</v>
      </c>
      <c r="B240" t="s">
        <v>1094</v>
      </c>
      <c r="C240">
        <v>105803006</v>
      </c>
      <c r="D240" t="s">
        <v>1559</v>
      </c>
      <c r="E240" t="s">
        <v>1101</v>
      </c>
    </row>
    <row r="241" spans="1:5" x14ac:dyDescent="0.25">
      <c r="A241">
        <v>123803</v>
      </c>
      <c r="B241" t="s">
        <v>354</v>
      </c>
      <c r="C241">
        <v>123803001</v>
      </c>
      <c r="D241" t="s">
        <v>1697</v>
      </c>
      <c r="E241" t="s">
        <v>1101</v>
      </c>
    </row>
    <row r="242" spans="1:5" x14ac:dyDescent="0.25">
      <c r="A242">
        <v>123803</v>
      </c>
      <c r="B242" t="s">
        <v>354</v>
      </c>
      <c r="C242">
        <v>123803041</v>
      </c>
      <c r="D242" t="s">
        <v>1697</v>
      </c>
      <c r="E242" t="s">
        <v>1101</v>
      </c>
    </row>
    <row r="243" spans="1:5" x14ac:dyDescent="0.25">
      <c r="A243">
        <v>123803</v>
      </c>
      <c r="B243" t="s">
        <v>354</v>
      </c>
      <c r="C243">
        <v>123803101</v>
      </c>
      <c r="D243" t="s">
        <v>1697</v>
      </c>
      <c r="E243" t="s">
        <v>1101</v>
      </c>
    </row>
    <row r="244" spans="1:5" x14ac:dyDescent="0.25">
      <c r="A244">
        <v>123803</v>
      </c>
      <c r="B244" t="s">
        <v>354</v>
      </c>
      <c r="C244">
        <v>123803103</v>
      </c>
      <c r="D244" t="s">
        <v>1698</v>
      </c>
      <c r="E244" t="s">
        <v>1101</v>
      </c>
    </row>
    <row r="245" spans="1:5" x14ac:dyDescent="0.25">
      <c r="A245">
        <v>152803</v>
      </c>
      <c r="B245" t="s">
        <v>466</v>
      </c>
      <c r="C245">
        <v>152803001</v>
      </c>
      <c r="D245" t="s">
        <v>466</v>
      </c>
      <c r="E245" t="s">
        <v>1103</v>
      </c>
    </row>
    <row r="246" spans="1:5" x14ac:dyDescent="0.25">
      <c r="A246">
        <v>227803</v>
      </c>
      <c r="B246" t="s">
        <v>364</v>
      </c>
      <c r="C246">
        <v>227803001</v>
      </c>
      <c r="D246" t="s">
        <v>1794</v>
      </c>
      <c r="E246" t="s">
        <v>1101</v>
      </c>
    </row>
    <row r="247" spans="1:5" x14ac:dyDescent="0.25">
      <c r="A247">
        <v>227803</v>
      </c>
      <c r="B247" t="s">
        <v>364</v>
      </c>
      <c r="C247">
        <v>227803101</v>
      </c>
      <c r="D247" t="s">
        <v>1795</v>
      </c>
      <c r="E247" t="s">
        <v>1101</v>
      </c>
    </row>
    <row r="248" spans="1:5" x14ac:dyDescent="0.25">
      <c r="A248">
        <v>227803</v>
      </c>
      <c r="B248" t="s">
        <v>364</v>
      </c>
      <c r="C248">
        <v>227803102</v>
      </c>
      <c r="D248" t="s">
        <v>1796</v>
      </c>
      <c r="E248" t="s">
        <v>1101</v>
      </c>
    </row>
    <row r="249" spans="1:5" x14ac:dyDescent="0.25">
      <c r="A249">
        <v>227803</v>
      </c>
      <c r="B249" t="s">
        <v>364</v>
      </c>
      <c r="C249">
        <v>227803103</v>
      </c>
      <c r="D249" t="s">
        <v>1797</v>
      </c>
      <c r="E249" t="s">
        <v>1101</v>
      </c>
    </row>
    <row r="250" spans="1:5" x14ac:dyDescent="0.25">
      <c r="A250">
        <v>14804</v>
      </c>
      <c r="B250" t="s">
        <v>1</v>
      </c>
      <c r="C250">
        <v>14804002</v>
      </c>
      <c r="D250" t="s">
        <v>1120</v>
      </c>
      <c r="E250" t="s">
        <v>1103</v>
      </c>
    </row>
    <row r="251" spans="1:5" x14ac:dyDescent="0.25">
      <c r="A251">
        <v>14804</v>
      </c>
      <c r="B251" t="s">
        <v>1</v>
      </c>
      <c r="C251">
        <v>14804005</v>
      </c>
      <c r="D251" t="s">
        <v>1121</v>
      </c>
      <c r="E251" t="s">
        <v>1103</v>
      </c>
    </row>
    <row r="252" spans="1:5" x14ac:dyDescent="0.25">
      <c r="A252">
        <v>14804</v>
      </c>
      <c r="B252" t="s">
        <v>1</v>
      </c>
      <c r="C252">
        <v>14804006</v>
      </c>
      <c r="D252" t="s">
        <v>1122</v>
      </c>
      <c r="E252" t="s">
        <v>1101</v>
      </c>
    </row>
    <row r="253" spans="1:5" x14ac:dyDescent="0.25">
      <c r="A253">
        <v>14804</v>
      </c>
      <c r="B253" t="s">
        <v>1</v>
      </c>
      <c r="C253">
        <v>14804007</v>
      </c>
      <c r="D253" t="s">
        <v>1123</v>
      </c>
      <c r="E253" t="s">
        <v>1101</v>
      </c>
    </row>
    <row r="254" spans="1:5" x14ac:dyDescent="0.25">
      <c r="A254">
        <v>14804</v>
      </c>
      <c r="B254" t="s">
        <v>1</v>
      </c>
      <c r="C254">
        <v>14804008</v>
      </c>
      <c r="D254" t="s">
        <v>1124</v>
      </c>
      <c r="E254" t="s">
        <v>1101</v>
      </c>
    </row>
    <row r="255" spans="1:5" x14ac:dyDescent="0.25">
      <c r="A255">
        <v>57804</v>
      </c>
      <c r="B255" t="s">
        <v>322</v>
      </c>
      <c r="C255">
        <v>57804001</v>
      </c>
      <c r="D255" t="s">
        <v>1286</v>
      </c>
      <c r="E255" t="s">
        <v>1103</v>
      </c>
    </row>
    <row r="256" spans="1:5" x14ac:dyDescent="0.25">
      <c r="A256">
        <v>57804</v>
      </c>
      <c r="B256" t="s">
        <v>322</v>
      </c>
      <c r="C256">
        <v>57804002</v>
      </c>
      <c r="D256" t="s">
        <v>1287</v>
      </c>
      <c r="E256" t="s">
        <v>1103</v>
      </c>
    </row>
    <row r="257" spans="1:5" x14ac:dyDescent="0.25">
      <c r="A257">
        <v>57804</v>
      </c>
      <c r="B257" t="s">
        <v>322</v>
      </c>
      <c r="C257">
        <v>57804003</v>
      </c>
      <c r="D257" t="s">
        <v>1288</v>
      </c>
      <c r="E257" t="s">
        <v>1103</v>
      </c>
    </row>
    <row r="258" spans="1:5" x14ac:dyDescent="0.25">
      <c r="A258">
        <v>57804</v>
      </c>
      <c r="B258" t="s">
        <v>322</v>
      </c>
      <c r="C258">
        <v>57804004</v>
      </c>
      <c r="D258" t="s">
        <v>1289</v>
      </c>
      <c r="E258" t="s">
        <v>1103</v>
      </c>
    </row>
    <row r="259" spans="1:5" x14ac:dyDescent="0.25">
      <c r="A259">
        <v>57804</v>
      </c>
      <c r="B259" t="s">
        <v>322</v>
      </c>
      <c r="C259">
        <v>57804005</v>
      </c>
      <c r="D259" t="s">
        <v>1290</v>
      </c>
      <c r="E259" t="s">
        <v>1103</v>
      </c>
    </row>
    <row r="260" spans="1:5" x14ac:dyDescent="0.25">
      <c r="A260">
        <v>57804</v>
      </c>
      <c r="B260" t="s">
        <v>322</v>
      </c>
      <c r="C260">
        <v>57804006</v>
      </c>
      <c r="D260" t="s">
        <v>1291</v>
      </c>
      <c r="E260" t="s">
        <v>1103</v>
      </c>
    </row>
    <row r="261" spans="1:5" x14ac:dyDescent="0.25">
      <c r="A261">
        <v>57804</v>
      </c>
      <c r="B261" t="s">
        <v>322</v>
      </c>
      <c r="C261">
        <v>57804007</v>
      </c>
      <c r="D261" t="s">
        <v>1292</v>
      </c>
      <c r="E261" t="s">
        <v>1103</v>
      </c>
    </row>
    <row r="262" spans="1:5" x14ac:dyDescent="0.25">
      <c r="A262">
        <v>57804</v>
      </c>
      <c r="B262" t="s">
        <v>322</v>
      </c>
      <c r="C262">
        <v>57804008</v>
      </c>
      <c r="D262" t="s">
        <v>1293</v>
      </c>
      <c r="E262" t="s">
        <v>1103</v>
      </c>
    </row>
    <row r="263" spans="1:5" x14ac:dyDescent="0.25">
      <c r="A263">
        <v>57804</v>
      </c>
      <c r="B263" t="s">
        <v>322</v>
      </c>
      <c r="C263">
        <v>57804009</v>
      </c>
      <c r="D263" t="s">
        <v>1294</v>
      </c>
      <c r="E263" t="s">
        <v>1103</v>
      </c>
    </row>
    <row r="264" spans="1:5" x14ac:dyDescent="0.25">
      <c r="A264">
        <v>57804</v>
      </c>
      <c r="B264" t="s">
        <v>322</v>
      </c>
      <c r="C264">
        <v>57804010</v>
      </c>
      <c r="D264" t="s">
        <v>1295</v>
      </c>
      <c r="E264" t="s">
        <v>1103</v>
      </c>
    </row>
    <row r="265" spans="1:5" x14ac:dyDescent="0.25">
      <c r="A265">
        <v>57804</v>
      </c>
      <c r="B265" t="s">
        <v>322</v>
      </c>
      <c r="C265">
        <v>57804011</v>
      </c>
      <c r="D265" t="s">
        <v>1296</v>
      </c>
      <c r="E265" t="s">
        <v>1103</v>
      </c>
    </row>
    <row r="266" spans="1:5" x14ac:dyDescent="0.25">
      <c r="A266">
        <v>57804</v>
      </c>
      <c r="B266" t="s">
        <v>322</v>
      </c>
      <c r="C266">
        <v>57804012</v>
      </c>
      <c r="D266" t="s">
        <v>1297</v>
      </c>
      <c r="E266" t="s">
        <v>1103</v>
      </c>
    </row>
    <row r="267" spans="1:5" x14ac:dyDescent="0.25">
      <c r="A267">
        <v>57804</v>
      </c>
      <c r="B267" t="s">
        <v>322</v>
      </c>
      <c r="C267">
        <v>57804013</v>
      </c>
      <c r="D267" t="s">
        <v>1298</v>
      </c>
      <c r="E267" t="s">
        <v>1103</v>
      </c>
    </row>
    <row r="268" spans="1:5" x14ac:dyDescent="0.25">
      <c r="A268">
        <v>61804</v>
      </c>
      <c r="B268" t="s">
        <v>334</v>
      </c>
      <c r="C268">
        <v>61804001</v>
      </c>
      <c r="D268" t="s">
        <v>334</v>
      </c>
      <c r="E268" t="s">
        <v>1101</v>
      </c>
    </row>
    <row r="269" spans="1:5" x14ac:dyDescent="0.25">
      <c r="A269">
        <v>61804</v>
      </c>
      <c r="B269" t="s">
        <v>334</v>
      </c>
      <c r="C269">
        <v>61804002</v>
      </c>
      <c r="D269" t="s">
        <v>1394</v>
      </c>
      <c r="E269" t="s">
        <v>1101</v>
      </c>
    </row>
    <row r="270" spans="1:5" x14ac:dyDescent="0.25">
      <c r="A270">
        <v>71804</v>
      </c>
      <c r="B270" t="s">
        <v>25</v>
      </c>
      <c r="C270">
        <v>71804001</v>
      </c>
      <c r="D270" t="s">
        <v>25</v>
      </c>
      <c r="E270" t="s">
        <v>1103</v>
      </c>
    </row>
    <row r="271" spans="1:5" x14ac:dyDescent="0.25">
      <c r="A271">
        <v>71804</v>
      </c>
      <c r="B271" t="s">
        <v>25</v>
      </c>
      <c r="C271">
        <v>71804002</v>
      </c>
      <c r="D271" t="s">
        <v>1402</v>
      </c>
      <c r="E271" t="s">
        <v>1103</v>
      </c>
    </row>
    <row r="272" spans="1:5" x14ac:dyDescent="0.25">
      <c r="A272">
        <v>84804</v>
      </c>
      <c r="B272" t="s">
        <v>64</v>
      </c>
      <c r="C272">
        <v>84804101</v>
      </c>
      <c r="D272" t="s">
        <v>64</v>
      </c>
      <c r="E272" t="s">
        <v>1101</v>
      </c>
    </row>
    <row r="273" spans="1:5" x14ac:dyDescent="0.25">
      <c r="A273">
        <v>101804</v>
      </c>
      <c r="B273" t="s">
        <v>7</v>
      </c>
      <c r="C273">
        <v>101804001</v>
      </c>
      <c r="D273" t="s">
        <v>7</v>
      </c>
      <c r="E273" t="s">
        <v>1103</v>
      </c>
    </row>
    <row r="274" spans="1:5" x14ac:dyDescent="0.25">
      <c r="A274">
        <v>101804</v>
      </c>
      <c r="B274" t="s">
        <v>7</v>
      </c>
      <c r="C274">
        <v>101804004</v>
      </c>
      <c r="D274" t="s">
        <v>1467</v>
      </c>
      <c r="E274" t="s">
        <v>1103</v>
      </c>
    </row>
    <row r="275" spans="1:5" x14ac:dyDescent="0.25">
      <c r="A275">
        <v>105804</v>
      </c>
      <c r="B275" t="s">
        <v>806</v>
      </c>
      <c r="C275">
        <v>105804101</v>
      </c>
      <c r="D275" t="s">
        <v>806</v>
      </c>
      <c r="E275" t="s">
        <v>1101</v>
      </c>
    </row>
    <row r="276" spans="1:5" x14ac:dyDescent="0.25">
      <c r="A276">
        <v>108804</v>
      </c>
      <c r="B276" t="s">
        <v>460</v>
      </c>
      <c r="C276">
        <v>108804001</v>
      </c>
      <c r="D276" t="s">
        <v>1564</v>
      </c>
      <c r="E276" t="s">
        <v>1103</v>
      </c>
    </row>
    <row r="277" spans="1:5" x14ac:dyDescent="0.25">
      <c r="A277">
        <v>108804</v>
      </c>
      <c r="B277" t="s">
        <v>460</v>
      </c>
      <c r="C277">
        <v>108804002</v>
      </c>
      <c r="D277" t="s">
        <v>1565</v>
      </c>
      <c r="E277" t="s">
        <v>1103</v>
      </c>
    </row>
    <row r="278" spans="1:5" x14ac:dyDescent="0.25">
      <c r="A278">
        <v>108804</v>
      </c>
      <c r="B278" t="s">
        <v>460</v>
      </c>
      <c r="C278">
        <v>108804003</v>
      </c>
      <c r="D278" t="s">
        <v>1566</v>
      </c>
      <c r="E278" t="s">
        <v>1103</v>
      </c>
    </row>
    <row r="279" spans="1:5" x14ac:dyDescent="0.25">
      <c r="A279">
        <v>108804</v>
      </c>
      <c r="B279" t="s">
        <v>460</v>
      </c>
      <c r="C279">
        <v>108804004</v>
      </c>
      <c r="D279" t="s">
        <v>1567</v>
      </c>
      <c r="E279" t="s">
        <v>1103</v>
      </c>
    </row>
    <row r="280" spans="1:5" x14ac:dyDescent="0.25">
      <c r="A280">
        <v>212804</v>
      </c>
      <c r="B280" t="s">
        <v>462</v>
      </c>
      <c r="C280">
        <v>212804001</v>
      </c>
      <c r="D280" t="s">
        <v>1734</v>
      </c>
      <c r="E280" t="s">
        <v>1101</v>
      </c>
    </row>
    <row r="281" spans="1:5" x14ac:dyDescent="0.25">
      <c r="A281">
        <v>212804</v>
      </c>
      <c r="B281" t="s">
        <v>462</v>
      </c>
      <c r="C281">
        <v>212804102</v>
      </c>
      <c r="D281" t="s">
        <v>1735</v>
      </c>
      <c r="E281" t="s">
        <v>1101</v>
      </c>
    </row>
    <row r="282" spans="1:5" x14ac:dyDescent="0.25">
      <c r="A282">
        <v>212804</v>
      </c>
      <c r="B282" t="s">
        <v>462</v>
      </c>
      <c r="C282">
        <v>212804103</v>
      </c>
      <c r="D282" t="s">
        <v>1736</v>
      </c>
      <c r="E282" t="s">
        <v>1101</v>
      </c>
    </row>
    <row r="283" spans="1:5" x14ac:dyDescent="0.25">
      <c r="A283">
        <v>227804</v>
      </c>
      <c r="B283" t="s">
        <v>78</v>
      </c>
      <c r="C283">
        <v>227804101</v>
      </c>
      <c r="D283" t="s">
        <v>1798</v>
      </c>
      <c r="E283" t="s">
        <v>1101</v>
      </c>
    </row>
    <row r="284" spans="1:5" x14ac:dyDescent="0.25">
      <c r="A284">
        <v>227804</v>
      </c>
      <c r="B284" t="s">
        <v>78</v>
      </c>
      <c r="C284">
        <v>227804102</v>
      </c>
      <c r="D284" t="s">
        <v>1799</v>
      </c>
      <c r="E284" t="s">
        <v>1101</v>
      </c>
    </row>
    <row r="285" spans="1:5" x14ac:dyDescent="0.25">
      <c r="A285">
        <v>15805</v>
      </c>
      <c r="B285" t="s">
        <v>453</v>
      </c>
      <c r="C285">
        <v>15805001</v>
      </c>
      <c r="D285" t="s">
        <v>1128</v>
      </c>
      <c r="E285" t="s">
        <v>1101</v>
      </c>
    </row>
    <row r="286" spans="1:5" x14ac:dyDescent="0.25">
      <c r="A286">
        <v>15805</v>
      </c>
      <c r="B286" t="s">
        <v>453</v>
      </c>
      <c r="C286">
        <v>15805002</v>
      </c>
      <c r="D286" t="s">
        <v>1129</v>
      </c>
      <c r="E286" t="s">
        <v>1101</v>
      </c>
    </row>
    <row r="287" spans="1:5" x14ac:dyDescent="0.25">
      <c r="A287">
        <v>21805</v>
      </c>
      <c r="B287" t="s">
        <v>320</v>
      </c>
      <c r="C287">
        <v>21805041</v>
      </c>
      <c r="D287" t="s">
        <v>1228</v>
      </c>
      <c r="E287" t="s">
        <v>1101</v>
      </c>
    </row>
    <row r="288" spans="1:5" x14ac:dyDescent="0.25">
      <c r="A288">
        <v>21805</v>
      </c>
      <c r="B288" t="s">
        <v>320</v>
      </c>
      <c r="C288">
        <v>21805101</v>
      </c>
      <c r="D288" t="s">
        <v>1229</v>
      </c>
      <c r="E288" t="s">
        <v>1101</v>
      </c>
    </row>
    <row r="289" spans="1:5" x14ac:dyDescent="0.25">
      <c r="A289">
        <v>21805</v>
      </c>
      <c r="B289" t="s">
        <v>320</v>
      </c>
      <c r="C289">
        <v>21805102</v>
      </c>
      <c r="D289" t="s">
        <v>1230</v>
      </c>
      <c r="E289" t="s">
        <v>1101</v>
      </c>
    </row>
    <row r="290" spans="1:5" x14ac:dyDescent="0.25">
      <c r="A290">
        <v>21805</v>
      </c>
      <c r="B290" t="s">
        <v>320</v>
      </c>
      <c r="C290">
        <v>21805105</v>
      </c>
      <c r="D290" t="s">
        <v>1231</v>
      </c>
      <c r="E290" t="s">
        <v>1101</v>
      </c>
    </row>
    <row r="291" spans="1:5" x14ac:dyDescent="0.25">
      <c r="A291">
        <v>61805</v>
      </c>
      <c r="B291" t="s">
        <v>384</v>
      </c>
      <c r="C291">
        <v>61805001</v>
      </c>
      <c r="D291" t="s">
        <v>384</v>
      </c>
      <c r="E291" t="s">
        <v>1101</v>
      </c>
    </row>
    <row r="292" spans="1:5" x14ac:dyDescent="0.25">
      <c r="A292">
        <v>123805</v>
      </c>
      <c r="B292" t="s">
        <v>4</v>
      </c>
      <c r="C292">
        <v>123805001</v>
      </c>
      <c r="D292" t="s">
        <v>4</v>
      </c>
      <c r="E292" t="s">
        <v>1101</v>
      </c>
    </row>
    <row r="293" spans="1:5" x14ac:dyDescent="0.25">
      <c r="A293">
        <v>227805</v>
      </c>
      <c r="B293" t="s">
        <v>79</v>
      </c>
      <c r="C293">
        <v>227805041</v>
      </c>
      <c r="D293" t="s">
        <v>79</v>
      </c>
      <c r="E293" t="s">
        <v>1101</v>
      </c>
    </row>
    <row r="294" spans="1:5" x14ac:dyDescent="0.25">
      <c r="A294">
        <v>227805</v>
      </c>
      <c r="B294" t="s">
        <v>79</v>
      </c>
      <c r="C294">
        <v>227805101</v>
      </c>
      <c r="D294" t="s">
        <v>1800</v>
      </c>
      <c r="E294" t="s">
        <v>1101</v>
      </c>
    </row>
    <row r="295" spans="1:5" x14ac:dyDescent="0.25">
      <c r="A295">
        <v>15806</v>
      </c>
      <c r="B295" t="s">
        <v>698</v>
      </c>
      <c r="C295">
        <v>15806003</v>
      </c>
      <c r="D295" t="s">
        <v>1130</v>
      </c>
      <c r="E295" t="s">
        <v>1101</v>
      </c>
    </row>
    <row r="296" spans="1:5" x14ac:dyDescent="0.25">
      <c r="A296">
        <v>15806</v>
      </c>
      <c r="B296" t="s">
        <v>698</v>
      </c>
      <c r="C296">
        <v>15806041</v>
      </c>
      <c r="D296" t="s">
        <v>1131</v>
      </c>
      <c r="E296" t="s">
        <v>1101</v>
      </c>
    </row>
    <row r="297" spans="1:5" x14ac:dyDescent="0.25">
      <c r="A297">
        <v>15806</v>
      </c>
      <c r="B297" t="s">
        <v>698</v>
      </c>
      <c r="C297">
        <v>15806101</v>
      </c>
      <c r="D297" t="s">
        <v>1132</v>
      </c>
      <c r="E297" t="s">
        <v>1101</v>
      </c>
    </row>
    <row r="298" spans="1:5" x14ac:dyDescent="0.25">
      <c r="A298">
        <v>15806</v>
      </c>
      <c r="B298" t="s">
        <v>698</v>
      </c>
      <c r="C298">
        <v>15806106</v>
      </c>
      <c r="D298" t="s">
        <v>1133</v>
      </c>
      <c r="E298" t="s">
        <v>1101</v>
      </c>
    </row>
    <row r="299" spans="1:5" x14ac:dyDescent="0.25">
      <c r="A299">
        <v>57806</v>
      </c>
      <c r="B299" t="s">
        <v>324</v>
      </c>
      <c r="C299">
        <v>57806101</v>
      </c>
      <c r="D299" t="s">
        <v>324</v>
      </c>
      <c r="E299" t="s">
        <v>1101</v>
      </c>
    </row>
    <row r="300" spans="1:5" x14ac:dyDescent="0.25">
      <c r="A300">
        <v>71806</v>
      </c>
      <c r="B300" t="s">
        <v>758</v>
      </c>
      <c r="C300">
        <v>71806001</v>
      </c>
      <c r="D300" t="s">
        <v>26</v>
      </c>
      <c r="E300" t="s">
        <v>1101</v>
      </c>
    </row>
    <row r="301" spans="1:5" x14ac:dyDescent="0.25">
      <c r="A301">
        <v>71806</v>
      </c>
      <c r="B301" t="s">
        <v>758</v>
      </c>
      <c r="C301">
        <v>71806002</v>
      </c>
      <c r="D301" t="s">
        <v>1403</v>
      </c>
      <c r="E301" t="s">
        <v>1101</v>
      </c>
    </row>
    <row r="302" spans="1:5" x14ac:dyDescent="0.25">
      <c r="A302">
        <v>71806</v>
      </c>
      <c r="B302" t="s">
        <v>758</v>
      </c>
      <c r="C302">
        <v>71806004</v>
      </c>
      <c r="D302" t="s">
        <v>1404</v>
      </c>
      <c r="E302" t="s">
        <v>1101</v>
      </c>
    </row>
    <row r="303" spans="1:5" x14ac:dyDescent="0.25">
      <c r="A303">
        <v>71806</v>
      </c>
      <c r="B303" t="s">
        <v>758</v>
      </c>
      <c r="C303">
        <v>71806005</v>
      </c>
      <c r="D303" t="s">
        <v>1405</v>
      </c>
      <c r="E303" t="s">
        <v>1101</v>
      </c>
    </row>
    <row r="304" spans="1:5" x14ac:dyDescent="0.25">
      <c r="A304">
        <v>71806</v>
      </c>
      <c r="B304" t="s">
        <v>758</v>
      </c>
      <c r="C304">
        <v>71806006</v>
      </c>
      <c r="D304" t="s">
        <v>1406</v>
      </c>
      <c r="E304" t="s">
        <v>1101</v>
      </c>
    </row>
    <row r="305" spans="1:5" x14ac:dyDescent="0.25">
      <c r="A305">
        <v>71806</v>
      </c>
      <c r="B305" t="s">
        <v>758</v>
      </c>
      <c r="C305">
        <v>71806007</v>
      </c>
      <c r="D305" t="s">
        <v>1407</v>
      </c>
      <c r="E305" t="s">
        <v>1101</v>
      </c>
    </row>
    <row r="306" spans="1:5" x14ac:dyDescent="0.25">
      <c r="A306">
        <v>101806</v>
      </c>
      <c r="B306" t="s">
        <v>444</v>
      </c>
      <c r="C306">
        <v>101806001</v>
      </c>
      <c r="D306" t="s">
        <v>1468</v>
      </c>
      <c r="E306" t="s">
        <v>1101</v>
      </c>
    </row>
    <row r="307" spans="1:5" x14ac:dyDescent="0.25">
      <c r="A307">
        <v>101806</v>
      </c>
      <c r="B307" t="s">
        <v>444</v>
      </c>
      <c r="C307">
        <v>101806042</v>
      </c>
      <c r="D307" t="s">
        <v>1469</v>
      </c>
      <c r="E307" t="s">
        <v>1101</v>
      </c>
    </row>
    <row r="308" spans="1:5" x14ac:dyDescent="0.25">
      <c r="A308">
        <v>101806</v>
      </c>
      <c r="B308" t="s">
        <v>444</v>
      </c>
      <c r="C308">
        <v>101806043</v>
      </c>
      <c r="D308" t="s">
        <v>1470</v>
      </c>
      <c r="E308" t="s">
        <v>1101</v>
      </c>
    </row>
    <row r="309" spans="1:5" x14ac:dyDescent="0.25">
      <c r="A309">
        <v>101806</v>
      </c>
      <c r="B309" t="s">
        <v>444</v>
      </c>
      <c r="C309">
        <v>101806101</v>
      </c>
      <c r="D309" t="s">
        <v>1471</v>
      </c>
      <c r="E309" t="s">
        <v>1101</v>
      </c>
    </row>
    <row r="310" spans="1:5" x14ac:dyDescent="0.25">
      <c r="A310">
        <v>101806</v>
      </c>
      <c r="B310" t="s">
        <v>444</v>
      </c>
      <c r="C310">
        <v>101806102</v>
      </c>
      <c r="D310" t="s">
        <v>1472</v>
      </c>
      <c r="E310" t="s">
        <v>1101</v>
      </c>
    </row>
    <row r="311" spans="1:5" x14ac:dyDescent="0.25">
      <c r="A311">
        <v>101806</v>
      </c>
      <c r="B311" t="s">
        <v>444</v>
      </c>
      <c r="C311">
        <v>101806103</v>
      </c>
      <c r="D311" t="s">
        <v>1473</v>
      </c>
      <c r="E311" t="s">
        <v>1101</v>
      </c>
    </row>
    <row r="312" spans="1:5" x14ac:dyDescent="0.25">
      <c r="A312">
        <v>152806</v>
      </c>
      <c r="B312" t="s">
        <v>535</v>
      </c>
      <c r="C312">
        <v>152806001</v>
      </c>
      <c r="D312" t="s">
        <v>535</v>
      </c>
      <c r="E312" t="s">
        <v>1101</v>
      </c>
    </row>
    <row r="313" spans="1:5" x14ac:dyDescent="0.25">
      <c r="A313">
        <v>227806</v>
      </c>
      <c r="B313" t="s">
        <v>85</v>
      </c>
      <c r="C313">
        <v>227806005</v>
      </c>
      <c r="D313" t="s">
        <v>1801</v>
      </c>
      <c r="E313" t="s">
        <v>1103</v>
      </c>
    </row>
    <row r="314" spans="1:5" x14ac:dyDescent="0.25">
      <c r="A314">
        <v>227806</v>
      </c>
      <c r="B314" t="s">
        <v>85</v>
      </c>
      <c r="C314">
        <v>227806009</v>
      </c>
      <c r="D314" t="s">
        <v>1802</v>
      </c>
      <c r="E314" t="s">
        <v>1103</v>
      </c>
    </row>
    <row r="315" spans="1:5" x14ac:dyDescent="0.25">
      <c r="A315">
        <v>227806</v>
      </c>
      <c r="B315" t="s">
        <v>85</v>
      </c>
      <c r="C315">
        <v>227806023</v>
      </c>
      <c r="D315" t="s">
        <v>1803</v>
      </c>
      <c r="E315" t="s">
        <v>1103</v>
      </c>
    </row>
    <row r="316" spans="1:5" x14ac:dyDescent="0.25">
      <c r="A316">
        <v>227806</v>
      </c>
      <c r="B316" t="s">
        <v>85</v>
      </c>
      <c r="C316">
        <v>227806024</v>
      </c>
      <c r="D316" t="s">
        <v>1804</v>
      </c>
      <c r="E316" t="s">
        <v>1103</v>
      </c>
    </row>
    <row r="317" spans="1:5" x14ac:dyDescent="0.25">
      <c r="A317">
        <v>227806</v>
      </c>
      <c r="B317" t="s">
        <v>85</v>
      </c>
      <c r="C317">
        <v>227806025</v>
      </c>
      <c r="D317" t="s">
        <v>1805</v>
      </c>
      <c r="E317" t="s">
        <v>1103</v>
      </c>
    </row>
    <row r="318" spans="1:5" x14ac:dyDescent="0.25">
      <c r="A318">
        <v>227806</v>
      </c>
      <c r="B318" t="s">
        <v>85</v>
      </c>
      <c r="C318">
        <v>227806029</v>
      </c>
      <c r="D318" t="s">
        <v>1806</v>
      </c>
      <c r="E318" t="s">
        <v>1103</v>
      </c>
    </row>
    <row r="319" spans="1:5" x14ac:dyDescent="0.25">
      <c r="A319">
        <v>227806</v>
      </c>
      <c r="B319" t="s">
        <v>85</v>
      </c>
      <c r="C319">
        <v>227806030</v>
      </c>
      <c r="D319" t="s">
        <v>1807</v>
      </c>
      <c r="E319" t="s">
        <v>1103</v>
      </c>
    </row>
    <row r="320" spans="1:5" x14ac:dyDescent="0.25">
      <c r="A320">
        <v>227806</v>
      </c>
      <c r="B320" t="s">
        <v>85</v>
      </c>
      <c r="C320">
        <v>227806031</v>
      </c>
      <c r="D320" t="s">
        <v>1808</v>
      </c>
      <c r="E320" t="s">
        <v>1101</v>
      </c>
    </row>
    <row r="321" spans="1:5" x14ac:dyDescent="0.25">
      <c r="A321">
        <v>227806</v>
      </c>
      <c r="B321" t="s">
        <v>85</v>
      </c>
      <c r="C321">
        <v>227806032</v>
      </c>
      <c r="D321" t="s">
        <v>1809</v>
      </c>
      <c r="E321" t="s">
        <v>1103</v>
      </c>
    </row>
    <row r="322" spans="1:5" x14ac:dyDescent="0.25">
      <c r="A322">
        <v>227806</v>
      </c>
      <c r="B322" t="s">
        <v>85</v>
      </c>
      <c r="C322">
        <v>227806034</v>
      </c>
      <c r="D322" t="s">
        <v>1810</v>
      </c>
      <c r="E322" t="s">
        <v>1103</v>
      </c>
    </row>
    <row r="323" spans="1:5" x14ac:dyDescent="0.25">
      <c r="A323">
        <v>227806</v>
      </c>
      <c r="B323" t="s">
        <v>85</v>
      </c>
      <c r="C323">
        <v>227806040</v>
      </c>
      <c r="D323" t="s">
        <v>1811</v>
      </c>
      <c r="E323" t="s">
        <v>1103</v>
      </c>
    </row>
    <row r="324" spans="1:5" x14ac:dyDescent="0.25">
      <c r="A324">
        <v>227806</v>
      </c>
      <c r="B324" t="s">
        <v>85</v>
      </c>
      <c r="C324">
        <v>227806041</v>
      </c>
      <c r="D324" t="s">
        <v>1812</v>
      </c>
      <c r="E324" t="s">
        <v>1103</v>
      </c>
    </row>
    <row r="325" spans="1:5" x14ac:dyDescent="0.25">
      <c r="A325">
        <v>227806</v>
      </c>
      <c r="B325" t="s">
        <v>85</v>
      </c>
      <c r="C325">
        <v>227806044</v>
      </c>
      <c r="D325" t="s">
        <v>1813</v>
      </c>
      <c r="E325" t="s">
        <v>1103</v>
      </c>
    </row>
    <row r="326" spans="1:5" x14ac:dyDescent="0.25">
      <c r="A326">
        <v>227806</v>
      </c>
      <c r="B326" t="s">
        <v>85</v>
      </c>
      <c r="C326">
        <v>227806045</v>
      </c>
      <c r="D326" t="s">
        <v>1814</v>
      </c>
      <c r="E326" t="s">
        <v>1103</v>
      </c>
    </row>
    <row r="327" spans="1:5" x14ac:dyDescent="0.25">
      <c r="A327">
        <v>227806</v>
      </c>
      <c r="B327" t="s">
        <v>85</v>
      </c>
      <c r="C327">
        <v>227806049</v>
      </c>
      <c r="D327" t="s">
        <v>1815</v>
      </c>
      <c r="E327" t="s">
        <v>1103</v>
      </c>
    </row>
    <row r="328" spans="1:5" x14ac:dyDescent="0.25">
      <c r="A328">
        <v>227806</v>
      </c>
      <c r="B328" t="s">
        <v>85</v>
      </c>
      <c r="C328">
        <v>227806052</v>
      </c>
      <c r="D328" t="s">
        <v>1816</v>
      </c>
      <c r="E328" t="s">
        <v>1103</v>
      </c>
    </row>
    <row r="329" spans="1:5" x14ac:dyDescent="0.25">
      <c r="A329">
        <v>227806</v>
      </c>
      <c r="B329" t="s">
        <v>85</v>
      </c>
      <c r="C329">
        <v>227806053</v>
      </c>
      <c r="D329" t="s">
        <v>1817</v>
      </c>
      <c r="E329" t="s">
        <v>1103</v>
      </c>
    </row>
    <row r="330" spans="1:5" x14ac:dyDescent="0.25">
      <c r="A330">
        <v>227806</v>
      </c>
      <c r="B330" t="s">
        <v>85</v>
      </c>
      <c r="C330">
        <v>227806054</v>
      </c>
      <c r="D330" t="s">
        <v>1818</v>
      </c>
      <c r="E330" t="s">
        <v>1103</v>
      </c>
    </row>
    <row r="331" spans="1:5" x14ac:dyDescent="0.25">
      <c r="A331">
        <v>227806</v>
      </c>
      <c r="B331" t="s">
        <v>85</v>
      </c>
      <c r="C331">
        <v>227806055</v>
      </c>
      <c r="D331" t="s">
        <v>1819</v>
      </c>
      <c r="E331" t="s">
        <v>1103</v>
      </c>
    </row>
    <row r="332" spans="1:5" x14ac:dyDescent="0.25">
      <c r="A332">
        <v>227806</v>
      </c>
      <c r="B332" t="s">
        <v>85</v>
      </c>
      <c r="C332">
        <v>227806056</v>
      </c>
      <c r="D332" t="s">
        <v>1820</v>
      </c>
      <c r="E332" t="s">
        <v>1103</v>
      </c>
    </row>
    <row r="333" spans="1:5" x14ac:dyDescent="0.25">
      <c r="A333">
        <v>227806</v>
      </c>
      <c r="B333" t="s">
        <v>85</v>
      </c>
      <c r="C333">
        <v>227806057</v>
      </c>
      <c r="D333" t="s">
        <v>1821</v>
      </c>
      <c r="E333" t="s">
        <v>1103</v>
      </c>
    </row>
    <row r="334" spans="1:5" x14ac:dyDescent="0.25">
      <c r="A334">
        <v>15807</v>
      </c>
      <c r="B334" t="s">
        <v>38</v>
      </c>
      <c r="C334">
        <v>15807001</v>
      </c>
      <c r="D334" t="s">
        <v>1134</v>
      </c>
      <c r="E334" t="s">
        <v>1103</v>
      </c>
    </row>
    <row r="335" spans="1:5" x14ac:dyDescent="0.25">
      <c r="A335">
        <v>15807</v>
      </c>
      <c r="B335" t="s">
        <v>38</v>
      </c>
      <c r="C335">
        <v>15807002</v>
      </c>
      <c r="D335" t="s">
        <v>1135</v>
      </c>
      <c r="E335" t="s">
        <v>1103</v>
      </c>
    </row>
    <row r="336" spans="1:5" x14ac:dyDescent="0.25">
      <c r="A336">
        <v>15807</v>
      </c>
      <c r="B336" t="s">
        <v>38</v>
      </c>
      <c r="C336">
        <v>15807004</v>
      </c>
      <c r="D336" t="s">
        <v>1136</v>
      </c>
      <c r="E336" t="s">
        <v>1103</v>
      </c>
    </row>
    <row r="337" spans="1:5" x14ac:dyDescent="0.25">
      <c r="A337">
        <v>15807</v>
      </c>
      <c r="B337" t="s">
        <v>38</v>
      </c>
      <c r="C337">
        <v>15807005</v>
      </c>
      <c r="D337" t="s">
        <v>1137</v>
      </c>
      <c r="E337" t="s">
        <v>1103</v>
      </c>
    </row>
    <row r="338" spans="1:5" x14ac:dyDescent="0.25">
      <c r="A338">
        <v>15807</v>
      </c>
      <c r="B338" t="s">
        <v>38</v>
      </c>
      <c r="C338">
        <v>15807101</v>
      </c>
      <c r="D338" t="s">
        <v>1138</v>
      </c>
      <c r="E338" t="s">
        <v>1101</v>
      </c>
    </row>
    <row r="339" spans="1:5" x14ac:dyDescent="0.25">
      <c r="A339">
        <v>15807</v>
      </c>
      <c r="B339" t="s">
        <v>38</v>
      </c>
      <c r="C339">
        <v>15807102</v>
      </c>
      <c r="D339" t="s">
        <v>1139</v>
      </c>
      <c r="E339" t="s">
        <v>1101</v>
      </c>
    </row>
    <row r="340" spans="1:5" x14ac:dyDescent="0.25">
      <c r="A340">
        <v>57807</v>
      </c>
      <c r="B340" t="s">
        <v>18</v>
      </c>
      <c r="C340">
        <v>57807001</v>
      </c>
      <c r="D340" t="s">
        <v>1299</v>
      </c>
      <c r="E340" t="s">
        <v>1101</v>
      </c>
    </row>
    <row r="341" spans="1:5" x14ac:dyDescent="0.25">
      <c r="A341">
        <v>57807</v>
      </c>
      <c r="B341" t="s">
        <v>18</v>
      </c>
      <c r="C341">
        <v>57807002</v>
      </c>
      <c r="D341" t="s">
        <v>1300</v>
      </c>
      <c r="E341" t="s">
        <v>1101</v>
      </c>
    </row>
    <row r="342" spans="1:5" x14ac:dyDescent="0.25">
      <c r="A342">
        <v>57807</v>
      </c>
      <c r="B342" t="s">
        <v>18</v>
      </c>
      <c r="C342">
        <v>57807041</v>
      </c>
      <c r="D342" t="s">
        <v>1301</v>
      </c>
      <c r="E342" t="s">
        <v>1101</v>
      </c>
    </row>
    <row r="343" spans="1:5" x14ac:dyDescent="0.25">
      <c r="A343">
        <v>57807</v>
      </c>
      <c r="B343" t="s">
        <v>18</v>
      </c>
      <c r="C343">
        <v>57807101</v>
      </c>
      <c r="D343" t="s">
        <v>1302</v>
      </c>
      <c r="E343" t="s">
        <v>1101</v>
      </c>
    </row>
    <row r="344" spans="1:5" x14ac:dyDescent="0.25">
      <c r="A344">
        <v>57807</v>
      </c>
      <c r="B344" t="s">
        <v>18</v>
      </c>
      <c r="C344">
        <v>57807102</v>
      </c>
      <c r="D344" t="s">
        <v>1303</v>
      </c>
      <c r="E344" t="s">
        <v>1101</v>
      </c>
    </row>
    <row r="345" spans="1:5" x14ac:dyDescent="0.25">
      <c r="A345">
        <v>57807</v>
      </c>
      <c r="B345" t="s">
        <v>18</v>
      </c>
      <c r="C345">
        <v>57807104</v>
      </c>
      <c r="D345" t="s">
        <v>1304</v>
      </c>
      <c r="E345" t="s">
        <v>1101</v>
      </c>
    </row>
    <row r="346" spans="1:5" x14ac:dyDescent="0.25">
      <c r="A346">
        <v>57807</v>
      </c>
      <c r="B346" t="s">
        <v>18</v>
      </c>
      <c r="C346">
        <v>57807105</v>
      </c>
      <c r="D346" t="s">
        <v>1305</v>
      </c>
      <c r="E346" t="s">
        <v>1101</v>
      </c>
    </row>
    <row r="347" spans="1:5" x14ac:dyDescent="0.25">
      <c r="A347">
        <v>57807</v>
      </c>
      <c r="B347" t="s">
        <v>18</v>
      </c>
      <c r="C347">
        <v>57807106</v>
      </c>
      <c r="D347" t="s">
        <v>1306</v>
      </c>
      <c r="E347" t="s">
        <v>1101</v>
      </c>
    </row>
    <row r="348" spans="1:5" x14ac:dyDescent="0.25">
      <c r="A348">
        <v>71807</v>
      </c>
      <c r="B348" t="s">
        <v>63</v>
      </c>
      <c r="C348">
        <v>71807101</v>
      </c>
      <c r="D348" t="s">
        <v>63</v>
      </c>
      <c r="E348" t="s">
        <v>1101</v>
      </c>
    </row>
    <row r="349" spans="1:5" x14ac:dyDescent="0.25">
      <c r="A349">
        <v>108807</v>
      </c>
      <c r="B349" t="s">
        <v>95</v>
      </c>
      <c r="C349">
        <v>108807001</v>
      </c>
      <c r="D349" t="s">
        <v>1568</v>
      </c>
      <c r="E349" t="s">
        <v>1101</v>
      </c>
    </row>
    <row r="350" spans="1:5" x14ac:dyDescent="0.25">
      <c r="A350">
        <v>108807</v>
      </c>
      <c r="B350" t="s">
        <v>95</v>
      </c>
      <c r="C350">
        <v>108807002</v>
      </c>
      <c r="D350" t="s">
        <v>1569</v>
      </c>
      <c r="E350" t="s">
        <v>1101</v>
      </c>
    </row>
    <row r="351" spans="1:5" x14ac:dyDescent="0.25">
      <c r="A351">
        <v>108807</v>
      </c>
      <c r="B351" t="s">
        <v>95</v>
      </c>
      <c r="C351">
        <v>108807003</v>
      </c>
      <c r="D351" t="s">
        <v>1570</v>
      </c>
      <c r="E351" t="s">
        <v>1101</v>
      </c>
    </row>
    <row r="352" spans="1:5" x14ac:dyDescent="0.25">
      <c r="A352">
        <v>108807</v>
      </c>
      <c r="B352" t="s">
        <v>95</v>
      </c>
      <c r="C352">
        <v>108807004</v>
      </c>
      <c r="D352" t="s">
        <v>1571</v>
      </c>
      <c r="E352" t="s">
        <v>1101</v>
      </c>
    </row>
    <row r="353" spans="1:5" x14ac:dyDescent="0.25">
      <c r="A353">
        <v>108807</v>
      </c>
      <c r="B353" t="s">
        <v>95</v>
      </c>
      <c r="C353">
        <v>108807005</v>
      </c>
      <c r="D353" t="s">
        <v>1572</v>
      </c>
      <c r="E353" t="s">
        <v>1101</v>
      </c>
    </row>
    <row r="354" spans="1:5" x14ac:dyDescent="0.25">
      <c r="A354">
        <v>108807</v>
      </c>
      <c r="B354" t="s">
        <v>95</v>
      </c>
      <c r="C354">
        <v>108807006</v>
      </c>
      <c r="D354" t="s">
        <v>1573</v>
      </c>
      <c r="E354" t="s">
        <v>1101</v>
      </c>
    </row>
    <row r="355" spans="1:5" x14ac:dyDescent="0.25">
      <c r="A355">
        <v>108807</v>
      </c>
      <c r="B355" t="s">
        <v>95</v>
      </c>
      <c r="C355">
        <v>108807007</v>
      </c>
      <c r="D355" t="s">
        <v>1574</v>
      </c>
      <c r="E355" t="s">
        <v>1101</v>
      </c>
    </row>
    <row r="356" spans="1:5" x14ac:dyDescent="0.25">
      <c r="A356">
        <v>108807</v>
      </c>
      <c r="B356" t="s">
        <v>95</v>
      </c>
      <c r="C356">
        <v>108807008</v>
      </c>
      <c r="D356" t="s">
        <v>1575</v>
      </c>
      <c r="E356" t="s">
        <v>1101</v>
      </c>
    </row>
    <row r="357" spans="1:5" x14ac:dyDescent="0.25">
      <c r="A357">
        <v>108807</v>
      </c>
      <c r="B357" t="s">
        <v>95</v>
      </c>
      <c r="C357">
        <v>108807009</v>
      </c>
      <c r="D357" t="s">
        <v>1576</v>
      </c>
      <c r="E357" t="s">
        <v>1101</v>
      </c>
    </row>
    <row r="358" spans="1:5" x14ac:dyDescent="0.25">
      <c r="A358">
        <v>108807</v>
      </c>
      <c r="B358" t="s">
        <v>95</v>
      </c>
      <c r="C358">
        <v>108807010</v>
      </c>
      <c r="D358" t="s">
        <v>1577</v>
      </c>
      <c r="E358" t="s">
        <v>1101</v>
      </c>
    </row>
    <row r="359" spans="1:5" x14ac:dyDescent="0.25">
      <c r="A359">
        <v>108807</v>
      </c>
      <c r="B359" t="s">
        <v>95</v>
      </c>
      <c r="C359">
        <v>108807011</v>
      </c>
      <c r="D359" t="s">
        <v>1578</v>
      </c>
      <c r="E359" t="s">
        <v>1101</v>
      </c>
    </row>
    <row r="360" spans="1:5" x14ac:dyDescent="0.25">
      <c r="A360">
        <v>108807</v>
      </c>
      <c r="B360" t="s">
        <v>95</v>
      </c>
      <c r="C360">
        <v>108807012</v>
      </c>
      <c r="D360" t="s">
        <v>1579</v>
      </c>
      <c r="E360" t="s">
        <v>1101</v>
      </c>
    </row>
    <row r="361" spans="1:5" x14ac:dyDescent="0.25">
      <c r="A361">
        <v>108807</v>
      </c>
      <c r="B361" t="s">
        <v>95</v>
      </c>
      <c r="C361">
        <v>108807013</v>
      </c>
      <c r="D361" t="s">
        <v>1580</v>
      </c>
      <c r="E361" t="s">
        <v>1101</v>
      </c>
    </row>
    <row r="362" spans="1:5" x14ac:dyDescent="0.25">
      <c r="A362">
        <v>108807</v>
      </c>
      <c r="B362" t="s">
        <v>95</v>
      </c>
      <c r="C362">
        <v>108807014</v>
      </c>
      <c r="D362" t="s">
        <v>1581</v>
      </c>
      <c r="E362" t="s">
        <v>1101</v>
      </c>
    </row>
    <row r="363" spans="1:5" x14ac:dyDescent="0.25">
      <c r="A363">
        <v>108807</v>
      </c>
      <c r="B363" t="s">
        <v>95</v>
      </c>
      <c r="C363">
        <v>108807015</v>
      </c>
      <c r="D363" t="s">
        <v>1582</v>
      </c>
      <c r="E363" t="s">
        <v>1101</v>
      </c>
    </row>
    <row r="364" spans="1:5" x14ac:dyDescent="0.25">
      <c r="A364">
        <v>108807</v>
      </c>
      <c r="B364" t="s">
        <v>95</v>
      </c>
      <c r="C364">
        <v>108807016</v>
      </c>
      <c r="D364" t="s">
        <v>1583</v>
      </c>
      <c r="E364" t="s">
        <v>1101</v>
      </c>
    </row>
    <row r="365" spans="1:5" x14ac:dyDescent="0.25">
      <c r="A365">
        <v>108807</v>
      </c>
      <c r="B365" t="s">
        <v>95</v>
      </c>
      <c r="C365">
        <v>108807017</v>
      </c>
      <c r="D365" t="s">
        <v>1584</v>
      </c>
      <c r="E365" t="s">
        <v>1101</v>
      </c>
    </row>
    <row r="366" spans="1:5" x14ac:dyDescent="0.25">
      <c r="A366">
        <v>108807</v>
      </c>
      <c r="B366" t="s">
        <v>95</v>
      </c>
      <c r="C366">
        <v>108807018</v>
      </c>
      <c r="D366" t="s">
        <v>1585</v>
      </c>
      <c r="E366" t="s">
        <v>1101</v>
      </c>
    </row>
    <row r="367" spans="1:5" x14ac:dyDescent="0.25">
      <c r="A367">
        <v>108807</v>
      </c>
      <c r="B367" t="s">
        <v>95</v>
      </c>
      <c r="C367">
        <v>108807019</v>
      </c>
      <c r="D367" t="s">
        <v>1586</v>
      </c>
      <c r="E367" t="s">
        <v>1101</v>
      </c>
    </row>
    <row r="368" spans="1:5" x14ac:dyDescent="0.25">
      <c r="A368">
        <v>108807</v>
      </c>
      <c r="B368" t="s">
        <v>95</v>
      </c>
      <c r="C368">
        <v>108807020</v>
      </c>
      <c r="D368" t="s">
        <v>1587</v>
      </c>
      <c r="E368" t="s">
        <v>1101</v>
      </c>
    </row>
    <row r="369" spans="1:5" x14ac:dyDescent="0.25">
      <c r="A369">
        <v>108807</v>
      </c>
      <c r="B369" t="s">
        <v>95</v>
      </c>
      <c r="C369">
        <v>108807021</v>
      </c>
      <c r="D369" t="s">
        <v>1588</v>
      </c>
      <c r="E369" t="s">
        <v>1101</v>
      </c>
    </row>
    <row r="370" spans="1:5" x14ac:dyDescent="0.25">
      <c r="A370">
        <v>108807</v>
      </c>
      <c r="B370" t="s">
        <v>95</v>
      </c>
      <c r="C370">
        <v>108807022</v>
      </c>
      <c r="D370" t="s">
        <v>1589</v>
      </c>
      <c r="E370" t="s">
        <v>1101</v>
      </c>
    </row>
    <row r="371" spans="1:5" x14ac:dyDescent="0.25">
      <c r="A371">
        <v>108807</v>
      </c>
      <c r="B371" t="s">
        <v>95</v>
      </c>
      <c r="C371">
        <v>108807023</v>
      </c>
      <c r="D371" t="s">
        <v>1590</v>
      </c>
      <c r="E371" t="s">
        <v>1101</v>
      </c>
    </row>
    <row r="372" spans="1:5" x14ac:dyDescent="0.25">
      <c r="A372">
        <v>108807</v>
      </c>
      <c r="B372" t="s">
        <v>95</v>
      </c>
      <c r="C372">
        <v>108807024</v>
      </c>
      <c r="D372" t="s">
        <v>1591</v>
      </c>
      <c r="E372" t="s">
        <v>1101</v>
      </c>
    </row>
    <row r="373" spans="1:5" x14ac:dyDescent="0.25">
      <c r="A373">
        <v>108807</v>
      </c>
      <c r="B373" t="s">
        <v>95</v>
      </c>
      <c r="C373">
        <v>108807025</v>
      </c>
      <c r="D373" t="s">
        <v>1592</v>
      </c>
      <c r="E373" t="s">
        <v>1101</v>
      </c>
    </row>
    <row r="374" spans="1:5" x14ac:dyDescent="0.25">
      <c r="A374">
        <v>108807</v>
      </c>
      <c r="B374" t="s">
        <v>95</v>
      </c>
      <c r="C374">
        <v>108807026</v>
      </c>
      <c r="D374" t="s">
        <v>1593</v>
      </c>
      <c r="E374" t="s">
        <v>1101</v>
      </c>
    </row>
    <row r="375" spans="1:5" x14ac:dyDescent="0.25">
      <c r="A375">
        <v>108807</v>
      </c>
      <c r="B375" t="s">
        <v>95</v>
      </c>
      <c r="C375">
        <v>108807027</v>
      </c>
      <c r="D375" t="s">
        <v>1594</v>
      </c>
      <c r="E375" t="s">
        <v>1101</v>
      </c>
    </row>
    <row r="376" spans="1:5" x14ac:dyDescent="0.25">
      <c r="A376">
        <v>108807</v>
      </c>
      <c r="B376" t="s">
        <v>95</v>
      </c>
      <c r="C376">
        <v>108807028</v>
      </c>
      <c r="D376" t="s">
        <v>1595</v>
      </c>
      <c r="E376" t="s">
        <v>1101</v>
      </c>
    </row>
    <row r="377" spans="1:5" x14ac:dyDescent="0.25">
      <c r="A377">
        <v>108807</v>
      </c>
      <c r="B377" t="s">
        <v>95</v>
      </c>
      <c r="C377">
        <v>108807029</v>
      </c>
      <c r="D377" t="s">
        <v>1596</v>
      </c>
      <c r="E377" t="s">
        <v>1101</v>
      </c>
    </row>
    <row r="378" spans="1:5" x14ac:dyDescent="0.25">
      <c r="A378">
        <v>108807</v>
      </c>
      <c r="B378" t="s">
        <v>95</v>
      </c>
      <c r="C378">
        <v>108807030</v>
      </c>
      <c r="D378" t="s">
        <v>1597</v>
      </c>
      <c r="E378" t="s">
        <v>1101</v>
      </c>
    </row>
    <row r="379" spans="1:5" x14ac:dyDescent="0.25">
      <c r="A379">
        <v>108807</v>
      </c>
      <c r="B379" t="s">
        <v>95</v>
      </c>
      <c r="C379">
        <v>108807035</v>
      </c>
      <c r="D379" t="s">
        <v>1598</v>
      </c>
      <c r="E379" t="s">
        <v>1101</v>
      </c>
    </row>
    <row r="380" spans="1:5" x14ac:dyDescent="0.25">
      <c r="A380">
        <v>108807</v>
      </c>
      <c r="B380" t="s">
        <v>95</v>
      </c>
      <c r="C380">
        <v>108807036</v>
      </c>
      <c r="D380" t="s">
        <v>1599</v>
      </c>
      <c r="E380" t="s">
        <v>1101</v>
      </c>
    </row>
    <row r="381" spans="1:5" x14ac:dyDescent="0.25">
      <c r="A381">
        <v>108807</v>
      </c>
      <c r="B381" t="s">
        <v>95</v>
      </c>
      <c r="C381">
        <v>108807037</v>
      </c>
      <c r="D381" t="s">
        <v>1600</v>
      </c>
      <c r="E381" t="s">
        <v>1101</v>
      </c>
    </row>
    <row r="382" spans="1:5" x14ac:dyDescent="0.25">
      <c r="A382">
        <v>108807</v>
      </c>
      <c r="B382" t="s">
        <v>95</v>
      </c>
      <c r="C382">
        <v>108807038</v>
      </c>
      <c r="D382" t="s">
        <v>1601</v>
      </c>
      <c r="E382" t="s">
        <v>1101</v>
      </c>
    </row>
    <row r="383" spans="1:5" x14ac:dyDescent="0.25">
      <c r="A383">
        <v>108807</v>
      </c>
      <c r="B383" t="s">
        <v>95</v>
      </c>
      <c r="C383">
        <v>108807039</v>
      </c>
      <c r="D383" t="s">
        <v>1602</v>
      </c>
      <c r="E383" t="s">
        <v>1101</v>
      </c>
    </row>
    <row r="384" spans="1:5" x14ac:dyDescent="0.25">
      <c r="A384">
        <v>108807</v>
      </c>
      <c r="B384" t="s">
        <v>95</v>
      </c>
      <c r="C384">
        <v>108807040</v>
      </c>
      <c r="D384" t="s">
        <v>1603</v>
      </c>
      <c r="E384" t="s">
        <v>1101</v>
      </c>
    </row>
    <row r="385" spans="1:5" x14ac:dyDescent="0.25">
      <c r="A385">
        <v>108807</v>
      </c>
      <c r="B385" t="s">
        <v>95</v>
      </c>
      <c r="C385">
        <v>108807083</v>
      </c>
      <c r="D385" t="s">
        <v>1604</v>
      </c>
      <c r="E385" t="s">
        <v>1101</v>
      </c>
    </row>
    <row r="386" spans="1:5" x14ac:dyDescent="0.25">
      <c r="A386">
        <v>108807</v>
      </c>
      <c r="B386" t="s">
        <v>95</v>
      </c>
      <c r="C386">
        <v>108807084</v>
      </c>
      <c r="D386" t="s">
        <v>1605</v>
      </c>
      <c r="E386" t="s">
        <v>1101</v>
      </c>
    </row>
    <row r="387" spans="1:5" x14ac:dyDescent="0.25">
      <c r="A387">
        <v>108807</v>
      </c>
      <c r="B387" t="s">
        <v>95</v>
      </c>
      <c r="C387">
        <v>108807085</v>
      </c>
      <c r="D387" t="s">
        <v>1606</v>
      </c>
      <c r="E387" t="s">
        <v>1101</v>
      </c>
    </row>
    <row r="388" spans="1:5" x14ac:dyDescent="0.25">
      <c r="A388">
        <v>108807</v>
      </c>
      <c r="B388" t="s">
        <v>95</v>
      </c>
      <c r="C388">
        <v>108807086</v>
      </c>
      <c r="D388" t="s">
        <v>1607</v>
      </c>
      <c r="E388" t="s">
        <v>1101</v>
      </c>
    </row>
    <row r="389" spans="1:5" x14ac:dyDescent="0.25">
      <c r="A389">
        <v>108807</v>
      </c>
      <c r="B389" t="s">
        <v>95</v>
      </c>
      <c r="C389">
        <v>108807087</v>
      </c>
      <c r="D389" t="s">
        <v>1608</v>
      </c>
      <c r="E389" t="s">
        <v>1101</v>
      </c>
    </row>
    <row r="390" spans="1:5" x14ac:dyDescent="0.25">
      <c r="A390">
        <v>108807</v>
      </c>
      <c r="B390" t="s">
        <v>95</v>
      </c>
      <c r="C390">
        <v>108807088</v>
      </c>
      <c r="D390" t="s">
        <v>1609</v>
      </c>
      <c r="E390" t="s">
        <v>1101</v>
      </c>
    </row>
    <row r="391" spans="1:5" x14ac:dyDescent="0.25">
      <c r="A391">
        <v>108807</v>
      </c>
      <c r="B391" t="s">
        <v>95</v>
      </c>
      <c r="C391">
        <v>108807089</v>
      </c>
      <c r="D391" t="s">
        <v>1610</v>
      </c>
      <c r="E391" t="s">
        <v>1101</v>
      </c>
    </row>
    <row r="392" spans="1:5" x14ac:dyDescent="0.25">
      <c r="A392">
        <v>108807</v>
      </c>
      <c r="B392" t="s">
        <v>95</v>
      </c>
      <c r="C392">
        <v>108807090</v>
      </c>
      <c r="D392" t="s">
        <v>1611</v>
      </c>
      <c r="E392" t="s">
        <v>1101</v>
      </c>
    </row>
    <row r="393" spans="1:5" x14ac:dyDescent="0.25">
      <c r="A393">
        <v>108807</v>
      </c>
      <c r="B393" t="s">
        <v>95</v>
      </c>
      <c r="C393">
        <v>108807091</v>
      </c>
      <c r="D393" t="s">
        <v>1612</v>
      </c>
      <c r="E393" t="s">
        <v>1101</v>
      </c>
    </row>
    <row r="394" spans="1:5" x14ac:dyDescent="0.25">
      <c r="A394">
        <v>108807</v>
      </c>
      <c r="B394" t="s">
        <v>95</v>
      </c>
      <c r="C394">
        <v>108807092</v>
      </c>
      <c r="D394" t="s">
        <v>1613</v>
      </c>
      <c r="E394" t="s">
        <v>1101</v>
      </c>
    </row>
    <row r="395" spans="1:5" x14ac:dyDescent="0.25">
      <c r="A395">
        <v>108807</v>
      </c>
      <c r="B395" t="s">
        <v>95</v>
      </c>
      <c r="C395">
        <v>108807093</v>
      </c>
      <c r="D395" t="s">
        <v>1614</v>
      </c>
      <c r="E395" t="s">
        <v>1101</v>
      </c>
    </row>
    <row r="396" spans="1:5" x14ac:dyDescent="0.25">
      <c r="A396">
        <v>108807</v>
      </c>
      <c r="B396" t="s">
        <v>95</v>
      </c>
      <c r="C396">
        <v>108807094</v>
      </c>
      <c r="D396" t="s">
        <v>1615</v>
      </c>
      <c r="E396" t="s">
        <v>1101</v>
      </c>
    </row>
    <row r="397" spans="1:5" x14ac:dyDescent="0.25">
      <c r="A397">
        <v>108807</v>
      </c>
      <c r="B397" t="s">
        <v>95</v>
      </c>
      <c r="C397">
        <v>108807095</v>
      </c>
      <c r="D397" t="s">
        <v>1616</v>
      </c>
      <c r="E397" t="s">
        <v>1101</v>
      </c>
    </row>
    <row r="398" spans="1:5" x14ac:dyDescent="0.25">
      <c r="A398">
        <v>108807</v>
      </c>
      <c r="B398" t="s">
        <v>95</v>
      </c>
      <c r="C398">
        <v>108807096</v>
      </c>
      <c r="D398" t="s">
        <v>1617</v>
      </c>
      <c r="E398" t="s">
        <v>1101</v>
      </c>
    </row>
    <row r="399" spans="1:5" x14ac:dyDescent="0.25">
      <c r="A399">
        <v>108807</v>
      </c>
      <c r="B399" t="s">
        <v>95</v>
      </c>
      <c r="C399">
        <v>108807097</v>
      </c>
      <c r="D399" t="s">
        <v>1618</v>
      </c>
      <c r="E399" t="s">
        <v>1101</v>
      </c>
    </row>
    <row r="400" spans="1:5" x14ac:dyDescent="0.25">
      <c r="A400">
        <v>108807</v>
      </c>
      <c r="B400" t="s">
        <v>95</v>
      </c>
      <c r="C400">
        <v>108807098</v>
      </c>
      <c r="D400" t="s">
        <v>1619</v>
      </c>
      <c r="E400" t="s">
        <v>1101</v>
      </c>
    </row>
    <row r="401" spans="1:5" x14ac:dyDescent="0.25">
      <c r="A401">
        <v>108807</v>
      </c>
      <c r="B401" t="s">
        <v>95</v>
      </c>
      <c r="C401">
        <v>108807099</v>
      </c>
      <c r="D401" t="s">
        <v>1620</v>
      </c>
      <c r="E401" t="s">
        <v>1101</v>
      </c>
    </row>
    <row r="402" spans="1:5" x14ac:dyDescent="0.25">
      <c r="A402">
        <v>108807</v>
      </c>
      <c r="B402" t="s">
        <v>95</v>
      </c>
      <c r="C402">
        <v>108807101</v>
      </c>
      <c r="D402" t="s">
        <v>1621</v>
      </c>
      <c r="E402" t="s">
        <v>1101</v>
      </c>
    </row>
    <row r="403" spans="1:5" x14ac:dyDescent="0.25">
      <c r="A403">
        <v>108807</v>
      </c>
      <c r="B403" t="s">
        <v>95</v>
      </c>
      <c r="C403">
        <v>108807102</v>
      </c>
      <c r="D403" t="s">
        <v>1622</v>
      </c>
      <c r="E403" t="s">
        <v>1101</v>
      </c>
    </row>
    <row r="404" spans="1:5" x14ac:dyDescent="0.25">
      <c r="A404">
        <v>108807</v>
      </c>
      <c r="B404" t="s">
        <v>95</v>
      </c>
      <c r="C404">
        <v>108807103</v>
      </c>
      <c r="D404" t="s">
        <v>1623</v>
      </c>
      <c r="E404" t="s">
        <v>1101</v>
      </c>
    </row>
    <row r="405" spans="1:5" x14ac:dyDescent="0.25">
      <c r="A405">
        <v>108807</v>
      </c>
      <c r="B405" t="s">
        <v>95</v>
      </c>
      <c r="C405">
        <v>108807104</v>
      </c>
      <c r="D405" t="s">
        <v>1624</v>
      </c>
      <c r="E405" t="s">
        <v>1101</v>
      </c>
    </row>
    <row r="406" spans="1:5" x14ac:dyDescent="0.25">
      <c r="A406">
        <v>108807</v>
      </c>
      <c r="B406" t="s">
        <v>95</v>
      </c>
      <c r="C406">
        <v>108807105</v>
      </c>
      <c r="D406" t="s">
        <v>1625</v>
      </c>
      <c r="E406" t="s">
        <v>1101</v>
      </c>
    </row>
    <row r="407" spans="1:5" x14ac:dyDescent="0.25">
      <c r="A407">
        <v>108807</v>
      </c>
      <c r="B407" t="s">
        <v>95</v>
      </c>
      <c r="C407">
        <v>108807106</v>
      </c>
      <c r="D407" t="s">
        <v>1626</v>
      </c>
      <c r="E407" t="s">
        <v>1101</v>
      </c>
    </row>
    <row r="408" spans="1:5" x14ac:dyDescent="0.25">
      <c r="A408">
        <v>108807</v>
      </c>
      <c r="B408" t="s">
        <v>95</v>
      </c>
      <c r="C408">
        <v>108807107</v>
      </c>
      <c r="D408" t="s">
        <v>1627</v>
      </c>
      <c r="E408" t="s">
        <v>1101</v>
      </c>
    </row>
    <row r="409" spans="1:5" x14ac:dyDescent="0.25">
      <c r="A409">
        <v>108807</v>
      </c>
      <c r="B409" t="s">
        <v>95</v>
      </c>
      <c r="C409">
        <v>108807108</v>
      </c>
      <c r="D409" t="s">
        <v>1628</v>
      </c>
      <c r="E409" t="s">
        <v>1101</v>
      </c>
    </row>
    <row r="410" spans="1:5" x14ac:dyDescent="0.25">
      <c r="A410">
        <v>108807</v>
      </c>
      <c r="B410" t="s">
        <v>95</v>
      </c>
      <c r="C410">
        <v>108807109</v>
      </c>
      <c r="D410" t="s">
        <v>1629</v>
      </c>
      <c r="E410" t="s">
        <v>1101</v>
      </c>
    </row>
    <row r="411" spans="1:5" x14ac:dyDescent="0.25">
      <c r="A411">
        <v>108807</v>
      </c>
      <c r="B411" t="s">
        <v>95</v>
      </c>
      <c r="C411">
        <v>108807110</v>
      </c>
      <c r="D411" t="s">
        <v>1630</v>
      </c>
      <c r="E411" t="s">
        <v>1101</v>
      </c>
    </row>
    <row r="412" spans="1:5" x14ac:dyDescent="0.25">
      <c r="A412">
        <v>108807</v>
      </c>
      <c r="B412" t="s">
        <v>95</v>
      </c>
      <c r="C412">
        <v>108807111</v>
      </c>
      <c r="D412" t="s">
        <v>1631</v>
      </c>
      <c r="E412" t="s">
        <v>1101</v>
      </c>
    </row>
    <row r="413" spans="1:5" x14ac:dyDescent="0.25">
      <c r="A413">
        <v>108807</v>
      </c>
      <c r="B413" t="s">
        <v>95</v>
      </c>
      <c r="C413">
        <v>108807112</v>
      </c>
      <c r="D413" t="s">
        <v>1632</v>
      </c>
      <c r="E413" t="s">
        <v>1101</v>
      </c>
    </row>
    <row r="414" spans="1:5" x14ac:dyDescent="0.25">
      <c r="A414">
        <v>108807</v>
      </c>
      <c r="B414" t="s">
        <v>95</v>
      </c>
      <c r="C414">
        <v>108807113</v>
      </c>
      <c r="D414" t="s">
        <v>1633</v>
      </c>
      <c r="E414" t="s">
        <v>1101</v>
      </c>
    </row>
    <row r="415" spans="1:5" x14ac:dyDescent="0.25">
      <c r="A415">
        <v>108807</v>
      </c>
      <c r="B415" t="s">
        <v>95</v>
      </c>
      <c r="C415">
        <v>108807114</v>
      </c>
      <c r="D415" t="s">
        <v>1634</v>
      </c>
      <c r="E415" t="s">
        <v>1101</v>
      </c>
    </row>
    <row r="416" spans="1:5" x14ac:dyDescent="0.25">
      <c r="A416">
        <v>108807</v>
      </c>
      <c r="B416" t="s">
        <v>95</v>
      </c>
      <c r="C416">
        <v>108807115</v>
      </c>
      <c r="D416" t="s">
        <v>1635</v>
      </c>
      <c r="E416" t="s">
        <v>1101</v>
      </c>
    </row>
    <row r="417" spans="1:5" x14ac:dyDescent="0.25">
      <c r="A417">
        <v>108807</v>
      </c>
      <c r="B417" t="s">
        <v>95</v>
      </c>
      <c r="C417">
        <v>108807116</v>
      </c>
      <c r="D417" t="s">
        <v>1636</v>
      </c>
      <c r="E417" t="s">
        <v>1101</v>
      </c>
    </row>
    <row r="418" spans="1:5" x14ac:dyDescent="0.25">
      <c r="A418">
        <v>108807</v>
      </c>
      <c r="B418" t="s">
        <v>95</v>
      </c>
      <c r="C418">
        <v>108807117</v>
      </c>
      <c r="D418" t="s">
        <v>1637</v>
      </c>
      <c r="E418" t="s">
        <v>1101</v>
      </c>
    </row>
    <row r="419" spans="1:5" x14ac:dyDescent="0.25">
      <c r="A419">
        <v>108807</v>
      </c>
      <c r="B419" t="s">
        <v>95</v>
      </c>
      <c r="C419">
        <v>108807119</v>
      </c>
      <c r="D419" t="s">
        <v>1638</v>
      </c>
      <c r="E419" t="s">
        <v>1101</v>
      </c>
    </row>
    <row r="420" spans="1:5" x14ac:dyDescent="0.25">
      <c r="A420">
        <v>108807</v>
      </c>
      <c r="B420" t="s">
        <v>95</v>
      </c>
      <c r="C420">
        <v>108807120</v>
      </c>
      <c r="D420" t="s">
        <v>1639</v>
      </c>
      <c r="E420" t="s">
        <v>1101</v>
      </c>
    </row>
    <row r="421" spans="1:5" x14ac:dyDescent="0.25">
      <c r="A421">
        <v>108807</v>
      </c>
      <c r="B421" t="s">
        <v>95</v>
      </c>
      <c r="C421">
        <v>108807121</v>
      </c>
      <c r="D421" t="s">
        <v>1640</v>
      </c>
      <c r="E421" t="s">
        <v>1101</v>
      </c>
    </row>
    <row r="422" spans="1:5" x14ac:dyDescent="0.25">
      <c r="A422">
        <v>108807</v>
      </c>
      <c r="B422" t="s">
        <v>95</v>
      </c>
      <c r="C422">
        <v>108807122</v>
      </c>
      <c r="D422" t="s">
        <v>1641</v>
      </c>
      <c r="E422" t="s">
        <v>1101</v>
      </c>
    </row>
    <row r="423" spans="1:5" x14ac:dyDescent="0.25">
      <c r="A423">
        <v>108807</v>
      </c>
      <c r="B423" t="s">
        <v>95</v>
      </c>
      <c r="C423">
        <v>108807123</v>
      </c>
      <c r="D423" t="s">
        <v>1642</v>
      </c>
      <c r="E423" t="s">
        <v>1101</v>
      </c>
    </row>
    <row r="424" spans="1:5" x14ac:dyDescent="0.25">
      <c r="A424">
        <v>108807</v>
      </c>
      <c r="B424" t="s">
        <v>95</v>
      </c>
      <c r="C424">
        <v>108807124</v>
      </c>
      <c r="D424" t="s">
        <v>1643</v>
      </c>
      <c r="E424" t="s">
        <v>1101</v>
      </c>
    </row>
    <row r="425" spans="1:5" x14ac:dyDescent="0.25">
      <c r="A425">
        <v>108807</v>
      </c>
      <c r="B425" t="s">
        <v>95</v>
      </c>
      <c r="C425">
        <v>108807125</v>
      </c>
      <c r="D425" t="s">
        <v>1644</v>
      </c>
      <c r="E425" t="s">
        <v>1101</v>
      </c>
    </row>
    <row r="426" spans="1:5" x14ac:dyDescent="0.25">
      <c r="A426">
        <v>108807</v>
      </c>
      <c r="B426" t="s">
        <v>95</v>
      </c>
      <c r="C426">
        <v>108807126</v>
      </c>
      <c r="D426" t="s">
        <v>1645</v>
      </c>
      <c r="E426" t="s">
        <v>1101</v>
      </c>
    </row>
    <row r="427" spans="1:5" x14ac:dyDescent="0.25">
      <c r="A427">
        <v>108807</v>
      </c>
      <c r="B427" t="s">
        <v>95</v>
      </c>
      <c r="C427">
        <v>108807127</v>
      </c>
      <c r="D427" t="s">
        <v>1646</v>
      </c>
      <c r="E427" t="s">
        <v>1101</v>
      </c>
    </row>
    <row r="428" spans="1:5" x14ac:dyDescent="0.25">
      <c r="A428">
        <v>108807</v>
      </c>
      <c r="B428" t="s">
        <v>95</v>
      </c>
      <c r="C428">
        <v>108807128</v>
      </c>
      <c r="D428" t="s">
        <v>1647</v>
      </c>
      <c r="E428" t="s">
        <v>1101</v>
      </c>
    </row>
    <row r="429" spans="1:5" x14ac:dyDescent="0.25">
      <c r="A429">
        <v>108807</v>
      </c>
      <c r="B429" t="s">
        <v>95</v>
      </c>
      <c r="C429">
        <v>108807129</v>
      </c>
      <c r="D429" t="s">
        <v>1648</v>
      </c>
      <c r="E429" t="s">
        <v>1101</v>
      </c>
    </row>
    <row r="430" spans="1:5" x14ac:dyDescent="0.25">
      <c r="A430">
        <v>108807</v>
      </c>
      <c r="B430" t="s">
        <v>95</v>
      </c>
      <c r="C430">
        <v>108807130</v>
      </c>
      <c r="D430" t="s">
        <v>1649</v>
      </c>
      <c r="E430" t="s">
        <v>1101</v>
      </c>
    </row>
    <row r="431" spans="1:5" x14ac:dyDescent="0.25">
      <c r="A431">
        <v>108807</v>
      </c>
      <c r="B431" t="s">
        <v>95</v>
      </c>
      <c r="C431">
        <v>108807135</v>
      </c>
      <c r="D431" t="s">
        <v>1650</v>
      </c>
      <c r="E431" t="s">
        <v>1101</v>
      </c>
    </row>
    <row r="432" spans="1:5" x14ac:dyDescent="0.25">
      <c r="A432">
        <v>108807</v>
      </c>
      <c r="B432" t="s">
        <v>95</v>
      </c>
      <c r="C432">
        <v>108807136</v>
      </c>
      <c r="D432" t="s">
        <v>1651</v>
      </c>
      <c r="E432" t="s">
        <v>1101</v>
      </c>
    </row>
    <row r="433" spans="1:5" x14ac:dyDescent="0.25">
      <c r="A433">
        <v>108807</v>
      </c>
      <c r="B433" t="s">
        <v>95</v>
      </c>
      <c r="C433">
        <v>108807137</v>
      </c>
      <c r="D433" t="s">
        <v>1652</v>
      </c>
      <c r="E433" t="s">
        <v>1101</v>
      </c>
    </row>
    <row r="434" spans="1:5" x14ac:dyDescent="0.25">
      <c r="A434">
        <v>108807</v>
      </c>
      <c r="B434" t="s">
        <v>95</v>
      </c>
      <c r="C434">
        <v>108807138</v>
      </c>
      <c r="D434" t="s">
        <v>1653</v>
      </c>
      <c r="E434" t="s">
        <v>1101</v>
      </c>
    </row>
    <row r="435" spans="1:5" x14ac:dyDescent="0.25">
      <c r="A435">
        <v>108807</v>
      </c>
      <c r="B435" t="s">
        <v>95</v>
      </c>
      <c r="C435">
        <v>108807139</v>
      </c>
      <c r="D435" t="s">
        <v>1654</v>
      </c>
      <c r="E435" t="s">
        <v>1101</v>
      </c>
    </row>
    <row r="436" spans="1:5" x14ac:dyDescent="0.25">
      <c r="A436">
        <v>108807</v>
      </c>
      <c r="B436" t="s">
        <v>95</v>
      </c>
      <c r="C436">
        <v>108807140</v>
      </c>
      <c r="D436" t="s">
        <v>1655</v>
      </c>
      <c r="E436" t="s">
        <v>1101</v>
      </c>
    </row>
    <row r="437" spans="1:5" x14ac:dyDescent="0.25">
      <c r="A437">
        <v>108807</v>
      </c>
      <c r="B437" t="s">
        <v>95</v>
      </c>
      <c r="C437">
        <v>108807183</v>
      </c>
      <c r="D437" t="s">
        <v>1656</v>
      </c>
      <c r="E437" t="s">
        <v>1101</v>
      </c>
    </row>
    <row r="438" spans="1:5" x14ac:dyDescent="0.25">
      <c r="A438">
        <v>108807</v>
      </c>
      <c r="B438" t="s">
        <v>95</v>
      </c>
      <c r="C438">
        <v>108807184</v>
      </c>
      <c r="D438" t="s">
        <v>1657</v>
      </c>
      <c r="E438" t="s">
        <v>1101</v>
      </c>
    </row>
    <row r="439" spans="1:5" x14ac:dyDescent="0.25">
      <c r="A439">
        <v>108807</v>
      </c>
      <c r="B439" t="s">
        <v>95</v>
      </c>
      <c r="C439">
        <v>108807185</v>
      </c>
      <c r="D439" t="s">
        <v>1658</v>
      </c>
      <c r="E439" t="s">
        <v>1101</v>
      </c>
    </row>
    <row r="440" spans="1:5" x14ac:dyDescent="0.25">
      <c r="A440">
        <v>108807</v>
      </c>
      <c r="B440" t="s">
        <v>95</v>
      </c>
      <c r="C440">
        <v>108807186</v>
      </c>
      <c r="D440" t="s">
        <v>1659</v>
      </c>
      <c r="E440" t="s">
        <v>1101</v>
      </c>
    </row>
    <row r="441" spans="1:5" x14ac:dyDescent="0.25">
      <c r="A441">
        <v>108807</v>
      </c>
      <c r="B441" t="s">
        <v>95</v>
      </c>
      <c r="C441">
        <v>108807187</v>
      </c>
      <c r="D441" t="s">
        <v>1660</v>
      </c>
      <c r="E441" t="s">
        <v>1101</v>
      </c>
    </row>
    <row r="442" spans="1:5" x14ac:dyDescent="0.25">
      <c r="A442">
        <v>108807</v>
      </c>
      <c r="B442" t="s">
        <v>95</v>
      </c>
      <c r="C442">
        <v>108807188</v>
      </c>
      <c r="D442" t="s">
        <v>1661</v>
      </c>
      <c r="E442" t="s">
        <v>1101</v>
      </c>
    </row>
    <row r="443" spans="1:5" x14ac:dyDescent="0.25">
      <c r="A443">
        <v>108807</v>
      </c>
      <c r="B443" t="s">
        <v>95</v>
      </c>
      <c r="C443">
        <v>108807189</v>
      </c>
      <c r="D443" t="s">
        <v>1662</v>
      </c>
      <c r="E443" t="s">
        <v>1101</v>
      </c>
    </row>
    <row r="444" spans="1:5" x14ac:dyDescent="0.25">
      <c r="A444">
        <v>108807</v>
      </c>
      <c r="B444" t="s">
        <v>95</v>
      </c>
      <c r="C444">
        <v>108807190</v>
      </c>
      <c r="D444" t="s">
        <v>1663</v>
      </c>
      <c r="E444" t="s">
        <v>1101</v>
      </c>
    </row>
    <row r="445" spans="1:5" x14ac:dyDescent="0.25">
      <c r="A445">
        <v>108807</v>
      </c>
      <c r="B445" t="s">
        <v>95</v>
      </c>
      <c r="C445">
        <v>108807191</v>
      </c>
      <c r="D445" t="s">
        <v>1664</v>
      </c>
      <c r="E445" t="s">
        <v>1101</v>
      </c>
    </row>
    <row r="446" spans="1:5" x14ac:dyDescent="0.25">
      <c r="A446">
        <v>108807</v>
      </c>
      <c r="B446" t="s">
        <v>95</v>
      </c>
      <c r="C446">
        <v>108807192</v>
      </c>
      <c r="D446" t="s">
        <v>1665</v>
      </c>
      <c r="E446" t="s">
        <v>1101</v>
      </c>
    </row>
    <row r="447" spans="1:5" x14ac:dyDescent="0.25">
      <c r="A447">
        <v>108807</v>
      </c>
      <c r="B447" t="s">
        <v>95</v>
      </c>
      <c r="C447">
        <v>108807193</v>
      </c>
      <c r="D447" t="s">
        <v>1666</v>
      </c>
      <c r="E447" t="s">
        <v>1101</v>
      </c>
    </row>
    <row r="448" spans="1:5" x14ac:dyDescent="0.25">
      <c r="A448">
        <v>108807</v>
      </c>
      <c r="B448" t="s">
        <v>95</v>
      </c>
      <c r="C448">
        <v>108807194</v>
      </c>
      <c r="D448" t="s">
        <v>1667</v>
      </c>
      <c r="E448" t="s">
        <v>1101</v>
      </c>
    </row>
    <row r="449" spans="1:5" x14ac:dyDescent="0.25">
      <c r="A449">
        <v>108807</v>
      </c>
      <c r="B449" t="s">
        <v>95</v>
      </c>
      <c r="C449">
        <v>108807195</v>
      </c>
      <c r="D449" t="s">
        <v>1668</v>
      </c>
      <c r="E449" t="s">
        <v>1101</v>
      </c>
    </row>
    <row r="450" spans="1:5" x14ac:dyDescent="0.25">
      <c r="A450">
        <v>108807</v>
      </c>
      <c r="B450" t="s">
        <v>95</v>
      </c>
      <c r="C450">
        <v>108807196</v>
      </c>
      <c r="D450" t="s">
        <v>1669</v>
      </c>
      <c r="E450" t="s">
        <v>1101</v>
      </c>
    </row>
    <row r="451" spans="1:5" x14ac:dyDescent="0.25">
      <c r="A451">
        <v>108807</v>
      </c>
      <c r="B451" t="s">
        <v>95</v>
      </c>
      <c r="C451">
        <v>108807197</v>
      </c>
      <c r="D451" t="s">
        <v>1670</v>
      </c>
      <c r="E451" t="s">
        <v>1101</v>
      </c>
    </row>
    <row r="452" spans="1:5" x14ac:dyDescent="0.25">
      <c r="A452">
        <v>108807</v>
      </c>
      <c r="B452" t="s">
        <v>95</v>
      </c>
      <c r="C452">
        <v>108807198</v>
      </c>
      <c r="D452" t="s">
        <v>1671</v>
      </c>
      <c r="E452" t="s">
        <v>1101</v>
      </c>
    </row>
    <row r="453" spans="1:5" x14ac:dyDescent="0.25">
      <c r="A453">
        <v>108807</v>
      </c>
      <c r="B453" t="s">
        <v>95</v>
      </c>
      <c r="C453">
        <v>108807199</v>
      </c>
      <c r="D453" t="s">
        <v>1672</v>
      </c>
      <c r="E453" t="s">
        <v>1101</v>
      </c>
    </row>
    <row r="454" spans="1:5" x14ac:dyDescent="0.25">
      <c r="A454">
        <v>108807</v>
      </c>
      <c r="B454" t="s">
        <v>95</v>
      </c>
      <c r="C454">
        <v>108807200</v>
      </c>
      <c r="D454" t="s">
        <v>1673</v>
      </c>
      <c r="E454" t="s">
        <v>1101</v>
      </c>
    </row>
    <row r="455" spans="1:5" x14ac:dyDescent="0.25">
      <c r="A455">
        <v>108807</v>
      </c>
      <c r="B455" t="s">
        <v>95</v>
      </c>
      <c r="C455">
        <v>108807201</v>
      </c>
      <c r="D455" t="s">
        <v>1674</v>
      </c>
      <c r="E455" t="s">
        <v>1101</v>
      </c>
    </row>
    <row r="456" spans="1:5" x14ac:dyDescent="0.25">
      <c r="A456">
        <v>108807</v>
      </c>
      <c r="B456" t="s">
        <v>95</v>
      </c>
      <c r="C456">
        <v>108807202</v>
      </c>
      <c r="D456" t="s">
        <v>1675</v>
      </c>
      <c r="E456" t="s">
        <v>1101</v>
      </c>
    </row>
    <row r="457" spans="1:5" x14ac:dyDescent="0.25">
      <c r="A457">
        <v>108807</v>
      </c>
      <c r="B457" t="s">
        <v>95</v>
      </c>
      <c r="C457">
        <v>108807203</v>
      </c>
      <c r="D457" t="s">
        <v>1676</v>
      </c>
      <c r="E457" t="s">
        <v>1101</v>
      </c>
    </row>
    <row r="458" spans="1:5" x14ac:dyDescent="0.25">
      <c r="A458">
        <v>108807</v>
      </c>
      <c r="B458" t="s">
        <v>95</v>
      </c>
      <c r="C458">
        <v>108807204</v>
      </c>
      <c r="D458" t="s">
        <v>1677</v>
      </c>
      <c r="E458" t="s">
        <v>1101</v>
      </c>
    </row>
    <row r="459" spans="1:5" x14ac:dyDescent="0.25">
      <c r="A459">
        <v>108807</v>
      </c>
      <c r="B459" t="s">
        <v>95</v>
      </c>
      <c r="C459">
        <v>108807205</v>
      </c>
      <c r="D459" t="s">
        <v>1678</v>
      </c>
      <c r="E459" t="s">
        <v>1101</v>
      </c>
    </row>
    <row r="460" spans="1:5" x14ac:dyDescent="0.25">
      <c r="A460">
        <v>108807</v>
      </c>
      <c r="B460" t="s">
        <v>95</v>
      </c>
      <c r="C460">
        <v>108807206</v>
      </c>
      <c r="D460" t="s">
        <v>1679</v>
      </c>
      <c r="E460" t="s">
        <v>1101</v>
      </c>
    </row>
    <row r="461" spans="1:5" x14ac:dyDescent="0.25">
      <c r="A461">
        <v>108807</v>
      </c>
      <c r="B461" t="s">
        <v>95</v>
      </c>
      <c r="C461">
        <v>108807207</v>
      </c>
      <c r="D461" t="s">
        <v>1680</v>
      </c>
      <c r="E461" t="s">
        <v>1101</v>
      </c>
    </row>
    <row r="462" spans="1:5" x14ac:dyDescent="0.25">
      <c r="A462">
        <v>108807</v>
      </c>
      <c r="B462" t="s">
        <v>95</v>
      </c>
      <c r="C462">
        <v>108807208</v>
      </c>
      <c r="D462" t="s">
        <v>1681</v>
      </c>
      <c r="E462" t="s">
        <v>1101</v>
      </c>
    </row>
    <row r="463" spans="1:5" x14ac:dyDescent="0.25">
      <c r="A463">
        <v>108807</v>
      </c>
      <c r="B463" t="s">
        <v>95</v>
      </c>
      <c r="C463">
        <v>108807300</v>
      </c>
      <c r="D463" t="s">
        <v>1682</v>
      </c>
      <c r="E463" t="s">
        <v>1101</v>
      </c>
    </row>
    <row r="464" spans="1:5" x14ac:dyDescent="0.25">
      <c r="A464">
        <v>108807</v>
      </c>
      <c r="B464" t="s">
        <v>95</v>
      </c>
      <c r="C464">
        <v>108807301</v>
      </c>
      <c r="D464" t="s">
        <v>1683</v>
      </c>
      <c r="E464" t="s">
        <v>1101</v>
      </c>
    </row>
    <row r="465" spans="1:5" x14ac:dyDescent="0.25">
      <c r="A465">
        <v>108807</v>
      </c>
      <c r="B465" t="s">
        <v>95</v>
      </c>
      <c r="C465">
        <v>108807302</v>
      </c>
      <c r="D465" t="s">
        <v>1684</v>
      </c>
      <c r="E465" t="s">
        <v>1101</v>
      </c>
    </row>
    <row r="466" spans="1:5" x14ac:dyDescent="0.25">
      <c r="A466">
        <v>108807</v>
      </c>
      <c r="B466" t="s">
        <v>95</v>
      </c>
      <c r="C466">
        <v>108807303</v>
      </c>
      <c r="D466" t="s">
        <v>1685</v>
      </c>
      <c r="E466" t="s">
        <v>1101</v>
      </c>
    </row>
    <row r="467" spans="1:5" x14ac:dyDescent="0.25">
      <c r="A467">
        <v>108807</v>
      </c>
      <c r="B467" t="s">
        <v>95</v>
      </c>
      <c r="C467">
        <v>108807304</v>
      </c>
      <c r="D467" t="s">
        <v>1686</v>
      </c>
      <c r="E467" t="s">
        <v>1101</v>
      </c>
    </row>
    <row r="468" spans="1:5" x14ac:dyDescent="0.25">
      <c r="A468">
        <v>108807</v>
      </c>
      <c r="B468" t="s">
        <v>95</v>
      </c>
      <c r="C468">
        <v>108807305</v>
      </c>
      <c r="D468" t="s">
        <v>1687</v>
      </c>
      <c r="E468" t="s">
        <v>1101</v>
      </c>
    </row>
    <row r="469" spans="1:5" x14ac:dyDescent="0.25">
      <c r="A469">
        <v>108807</v>
      </c>
      <c r="B469" t="s">
        <v>95</v>
      </c>
      <c r="C469">
        <v>108807306</v>
      </c>
      <c r="D469" t="s">
        <v>1688</v>
      </c>
      <c r="E469" t="s">
        <v>1101</v>
      </c>
    </row>
    <row r="470" spans="1:5" x14ac:dyDescent="0.25">
      <c r="A470">
        <v>108807</v>
      </c>
      <c r="B470" t="s">
        <v>95</v>
      </c>
      <c r="C470">
        <v>108807307</v>
      </c>
      <c r="D470" t="s">
        <v>1689</v>
      </c>
      <c r="E470" t="s">
        <v>1101</v>
      </c>
    </row>
    <row r="471" spans="1:5" x14ac:dyDescent="0.25">
      <c r="A471">
        <v>108807</v>
      </c>
      <c r="B471" t="s">
        <v>95</v>
      </c>
      <c r="C471">
        <v>108807308</v>
      </c>
      <c r="D471" t="s">
        <v>1690</v>
      </c>
      <c r="E471" t="s">
        <v>1101</v>
      </c>
    </row>
    <row r="472" spans="1:5" x14ac:dyDescent="0.25">
      <c r="A472">
        <v>123807</v>
      </c>
      <c r="B472" t="s">
        <v>355</v>
      </c>
      <c r="C472">
        <v>123807001</v>
      </c>
      <c r="D472" t="s">
        <v>355</v>
      </c>
      <c r="E472" t="s">
        <v>1101</v>
      </c>
    </row>
    <row r="473" spans="1:5" x14ac:dyDescent="0.25">
      <c r="A473">
        <v>123807</v>
      </c>
      <c r="B473" t="s">
        <v>355</v>
      </c>
      <c r="C473">
        <v>123807002</v>
      </c>
      <c r="D473" t="s">
        <v>1699</v>
      </c>
      <c r="E473" t="s">
        <v>1101</v>
      </c>
    </row>
    <row r="474" spans="1:5" x14ac:dyDescent="0.25">
      <c r="A474">
        <v>123807</v>
      </c>
      <c r="B474" t="s">
        <v>355</v>
      </c>
      <c r="C474">
        <v>123807101</v>
      </c>
      <c r="D474" t="s">
        <v>1700</v>
      </c>
      <c r="E474" t="s">
        <v>1101</v>
      </c>
    </row>
    <row r="475" spans="1:5" x14ac:dyDescent="0.25">
      <c r="A475">
        <v>123807</v>
      </c>
      <c r="B475" t="s">
        <v>355</v>
      </c>
      <c r="C475">
        <v>123807102</v>
      </c>
      <c r="D475" t="s">
        <v>1701</v>
      </c>
      <c r="E475" t="s">
        <v>1101</v>
      </c>
    </row>
    <row r="476" spans="1:5" x14ac:dyDescent="0.25">
      <c r="A476">
        <v>161807</v>
      </c>
      <c r="B476" t="s">
        <v>759</v>
      </c>
      <c r="C476">
        <v>161807001</v>
      </c>
      <c r="D476" t="s">
        <v>358</v>
      </c>
      <c r="E476" t="s">
        <v>1101</v>
      </c>
    </row>
    <row r="477" spans="1:5" x14ac:dyDescent="0.25">
      <c r="A477">
        <v>161807</v>
      </c>
      <c r="B477" t="s">
        <v>759</v>
      </c>
      <c r="C477">
        <v>161807002</v>
      </c>
      <c r="D477" t="s">
        <v>1708</v>
      </c>
      <c r="E477" t="s">
        <v>1101</v>
      </c>
    </row>
    <row r="478" spans="1:5" x14ac:dyDescent="0.25">
      <c r="A478">
        <v>161807</v>
      </c>
      <c r="B478" t="s">
        <v>759</v>
      </c>
      <c r="C478">
        <v>161807003</v>
      </c>
      <c r="D478" t="s">
        <v>1709</v>
      </c>
      <c r="E478" t="s">
        <v>1101</v>
      </c>
    </row>
    <row r="479" spans="1:5" x14ac:dyDescent="0.25">
      <c r="A479">
        <v>161807</v>
      </c>
      <c r="B479" t="s">
        <v>759</v>
      </c>
      <c r="C479">
        <v>161807004</v>
      </c>
      <c r="D479" t="s">
        <v>1710</v>
      </c>
      <c r="E479" t="s">
        <v>1101</v>
      </c>
    </row>
    <row r="480" spans="1:5" x14ac:dyDescent="0.25">
      <c r="A480">
        <v>161807</v>
      </c>
      <c r="B480" t="s">
        <v>759</v>
      </c>
      <c r="C480">
        <v>161807005</v>
      </c>
      <c r="D480" t="s">
        <v>1711</v>
      </c>
      <c r="E480" t="s">
        <v>1101</v>
      </c>
    </row>
    <row r="481" spans="1:5" x14ac:dyDescent="0.25">
      <c r="A481">
        <v>161807</v>
      </c>
      <c r="B481" t="s">
        <v>759</v>
      </c>
      <c r="C481">
        <v>161807006</v>
      </c>
      <c r="D481" t="s">
        <v>1712</v>
      </c>
      <c r="E481" t="s">
        <v>1101</v>
      </c>
    </row>
    <row r="482" spans="1:5" x14ac:dyDescent="0.25">
      <c r="A482">
        <v>161807</v>
      </c>
      <c r="B482" t="s">
        <v>759</v>
      </c>
      <c r="C482">
        <v>161807007</v>
      </c>
      <c r="D482" t="s">
        <v>1713</v>
      </c>
      <c r="E482" t="s">
        <v>1101</v>
      </c>
    </row>
    <row r="483" spans="1:5" x14ac:dyDescent="0.25">
      <c r="A483">
        <v>161807</v>
      </c>
      <c r="B483" t="s">
        <v>759</v>
      </c>
      <c r="C483">
        <v>161807008</v>
      </c>
      <c r="D483" t="s">
        <v>1714</v>
      </c>
      <c r="E483" t="s">
        <v>1101</v>
      </c>
    </row>
    <row r="484" spans="1:5" x14ac:dyDescent="0.25">
      <c r="A484">
        <v>161807</v>
      </c>
      <c r="B484" t="s">
        <v>759</v>
      </c>
      <c r="C484">
        <v>161807009</v>
      </c>
      <c r="D484" t="s">
        <v>1715</v>
      </c>
      <c r="E484" t="s">
        <v>1101</v>
      </c>
    </row>
    <row r="485" spans="1:5" x14ac:dyDescent="0.25">
      <c r="A485">
        <v>161807</v>
      </c>
      <c r="B485" t="s">
        <v>759</v>
      </c>
      <c r="C485">
        <v>161807010</v>
      </c>
      <c r="D485" t="s">
        <v>1716</v>
      </c>
      <c r="E485" t="s">
        <v>1101</v>
      </c>
    </row>
    <row r="486" spans="1:5" x14ac:dyDescent="0.25">
      <c r="A486">
        <v>161807</v>
      </c>
      <c r="B486" t="s">
        <v>759</v>
      </c>
      <c r="C486">
        <v>161807011</v>
      </c>
      <c r="D486" t="s">
        <v>1717</v>
      </c>
      <c r="E486" t="s">
        <v>1101</v>
      </c>
    </row>
    <row r="487" spans="1:5" x14ac:dyDescent="0.25">
      <c r="A487">
        <v>161807</v>
      </c>
      <c r="B487" t="s">
        <v>759</v>
      </c>
      <c r="C487">
        <v>161807012</v>
      </c>
      <c r="D487" t="s">
        <v>1718</v>
      </c>
      <c r="E487" t="s">
        <v>1101</v>
      </c>
    </row>
    <row r="488" spans="1:5" x14ac:dyDescent="0.25">
      <c r="A488">
        <v>161807</v>
      </c>
      <c r="B488" t="s">
        <v>759</v>
      </c>
      <c r="C488">
        <v>161807013</v>
      </c>
      <c r="D488" t="s">
        <v>1719</v>
      </c>
      <c r="E488" t="s">
        <v>1101</v>
      </c>
    </row>
    <row r="489" spans="1:5" x14ac:dyDescent="0.25">
      <c r="A489">
        <v>161807</v>
      </c>
      <c r="B489" t="s">
        <v>759</v>
      </c>
      <c r="C489">
        <v>161807014</v>
      </c>
      <c r="D489" t="s">
        <v>1720</v>
      </c>
      <c r="E489" t="s">
        <v>1101</v>
      </c>
    </row>
    <row r="490" spans="1:5" x14ac:dyDescent="0.25">
      <c r="A490">
        <v>161807</v>
      </c>
      <c r="B490" t="s">
        <v>759</v>
      </c>
      <c r="C490">
        <v>161807015</v>
      </c>
      <c r="D490" t="s">
        <v>1721</v>
      </c>
      <c r="E490" t="s">
        <v>1101</v>
      </c>
    </row>
    <row r="491" spans="1:5" x14ac:dyDescent="0.25">
      <c r="A491">
        <v>161807</v>
      </c>
      <c r="B491" t="s">
        <v>759</v>
      </c>
      <c r="C491">
        <v>161807016</v>
      </c>
      <c r="D491" t="s">
        <v>1722</v>
      </c>
      <c r="E491" t="s">
        <v>1101</v>
      </c>
    </row>
    <row r="492" spans="1:5" x14ac:dyDescent="0.25">
      <c r="A492">
        <v>178807</v>
      </c>
      <c r="B492" t="s">
        <v>68</v>
      </c>
      <c r="C492">
        <v>178807101</v>
      </c>
      <c r="D492" t="s">
        <v>68</v>
      </c>
      <c r="E492" t="s">
        <v>1101</v>
      </c>
    </row>
    <row r="493" spans="1:5" x14ac:dyDescent="0.25">
      <c r="A493">
        <v>15808</v>
      </c>
      <c r="B493" t="s">
        <v>438</v>
      </c>
      <c r="C493">
        <v>15808003</v>
      </c>
      <c r="D493" t="s">
        <v>1140</v>
      </c>
      <c r="E493" t="s">
        <v>1103</v>
      </c>
    </row>
    <row r="494" spans="1:5" x14ac:dyDescent="0.25">
      <c r="A494">
        <v>15808</v>
      </c>
      <c r="B494" t="s">
        <v>438</v>
      </c>
      <c r="C494">
        <v>15808007</v>
      </c>
      <c r="D494" t="s">
        <v>1141</v>
      </c>
      <c r="E494" t="s">
        <v>1103</v>
      </c>
    </row>
    <row r="495" spans="1:5" x14ac:dyDescent="0.25">
      <c r="A495">
        <v>15808</v>
      </c>
      <c r="B495" t="s">
        <v>438</v>
      </c>
      <c r="C495">
        <v>15808009</v>
      </c>
      <c r="D495" t="s">
        <v>1142</v>
      </c>
      <c r="E495" t="s">
        <v>1101</v>
      </c>
    </row>
    <row r="496" spans="1:5" x14ac:dyDescent="0.25">
      <c r="A496">
        <v>15808</v>
      </c>
      <c r="B496" t="s">
        <v>438</v>
      </c>
      <c r="C496">
        <v>15808012</v>
      </c>
      <c r="D496" t="s">
        <v>1143</v>
      </c>
      <c r="E496" t="s">
        <v>1103</v>
      </c>
    </row>
    <row r="497" spans="1:5" x14ac:dyDescent="0.25">
      <c r="A497">
        <v>15808</v>
      </c>
      <c r="B497" t="s">
        <v>438</v>
      </c>
      <c r="C497">
        <v>15808014</v>
      </c>
      <c r="D497" t="s">
        <v>1144</v>
      </c>
      <c r="E497" t="s">
        <v>1103</v>
      </c>
    </row>
    <row r="498" spans="1:5" x14ac:dyDescent="0.25">
      <c r="A498">
        <v>15808</v>
      </c>
      <c r="B498" t="s">
        <v>438</v>
      </c>
      <c r="C498">
        <v>15808016</v>
      </c>
      <c r="D498" t="s">
        <v>1145</v>
      </c>
      <c r="E498" t="s">
        <v>1103</v>
      </c>
    </row>
    <row r="499" spans="1:5" x14ac:dyDescent="0.25">
      <c r="A499">
        <v>57808</v>
      </c>
      <c r="B499" t="s">
        <v>42</v>
      </c>
      <c r="C499">
        <v>57808101</v>
      </c>
      <c r="D499" t="s">
        <v>42</v>
      </c>
      <c r="E499" t="s">
        <v>1101</v>
      </c>
    </row>
    <row r="500" spans="1:5" x14ac:dyDescent="0.25">
      <c r="A500">
        <v>57808</v>
      </c>
      <c r="B500" t="s">
        <v>42</v>
      </c>
      <c r="C500">
        <v>57808102</v>
      </c>
      <c r="D500" t="s">
        <v>1307</v>
      </c>
      <c r="E500" t="s">
        <v>1101</v>
      </c>
    </row>
    <row r="501" spans="1:5" x14ac:dyDescent="0.25">
      <c r="A501">
        <v>108808</v>
      </c>
      <c r="B501" t="s">
        <v>88</v>
      </c>
      <c r="C501">
        <v>108808101</v>
      </c>
      <c r="D501" t="s">
        <v>1691</v>
      </c>
      <c r="E501" t="s">
        <v>1101</v>
      </c>
    </row>
    <row r="502" spans="1:5" x14ac:dyDescent="0.25">
      <c r="A502">
        <v>108808</v>
      </c>
      <c r="B502" t="s">
        <v>88</v>
      </c>
      <c r="C502">
        <v>108808103</v>
      </c>
      <c r="D502" t="s">
        <v>1692</v>
      </c>
      <c r="E502" t="s">
        <v>1101</v>
      </c>
    </row>
    <row r="503" spans="1:5" x14ac:dyDescent="0.25">
      <c r="A503">
        <v>108808</v>
      </c>
      <c r="B503" t="s">
        <v>88</v>
      </c>
      <c r="C503">
        <v>108808104</v>
      </c>
      <c r="D503" t="s">
        <v>1693</v>
      </c>
      <c r="E503" t="s">
        <v>1101</v>
      </c>
    </row>
    <row r="504" spans="1:5" x14ac:dyDescent="0.25">
      <c r="A504">
        <v>108808</v>
      </c>
      <c r="B504" t="s">
        <v>88</v>
      </c>
      <c r="C504">
        <v>108808105</v>
      </c>
      <c r="D504" t="s">
        <v>1694</v>
      </c>
      <c r="E504" t="s">
        <v>1101</v>
      </c>
    </row>
    <row r="505" spans="1:5" x14ac:dyDescent="0.25">
      <c r="A505">
        <v>108808</v>
      </c>
      <c r="B505" t="s">
        <v>88</v>
      </c>
      <c r="C505">
        <v>108808106</v>
      </c>
      <c r="D505" t="s">
        <v>1695</v>
      </c>
      <c r="E505" t="s">
        <v>1101</v>
      </c>
    </row>
    <row r="506" spans="1:5" x14ac:dyDescent="0.25">
      <c r="A506">
        <v>178808</v>
      </c>
      <c r="B506" t="s">
        <v>99</v>
      </c>
      <c r="C506">
        <v>178808041</v>
      </c>
      <c r="D506" t="s">
        <v>1723</v>
      </c>
      <c r="E506" t="s">
        <v>1101</v>
      </c>
    </row>
    <row r="507" spans="1:5" x14ac:dyDescent="0.25">
      <c r="A507">
        <v>178808</v>
      </c>
      <c r="B507" t="s">
        <v>99</v>
      </c>
      <c r="C507">
        <v>178808101</v>
      </c>
      <c r="D507" t="s">
        <v>1724</v>
      </c>
      <c r="E507" t="s">
        <v>1101</v>
      </c>
    </row>
    <row r="508" spans="1:5" x14ac:dyDescent="0.25">
      <c r="A508">
        <v>15809</v>
      </c>
      <c r="B508" t="s">
        <v>37</v>
      </c>
      <c r="C508">
        <v>15809101</v>
      </c>
      <c r="D508" t="s">
        <v>37</v>
      </c>
      <c r="E508" t="s">
        <v>1101</v>
      </c>
    </row>
    <row r="509" spans="1:5" x14ac:dyDescent="0.25">
      <c r="A509">
        <v>57809</v>
      </c>
      <c r="B509" t="s">
        <v>325</v>
      </c>
      <c r="C509">
        <v>57809101</v>
      </c>
      <c r="D509" t="s">
        <v>325</v>
      </c>
      <c r="E509" t="s">
        <v>1101</v>
      </c>
    </row>
    <row r="510" spans="1:5" x14ac:dyDescent="0.25">
      <c r="A510">
        <v>71809</v>
      </c>
      <c r="B510" t="s">
        <v>338</v>
      </c>
      <c r="C510">
        <v>71809001</v>
      </c>
      <c r="D510" t="s">
        <v>338</v>
      </c>
      <c r="E510" t="s">
        <v>1101</v>
      </c>
    </row>
    <row r="511" spans="1:5" x14ac:dyDescent="0.25">
      <c r="A511">
        <v>108809</v>
      </c>
      <c r="B511" t="s">
        <v>116</v>
      </c>
      <c r="C511">
        <v>108809001</v>
      </c>
      <c r="D511" t="s">
        <v>116</v>
      </c>
      <c r="E511" t="s">
        <v>1101</v>
      </c>
    </row>
    <row r="512" spans="1:5" x14ac:dyDescent="0.25">
      <c r="A512">
        <v>220809</v>
      </c>
      <c r="B512" t="s">
        <v>77</v>
      </c>
      <c r="C512">
        <v>220809001</v>
      </c>
      <c r="D512" t="s">
        <v>77</v>
      </c>
      <c r="E512" t="s">
        <v>1101</v>
      </c>
    </row>
    <row r="513" spans="1:5" x14ac:dyDescent="0.25">
      <c r="A513">
        <v>220809</v>
      </c>
      <c r="B513" t="s">
        <v>77</v>
      </c>
      <c r="C513">
        <v>220809101</v>
      </c>
      <c r="D513" t="s">
        <v>1740</v>
      </c>
      <c r="E513" t="s">
        <v>1101</v>
      </c>
    </row>
    <row r="514" spans="1:5" x14ac:dyDescent="0.25">
      <c r="A514">
        <v>57810</v>
      </c>
      <c r="B514" t="s">
        <v>20</v>
      </c>
      <c r="C514">
        <v>57810101</v>
      </c>
      <c r="D514" t="s">
        <v>20</v>
      </c>
      <c r="E514" t="s">
        <v>1101</v>
      </c>
    </row>
    <row r="515" spans="1:5" x14ac:dyDescent="0.25">
      <c r="A515">
        <v>71810</v>
      </c>
      <c r="B515" t="s">
        <v>339</v>
      </c>
      <c r="C515">
        <v>71810001</v>
      </c>
      <c r="D515" t="s">
        <v>339</v>
      </c>
      <c r="E515" t="s">
        <v>1101</v>
      </c>
    </row>
    <row r="516" spans="1:5" x14ac:dyDescent="0.25">
      <c r="A516">
        <v>71810</v>
      </c>
      <c r="B516" t="s">
        <v>339</v>
      </c>
      <c r="C516">
        <v>71810002</v>
      </c>
      <c r="D516" t="s">
        <v>1408</v>
      </c>
      <c r="E516" t="s">
        <v>1101</v>
      </c>
    </row>
    <row r="517" spans="1:5" x14ac:dyDescent="0.25">
      <c r="A517">
        <v>71810</v>
      </c>
      <c r="B517" t="s">
        <v>339</v>
      </c>
      <c r="C517">
        <v>71810003</v>
      </c>
      <c r="D517" t="s">
        <v>1409</v>
      </c>
      <c r="E517" t="s">
        <v>1101</v>
      </c>
    </row>
    <row r="518" spans="1:5" x14ac:dyDescent="0.25">
      <c r="A518">
        <v>101810</v>
      </c>
      <c r="B518" t="s">
        <v>342</v>
      </c>
      <c r="C518">
        <v>101810002</v>
      </c>
      <c r="D518" t="s">
        <v>1474</v>
      </c>
      <c r="E518" t="s">
        <v>1103</v>
      </c>
    </row>
    <row r="519" spans="1:5" x14ac:dyDescent="0.25">
      <c r="A519">
        <v>220810</v>
      </c>
      <c r="B519" t="s">
        <v>0</v>
      </c>
      <c r="C519">
        <v>220810001</v>
      </c>
      <c r="D519" t="s">
        <v>1741</v>
      </c>
      <c r="E519" t="s">
        <v>1101</v>
      </c>
    </row>
    <row r="520" spans="1:5" x14ac:dyDescent="0.25">
      <c r="A520">
        <v>101811</v>
      </c>
      <c r="B520" t="s">
        <v>343</v>
      </c>
      <c r="C520">
        <v>101811001</v>
      </c>
      <c r="D520" t="s">
        <v>1475</v>
      </c>
      <c r="E520" t="s">
        <v>1103</v>
      </c>
    </row>
    <row r="521" spans="1:5" x14ac:dyDescent="0.25">
      <c r="A521">
        <v>101811</v>
      </c>
      <c r="B521" t="s">
        <v>343</v>
      </c>
      <c r="C521">
        <v>101811004</v>
      </c>
      <c r="D521" t="s">
        <v>1476</v>
      </c>
      <c r="E521" t="s">
        <v>1103</v>
      </c>
    </row>
    <row r="522" spans="1:5" x14ac:dyDescent="0.25">
      <c r="A522">
        <v>101811</v>
      </c>
      <c r="B522" t="s">
        <v>343</v>
      </c>
      <c r="C522">
        <v>101811006</v>
      </c>
      <c r="D522" t="s">
        <v>1477</v>
      </c>
      <c r="E522" t="s">
        <v>1103</v>
      </c>
    </row>
    <row r="523" spans="1:5" x14ac:dyDescent="0.25">
      <c r="A523">
        <v>101811</v>
      </c>
      <c r="B523" t="s">
        <v>343</v>
      </c>
      <c r="C523">
        <v>101811008</v>
      </c>
      <c r="D523" t="s">
        <v>1478</v>
      </c>
      <c r="E523" t="s">
        <v>1103</v>
      </c>
    </row>
    <row r="524" spans="1:5" x14ac:dyDescent="0.25">
      <c r="A524">
        <v>220811</v>
      </c>
      <c r="B524" t="s">
        <v>62</v>
      </c>
      <c r="C524">
        <v>220811101</v>
      </c>
      <c r="D524" t="s">
        <v>62</v>
      </c>
      <c r="E524" t="s">
        <v>1101</v>
      </c>
    </row>
    <row r="525" spans="1:5" x14ac:dyDescent="0.25">
      <c r="A525">
        <v>57813</v>
      </c>
      <c r="B525" t="s">
        <v>21</v>
      </c>
      <c r="C525">
        <v>57813101</v>
      </c>
      <c r="D525" t="s">
        <v>21</v>
      </c>
      <c r="E525" t="s">
        <v>1101</v>
      </c>
    </row>
    <row r="526" spans="1:5" x14ac:dyDescent="0.25">
      <c r="A526">
        <v>57813</v>
      </c>
      <c r="B526" t="s">
        <v>21</v>
      </c>
      <c r="C526">
        <v>57813104</v>
      </c>
      <c r="D526" t="s">
        <v>21</v>
      </c>
      <c r="E526" t="s">
        <v>1101</v>
      </c>
    </row>
    <row r="527" spans="1:5" x14ac:dyDescent="0.25">
      <c r="A527">
        <v>57813</v>
      </c>
      <c r="B527" t="s">
        <v>21</v>
      </c>
      <c r="C527">
        <v>57813105</v>
      </c>
      <c r="D527" t="s">
        <v>1308</v>
      </c>
      <c r="E527" t="s">
        <v>1101</v>
      </c>
    </row>
    <row r="528" spans="1:5" x14ac:dyDescent="0.25">
      <c r="A528">
        <v>15814</v>
      </c>
      <c r="B528" t="s">
        <v>39</v>
      </c>
      <c r="C528">
        <v>15814001</v>
      </c>
      <c r="D528" t="s">
        <v>1146</v>
      </c>
      <c r="E528" t="s">
        <v>1103</v>
      </c>
    </row>
    <row r="529" spans="1:5" x14ac:dyDescent="0.25">
      <c r="A529">
        <v>57814</v>
      </c>
      <c r="B529" t="s">
        <v>326</v>
      </c>
      <c r="C529">
        <v>57814001</v>
      </c>
      <c r="D529" t="s">
        <v>1309</v>
      </c>
      <c r="E529" t="s">
        <v>1103</v>
      </c>
    </row>
    <row r="530" spans="1:5" x14ac:dyDescent="0.25">
      <c r="A530">
        <v>57814</v>
      </c>
      <c r="B530" t="s">
        <v>326</v>
      </c>
      <c r="C530">
        <v>57814002</v>
      </c>
      <c r="D530" t="s">
        <v>1310</v>
      </c>
      <c r="E530" t="s">
        <v>1103</v>
      </c>
    </row>
    <row r="531" spans="1:5" x14ac:dyDescent="0.25">
      <c r="A531">
        <v>57814</v>
      </c>
      <c r="B531" t="s">
        <v>326</v>
      </c>
      <c r="C531">
        <v>57814003</v>
      </c>
      <c r="D531" t="s">
        <v>1311</v>
      </c>
      <c r="E531" t="s">
        <v>1103</v>
      </c>
    </row>
    <row r="532" spans="1:5" x14ac:dyDescent="0.25">
      <c r="A532">
        <v>57814</v>
      </c>
      <c r="B532" t="s">
        <v>326</v>
      </c>
      <c r="C532">
        <v>57814005</v>
      </c>
      <c r="D532" t="s">
        <v>1312</v>
      </c>
      <c r="E532" t="s">
        <v>1103</v>
      </c>
    </row>
    <row r="533" spans="1:5" x14ac:dyDescent="0.25">
      <c r="A533">
        <v>101814</v>
      </c>
      <c r="B533" t="s">
        <v>344</v>
      </c>
      <c r="C533">
        <v>101814101</v>
      </c>
      <c r="D533" t="s">
        <v>1479</v>
      </c>
      <c r="E533" t="s">
        <v>1101</v>
      </c>
    </row>
    <row r="534" spans="1:5" x14ac:dyDescent="0.25">
      <c r="A534">
        <v>101814</v>
      </c>
      <c r="B534" t="s">
        <v>344</v>
      </c>
      <c r="C534">
        <v>101814102</v>
      </c>
      <c r="D534" t="s">
        <v>1480</v>
      </c>
      <c r="E534" t="s">
        <v>1101</v>
      </c>
    </row>
    <row r="535" spans="1:5" x14ac:dyDescent="0.25">
      <c r="A535">
        <v>101814</v>
      </c>
      <c r="B535" t="s">
        <v>344</v>
      </c>
      <c r="C535">
        <v>101814103</v>
      </c>
      <c r="D535" t="s">
        <v>1481</v>
      </c>
      <c r="E535" t="s">
        <v>1101</v>
      </c>
    </row>
    <row r="536" spans="1:5" x14ac:dyDescent="0.25">
      <c r="A536">
        <v>220814</v>
      </c>
      <c r="B536" t="s">
        <v>360</v>
      </c>
      <c r="C536">
        <v>220814101</v>
      </c>
      <c r="D536" t="s">
        <v>360</v>
      </c>
      <c r="E536" t="s">
        <v>1101</v>
      </c>
    </row>
    <row r="537" spans="1:5" x14ac:dyDescent="0.25">
      <c r="A537">
        <v>227814</v>
      </c>
      <c r="B537" t="s">
        <v>92</v>
      </c>
      <c r="C537">
        <v>227814001</v>
      </c>
      <c r="D537" t="s">
        <v>92</v>
      </c>
      <c r="E537" t="s">
        <v>1101</v>
      </c>
    </row>
    <row r="538" spans="1:5" x14ac:dyDescent="0.25">
      <c r="A538">
        <v>15815</v>
      </c>
      <c r="B538" t="s">
        <v>386</v>
      </c>
      <c r="C538">
        <v>15815001</v>
      </c>
      <c r="D538" t="s">
        <v>1147</v>
      </c>
      <c r="E538" t="s">
        <v>1103</v>
      </c>
    </row>
    <row r="539" spans="1:5" x14ac:dyDescent="0.25">
      <c r="A539">
        <v>15815</v>
      </c>
      <c r="B539" t="s">
        <v>386</v>
      </c>
      <c r="C539">
        <v>15815041</v>
      </c>
      <c r="D539" t="s">
        <v>1148</v>
      </c>
      <c r="E539" t="s">
        <v>1103</v>
      </c>
    </row>
    <row r="540" spans="1:5" x14ac:dyDescent="0.25">
      <c r="A540">
        <v>15815</v>
      </c>
      <c r="B540" t="s">
        <v>386</v>
      </c>
      <c r="C540">
        <v>15815042</v>
      </c>
      <c r="D540" t="s">
        <v>1149</v>
      </c>
      <c r="E540" t="s">
        <v>1103</v>
      </c>
    </row>
    <row r="541" spans="1:5" x14ac:dyDescent="0.25">
      <c r="A541">
        <v>15815</v>
      </c>
      <c r="B541" t="s">
        <v>386</v>
      </c>
      <c r="C541">
        <v>15815101</v>
      </c>
      <c r="D541" t="s">
        <v>386</v>
      </c>
      <c r="E541" t="s">
        <v>1103</v>
      </c>
    </row>
    <row r="542" spans="1:5" x14ac:dyDescent="0.25">
      <c r="A542">
        <v>15815</v>
      </c>
      <c r="B542" t="s">
        <v>386</v>
      </c>
      <c r="C542">
        <v>15815104</v>
      </c>
      <c r="D542" t="s">
        <v>1150</v>
      </c>
      <c r="E542" t="s">
        <v>1103</v>
      </c>
    </row>
    <row r="543" spans="1:5" x14ac:dyDescent="0.25">
      <c r="A543">
        <v>101815</v>
      </c>
      <c r="B543" t="s">
        <v>52</v>
      </c>
      <c r="C543">
        <v>101815101</v>
      </c>
      <c r="D543" t="s">
        <v>52</v>
      </c>
      <c r="E543" t="s">
        <v>1101</v>
      </c>
    </row>
    <row r="544" spans="1:5" x14ac:dyDescent="0.25">
      <c r="A544">
        <v>220815</v>
      </c>
      <c r="B544" t="s">
        <v>361</v>
      </c>
      <c r="C544">
        <v>220815101</v>
      </c>
      <c r="D544" t="s">
        <v>361</v>
      </c>
      <c r="E544" t="s">
        <v>1101</v>
      </c>
    </row>
    <row r="545" spans="1:5" x14ac:dyDescent="0.25">
      <c r="A545">
        <v>57816</v>
      </c>
      <c r="B545" t="s">
        <v>425</v>
      </c>
      <c r="C545">
        <v>57816101</v>
      </c>
      <c r="D545" t="s">
        <v>1313</v>
      </c>
      <c r="E545" t="s">
        <v>1101</v>
      </c>
    </row>
    <row r="546" spans="1:5" x14ac:dyDescent="0.25">
      <c r="A546">
        <v>57816</v>
      </c>
      <c r="B546" t="s">
        <v>425</v>
      </c>
      <c r="C546">
        <v>57816102</v>
      </c>
      <c r="D546" t="s">
        <v>1314</v>
      </c>
      <c r="E546" t="s">
        <v>1101</v>
      </c>
    </row>
    <row r="547" spans="1:5" x14ac:dyDescent="0.25">
      <c r="A547">
        <v>227816</v>
      </c>
      <c r="B547" t="s">
        <v>760</v>
      </c>
      <c r="C547">
        <v>227816001</v>
      </c>
      <c r="D547" t="s">
        <v>1822</v>
      </c>
      <c r="E547" t="s">
        <v>1101</v>
      </c>
    </row>
    <row r="548" spans="1:5" x14ac:dyDescent="0.25">
      <c r="A548">
        <v>227816</v>
      </c>
      <c r="B548" t="s">
        <v>760</v>
      </c>
      <c r="C548">
        <v>227816002</v>
      </c>
      <c r="D548" t="s">
        <v>1823</v>
      </c>
      <c r="E548" t="s">
        <v>1101</v>
      </c>
    </row>
    <row r="549" spans="1:5" x14ac:dyDescent="0.25">
      <c r="A549">
        <v>227816</v>
      </c>
      <c r="B549" t="s">
        <v>760</v>
      </c>
      <c r="C549">
        <v>227816003</v>
      </c>
      <c r="D549" t="s">
        <v>1824</v>
      </c>
      <c r="E549" t="s">
        <v>1101</v>
      </c>
    </row>
    <row r="550" spans="1:5" x14ac:dyDescent="0.25">
      <c r="A550">
        <v>227816</v>
      </c>
      <c r="B550" t="s">
        <v>760</v>
      </c>
      <c r="C550">
        <v>227816004</v>
      </c>
      <c r="D550" t="s">
        <v>1825</v>
      </c>
      <c r="E550" t="s">
        <v>1101</v>
      </c>
    </row>
    <row r="551" spans="1:5" x14ac:dyDescent="0.25">
      <c r="A551">
        <v>227816</v>
      </c>
      <c r="B551" t="s">
        <v>760</v>
      </c>
      <c r="C551">
        <v>227816005</v>
      </c>
      <c r="D551" t="s">
        <v>1826</v>
      </c>
      <c r="E551" t="s">
        <v>1101</v>
      </c>
    </row>
    <row r="552" spans="1:5" x14ac:dyDescent="0.25">
      <c r="A552">
        <v>227816</v>
      </c>
      <c r="B552" t="s">
        <v>760</v>
      </c>
      <c r="C552">
        <v>227816006</v>
      </c>
      <c r="D552" t="s">
        <v>1827</v>
      </c>
      <c r="E552" t="s">
        <v>1101</v>
      </c>
    </row>
    <row r="553" spans="1:5" x14ac:dyDescent="0.25">
      <c r="A553">
        <v>227816</v>
      </c>
      <c r="B553" t="s">
        <v>760</v>
      </c>
      <c r="C553">
        <v>227816101</v>
      </c>
      <c r="D553" t="s">
        <v>1828</v>
      </c>
      <c r="E553" t="s">
        <v>1101</v>
      </c>
    </row>
    <row r="554" spans="1:5" x14ac:dyDescent="0.25">
      <c r="A554">
        <v>220817</v>
      </c>
      <c r="B554" t="s">
        <v>362</v>
      </c>
      <c r="C554">
        <v>220817001</v>
      </c>
      <c r="D554" t="s">
        <v>362</v>
      </c>
      <c r="E554" t="s">
        <v>1101</v>
      </c>
    </row>
    <row r="555" spans="1:5" x14ac:dyDescent="0.25">
      <c r="A555">
        <v>220817</v>
      </c>
      <c r="B555" t="s">
        <v>362</v>
      </c>
      <c r="C555">
        <v>220817002</v>
      </c>
      <c r="D555" t="s">
        <v>1742</v>
      </c>
      <c r="E555" t="s">
        <v>1101</v>
      </c>
    </row>
    <row r="556" spans="1:5" x14ac:dyDescent="0.25">
      <c r="A556">
        <v>220817</v>
      </c>
      <c r="B556" t="s">
        <v>362</v>
      </c>
      <c r="C556">
        <v>220817003</v>
      </c>
      <c r="D556" t="s">
        <v>1743</v>
      </c>
      <c r="E556" t="s">
        <v>1101</v>
      </c>
    </row>
    <row r="557" spans="1:5" x14ac:dyDescent="0.25">
      <c r="A557">
        <v>220817</v>
      </c>
      <c r="B557" t="s">
        <v>362</v>
      </c>
      <c r="C557">
        <v>220817004</v>
      </c>
      <c r="D557" t="s">
        <v>1744</v>
      </c>
      <c r="E557" t="s">
        <v>1101</v>
      </c>
    </row>
    <row r="558" spans="1:5" x14ac:dyDescent="0.25">
      <c r="A558">
        <v>220817</v>
      </c>
      <c r="B558" t="s">
        <v>362</v>
      </c>
      <c r="C558">
        <v>220817005</v>
      </c>
      <c r="D558" t="s">
        <v>1745</v>
      </c>
      <c r="E558" t="s">
        <v>1101</v>
      </c>
    </row>
    <row r="559" spans="1:5" x14ac:dyDescent="0.25">
      <c r="A559">
        <v>220817</v>
      </c>
      <c r="B559" t="s">
        <v>362</v>
      </c>
      <c r="C559">
        <v>220817006</v>
      </c>
      <c r="D559" t="s">
        <v>1746</v>
      </c>
      <c r="E559" t="s">
        <v>1101</v>
      </c>
    </row>
    <row r="560" spans="1:5" x14ac:dyDescent="0.25">
      <c r="A560">
        <v>220817</v>
      </c>
      <c r="B560" t="s">
        <v>362</v>
      </c>
      <c r="C560">
        <v>220817007</v>
      </c>
      <c r="D560" t="s">
        <v>1747</v>
      </c>
      <c r="E560" t="s">
        <v>1101</v>
      </c>
    </row>
    <row r="561" spans="1:5" x14ac:dyDescent="0.25">
      <c r="A561">
        <v>227817</v>
      </c>
      <c r="B561" t="s">
        <v>80</v>
      </c>
      <c r="C561">
        <v>227817001</v>
      </c>
      <c r="D561" t="s">
        <v>1829</v>
      </c>
      <c r="E561" t="s">
        <v>1101</v>
      </c>
    </row>
    <row r="562" spans="1:5" x14ac:dyDescent="0.25">
      <c r="A562">
        <v>227817</v>
      </c>
      <c r="B562" t="s">
        <v>80</v>
      </c>
      <c r="C562">
        <v>227817101</v>
      </c>
      <c r="D562" t="s">
        <v>80</v>
      </c>
      <c r="E562" t="s">
        <v>1101</v>
      </c>
    </row>
    <row r="563" spans="1:5" x14ac:dyDescent="0.25">
      <c r="A563">
        <v>57819</v>
      </c>
      <c r="B563" t="s">
        <v>43</v>
      </c>
      <c r="C563">
        <v>57819001</v>
      </c>
      <c r="D563" t="s">
        <v>43</v>
      </c>
      <c r="E563" t="s">
        <v>1103</v>
      </c>
    </row>
    <row r="564" spans="1:5" x14ac:dyDescent="0.25">
      <c r="A564">
        <v>101819</v>
      </c>
      <c r="B564" t="s">
        <v>345</v>
      </c>
      <c r="C564">
        <v>101819001</v>
      </c>
      <c r="D564" t="s">
        <v>1482</v>
      </c>
      <c r="E564" t="s">
        <v>1101</v>
      </c>
    </row>
    <row r="565" spans="1:5" x14ac:dyDescent="0.25">
      <c r="A565">
        <v>101819</v>
      </c>
      <c r="B565" t="s">
        <v>345</v>
      </c>
      <c r="C565">
        <v>101819002</v>
      </c>
      <c r="D565" t="s">
        <v>1483</v>
      </c>
      <c r="E565" t="s">
        <v>1101</v>
      </c>
    </row>
    <row r="566" spans="1:5" x14ac:dyDescent="0.25">
      <c r="A566">
        <v>227819</v>
      </c>
      <c r="B566" t="s">
        <v>87</v>
      </c>
      <c r="C566">
        <v>227819101</v>
      </c>
      <c r="D566" t="s">
        <v>1830</v>
      </c>
      <c r="E566" t="s">
        <v>1101</v>
      </c>
    </row>
    <row r="567" spans="1:5" x14ac:dyDescent="0.25">
      <c r="A567">
        <v>220820</v>
      </c>
      <c r="B567" t="s">
        <v>807</v>
      </c>
      <c r="C567">
        <v>220820101</v>
      </c>
      <c r="D567" t="s">
        <v>1748</v>
      </c>
      <c r="E567" t="s">
        <v>1101</v>
      </c>
    </row>
    <row r="568" spans="1:5" x14ac:dyDescent="0.25">
      <c r="A568">
        <v>227820</v>
      </c>
      <c r="B568" t="s">
        <v>463</v>
      </c>
      <c r="C568">
        <v>227820001</v>
      </c>
      <c r="D568" t="s">
        <v>1831</v>
      </c>
      <c r="E568" t="s">
        <v>1101</v>
      </c>
    </row>
    <row r="569" spans="1:5" x14ac:dyDescent="0.25">
      <c r="A569">
        <v>227820</v>
      </c>
      <c r="B569" t="s">
        <v>463</v>
      </c>
      <c r="C569">
        <v>227820002</v>
      </c>
      <c r="D569" t="s">
        <v>1832</v>
      </c>
      <c r="E569" t="s">
        <v>1101</v>
      </c>
    </row>
    <row r="570" spans="1:5" x14ac:dyDescent="0.25">
      <c r="A570">
        <v>227820</v>
      </c>
      <c r="B570" t="s">
        <v>463</v>
      </c>
      <c r="C570">
        <v>227820013</v>
      </c>
      <c r="D570" t="s">
        <v>1833</v>
      </c>
      <c r="E570" t="s">
        <v>1101</v>
      </c>
    </row>
    <row r="571" spans="1:5" x14ac:dyDescent="0.25">
      <c r="A571">
        <v>227820</v>
      </c>
      <c r="B571" t="s">
        <v>463</v>
      </c>
      <c r="C571">
        <v>227820014</v>
      </c>
      <c r="D571" t="s">
        <v>1834</v>
      </c>
      <c r="E571" t="s">
        <v>1101</v>
      </c>
    </row>
    <row r="572" spans="1:5" x14ac:dyDescent="0.25">
      <c r="A572">
        <v>227820</v>
      </c>
      <c r="B572" t="s">
        <v>463</v>
      </c>
      <c r="C572">
        <v>227820015</v>
      </c>
      <c r="D572" t="s">
        <v>1835</v>
      </c>
      <c r="E572" t="s">
        <v>1101</v>
      </c>
    </row>
    <row r="573" spans="1:5" x14ac:dyDescent="0.25">
      <c r="A573">
        <v>227820</v>
      </c>
      <c r="B573" t="s">
        <v>463</v>
      </c>
      <c r="C573">
        <v>227820016</v>
      </c>
      <c r="D573" t="s">
        <v>1836</v>
      </c>
      <c r="E573" t="s">
        <v>1101</v>
      </c>
    </row>
    <row r="574" spans="1:5" x14ac:dyDescent="0.25">
      <c r="A574">
        <v>227820</v>
      </c>
      <c r="B574" t="s">
        <v>463</v>
      </c>
      <c r="C574">
        <v>227820017</v>
      </c>
      <c r="D574" t="s">
        <v>1837</v>
      </c>
      <c r="E574" t="s">
        <v>1101</v>
      </c>
    </row>
    <row r="575" spans="1:5" x14ac:dyDescent="0.25">
      <c r="A575">
        <v>227820</v>
      </c>
      <c r="B575" t="s">
        <v>463</v>
      </c>
      <c r="C575">
        <v>227820018</v>
      </c>
      <c r="D575" t="s">
        <v>1838</v>
      </c>
      <c r="E575" t="s">
        <v>1101</v>
      </c>
    </row>
    <row r="576" spans="1:5" x14ac:dyDescent="0.25">
      <c r="A576">
        <v>227820</v>
      </c>
      <c r="B576" t="s">
        <v>463</v>
      </c>
      <c r="C576">
        <v>227820020</v>
      </c>
      <c r="D576" t="s">
        <v>1839</v>
      </c>
      <c r="E576" t="s">
        <v>1101</v>
      </c>
    </row>
    <row r="577" spans="1:5" x14ac:dyDescent="0.25">
      <c r="A577">
        <v>227820</v>
      </c>
      <c r="B577" t="s">
        <v>463</v>
      </c>
      <c r="C577">
        <v>227820021</v>
      </c>
      <c r="D577" t="s">
        <v>1840</v>
      </c>
      <c r="E577" t="s">
        <v>1101</v>
      </c>
    </row>
    <row r="578" spans="1:5" x14ac:dyDescent="0.25">
      <c r="A578">
        <v>227820</v>
      </c>
      <c r="B578" t="s">
        <v>463</v>
      </c>
      <c r="C578">
        <v>227820030</v>
      </c>
      <c r="D578" t="s">
        <v>1841</v>
      </c>
      <c r="E578" t="s">
        <v>1101</v>
      </c>
    </row>
    <row r="579" spans="1:5" x14ac:dyDescent="0.25">
      <c r="A579">
        <v>227820</v>
      </c>
      <c r="B579" t="s">
        <v>463</v>
      </c>
      <c r="C579">
        <v>227820041</v>
      </c>
      <c r="D579" t="s">
        <v>1842</v>
      </c>
      <c r="E579" t="s">
        <v>1101</v>
      </c>
    </row>
    <row r="580" spans="1:5" x14ac:dyDescent="0.25">
      <c r="A580">
        <v>227820</v>
      </c>
      <c r="B580" t="s">
        <v>463</v>
      </c>
      <c r="C580">
        <v>227820042</v>
      </c>
      <c r="D580" t="s">
        <v>1843</v>
      </c>
      <c r="E580" t="s">
        <v>1101</v>
      </c>
    </row>
    <row r="581" spans="1:5" x14ac:dyDescent="0.25">
      <c r="A581">
        <v>227820</v>
      </c>
      <c r="B581" t="s">
        <v>463</v>
      </c>
      <c r="C581">
        <v>227820043</v>
      </c>
      <c r="D581" t="s">
        <v>1844</v>
      </c>
      <c r="E581" t="s">
        <v>1101</v>
      </c>
    </row>
    <row r="582" spans="1:5" x14ac:dyDescent="0.25">
      <c r="A582">
        <v>227820</v>
      </c>
      <c r="B582" t="s">
        <v>463</v>
      </c>
      <c r="C582">
        <v>227820044</v>
      </c>
      <c r="D582" t="s">
        <v>1845</v>
      </c>
      <c r="E582" t="s">
        <v>1101</v>
      </c>
    </row>
    <row r="583" spans="1:5" x14ac:dyDescent="0.25">
      <c r="A583">
        <v>227820</v>
      </c>
      <c r="B583" t="s">
        <v>463</v>
      </c>
      <c r="C583">
        <v>227820045</v>
      </c>
      <c r="D583" t="s">
        <v>1846</v>
      </c>
      <c r="E583" t="s">
        <v>1101</v>
      </c>
    </row>
    <row r="584" spans="1:5" x14ac:dyDescent="0.25">
      <c r="A584">
        <v>227820</v>
      </c>
      <c r="B584" t="s">
        <v>463</v>
      </c>
      <c r="C584">
        <v>227820050</v>
      </c>
      <c r="D584" t="s">
        <v>1847</v>
      </c>
      <c r="E584" t="s">
        <v>1101</v>
      </c>
    </row>
    <row r="585" spans="1:5" x14ac:dyDescent="0.25">
      <c r="A585">
        <v>227820</v>
      </c>
      <c r="B585" t="s">
        <v>463</v>
      </c>
      <c r="C585">
        <v>227820051</v>
      </c>
      <c r="D585" t="s">
        <v>1848</v>
      </c>
      <c r="E585" t="s">
        <v>1101</v>
      </c>
    </row>
    <row r="586" spans="1:5" x14ac:dyDescent="0.25">
      <c r="A586">
        <v>227820</v>
      </c>
      <c r="B586" t="s">
        <v>463</v>
      </c>
      <c r="C586">
        <v>227820052</v>
      </c>
      <c r="D586" t="s">
        <v>1849</v>
      </c>
      <c r="E586" t="s">
        <v>1101</v>
      </c>
    </row>
    <row r="587" spans="1:5" x14ac:dyDescent="0.25">
      <c r="A587">
        <v>227820</v>
      </c>
      <c r="B587" t="s">
        <v>463</v>
      </c>
      <c r="C587">
        <v>227820053</v>
      </c>
      <c r="D587" t="s">
        <v>1850</v>
      </c>
      <c r="E587" t="s">
        <v>1101</v>
      </c>
    </row>
    <row r="588" spans="1:5" x14ac:dyDescent="0.25">
      <c r="A588">
        <v>227820</v>
      </c>
      <c r="B588" t="s">
        <v>463</v>
      </c>
      <c r="C588">
        <v>227820054</v>
      </c>
      <c r="D588" t="s">
        <v>1851</v>
      </c>
      <c r="E588" t="s">
        <v>1101</v>
      </c>
    </row>
    <row r="589" spans="1:5" x14ac:dyDescent="0.25">
      <c r="A589">
        <v>227820</v>
      </c>
      <c r="B589" t="s">
        <v>463</v>
      </c>
      <c r="C589">
        <v>227820055</v>
      </c>
      <c r="D589" t="s">
        <v>1852</v>
      </c>
      <c r="E589" t="s">
        <v>1101</v>
      </c>
    </row>
    <row r="590" spans="1:5" x14ac:dyDescent="0.25">
      <c r="A590">
        <v>227820</v>
      </c>
      <c r="B590" t="s">
        <v>463</v>
      </c>
      <c r="C590">
        <v>227820056</v>
      </c>
      <c r="D590" t="s">
        <v>1853</v>
      </c>
      <c r="E590" t="s">
        <v>1101</v>
      </c>
    </row>
    <row r="591" spans="1:5" x14ac:dyDescent="0.25">
      <c r="A591">
        <v>227820</v>
      </c>
      <c r="B591" t="s">
        <v>463</v>
      </c>
      <c r="C591">
        <v>227820057</v>
      </c>
      <c r="D591" t="s">
        <v>1854</v>
      </c>
      <c r="E591" t="s">
        <v>1101</v>
      </c>
    </row>
    <row r="592" spans="1:5" x14ac:dyDescent="0.25">
      <c r="A592">
        <v>227820</v>
      </c>
      <c r="B592" t="s">
        <v>463</v>
      </c>
      <c r="C592">
        <v>227820058</v>
      </c>
      <c r="D592" t="s">
        <v>1855</v>
      </c>
      <c r="E592" t="s">
        <v>1101</v>
      </c>
    </row>
    <row r="593" spans="1:5" x14ac:dyDescent="0.25">
      <c r="A593">
        <v>227820</v>
      </c>
      <c r="B593" t="s">
        <v>463</v>
      </c>
      <c r="C593">
        <v>227820059</v>
      </c>
      <c r="D593" t="s">
        <v>1856</v>
      </c>
      <c r="E593" t="s">
        <v>1101</v>
      </c>
    </row>
    <row r="594" spans="1:5" x14ac:dyDescent="0.25">
      <c r="A594">
        <v>227820</v>
      </c>
      <c r="B594" t="s">
        <v>463</v>
      </c>
      <c r="C594">
        <v>227820060</v>
      </c>
      <c r="D594" t="s">
        <v>1857</v>
      </c>
      <c r="E594" t="s">
        <v>1101</v>
      </c>
    </row>
    <row r="595" spans="1:5" x14ac:dyDescent="0.25">
      <c r="A595">
        <v>227820</v>
      </c>
      <c r="B595" t="s">
        <v>463</v>
      </c>
      <c r="C595">
        <v>227820061</v>
      </c>
      <c r="D595" t="s">
        <v>1858</v>
      </c>
      <c r="E595" t="s">
        <v>1101</v>
      </c>
    </row>
    <row r="596" spans="1:5" x14ac:dyDescent="0.25">
      <c r="A596">
        <v>227820</v>
      </c>
      <c r="B596" t="s">
        <v>463</v>
      </c>
      <c r="C596">
        <v>227820062</v>
      </c>
      <c r="D596" t="s">
        <v>1859</v>
      </c>
      <c r="E596" t="s">
        <v>1101</v>
      </c>
    </row>
    <row r="597" spans="1:5" x14ac:dyDescent="0.25">
      <c r="A597">
        <v>227820</v>
      </c>
      <c r="B597" t="s">
        <v>463</v>
      </c>
      <c r="C597">
        <v>227820063</v>
      </c>
      <c r="D597" t="s">
        <v>1860</v>
      </c>
      <c r="E597" t="s">
        <v>1101</v>
      </c>
    </row>
    <row r="598" spans="1:5" x14ac:dyDescent="0.25">
      <c r="A598">
        <v>227820</v>
      </c>
      <c r="B598" t="s">
        <v>463</v>
      </c>
      <c r="C598">
        <v>227820071</v>
      </c>
      <c r="D598" t="s">
        <v>1861</v>
      </c>
      <c r="E598" t="s">
        <v>1101</v>
      </c>
    </row>
    <row r="599" spans="1:5" x14ac:dyDescent="0.25">
      <c r="A599">
        <v>227820</v>
      </c>
      <c r="B599" t="s">
        <v>463</v>
      </c>
      <c r="C599">
        <v>227820072</v>
      </c>
      <c r="D599" t="s">
        <v>1862</v>
      </c>
      <c r="E599" t="s">
        <v>1101</v>
      </c>
    </row>
    <row r="600" spans="1:5" x14ac:dyDescent="0.25">
      <c r="A600">
        <v>227820</v>
      </c>
      <c r="B600" t="s">
        <v>463</v>
      </c>
      <c r="C600">
        <v>227820073</v>
      </c>
      <c r="D600" t="s">
        <v>1863</v>
      </c>
      <c r="E600" t="s">
        <v>1101</v>
      </c>
    </row>
    <row r="601" spans="1:5" x14ac:dyDescent="0.25">
      <c r="A601">
        <v>227820</v>
      </c>
      <c r="B601" t="s">
        <v>463</v>
      </c>
      <c r="C601">
        <v>227820081</v>
      </c>
      <c r="D601" t="s">
        <v>1864</v>
      </c>
      <c r="E601" t="s">
        <v>1101</v>
      </c>
    </row>
    <row r="602" spans="1:5" x14ac:dyDescent="0.25">
      <c r="A602">
        <v>227820</v>
      </c>
      <c r="B602" t="s">
        <v>463</v>
      </c>
      <c r="C602">
        <v>227820082</v>
      </c>
      <c r="D602" t="s">
        <v>1865</v>
      </c>
      <c r="E602" t="s">
        <v>1101</v>
      </c>
    </row>
    <row r="603" spans="1:5" x14ac:dyDescent="0.25">
      <c r="A603">
        <v>227820</v>
      </c>
      <c r="B603" t="s">
        <v>463</v>
      </c>
      <c r="C603">
        <v>227820083</v>
      </c>
      <c r="D603" t="s">
        <v>1866</v>
      </c>
      <c r="E603" t="s">
        <v>1101</v>
      </c>
    </row>
    <row r="604" spans="1:5" x14ac:dyDescent="0.25">
      <c r="A604">
        <v>227820</v>
      </c>
      <c r="B604" t="s">
        <v>463</v>
      </c>
      <c r="C604">
        <v>227820101</v>
      </c>
      <c r="D604" t="s">
        <v>1867</v>
      </c>
      <c r="E604" t="s">
        <v>1101</v>
      </c>
    </row>
    <row r="605" spans="1:5" x14ac:dyDescent="0.25">
      <c r="A605">
        <v>227820</v>
      </c>
      <c r="B605" t="s">
        <v>463</v>
      </c>
      <c r="C605">
        <v>227820102</v>
      </c>
      <c r="D605" t="s">
        <v>1868</v>
      </c>
      <c r="E605" t="s">
        <v>1101</v>
      </c>
    </row>
    <row r="606" spans="1:5" x14ac:dyDescent="0.25">
      <c r="A606">
        <v>227820</v>
      </c>
      <c r="B606" t="s">
        <v>463</v>
      </c>
      <c r="C606">
        <v>227820103</v>
      </c>
      <c r="D606" t="s">
        <v>1869</v>
      </c>
      <c r="E606" t="s">
        <v>1101</v>
      </c>
    </row>
    <row r="607" spans="1:5" x14ac:dyDescent="0.25">
      <c r="A607">
        <v>227820</v>
      </c>
      <c r="B607" t="s">
        <v>463</v>
      </c>
      <c r="C607">
        <v>227820105</v>
      </c>
      <c r="D607" t="s">
        <v>1870</v>
      </c>
      <c r="E607" t="s">
        <v>1101</v>
      </c>
    </row>
    <row r="608" spans="1:5" x14ac:dyDescent="0.25">
      <c r="A608">
        <v>227820</v>
      </c>
      <c r="B608" t="s">
        <v>463</v>
      </c>
      <c r="C608">
        <v>227820205</v>
      </c>
      <c r="D608" t="s">
        <v>1871</v>
      </c>
      <c r="E608" t="s">
        <v>1101</v>
      </c>
    </row>
    <row r="609" spans="1:5" x14ac:dyDescent="0.25">
      <c r="A609">
        <v>227820</v>
      </c>
      <c r="B609" t="s">
        <v>463</v>
      </c>
      <c r="C609">
        <v>227820206</v>
      </c>
      <c r="D609" t="s">
        <v>1872</v>
      </c>
      <c r="E609" t="s">
        <v>1101</v>
      </c>
    </row>
    <row r="610" spans="1:5" x14ac:dyDescent="0.25">
      <c r="A610">
        <v>227820</v>
      </c>
      <c r="B610" t="s">
        <v>463</v>
      </c>
      <c r="C610">
        <v>227820207</v>
      </c>
      <c r="D610" t="s">
        <v>1873</v>
      </c>
      <c r="E610" t="s">
        <v>1101</v>
      </c>
    </row>
    <row r="611" spans="1:5" x14ac:dyDescent="0.25">
      <c r="A611">
        <v>227820</v>
      </c>
      <c r="B611" t="s">
        <v>463</v>
      </c>
      <c r="C611">
        <v>227820209</v>
      </c>
      <c r="D611" t="s">
        <v>1874</v>
      </c>
      <c r="E611" t="s">
        <v>1101</v>
      </c>
    </row>
    <row r="612" spans="1:5" x14ac:dyDescent="0.25">
      <c r="A612">
        <v>227820</v>
      </c>
      <c r="B612" t="s">
        <v>463</v>
      </c>
      <c r="C612">
        <v>227820211</v>
      </c>
      <c r="D612" t="s">
        <v>1875</v>
      </c>
      <c r="E612" t="s">
        <v>1101</v>
      </c>
    </row>
    <row r="613" spans="1:5" x14ac:dyDescent="0.25">
      <c r="A613">
        <v>227820</v>
      </c>
      <c r="B613" t="s">
        <v>463</v>
      </c>
      <c r="C613">
        <v>227820212</v>
      </c>
      <c r="D613" t="s">
        <v>1876</v>
      </c>
      <c r="E613" t="s">
        <v>1101</v>
      </c>
    </row>
    <row r="614" spans="1:5" x14ac:dyDescent="0.25">
      <c r="A614">
        <v>227820</v>
      </c>
      <c r="B614" t="s">
        <v>463</v>
      </c>
      <c r="C614">
        <v>227820213</v>
      </c>
      <c r="D614" t="s">
        <v>1877</v>
      </c>
      <c r="E614" t="s">
        <v>1101</v>
      </c>
    </row>
    <row r="615" spans="1:5" x14ac:dyDescent="0.25">
      <c r="A615">
        <v>227820</v>
      </c>
      <c r="B615" t="s">
        <v>463</v>
      </c>
      <c r="C615">
        <v>227820214</v>
      </c>
      <c r="D615" t="s">
        <v>1878</v>
      </c>
      <c r="E615" t="s">
        <v>1101</v>
      </c>
    </row>
    <row r="616" spans="1:5" x14ac:dyDescent="0.25">
      <c r="A616">
        <v>227820</v>
      </c>
      <c r="B616" t="s">
        <v>463</v>
      </c>
      <c r="C616">
        <v>227820215</v>
      </c>
      <c r="D616" t="s">
        <v>1879</v>
      </c>
      <c r="E616" t="s">
        <v>1101</v>
      </c>
    </row>
    <row r="617" spans="1:5" x14ac:dyDescent="0.25">
      <c r="A617">
        <v>227820</v>
      </c>
      <c r="B617" t="s">
        <v>463</v>
      </c>
      <c r="C617">
        <v>227820216</v>
      </c>
      <c r="D617" t="s">
        <v>1880</v>
      </c>
      <c r="E617" t="s">
        <v>1101</v>
      </c>
    </row>
    <row r="618" spans="1:5" x14ac:dyDescent="0.25">
      <c r="A618">
        <v>227820</v>
      </c>
      <c r="B618" t="s">
        <v>463</v>
      </c>
      <c r="C618">
        <v>227820217</v>
      </c>
      <c r="D618" t="s">
        <v>1881</v>
      </c>
      <c r="E618" t="s">
        <v>1101</v>
      </c>
    </row>
    <row r="619" spans="1:5" x14ac:dyDescent="0.25">
      <c r="A619">
        <v>227820</v>
      </c>
      <c r="B619" t="s">
        <v>463</v>
      </c>
      <c r="C619">
        <v>227820218</v>
      </c>
      <c r="D619" t="s">
        <v>1882</v>
      </c>
      <c r="E619" t="s">
        <v>1101</v>
      </c>
    </row>
    <row r="620" spans="1:5" x14ac:dyDescent="0.25">
      <c r="A620">
        <v>227820</v>
      </c>
      <c r="B620" t="s">
        <v>463</v>
      </c>
      <c r="C620">
        <v>227820219</v>
      </c>
      <c r="D620" t="s">
        <v>1883</v>
      </c>
      <c r="E620" t="s">
        <v>1101</v>
      </c>
    </row>
    <row r="621" spans="1:5" x14ac:dyDescent="0.25">
      <c r="A621">
        <v>227820</v>
      </c>
      <c r="B621" t="s">
        <v>463</v>
      </c>
      <c r="C621">
        <v>227820301</v>
      </c>
      <c r="D621" t="s">
        <v>1884</v>
      </c>
      <c r="E621" t="s">
        <v>1101</v>
      </c>
    </row>
    <row r="622" spans="1:5" x14ac:dyDescent="0.25">
      <c r="A622">
        <v>227820</v>
      </c>
      <c r="B622" t="s">
        <v>463</v>
      </c>
      <c r="C622">
        <v>227820302</v>
      </c>
      <c r="D622" t="s">
        <v>1885</v>
      </c>
      <c r="E622" t="s">
        <v>1101</v>
      </c>
    </row>
    <row r="623" spans="1:5" x14ac:dyDescent="0.25">
      <c r="A623">
        <v>227820</v>
      </c>
      <c r="B623" t="s">
        <v>463</v>
      </c>
      <c r="C623">
        <v>227820303</v>
      </c>
      <c r="D623" t="s">
        <v>1886</v>
      </c>
      <c r="E623" t="s">
        <v>1101</v>
      </c>
    </row>
    <row r="624" spans="1:5" x14ac:dyDescent="0.25">
      <c r="A624">
        <v>227820</v>
      </c>
      <c r="B624" t="s">
        <v>463</v>
      </c>
      <c r="C624">
        <v>227820401</v>
      </c>
      <c r="D624" t="s">
        <v>1887</v>
      </c>
      <c r="E624" t="s">
        <v>1101</v>
      </c>
    </row>
    <row r="625" spans="1:5" x14ac:dyDescent="0.25">
      <c r="A625">
        <v>227820</v>
      </c>
      <c r="B625" t="s">
        <v>463</v>
      </c>
      <c r="C625">
        <v>227820402</v>
      </c>
      <c r="D625" t="s">
        <v>1888</v>
      </c>
      <c r="E625" t="s">
        <v>1101</v>
      </c>
    </row>
    <row r="626" spans="1:5" x14ac:dyDescent="0.25">
      <c r="A626">
        <v>101821</v>
      </c>
      <c r="B626" t="s">
        <v>9</v>
      </c>
      <c r="C626">
        <v>101821001</v>
      </c>
      <c r="D626" t="s">
        <v>1484</v>
      </c>
      <c r="E626" t="s">
        <v>1103</v>
      </c>
    </row>
    <row r="627" spans="1:5" x14ac:dyDescent="0.25">
      <c r="A627">
        <v>227821</v>
      </c>
      <c r="B627" t="s">
        <v>67</v>
      </c>
      <c r="C627">
        <v>227821101</v>
      </c>
      <c r="D627" t="s">
        <v>1889</v>
      </c>
      <c r="E627" t="s">
        <v>1101</v>
      </c>
    </row>
    <row r="628" spans="1:5" x14ac:dyDescent="0.25">
      <c r="A628">
        <v>15822</v>
      </c>
      <c r="B628" t="s">
        <v>424</v>
      </c>
      <c r="C628">
        <v>15822001</v>
      </c>
      <c r="D628" t="s">
        <v>1151</v>
      </c>
      <c r="E628" t="s">
        <v>1101</v>
      </c>
    </row>
    <row r="629" spans="1:5" x14ac:dyDescent="0.25">
      <c r="A629">
        <v>15822</v>
      </c>
      <c r="B629" t="s">
        <v>424</v>
      </c>
      <c r="C629">
        <v>15822002</v>
      </c>
      <c r="D629" t="s">
        <v>1152</v>
      </c>
      <c r="E629" t="s">
        <v>1101</v>
      </c>
    </row>
    <row r="630" spans="1:5" x14ac:dyDescent="0.25">
      <c r="A630">
        <v>15822</v>
      </c>
      <c r="B630" t="s">
        <v>424</v>
      </c>
      <c r="C630">
        <v>15822004</v>
      </c>
      <c r="D630" t="s">
        <v>1153</v>
      </c>
      <c r="E630" t="s">
        <v>1101</v>
      </c>
    </row>
    <row r="631" spans="1:5" x14ac:dyDescent="0.25">
      <c r="A631">
        <v>15822</v>
      </c>
      <c r="B631" t="s">
        <v>424</v>
      </c>
      <c r="C631">
        <v>15822005</v>
      </c>
      <c r="D631" t="s">
        <v>1154</v>
      </c>
      <c r="E631" t="s">
        <v>1101</v>
      </c>
    </row>
    <row r="632" spans="1:5" x14ac:dyDescent="0.25">
      <c r="A632">
        <v>15822</v>
      </c>
      <c r="B632" t="s">
        <v>424</v>
      </c>
      <c r="C632">
        <v>15822006</v>
      </c>
      <c r="D632" t="s">
        <v>1155</v>
      </c>
      <c r="E632" t="s">
        <v>1101</v>
      </c>
    </row>
    <row r="633" spans="1:5" x14ac:dyDescent="0.25">
      <c r="A633">
        <v>15822</v>
      </c>
      <c r="B633" t="s">
        <v>424</v>
      </c>
      <c r="C633">
        <v>15822007</v>
      </c>
      <c r="D633" t="s">
        <v>1156</v>
      </c>
      <c r="E633" t="s">
        <v>1101</v>
      </c>
    </row>
    <row r="634" spans="1:5" x14ac:dyDescent="0.25">
      <c r="A634">
        <v>15822</v>
      </c>
      <c r="B634" t="s">
        <v>424</v>
      </c>
      <c r="C634">
        <v>15822008</v>
      </c>
      <c r="D634" t="s">
        <v>1157</v>
      </c>
      <c r="E634" t="s">
        <v>1101</v>
      </c>
    </row>
    <row r="635" spans="1:5" x14ac:dyDescent="0.25">
      <c r="A635">
        <v>15822</v>
      </c>
      <c r="B635" t="s">
        <v>424</v>
      </c>
      <c r="C635">
        <v>15822009</v>
      </c>
      <c r="D635" t="s">
        <v>1158</v>
      </c>
      <c r="E635" t="s">
        <v>1101</v>
      </c>
    </row>
    <row r="636" spans="1:5" x14ac:dyDescent="0.25">
      <c r="A636">
        <v>15822</v>
      </c>
      <c r="B636" t="s">
        <v>424</v>
      </c>
      <c r="C636">
        <v>15822010</v>
      </c>
      <c r="D636" t="s">
        <v>1159</v>
      </c>
      <c r="E636" t="s">
        <v>1101</v>
      </c>
    </row>
    <row r="637" spans="1:5" x14ac:dyDescent="0.25">
      <c r="A637">
        <v>15822</v>
      </c>
      <c r="B637" t="s">
        <v>424</v>
      </c>
      <c r="C637">
        <v>15822011</v>
      </c>
      <c r="D637" t="s">
        <v>1160</v>
      </c>
      <c r="E637" t="s">
        <v>1101</v>
      </c>
    </row>
    <row r="638" spans="1:5" x14ac:dyDescent="0.25">
      <c r="A638">
        <v>15822</v>
      </c>
      <c r="B638" t="s">
        <v>424</v>
      </c>
      <c r="C638">
        <v>15822012</v>
      </c>
      <c r="D638" t="s">
        <v>1161</v>
      </c>
      <c r="E638" t="s">
        <v>1101</v>
      </c>
    </row>
    <row r="639" spans="1:5" x14ac:dyDescent="0.25">
      <c r="A639">
        <v>15822</v>
      </c>
      <c r="B639" t="s">
        <v>424</v>
      </c>
      <c r="C639">
        <v>15822013</v>
      </c>
      <c r="D639" t="s">
        <v>1162</v>
      </c>
      <c r="E639" t="s">
        <v>1101</v>
      </c>
    </row>
    <row r="640" spans="1:5" x14ac:dyDescent="0.25">
      <c r="A640">
        <v>15822</v>
      </c>
      <c r="B640" t="s">
        <v>424</v>
      </c>
      <c r="C640">
        <v>15822014</v>
      </c>
      <c r="D640" t="s">
        <v>1163</v>
      </c>
      <c r="E640" t="s">
        <v>1101</v>
      </c>
    </row>
    <row r="641" spans="1:5" x14ac:dyDescent="0.25">
      <c r="A641">
        <v>227824</v>
      </c>
      <c r="B641" t="s">
        <v>761</v>
      </c>
      <c r="C641">
        <v>227824001</v>
      </c>
      <c r="D641" t="s">
        <v>1890</v>
      </c>
      <c r="E641" t="s">
        <v>1101</v>
      </c>
    </row>
    <row r="642" spans="1:5" x14ac:dyDescent="0.25">
      <c r="A642">
        <v>227824</v>
      </c>
      <c r="B642" t="s">
        <v>761</v>
      </c>
      <c r="C642">
        <v>227824002</v>
      </c>
      <c r="D642" t="s">
        <v>1891</v>
      </c>
      <c r="E642" t="s">
        <v>1101</v>
      </c>
    </row>
    <row r="643" spans="1:5" x14ac:dyDescent="0.25">
      <c r="A643">
        <v>227824</v>
      </c>
      <c r="B643" t="s">
        <v>761</v>
      </c>
      <c r="C643">
        <v>227824003</v>
      </c>
      <c r="D643" t="s">
        <v>1892</v>
      </c>
      <c r="E643" t="s">
        <v>1101</v>
      </c>
    </row>
    <row r="644" spans="1:5" x14ac:dyDescent="0.25">
      <c r="A644">
        <v>227824</v>
      </c>
      <c r="B644" t="s">
        <v>761</v>
      </c>
      <c r="C644">
        <v>227824004</v>
      </c>
      <c r="D644" t="s">
        <v>1893</v>
      </c>
      <c r="E644" t="s">
        <v>1101</v>
      </c>
    </row>
    <row r="645" spans="1:5" x14ac:dyDescent="0.25">
      <c r="A645">
        <v>15825</v>
      </c>
      <c r="B645" t="s">
        <v>699</v>
      </c>
      <c r="C645">
        <v>15825001</v>
      </c>
      <c r="D645" t="s">
        <v>1164</v>
      </c>
      <c r="E645" t="s">
        <v>1101</v>
      </c>
    </row>
    <row r="646" spans="1:5" x14ac:dyDescent="0.25">
      <c r="A646">
        <v>15825</v>
      </c>
      <c r="B646" t="s">
        <v>699</v>
      </c>
      <c r="C646">
        <v>15825002</v>
      </c>
      <c r="D646" t="s">
        <v>1165</v>
      </c>
      <c r="E646" t="s">
        <v>1101</v>
      </c>
    </row>
    <row r="647" spans="1:5" x14ac:dyDescent="0.25">
      <c r="A647">
        <v>15825</v>
      </c>
      <c r="B647" t="s">
        <v>699</v>
      </c>
      <c r="C647">
        <v>15825101</v>
      </c>
      <c r="D647" t="s">
        <v>1166</v>
      </c>
      <c r="E647" t="s">
        <v>1101</v>
      </c>
    </row>
    <row r="648" spans="1:5" x14ac:dyDescent="0.25">
      <c r="A648">
        <v>227825</v>
      </c>
      <c r="B648" t="s">
        <v>118</v>
      </c>
      <c r="C648">
        <v>227825001</v>
      </c>
      <c r="D648" t="s">
        <v>1894</v>
      </c>
      <c r="E648" t="s">
        <v>1101</v>
      </c>
    </row>
    <row r="649" spans="1:5" x14ac:dyDescent="0.25">
      <c r="A649">
        <v>227825</v>
      </c>
      <c r="B649" t="s">
        <v>118</v>
      </c>
      <c r="C649">
        <v>227825003</v>
      </c>
      <c r="D649" t="s">
        <v>1895</v>
      </c>
      <c r="E649" t="s">
        <v>1101</v>
      </c>
    </row>
    <row r="650" spans="1:5" x14ac:dyDescent="0.25">
      <c r="A650">
        <v>227825</v>
      </c>
      <c r="B650" t="s">
        <v>118</v>
      </c>
      <c r="C650">
        <v>227825004</v>
      </c>
      <c r="D650" t="s">
        <v>1896</v>
      </c>
      <c r="E650" t="s">
        <v>1101</v>
      </c>
    </row>
    <row r="651" spans="1:5" x14ac:dyDescent="0.25">
      <c r="A651">
        <v>227825</v>
      </c>
      <c r="B651" t="s">
        <v>118</v>
      </c>
      <c r="C651">
        <v>227825005</v>
      </c>
      <c r="D651" t="s">
        <v>1897</v>
      </c>
      <c r="E651" t="s">
        <v>1101</v>
      </c>
    </row>
    <row r="652" spans="1:5" x14ac:dyDescent="0.25">
      <c r="A652">
        <v>227826</v>
      </c>
      <c r="B652" t="s">
        <v>365</v>
      </c>
      <c r="C652">
        <v>227826101</v>
      </c>
      <c r="D652" t="s">
        <v>1898</v>
      </c>
      <c r="E652" t="s">
        <v>1101</v>
      </c>
    </row>
    <row r="653" spans="1:5" x14ac:dyDescent="0.25">
      <c r="A653">
        <v>15827</v>
      </c>
      <c r="B653" t="s">
        <v>15</v>
      </c>
      <c r="C653">
        <v>15827001</v>
      </c>
      <c r="D653" t="s">
        <v>1167</v>
      </c>
      <c r="E653" t="s">
        <v>1101</v>
      </c>
    </row>
    <row r="654" spans="1:5" x14ac:dyDescent="0.25">
      <c r="A654">
        <v>15827</v>
      </c>
      <c r="B654" t="s">
        <v>15</v>
      </c>
      <c r="C654">
        <v>15827002</v>
      </c>
      <c r="D654" t="s">
        <v>1168</v>
      </c>
      <c r="E654" t="s">
        <v>1101</v>
      </c>
    </row>
    <row r="655" spans="1:5" x14ac:dyDescent="0.25">
      <c r="A655">
        <v>15827</v>
      </c>
      <c r="B655" t="s">
        <v>15</v>
      </c>
      <c r="C655">
        <v>15827003</v>
      </c>
      <c r="D655" t="s">
        <v>1169</v>
      </c>
      <c r="E655" t="s">
        <v>1101</v>
      </c>
    </row>
    <row r="656" spans="1:5" x14ac:dyDescent="0.25">
      <c r="A656">
        <v>15827</v>
      </c>
      <c r="B656" t="s">
        <v>15</v>
      </c>
      <c r="C656">
        <v>15827004</v>
      </c>
      <c r="D656" t="s">
        <v>1170</v>
      </c>
      <c r="E656" t="s">
        <v>1101</v>
      </c>
    </row>
    <row r="657" spans="1:5" x14ac:dyDescent="0.25">
      <c r="A657">
        <v>15827</v>
      </c>
      <c r="B657" t="s">
        <v>15</v>
      </c>
      <c r="C657">
        <v>15827005</v>
      </c>
      <c r="D657" t="s">
        <v>1171</v>
      </c>
      <c r="E657" t="s">
        <v>1101</v>
      </c>
    </row>
    <row r="658" spans="1:5" x14ac:dyDescent="0.25">
      <c r="A658">
        <v>15827</v>
      </c>
      <c r="B658" t="s">
        <v>15</v>
      </c>
      <c r="C658">
        <v>15827006</v>
      </c>
      <c r="D658" t="s">
        <v>1172</v>
      </c>
      <c r="E658" t="s">
        <v>1101</v>
      </c>
    </row>
    <row r="659" spans="1:5" x14ac:dyDescent="0.25">
      <c r="A659">
        <v>15827</v>
      </c>
      <c r="B659" t="s">
        <v>15</v>
      </c>
      <c r="C659">
        <v>15827007</v>
      </c>
      <c r="D659" t="s">
        <v>1173</v>
      </c>
      <c r="E659" t="s">
        <v>1101</v>
      </c>
    </row>
    <row r="660" spans="1:5" x14ac:dyDescent="0.25">
      <c r="A660">
        <v>57827</v>
      </c>
      <c r="B660" t="s">
        <v>456</v>
      </c>
      <c r="C660">
        <v>57827101</v>
      </c>
      <c r="D660" t="s">
        <v>1315</v>
      </c>
      <c r="E660" t="s">
        <v>1101</v>
      </c>
    </row>
    <row r="661" spans="1:5" x14ac:dyDescent="0.25">
      <c r="A661">
        <v>57827</v>
      </c>
      <c r="B661" t="s">
        <v>456</v>
      </c>
      <c r="C661">
        <v>57827102</v>
      </c>
      <c r="D661" t="s">
        <v>1316</v>
      </c>
      <c r="E661" t="s">
        <v>1101</v>
      </c>
    </row>
    <row r="662" spans="1:5" x14ac:dyDescent="0.25">
      <c r="A662">
        <v>227827</v>
      </c>
      <c r="B662" t="s">
        <v>366</v>
      </c>
      <c r="C662">
        <v>227827001</v>
      </c>
      <c r="D662" t="s">
        <v>366</v>
      </c>
      <c r="E662" t="s">
        <v>1103</v>
      </c>
    </row>
    <row r="663" spans="1:5" x14ac:dyDescent="0.25">
      <c r="A663">
        <v>227827</v>
      </c>
      <c r="B663" t="s">
        <v>366</v>
      </c>
      <c r="C663">
        <v>227827002</v>
      </c>
      <c r="D663" t="s">
        <v>1899</v>
      </c>
      <c r="E663" t="s">
        <v>1103</v>
      </c>
    </row>
    <row r="664" spans="1:5" x14ac:dyDescent="0.25">
      <c r="A664">
        <v>227827</v>
      </c>
      <c r="B664" t="s">
        <v>366</v>
      </c>
      <c r="C664">
        <v>227827003</v>
      </c>
      <c r="D664" t="s">
        <v>1900</v>
      </c>
      <c r="E664" t="s">
        <v>1103</v>
      </c>
    </row>
    <row r="665" spans="1:5" x14ac:dyDescent="0.25">
      <c r="A665">
        <v>227827</v>
      </c>
      <c r="B665" t="s">
        <v>366</v>
      </c>
      <c r="C665">
        <v>227827004</v>
      </c>
      <c r="D665" t="s">
        <v>1901</v>
      </c>
      <c r="E665" t="s">
        <v>1103</v>
      </c>
    </row>
    <row r="666" spans="1:5" x14ac:dyDescent="0.25">
      <c r="A666">
        <v>227827</v>
      </c>
      <c r="B666" t="s">
        <v>366</v>
      </c>
      <c r="C666">
        <v>227827007</v>
      </c>
      <c r="D666" t="s">
        <v>1902</v>
      </c>
      <c r="E666" t="s">
        <v>1103</v>
      </c>
    </row>
    <row r="667" spans="1:5" x14ac:dyDescent="0.25">
      <c r="A667">
        <v>15828</v>
      </c>
      <c r="B667" t="s">
        <v>762</v>
      </c>
      <c r="C667">
        <v>15828001</v>
      </c>
      <c r="D667" t="s">
        <v>16</v>
      </c>
      <c r="E667" t="s">
        <v>1101</v>
      </c>
    </row>
    <row r="668" spans="1:5" x14ac:dyDescent="0.25">
      <c r="A668">
        <v>15828</v>
      </c>
      <c r="B668" t="s">
        <v>762</v>
      </c>
      <c r="C668">
        <v>15828002</v>
      </c>
      <c r="D668" t="s">
        <v>1174</v>
      </c>
      <c r="E668" t="s">
        <v>1101</v>
      </c>
    </row>
    <row r="669" spans="1:5" x14ac:dyDescent="0.25">
      <c r="A669">
        <v>15828</v>
      </c>
      <c r="B669" t="s">
        <v>762</v>
      </c>
      <c r="C669">
        <v>15828003</v>
      </c>
      <c r="D669" t="s">
        <v>1175</v>
      </c>
      <c r="E669" t="s">
        <v>1101</v>
      </c>
    </row>
    <row r="670" spans="1:5" x14ac:dyDescent="0.25">
      <c r="A670">
        <v>15828</v>
      </c>
      <c r="B670" t="s">
        <v>762</v>
      </c>
      <c r="C670">
        <v>15828004</v>
      </c>
      <c r="D670" t="s">
        <v>1176</v>
      </c>
      <c r="E670" t="s">
        <v>1101</v>
      </c>
    </row>
    <row r="671" spans="1:5" x14ac:dyDescent="0.25">
      <c r="A671">
        <v>15828</v>
      </c>
      <c r="B671" t="s">
        <v>762</v>
      </c>
      <c r="C671">
        <v>15828005</v>
      </c>
      <c r="D671" t="s">
        <v>1177</v>
      </c>
      <c r="E671" t="s">
        <v>1101</v>
      </c>
    </row>
    <row r="672" spans="1:5" x14ac:dyDescent="0.25">
      <c r="A672">
        <v>15828</v>
      </c>
      <c r="B672" t="s">
        <v>762</v>
      </c>
      <c r="C672">
        <v>15828006</v>
      </c>
      <c r="D672" t="s">
        <v>1178</v>
      </c>
      <c r="E672" t="s">
        <v>1101</v>
      </c>
    </row>
    <row r="673" spans="1:5" x14ac:dyDescent="0.25">
      <c r="A673">
        <v>15828</v>
      </c>
      <c r="B673" t="s">
        <v>762</v>
      </c>
      <c r="C673">
        <v>15828007</v>
      </c>
      <c r="D673" t="s">
        <v>1179</v>
      </c>
      <c r="E673" t="s">
        <v>1101</v>
      </c>
    </row>
    <row r="674" spans="1:5" x14ac:dyDescent="0.25">
      <c r="A674">
        <v>15828</v>
      </c>
      <c r="B674" t="s">
        <v>762</v>
      </c>
      <c r="C674">
        <v>15828008</v>
      </c>
      <c r="D674" t="s">
        <v>1180</v>
      </c>
      <c r="E674" t="s">
        <v>1101</v>
      </c>
    </row>
    <row r="675" spans="1:5" x14ac:dyDescent="0.25">
      <c r="A675">
        <v>15828</v>
      </c>
      <c r="B675" t="s">
        <v>762</v>
      </c>
      <c r="C675">
        <v>15828009</v>
      </c>
      <c r="D675" t="s">
        <v>1181</v>
      </c>
      <c r="E675" t="s">
        <v>1101</v>
      </c>
    </row>
    <row r="676" spans="1:5" x14ac:dyDescent="0.25">
      <c r="A676">
        <v>57828</v>
      </c>
      <c r="B676" t="s">
        <v>83</v>
      </c>
      <c r="C676">
        <v>57828001</v>
      </c>
      <c r="D676" t="s">
        <v>1317</v>
      </c>
      <c r="E676" t="s">
        <v>1103</v>
      </c>
    </row>
    <row r="677" spans="1:5" x14ac:dyDescent="0.25">
      <c r="A677">
        <v>57828</v>
      </c>
      <c r="B677" t="s">
        <v>83</v>
      </c>
      <c r="C677">
        <v>57828002</v>
      </c>
      <c r="D677" t="s">
        <v>1318</v>
      </c>
      <c r="E677" t="s">
        <v>1103</v>
      </c>
    </row>
    <row r="678" spans="1:5" x14ac:dyDescent="0.25">
      <c r="A678">
        <v>57828</v>
      </c>
      <c r="B678" t="s">
        <v>83</v>
      </c>
      <c r="C678">
        <v>57828003</v>
      </c>
      <c r="D678" t="s">
        <v>1319</v>
      </c>
      <c r="E678" t="s">
        <v>1103</v>
      </c>
    </row>
    <row r="679" spans="1:5" x14ac:dyDescent="0.25">
      <c r="A679">
        <v>57828</v>
      </c>
      <c r="B679" t="s">
        <v>83</v>
      </c>
      <c r="C679">
        <v>57828004</v>
      </c>
      <c r="D679" t="s">
        <v>1320</v>
      </c>
      <c r="E679" t="s">
        <v>1103</v>
      </c>
    </row>
    <row r="680" spans="1:5" x14ac:dyDescent="0.25">
      <c r="A680">
        <v>57828</v>
      </c>
      <c r="B680" t="s">
        <v>83</v>
      </c>
      <c r="C680">
        <v>57828005</v>
      </c>
      <c r="D680" t="s">
        <v>1321</v>
      </c>
      <c r="E680" t="s">
        <v>1103</v>
      </c>
    </row>
    <row r="681" spans="1:5" x14ac:dyDescent="0.25">
      <c r="A681">
        <v>57828</v>
      </c>
      <c r="B681" t="s">
        <v>83</v>
      </c>
      <c r="C681">
        <v>57828006</v>
      </c>
      <c r="D681" t="s">
        <v>1322</v>
      </c>
      <c r="E681" t="s">
        <v>1103</v>
      </c>
    </row>
    <row r="682" spans="1:5" x14ac:dyDescent="0.25">
      <c r="A682">
        <v>101828</v>
      </c>
      <c r="B682" t="s">
        <v>346</v>
      </c>
      <c r="C682">
        <v>101828001</v>
      </c>
      <c r="D682" t="s">
        <v>1485</v>
      </c>
      <c r="E682" t="s">
        <v>1101</v>
      </c>
    </row>
    <row r="683" spans="1:5" x14ac:dyDescent="0.25">
      <c r="A683">
        <v>101828</v>
      </c>
      <c r="B683" t="s">
        <v>346</v>
      </c>
      <c r="C683">
        <v>101828002</v>
      </c>
      <c r="D683" t="s">
        <v>1486</v>
      </c>
      <c r="E683" t="s">
        <v>1101</v>
      </c>
    </row>
    <row r="684" spans="1:5" x14ac:dyDescent="0.25">
      <c r="A684">
        <v>101828</v>
      </c>
      <c r="B684" t="s">
        <v>346</v>
      </c>
      <c r="C684">
        <v>101828101</v>
      </c>
      <c r="D684" t="s">
        <v>1487</v>
      </c>
      <c r="E684" t="s">
        <v>1101</v>
      </c>
    </row>
    <row r="685" spans="1:5" x14ac:dyDescent="0.25">
      <c r="A685">
        <v>57829</v>
      </c>
      <c r="B685" t="s">
        <v>44</v>
      </c>
      <c r="C685">
        <v>57829001</v>
      </c>
      <c r="D685" t="s">
        <v>1323</v>
      </c>
      <c r="E685" t="s">
        <v>1101</v>
      </c>
    </row>
    <row r="686" spans="1:5" x14ac:dyDescent="0.25">
      <c r="A686">
        <v>57829</v>
      </c>
      <c r="B686" t="s">
        <v>44</v>
      </c>
      <c r="C686">
        <v>57829002</v>
      </c>
      <c r="D686" t="s">
        <v>1324</v>
      </c>
      <c r="E686" t="s">
        <v>1101</v>
      </c>
    </row>
    <row r="687" spans="1:5" x14ac:dyDescent="0.25">
      <c r="A687">
        <v>227829</v>
      </c>
      <c r="B687" t="s">
        <v>445</v>
      </c>
      <c r="C687">
        <v>227829001</v>
      </c>
      <c r="D687" t="s">
        <v>1903</v>
      </c>
      <c r="E687" t="s">
        <v>1101</v>
      </c>
    </row>
    <row r="688" spans="1:5" x14ac:dyDescent="0.25">
      <c r="A688">
        <v>227829</v>
      </c>
      <c r="B688" t="s">
        <v>445</v>
      </c>
      <c r="C688">
        <v>227829002</v>
      </c>
      <c r="D688" t="s">
        <v>1904</v>
      </c>
      <c r="E688" t="s">
        <v>1101</v>
      </c>
    </row>
    <row r="689" spans="1:5" x14ac:dyDescent="0.25">
      <c r="A689">
        <v>227829</v>
      </c>
      <c r="B689" t="s">
        <v>445</v>
      </c>
      <c r="C689">
        <v>227829003</v>
      </c>
      <c r="D689" t="s">
        <v>1905</v>
      </c>
      <c r="E689" t="s">
        <v>1101</v>
      </c>
    </row>
    <row r="690" spans="1:5" x14ac:dyDescent="0.25">
      <c r="A690">
        <v>15830</v>
      </c>
      <c r="B690" t="s">
        <v>1058</v>
      </c>
      <c r="C690">
        <v>15830001</v>
      </c>
      <c r="D690" t="s">
        <v>1182</v>
      </c>
      <c r="E690" t="s">
        <v>1101</v>
      </c>
    </row>
    <row r="691" spans="1:5" x14ac:dyDescent="0.25">
      <c r="A691">
        <v>15830</v>
      </c>
      <c r="B691" t="s">
        <v>1058</v>
      </c>
      <c r="C691">
        <v>15830101</v>
      </c>
      <c r="D691" t="s">
        <v>1183</v>
      </c>
      <c r="E691" t="s">
        <v>1101</v>
      </c>
    </row>
    <row r="692" spans="1:5" x14ac:dyDescent="0.25">
      <c r="A692">
        <v>15830</v>
      </c>
      <c r="B692" t="s">
        <v>1058</v>
      </c>
      <c r="C692">
        <v>15830102</v>
      </c>
      <c r="D692" t="s">
        <v>1184</v>
      </c>
      <c r="E692" t="s">
        <v>1101</v>
      </c>
    </row>
    <row r="693" spans="1:5" x14ac:dyDescent="0.25">
      <c r="A693">
        <v>15830</v>
      </c>
      <c r="B693" t="s">
        <v>1058</v>
      </c>
      <c r="C693">
        <v>15830103</v>
      </c>
      <c r="D693" t="s">
        <v>1185</v>
      </c>
      <c r="E693" t="s">
        <v>1101</v>
      </c>
    </row>
    <row r="694" spans="1:5" x14ac:dyDescent="0.25">
      <c r="A694">
        <v>57830</v>
      </c>
      <c r="B694" t="s">
        <v>45</v>
      </c>
      <c r="C694">
        <v>57830001</v>
      </c>
      <c r="D694" t="s">
        <v>1325</v>
      </c>
      <c r="E694" t="s">
        <v>1101</v>
      </c>
    </row>
    <row r="695" spans="1:5" x14ac:dyDescent="0.25">
      <c r="A695">
        <v>57830</v>
      </c>
      <c r="B695" t="s">
        <v>45</v>
      </c>
      <c r="C695">
        <v>57830002</v>
      </c>
      <c r="D695" t="s">
        <v>1326</v>
      </c>
      <c r="E695" t="s">
        <v>1101</v>
      </c>
    </row>
    <row r="696" spans="1:5" x14ac:dyDescent="0.25">
      <c r="A696">
        <v>15831</v>
      </c>
      <c r="B696" t="s">
        <v>316</v>
      </c>
      <c r="C696">
        <v>15831001</v>
      </c>
      <c r="D696" t="s">
        <v>1186</v>
      </c>
      <c r="E696" t="s">
        <v>1101</v>
      </c>
    </row>
    <row r="697" spans="1:5" x14ac:dyDescent="0.25">
      <c r="A697">
        <v>15831</v>
      </c>
      <c r="B697" t="s">
        <v>316</v>
      </c>
      <c r="C697">
        <v>15831002</v>
      </c>
      <c r="D697" t="s">
        <v>1187</v>
      </c>
      <c r="E697" t="s">
        <v>1101</v>
      </c>
    </row>
    <row r="698" spans="1:5" x14ac:dyDescent="0.25">
      <c r="A698">
        <v>15831</v>
      </c>
      <c r="B698" t="s">
        <v>316</v>
      </c>
      <c r="C698">
        <v>15831003</v>
      </c>
      <c r="D698" t="s">
        <v>1188</v>
      </c>
      <c r="E698" t="s">
        <v>1101</v>
      </c>
    </row>
    <row r="699" spans="1:5" x14ac:dyDescent="0.25">
      <c r="A699">
        <v>15831</v>
      </c>
      <c r="B699" t="s">
        <v>316</v>
      </c>
      <c r="C699">
        <v>15831004</v>
      </c>
      <c r="D699" t="s">
        <v>1189</v>
      </c>
      <c r="E699" t="s">
        <v>1101</v>
      </c>
    </row>
    <row r="700" spans="1:5" x14ac:dyDescent="0.25">
      <c r="A700">
        <v>15831</v>
      </c>
      <c r="B700" t="s">
        <v>316</v>
      </c>
      <c r="C700">
        <v>15831005</v>
      </c>
      <c r="D700" t="s">
        <v>1190</v>
      </c>
      <c r="E700" t="s">
        <v>1101</v>
      </c>
    </row>
    <row r="701" spans="1:5" x14ac:dyDescent="0.25">
      <c r="A701">
        <v>15831</v>
      </c>
      <c r="B701" t="s">
        <v>316</v>
      </c>
      <c r="C701">
        <v>15831006</v>
      </c>
      <c r="D701" t="s">
        <v>1191</v>
      </c>
      <c r="E701" t="s">
        <v>1101</v>
      </c>
    </row>
    <row r="702" spans="1:5" x14ac:dyDescent="0.25">
      <c r="A702">
        <v>15831</v>
      </c>
      <c r="B702" t="s">
        <v>316</v>
      </c>
      <c r="C702">
        <v>15831007</v>
      </c>
      <c r="D702" t="s">
        <v>1192</v>
      </c>
      <c r="E702" t="s">
        <v>1101</v>
      </c>
    </row>
    <row r="703" spans="1:5" x14ac:dyDescent="0.25">
      <c r="A703">
        <v>57831</v>
      </c>
      <c r="B703" t="s">
        <v>46</v>
      </c>
      <c r="C703">
        <v>57831001</v>
      </c>
      <c r="D703" t="s">
        <v>46</v>
      </c>
      <c r="E703" t="s">
        <v>1101</v>
      </c>
    </row>
    <row r="704" spans="1:5" x14ac:dyDescent="0.25">
      <c r="A704">
        <v>57831</v>
      </c>
      <c r="B704" t="s">
        <v>46</v>
      </c>
      <c r="C704">
        <v>57831002</v>
      </c>
      <c r="D704" t="s">
        <v>1327</v>
      </c>
      <c r="E704" t="s">
        <v>1101</v>
      </c>
    </row>
    <row r="705" spans="1:5" x14ac:dyDescent="0.25">
      <c r="A705">
        <v>15833</v>
      </c>
      <c r="B705" t="s">
        <v>94</v>
      </c>
      <c r="C705">
        <v>15833001</v>
      </c>
      <c r="D705" t="s">
        <v>94</v>
      </c>
      <c r="E705" t="s">
        <v>1101</v>
      </c>
    </row>
    <row r="706" spans="1:5" x14ac:dyDescent="0.25">
      <c r="A706">
        <v>57833</v>
      </c>
      <c r="B706" t="s">
        <v>47</v>
      </c>
      <c r="C706">
        <v>57833001</v>
      </c>
      <c r="D706" t="s">
        <v>1328</v>
      </c>
      <c r="E706" t="s">
        <v>1101</v>
      </c>
    </row>
    <row r="707" spans="1:5" x14ac:dyDescent="0.25">
      <c r="A707">
        <v>57833</v>
      </c>
      <c r="B707" t="s">
        <v>47</v>
      </c>
      <c r="C707">
        <v>57833002</v>
      </c>
      <c r="D707" t="s">
        <v>1329</v>
      </c>
      <c r="E707" t="s">
        <v>1101</v>
      </c>
    </row>
    <row r="708" spans="1:5" x14ac:dyDescent="0.25">
      <c r="A708">
        <v>57833</v>
      </c>
      <c r="B708" t="s">
        <v>47</v>
      </c>
      <c r="C708">
        <v>57833003</v>
      </c>
      <c r="D708" t="s">
        <v>1330</v>
      </c>
      <c r="E708" t="s">
        <v>1101</v>
      </c>
    </row>
    <row r="709" spans="1:5" x14ac:dyDescent="0.25">
      <c r="A709">
        <v>15834</v>
      </c>
      <c r="B709" t="s">
        <v>317</v>
      </c>
      <c r="C709">
        <v>15834001</v>
      </c>
      <c r="D709" t="s">
        <v>1193</v>
      </c>
      <c r="E709" t="s">
        <v>1101</v>
      </c>
    </row>
    <row r="710" spans="1:5" x14ac:dyDescent="0.25">
      <c r="A710">
        <v>15834</v>
      </c>
      <c r="B710" t="s">
        <v>317</v>
      </c>
      <c r="C710">
        <v>15834002</v>
      </c>
      <c r="D710" t="s">
        <v>1194</v>
      </c>
      <c r="E710" t="s">
        <v>1101</v>
      </c>
    </row>
    <row r="711" spans="1:5" x14ac:dyDescent="0.25">
      <c r="A711">
        <v>15834</v>
      </c>
      <c r="B711" t="s">
        <v>317</v>
      </c>
      <c r="C711">
        <v>15834003</v>
      </c>
      <c r="D711" t="s">
        <v>1195</v>
      </c>
      <c r="E711" t="s">
        <v>1101</v>
      </c>
    </row>
    <row r="712" spans="1:5" x14ac:dyDescent="0.25">
      <c r="A712">
        <v>15834</v>
      </c>
      <c r="B712" t="s">
        <v>317</v>
      </c>
      <c r="C712">
        <v>15834004</v>
      </c>
      <c r="D712" t="s">
        <v>1196</v>
      </c>
      <c r="E712" t="s">
        <v>1101</v>
      </c>
    </row>
    <row r="713" spans="1:5" x14ac:dyDescent="0.25">
      <c r="A713">
        <v>15834</v>
      </c>
      <c r="B713" t="s">
        <v>317</v>
      </c>
      <c r="C713">
        <v>15834005</v>
      </c>
      <c r="D713" t="s">
        <v>1197</v>
      </c>
      <c r="E713" t="s">
        <v>1101</v>
      </c>
    </row>
    <row r="714" spans="1:5" x14ac:dyDescent="0.25">
      <c r="A714">
        <v>15834</v>
      </c>
      <c r="B714" t="s">
        <v>317</v>
      </c>
      <c r="C714">
        <v>15834006</v>
      </c>
      <c r="D714" t="s">
        <v>1198</v>
      </c>
      <c r="E714" t="s">
        <v>1101</v>
      </c>
    </row>
    <row r="715" spans="1:5" x14ac:dyDescent="0.25">
      <c r="A715">
        <v>15834</v>
      </c>
      <c r="B715" t="s">
        <v>317</v>
      </c>
      <c r="C715">
        <v>15834101</v>
      </c>
      <c r="D715" t="s">
        <v>1199</v>
      </c>
      <c r="E715" t="s">
        <v>1101</v>
      </c>
    </row>
    <row r="716" spans="1:5" x14ac:dyDescent="0.25">
      <c r="A716">
        <v>15834</v>
      </c>
      <c r="B716" t="s">
        <v>317</v>
      </c>
      <c r="C716">
        <v>15834102</v>
      </c>
      <c r="D716" t="s">
        <v>1200</v>
      </c>
      <c r="E716" t="s">
        <v>1101</v>
      </c>
    </row>
    <row r="717" spans="1:5" x14ac:dyDescent="0.25">
      <c r="A717">
        <v>15834</v>
      </c>
      <c r="B717" t="s">
        <v>317</v>
      </c>
      <c r="C717">
        <v>15834103</v>
      </c>
      <c r="D717" t="s">
        <v>1201</v>
      </c>
      <c r="E717" t="s">
        <v>1101</v>
      </c>
    </row>
    <row r="718" spans="1:5" x14ac:dyDescent="0.25">
      <c r="A718">
        <v>15834</v>
      </c>
      <c r="B718" t="s">
        <v>317</v>
      </c>
      <c r="C718">
        <v>15834104</v>
      </c>
      <c r="D718" t="s">
        <v>1202</v>
      </c>
      <c r="E718" t="s">
        <v>1101</v>
      </c>
    </row>
    <row r="719" spans="1:5" x14ac:dyDescent="0.25">
      <c r="A719">
        <v>15834</v>
      </c>
      <c r="B719" t="s">
        <v>317</v>
      </c>
      <c r="C719">
        <v>15834105</v>
      </c>
      <c r="D719" t="s">
        <v>1203</v>
      </c>
      <c r="E719" t="s">
        <v>1101</v>
      </c>
    </row>
    <row r="720" spans="1:5" x14ac:dyDescent="0.25">
      <c r="A720">
        <v>15834</v>
      </c>
      <c r="B720" t="s">
        <v>317</v>
      </c>
      <c r="C720">
        <v>15834106</v>
      </c>
      <c r="D720" t="s">
        <v>1204</v>
      </c>
      <c r="E720" t="s">
        <v>1101</v>
      </c>
    </row>
    <row r="721" spans="1:5" x14ac:dyDescent="0.25">
      <c r="A721">
        <v>57834</v>
      </c>
      <c r="B721" t="s">
        <v>327</v>
      </c>
      <c r="C721">
        <v>57834001</v>
      </c>
      <c r="D721" t="s">
        <v>327</v>
      </c>
      <c r="E721" t="s">
        <v>1103</v>
      </c>
    </row>
    <row r="722" spans="1:5" x14ac:dyDescent="0.25">
      <c r="A722">
        <v>57834</v>
      </c>
      <c r="B722" t="s">
        <v>327</v>
      </c>
      <c r="C722">
        <v>57834003</v>
      </c>
      <c r="D722" t="s">
        <v>1331</v>
      </c>
      <c r="E722" t="s">
        <v>1103</v>
      </c>
    </row>
    <row r="723" spans="1:5" x14ac:dyDescent="0.25">
      <c r="A723">
        <v>57834</v>
      </c>
      <c r="B723" t="s">
        <v>327</v>
      </c>
      <c r="C723">
        <v>57834004</v>
      </c>
      <c r="D723" t="s">
        <v>1332</v>
      </c>
      <c r="E723" t="s">
        <v>1103</v>
      </c>
    </row>
    <row r="724" spans="1:5" x14ac:dyDescent="0.25">
      <c r="A724">
        <v>15835</v>
      </c>
      <c r="B724" t="s">
        <v>318</v>
      </c>
      <c r="C724">
        <v>15835001</v>
      </c>
      <c r="D724" t="s">
        <v>1205</v>
      </c>
      <c r="E724" t="s">
        <v>1101</v>
      </c>
    </row>
    <row r="725" spans="1:5" x14ac:dyDescent="0.25">
      <c r="A725">
        <v>15835</v>
      </c>
      <c r="B725" t="s">
        <v>318</v>
      </c>
      <c r="C725">
        <v>15835002</v>
      </c>
      <c r="D725" t="s">
        <v>1206</v>
      </c>
      <c r="E725" t="s">
        <v>1101</v>
      </c>
    </row>
    <row r="726" spans="1:5" x14ac:dyDescent="0.25">
      <c r="A726">
        <v>15835</v>
      </c>
      <c r="B726" t="s">
        <v>318</v>
      </c>
      <c r="C726">
        <v>15835003</v>
      </c>
      <c r="D726" t="s">
        <v>1207</v>
      </c>
      <c r="E726" t="s">
        <v>1101</v>
      </c>
    </row>
    <row r="727" spans="1:5" x14ac:dyDescent="0.25">
      <c r="A727">
        <v>15835</v>
      </c>
      <c r="B727" t="s">
        <v>318</v>
      </c>
      <c r="C727">
        <v>15835004</v>
      </c>
      <c r="D727" t="s">
        <v>1208</v>
      </c>
      <c r="E727" t="s">
        <v>1101</v>
      </c>
    </row>
    <row r="728" spans="1:5" x14ac:dyDescent="0.25">
      <c r="A728">
        <v>15835</v>
      </c>
      <c r="B728" t="s">
        <v>318</v>
      </c>
      <c r="C728">
        <v>15835005</v>
      </c>
      <c r="D728" t="s">
        <v>1209</v>
      </c>
      <c r="E728" t="s">
        <v>1101</v>
      </c>
    </row>
    <row r="729" spans="1:5" x14ac:dyDescent="0.25">
      <c r="A729">
        <v>15835</v>
      </c>
      <c r="B729" t="s">
        <v>318</v>
      </c>
      <c r="C729">
        <v>15835006</v>
      </c>
      <c r="D729" t="s">
        <v>1210</v>
      </c>
      <c r="E729" t="s">
        <v>1101</v>
      </c>
    </row>
    <row r="730" spans="1:5" x14ac:dyDescent="0.25">
      <c r="A730">
        <v>15835</v>
      </c>
      <c r="B730" t="s">
        <v>318</v>
      </c>
      <c r="C730">
        <v>15835007</v>
      </c>
      <c r="D730" t="s">
        <v>1211</v>
      </c>
      <c r="E730" t="s">
        <v>1101</v>
      </c>
    </row>
    <row r="731" spans="1:5" x14ac:dyDescent="0.25">
      <c r="A731">
        <v>15835</v>
      </c>
      <c r="B731" t="s">
        <v>318</v>
      </c>
      <c r="C731">
        <v>15835008</v>
      </c>
      <c r="D731" t="s">
        <v>1212</v>
      </c>
      <c r="E731" t="s">
        <v>1101</v>
      </c>
    </row>
    <row r="732" spans="1:5" x14ac:dyDescent="0.25">
      <c r="A732">
        <v>15835</v>
      </c>
      <c r="B732" t="s">
        <v>318</v>
      </c>
      <c r="C732">
        <v>15835009</v>
      </c>
      <c r="D732" t="s">
        <v>1213</v>
      </c>
      <c r="E732" t="s">
        <v>1101</v>
      </c>
    </row>
    <row r="733" spans="1:5" x14ac:dyDescent="0.25">
      <c r="A733">
        <v>15835</v>
      </c>
      <c r="B733" t="s">
        <v>318</v>
      </c>
      <c r="C733">
        <v>15835010</v>
      </c>
      <c r="D733" t="s">
        <v>1214</v>
      </c>
      <c r="E733" t="s">
        <v>1101</v>
      </c>
    </row>
    <row r="734" spans="1:5" x14ac:dyDescent="0.25">
      <c r="A734">
        <v>15835</v>
      </c>
      <c r="B734" t="s">
        <v>318</v>
      </c>
      <c r="C734">
        <v>15835012</v>
      </c>
      <c r="D734" t="s">
        <v>1215</v>
      </c>
      <c r="E734" t="s">
        <v>1101</v>
      </c>
    </row>
    <row r="735" spans="1:5" x14ac:dyDescent="0.25">
      <c r="A735">
        <v>15835</v>
      </c>
      <c r="B735" t="s">
        <v>318</v>
      </c>
      <c r="C735">
        <v>15835013</v>
      </c>
      <c r="D735" t="s">
        <v>1216</v>
      </c>
      <c r="E735" t="s">
        <v>1101</v>
      </c>
    </row>
    <row r="736" spans="1:5" x14ac:dyDescent="0.25">
      <c r="A736">
        <v>57835</v>
      </c>
      <c r="B736" t="s">
        <v>48</v>
      </c>
      <c r="C736">
        <v>57835001</v>
      </c>
      <c r="D736" t="s">
        <v>48</v>
      </c>
      <c r="E736" t="s">
        <v>1101</v>
      </c>
    </row>
    <row r="737" spans="1:5" x14ac:dyDescent="0.25">
      <c r="A737">
        <v>57835</v>
      </c>
      <c r="B737" t="s">
        <v>48</v>
      </c>
      <c r="C737">
        <v>57835101</v>
      </c>
      <c r="D737" t="s">
        <v>1333</v>
      </c>
      <c r="E737" t="s">
        <v>1101</v>
      </c>
    </row>
    <row r="738" spans="1:5" x14ac:dyDescent="0.25">
      <c r="A738">
        <v>57835</v>
      </c>
      <c r="B738" t="s">
        <v>48</v>
      </c>
      <c r="C738">
        <v>57835102</v>
      </c>
      <c r="D738" t="s">
        <v>1334</v>
      </c>
      <c r="E738" t="s">
        <v>1101</v>
      </c>
    </row>
    <row r="739" spans="1:5" x14ac:dyDescent="0.25">
      <c r="A739">
        <v>57835</v>
      </c>
      <c r="B739" t="s">
        <v>48</v>
      </c>
      <c r="C739">
        <v>57835103</v>
      </c>
      <c r="D739" t="s">
        <v>1335</v>
      </c>
      <c r="E739" t="s">
        <v>1101</v>
      </c>
    </row>
    <row r="740" spans="1:5" x14ac:dyDescent="0.25">
      <c r="A740">
        <v>57835</v>
      </c>
      <c r="B740" t="s">
        <v>48</v>
      </c>
      <c r="C740">
        <v>57835104</v>
      </c>
      <c r="D740" t="s">
        <v>1336</v>
      </c>
      <c r="E740" t="s">
        <v>1101</v>
      </c>
    </row>
    <row r="741" spans="1:5" x14ac:dyDescent="0.25">
      <c r="A741">
        <v>57835</v>
      </c>
      <c r="B741" t="s">
        <v>48</v>
      </c>
      <c r="C741">
        <v>57835105</v>
      </c>
      <c r="D741" t="s">
        <v>1337</v>
      </c>
      <c r="E741" t="s">
        <v>1101</v>
      </c>
    </row>
    <row r="742" spans="1:5" x14ac:dyDescent="0.25">
      <c r="A742">
        <v>15836</v>
      </c>
      <c r="B742" t="s">
        <v>319</v>
      </c>
      <c r="C742">
        <v>15836001</v>
      </c>
      <c r="D742" t="s">
        <v>319</v>
      </c>
      <c r="E742" t="s">
        <v>1101</v>
      </c>
    </row>
    <row r="743" spans="1:5" x14ac:dyDescent="0.25">
      <c r="A743">
        <v>57836</v>
      </c>
      <c r="B743" t="s">
        <v>24</v>
      </c>
      <c r="C743">
        <v>57836041</v>
      </c>
      <c r="D743" t="s">
        <v>24</v>
      </c>
      <c r="E743" t="s">
        <v>1101</v>
      </c>
    </row>
    <row r="744" spans="1:5" x14ac:dyDescent="0.25">
      <c r="A744">
        <v>57836</v>
      </c>
      <c r="B744" t="s">
        <v>24</v>
      </c>
      <c r="C744">
        <v>57836101</v>
      </c>
      <c r="D744" t="s">
        <v>1338</v>
      </c>
      <c r="E744" t="s">
        <v>1101</v>
      </c>
    </row>
    <row r="745" spans="1:5" x14ac:dyDescent="0.25">
      <c r="A745">
        <v>101837</v>
      </c>
      <c r="B745" t="s">
        <v>12</v>
      </c>
      <c r="C745">
        <v>101837001</v>
      </c>
      <c r="D745" t="s">
        <v>1488</v>
      </c>
      <c r="E745" t="s">
        <v>1101</v>
      </c>
    </row>
    <row r="746" spans="1:5" x14ac:dyDescent="0.25">
      <c r="A746">
        <v>101837</v>
      </c>
      <c r="B746" t="s">
        <v>12</v>
      </c>
      <c r="C746">
        <v>101837041</v>
      </c>
      <c r="D746" t="s">
        <v>1489</v>
      </c>
      <c r="E746" t="s">
        <v>1101</v>
      </c>
    </row>
    <row r="747" spans="1:5" x14ac:dyDescent="0.25">
      <c r="A747">
        <v>15838</v>
      </c>
      <c r="B747" t="s">
        <v>700</v>
      </c>
      <c r="C747">
        <v>15838001</v>
      </c>
      <c r="D747" t="s">
        <v>1217</v>
      </c>
      <c r="E747" t="s">
        <v>1101</v>
      </c>
    </row>
    <row r="748" spans="1:5" x14ac:dyDescent="0.25">
      <c r="A748">
        <v>15838</v>
      </c>
      <c r="B748" t="s">
        <v>700</v>
      </c>
      <c r="C748">
        <v>15838002</v>
      </c>
      <c r="D748" t="s">
        <v>1218</v>
      </c>
      <c r="E748" t="s">
        <v>1101</v>
      </c>
    </row>
    <row r="749" spans="1:5" x14ac:dyDescent="0.25">
      <c r="A749">
        <v>15838</v>
      </c>
      <c r="B749" t="s">
        <v>700</v>
      </c>
      <c r="C749">
        <v>15838003</v>
      </c>
      <c r="D749" t="s">
        <v>1219</v>
      </c>
      <c r="E749" t="s">
        <v>1101</v>
      </c>
    </row>
    <row r="750" spans="1:5" x14ac:dyDescent="0.25">
      <c r="A750">
        <v>15838</v>
      </c>
      <c r="B750" t="s">
        <v>700</v>
      </c>
      <c r="C750">
        <v>15838005</v>
      </c>
      <c r="D750" t="s">
        <v>1220</v>
      </c>
      <c r="E750" t="s">
        <v>1101</v>
      </c>
    </row>
    <row r="751" spans="1:5" x14ac:dyDescent="0.25">
      <c r="A751">
        <v>15838</v>
      </c>
      <c r="B751" t="s">
        <v>700</v>
      </c>
      <c r="C751">
        <v>15838006</v>
      </c>
      <c r="D751" t="s">
        <v>1221</v>
      </c>
      <c r="E751" t="s">
        <v>1101</v>
      </c>
    </row>
    <row r="752" spans="1:5" x14ac:dyDescent="0.25">
      <c r="A752">
        <v>15838</v>
      </c>
      <c r="B752" t="s">
        <v>700</v>
      </c>
      <c r="C752">
        <v>15838007</v>
      </c>
      <c r="D752" t="s">
        <v>1222</v>
      </c>
      <c r="E752" t="s">
        <v>1101</v>
      </c>
    </row>
    <row r="753" spans="1:5" x14ac:dyDescent="0.25">
      <c r="A753">
        <v>15838</v>
      </c>
      <c r="B753" t="s">
        <v>700</v>
      </c>
      <c r="C753">
        <v>15838008</v>
      </c>
      <c r="D753" t="s">
        <v>1223</v>
      </c>
      <c r="E753" t="s">
        <v>1101</v>
      </c>
    </row>
    <row r="754" spans="1:5" x14ac:dyDescent="0.25">
      <c r="A754">
        <v>101838</v>
      </c>
      <c r="B754" t="s">
        <v>1059</v>
      </c>
      <c r="C754">
        <v>101838001</v>
      </c>
      <c r="D754" t="s">
        <v>1490</v>
      </c>
      <c r="E754" t="s">
        <v>1103</v>
      </c>
    </row>
    <row r="755" spans="1:5" x14ac:dyDescent="0.25">
      <c r="A755">
        <v>101838</v>
      </c>
      <c r="B755" t="s">
        <v>1059</v>
      </c>
      <c r="C755">
        <v>101838004</v>
      </c>
      <c r="D755" t="s">
        <v>1491</v>
      </c>
      <c r="E755" t="s">
        <v>1103</v>
      </c>
    </row>
    <row r="756" spans="1:5" x14ac:dyDescent="0.25">
      <c r="A756">
        <v>101838</v>
      </c>
      <c r="B756" t="s">
        <v>1059</v>
      </c>
      <c r="C756">
        <v>101838041</v>
      </c>
      <c r="D756" t="s">
        <v>1492</v>
      </c>
      <c r="E756" t="s">
        <v>1103</v>
      </c>
    </row>
    <row r="757" spans="1:5" x14ac:dyDescent="0.25">
      <c r="A757">
        <v>101838</v>
      </c>
      <c r="B757" t="s">
        <v>1059</v>
      </c>
      <c r="C757">
        <v>101838102</v>
      </c>
      <c r="D757" t="s">
        <v>1493</v>
      </c>
      <c r="E757" t="s">
        <v>1103</v>
      </c>
    </row>
    <row r="758" spans="1:5" x14ac:dyDescent="0.25">
      <c r="A758">
        <v>101838</v>
      </c>
      <c r="B758" t="s">
        <v>1059</v>
      </c>
      <c r="C758">
        <v>101838104</v>
      </c>
      <c r="D758" t="s">
        <v>1494</v>
      </c>
      <c r="E758" t="s">
        <v>1101</v>
      </c>
    </row>
    <row r="759" spans="1:5" x14ac:dyDescent="0.25">
      <c r="A759">
        <v>15839</v>
      </c>
      <c r="B759" t="s">
        <v>455</v>
      </c>
      <c r="C759">
        <v>15839001</v>
      </c>
      <c r="D759" t="s">
        <v>455</v>
      </c>
      <c r="E759" t="s">
        <v>1101</v>
      </c>
    </row>
    <row r="760" spans="1:5" x14ac:dyDescent="0.25">
      <c r="A760">
        <v>57839</v>
      </c>
      <c r="B760" t="s">
        <v>58</v>
      </c>
      <c r="C760">
        <v>57839101</v>
      </c>
      <c r="D760" t="s">
        <v>58</v>
      </c>
      <c r="E760" t="s">
        <v>1101</v>
      </c>
    </row>
    <row r="761" spans="1:5" x14ac:dyDescent="0.25">
      <c r="A761">
        <v>57839</v>
      </c>
      <c r="B761" t="s">
        <v>58</v>
      </c>
      <c r="C761">
        <v>57839103</v>
      </c>
      <c r="D761" t="s">
        <v>1339</v>
      </c>
      <c r="E761" t="s">
        <v>1101</v>
      </c>
    </row>
    <row r="762" spans="1:5" x14ac:dyDescent="0.25">
      <c r="A762">
        <v>15840</v>
      </c>
      <c r="B762" t="s">
        <v>701</v>
      </c>
      <c r="C762">
        <v>15840001</v>
      </c>
      <c r="D762" t="s">
        <v>1224</v>
      </c>
      <c r="E762" t="s">
        <v>1101</v>
      </c>
    </row>
    <row r="763" spans="1:5" x14ac:dyDescent="0.25">
      <c r="A763">
        <v>57840</v>
      </c>
      <c r="B763" t="s">
        <v>328</v>
      </c>
      <c r="C763">
        <v>57840001</v>
      </c>
      <c r="D763" t="s">
        <v>1340</v>
      </c>
      <c r="E763" t="s">
        <v>1101</v>
      </c>
    </row>
    <row r="764" spans="1:5" x14ac:dyDescent="0.25">
      <c r="A764">
        <v>101840</v>
      </c>
      <c r="B764" t="s">
        <v>29</v>
      </c>
      <c r="C764">
        <v>101840101</v>
      </c>
      <c r="D764" t="s">
        <v>29</v>
      </c>
      <c r="E764" t="s">
        <v>1101</v>
      </c>
    </row>
    <row r="765" spans="1:5" x14ac:dyDescent="0.25">
      <c r="A765">
        <v>101840</v>
      </c>
      <c r="B765" t="s">
        <v>29</v>
      </c>
      <c r="C765">
        <v>101840102</v>
      </c>
      <c r="D765" t="s">
        <v>1495</v>
      </c>
      <c r="E765" t="s">
        <v>1101</v>
      </c>
    </row>
    <row r="766" spans="1:5" x14ac:dyDescent="0.25">
      <c r="A766">
        <v>101840</v>
      </c>
      <c r="B766" t="s">
        <v>29</v>
      </c>
      <c r="C766">
        <v>101840103</v>
      </c>
      <c r="D766" t="s">
        <v>1496</v>
      </c>
      <c r="E766" t="s">
        <v>1101</v>
      </c>
    </row>
    <row r="767" spans="1:5" x14ac:dyDescent="0.25">
      <c r="A767">
        <v>15841</v>
      </c>
      <c r="B767" t="s">
        <v>538</v>
      </c>
      <c r="C767">
        <v>15841001</v>
      </c>
      <c r="D767" t="s">
        <v>538</v>
      </c>
      <c r="E767" t="s">
        <v>1101</v>
      </c>
    </row>
    <row r="768" spans="1:5" x14ac:dyDescent="0.25">
      <c r="A768">
        <v>57841</v>
      </c>
      <c r="B768" t="s">
        <v>329</v>
      </c>
      <c r="C768">
        <v>57841001</v>
      </c>
      <c r="D768" t="s">
        <v>1341</v>
      </c>
      <c r="E768" t="s">
        <v>1101</v>
      </c>
    </row>
    <row r="769" spans="1:5" x14ac:dyDescent="0.25">
      <c r="A769">
        <v>57841</v>
      </c>
      <c r="B769" t="s">
        <v>329</v>
      </c>
      <c r="C769">
        <v>57841002</v>
      </c>
      <c r="D769" t="s">
        <v>1342</v>
      </c>
      <c r="E769" t="s">
        <v>1101</v>
      </c>
    </row>
    <row r="770" spans="1:5" x14ac:dyDescent="0.25">
      <c r="A770">
        <v>15842</v>
      </c>
      <c r="B770" t="s">
        <v>702</v>
      </c>
      <c r="C770">
        <v>15842001</v>
      </c>
      <c r="D770" t="s">
        <v>1225</v>
      </c>
      <c r="E770" t="s">
        <v>1101</v>
      </c>
    </row>
    <row r="771" spans="1:5" x14ac:dyDescent="0.25">
      <c r="A771">
        <v>101842</v>
      </c>
      <c r="B771" t="s">
        <v>30</v>
      </c>
      <c r="C771">
        <v>101842001</v>
      </c>
      <c r="D771" t="s">
        <v>30</v>
      </c>
      <c r="E771" t="s">
        <v>1103</v>
      </c>
    </row>
    <row r="772" spans="1:5" x14ac:dyDescent="0.25">
      <c r="A772">
        <v>15843</v>
      </c>
      <c r="B772" t="s">
        <v>703</v>
      </c>
      <c r="C772">
        <v>15843101</v>
      </c>
      <c r="D772" t="s">
        <v>703</v>
      </c>
      <c r="E772" t="s">
        <v>1101</v>
      </c>
    </row>
    <row r="773" spans="1:5" x14ac:dyDescent="0.25">
      <c r="A773">
        <v>15844</v>
      </c>
      <c r="B773" t="s">
        <v>808</v>
      </c>
      <c r="C773">
        <v>15844101</v>
      </c>
      <c r="D773" t="s">
        <v>808</v>
      </c>
      <c r="E773" t="s">
        <v>1101</v>
      </c>
    </row>
    <row r="774" spans="1:5" x14ac:dyDescent="0.25">
      <c r="A774">
        <v>57844</v>
      </c>
      <c r="B774" t="s">
        <v>330</v>
      </c>
      <c r="C774">
        <v>57844001</v>
      </c>
      <c r="D774" t="s">
        <v>1343</v>
      </c>
      <c r="E774" t="s">
        <v>1101</v>
      </c>
    </row>
    <row r="775" spans="1:5" x14ac:dyDescent="0.25">
      <c r="A775">
        <v>57844</v>
      </c>
      <c r="B775" t="s">
        <v>330</v>
      </c>
      <c r="C775">
        <v>57844101</v>
      </c>
      <c r="D775" t="s">
        <v>330</v>
      </c>
      <c r="E775" t="s">
        <v>1101</v>
      </c>
    </row>
    <row r="776" spans="1:5" x14ac:dyDescent="0.25">
      <c r="A776">
        <v>57844</v>
      </c>
      <c r="B776" t="s">
        <v>330</v>
      </c>
      <c r="C776">
        <v>57844102</v>
      </c>
      <c r="D776" t="s">
        <v>1344</v>
      </c>
      <c r="E776" t="s">
        <v>1101</v>
      </c>
    </row>
    <row r="777" spans="1:5" x14ac:dyDescent="0.25">
      <c r="A777">
        <v>57845</v>
      </c>
      <c r="B777" t="s">
        <v>114</v>
      </c>
      <c r="C777">
        <v>57845001</v>
      </c>
      <c r="D777" t="s">
        <v>114</v>
      </c>
      <c r="E777" t="s">
        <v>1101</v>
      </c>
    </row>
    <row r="778" spans="1:5" x14ac:dyDescent="0.25">
      <c r="A778">
        <v>57845</v>
      </c>
      <c r="B778" t="s">
        <v>114</v>
      </c>
      <c r="C778">
        <v>57845002</v>
      </c>
      <c r="D778" t="s">
        <v>1345</v>
      </c>
      <c r="E778" t="s">
        <v>1101</v>
      </c>
    </row>
    <row r="779" spans="1:5" x14ac:dyDescent="0.25">
      <c r="A779">
        <v>57845</v>
      </c>
      <c r="B779" t="s">
        <v>114</v>
      </c>
      <c r="C779">
        <v>57845003</v>
      </c>
      <c r="D779" t="s">
        <v>1346</v>
      </c>
      <c r="E779" t="s">
        <v>1101</v>
      </c>
    </row>
    <row r="780" spans="1:5" x14ac:dyDescent="0.25">
      <c r="A780">
        <v>57845</v>
      </c>
      <c r="B780" t="s">
        <v>114</v>
      </c>
      <c r="C780">
        <v>57845004</v>
      </c>
      <c r="D780" t="s">
        <v>1347</v>
      </c>
      <c r="E780" t="s">
        <v>1101</v>
      </c>
    </row>
    <row r="781" spans="1:5" x14ac:dyDescent="0.25">
      <c r="A781">
        <v>101845</v>
      </c>
      <c r="B781" t="s">
        <v>101</v>
      </c>
      <c r="C781">
        <v>101845001</v>
      </c>
      <c r="D781" t="s">
        <v>1497</v>
      </c>
      <c r="E781" t="s">
        <v>1101</v>
      </c>
    </row>
    <row r="782" spans="1:5" x14ac:dyDescent="0.25">
      <c r="A782">
        <v>101845</v>
      </c>
      <c r="B782" t="s">
        <v>101</v>
      </c>
      <c r="C782">
        <v>101845002</v>
      </c>
      <c r="D782" t="s">
        <v>1498</v>
      </c>
      <c r="E782" t="s">
        <v>1101</v>
      </c>
    </row>
    <row r="783" spans="1:5" x14ac:dyDescent="0.25">
      <c r="A783">
        <v>101845</v>
      </c>
      <c r="B783" t="s">
        <v>101</v>
      </c>
      <c r="C783">
        <v>101845003</v>
      </c>
      <c r="D783" t="s">
        <v>1499</v>
      </c>
      <c r="E783" t="s">
        <v>1101</v>
      </c>
    </row>
    <row r="784" spans="1:5" x14ac:dyDescent="0.25">
      <c r="A784">
        <v>101845</v>
      </c>
      <c r="B784" t="s">
        <v>101</v>
      </c>
      <c r="C784">
        <v>101845004</v>
      </c>
      <c r="D784" t="s">
        <v>1500</v>
      </c>
      <c r="E784" t="s">
        <v>1101</v>
      </c>
    </row>
    <row r="785" spans="1:5" x14ac:dyDescent="0.25">
      <c r="A785">
        <v>101845</v>
      </c>
      <c r="B785" t="s">
        <v>101</v>
      </c>
      <c r="C785">
        <v>101845005</v>
      </c>
      <c r="D785" t="s">
        <v>1501</v>
      </c>
      <c r="E785" t="s">
        <v>1101</v>
      </c>
    </row>
    <row r="786" spans="1:5" x14ac:dyDescent="0.25">
      <c r="A786">
        <v>101845</v>
      </c>
      <c r="B786" t="s">
        <v>101</v>
      </c>
      <c r="C786">
        <v>101845006</v>
      </c>
      <c r="D786" t="s">
        <v>1502</v>
      </c>
      <c r="E786" t="s">
        <v>1101</v>
      </c>
    </row>
    <row r="787" spans="1:5" x14ac:dyDescent="0.25">
      <c r="A787">
        <v>101845</v>
      </c>
      <c r="B787" t="s">
        <v>101</v>
      </c>
      <c r="C787">
        <v>101845007</v>
      </c>
      <c r="D787" t="s">
        <v>1503</v>
      </c>
      <c r="E787" t="s">
        <v>1101</v>
      </c>
    </row>
    <row r="788" spans="1:5" x14ac:dyDescent="0.25">
      <c r="A788">
        <v>101845</v>
      </c>
      <c r="B788" t="s">
        <v>101</v>
      </c>
      <c r="C788">
        <v>101845008</v>
      </c>
      <c r="D788" t="s">
        <v>1504</v>
      </c>
      <c r="E788" t="s">
        <v>1101</v>
      </c>
    </row>
    <row r="789" spans="1:5" x14ac:dyDescent="0.25">
      <c r="A789">
        <v>101845</v>
      </c>
      <c r="B789" t="s">
        <v>101</v>
      </c>
      <c r="C789">
        <v>101845009</v>
      </c>
      <c r="D789" t="s">
        <v>1505</v>
      </c>
      <c r="E789" t="s">
        <v>1101</v>
      </c>
    </row>
    <row r="790" spans="1:5" x14ac:dyDescent="0.25">
      <c r="A790">
        <v>101845</v>
      </c>
      <c r="B790" t="s">
        <v>101</v>
      </c>
      <c r="C790">
        <v>101845010</v>
      </c>
      <c r="D790" t="s">
        <v>1506</v>
      </c>
      <c r="E790" t="s">
        <v>1101</v>
      </c>
    </row>
    <row r="791" spans="1:5" x14ac:dyDescent="0.25">
      <c r="A791">
        <v>101845</v>
      </c>
      <c r="B791" t="s">
        <v>101</v>
      </c>
      <c r="C791">
        <v>101845011</v>
      </c>
      <c r="D791" t="s">
        <v>1507</v>
      </c>
      <c r="E791" t="s">
        <v>1101</v>
      </c>
    </row>
    <row r="792" spans="1:5" x14ac:dyDescent="0.25">
      <c r="A792">
        <v>101845</v>
      </c>
      <c r="B792" t="s">
        <v>101</v>
      </c>
      <c r="C792">
        <v>101845012</v>
      </c>
      <c r="D792" t="s">
        <v>1508</v>
      </c>
      <c r="E792" t="s">
        <v>1101</v>
      </c>
    </row>
    <row r="793" spans="1:5" x14ac:dyDescent="0.25">
      <c r="A793">
        <v>101845</v>
      </c>
      <c r="B793" t="s">
        <v>101</v>
      </c>
      <c r="C793">
        <v>101845013</v>
      </c>
      <c r="D793" t="s">
        <v>1509</v>
      </c>
      <c r="E793" t="s">
        <v>1101</v>
      </c>
    </row>
    <row r="794" spans="1:5" x14ac:dyDescent="0.25">
      <c r="A794">
        <v>101845</v>
      </c>
      <c r="B794" t="s">
        <v>101</v>
      </c>
      <c r="C794">
        <v>101845014</v>
      </c>
      <c r="D794" t="s">
        <v>1510</v>
      </c>
      <c r="E794" t="s">
        <v>1101</v>
      </c>
    </row>
    <row r="795" spans="1:5" x14ac:dyDescent="0.25">
      <c r="A795">
        <v>101845</v>
      </c>
      <c r="B795" t="s">
        <v>101</v>
      </c>
      <c r="C795">
        <v>101845101</v>
      </c>
      <c r="D795" t="s">
        <v>1511</v>
      </c>
      <c r="E795" t="s">
        <v>1101</v>
      </c>
    </row>
    <row r="796" spans="1:5" x14ac:dyDescent="0.25">
      <c r="A796">
        <v>101845</v>
      </c>
      <c r="B796" t="s">
        <v>101</v>
      </c>
      <c r="C796">
        <v>101845102</v>
      </c>
      <c r="D796" t="s">
        <v>1512</v>
      </c>
      <c r="E796" t="s">
        <v>1101</v>
      </c>
    </row>
    <row r="797" spans="1:5" x14ac:dyDescent="0.25">
      <c r="A797">
        <v>101845</v>
      </c>
      <c r="B797" t="s">
        <v>101</v>
      </c>
      <c r="C797">
        <v>101845103</v>
      </c>
      <c r="D797" t="s">
        <v>1513</v>
      </c>
      <c r="E797" t="s">
        <v>1101</v>
      </c>
    </row>
    <row r="798" spans="1:5" x14ac:dyDescent="0.25">
      <c r="A798">
        <v>101845</v>
      </c>
      <c r="B798" t="s">
        <v>101</v>
      </c>
      <c r="C798">
        <v>101845104</v>
      </c>
      <c r="D798" t="s">
        <v>1514</v>
      </c>
      <c r="E798" t="s">
        <v>1101</v>
      </c>
    </row>
    <row r="799" spans="1:5" x14ac:dyDescent="0.25">
      <c r="A799">
        <v>101845</v>
      </c>
      <c r="B799" t="s">
        <v>101</v>
      </c>
      <c r="C799">
        <v>101845105</v>
      </c>
      <c r="D799" t="s">
        <v>1102</v>
      </c>
      <c r="E799" t="s">
        <v>1101</v>
      </c>
    </row>
    <row r="800" spans="1:5" x14ac:dyDescent="0.25">
      <c r="A800">
        <v>101845</v>
      </c>
      <c r="B800" t="s">
        <v>101</v>
      </c>
      <c r="C800">
        <v>101845106</v>
      </c>
      <c r="D800" t="s">
        <v>1515</v>
      </c>
      <c r="E800" t="s">
        <v>1101</v>
      </c>
    </row>
    <row r="801" spans="1:5" x14ac:dyDescent="0.25">
      <c r="A801">
        <v>101845</v>
      </c>
      <c r="B801" t="s">
        <v>101</v>
      </c>
      <c r="C801">
        <v>101845107</v>
      </c>
      <c r="D801" t="s">
        <v>1516</v>
      </c>
      <c r="E801" t="s">
        <v>1101</v>
      </c>
    </row>
    <row r="802" spans="1:5" x14ac:dyDescent="0.25">
      <c r="A802">
        <v>57846</v>
      </c>
      <c r="B802" t="s">
        <v>115</v>
      </c>
      <c r="C802">
        <v>57846001</v>
      </c>
      <c r="D802" t="s">
        <v>1348</v>
      </c>
      <c r="E802" t="s">
        <v>1101</v>
      </c>
    </row>
    <row r="803" spans="1:5" x14ac:dyDescent="0.25">
      <c r="A803">
        <v>57846</v>
      </c>
      <c r="B803" t="s">
        <v>115</v>
      </c>
      <c r="C803">
        <v>57846003</v>
      </c>
      <c r="D803" t="s">
        <v>1349</v>
      </c>
      <c r="E803" t="s">
        <v>1101</v>
      </c>
    </row>
    <row r="804" spans="1:5" x14ac:dyDescent="0.25">
      <c r="A804">
        <v>101846</v>
      </c>
      <c r="B804" t="s">
        <v>763</v>
      </c>
      <c r="C804">
        <v>101846001</v>
      </c>
      <c r="D804" t="s">
        <v>1517</v>
      </c>
      <c r="E804" t="s">
        <v>1101</v>
      </c>
    </row>
    <row r="805" spans="1:5" x14ac:dyDescent="0.25">
      <c r="A805">
        <v>101846</v>
      </c>
      <c r="B805" t="s">
        <v>763</v>
      </c>
      <c r="C805">
        <v>101846002</v>
      </c>
      <c r="D805" t="s">
        <v>1518</v>
      </c>
      <c r="E805" t="s">
        <v>1101</v>
      </c>
    </row>
    <row r="806" spans="1:5" x14ac:dyDescent="0.25">
      <c r="A806">
        <v>101846</v>
      </c>
      <c r="B806" t="s">
        <v>763</v>
      </c>
      <c r="C806">
        <v>101846003</v>
      </c>
      <c r="D806" t="s">
        <v>1519</v>
      </c>
      <c r="E806" t="s">
        <v>1101</v>
      </c>
    </row>
    <row r="807" spans="1:5" x14ac:dyDescent="0.25">
      <c r="A807">
        <v>101846</v>
      </c>
      <c r="B807" t="s">
        <v>763</v>
      </c>
      <c r="C807">
        <v>101846006</v>
      </c>
      <c r="D807" t="s">
        <v>1520</v>
      </c>
      <c r="E807" t="s">
        <v>1101</v>
      </c>
    </row>
    <row r="808" spans="1:5" x14ac:dyDescent="0.25">
      <c r="A808">
        <v>101846</v>
      </c>
      <c r="B808" t="s">
        <v>763</v>
      </c>
      <c r="C808">
        <v>101846102</v>
      </c>
      <c r="D808" t="s">
        <v>1521</v>
      </c>
      <c r="E808" t="s">
        <v>1101</v>
      </c>
    </row>
    <row r="809" spans="1:5" x14ac:dyDescent="0.25">
      <c r="A809">
        <v>57847</v>
      </c>
      <c r="B809" t="s">
        <v>331</v>
      </c>
      <c r="C809">
        <v>57847001</v>
      </c>
      <c r="D809" t="s">
        <v>331</v>
      </c>
      <c r="E809" t="s">
        <v>1101</v>
      </c>
    </row>
    <row r="810" spans="1:5" x14ac:dyDescent="0.25">
      <c r="A810">
        <v>101847</v>
      </c>
      <c r="B810" t="s">
        <v>32</v>
      </c>
      <c r="C810">
        <v>101847101</v>
      </c>
      <c r="D810" t="s">
        <v>32</v>
      </c>
      <c r="E810" t="s">
        <v>1101</v>
      </c>
    </row>
    <row r="811" spans="1:5" x14ac:dyDescent="0.25">
      <c r="A811">
        <v>57848</v>
      </c>
      <c r="B811" t="s">
        <v>457</v>
      </c>
      <c r="C811">
        <v>57848001</v>
      </c>
      <c r="D811" t="s">
        <v>1350</v>
      </c>
      <c r="E811" t="s">
        <v>1101</v>
      </c>
    </row>
    <row r="812" spans="1:5" x14ac:dyDescent="0.25">
      <c r="A812">
        <v>57848</v>
      </c>
      <c r="B812" t="s">
        <v>457</v>
      </c>
      <c r="C812">
        <v>57848002</v>
      </c>
      <c r="D812" t="s">
        <v>1351</v>
      </c>
      <c r="E812" t="s">
        <v>1101</v>
      </c>
    </row>
    <row r="813" spans="1:5" x14ac:dyDescent="0.25">
      <c r="A813">
        <v>57848</v>
      </c>
      <c r="B813" t="s">
        <v>457</v>
      </c>
      <c r="C813">
        <v>57848003</v>
      </c>
      <c r="D813" t="s">
        <v>1352</v>
      </c>
      <c r="E813" t="s">
        <v>1101</v>
      </c>
    </row>
    <row r="814" spans="1:5" x14ac:dyDescent="0.25">
      <c r="A814">
        <v>57848</v>
      </c>
      <c r="B814" t="s">
        <v>457</v>
      </c>
      <c r="C814">
        <v>57848004</v>
      </c>
      <c r="D814" t="s">
        <v>1353</v>
      </c>
      <c r="E814" t="s">
        <v>1101</v>
      </c>
    </row>
    <row r="815" spans="1:5" x14ac:dyDescent="0.25">
      <c r="A815">
        <v>57848</v>
      </c>
      <c r="B815" t="s">
        <v>457</v>
      </c>
      <c r="C815">
        <v>57848005</v>
      </c>
      <c r="D815" t="s">
        <v>1354</v>
      </c>
      <c r="E815" t="s">
        <v>1101</v>
      </c>
    </row>
    <row r="816" spans="1:5" x14ac:dyDescent="0.25">
      <c r="A816">
        <v>57848</v>
      </c>
      <c r="B816" t="s">
        <v>457</v>
      </c>
      <c r="C816">
        <v>57848006</v>
      </c>
      <c r="D816" t="s">
        <v>1355</v>
      </c>
      <c r="E816" t="s">
        <v>1101</v>
      </c>
    </row>
    <row r="817" spans="1:5" x14ac:dyDescent="0.25">
      <c r="A817">
        <v>57848</v>
      </c>
      <c r="B817" t="s">
        <v>457</v>
      </c>
      <c r="C817">
        <v>57848007</v>
      </c>
      <c r="D817" t="s">
        <v>1356</v>
      </c>
      <c r="E817" t="s">
        <v>1101</v>
      </c>
    </row>
    <row r="818" spans="1:5" x14ac:dyDescent="0.25">
      <c r="A818">
        <v>57848</v>
      </c>
      <c r="B818" t="s">
        <v>457</v>
      </c>
      <c r="C818">
        <v>57848008</v>
      </c>
      <c r="D818" t="s">
        <v>1357</v>
      </c>
      <c r="E818" t="s">
        <v>1101</v>
      </c>
    </row>
    <row r="819" spans="1:5" x14ac:dyDescent="0.25">
      <c r="A819">
        <v>57848</v>
      </c>
      <c r="B819" t="s">
        <v>457</v>
      </c>
      <c r="C819">
        <v>57848009</v>
      </c>
      <c r="D819" t="s">
        <v>1358</v>
      </c>
      <c r="E819" t="s">
        <v>1101</v>
      </c>
    </row>
    <row r="820" spans="1:5" x14ac:dyDescent="0.25">
      <c r="A820">
        <v>57848</v>
      </c>
      <c r="B820" t="s">
        <v>457</v>
      </c>
      <c r="C820">
        <v>57848010</v>
      </c>
      <c r="D820" t="s">
        <v>1359</v>
      </c>
      <c r="E820" t="s">
        <v>1101</v>
      </c>
    </row>
    <row r="821" spans="1:5" x14ac:dyDescent="0.25">
      <c r="A821">
        <v>57848</v>
      </c>
      <c r="B821" t="s">
        <v>457</v>
      </c>
      <c r="C821">
        <v>57848011</v>
      </c>
      <c r="D821" t="s">
        <v>1360</v>
      </c>
      <c r="E821" t="s">
        <v>1101</v>
      </c>
    </row>
    <row r="822" spans="1:5" x14ac:dyDescent="0.25">
      <c r="A822">
        <v>57848</v>
      </c>
      <c r="B822" t="s">
        <v>457</v>
      </c>
      <c r="C822">
        <v>57848012</v>
      </c>
      <c r="D822" t="s">
        <v>1361</v>
      </c>
      <c r="E822" t="s">
        <v>1101</v>
      </c>
    </row>
    <row r="823" spans="1:5" x14ac:dyDescent="0.25">
      <c r="A823">
        <v>57848</v>
      </c>
      <c r="B823" t="s">
        <v>457</v>
      </c>
      <c r="C823">
        <v>57848013</v>
      </c>
      <c r="D823" t="s">
        <v>1362</v>
      </c>
      <c r="E823" t="s">
        <v>1101</v>
      </c>
    </row>
    <row r="824" spans="1:5" x14ac:dyDescent="0.25">
      <c r="A824">
        <v>57848</v>
      </c>
      <c r="B824" t="s">
        <v>457</v>
      </c>
      <c r="C824">
        <v>57848014</v>
      </c>
      <c r="D824" t="s">
        <v>1363</v>
      </c>
      <c r="E824" t="s">
        <v>1101</v>
      </c>
    </row>
    <row r="825" spans="1:5" x14ac:dyDescent="0.25">
      <c r="A825">
        <v>57848</v>
      </c>
      <c r="B825" t="s">
        <v>457</v>
      </c>
      <c r="C825">
        <v>57848015</v>
      </c>
      <c r="D825" t="s">
        <v>1364</v>
      </c>
      <c r="E825" t="s">
        <v>1101</v>
      </c>
    </row>
    <row r="826" spans="1:5" x14ac:dyDescent="0.25">
      <c r="A826">
        <v>57848</v>
      </c>
      <c r="B826" t="s">
        <v>457</v>
      </c>
      <c r="C826">
        <v>57848016</v>
      </c>
      <c r="D826" t="s">
        <v>1365</v>
      </c>
      <c r="E826" t="s">
        <v>1101</v>
      </c>
    </row>
    <row r="827" spans="1:5" x14ac:dyDescent="0.25">
      <c r="A827">
        <v>57848</v>
      </c>
      <c r="B827" t="s">
        <v>457</v>
      </c>
      <c r="C827">
        <v>57848017</v>
      </c>
      <c r="D827" t="s">
        <v>1366</v>
      </c>
      <c r="E827" t="s">
        <v>1101</v>
      </c>
    </row>
    <row r="828" spans="1:5" x14ac:dyDescent="0.25">
      <c r="A828">
        <v>57848</v>
      </c>
      <c r="B828" t="s">
        <v>457</v>
      </c>
      <c r="C828">
        <v>57848018</v>
      </c>
      <c r="D828" t="s">
        <v>1367</v>
      </c>
      <c r="E828" t="s">
        <v>1101</v>
      </c>
    </row>
    <row r="829" spans="1:5" x14ac:dyDescent="0.25">
      <c r="A829">
        <v>57848</v>
      </c>
      <c r="B829" t="s">
        <v>457</v>
      </c>
      <c r="C829">
        <v>57848019</v>
      </c>
      <c r="D829" t="s">
        <v>1368</v>
      </c>
      <c r="E829" t="s">
        <v>1101</v>
      </c>
    </row>
    <row r="830" spans="1:5" x14ac:dyDescent="0.25">
      <c r="A830">
        <v>57848</v>
      </c>
      <c r="B830" t="s">
        <v>457</v>
      </c>
      <c r="C830">
        <v>57848020</v>
      </c>
      <c r="D830" t="s">
        <v>1369</v>
      </c>
      <c r="E830" t="s">
        <v>1101</v>
      </c>
    </row>
    <row r="831" spans="1:5" x14ac:dyDescent="0.25">
      <c r="A831">
        <v>57848</v>
      </c>
      <c r="B831" t="s">
        <v>457</v>
      </c>
      <c r="C831">
        <v>57848021</v>
      </c>
      <c r="D831" t="s">
        <v>1370</v>
      </c>
      <c r="E831" t="s">
        <v>1101</v>
      </c>
    </row>
    <row r="832" spans="1:5" x14ac:dyDescent="0.25">
      <c r="A832">
        <v>57848</v>
      </c>
      <c r="B832" t="s">
        <v>457</v>
      </c>
      <c r="C832">
        <v>57848022</v>
      </c>
      <c r="D832" t="s">
        <v>1371</v>
      </c>
      <c r="E832" t="s">
        <v>1101</v>
      </c>
    </row>
    <row r="833" spans="1:5" x14ac:dyDescent="0.25">
      <c r="A833">
        <v>57848</v>
      </c>
      <c r="B833" t="s">
        <v>457</v>
      </c>
      <c r="C833">
        <v>57848023</v>
      </c>
      <c r="D833" t="s">
        <v>1372</v>
      </c>
      <c r="E833" t="s">
        <v>1101</v>
      </c>
    </row>
    <row r="834" spans="1:5" x14ac:dyDescent="0.25">
      <c r="A834">
        <v>57848</v>
      </c>
      <c r="B834" t="s">
        <v>457</v>
      </c>
      <c r="C834">
        <v>57848024</v>
      </c>
      <c r="D834" t="s">
        <v>1373</v>
      </c>
      <c r="E834" t="s">
        <v>1101</v>
      </c>
    </row>
    <row r="835" spans="1:5" x14ac:dyDescent="0.25">
      <c r="A835">
        <v>57848</v>
      </c>
      <c r="B835" t="s">
        <v>457</v>
      </c>
      <c r="C835">
        <v>57848025</v>
      </c>
      <c r="D835" t="s">
        <v>1374</v>
      </c>
      <c r="E835" t="s">
        <v>1101</v>
      </c>
    </row>
    <row r="836" spans="1:5" x14ac:dyDescent="0.25">
      <c r="A836">
        <v>57848</v>
      </c>
      <c r="B836" t="s">
        <v>457</v>
      </c>
      <c r="C836">
        <v>57848026</v>
      </c>
      <c r="D836" t="s">
        <v>1375</v>
      </c>
      <c r="E836" t="s">
        <v>1101</v>
      </c>
    </row>
    <row r="837" spans="1:5" x14ac:dyDescent="0.25">
      <c r="A837">
        <v>57848</v>
      </c>
      <c r="B837" t="s">
        <v>457</v>
      </c>
      <c r="C837">
        <v>57848027</v>
      </c>
      <c r="D837" t="s">
        <v>1376</v>
      </c>
      <c r="E837" t="s">
        <v>1101</v>
      </c>
    </row>
    <row r="838" spans="1:5" x14ac:dyDescent="0.25">
      <c r="A838">
        <v>57848</v>
      </c>
      <c r="B838" t="s">
        <v>457</v>
      </c>
      <c r="C838">
        <v>57848028</v>
      </c>
      <c r="D838" t="s">
        <v>1377</v>
      </c>
      <c r="E838" t="s">
        <v>1101</v>
      </c>
    </row>
    <row r="839" spans="1:5" x14ac:dyDescent="0.25">
      <c r="A839">
        <v>57848</v>
      </c>
      <c r="B839" t="s">
        <v>457</v>
      </c>
      <c r="C839">
        <v>57848030</v>
      </c>
      <c r="D839" t="s">
        <v>1378</v>
      </c>
      <c r="E839" t="s">
        <v>1101</v>
      </c>
    </row>
    <row r="840" spans="1:5" x14ac:dyDescent="0.25">
      <c r="A840">
        <v>57848</v>
      </c>
      <c r="B840" t="s">
        <v>457</v>
      </c>
      <c r="C840">
        <v>57848031</v>
      </c>
      <c r="D840" t="s">
        <v>1379</v>
      </c>
      <c r="E840" t="s">
        <v>1101</v>
      </c>
    </row>
    <row r="841" spans="1:5" x14ac:dyDescent="0.25">
      <c r="A841">
        <v>57848</v>
      </c>
      <c r="B841" t="s">
        <v>457</v>
      </c>
      <c r="C841">
        <v>57848032</v>
      </c>
      <c r="D841" t="s">
        <v>1380</v>
      </c>
      <c r="E841" t="s">
        <v>1101</v>
      </c>
    </row>
    <row r="842" spans="1:5" x14ac:dyDescent="0.25">
      <c r="A842">
        <v>57848</v>
      </c>
      <c r="B842" t="s">
        <v>457</v>
      </c>
      <c r="C842">
        <v>57848033</v>
      </c>
      <c r="D842" t="s">
        <v>1381</v>
      </c>
      <c r="E842" t="s">
        <v>1101</v>
      </c>
    </row>
    <row r="843" spans="1:5" x14ac:dyDescent="0.25">
      <c r="A843">
        <v>57848</v>
      </c>
      <c r="B843" t="s">
        <v>457</v>
      </c>
      <c r="C843">
        <v>57848034</v>
      </c>
      <c r="D843" t="s">
        <v>1382</v>
      </c>
      <c r="E843" t="s">
        <v>1101</v>
      </c>
    </row>
    <row r="844" spans="1:5" x14ac:dyDescent="0.25">
      <c r="A844">
        <v>57848</v>
      </c>
      <c r="B844" t="s">
        <v>457</v>
      </c>
      <c r="C844">
        <v>57848041</v>
      </c>
      <c r="D844" t="s">
        <v>1383</v>
      </c>
      <c r="E844" t="s">
        <v>1101</v>
      </c>
    </row>
    <row r="845" spans="1:5" x14ac:dyDescent="0.25">
      <c r="A845">
        <v>57848</v>
      </c>
      <c r="B845" t="s">
        <v>457</v>
      </c>
      <c r="C845">
        <v>57848042</v>
      </c>
      <c r="D845" t="s">
        <v>1384</v>
      </c>
      <c r="E845" t="s">
        <v>1101</v>
      </c>
    </row>
    <row r="846" spans="1:5" x14ac:dyDescent="0.25">
      <c r="A846">
        <v>101849</v>
      </c>
      <c r="B846" t="s">
        <v>14</v>
      </c>
      <c r="C846">
        <v>101849041</v>
      </c>
      <c r="D846" t="s">
        <v>1522</v>
      </c>
      <c r="E846" t="s">
        <v>1101</v>
      </c>
    </row>
    <row r="847" spans="1:5" x14ac:dyDescent="0.25">
      <c r="A847">
        <v>101849</v>
      </c>
      <c r="B847" t="s">
        <v>14</v>
      </c>
      <c r="C847">
        <v>101849101</v>
      </c>
      <c r="D847" t="s">
        <v>1523</v>
      </c>
      <c r="E847" t="s">
        <v>1101</v>
      </c>
    </row>
    <row r="848" spans="1:5" x14ac:dyDescent="0.25">
      <c r="A848">
        <v>57850</v>
      </c>
      <c r="B848" t="s">
        <v>383</v>
      </c>
      <c r="C848">
        <v>57850001</v>
      </c>
      <c r="D848" t="s">
        <v>1385</v>
      </c>
      <c r="E848" t="s">
        <v>1101</v>
      </c>
    </row>
    <row r="849" spans="1:5" x14ac:dyDescent="0.25">
      <c r="A849">
        <v>57850</v>
      </c>
      <c r="B849" t="s">
        <v>383</v>
      </c>
      <c r="C849">
        <v>57850002</v>
      </c>
      <c r="D849" t="s">
        <v>1386</v>
      </c>
      <c r="E849" t="s">
        <v>1101</v>
      </c>
    </row>
    <row r="850" spans="1:5" x14ac:dyDescent="0.25">
      <c r="A850">
        <v>57850</v>
      </c>
      <c r="B850" t="s">
        <v>383</v>
      </c>
      <c r="C850">
        <v>57850003</v>
      </c>
      <c r="D850" t="s">
        <v>1387</v>
      </c>
      <c r="E850" t="s">
        <v>1101</v>
      </c>
    </row>
    <row r="851" spans="1:5" x14ac:dyDescent="0.25">
      <c r="A851">
        <v>57850</v>
      </c>
      <c r="B851" t="s">
        <v>383</v>
      </c>
      <c r="C851">
        <v>57850004</v>
      </c>
      <c r="D851" t="s">
        <v>1388</v>
      </c>
      <c r="E851" t="s">
        <v>1101</v>
      </c>
    </row>
    <row r="852" spans="1:5" x14ac:dyDescent="0.25">
      <c r="A852">
        <v>57850</v>
      </c>
      <c r="B852" t="s">
        <v>383</v>
      </c>
      <c r="C852">
        <v>57850005</v>
      </c>
      <c r="D852" t="s">
        <v>1389</v>
      </c>
      <c r="E852" t="s">
        <v>1101</v>
      </c>
    </row>
    <row r="853" spans="1:5" x14ac:dyDescent="0.25">
      <c r="A853">
        <v>57850</v>
      </c>
      <c r="B853" t="s">
        <v>383</v>
      </c>
      <c r="C853">
        <v>57850006</v>
      </c>
      <c r="D853" t="s">
        <v>1390</v>
      </c>
      <c r="E853" t="s">
        <v>1101</v>
      </c>
    </row>
    <row r="854" spans="1:5" x14ac:dyDescent="0.25">
      <c r="A854">
        <v>57851</v>
      </c>
      <c r="B854" t="s">
        <v>436</v>
      </c>
      <c r="C854">
        <v>57851101</v>
      </c>
      <c r="D854" t="s">
        <v>436</v>
      </c>
      <c r="E854" t="s">
        <v>1101</v>
      </c>
    </row>
    <row r="855" spans="1:5" x14ac:dyDescent="0.25">
      <c r="A855">
        <v>101853</v>
      </c>
      <c r="B855" t="s">
        <v>812</v>
      </c>
      <c r="C855">
        <v>101853042</v>
      </c>
      <c r="D855" t="s">
        <v>1524</v>
      </c>
      <c r="E855" t="s">
        <v>1101</v>
      </c>
    </row>
    <row r="856" spans="1:5" x14ac:dyDescent="0.25">
      <c r="A856">
        <v>101853</v>
      </c>
      <c r="B856" t="s">
        <v>812</v>
      </c>
      <c r="C856">
        <v>101853101</v>
      </c>
      <c r="D856" t="s">
        <v>1525</v>
      </c>
      <c r="E856" t="s">
        <v>1101</v>
      </c>
    </row>
    <row r="857" spans="1:5" x14ac:dyDescent="0.25">
      <c r="A857">
        <v>101853</v>
      </c>
      <c r="B857" t="s">
        <v>812</v>
      </c>
      <c r="C857">
        <v>101853104</v>
      </c>
      <c r="D857" t="s">
        <v>1526</v>
      </c>
      <c r="E857" t="s">
        <v>1101</v>
      </c>
    </row>
    <row r="858" spans="1:5" x14ac:dyDescent="0.25">
      <c r="A858">
        <v>101853</v>
      </c>
      <c r="B858" t="s">
        <v>812</v>
      </c>
      <c r="C858">
        <v>101853106</v>
      </c>
      <c r="D858" t="s">
        <v>1527</v>
      </c>
      <c r="E858" t="s">
        <v>1101</v>
      </c>
    </row>
    <row r="859" spans="1:5" x14ac:dyDescent="0.25">
      <c r="A859">
        <v>101853</v>
      </c>
      <c r="B859" t="s">
        <v>812</v>
      </c>
      <c r="C859">
        <v>101853108</v>
      </c>
      <c r="D859" t="s">
        <v>1528</v>
      </c>
      <c r="E859" t="s">
        <v>1101</v>
      </c>
    </row>
    <row r="860" spans="1:5" x14ac:dyDescent="0.25">
      <c r="A860">
        <v>101855</v>
      </c>
      <c r="B860" t="s">
        <v>1060</v>
      </c>
      <c r="C860">
        <v>101855101</v>
      </c>
      <c r="D860" t="s">
        <v>1529</v>
      </c>
      <c r="E860" t="s">
        <v>1101</v>
      </c>
    </row>
    <row r="861" spans="1:5" x14ac:dyDescent="0.25">
      <c r="A861">
        <v>101856</v>
      </c>
      <c r="B861" t="s">
        <v>33</v>
      </c>
      <c r="C861">
        <v>101856101</v>
      </c>
      <c r="D861" t="s">
        <v>33</v>
      </c>
      <c r="E861" t="s">
        <v>1103</v>
      </c>
    </row>
    <row r="862" spans="1:5" x14ac:dyDescent="0.25">
      <c r="A862">
        <v>101858</v>
      </c>
      <c r="B862" t="s">
        <v>764</v>
      </c>
      <c r="C862">
        <v>101858001</v>
      </c>
      <c r="D862" t="s">
        <v>1530</v>
      </c>
      <c r="E862" t="s">
        <v>1101</v>
      </c>
    </row>
    <row r="863" spans="1:5" x14ac:dyDescent="0.25">
      <c r="A863">
        <v>101858</v>
      </c>
      <c r="B863" t="s">
        <v>764</v>
      </c>
      <c r="C863">
        <v>101858002</v>
      </c>
      <c r="D863" t="s">
        <v>1531</v>
      </c>
      <c r="E863" t="s">
        <v>1101</v>
      </c>
    </row>
    <row r="864" spans="1:5" x14ac:dyDescent="0.25">
      <c r="A864">
        <v>101858</v>
      </c>
      <c r="B864" t="s">
        <v>764</v>
      </c>
      <c r="C864">
        <v>101858003</v>
      </c>
      <c r="D864" t="s">
        <v>1532</v>
      </c>
      <c r="E864" t="s">
        <v>1101</v>
      </c>
    </row>
    <row r="865" spans="1:5" x14ac:dyDescent="0.25">
      <c r="A865">
        <v>101858</v>
      </c>
      <c r="B865" t="s">
        <v>764</v>
      </c>
      <c r="C865">
        <v>101858004</v>
      </c>
      <c r="D865" t="s">
        <v>1533</v>
      </c>
      <c r="E865" t="s">
        <v>1101</v>
      </c>
    </row>
    <row r="866" spans="1:5" x14ac:dyDescent="0.25">
      <c r="A866">
        <v>101858</v>
      </c>
      <c r="B866" t="s">
        <v>764</v>
      </c>
      <c r="C866">
        <v>101858005</v>
      </c>
      <c r="D866" t="s">
        <v>1534</v>
      </c>
      <c r="E866" t="s">
        <v>1101</v>
      </c>
    </row>
    <row r="867" spans="1:5" x14ac:dyDescent="0.25">
      <c r="A867">
        <v>101858</v>
      </c>
      <c r="B867" t="s">
        <v>764</v>
      </c>
      <c r="C867">
        <v>101858006</v>
      </c>
      <c r="D867" t="s">
        <v>1535</v>
      </c>
      <c r="E867" t="s">
        <v>1101</v>
      </c>
    </row>
    <row r="868" spans="1:5" x14ac:dyDescent="0.25">
      <c r="A868">
        <v>101858</v>
      </c>
      <c r="B868" t="s">
        <v>764</v>
      </c>
      <c r="C868">
        <v>101858007</v>
      </c>
      <c r="D868" t="s">
        <v>1536</v>
      </c>
      <c r="E868" t="s">
        <v>1101</v>
      </c>
    </row>
    <row r="869" spans="1:5" x14ac:dyDescent="0.25">
      <c r="A869">
        <v>101858</v>
      </c>
      <c r="B869" t="s">
        <v>764</v>
      </c>
      <c r="C869">
        <v>101858008</v>
      </c>
      <c r="D869" t="s">
        <v>1537</v>
      </c>
      <c r="E869" t="s">
        <v>1101</v>
      </c>
    </row>
    <row r="870" spans="1:5" x14ac:dyDescent="0.25">
      <c r="A870">
        <v>101858</v>
      </c>
      <c r="B870" t="s">
        <v>764</v>
      </c>
      <c r="C870">
        <v>101858009</v>
      </c>
      <c r="D870" t="s">
        <v>1538</v>
      </c>
      <c r="E870" t="s">
        <v>1101</v>
      </c>
    </row>
    <row r="871" spans="1:5" x14ac:dyDescent="0.25">
      <c r="A871">
        <v>101858</v>
      </c>
      <c r="B871" t="s">
        <v>764</v>
      </c>
      <c r="C871">
        <v>101858010</v>
      </c>
      <c r="D871" t="s">
        <v>1539</v>
      </c>
      <c r="E871" t="s">
        <v>1101</v>
      </c>
    </row>
    <row r="872" spans="1:5" x14ac:dyDescent="0.25">
      <c r="A872">
        <v>101859</v>
      </c>
      <c r="B872" t="s">
        <v>347</v>
      </c>
      <c r="C872">
        <v>101859101</v>
      </c>
      <c r="D872" t="s">
        <v>1540</v>
      </c>
      <c r="E872" t="s">
        <v>1101</v>
      </c>
    </row>
    <row r="873" spans="1:5" x14ac:dyDescent="0.25">
      <c r="A873">
        <v>101859</v>
      </c>
      <c r="B873" t="s">
        <v>347</v>
      </c>
      <c r="C873">
        <v>101859102</v>
      </c>
      <c r="D873" t="s">
        <v>1541</v>
      </c>
      <c r="E873" t="s">
        <v>1101</v>
      </c>
    </row>
    <row r="874" spans="1:5" x14ac:dyDescent="0.25">
      <c r="A874">
        <v>101861</v>
      </c>
      <c r="B874" t="s">
        <v>704</v>
      </c>
      <c r="C874">
        <v>101861104</v>
      </c>
      <c r="D874" t="s">
        <v>1542</v>
      </c>
      <c r="E874" t="s">
        <v>1101</v>
      </c>
    </row>
    <row r="875" spans="1:5" x14ac:dyDescent="0.25">
      <c r="A875">
        <v>101861</v>
      </c>
      <c r="B875" t="s">
        <v>704</v>
      </c>
      <c r="C875">
        <v>101861105</v>
      </c>
      <c r="D875" t="s">
        <v>1543</v>
      </c>
      <c r="E875" t="s">
        <v>1101</v>
      </c>
    </row>
    <row r="876" spans="1:5" x14ac:dyDescent="0.25">
      <c r="A876">
        <v>101862</v>
      </c>
      <c r="B876" t="s">
        <v>765</v>
      </c>
      <c r="C876">
        <v>101862001</v>
      </c>
      <c r="D876" t="s">
        <v>1544</v>
      </c>
      <c r="E876" t="s">
        <v>1101</v>
      </c>
    </row>
    <row r="877" spans="1:5" x14ac:dyDescent="0.25">
      <c r="A877">
        <v>101862</v>
      </c>
      <c r="B877" t="s">
        <v>765</v>
      </c>
      <c r="C877">
        <v>101862002</v>
      </c>
      <c r="D877" t="s">
        <v>1545</v>
      </c>
      <c r="E877" t="s">
        <v>1101</v>
      </c>
    </row>
    <row r="878" spans="1:5" x14ac:dyDescent="0.25">
      <c r="A878">
        <v>101862</v>
      </c>
      <c r="B878" t="s">
        <v>765</v>
      </c>
      <c r="C878">
        <v>101862003</v>
      </c>
      <c r="D878" t="s">
        <v>1546</v>
      </c>
      <c r="E878" t="s">
        <v>1101</v>
      </c>
    </row>
    <row r="879" spans="1:5" x14ac:dyDescent="0.25">
      <c r="A879">
        <v>101862</v>
      </c>
      <c r="B879" t="s">
        <v>765</v>
      </c>
      <c r="C879">
        <v>101862004</v>
      </c>
      <c r="D879" t="s">
        <v>1547</v>
      </c>
      <c r="E879" t="s">
        <v>1101</v>
      </c>
    </row>
    <row r="880" spans="1:5" x14ac:dyDescent="0.25">
      <c r="A880">
        <v>101862</v>
      </c>
      <c r="B880" t="s">
        <v>765</v>
      </c>
      <c r="C880">
        <v>101862005</v>
      </c>
      <c r="D880" t="s">
        <v>1548</v>
      </c>
      <c r="E880" t="s">
        <v>1101</v>
      </c>
    </row>
    <row r="881" spans="1:5" x14ac:dyDescent="0.25">
      <c r="A881">
        <v>101862</v>
      </c>
      <c r="B881" t="s">
        <v>765</v>
      </c>
      <c r="C881">
        <v>101862006</v>
      </c>
      <c r="D881" t="s">
        <v>1549</v>
      </c>
      <c r="E881" t="s">
        <v>1101</v>
      </c>
    </row>
    <row r="882" spans="1:5" x14ac:dyDescent="0.25">
      <c r="A882">
        <v>101864</v>
      </c>
      <c r="B882" t="s">
        <v>350</v>
      </c>
      <c r="C882">
        <v>101864041</v>
      </c>
      <c r="D882" t="s">
        <v>350</v>
      </c>
      <c r="E882" t="s">
        <v>1103</v>
      </c>
    </row>
    <row r="883" spans="1:5" x14ac:dyDescent="0.25">
      <c r="A883">
        <v>101868</v>
      </c>
      <c r="B883" t="s">
        <v>351</v>
      </c>
      <c r="C883">
        <v>101868001</v>
      </c>
      <c r="D883" t="s">
        <v>351</v>
      </c>
      <c r="E883" t="s">
        <v>1103</v>
      </c>
    </row>
    <row r="884" spans="1:5" x14ac:dyDescent="0.25">
      <c r="A884">
        <v>101868</v>
      </c>
      <c r="B884" t="s">
        <v>351</v>
      </c>
      <c r="C884">
        <v>101868002</v>
      </c>
      <c r="D884" t="s">
        <v>1550</v>
      </c>
      <c r="E884" t="s">
        <v>1103</v>
      </c>
    </row>
    <row r="885" spans="1:5" x14ac:dyDescent="0.25">
      <c r="A885">
        <v>101870</v>
      </c>
      <c r="B885" t="s">
        <v>368</v>
      </c>
      <c r="C885">
        <v>101870001</v>
      </c>
      <c r="D885" t="s">
        <v>368</v>
      </c>
      <c r="E885" t="s">
        <v>1101</v>
      </c>
    </row>
    <row r="886" spans="1:5" x14ac:dyDescent="0.25">
      <c r="A886">
        <v>101870</v>
      </c>
      <c r="B886" t="s">
        <v>368</v>
      </c>
      <c r="C886">
        <v>101870002</v>
      </c>
      <c r="D886" t="s">
        <v>368</v>
      </c>
      <c r="E886" t="s">
        <v>1101</v>
      </c>
    </row>
    <row r="887" spans="1:5" x14ac:dyDescent="0.25">
      <c r="A887">
        <v>101871</v>
      </c>
      <c r="B887" t="s">
        <v>382</v>
      </c>
      <c r="C887">
        <v>101871102</v>
      </c>
      <c r="D887" t="s">
        <v>1551</v>
      </c>
      <c r="E887" t="s">
        <v>1101</v>
      </c>
    </row>
    <row r="888" spans="1:5" x14ac:dyDescent="0.25">
      <c r="A888">
        <v>101872</v>
      </c>
      <c r="B888" t="s">
        <v>437</v>
      </c>
      <c r="C888">
        <v>101872001</v>
      </c>
      <c r="D888" t="s">
        <v>437</v>
      </c>
      <c r="E888" t="s">
        <v>1101</v>
      </c>
    </row>
    <row r="889" spans="1:5" x14ac:dyDescent="0.25">
      <c r="A889">
        <v>101873</v>
      </c>
      <c r="B889" t="s">
        <v>446</v>
      </c>
      <c r="C889">
        <v>101873001</v>
      </c>
      <c r="D889" t="s">
        <v>446</v>
      </c>
      <c r="E889" t="s">
        <v>1101</v>
      </c>
    </row>
    <row r="890" spans="1:5" x14ac:dyDescent="0.25">
      <c r="A890">
        <v>101874</v>
      </c>
      <c r="B890" t="s">
        <v>439</v>
      </c>
      <c r="C890">
        <v>101874001</v>
      </c>
      <c r="D890" t="s">
        <v>439</v>
      </c>
      <c r="E890" t="s">
        <v>1101</v>
      </c>
    </row>
    <row r="891" spans="1:5" x14ac:dyDescent="0.25">
      <c r="A891">
        <v>101875</v>
      </c>
      <c r="B891" t="s">
        <v>458</v>
      </c>
      <c r="C891">
        <v>101875001</v>
      </c>
      <c r="D891" t="s">
        <v>458</v>
      </c>
      <c r="E891" t="s">
        <v>1101</v>
      </c>
    </row>
    <row r="892" spans="1:5" x14ac:dyDescent="0.25">
      <c r="A892">
        <v>101876</v>
      </c>
      <c r="B892" t="s">
        <v>459</v>
      </c>
      <c r="C892">
        <v>101876001</v>
      </c>
      <c r="D892" t="s">
        <v>459</v>
      </c>
      <c r="E892" t="s">
        <v>1101</v>
      </c>
    </row>
    <row r="893" spans="1:5" x14ac:dyDescent="0.25">
      <c r="A893">
        <v>101877</v>
      </c>
      <c r="B893" t="s">
        <v>539</v>
      </c>
      <c r="C893">
        <v>101877001</v>
      </c>
      <c r="D893" t="s">
        <v>1552</v>
      </c>
      <c r="E893" t="s">
        <v>1101</v>
      </c>
    </row>
    <row r="894" spans="1:5" x14ac:dyDescent="0.25">
      <c r="A894">
        <v>101878</v>
      </c>
      <c r="B894" t="s">
        <v>540</v>
      </c>
      <c r="C894">
        <v>101878001</v>
      </c>
      <c r="D894" t="s">
        <v>1553</v>
      </c>
      <c r="E894" t="s">
        <v>1101</v>
      </c>
    </row>
  </sheetData>
  <sheetProtection algorithmName="SHA-512" hashValue="f2TD7S7y9x8tcmFImMPCG+NKe+k727O5VQZXPXgH8D4XjD6zhvz8byntGYXtSxPdKimpeNgwTOYgcNrPBvJblg==" saltValue="brZGBE+sWJzbucXTClpUag=="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5709F-2A36-4914-996B-B4725706A647}">
  <dimension ref="A1:D186"/>
  <sheetViews>
    <sheetView workbookViewId="0">
      <selection activeCell="C2" sqref="C2"/>
    </sheetView>
  </sheetViews>
  <sheetFormatPr defaultRowHeight="12.5" x14ac:dyDescent="0.25"/>
  <cols>
    <col min="1" max="1" width="9.1796875" bestFit="1" customWidth="1"/>
    <col min="2" max="2" width="57.54296875" bestFit="1" customWidth="1"/>
    <col min="3" max="3" width="19.7265625" bestFit="1" customWidth="1"/>
    <col min="4" max="4" width="20.81640625" bestFit="1" customWidth="1"/>
  </cols>
  <sheetData>
    <row r="1" spans="1:4" x14ac:dyDescent="0.25">
      <c r="A1" t="s">
        <v>1096</v>
      </c>
      <c r="B1" t="s">
        <v>1097</v>
      </c>
      <c r="C1" s="511" t="s">
        <v>1910</v>
      </c>
      <c r="D1" s="512" t="s">
        <v>1909</v>
      </c>
    </row>
    <row r="2" spans="1:4" x14ac:dyDescent="0.25">
      <c r="A2">
        <v>0</v>
      </c>
      <c r="C2" s="511"/>
      <c r="D2" s="512">
        <v>0</v>
      </c>
    </row>
    <row r="3" spans="1:4" x14ac:dyDescent="0.25">
      <c r="A3">
        <v>3801</v>
      </c>
      <c r="B3" t="s">
        <v>53</v>
      </c>
      <c r="C3">
        <v>3</v>
      </c>
      <c r="D3">
        <v>45000</v>
      </c>
    </row>
    <row r="4" spans="1:4" x14ac:dyDescent="0.25">
      <c r="A4">
        <v>13801</v>
      </c>
      <c r="B4" t="s">
        <v>54</v>
      </c>
      <c r="C4">
        <v>1</v>
      </c>
      <c r="D4">
        <v>15000</v>
      </c>
    </row>
    <row r="5" spans="1:4" x14ac:dyDescent="0.25">
      <c r="A5">
        <v>14801</v>
      </c>
      <c r="B5" t="s">
        <v>35</v>
      </c>
      <c r="C5">
        <v>9</v>
      </c>
      <c r="D5">
        <v>135000</v>
      </c>
    </row>
    <row r="6" spans="1:4" x14ac:dyDescent="0.25">
      <c r="A6">
        <v>15801</v>
      </c>
      <c r="B6" t="s">
        <v>36</v>
      </c>
      <c r="C6">
        <v>2</v>
      </c>
      <c r="D6">
        <v>30000</v>
      </c>
    </row>
    <row r="7" spans="1:4" x14ac:dyDescent="0.25">
      <c r="A7">
        <v>43801</v>
      </c>
      <c r="B7" t="s">
        <v>321</v>
      </c>
      <c r="C7">
        <v>1</v>
      </c>
      <c r="D7">
        <v>15000</v>
      </c>
    </row>
    <row r="8" spans="1:4" x14ac:dyDescent="0.25">
      <c r="A8">
        <v>70801</v>
      </c>
      <c r="B8" t="s">
        <v>1093</v>
      </c>
      <c r="C8">
        <v>2</v>
      </c>
      <c r="D8">
        <v>30000</v>
      </c>
    </row>
    <row r="9" spans="1:4" x14ac:dyDescent="0.25">
      <c r="A9">
        <v>71801</v>
      </c>
      <c r="B9" t="s">
        <v>84</v>
      </c>
      <c r="C9">
        <v>3</v>
      </c>
      <c r="D9">
        <v>45000</v>
      </c>
    </row>
    <row r="10" spans="1:4" x14ac:dyDescent="0.25">
      <c r="A10">
        <v>72801</v>
      </c>
      <c r="B10" t="s">
        <v>97</v>
      </c>
      <c r="C10">
        <v>46</v>
      </c>
      <c r="D10">
        <v>690000</v>
      </c>
    </row>
    <row r="11" spans="1:4" x14ac:dyDescent="0.25">
      <c r="A11">
        <v>92801</v>
      </c>
      <c r="B11" t="s">
        <v>28</v>
      </c>
      <c r="C11">
        <v>1</v>
      </c>
      <c r="D11">
        <v>15000</v>
      </c>
    </row>
    <row r="12" spans="1:4" x14ac:dyDescent="0.25">
      <c r="A12">
        <v>105801</v>
      </c>
      <c r="B12" t="s">
        <v>34</v>
      </c>
      <c r="C12">
        <v>1</v>
      </c>
      <c r="D12">
        <v>15000</v>
      </c>
    </row>
    <row r="13" spans="1:4" x14ac:dyDescent="0.25">
      <c r="A13">
        <v>111801</v>
      </c>
      <c r="B13" t="s">
        <v>461</v>
      </c>
      <c r="C13">
        <v>1</v>
      </c>
      <c r="D13">
        <v>15000</v>
      </c>
    </row>
    <row r="14" spans="1:4" x14ac:dyDescent="0.25">
      <c r="A14">
        <v>130801</v>
      </c>
      <c r="B14" t="s">
        <v>441</v>
      </c>
      <c r="C14">
        <v>2</v>
      </c>
      <c r="D14">
        <v>30000</v>
      </c>
    </row>
    <row r="15" spans="1:4" x14ac:dyDescent="0.25">
      <c r="A15">
        <v>174801</v>
      </c>
      <c r="B15" t="s">
        <v>359</v>
      </c>
      <c r="C15">
        <v>1</v>
      </c>
      <c r="D15">
        <v>15000</v>
      </c>
    </row>
    <row r="16" spans="1:4" x14ac:dyDescent="0.25">
      <c r="A16">
        <v>178801</v>
      </c>
      <c r="B16" t="s">
        <v>93</v>
      </c>
      <c r="C16">
        <v>1</v>
      </c>
      <c r="D16">
        <v>15000</v>
      </c>
    </row>
    <row r="17" spans="1:4" x14ac:dyDescent="0.25">
      <c r="A17">
        <v>183801</v>
      </c>
      <c r="B17" t="s">
        <v>71</v>
      </c>
      <c r="C17">
        <v>3</v>
      </c>
      <c r="D17">
        <v>45000</v>
      </c>
    </row>
    <row r="18" spans="1:4" x14ac:dyDescent="0.25">
      <c r="A18">
        <v>184801</v>
      </c>
      <c r="B18" t="s">
        <v>6</v>
      </c>
      <c r="C18">
        <v>1</v>
      </c>
      <c r="D18">
        <v>15000</v>
      </c>
    </row>
    <row r="19" spans="1:4" x14ac:dyDescent="0.25">
      <c r="A19">
        <v>193801</v>
      </c>
      <c r="B19" t="s">
        <v>72</v>
      </c>
      <c r="C19">
        <v>2</v>
      </c>
      <c r="D19">
        <v>30000</v>
      </c>
    </row>
    <row r="20" spans="1:4" x14ac:dyDescent="0.25">
      <c r="A20">
        <v>212801</v>
      </c>
      <c r="B20" t="s">
        <v>73</v>
      </c>
      <c r="C20">
        <v>5</v>
      </c>
      <c r="D20">
        <v>75000</v>
      </c>
    </row>
    <row r="21" spans="1:4" x14ac:dyDescent="0.25">
      <c r="A21">
        <v>213801</v>
      </c>
      <c r="B21" t="s">
        <v>74</v>
      </c>
      <c r="C21">
        <v>1</v>
      </c>
      <c r="D21">
        <v>15000</v>
      </c>
    </row>
    <row r="22" spans="1:4" x14ac:dyDescent="0.25">
      <c r="A22">
        <v>220801</v>
      </c>
      <c r="B22" t="s">
        <v>75</v>
      </c>
      <c r="C22">
        <v>1</v>
      </c>
      <c r="D22">
        <v>15000</v>
      </c>
    </row>
    <row r="23" spans="1:4" x14ac:dyDescent="0.25">
      <c r="A23">
        <v>221801</v>
      </c>
      <c r="B23" t="s">
        <v>363</v>
      </c>
      <c r="C23">
        <v>41</v>
      </c>
      <c r="D23">
        <v>615000</v>
      </c>
    </row>
    <row r="24" spans="1:4" x14ac:dyDescent="0.25">
      <c r="A24">
        <v>226801</v>
      </c>
      <c r="B24" t="s">
        <v>639</v>
      </c>
      <c r="C24">
        <v>4</v>
      </c>
      <c r="D24">
        <v>60000</v>
      </c>
    </row>
    <row r="25" spans="1:4" x14ac:dyDescent="0.25">
      <c r="A25">
        <v>234801</v>
      </c>
      <c r="B25" t="s">
        <v>81</v>
      </c>
      <c r="C25">
        <v>1</v>
      </c>
      <c r="D25">
        <v>15000</v>
      </c>
    </row>
    <row r="26" spans="1:4" x14ac:dyDescent="0.25">
      <c r="A26">
        <v>236801</v>
      </c>
      <c r="B26" t="s">
        <v>82</v>
      </c>
      <c r="C26">
        <v>1</v>
      </c>
      <c r="D26">
        <v>15000</v>
      </c>
    </row>
    <row r="27" spans="1:4" x14ac:dyDescent="0.25">
      <c r="A27">
        <v>240801</v>
      </c>
      <c r="B27" t="s">
        <v>464</v>
      </c>
      <c r="C27">
        <v>2</v>
      </c>
      <c r="D27">
        <v>30000</v>
      </c>
    </row>
    <row r="28" spans="1:4" x14ac:dyDescent="0.25">
      <c r="A28">
        <v>246801</v>
      </c>
      <c r="B28" t="s">
        <v>96</v>
      </c>
      <c r="C28">
        <v>1</v>
      </c>
      <c r="D28">
        <v>15000</v>
      </c>
    </row>
    <row r="29" spans="1:4" x14ac:dyDescent="0.25">
      <c r="A29">
        <v>15802</v>
      </c>
      <c r="B29" t="s">
        <v>55</v>
      </c>
      <c r="C29">
        <v>2</v>
      </c>
      <c r="D29">
        <v>30000</v>
      </c>
    </row>
    <row r="30" spans="1:4" x14ac:dyDescent="0.25">
      <c r="A30">
        <v>43802</v>
      </c>
      <c r="B30" t="s">
        <v>440</v>
      </c>
      <c r="C30">
        <v>1</v>
      </c>
      <c r="D30">
        <v>15000</v>
      </c>
    </row>
    <row r="31" spans="1:4" x14ac:dyDescent="0.25">
      <c r="A31">
        <v>46802</v>
      </c>
      <c r="B31" t="s">
        <v>41</v>
      </c>
      <c r="C31">
        <v>9</v>
      </c>
      <c r="D31">
        <v>135000</v>
      </c>
    </row>
    <row r="32" spans="1:4" x14ac:dyDescent="0.25">
      <c r="A32">
        <v>57802</v>
      </c>
      <c r="B32" t="s">
        <v>17</v>
      </c>
      <c r="C32">
        <v>1</v>
      </c>
      <c r="D32">
        <v>15000</v>
      </c>
    </row>
    <row r="33" spans="1:4" x14ac:dyDescent="0.25">
      <c r="A33">
        <v>61802</v>
      </c>
      <c r="B33" t="s">
        <v>333</v>
      </c>
      <c r="C33">
        <v>3</v>
      </c>
      <c r="D33">
        <v>45000</v>
      </c>
    </row>
    <row r="34" spans="1:4" x14ac:dyDescent="0.25">
      <c r="A34">
        <v>68802</v>
      </c>
      <c r="B34" t="s">
        <v>335</v>
      </c>
      <c r="C34">
        <v>1</v>
      </c>
      <c r="D34">
        <v>15000</v>
      </c>
    </row>
    <row r="35" spans="1:4" x14ac:dyDescent="0.25">
      <c r="A35">
        <v>72802</v>
      </c>
      <c r="B35" t="s">
        <v>340</v>
      </c>
      <c r="C35">
        <v>2</v>
      </c>
      <c r="D35">
        <v>30000</v>
      </c>
    </row>
    <row r="36" spans="1:4" x14ac:dyDescent="0.25">
      <c r="A36">
        <v>84802</v>
      </c>
      <c r="B36" t="s">
        <v>341</v>
      </c>
      <c r="C36">
        <v>2</v>
      </c>
      <c r="D36">
        <v>30000</v>
      </c>
    </row>
    <row r="37" spans="1:4" x14ac:dyDescent="0.25">
      <c r="A37">
        <v>101802</v>
      </c>
      <c r="B37" t="s">
        <v>50</v>
      </c>
      <c r="C37">
        <v>4</v>
      </c>
      <c r="D37">
        <v>60000</v>
      </c>
    </row>
    <row r="38" spans="1:4" x14ac:dyDescent="0.25">
      <c r="A38">
        <v>105802</v>
      </c>
      <c r="B38" t="s">
        <v>3</v>
      </c>
      <c r="C38">
        <v>2</v>
      </c>
      <c r="D38">
        <v>30000</v>
      </c>
    </row>
    <row r="39" spans="1:4" x14ac:dyDescent="0.25">
      <c r="A39">
        <v>108802</v>
      </c>
      <c r="B39" t="s">
        <v>352</v>
      </c>
      <c r="C39">
        <v>4</v>
      </c>
      <c r="D39">
        <v>60000</v>
      </c>
    </row>
    <row r="40" spans="1:4" x14ac:dyDescent="0.25">
      <c r="A40">
        <v>152802</v>
      </c>
      <c r="B40" t="s">
        <v>89</v>
      </c>
      <c r="C40">
        <v>1</v>
      </c>
      <c r="D40">
        <v>15000</v>
      </c>
    </row>
    <row r="41" spans="1:4" x14ac:dyDescent="0.25">
      <c r="A41">
        <v>161802</v>
      </c>
      <c r="B41" t="s">
        <v>357</v>
      </c>
      <c r="C41">
        <v>3</v>
      </c>
      <c r="D41">
        <v>45000</v>
      </c>
    </row>
    <row r="42" spans="1:4" x14ac:dyDescent="0.25">
      <c r="A42">
        <v>165802</v>
      </c>
      <c r="B42" t="s">
        <v>90</v>
      </c>
      <c r="C42">
        <v>1</v>
      </c>
      <c r="D42">
        <v>15000</v>
      </c>
    </row>
    <row r="43" spans="1:4" x14ac:dyDescent="0.25">
      <c r="A43">
        <v>170802</v>
      </c>
      <c r="B43" t="s">
        <v>805</v>
      </c>
      <c r="C43">
        <v>1</v>
      </c>
      <c r="D43">
        <v>15000</v>
      </c>
    </row>
    <row r="44" spans="1:4" x14ac:dyDescent="0.25">
      <c r="A44">
        <v>220802</v>
      </c>
      <c r="B44" t="s">
        <v>76</v>
      </c>
      <c r="C44">
        <v>3</v>
      </c>
      <c r="D44">
        <v>45000</v>
      </c>
    </row>
    <row r="45" spans="1:4" x14ac:dyDescent="0.25">
      <c r="A45">
        <v>236802</v>
      </c>
      <c r="B45" t="s">
        <v>385</v>
      </c>
      <c r="C45">
        <v>1</v>
      </c>
      <c r="D45">
        <v>15000</v>
      </c>
    </row>
    <row r="46" spans="1:4" x14ac:dyDescent="0.25">
      <c r="A46">
        <v>246802</v>
      </c>
      <c r="B46" t="s">
        <v>414</v>
      </c>
      <c r="C46">
        <v>1</v>
      </c>
      <c r="D46">
        <v>15000</v>
      </c>
    </row>
    <row r="47" spans="1:4" x14ac:dyDescent="0.25">
      <c r="A47">
        <v>14803</v>
      </c>
      <c r="B47" t="s">
        <v>315</v>
      </c>
      <c r="C47">
        <v>4</v>
      </c>
      <c r="D47">
        <v>60000</v>
      </c>
    </row>
    <row r="48" spans="1:4" x14ac:dyDescent="0.25">
      <c r="A48">
        <v>21803</v>
      </c>
      <c r="B48" t="s">
        <v>40</v>
      </c>
      <c r="C48">
        <v>2</v>
      </c>
      <c r="D48">
        <v>30000</v>
      </c>
    </row>
    <row r="49" spans="1:4" x14ac:dyDescent="0.25">
      <c r="A49">
        <v>57803</v>
      </c>
      <c r="B49" t="s">
        <v>381</v>
      </c>
      <c r="C49">
        <v>43</v>
      </c>
      <c r="D49">
        <v>645000</v>
      </c>
    </row>
    <row r="50" spans="1:4" x14ac:dyDescent="0.25">
      <c r="A50">
        <v>71803</v>
      </c>
      <c r="B50" t="s">
        <v>465</v>
      </c>
      <c r="C50">
        <v>2</v>
      </c>
      <c r="D50">
        <v>30000</v>
      </c>
    </row>
    <row r="51" spans="1:4" x14ac:dyDescent="0.25">
      <c r="A51">
        <v>101803</v>
      </c>
      <c r="B51" t="s">
        <v>91</v>
      </c>
      <c r="C51">
        <v>3</v>
      </c>
      <c r="D51">
        <v>45000</v>
      </c>
    </row>
    <row r="52" spans="1:4" x14ac:dyDescent="0.25">
      <c r="A52">
        <v>105803</v>
      </c>
      <c r="B52" t="s">
        <v>1094</v>
      </c>
      <c r="C52">
        <v>6</v>
      </c>
      <c r="D52">
        <v>90000</v>
      </c>
    </row>
    <row r="53" spans="1:4" x14ac:dyDescent="0.25">
      <c r="A53">
        <v>123803</v>
      </c>
      <c r="B53" t="s">
        <v>354</v>
      </c>
      <c r="C53">
        <v>4</v>
      </c>
      <c r="D53">
        <v>60000</v>
      </c>
    </row>
    <row r="54" spans="1:4" x14ac:dyDescent="0.25">
      <c r="A54">
        <v>152803</v>
      </c>
      <c r="B54" t="s">
        <v>466</v>
      </c>
      <c r="C54">
        <v>1</v>
      </c>
      <c r="D54">
        <v>15000</v>
      </c>
    </row>
    <row r="55" spans="1:4" x14ac:dyDescent="0.25">
      <c r="A55">
        <v>227803</v>
      </c>
      <c r="B55" t="s">
        <v>364</v>
      </c>
      <c r="C55">
        <v>4</v>
      </c>
      <c r="D55">
        <v>60000</v>
      </c>
    </row>
    <row r="56" spans="1:4" x14ac:dyDescent="0.25">
      <c r="A56">
        <v>14804</v>
      </c>
      <c r="B56" t="s">
        <v>1</v>
      </c>
      <c r="C56">
        <v>5</v>
      </c>
      <c r="D56">
        <v>75000</v>
      </c>
    </row>
    <row r="57" spans="1:4" x14ac:dyDescent="0.25">
      <c r="A57">
        <v>57804</v>
      </c>
      <c r="B57" t="s">
        <v>322</v>
      </c>
      <c r="C57">
        <v>13</v>
      </c>
      <c r="D57">
        <v>195000</v>
      </c>
    </row>
    <row r="58" spans="1:4" x14ac:dyDescent="0.25">
      <c r="A58">
        <v>61804</v>
      </c>
      <c r="B58" t="s">
        <v>334</v>
      </c>
      <c r="C58">
        <v>2</v>
      </c>
      <c r="D58">
        <v>30000</v>
      </c>
    </row>
    <row r="59" spans="1:4" x14ac:dyDescent="0.25">
      <c r="A59">
        <v>71804</v>
      </c>
      <c r="B59" t="s">
        <v>25</v>
      </c>
      <c r="C59">
        <v>2</v>
      </c>
      <c r="D59">
        <v>30000</v>
      </c>
    </row>
    <row r="60" spans="1:4" x14ac:dyDescent="0.25">
      <c r="A60">
        <v>84804</v>
      </c>
      <c r="B60" t="s">
        <v>64</v>
      </c>
      <c r="C60">
        <v>1</v>
      </c>
      <c r="D60">
        <v>15000</v>
      </c>
    </row>
    <row r="61" spans="1:4" x14ac:dyDescent="0.25">
      <c r="A61">
        <v>101804</v>
      </c>
      <c r="B61" t="s">
        <v>7</v>
      </c>
      <c r="C61">
        <v>2</v>
      </c>
      <c r="D61">
        <v>30000</v>
      </c>
    </row>
    <row r="62" spans="1:4" x14ac:dyDescent="0.25">
      <c r="A62">
        <v>105804</v>
      </c>
      <c r="B62" t="s">
        <v>806</v>
      </c>
      <c r="C62">
        <v>1</v>
      </c>
      <c r="D62">
        <v>15000</v>
      </c>
    </row>
    <row r="63" spans="1:4" x14ac:dyDescent="0.25">
      <c r="A63">
        <v>108804</v>
      </c>
      <c r="B63" t="s">
        <v>460</v>
      </c>
      <c r="C63">
        <v>4</v>
      </c>
      <c r="D63">
        <v>60000</v>
      </c>
    </row>
    <row r="64" spans="1:4" x14ac:dyDescent="0.25">
      <c r="A64">
        <v>212804</v>
      </c>
      <c r="B64" t="s">
        <v>462</v>
      </c>
      <c r="C64">
        <v>3</v>
      </c>
      <c r="D64">
        <v>45000</v>
      </c>
    </row>
    <row r="65" spans="1:4" x14ac:dyDescent="0.25">
      <c r="A65">
        <v>227804</v>
      </c>
      <c r="B65" t="s">
        <v>78</v>
      </c>
      <c r="C65">
        <v>2</v>
      </c>
      <c r="D65">
        <v>30000</v>
      </c>
    </row>
    <row r="66" spans="1:4" x14ac:dyDescent="0.25">
      <c r="A66">
        <v>15805</v>
      </c>
      <c r="B66" t="s">
        <v>453</v>
      </c>
      <c r="C66">
        <v>2</v>
      </c>
      <c r="D66">
        <v>30000</v>
      </c>
    </row>
    <row r="67" spans="1:4" x14ac:dyDescent="0.25">
      <c r="A67">
        <v>21805</v>
      </c>
      <c r="B67" t="s">
        <v>320</v>
      </c>
      <c r="C67">
        <v>4</v>
      </c>
      <c r="D67">
        <v>60000</v>
      </c>
    </row>
    <row r="68" spans="1:4" x14ac:dyDescent="0.25">
      <c r="A68">
        <v>61805</v>
      </c>
      <c r="B68" t="s">
        <v>384</v>
      </c>
      <c r="C68">
        <v>1</v>
      </c>
      <c r="D68">
        <v>15000</v>
      </c>
    </row>
    <row r="69" spans="1:4" x14ac:dyDescent="0.25">
      <c r="A69">
        <v>123805</v>
      </c>
      <c r="B69" t="s">
        <v>4</v>
      </c>
      <c r="C69">
        <v>1</v>
      </c>
      <c r="D69">
        <v>15000</v>
      </c>
    </row>
    <row r="70" spans="1:4" x14ac:dyDescent="0.25">
      <c r="A70">
        <v>227805</v>
      </c>
      <c r="B70" t="s">
        <v>79</v>
      </c>
      <c r="C70">
        <v>2</v>
      </c>
      <c r="D70">
        <v>30000</v>
      </c>
    </row>
    <row r="71" spans="1:4" x14ac:dyDescent="0.25">
      <c r="A71">
        <v>15806</v>
      </c>
      <c r="B71" t="s">
        <v>698</v>
      </c>
      <c r="C71">
        <v>4</v>
      </c>
      <c r="D71">
        <v>60000</v>
      </c>
    </row>
    <row r="72" spans="1:4" x14ac:dyDescent="0.25">
      <c r="A72">
        <v>57806</v>
      </c>
      <c r="B72" t="s">
        <v>324</v>
      </c>
      <c r="C72">
        <v>1</v>
      </c>
      <c r="D72">
        <v>15000</v>
      </c>
    </row>
    <row r="73" spans="1:4" x14ac:dyDescent="0.25">
      <c r="A73">
        <v>71806</v>
      </c>
      <c r="B73" t="s">
        <v>758</v>
      </c>
      <c r="C73">
        <v>6</v>
      </c>
      <c r="D73">
        <v>90000</v>
      </c>
    </row>
    <row r="74" spans="1:4" x14ac:dyDescent="0.25">
      <c r="A74">
        <v>101806</v>
      </c>
      <c r="B74" t="s">
        <v>444</v>
      </c>
      <c r="C74">
        <v>6</v>
      </c>
      <c r="D74">
        <v>90000</v>
      </c>
    </row>
    <row r="75" spans="1:4" x14ac:dyDescent="0.25">
      <c r="A75">
        <v>152806</v>
      </c>
      <c r="B75" t="s">
        <v>535</v>
      </c>
      <c r="C75">
        <v>1</v>
      </c>
      <c r="D75">
        <v>15000</v>
      </c>
    </row>
    <row r="76" spans="1:4" x14ac:dyDescent="0.25">
      <c r="A76">
        <v>227806</v>
      </c>
      <c r="B76" t="s">
        <v>85</v>
      </c>
      <c r="C76">
        <v>21</v>
      </c>
      <c r="D76">
        <v>315000</v>
      </c>
    </row>
    <row r="77" spans="1:4" x14ac:dyDescent="0.25">
      <c r="A77">
        <v>15807</v>
      </c>
      <c r="B77" t="s">
        <v>38</v>
      </c>
      <c r="C77">
        <v>6</v>
      </c>
      <c r="D77">
        <v>90000</v>
      </c>
    </row>
    <row r="78" spans="1:4" x14ac:dyDescent="0.25">
      <c r="A78">
        <v>57807</v>
      </c>
      <c r="B78" t="s">
        <v>18</v>
      </c>
      <c r="C78">
        <v>8</v>
      </c>
      <c r="D78">
        <v>120000</v>
      </c>
    </row>
    <row r="79" spans="1:4" x14ac:dyDescent="0.25">
      <c r="A79">
        <v>71807</v>
      </c>
      <c r="B79" t="s">
        <v>63</v>
      </c>
      <c r="C79">
        <v>1</v>
      </c>
      <c r="D79">
        <v>15000</v>
      </c>
    </row>
    <row r="80" spans="1:4" x14ac:dyDescent="0.25">
      <c r="A80">
        <v>108807</v>
      </c>
      <c r="B80" t="s">
        <v>95</v>
      </c>
      <c r="C80">
        <v>123</v>
      </c>
      <c r="D80">
        <v>1845000</v>
      </c>
    </row>
    <row r="81" spans="1:4" x14ac:dyDescent="0.25">
      <c r="A81">
        <v>123807</v>
      </c>
      <c r="B81" t="s">
        <v>355</v>
      </c>
      <c r="C81">
        <v>4</v>
      </c>
      <c r="D81">
        <v>60000</v>
      </c>
    </row>
    <row r="82" spans="1:4" x14ac:dyDescent="0.25">
      <c r="A82">
        <v>161807</v>
      </c>
      <c r="B82" t="s">
        <v>759</v>
      </c>
      <c r="C82">
        <v>16</v>
      </c>
      <c r="D82">
        <v>240000</v>
      </c>
    </row>
    <row r="83" spans="1:4" x14ac:dyDescent="0.25">
      <c r="A83">
        <v>178807</v>
      </c>
      <c r="B83" t="s">
        <v>68</v>
      </c>
      <c r="C83">
        <v>1</v>
      </c>
      <c r="D83">
        <v>15000</v>
      </c>
    </row>
    <row r="84" spans="1:4" x14ac:dyDescent="0.25">
      <c r="A84">
        <v>15808</v>
      </c>
      <c r="B84" t="s">
        <v>438</v>
      </c>
      <c r="C84">
        <v>6</v>
      </c>
      <c r="D84">
        <v>90000</v>
      </c>
    </row>
    <row r="85" spans="1:4" x14ac:dyDescent="0.25">
      <c r="A85">
        <v>57808</v>
      </c>
      <c r="B85" t="s">
        <v>42</v>
      </c>
      <c r="C85">
        <v>2</v>
      </c>
      <c r="D85">
        <v>30000</v>
      </c>
    </row>
    <row r="86" spans="1:4" x14ac:dyDescent="0.25">
      <c r="A86">
        <v>108808</v>
      </c>
      <c r="B86" t="s">
        <v>88</v>
      </c>
      <c r="C86">
        <v>5</v>
      </c>
      <c r="D86">
        <v>75000</v>
      </c>
    </row>
    <row r="87" spans="1:4" x14ac:dyDescent="0.25">
      <c r="A87">
        <v>178808</v>
      </c>
      <c r="B87" t="s">
        <v>99</v>
      </c>
      <c r="C87">
        <v>2</v>
      </c>
      <c r="D87">
        <v>30000</v>
      </c>
    </row>
    <row r="88" spans="1:4" x14ac:dyDescent="0.25">
      <c r="A88">
        <v>15809</v>
      </c>
      <c r="B88" t="s">
        <v>37</v>
      </c>
      <c r="C88">
        <v>1</v>
      </c>
      <c r="D88">
        <v>15000</v>
      </c>
    </row>
    <row r="89" spans="1:4" x14ac:dyDescent="0.25">
      <c r="A89">
        <v>57809</v>
      </c>
      <c r="B89" t="s">
        <v>325</v>
      </c>
      <c r="C89">
        <v>1</v>
      </c>
      <c r="D89">
        <v>15000</v>
      </c>
    </row>
    <row r="90" spans="1:4" x14ac:dyDescent="0.25">
      <c r="A90">
        <v>71809</v>
      </c>
      <c r="B90" t="s">
        <v>338</v>
      </c>
      <c r="C90">
        <v>1</v>
      </c>
      <c r="D90">
        <v>15000</v>
      </c>
    </row>
    <row r="91" spans="1:4" x14ac:dyDescent="0.25">
      <c r="A91">
        <v>108809</v>
      </c>
      <c r="B91" t="s">
        <v>116</v>
      </c>
      <c r="C91">
        <v>1</v>
      </c>
      <c r="D91">
        <v>15000</v>
      </c>
    </row>
    <row r="92" spans="1:4" x14ac:dyDescent="0.25">
      <c r="A92">
        <v>220809</v>
      </c>
      <c r="B92" t="s">
        <v>77</v>
      </c>
      <c r="C92">
        <v>2</v>
      </c>
      <c r="D92">
        <v>30000</v>
      </c>
    </row>
    <row r="93" spans="1:4" x14ac:dyDescent="0.25">
      <c r="A93">
        <v>57810</v>
      </c>
      <c r="B93" t="s">
        <v>20</v>
      </c>
      <c r="C93">
        <v>1</v>
      </c>
      <c r="D93">
        <v>15000</v>
      </c>
    </row>
    <row r="94" spans="1:4" x14ac:dyDescent="0.25">
      <c r="A94">
        <v>71810</v>
      </c>
      <c r="B94" t="s">
        <v>339</v>
      </c>
      <c r="C94">
        <v>3</v>
      </c>
      <c r="D94">
        <v>45000</v>
      </c>
    </row>
    <row r="95" spans="1:4" x14ac:dyDescent="0.25">
      <c r="A95">
        <v>101810</v>
      </c>
      <c r="B95" t="s">
        <v>342</v>
      </c>
      <c r="C95">
        <v>1</v>
      </c>
      <c r="D95">
        <v>15000</v>
      </c>
    </row>
    <row r="96" spans="1:4" x14ac:dyDescent="0.25">
      <c r="A96">
        <v>220810</v>
      </c>
      <c r="B96" t="s">
        <v>0</v>
      </c>
      <c r="C96">
        <v>1</v>
      </c>
      <c r="D96">
        <v>15000</v>
      </c>
    </row>
    <row r="97" spans="1:4" x14ac:dyDescent="0.25">
      <c r="A97">
        <v>101811</v>
      </c>
      <c r="B97" t="s">
        <v>343</v>
      </c>
      <c r="C97">
        <v>4</v>
      </c>
      <c r="D97">
        <v>60000</v>
      </c>
    </row>
    <row r="98" spans="1:4" x14ac:dyDescent="0.25">
      <c r="A98">
        <v>220811</v>
      </c>
      <c r="B98" t="s">
        <v>62</v>
      </c>
      <c r="C98">
        <v>1</v>
      </c>
      <c r="D98">
        <v>15000</v>
      </c>
    </row>
    <row r="99" spans="1:4" x14ac:dyDescent="0.25">
      <c r="A99">
        <v>57813</v>
      </c>
      <c r="B99" t="s">
        <v>21</v>
      </c>
      <c r="C99">
        <v>3</v>
      </c>
      <c r="D99">
        <v>45000</v>
      </c>
    </row>
    <row r="100" spans="1:4" x14ac:dyDescent="0.25">
      <c r="A100">
        <v>15814</v>
      </c>
      <c r="B100" t="s">
        <v>39</v>
      </c>
      <c r="C100">
        <v>1</v>
      </c>
      <c r="D100">
        <v>15000</v>
      </c>
    </row>
    <row r="101" spans="1:4" x14ac:dyDescent="0.25">
      <c r="A101">
        <v>57814</v>
      </c>
      <c r="B101" t="s">
        <v>326</v>
      </c>
      <c r="C101">
        <v>4</v>
      </c>
      <c r="D101">
        <v>60000</v>
      </c>
    </row>
    <row r="102" spans="1:4" x14ac:dyDescent="0.25">
      <c r="A102">
        <v>101814</v>
      </c>
      <c r="B102" t="s">
        <v>344</v>
      </c>
      <c r="C102">
        <v>3</v>
      </c>
      <c r="D102">
        <v>45000</v>
      </c>
    </row>
    <row r="103" spans="1:4" x14ac:dyDescent="0.25">
      <c r="A103">
        <v>220814</v>
      </c>
      <c r="B103" t="s">
        <v>360</v>
      </c>
      <c r="C103">
        <v>1</v>
      </c>
      <c r="D103">
        <v>15000</v>
      </c>
    </row>
    <row r="104" spans="1:4" x14ac:dyDescent="0.25">
      <c r="A104">
        <v>227814</v>
      </c>
      <c r="B104" t="s">
        <v>92</v>
      </c>
      <c r="C104">
        <v>1</v>
      </c>
      <c r="D104">
        <v>15000</v>
      </c>
    </row>
    <row r="105" spans="1:4" x14ac:dyDescent="0.25">
      <c r="A105">
        <v>15815</v>
      </c>
      <c r="B105" t="s">
        <v>386</v>
      </c>
      <c r="C105">
        <v>5</v>
      </c>
      <c r="D105">
        <v>75000</v>
      </c>
    </row>
    <row r="106" spans="1:4" x14ac:dyDescent="0.25">
      <c r="A106">
        <v>101815</v>
      </c>
      <c r="B106" t="s">
        <v>52</v>
      </c>
      <c r="C106">
        <v>1</v>
      </c>
      <c r="D106">
        <v>15000</v>
      </c>
    </row>
    <row r="107" spans="1:4" x14ac:dyDescent="0.25">
      <c r="A107">
        <v>220815</v>
      </c>
      <c r="B107" t="s">
        <v>361</v>
      </c>
      <c r="C107">
        <v>1</v>
      </c>
      <c r="D107">
        <v>15000</v>
      </c>
    </row>
    <row r="108" spans="1:4" x14ac:dyDescent="0.25">
      <c r="A108">
        <v>57816</v>
      </c>
      <c r="B108" t="s">
        <v>425</v>
      </c>
      <c r="C108">
        <v>2</v>
      </c>
      <c r="D108">
        <v>30000</v>
      </c>
    </row>
    <row r="109" spans="1:4" x14ac:dyDescent="0.25">
      <c r="A109">
        <v>227816</v>
      </c>
      <c r="B109" t="s">
        <v>760</v>
      </c>
      <c r="C109">
        <v>7</v>
      </c>
      <c r="D109">
        <v>105000</v>
      </c>
    </row>
    <row r="110" spans="1:4" x14ac:dyDescent="0.25">
      <c r="A110">
        <v>220817</v>
      </c>
      <c r="B110" t="s">
        <v>362</v>
      </c>
      <c r="C110">
        <v>7</v>
      </c>
      <c r="D110">
        <v>105000</v>
      </c>
    </row>
    <row r="111" spans="1:4" x14ac:dyDescent="0.25">
      <c r="A111">
        <v>227817</v>
      </c>
      <c r="B111" t="s">
        <v>80</v>
      </c>
      <c r="C111">
        <v>2</v>
      </c>
      <c r="D111">
        <v>30000</v>
      </c>
    </row>
    <row r="112" spans="1:4" x14ac:dyDescent="0.25">
      <c r="A112">
        <v>57819</v>
      </c>
      <c r="B112" t="s">
        <v>43</v>
      </c>
      <c r="C112">
        <v>1</v>
      </c>
      <c r="D112">
        <v>15000</v>
      </c>
    </row>
    <row r="113" spans="1:4" x14ac:dyDescent="0.25">
      <c r="A113">
        <v>101819</v>
      </c>
      <c r="B113" t="s">
        <v>345</v>
      </c>
      <c r="C113">
        <v>2</v>
      </c>
      <c r="D113">
        <v>30000</v>
      </c>
    </row>
    <row r="114" spans="1:4" x14ac:dyDescent="0.25">
      <c r="A114">
        <v>227819</v>
      </c>
      <c r="B114" t="s">
        <v>87</v>
      </c>
      <c r="C114">
        <v>1</v>
      </c>
      <c r="D114">
        <v>15000</v>
      </c>
    </row>
    <row r="115" spans="1:4" x14ac:dyDescent="0.25">
      <c r="A115">
        <v>220820</v>
      </c>
      <c r="B115" t="s">
        <v>807</v>
      </c>
      <c r="C115">
        <v>1</v>
      </c>
      <c r="D115">
        <v>15000</v>
      </c>
    </row>
    <row r="116" spans="1:4" x14ac:dyDescent="0.25">
      <c r="A116">
        <v>227820</v>
      </c>
      <c r="B116" t="s">
        <v>463</v>
      </c>
      <c r="C116">
        <v>58</v>
      </c>
      <c r="D116">
        <v>870000</v>
      </c>
    </row>
    <row r="117" spans="1:4" x14ac:dyDescent="0.25">
      <c r="A117">
        <v>101821</v>
      </c>
      <c r="B117" t="s">
        <v>9</v>
      </c>
      <c r="C117">
        <v>1</v>
      </c>
      <c r="D117">
        <v>15000</v>
      </c>
    </row>
    <row r="118" spans="1:4" x14ac:dyDescent="0.25">
      <c r="A118">
        <v>227821</v>
      </c>
      <c r="B118" t="s">
        <v>67</v>
      </c>
      <c r="C118">
        <v>1</v>
      </c>
      <c r="D118">
        <v>15000</v>
      </c>
    </row>
    <row r="119" spans="1:4" x14ac:dyDescent="0.25">
      <c r="A119">
        <v>15822</v>
      </c>
      <c r="B119" t="s">
        <v>424</v>
      </c>
      <c r="C119">
        <v>13</v>
      </c>
      <c r="D119">
        <v>195000</v>
      </c>
    </row>
    <row r="120" spans="1:4" x14ac:dyDescent="0.25">
      <c r="A120">
        <v>227824</v>
      </c>
      <c r="B120" t="s">
        <v>761</v>
      </c>
      <c r="C120">
        <v>4</v>
      </c>
      <c r="D120">
        <v>60000</v>
      </c>
    </row>
    <row r="121" spans="1:4" x14ac:dyDescent="0.25">
      <c r="A121">
        <v>15825</v>
      </c>
      <c r="B121" t="s">
        <v>699</v>
      </c>
      <c r="C121">
        <v>3</v>
      </c>
      <c r="D121">
        <v>45000</v>
      </c>
    </row>
    <row r="122" spans="1:4" x14ac:dyDescent="0.25">
      <c r="A122">
        <v>227825</v>
      </c>
      <c r="B122" t="s">
        <v>118</v>
      </c>
      <c r="C122">
        <v>4</v>
      </c>
      <c r="D122">
        <v>60000</v>
      </c>
    </row>
    <row r="123" spans="1:4" x14ac:dyDescent="0.25">
      <c r="A123">
        <v>227826</v>
      </c>
      <c r="B123" t="s">
        <v>365</v>
      </c>
      <c r="C123">
        <v>1</v>
      </c>
      <c r="D123">
        <v>15000</v>
      </c>
    </row>
    <row r="124" spans="1:4" x14ac:dyDescent="0.25">
      <c r="A124">
        <v>15827</v>
      </c>
      <c r="B124" t="s">
        <v>15</v>
      </c>
      <c r="C124">
        <v>7</v>
      </c>
      <c r="D124">
        <v>105000</v>
      </c>
    </row>
    <row r="125" spans="1:4" x14ac:dyDescent="0.25">
      <c r="A125">
        <v>57827</v>
      </c>
      <c r="B125" t="s">
        <v>456</v>
      </c>
      <c r="C125">
        <v>2</v>
      </c>
      <c r="D125">
        <v>30000</v>
      </c>
    </row>
    <row r="126" spans="1:4" x14ac:dyDescent="0.25">
      <c r="A126">
        <v>227827</v>
      </c>
      <c r="B126" t="s">
        <v>366</v>
      </c>
      <c r="C126">
        <v>5</v>
      </c>
      <c r="D126">
        <v>75000</v>
      </c>
    </row>
    <row r="127" spans="1:4" x14ac:dyDescent="0.25">
      <c r="A127">
        <v>15828</v>
      </c>
      <c r="B127" t="s">
        <v>762</v>
      </c>
      <c r="C127">
        <v>9</v>
      </c>
      <c r="D127">
        <v>135000</v>
      </c>
    </row>
    <row r="128" spans="1:4" x14ac:dyDescent="0.25">
      <c r="A128">
        <v>57828</v>
      </c>
      <c r="B128" t="s">
        <v>83</v>
      </c>
      <c r="C128">
        <v>6</v>
      </c>
      <c r="D128">
        <v>90000</v>
      </c>
    </row>
    <row r="129" spans="1:4" x14ac:dyDescent="0.25">
      <c r="A129">
        <v>101828</v>
      </c>
      <c r="B129" t="s">
        <v>346</v>
      </c>
      <c r="C129">
        <v>3</v>
      </c>
      <c r="D129">
        <v>45000</v>
      </c>
    </row>
    <row r="130" spans="1:4" x14ac:dyDescent="0.25">
      <c r="A130">
        <v>57829</v>
      </c>
      <c r="B130" t="s">
        <v>44</v>
      </c>
      <c r="C130">
        <v>2</v>
      </c>
      <c r="D130">
        <v>30000</v>
      </c>
    </row>
    <row r="131" spans="1:4" x14ac:dyDescent="0.25">
      <c r="A131">
        <v>227829</v>
      </c>
      <c r="B131" t="s">
        <v>445</v>
      </c>
      <c r="C131">
        <v>3</v>
      </c>
      <c r="D131">
        <v>45000</v>
      </c>
    </row>
    <row r="132" spans="1:4" x14ac:dyDescent="0.25">
      <c r="A132">
        <v>15830</v>
      </c>
      <c r="B132" t="s">
        <v>1058</v>
      </c>
      <c r="C132">
        <v>4</v>
      </c>
      <c r="D132">
        <v>60000</v>
      </c>
    </row>
    <row r="133" spans="1:4" x14ac:dyDescent="0.25">
      <c r="A133">
        <v>57830</v>
      </c>
      <c r="B133" t="s">
        <v>45</v>
      </c>
      <c r="C133">
        <v>2</v>
      </c>
      <c r="D133">
        <v>30000</v>
      </c>
    </row>
    <row r="134" spans="1:4" x14ac:dyDescent="0.25">
      <c r="A134">
        <v>15831</v>
      </c>
      <c r="B134" t="s">
        <v>316</v>
      </c>
      <c r="C134">
        <v>7</v>
      </c>
      <c r="D134">
        <v>105000</v>
      </c>
    </row>
    <row r="135" spans="1:4" x14ac:dyDescent="0.25">
      <c r="A135">
        <v>57831</v>
      </c>
      <c r="B135" t="s">
        <v>46</v>
      </c>
      <c r="C135">
        <v>2</v>
      </c>
      <c r="D135">
        <v>30000</v>
      </c>
    </row>
    <row r="136" spans="1:4" x14ac:dyDescent="0.25">
      <c r="A136">
        <v>15833</v>
      </c>
      <c r="B136" t="s">
        <v>94</v>
      </c>
      <c r="C136">
        <v>1</v>
      </c>
      <c r="D136">
        <v>15000</v>
      </c>
    </row>
    <row r="137" spans="1:4" x14ac:dyDescent="0.25">
      <c r="A137">
        <v>57833</v>
      </c>
      <c r="B137" t="s">
        <v>47</v>
      </c>
      <c r="C137">
        <v>3</v>
      </c>
      <c r="D137">
        <v>45000</v>
      </c>
    </row>
    <row r="138" spans="1:4" x14ac:dyDescent="0.25">
      <c r="A138">
        <v>15834</v>
      </c>
      <c r="B138" t="s">
        <v>317</v>
      </c>
      <c r="C138">
        <v>12</v>
      </c>
      <c r="D138">
        <v>180000</v>
      </c>
    </row>
    <row r="139" spans="1:4" x14ac:dyDescent="0.25">
      <c r="A139">
        <v>57834</v>
      </c>
      <c r="B139" t="s">
        <v>327</v>
      </c>
      <c r="C139">
        <v>3</v>
      </c>
      <c r="D139">
        <v>45000</v>
      </c>
    </row>
    <row r="140" spans="1:4" x14ac:dyDescent="0.25">
      <c r="A140">
        <v>15835</v>
      </c>
      <c r="B140" t="s">
        <v>318</v>
      </c>
      <c r="C140">
        <v>12</v>
      </c>
      <c r="D140">
        <v>180000</v>
      </c>
    </row>
    <row r="141" spans="1:4" x14ac:dyDescent="0.25">
      <c r="A141">
        <v>57835</v>
      </c>
      <c r="B141" t="s">
        <v>48</v>
      </c>
      <c r="C141">
        <v>6</v>
      </c>
      <c r="D141">
        <v>90000</v>
      </c>
    </row>
    <row r="142" spans="1:4" x14ac:dyDescent="0.25">
      <c r="A142">
        <v>15836</v>
      </c>
      <c r="B142" t="s">
        <v>319</v>
      </c>
      <c r="C142">
        <v>1</v>
      </c>
      <c r="D142">
        <v>15000</v>
      </c>
    </row>
    <row r="143" spans="1:4" x14ac:dyDescent="0.25">
      <c r="A143">
        <v>57836</v>
      </c>
      <c r="B143" t="s">
        <v>24</v>
      </c>
      <c r="C143">
        <v>2</v>
      </c>
      <c r="D143">
        <v>30000</v>
      </c>
    </row>
    <row r="144" spans="1:4" x14ac:dyDescent="0.25">
      <c r="A144">
        <v>101837</v>
      </c>
      <c r="B144" t="s">
        <v>12</v>
      </c>
      <c r="C144">
        <v>2</v>
      </c>
      <c r="D144">
        <v>30000</v>
      </c>
    </row>
    <row r="145" spans="1:4" x14ac:dyDescent="0.25">
      <c r="A145">
        <v>15838</v>
      </c>
      <c r="B145" t="s">
        <v>700</v>
      </c>
      <c r="C145">
        <v>7</v>
      </c>
      <c r="D145">
        <v>105000</v>
      </c>
    </row>
    <row r="146" spans="1:4" x14ac:dyDescent="0.25">
      <c r="A146">
        <v>101838</v>
      </c>
      <c r="B146" t="s">
        <v>1059</v>
      </c>
      <c r="C146">
        <v>5</v>
      </c>
      <c r="D146">
        <v>75000</v>
      </c>
    </row>
    <row r="147" spans="1:4" x14ac:dyDescent="0.25">
      <c r="A147">
        <v>15839</v>
      </c>
      <c r="B147" t="s">
        <v>455</v>
      </c>
      <c r="C147">
        <v>1</v>
      </c>
      <c r="D147">
        <v>15000</v>
      </c>
    </row>
    <row r="148" spans="1:4" x14ac:dyDescent="0.25">
      <c r="A148">
        <v>57839</v>
      </c>
      <c r="B148" t="s">
        <v>58</v>
      </c>
      <c r="C148">
        <v>2</v>
      </c>
      <c r="D148">
        <v>30000</v>
      </c>
    </row>
    <row r="149" spans="1:4" x14ac:dyDescent="0.25">
      <c r="A149">
        <v>15840</v>
      </c>
      <c r="B149" t="s">
        <v>701</v>
      </c>
      <c r="C149">
        <v>1</v>
      </c>
      <c r="D149">
        <v>15000</v>
      </c>
    </row>
    <row r="150" spans="1:4" x14ac:dyDescent="0.25">
      <c r="A150">
        <v>57840</v>
      </c>
      <c r="B150" t="s">
        <v>328</v>
      </c>
      <c r="C150">
        <v>1</v>
      </c>
      <c r="D150">
        <v>15000</v>
      </c>
    </row>
    <row r="151" spans="1:4" x14ac:dyDescent="0.25">
      <c r="A151">
        <v>101840</v>
      </c>
      <c r="B151" t="s">
        <v>29</v>
      </c>
      <c r="C151">
        <v>3</v>
      </c>
      <c r="D151">
        <v>45000</v>
      </c>
    </row>
    <row r="152" spans="1:4" x14ac:dyDescent="0.25">
      <c r="A152">
        <v>15841</v>
      </c>
      <c r="B152" t="s">
        <v>538</v>
      </c>
      <c r="C152">
        <v>1</v>
      </c>
      <c r="D152">
        <v>15000</v>
      </c>
    </row>
    <row r="153" spans="1:4" x14ac:dyDescent="0.25">
      <c r="A153">
        <v>57841</v>
      </c>
      <c r="B153" t="s">
        <v>329</v>
      </c>
      <c r="C153">
        <v>2</v>
      </c>
      <c r="D153">
        <v>30000</v>
      </c>
    </row>
    <row r="154" spans="1:4" x14ac:dyDescent="0.25">
      <c r="A154">
        <v>15842</v>
      </c>
      <c r="B154" t="s">
        <v>702</v>
      </c>
      <c r="C154">
        <v>1</v>
      </c>
      <c r="D154">
        <v>15000</v>
      </c>
    </row>
    <row r="155" spans="1:4" x14ac:dyDescent="0.25">
      <c r="A155">
        <v>101842</v>
      </c>
      <c r="B155" t="s">
        <v>30</v>
      </c>
      <c r="C155">
        <v>1</v>
      </c>
      <c r="D155">
        <v>15000</v>
      </c>
    </row>
    <row r="156" spans="1:4" x14ac:dyDescent="0.25">
      <c r="A156">
        <v>15843</v>
      </c>
      <c r="B156" t="s">
        <v>703</v>
      </c>
      <c r="C156">
        <v>1</v>
      </c>
      <c r="D156">
        <v>15000</v>
      </c>
    </row>
    <row r="157" spans="1:4" x14ac:dyDescent="0.25">
      <c r="A157">
        <v>15844</v>
      </c>
      <c r="B157" t="s">
        <v>808</v>
      </c>
      <c r="C157">
        <v>1</v>
      </c>
      <c r="D157">
        <v>15000</v>
      </c>
    </row>
    <row r="158" spans="1:4" x14ac:dyDescent="0.25">
      <c r="A158">
        <v>57844</v>
      </c>
      <c r="B158" t="s">
        <v>330</v>
      </c>
      <c r="C158">
        <v>3</v>
      </c>
      <c r="D158">
        <v>45000</v>
      </c>
    </row>
    <row r="159" spans="1:4" x14ac:dyDescent="0.25">
      <c r="A159">
        <v>57845</v>
      </c>
      <c r="B159" t="s">
        <v>114</v>
      </c>
      <c r="C159">
        <v>4</v>
      </c>
      <c r="D159">
        <v>60000</v>
      </c>
    </row>
    <row r="160" spans="1:4" x14ac:dyDescent="0.25">
      <c r="A160">
        <v>101845</v>
      </c>
      <c r="B160" t="s">
        <v>101</v>
      </c>
      <c r="C160">
        <v>21</v>
      </c>
      <c r="D160">
        <v>315000</v>
      </c>
    </row>
    <row r="161" spans="1:4" x14ac:dyDescent="0.25">
      <c r="A161">
        <v>57846</v>
      </c>
      <c r="B161" t="s">
        <v>115</v>
      </c>
      <c r="C161">
        <v>2</v>
      </c>
      <c r="D161">
        <v>30000</v>
      </c>
    </row>
    <row r="162" spans="1:4" x14ac:dyDescent="0.25">
      <c r="A162">
        <v>101846</v>
      </c>
      <c r="B162" t="s">
        <v>763</v>
      </c>
      <c r="C162">
        <v>5</v>
      </c>
      <c r="D162">
        <v>75000</v>
      </c>
    </row>
    <row r="163" spans="1:4" x14ac:dyDescent="0.25">
      <c r="A163">
        <v>57847</v>
      </c>
      <c r="B163" t="s">
        <v>331</v>
      </c>
      <c r="C163">
        <v>1</v>
      </c>
      <c r="D163">
        <v>15000</v>
      </c>
    </row>
    <row r="164" spans="1:4" x14ac:dyDescent="0.25">
      <c r="A164">
        <v>101847</v>
      </c>
      <c r="B164" t="s">
        <v>32</v>
      </c>
      <c r="C164">
        <v>1</v>
      </c>
      <c r="D164">
        <v>15000</v>
      </c>
    </row>
    <row r="165" spans="1:4" x14ac:dyDescent="0.25">
      <c r="A165">
        <v>57848</v>
      </c>
      <c r="B165" t="s">
        <v>457</v>
      </c>
      <c r="C165">
        <v>35</v>
      </c>
      <c r="D165">
        <v>525000</v>
      </c>
    </row>
    <row r="166" spans="1:4" x14ac:dyDescent="0.25">
      <c r="A166">
        <v>101849</v>
      </c>
      <c r="B166" t="s">
        <v>14</v>
      </c>
      <c r="C166">
        <v>2</v>
      </c>
      <c r="D166">
        <v>30000</v>
      </c>
    </row>
    <row r="167" spans="1:4" x14ac:dyDescent="0.25">
      <c r="A167">
        <v>57850</v>
      </c>
      <c r="B167" t="s">
        <v>383</v>
      </c>
      <c r="C167">
        <v>6</v>
      </c>
      <c r="D167">
        <v>90000</v>
      </c>
    </row>
    <row r="168" spans="1:4" x14ac:dyDescent="0.25">
      <c r="A168">
        <v>57851</v>
      </c>
      <c r="B168" t="s">
        <v>436</v>
      </c>
      <c r="C168">
        <v>1</v>
      </c>
      <c r="D168">
        <v>15000</v>
      </c>
    </row>
    <row r="169" spans="1:4" x14ac:dyDescent="0.25">
      <c r="A169">
        <v>101853</v>
      </c>
      <c r="B169" t="s">
        <v>812</v>
      </c>
      <c r="C169">
        <v>5</v>
      </c>
      <c r="D169">
        <v>75000</v>
      </c>
    </row>
    <row r="170" spans="1:4" x14ac:dyDescent="0.25">
      <c r="A170">
        <v>101855</v>
      </c>
      <c r="B170" t="s">
        <v>1060</v>
      </c>
      <c r="C170">
        <v>1</v>
      </c>
      <c r="D170">
        <v>15000</v>
      </c>
    </row>
    <row r="171" spans="1:4" x14ac:dyDescent="0.25">
      <c r="A171">
        <v>101856</v>
      </c>
      <c r="B171" t="s">
        <v>33</v>
      </c>
      <c r="C171">
        <v>1</v>
      </c>
      <c r="D171">
        <v>15000</v>
      </c>
    </row>
    <row r="172" spans="1:4" x14ac:dyDescent="0.25">
      <c r="A172">
        <v>101858</v>
      </c>
      <c r="B172" t="s">
        <v>764</v>
      </c>
      <c r="C172">
        <v>10</v>
      </c>
      <c r="D172">
        <v>150000</v>
      </c>
    </row>
    <row r="173" spans="1:4" x14ac:dyDescent="0.25">
      <c r="A173">
        <v>101859</v>
      </c>
      <c r="B173" t="s">
        <v>347</v>
      </c>
      <c r="C173">
        <v>2</v>
      </c>
      <c r="D173">
        <v>30000</v>
      </c>
    </row>
    <row r="174" spans="1:4" x14ac:dyDescent="0.25">
      <c r="A174">
        <v>101861</v>
      </c>
      <c r="B174" t="s">
        <v>704</v>
      </c>
      <c r="C174">
        <v>2</v>
      </c>
      <c r="D174">
        <v>30000</v>
      </c>
    </row>
    <row r="175" spans="1:4" x14ac:dyDescent="0.25">
      <c r="A175">
        <v>101862</v>
      </c>
      <c r="B175" t="s">
        <v>765</v>
      </c>
      <c r="C175">
        <v>6</v>
      </c>
      <c r="D175">
        <v>90000</v>
      </c>
    </row>
    <row r="176" spans="1:4" x14ac:dyDescent="0.25">
      <c r="A176">
        <v>101864</v>
      </c>
      <c r="B176" t="s">
        <v>350</v>
      </c>
      <c r="C176">
        <v>1</v>
      </c>
      <c r="D176">
        <v>15000</v>
      </c>
    </row>
    <row r="177" spans="1:4" x14ac:dyDescent="0.25">
      <c r="A177">
        <v>101868</v>
      </c>
      <c r="B177" t="s">
        <v>351</v>
      </c>
      <c r="C177">
        <v>2</v>
      </c>
      <c r="D177">
        <v>30000</v>
      </c>
    </row>
    <row r="178" spans="1:4" x14ac:dyDescent="0.25">
      <c r="A178">
        <v>101870</v>
      </c>
      <c r="B178" t="s">
        <v>368</v>
      </c>
      <c r="C178">
        <v>2</v>
      </c>
      <c r="D178">
        <v>30000</v>
      </c>
    </row>
    <row r="179" spans="1:4" x14ac:dyDescent="0.25">
      <c r="A179">
        <v>101871</v>
      </c>
      <c r="B179" t="s">
        <v>382</v>
      </c>
      <c r="C179">
        <v>1</v>
      </c>
      <c r="D179">
        <v>15000</v>
      </c>
    </row>
    <row r="180" spans="1:4" x14ac:dyDescent="0.25">
      <c r="A180">
        <v>101872</v>
      </c>
      <c r="B180" t="s">
        <v>437</v>
      </c>
      <c r="C180">
        <v>1</v>
      </c>
      <c r="D180">
        <v>15000</v>
      </c>
    </row>
    <row r="181" spans="1:4" x14ac:dyDescent="0.25">
      <c r="A181">
        <v>101873</v>
      </c>
      <c r="B181" t="s">
        <v>446</v>
      </c>
      <c r="C181">
        <v>1</v>
      </c>
      <c r="D181">
        <v>15000</v>
      </c>
    </row>
    <row r="182" spans="1:4" x14ac:dyDescent="0.25">
      <c r="A182">
        <v>101874</v>
      </c>
      <c r="B182" t="s">
        <v>439</v>
      </c>
      <c r="C182">
        <v>1</v>
      </c>
      <c r="D182">
        <v>15000</v>
      </c>
    </row>
    <row r="183" spans="1:4" x14ac:dyDescent="0.25">
      <c r="A183">
        <v>101875</v>
      </c>
      <c r="B183" t="s">
        <v>458</v>
      </c>
      <c r="C183">
        <v>1</v>
      </c>
      <c r="D183">
        <v>15000</v>
      </c>
    </row>
    <row r="184" spans="1:4" x14ac:dyDescent="0.25">
      <c r="A184">
        <v>101876</v>
      </c>
      <c r="B184" t="s">
        <v>459</v>
      </c>
      <c r="C184">
        <v>1</v>
      </c>
      <c r="D184">
        <v>15000</v>
      </c>
    </row>
    <row r="185" spans="1:4" x14ac:dyDescent="0.25">
      <c r="A185">
        <v>101877</v>
      </c>
      <c r="B185" t="s">
        <v>539</v>
      </c>
      <c r="C185">
        <v>1</v>
      </c>
      <c r="D185">
        <v>15000</v>
      </c>
    </row>
    <row r="186" spans="1:4" x14ac:dyDescent="0.25">
      <c r="A186">
        <v>101878</v>
      </c>
      <c r="B186" t="s">
        <v>540</v>
      </c>
      <c r="C186">
        <v>1</v>
      </c>
      <c r="D186">
        <v>15000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X 5 Y U R 0 M X g u k A A A A 9 Q A A A B I A H A B D b 2 5 m a W c v U G F j a 2 F n Z S 5 4 b W w g o h g A K K A U A A A A A A A A A A A A A A A A A A A A A A A A A A A A h Y 9 B D o I w F E S v Q r q n R d R I y K c s 3 E p i Q j R u m 1 K h E T 6 G F s v d X H g k r y B G U X c u Z 9 5 M M n O / 3 i A d m t q 7 q M 7 o F h M y o w H x F M q 2 0 F g m p L d H P y I p h 6 2 Q J 1 E q b w y j i Q e j E 1 J Z e 4 4 Z c 8 5 R N 6 d t V 7 I w C G b s k G 1 y W a l G + B q N F S g V + b S K / y 3 C Y f 8 a w 0 M a L e l q M U 4 C N n m Q a f z y c G R P + m P C u q 9 t 3 y m u 0 N / l w C Y J 7 H 2 B P w B Q S w M E F A A C A A g A A X 5 Y 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W F E o i k e 4 D g A A A B E A A A A T A B w A R m 9 y b X V s Y X M v U 2 V j d G l v b j E u b S C i G A A o o B Q A A A A A A A A A A A A A A A A A A A A A A A A A A A A r T k 0 u y c z P U w i G 0 I b W A F B L A Q I t A B Q A A g A I A A F + W F E d D F 4 L p A A A A P U A A A A S A A A A A A A A A A A A A A A A A A A A A A B D b 2 5 m a W c v U G F j a 2 F n Z S 5 4 b W x Q S w E C L Q A U A A I A C A A B f l h R D 8 r p q 6 Q A A A D p A A A A E w A A A A A A A A A A A A A A A A D w A A A A W 0 N v b n R l b n R f V H l w Z X N d L n h t b F B L A Q I t A B Q A A g A I A A F + W F E 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c z E + C J p 5 Q T b F g J K P O D 3 F s A A A A A A I A A A A A A A N m A A D A A A A A E A A A A E g s i 1 r F K 0 b F F v R m o t T e x d c A A A A A B I A A A K A A A A A Q A A A A f y A I 1 0 6 u M U k l f L Z K / F O p b V A A A A C V A r W G U w t U F k x Y B V o x 3 s X + v 5 D 9 N m T a B S + x F F g B d 4 I 5 + l z C / D X A d 6 C P o z X G C M i f V 2 C + 3 r j 1 i m w K u Y W p 7 K Q 9 T X 2 o H A b t 4 i f w W n l a 3 G 9 i w 2 B Q M h Q A A A A d l W 8 s J A + U 5 l d C n 9 + 8 A i Z n T P P m a g = = < / D a t a M a s h u p > 
</file>

<file path=customXml/itemProps1.xml><?xml version="1.0" encoding="utf-8"?>
<ds:datastoreItem xmlns:ds="http://schemas.openxmlformats.org/officeDocument/2006/customXml" ds:itemID="{D7896A3E-1FEA-4BE6-BAB8-018CC33FD0F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Validation</vt:lpstr>
      <vt:lpstr>Version 4 March 2024 </vt:lpstr>
      <vt:lpstr>Estimates</vt:lpstr>
      <vt:lpstr> State Aid</vt:lpstr>
      <vt:lpstr>Prior Law</vt:lpstr>
      <vt:lpstr>ADA Projection </vt:lpstr>
      <vt:lpstr>Payment Calculator</vt:lpstr>
      <vt:lpstr>TEC 48.115 (a)(2) Campuses</vt:lpstr>
      <vt:lpstr>Eligible Campus</vt:lpstr>
      <vt:lpstr>Ineligible Campus</vt:lpstr>
      <vt:lpstr>INITIAL EST</vt:lpstr>
      <vt:lpstr>CASH FLOW</vt:lpstr>
      <vt:lpstr>INT EST PY</vt:lpstr>
      <vt:lpstr>INT EST PY21</vt:lpstr>
      <vt:lpstr>FTG</vt:lpstr>
      <vt:lpstr>FTG21</vt:lpstr>
      <vt:lpstr>DATA</vt:lpstr>
      <vt:lpstr>Code 45 with 43&amp;44</vt:lpstr>
      <vt:lpstr>CASH_FLOW</vt:lpstr>
      <vt:lpstr>'FTG21'!FTG</vt:lpstr>
      <vt:lpstr>FTG</vt:lpstr>
      <vt:lpstr>INITIAL_EST</vt:lpstr>
      <vt:lpstr>'INT EST PY21'!INITIAL_EST_PY</vt:lpstr>
      <vt:lpstr>INT_EST_PY</vt:lpstr>
      <vt:lpstr>INT_EST_PY21</vt:lpstr>
      <vt:lpstr>INT_ESTIMATE_PY</vt:lpstr>
      <vt:lpstr>INTIAL_EST_PY</vt:lpstr>
      <vt:lpstr>INTIAL_EST_PY21</vt:lpstr>
      <vt:lpstr>' State Aid'!Print_Area</vt:lpstr>
      <vt:lpstr>'ADA Projection '!Print_Area</vt:lpstr>
      <vt:lpstr>Estimates!Print_Area</vt:lpstr>
      <vt:lpstr>'Payment Calculator'!Print_Area</vt:lpstr>
      <vt:lpstr>'Prior Law'!Print_Area</vt:lpstr>
      <vt:lpstr>Validation!Print_Area</vt:lpstr>
      <vt:lpstr>' State Aid'!Print_Titles</vt:lpstr>
      <vt:lpstr>'ADA Projection '!Print_Titles</vt:lpstr>
      <vt:lpstr>Estimates!Print_Titles</vt:lpstr>
      <vt:lpstr>'Prior Law'!Print_Titles</vt:lpstr>
      <vt:lpstr>Validation!Print_Titles</vt:lpstr>
      <vt:lpstr>'Version 4 March 2024 '!Print_Titles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Estimate of State Aid Entitlement Template</dc:title>
  <dc:creator>Division of State Funding</dc:creator>
  <cp:lastModifiedBy>Maynard-Harrison, Amy</cp:lastModifiedBy>
  <cp:lastPrinted>2023-12-11T19:41:50Z</cp:lastPrinted>
  <dcterms:created xsi:type="dcterms:W3CDTF">1998-05-05T01:54:51Z</dcterms:created>
  <dcterms:modified xsi:type="dcterms:W3CDTF">2024-04-01T12:14:52Z</dcterms:modified>
</cp:coreProperties>
</file>